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s" sheetId="1" r:id="rId4"/>
    <sheet state="visible" name="50 Iterations" sheetId="2" r:id="rId5"/>
    <sheet state="visible" name="6000_iterations" sheetId="3" r:id="rId6"/>
    <sheet state="visible" name="Sheet3" sheetId="4" r:id="rId7"/>
    <sheet state="visible" name="900_iterations_ONE" sheetId="5" r:id="rId8"/>
    <sheet state="visible" name="900_iterations_TWO" sheetId="6" r:id="rId9"/>
    <sheet state="visible" name="900_iterations_THREE" sheetId="7" r:id="rId10"/>
    <sheet state="visible" name="500k_iterations" sheetId="8" r:id="rId11"/>
  </sheets>
  <definedNames>
    <definedName hidden="1" localSheetId="2" name="_xlnm._FilterDatabase">'6000_iterations'!$G$1:$L$6006</definedName>
    <definedName hidden="1" localSheetId="2" name="Z_925F4F05_2029_40AB_AA61_867C6D3DB627_.wvu.FilterData">'6000_iterations'!$G$3:$L$5</definedName>
  </definedNames>
  <calcPr/>
  <customWorkbookViews>
    <customWorkbookView activeSheetId="0" maximized="1" windowHeight="0" windowWidth="0" guid="{925F4F05-2029-40AB-AA61-867C6D3DB627}" name="Filter 1"/>
  </customWorkbookViews>
</workbook>
</file>

<file path=xl/sharedStrings.xml><?xml version="1.0" encoding="utf-8"?>
<sst xmlns="http://schemas.openxmlformats.org/spreadsheetml/2006/main" count="14872" uniqueCount="9793">
  <si>
    <t xml:space="preserve">ITERATIVE C </t>
  </si>
  <si>
    <t xml:space="preserve">RECURSIVE C </t>
  </si>
  <si>
    <t>DYNAMIC C</t>
  </si>
  <si>
    <t xml:space="preserve">ITERATIVE PY </t>
  </si>
  <si>
    <t>RECURSIVE PY</t>
  </si>
  <si>
    <t>DYNAMIC PY</t>
  </si>
  <si>
    <t>QUARTILE 1</t>
  </si>
  <si>
    <t>QUARTILE 3</t>
  </si>
  <si>
    <t>IQR</t>
  </si>
  <si>
    <t xml:space="preserve">Lower boundary </t>
  </si>
  <si>
    <t xml:space="preserve">Upper boundary </t>
  </si>
  <si>
    <t>OUTLIER COUNT</t>
  </si>
  <si>
    <t xml:space="preserve">% OF OUTLIERS FOR TOTAL RUNS </t>
  </si>
  <si>
    <t>Algorithm</t>
  </si>
  <si>
    <t>N (timeout &lt; 60 seconds)</t>
  </si>
  <si>
    <t>Last Timed Incident (seconds)</t>
  </si>
  <si>
    <t>Iterative C</t>
  </si>
  <si>
    <t>449,501+</t>
  </si>
  <si>
    <t>Recursive C</t>
  </si>
  <si>
    <t>Dynamic Programming C</t>
  </si>
  <si>
    <t>Iterative P</t>
  </si>
  <si>
    <t>Recursive P</t>
  </si>
  <si>
    <t>Dynamic Programming P</t>
  </si>
  <si>
    <t>skipskid@MacBook-Pro ~ % python3 test_runner_edited.py 50</t>
  </si>
  <si>
    <t xml:space="preserve">C </t>
  </si>
  <si>
    <t>PYTHON</t>
  </si>
  <si>
    <t>ITERATIVE</t>
  </si>
  <si>
    <t>RECURSIVE</t>
  </si>
  <si>
    <t>DYNAMIC</t>
  </si>
  <si>
    <t xml:space="preserve">ITERATIVE </t>
  </si>
  <si>
    <t xml:space="preserve">RECURSIVE </t>
  </si>
  <si>
    <t>| 1    | 0.00223  | 0.00200  | 0.00224  |0.04004  | 0.04071  | 0.03975  |</t>
  </si>
  <si>
    <t>| 2    | 0.00216  | 0.00182  | 0.00237  |0.03990  | 0.03637  | 0.03983  |</t>
  </si>
  <si>
    <t>| 3    | 0.00217  | 0.00203  | 0.00244  |0.04010  | 0.03695  | 0.03977  |</t>
  </si>
  <si>
    <t>| 4    | 0.00242  | 0.00201  | 0.00204  |0.03914  | 0.03765  | 0.03968  |</t>
  </si>
  <si>
    <t>| 5    | 0.00219  | 0.00204  | 0.00212  |0.03951  | 0.03828  | 0.03600  |</t>
  </si>
  <si>
    <t>| 6    | 0.00261  | 0.00206  | 0.00209  |0.03746  | 0.03978  | 0.03880  |</t>
  </si>
  <si>
    <t>| 7    | 0.00225  | 0.00200  | 0.00204  |0.04000  | 0.04011  | 0.03774  |</t>
  </si>
  <si>
    <t>| 8    | 0.00214  | 0.00204  | 0.00232  |0.03549  | 0.03746  | 0.03944  |</t>
  </si>
  <si>
    <t>| 9    | 0.00222  | 0.00221  | 0.00225  |0.04029  | 0.03625  | 0.04014  |</t>
  </si>
  <si>
    <t>| 10   | 0.00233  | 0.00208  | 0.00211  |0.03705  | 0.03764  | 0.04026  |</t>
  </si>
  <si>
    <t>| 11   | 0.00223  | 0.00210  | 0.00209  |0.03818  | 0.03943  | 0.04010  |</t>
  </si>
  <si>
    <t>| 12   | 0.00249  | 0.00219  | 0.00221  |0.03811  | 0.04027  | 0.04013  |</t>
  </si>
  <si>
    <t>| 13   | 0.00214  | 0.00216  | 0.00206  |0.03847  | 0.03969  | 0.03846  |</t>
  </si>
  <si>
    <t>| 14   | 0.00194  | 0.00179  | 0.00208  |0.03965  | 0.04017  | 0.03788  |</t>
  </si>
  <si>
    <t>| 15   | 0.00216  | 0.00204  | 0.00207  |0.04003  | 0.03818  | 0.04004  |</t>
  </si>
  <si>
    <t>| 16   | 0.00220  | 0.00218  | 0.00218  |0.03996  | 0.03835  | 0.03981  |</t>
  </si>
  <si>
    <t>| 17   | 0.00223  | 0.00218  | 0.00212  |0.03583  | 0.03801  | 0.03922  |</t>
  </si>
  <si>
    <t>| 18   | 0.00256  | 0.00206  | 0.00216  |0.04003  | 0.03448  | 0.03819  |</t>
  </si>
  <si>
    <t>| 19   | 0.00227  | 0.00208  | 0.00213  |0.04010  | 0.03910  | 0.04008  |</t>
  </si>
  <si>
    <t>| 20   | 0.00230  | 0.00207  | 0.00203  |0.03991  | 0.04018  | 0.04018  |</t>
  </si>
  <si>
    <t>| 21   | 0.00216  | 0.00203  | 0.00210  |0.03616  | 0.03977  | 0.04014  |</t>
  </si>
  <si>
    <t>| 22   | 0.00231  | 0.00210  | 0.00225  |0.03769  | 0.03740  | 0.04003  |</t>
  </si>
  <si>
    <t>| 23   | 0.00197  | 0.00221  | 0.00217  |0.03728  | 0.04009  | 0.03989  |</t>
  </si>
  <si>
    <t>| 24   | 0.00228  | 0.00202  | 0.00246  |0.03954  | 0.07540  | 0.03992  |</t>
  </si>
  <si>
    <t>| 25   | 0.00220  | 0.00202  | 0.00237  |0.03518  | 0.07700  | 0.03983  |</t>
  </si>
  <si>
    <t>| 26   | 0.00200  | 0.00482  | 0.00216  |0.03999  | 0.07702  | 0.03582  |</t>
  </si>
  <si>
    <t>| 27   | 0.00247  | 0.00465  | 0.00225  |0.03629  | 0.13260  | 0.03608  |</t>
  </si>
  <si>
    <t>| 28   | 0.00231  | 0.00465  | 0.00231  |0.03692  | 0.13225  | 0.03713  |</t>
  </si>
  <si>
    <t>| 29   | 0.00189  | 0.00955  | 0.00220  |0.04020  | 0.23568  | 0.03984  |</t>
  </si>
  <si>
    <t>| 30   | 0.00192  | 0.00850  | 0.00253  |0.03866  | 0.28887  | 0.03988  |</t>
  </si>
  <si>
    <t>| 31   | 0.00220  | 0.01977  | 0.00226  |0.03986  | 0.45621  | 0.03885  |</t>
  </si>
  <si>
    <t>| 32   | 0.00226  | 0.03442  | 0.00216  |0.03966  | 0.72182  | 0.03636  |</t>
  </si>
  <si>
    <t>| 33   | 0.00215  | 0.03985  | 0.00194  |0.03659  | 1.11579  | 0.04010  |</t>
  </si>
  <si>
    <t>| 34   | 0.00229  | 0.07697  | 0.00236  |0.03764  | 1.80008  | 0.03950  |</t>
  </si>
  <si>
    <t>| 35   | 0.00203  | 0.12613  | 0.00199  |0.04002  | 2.87887  | 0.03944  |</t>
  </si>
  <si>
    <t>| 36   | 0.00228  | 0.17971  | 0.00207  |0.03881  | 4.65492  | 0.04042  |</t>
  </si>
  <si>
    <t>| 37   | 0.00222  | 0.23709  | 0.00206  |0.03957  | 7.58661  | 0.03882  |</t>
  </si>
  <si>
    <t>| 38   | 0.00262  | 0.40367  | 0.00224  |0.03990  | 12.06017 | 0.03996  |</t>
  </si>
  <si>
    <t>| 39   | 0.00257  | 0.56582  | 0.00220  |0.03950  | 19.04057 | 0.03906  |</t>
  </si>
  <si>
    <t>| 40   | 0.00218  | 0.89076  | 0.00287  |0.04011  | 30.71528 | 0.04019  |</t>
  </si>
  <si>
    <t>| 41   | 0.00217  | 1.43641  | 0.00302  |0.04031  | 50.16782 | 0.03985  |</t>
  </si>
  <si>
    <t>| 42   | 0.00217  | 2.36027  | 0.00232  |0.03815  |    -     | 0.04318  |</t>
  </si>
  <si>
    <t>| 43   | 0.00214  | 3.78674  | 0.00230  |0.03749  |    -     | 0.03993  |</t>
  </si>
  <si>
    <t>| 44   | 0.00225  | 6.09004  | 0.00225  |0.03752  |    -     | 0.03898  |</t>
  </si>
  <si>
    <t>| 45   | 0.00230  | 9.79067  | 0.00214  |0.03539  |    -     | 0.03555  |</t>
  </si>
  <si>
    <t>| 46   | 0.00204  | 16.11781 | 0.00532  |0.03978  |    -     | 0.03982  |</t>
  </si>
  <si>
    <t>| 47   | 0.00216  | 26.02638 | 0.00572  |0.03951  |    -     | 0.03646  |</t>
  </si>
  <si>
    <t>| 48   | 0.00234  | 42.33373 | 0.00595  |0.07692  |    -     | 0.04005  |</t>
  </si>
  <si>
    <t>| 49   | 0.00286  |    -     | 0.00312  |0.04024  |    -     | 0.03810  |</t>
  </si>
  <si>
    <t>| 50   | 0.00220  |    -     | 0.00204  |0.03979  |    -     | 0.03981  |</t>
  </si>
  <si>
    <t>QUARTILE CALCULATIONS</t>
  </si>
  <si>
    <t>| 1    | 0.00267  | 0.00200  | 0.00209  |0.03885  | 0.03999  | 0.03985  |</t>
  </si>
  <si>
    <t>REMOVED OUTLIERS</t>
  </si>
  <si>
    <t>REASON</t>
  </si>
  <si>
    <t>LANGUAGE</t>
  </si>
  <si>
    <t>| 2    | 0.00198  | 0.00183  | 0.00182  |0.03954  | 0.04024  | 0.03880  |</t>
  </si>
  <si>
    <t>| 3397 | 0.03167 | - | 0.00395 |0.04035 | - | - |</t>
  </si>
  <si>
    <t>C</t>
  </si>
  <si>
    <t>| 3    | 0.00206  | 0.00192  | 0.00195  |0.03720  | 0.03974  | 0.03990  |</t>
  </si>
  <si>
    <t>OUTLIER DETECTION</t>
  </si>
  <si>
    <t>| 2811 | 0.00362 | - | 0.00459 |0.04659 | - | - |</t>
  </si>
  <si>
    <t>| 4    | 0.00216  | 0.00197  | 0.00188  |0.03967  | 0.03890  | 0.03969  |</t>
  </si>
  <si>
    <t>| 48 | 0.00207 | 41.15231 | 0.00480 |0.04772 | - | 0.04103 |</t>
  </si>
  <si>
    <t>| 5    | 0.00218  | 0.00198  | 0.00194  |0.03977  | 0.03992  | 0.03988  |</t>
  </si>
  <si>
    <t>| 1002 | 0.00345 | - | 0.00224 |0.14688 | - | - |</t>
  </si>
  <si>
    <t>Python iterative</t>
  </si>
  <si>
    <t>| 6    | 0.00210  | 0.00200  | 0.00196  |0.03958  | 0.03981  | 0.03975  |</t>
  </si>
  <si>
    <t>| 40 | 0.00255 | 0.90192 | 0.00289 |0.04082 | 30.74107 | 0.07701 |</t>
  </si>
  <si>
    <t>Python dynamic</t>
  </si>
  <si>
    <t>| 7    | 0.00209  | 0.00194  | 0.00192  |0.03969  | 0.03987  | 0.03981  |</t>
  </si>
  <si>
    <t>| 8    | 0.00203  | 0.00196  | 0.00186  |0.03969  | 0.03971  | 0.03839  |</t>
  </si>
  <si>
    <t>| 9    | 0.00227  | 0.00198  | 0.00194  |0.03964  | 0.03983  | 0.03988  |</t>
  </si>
  <si>
    <t>| 10   | 0.00197  | 0.00184  | 0.00182  |0.03981  | 0.03473  | 0.03977  |</t>
  </si>
  <si>
    <t>| 11   | 0.00220  | 0.00193  | 0.00180  |0.03831  | 0.03990  | 0.03982  |</t>
  </si>
  <si>
    <t>| 12   | 0.00210  | 0.00188  | 0.00187  |0.03924  | 0.03974  | 0.03986  |</t>
  </si>
  <si>
    <t>| 13   | 0.00210  | 0.00191  | 0.00191  |0.03703  | 0.03972  | 0.03975  |</t>
  </si>
  <si>
    <t>| 14   | 0.00203  | 0.00183  | 0.00187  |0.03955  | 0.03976  | 0.03988  |</t>
  </si>
  <si>
    <t>| 15   | 0.00204  | 0.00195  | 0.00196  |0.03961  | 0.03973  | 0.03972  |</t>
  </si>
  <si>
    <t>| 16   | 0.00203  | 0.00186  | 0.00191  |0.03964  | 0.03987  | 0.03982  |</t>
  </si>
  <si>
    <t>| 17   | 0.00208  | 0.00199  | 0.00196  |0.04005  | 0.03973  | 0.03979  |</t>
  </si>
  <si>
    <t>| 18   | 0.00215  | 0.00199  | 0.00187  |0.03969  | 0.03948  | 0.04007  |</t>
  </si>
  <si>
    <t>| 19   | 0.00208  | 0.00195  | 0.00186  |0.03963  | 0.03982  | 0.04016  |</t>
  </si>
  <si>
    <t>| 20   | 0.00214  | 0.00191  | 0.00193  |0.03966  | 0.03864  | 0.03931  |</t>
  </si>
  <si>
    <t>| 21   | 0.00206  | 0.00194  | 0.00189  |0.03962  | 0.03969  | 0.04035  |</t>
  </si>
  <si>
    <t>| 22   | 0.00212  | 0.00196  | 0.00190  |0.03971  | 0.03950  | 0.04038  |</t>
  </si>
  <si>
    <t>| 23   | 0.00207  | 0.00192  | 0.00192  |0.03957  | 0.03984  | 0.03986  |</t>
  </si>
  <si>
    <t>| 24   | 0.00208  | 0.00192  | 0.00191  |0.03957  | 0.07680  | 0.03939  |</t>
  </si>
  <si>
    <t>| 25   | 0.00212  | 0.00423  | 0.00188  |0.03959  | 0.07680  | 0.03721  |</t>
  </si>
  <si>
    <t>| 26   | 0.00232  | 0.00444  | 0.00186  |0.03962  | 0.07681  | 0.03990  |</t>
  </si>
  <si>
    <t>| 27   | 0.00208  | 0.00446  | 0.00179  |0.03753  | 0.12999  | 0.03976  |</t>
  </si>
  <si>
    <t>| 28   | 0.00194  | 0.00432  | 0.00178  |0.03948  | 0.13168  | 0.04021  |</t>
  </si>
  <si>
    <t>| 29   | 0.00196  | 0.00938  | 0.00191  |0.03897  | 0.18667  | 0.03981  |</t>
  </si>
  <si>
    <t>| 30   | 0.00196  | 0.00932  | 0.00176  |0.03948  | 0.29060  | 0.03980  |</t>
  </si>
  <si>
    <t>| 31   | 0.00203  | 0.01939  | 0.00183  |0.03957  | 0.45734  | 0.04008  |</t>
  </si>
  <si>
    <t>| 32   | 0.00210  | 0.03956  | 0.00182  |0.03952  | 0.73006  | 0.04005  |</t>
  </si>
  <si>
    <t>| 33   | 0.00207  | 0.03955  | 0.00195  |0.03953  | 1.11973  | 0.03999  |</t>
  </si>
  <si>
    <t>| 34   | 0.00215  | 0.07650  | 0.00198  |0.03974  | 1.76591  | 0.03850  |</t>
  </si>
  <si>
    <t>| 35   | 0.00214  | 0.13149  | 0.00207  |0.03640  | 2.80955  | 0.04042  |</t>
  </si>
  <si>
    <t>| 36   | 0.00209  | 0.13093  | 0.00192  |0.04012  | 4.52685  | 0.04027  |</t>
  </si>
  <si>
    <t>| 37   | 0.00200  | 0.24150  | 0.00219  |0.03994  | 7.29834  | 0.03895  |</t>
  </si>
  <si>
    <t>| 38   | 0.00197  | 0.34921  | 0.00218  |0.03963  | 11.72737 | 0.04000  |</t>
  </si>
  <si>
    <t>| 39   | 0.00210  | 0.56934  | 0.00284  |0.04000  | 19.00276 | 0.03996  |</t>
  </si>
  <si>
    <t>| 41   | 0.00272  | 1.44264  | 0.00291  |0.04010  | 49.66630 | 0.04006  |</t>
  </si>
  <si>
    <t>| 42   | 0.00200  | 2.31150  | 0.00270  |0.03995  |    -     | 0.04058  |</t>
  </si>
  <si>
    <t>| 43   | 0.00214  | 3.74675  | 0.00256  |0.04014  |    -     | 0.03981  |</t>
  </si>
  <si>
    <t>| 44   | 0.00204  | 6.03227  | 0.00304  |0.04024  |    -     | 0.03990  |</t>
  </si>
  <si>
    <t>| 45   | 0.00216  | 9.72372  | 0.00251  |0.03987  |    -     | 0.03686  |</t>
  </si>
  <si>
    <t>| 46   | 0.00204  | 15.74524 | 0.00305  |0.04011  |    -     | 0.03982  |</t>
  </si>
  <si>
    <t>| 47   | 0.00227  | 25.45440 | 0.00330  |0.03991  |    -     | 0.03988  |</t>
  </si>
  <si>
    <t>| 49   | 0.00226  |    -     | 0.00319  |0.04452  |    -     | 0.04674  |</t>
  </si>
  <si>
    <t>| 50   | 0.00224  |    -     | 0.00206  |0.04593  |    -     | 0.04740  |</t>
  </si>
  <si>
    <t>| 51   | 0.00229  |    -     | 0.00206  |0.04702  |    -     | 0.04748  |</t>
  </si>
  <si>
    <t>| 52   | 0.00223  |    -     | 0.00206  |0.04729  |    -     | 0.04747  |</t>
  </si>
  <si>
    <t>| 53   | 0.00243  |    -     | 0.00235  |0.04790  |    -     | 0.04752  |</t>
  </si>
  <si>
    <t>| 54   | 0.00226  |    -     | 0.00206  |0.04244  |    -     | 0.04745  |</t>
  </si>
  <si>
    <t>| 55   | 0.00225  |    -     | 0.00208  |0.04731  |    -     | 0.04747  |</t>
  </si>
  <si>
    <t>| 56   | 0.00221  |    -     | 0.00208  |0.03864  |    -     | 0.04780  |</t>
  </si>
  <si>
    <t>| 57   | 0.00239  |    -     | 0.00222  |0.04741  |    -     | 0.04765  |</t>
  </si>
  <si>
    <t>| 58   | 0.00239  |    -     | 0.00220  |0.04167  |    -     | 0.04747  |</t>
  </si>
  <si>
    <t>| 59   | 0.00235  |    -     | 0.00214  |0.04739  |    -     | 0.04770  |</t>
  </si>
  <si>
    <t>| 60   | 0.00239  |    -     | 0.00220  |0.04746  |    -     | 0.04766  |</t>
  </si>
  <si>
    <t>| 61   | 0.00237  |    -     | 0.00222  |0.04357  |    -     | 0.04760  |</t>
  </si>
  <si>
    <t>| 62   | 0.00231  |    -     | 0.00217  |0.04480  |    -     | 0.04416  |</t>
  </si>
  <si>
    <t>| 63   | 0.00228  |    -     | 0.00218  |0.04746  |    -     | 0.04758  |</t>
  </si>
  <si>
    <t>| 64   | 0.00232  |    -     | 0.00219  |0.04741  |    -     | 0.04765  |</t>
  </si>
  <si>
    <t>| 65   | 0.00236  |    -     | 0.00225  |0.04748  |    -     | 0.04760  |</t>
  </si>
  <si>
    <t>| 66   | 0.00236  |    -     | 0.00218  |0.04750  |    -     | 0.04765  |</t>
  </si>
  <si>
    <t>| 67   | 0.00235  |    -     | 0.00219  |0.04747  |    -     | 0.04759  |</t>
  </si>
  <si>
    <t>| 68   | 0.00231  |    -     | 0.00211  |0.04747  |    -     | 0.04763  |</t>
  </si>
  <si>
    <t>| 69   | 0.00235  |    -     | 0.00216  |0.04746  |    -     | 0.04761  |</t>
  </si>
  <si>
    <t>| 70   | 0.00238  |    -     | 0.00222  |0.04749  |    -     | 0.04763  |</t>
  </si>
  <si>
    <t>| 71   | 0.00231  |    -     | 0.00218  |0.04378  |    -     | 0.04761  |</t>
  </si>
  <si>
    <t>| 72   | 0.00238  |    -     | 0.00215  |0.04163  |    -     | 0.04644  |</t>
  </si>
  <si>
    <t>| 73   | 0.00231  |    -     | 0.00220  |0.04732  |    -     | 0.04491  |</t>
  </si>
  <si>
    <t>| 74   | 0.00230  |    -     | 0.00213  |0.04739  |    -     | 0.04764  |</t>
  </si>
  <si>
    <t>| 75   | 0.00234  |    -     | 0.00218  |0.04752  |    -     | 0.04763  |</t>
  </si>
  <si>
    <t>| 76   | 0.00238  |    -     | 0.00216  |0.04644  |    -     | 0.04773  |</t>
  </si>
  <si>
    <t>| 77   | 0.00238  |    -     | 0.00221  |0.04747  |    -     | 0.04757  |</t>
  </si>
  <si>
    <t>| 78   | 0.00233  |    -     | 0.00212  |0.04750  |    -     | 0.04763  |</t>
  </si>
  <si>
    <t>| 79   | 0.00230  |    -     | 0.00209  |0.04733  |    -     | 0.04742  |</t>
  </si>
  <si>
    <t>| 80   | 0.00223  |    -     | 0.00219  |0.04748  |    -     | 0.04134  |</t>
  </si>
  <si>
    <t>| 81   | 0.00233  |    -     | 0.00228  |0.04745  |    -     | 0.04849  |</t>
  </si>
  <si>
    <t>| 82   | 0.00232  |    -     | 0.00219  |0.04741  |    -     | 0.04638  |</t>
  </si>
  <si>
    <t>| 83   | 0.00236  |    -     | 0.00216  |0.04748  |    -     | 0.04773  |</t>
  </si>
  <si>
    <t>| 84   | 0.00236  |    -     | 0.00215  |0.04746  |    -     | 0.04756  |</t>
  </si>
  <si>
    <t>| 85   | 0.00233  |    -     | 0.00219  |0.04422  |    -     | 0.04760  |</t>
  </si>
  <si>
    <t>| 86   | 0.00232  |    -     | 0.00218  |0.04752  |    -     | 0.04610  |</t>
  </si>
  <si>
    <t>| 87   | 0.00239  |    -     | 0.00217  |0.04747  |    -     | 0.04765  |</t>
  </si>
  <si>
    <t>| 88   | 0.00239  |    -     | 0.00210  |0.04704  |    -     | 0.04759  |</t>
  </si>
  <si>
    <t>| 89   | 0.00233  |    -     | 0.00218  |0.04749  |    -     | 0.04762  |</t>
  </si>
  <si>
    <t>| 90   | 0.00244  |    -     | 0.00220  |0.04739  |    -     | 0.04757  |</t>
  </si>
  <si>
    <t>| 91   | 0.00237  |    -     | 0.00218  |0.04745  |    -     | 0.04762  |</t>
  </si>
  <si>
    <t>| 92   | 0.00243  |    -     | 0.00221  |0.04745  |    -     | 0.04730  |</t>
  </si>
  <si>
    <t>| 93   | 0.00242  |    -     | 0.00219  |0.04301  |    -     | 0.04755  |</t>
  </si>
  <si>
    <t>| 94   | 0.00236  |    -     | 0.00224  |0.04743  |    -     | 0.04750  |</t>
  </si>
  <si>
    <t>| 95   | 0.00230  |    -     | 0.00209  |0.04529  |    -     | 0.04754  |</t>
  </si>
  <si>
    <t>| 96   | 0.00231  |    -     | 0.00206  |0.04438  |    -     | 0.04425  |</t>
  </si>
  <si>
    <t>| 97   | 0.00226  |    -     | 0.00205  |0.04728  |    -     | 0.04746  |</t>
  </si>
  <si>
    <t>| 98   | 0.00223  |    -     | 0.00204  |0.04725  |    -     | 0.04743  |</t>
  </si>
  <si>
    <t>| 99   | 0.00222  |    -     | 0.00206  |0.04727  |    -     | 0.04240  |</t>
  </si>
  <si>
    <t>| 100  | 0.00222  |    -     | 0.00206  |0.04413  |    -     | 0.04738  |</t>
  </si>
  <si>
    <t>| 101  | 0.00223  |    -     | 0.00206  |0.04251  |    -     | 0.04740  |</t>
  </si>
  <si>
    <t>| 102  | 0.00227  |    -     | 0.00205  |0.04668  |    -     | 0.04742  |</t>
  </si>
  <si>
    <t>| 103  | 0.00222  |    -     | 0.00205  |0.04721  |    -     | 0.04744  |</t>
  </si>
  <si>
    <t>| 104  | 0.00224  |    -     | 0.00204  |0.04726  |    -     | 0.04559  |</t>
  </si>
  <si>
    <t>| 105  | 0.00228  |    -     | 0.00208  |0.04731  |    -     | 0.04071  |</t>
  </si>
  <si>
    <t>| 106  | 0.00242  |    -     | 0.00223  |0.04742  |    -     | 0.04758  |</t>
  </si>
  <si>
    <t>| 107  | 0.00244  |    -     | 0.00221  |0.04745  |    -     | 0.04760  |</t>
  </si>
  <si>
    <t>| 108  | 0.00237  |    -     | 0.00222  |0.04736  |    -     | 0.04754  |</t>
  </si>
  <si>
    <t>| 109  | 0.00234  |    -     | 0.00217  |0.04749  |    -     | 0.04759  |</t>
  </si>
  <si>
    <t>| 110  | 0.00231  |    -     | 0.00225  |0.04747  |    -     | 0.04761  |</t>
  </si>
  <si>
    <t>| 111  | 0.00221  |    -     | 0.00210  |0.04741  |    -     | 0.04762  |</t>
  </si>
  <si>
    <t>| 112  | 0.00235  |    -     | 0.00228  |0.04753  |    -     | 0.04767  |</t>
  </si>
  <si>
    <t>| 113  | 0.00234  |    -     | 0.00213  |0.04747  |    -     | 0.04768  |</t>
  </si>
  <si>
    <t>| 114  | 0.00226  |    -     | 0.00216  |0.04746  |    -     | 0.04756  |</t>
  </si>
  <si>
    <t>| 115  | 0.00235  |    -     | 0.00223  |0.04742  |    -     | 0.04765  |</t>
  </si>
  <si>
    <t>| 116  | 0.00235  |    -     | 0.00217  |0.04742  |    -     | 0.04762  |</t>
  </si>
  <si>
    <t>| 117  | 0.00231  |    -     | 0.00219  |0.04705  |    -     | 0.04764  |</t>
  </si>
  <si>
    <t>| 118  | 0.00240  |    -     | 0.00218  |0.04739  |    -     | 0.04768  |</t>
  </si>
  <si>
    <t>| 119  | 0.00241  |    -     | 0.00223  |0.04748  |    -     | 0.04761  |</t>
  </si>
  <si>
    <t>| 120  | 0.00235  |    -     | 0.00217  |0.04744  |    -     | 0.04763  |</t>
  </si>
  <si>
    <t>| 121  | 0.00241  |    -     | 0.00222  |0.04740  |    -     | 0.04757  |</t>
  </si>
  <si>
    <t>| 122  | 0.00240  |    -     | 0.00220  |0.04654  |    -     | 0.04764  |</t>
  </si>
  <si>
    <t>| 123  | 0.00245  |    -     | 0.00223  |0.04740  |    -     | 0.04768  |</t>
  </si>
  <si>
    <t>| 124  | 0.00243  |    -     | 0.00220  |0.04745  |    -     | 0.04760  |</t>
  </si>
  <si>
    <t>| 125  | 0.00237  |    -     | 0.00215  |0.04749  |    -     | 0.04763  |</t>
  </si>
  <si>
    <t>| 126  | 0.00241  |    -     | 0.00221  |0.04741  |    -     | 0.04764  |</t>
  </si>
  <si>
    <t>| 127  | 0.00230  |    -     | 0.00218  |0.04133  |    -     | 0.04756  |</t>
  </si>
  <si>
    <t>| 128  | 0.00230  |    -     | 0.00219  |0.04744  |    -     | 0.04756  |</t>
  </si>
  <si>
    <t>| 129  | 0.00235  |    -     | 0.00221  |0.04095  |    -     | 0.04681  |</t>
  </si>
  <si>
    <t>| 130  | 0.00237  |    -     | 0.00225  |0.04741  |    -     | 0.04771  |</t>
  </si>
  <si>
    <t>| 131  | 0.00232  |    -     | 0.00218  |0.04739  |    -     | 0.04763  |</t>
  </si>
  <si>
    <t>| 132  | 0.00239  |    -     | 0.00216  |0.04686  |    -     | 0.04248  |</t>
  </si>
  <si>
    <t>| 133  | 0.00223  |    -     | 0.00209  |0.04738  |    -     | 0.04430  |</t>
  </si>
  <si>
    <t>| 134  | 0.00227  |    -     | 0.00216  |0.04741  |    -     | 0.04760  |</t>
  </si>
  <si>
    <t>| 135  | 0.00223  |    -     | 0.00208  |0.04731  |    -     | 0.04750  |</t>
  </si>
  <si>
    <t>| 136  | 0.00237  |    -     | 0.00217  |0.04738  |    -     | 0.04736  |</t>
  </si>
  <si>
    <t>| 137  | 0.00240  |    -     | 0.00215  |0.04743  |    -     | 0.04766  |</t>
  </si>
  <si>
    <t>| 138  | 0.00227  |    -     | 0.00233  |0.04749  |    -     | 0.04765  |</t>
  </si>
  <si>
    <t>| 139  | 0.00241  |    -     | 0.00219  |0.04747  |    -     | 0.04756  |</t>
  </si>
  <si>
    <t>| 140  | 0.00235  |    -     | 0.00217  |0.04744  |    -     | 0.04766  |</t>
  </si>
  <si>
    <t>| 141  | 0.00242  |    -     | 0.00221  |0.04746  |    -     | 0.04432  |</t>
  </si>
  <si>
    <t>| 142  | 0.00252  |    -     | 0.00231  |0.03616  |    -     | 0.04777  |</t>
  </si>
  <si>
    <t>| 143  | 0.00238  |    -     | 0.00220  |0.04751  |    -     | 0.04768  |</t>
  </si>
  <si>
    <t>| 144  | 0.00239  |    -     | 0.00217  |0.04728  |    -     | 0.04763  |</t>
  </si>
  <si>
    <t>| 145  | 0.00239  |    -     | 0.00221  |0.04743  |    -     | 0.04743  |</t>
  </si>
  <si>
    <t>| 146  | 0.00225  |    -     | 0.00208  |0.04730  |    -     | 0.04749  |</t>
  </si>
  <si>
    <t>| 147  | 0.00222  |    -     | 0.00207  |0.04726  |    -     | 0.04372  |</t>
  </si>
  <si>
    <t>| 148  | 0.00228  |    -     | 0.00207  |0.04731  |    -     | 0.04750  |</t>
  </si>
  <si>
    <t>| 149  | 0.00225  |    -     | 0.00206  |0.04728  |    -     | 0.04253  |</t>
  </si>
  <si>
    <t>| 150  | 0.00223  |    -     | 0.00203  |0.04722  |    -     | 0.04737  |</t>
  </si>
  <si>
    <t>| 151  | 0.00222  |    -     | 0.00204  |0.04726  |    -     | 0.04744  |</t>
  </si>
  <si>
    <t>| 152  | 0.00221  |    -     | 0.00205  |0.04726  |    -     | 0.04150  |</t>
  </si>
  <si>
    <t>| 153  | 0.00227  |    -     | 0.00206  |0.04727  |    -     | 0.04747  |</t>
  </si>
  <si>
    <t>| 154  | 0.00232  |    -     | 0.00209  |0.04737  |    -     | 0.04179  |</t>
  </si>
  <si>
    <t>| 155  | 0.00279  |    -     | 0.00227  |0.04739  |    -     | 0.04410  |</t>
  </si>
  <si>
    <t>| 156  | 0.00227  |    -     | 0.00207  |0.04729  |    -     | 0.04749  |</t>
  </si>
  <si>
    <t>| 157  | 0.00251  |    -     | 0.00219  |0.04377  |    -     | 0.04475  |</t>
  </si>
  <si>
    <t>| 158  | 0.00249  |    -     | 0.00222  |0.04745  |    -     | 0.04772  |</t>
  </si>
  <si>
    <t>| 159  | 0.00235  |    -     | 0.00220  |0.04639  |    -     | 0.04767  |</t>
  </si>
  <si>
    <t>| 160  | 0.00237  |    -     | 0.00215  |0.04747  |    -     | 0.04759  |</t>
  </si>
  <si>
    <t>| 161  | 0.00242  |    -     | 0.00221  |0.04743  |    -     | 0.04764  |</t>
  </si>
  <si>
    <t>| 162  | 0.00233  |    -     | 0.00219  |0.04571  |    -     | 0.04659  |</t>
  </si>
  <si>
    <t>| 163  | 0.00232  |    -     | 0.00219  |0.04365  |    -     | 0.04412  |</t>
  </si>
  <si>
    <t>| 164  | 0.00227  |    -     | 0.00223  |0.04739  |    -     | 0.04694  |</t>
  </si>
  <si>
    <t>| 165  | 0.00239  |    -     | 0.00221  |0.04740  |    -     | 0.04756  |</t>
  </si>
  <si>
    <t>| 166  | 0.00231  |    -     | 0.00220  |0.04744  |    -     | 0.04753  |</t>
  </si>
  <si>
    <t>| 167  | 0.00244  |    -     | 0.00223  |0.04736  |    -     | 0.04757  |</t>
  </si>
  <si>
    <t>| 168  | 0.00239  |    -     | 0.00225  |0.04752  |    -     | 0.04767  |</t>
  </si>
  <si>
    <t>| 169  | 0.00234  |    -     | 0.00222  |0.04742  |    -     | 0.04761  |</t>
  </si>
  <si>
    <t>| 170  | 0.00242  |    -     | 0.00221  |0.04744  |    -     | 0.04472  |</t>
  </si>
  <si>
    <t>| 171  | 0.00241  |    -     | 0.00217  |0.04738  |    -     | 0.04767  |</t>
  </si>
  <si>
    <t>| 172  | 0.00236  |    -     | 0.00218  |0.04745  |    -     | 0.04764  |</t>
  </si>
  <si>
    <t>| 173  | 0.00241  |    -     | 0.00220  |0.04671  |    -     | 0.04762  |</t>
  </si>
  <si>
    <t>| 174  | 0.00229  |    -     | 0.00211  |0.04743  |    -     | 0.04773  |</t>
  </si>
  <si>
    <t>| 175  | 0.00241  |    -     | 0.00223  |0.04737  |    -     | 0.04763  |</t>
  </si>
  <si>
    <t>| 176  | 0.00234  |    -     | 0.00221  |0.04742  |    -     | 0.04772  |</t>
  </si>
  <si>
    <t>| 177  | 0.00241  |    -     | 0.00219  |0.04742  |    -     | 0.04761  |</t>
  </si>
  <si>
    <t>| 178  | 0.00229  |    -     | 0.00222  |0.04747  |    -     | 0.04759  |</t>
  </si>
  <si>
    <t>| 179  | 0.00242  |    -     | 0.00225  |0.04745  |    -     | 0.04764  |</t>
  </si>
  <si>
    <t>| 180  | 0.00241  |    -     | 0.00222  |0.04744  |    -     | 0.04762  |</t>
  </si>
  <si>
    <t>| 181  | 0.00228  |    -     | 0.00225  |0.04748  |    -     | 0.04414  |</t>
  </si>
  <si>
    <t>| 182  | 0.00233  |    -     | 0.00217  |0.04743  |    -     | 0.04761  |</t>
  </si>
  <si>
    <t>| 183  | 0.00231  |    -     | 0.00212  |0.04392  |    -     | 0.04763  |</t>
  </si>
  <si>
    <t>| 184  | 0.00230  |    -     | 0.00211  |0.04738  |    -     | 0.04767  |</t>
  </si>
  <si>
    <t>| 185  | 0.00236  |    -     | 0.00221  |0.04666  |    -     | 0.04755  |</t>
  </si>
  <si>
    <t>| 186  | 0.00229  |    -     | 0.00218  |0.04742  |    -     | 0.04760  |</t>
  </si>
  <si>
    <t>| 187  | 0.00231  |    -     | 0.00215  |0.04745  |    -     | 0.04758  |</t>
  </si>
  <si>
    <t>| 188  | 0.00234  |    -     | 0.00220  |0.04739  |    -     | 0.04763  |</t>
  </si>
  <si>
    <t>| 189  | 0.00234  |    -     | 0.00217  |0.04748  |    -     | 0.03926  |</t>
  </si>
  <si>
    <t>| 190  | 0.00225  |    -     | 0.00208  |0.04731  |    -     | 0.04752  |</t>
  </si>
  <si>
    <t>| 191  | 0.00223  |    -     | 0.00209  |0.04403  |    -     | 0.04763  |</t>
  </si>
  <si>
    <t>| 192  | 0.00241  |    -     | 0.00221  |0.04750  |    -     | 0.04757  |</t>
  </si>
  <si>
    <t>| 193  | 0.00238  |    -     | 0.00224  |0.04747  |    -     | 0.04771  |</t>
  </si>
  <si>
    <t>| 194  | 0.00232  |    -     | 0.00227  |0.04750  |    -     | 0.04769  |</t>
  </si>
  <si>
    <t>| 195  | 0.00237  |    -     | 0.00223  |0.04740  |    -     | 0.04784  |</t>
  </si>
  <si>
    <t>| 196  | 0.00241  |    -     | 0.00227  |0.04738  |    -     | 0.04751  |</t>
  </si>
  <si>
    <t>| 197  | 0.00227  |    -     | 0.00205  |0.04731  |    -     | 0.04750  |</t>
  </si>
  <si>
    <t>| 198  | 0.00225  |    -     | 0.00209  |0.04149  |    -     | 0.04750  |</t>
  </si>
  <si>
    <t>| 199  | 0.00226  |    -     | 0.00205  |0.04718  |    -     | 0.04746  |</t>
  </si>
  <si>
    <t>| 200  | 0.00223  |    -     | 0.00205  |0.04725  |    -     | 0.04746  |</t>
  </si>
  <si>
    <t>| 201  | 0.00224  |    -     | 0.00207  |0.04727  |    -     | 0.04053  |</t>
  </si>
  <si>
    <t>| 202  | 0.00224  |    -     | 0.00206  |0.04725  |    -     | 0.04746  |</t>
  </si>
  <si>
    <t>| 203  | 0.00224  |    -     | 0.00204  |0.04724  |    -     | 0.04750  |</t>
  </si>
  <si>
    <t>| 204  | 0.00226  |    -     | 0.00205  |0.04727  |    -     | 0.04744  |</t>
  </si>
  <si>
    <t>| 205  | 0.00222  |    -     | 0.00206  |0.04727  |    -     | 0.04748  |</t>
  </si>
  <si>
    <t>| 206  | 0.00225  |    -     | 0.00206  |0.04726  |    -     | 0.04749  |</t>
  </si>
  <si>
    <t>| 207  | 0.00226  |    -     | 0.00206  |0.04725  |    -     | 0.04747  |</t>
  </si>
  <si>
    <t>| 208  | 0.00225  |    -     | 0.00204  |0.04724  |    -     | 0.04757  |</t>
  </si>
  <si>
    <t>| 209  | 0.00224  |    -     | 0.00216  |0.04748  |    -     | 0.04753  |</t>
  </si>
  <si>
    <t>| 210  | 0.00227  |    -     | 0.00210  |0.04726  |    -     | 0.04759  |</t>
  </si>
  <si>
    <t>| 211  | 0.00228  |    -     | 0.00221  |0.04733  |    -     | 0.04757  |</t>
  </si>
  <si>
    <t>| 212  | 0.00242  |    -     | 0.00227  |0.04714  |    -     | 0.04770  |</t>
  </si>
  <si>
    <t>| 213  | 0.00241  |    -     | 0.00222  |0.04749  |    -     | 0.04767  |</t>
  </si>
  <si>
    <t>| 214  | 0.00240  |    -     | 0.00220  |0.04748  |    -     | 0.04758  |</t>
  </si>
  <si>
    <t>| 215  | 0.00227  |    -     | 0.00211  |0.04741  |    -     | 0.04603  |</t>
  </si>
  <si>
    <t>| 216  | 0.00229  |    -     | 0.00224  |0.04745  |    -     | 0.04758  |</t>
  </si>
  <si>
    <t>| 217  | 0.00233  |    -     | 0.00219  |0.04745  |    -     | 0.04754  |</t>
  </si>
  <si>
    <t>| 218  | 0.00222  |    -     | 0.00210  |0.04366  |    -     | 0.04214  |</t>
  </si>
  <si>
    <t>| 219  | 0.00235  |    -     | 0.00222  |0.04744  |    -     | 0.04763  |</t>
  </si>
  <si>
    <t>| 220  | 0.00240  |    -     | 0.00212  |0.04740  |    -     | 0.04757  |</t>
  </si>
  <si>
    <t>| 221  | 0.00240  |    -     | 0.00220  |0.04739  |    -     | 0.04490  |</t>
  </si>
  <si>
    <t>| 222  | 0.00236  |    -     | 0.00219  |0.04740  |    -     | 0.04765  |</t>
  </si>
  <si>
    <t>| 223  | 0.00234  |    -     | 0.00216  |0.04538  |    -     | 0.04529  |</t>
  </si>
  <si>
    <t>| 224  | 0.00238  |    -     | 0.00214  |0.04738  |    -     | 0.04760  |</t>
  </si>
  <si>
    <t>| 225  | 0.00238  |    -     | 0.00217  |0.04744  |    -     | 0.04756  |</t>
  </si>
  <si>
    <t>| 226  | 0.00223  |    -     | 0.00216  |0.04742  |    -     | 0.03961  |</t>
  </si>
  <si>
    <t>| 227  | 0.00236  |    -     | 0.00212  |0.04726  |    -     | 0.04743  |</t>
  </si>
  <si>
    <t>| 228  | 0.00217  |    -     | 0.00206  |0.04735  |    -     | 0.04765  |</t>
  </si>
  <si>
    <t>| 229  | 0.00232  |    -     | 0.00221  |0.04735  |    -     | 0.04751  |</t>
  </si>
  <si>
    <t>| 230  | 0.00241  |    -     | 0.00221  |0.04736  |    -     | 0.04761  |</t>
  </si>
  <si>
    <t>| 231  | 0.00239  |    -     | 0.00225  |0.04742  |    -     | 0.04745  |</t>
  </si>
  <si>
    <t>| 232  | 0.00221  |    -     | 0.00208  |0.04729  |    -     | 0.04749  |</t>
  </si>
  <si>
    <t>| 233  | 0.00225  |    -     | 0.00205  |0.04726  |    -     | 0.04735  |</t>
  </si>
  <si>
    <t>| 234  | 0.00226  |    -     | 0.00205  |0.04721  |    -     | 0.04734  |</t>
  </si>
  <si>
    <t>| 235  | 0.00219  |    -     | 0.00206  |0.04721  |    -     | 0.04750  |</t>
  </si>
  <si>
    <t>| 236  | 0.00222  |    -     | 0.00216  |0.04765  |    -     | 0.04785  |</t>
  </si>
  <si>
    <t>| 237  | 0.00240  |    -     | 0.00218  |0.04747  |    -     | 0.04766  |</t>
  </si>
  <si>
    <t>| 238  | 0.00244  |    -     | 0.00219  |0.04747  |    -     | 0.04764  |</t>
  </si>
  <si>
    <t>| 239  | 0.00238  |    -     | 0.00212  |0.04750  |    -     | 0.04760  |</t>
  </si>
  <si>
    <t>| 240  | 0.00242  |    -     | 0.00223  |0.04568  |    -     | 0.04024  |</t>
  </si>
  <si>
    <t>| 241  | 0.00222  |    -     | 0.00213  |0.04744  |    -     | 0.04763  |</t>
  </si>
  <si>
    <t>| 242  | 0.00234  |    -     | 0.00217  |0.04748  |    -     | 0.04763  |</t>
  </si>
  <si>
    <t>| 243  | 0.00240  |    -     | 0.00221  |0.04747  |    -     | 0.04761  |</t>
  </si>
  <si>
    <t>| 244  | 0.00232  |    -     | 0.00217  |0.04490  |    -     | 0.04760  |</t>
  </si>
  <si>
    <t>| 245  | 0.00234  |    -     | 0.00218  |0.04739  |    -     | 0.04751  |</t>
  </si>
  <si>
    <t>| 246  | 0.00224  |    -     | 0.00205  |0.04097  |    -     | 0.04763  |</t>
  </si>
  <si>
    <t>| 247  | 0.00219  |    -     | 0.00208  |0.04735  |    -     | 0.04747  |</t>
  </si>
  <si>
    <t>| 248  | 0.00222  |    -     | 0.00203  |0.04725  |    -     | 0.04742  |</t>
  </si>
  <si>
    <t>| 249  | 0.00222  |    -     | 0.00204  |0.04244  |    -     | 0.04760  |</t>
  </si>
  <si>
    <t>| 250  | 0.00225  |    -     | 0.00208  |0.04723  |    -     | 0.04744  |</t>
  </si>
  <si>
    <t>| 251  | 0.00223  |    -     | 0.00208  |0.04726  |    -     | 0.04744  |</t>
  </si>
  <si>
    <t>| 252  | 0.00222  |    -     | 0.00207  |0.04728  |    -     | 0.04747  |</t>
  </si>
  <si>
    <t>| 253  | 0.00226  |    -     | 0.00209  |0.04723  |    -     | 0.04745  |</t>
  </si>
  <si>
    <t>| 254  | 0.00223  |    -     | 0.00208  |0.04230  |    -     | 0.04744  |</t>
  </si>
  <si>
    <t>| 255  | 0.00225  |    -     | 0.00209  |0.04320  |    -     | 0.04461  |</t>
  </si>
  <si>
    <t>| 256  | 0.00225  |    -     | 0.00206  |0.04729  |    -     | 0.04748  |</t>
  </si>
  <si>
    <t>| 257  | 0.00230  |    -     | 0.00207  |0.04734  |    -     | 0.04756  |</t>
  </si>
  <si>
    <t>| 258  | 0.00226  |    -     | 0.00206  |0.04151  |    -     | 0.04632  |</t>
  </si>
  <si>
    <t>| 259  | 0.00234  |    -     | 0.00223  |0.04061  |    -     | 0.04761  |</t>
  </si>
  <si>
    <t>| 260  | 0.00238  |    -     | 0.00215  |0.04745  |    -     | 0.04754  |</t>
  </si>
  <si>
    <t>| 261  | 0.00236  |    -     | 0.00218  |0.04744  |    -     | 0.04758  |</t>
  </si>
  <si>
    <t>| 262  | 0.00245  |    -     | 0.00222  |0.04747  |    -     | 0.04760  |</t>
  </si>
  <si>
    <t>| 263  | 0.00234  |    -     | 0.00218  |0.04748  |    -     | 0.04284  |</t>
  </si>
  <si>
    <t>| 264  | 0.00229  |    -     | 0.00211  |0.04744  |    -     | 0.04766  |</t>
  </si>
  <si>
    <t>| 265  | 0.00245  |    -     | 0.00219  |0.04555  |    -     | 0.04762  |</t>
  </si>
  <si>
    <t>| 266  | 0.00225  |    -     | 0.00221  |0.04676  |    -     | 0.04773  |</t>
  </si>
  <si>
    <t>| 267  | 0.00234  |    -     | 0.00225  |0.04154  |    -     | 0.04758  |</t>
  </si>
  <si>
    <t>| 268  | 0.00232  |    -     | 0.00221  |0.04735  |    -     | 0.04749  |</t>
  </si>
  <si>
    <t>| 269  | 0.00236  |    -     | 0.00217  |0.04744  |    -     | 0.04025  |</t>
  </si>
  <si>
    <t>| 270  | 0.00235  |    -     | 0.00219  |0.04739  |    -     | 0.04767  |</t>
  </si>
  <si>
    <t>| 271  | 0.00233  |    -     | 0.00213  |0.04562  |    -     | 0.04752  |</t>
  </si>
  <si>
    <t>| 272  | 0.00237  |    -     | 0.00218  |0.04746  |    -     | 0.04758  |</t>
  </si>
  <si>
    <t>| 273  | 0.00228  |    -     | 0.00218  |0.04745  |    -     | 0.04753  |</t>
  </si>
  <si>
    <t>| 274  | 0.00237  |    -     | 0.00216  |0.04747  |    -     | 0.04243  |</t>
  </si>
  <si>
    <t>| 275  | 0.00231  |    -     | 0.00214  |0.04740  |    -     | 0.04760  |</t>
  </si>
  <si>
    <t>| 276  | 0.00232  |    -     | 0.00217  |0.04745  |    -     | 0.04776  |</t>
  </si>
  <si>
    <t>| 277  | 0.00238  |    -     | 0.00214  |0.04744  |    -     | 0.04758  |</t>
  </si>
  <si>
    <t>| 278  | 0.00235  |    -     | 0.00215  |0.04739  |    -     | 0.04762  |</t>
  </si>
  <si>
    <t>| 279  | 0.00236  |    -     | 0.00216  |0.04739  |    -     | 0.04079  |</t>
  </si>
  <si>
    <t>| 280  | 0.00233  |    -     | 0.00215  |0.04746  |    -     | 0.04764  |</t>
  </si>
  <si>
    <t>| 281  | 0.00237  |    -     | 0.00224  |0.04737  |    -     | 0.04368  |</t>
  </si>
  <si>
    <t>| 282  | 0.00241  |    -     | 0.00220  |0.04746  |    -     | 0.04759  |</t>
  </si>
  <si>
    <t>| 283  | 0.00235  |    -     | 0.00215  |0.04745  |    -     | 0.04768  |</t>
  </si>
  <si>
    <t>| 284  | 0.00238  |    -     | 0.00219  |0.04745  |    -     | 0.04763  |</t>
  </si>
  <si>
    <t>| 285  | 0.00231  |    -     | 0.00216  |0.04629  |    -     | 0.04765  |</t>
  </si>
  <si>
    <t>| 286  | 0.00241  |    -     | 0.00219  |0.04544  |    -     | 0.04760  |</t>
  </si>
  <si>
    <t>| 287  | 0.00239  |    -     | 0.00221  |0.04739  |    -     | 0.04755  |</t>
  </si>
  <si>
    <t>| 288  | 0.00235  |    -     | 0.00222  |0.04734  |    -     | 0.04442  |</t>
  </si>
  <si>
    <t>| 289  | 0.00232  |    -     | 0.00217  |0.04740  |    -     | 0.04762  |</t>
  </si>
  <si>
    <t>| 290  | 0.00232  |    -     | 0.00216  |0.04701  |    -     | 0.04757  |</t>
  </si>
  <si>
    <t>| 291  | 0.00237  |    -     | 0.00215  |0.04744  |    -     | 0.04536  |</t>
  </si>
  <si>
    <t>| 292  | 0.00238  |    -     | 0.00224  |0.04735  |    -     | 0.04748  |</t>
  </si>
  <si>
    <t>| 293  | 0.00230  |    -     | 0.00220  |0.04742  |    -     | 0.04750  |</t>
  </si>
  <si>
    <t>| 294  | 0.00235  |    -     | 0.00219  |0.04747  |    -     | 0.04762  |</t>
  </si>
  <si>
    <t>| 295  | 0.00232  |    -     | 0.00216  |0.04741  |    -     | 0.04762  |</t>
  </si>
  <si>
    <t>| 296  | 0.00240  |    -     | 0.00221  |0.04740  |    -     | 0.04759  |</t>
  </si>
  <si>
    <t>| 297  | 0.00238  |    -     | 0.00219  |0.04745  |    -     | 0.04751  |</t>
  </si>
  <si>
    <t>| 298  | 0.00218  |    -     | 0.00207  |0.04729  |    -     | 0.04745  |</t>
  </si>
  <si>
    <t>| 299  | 0.00236  |    -     | 0.00223  |0.04746  |    -     | 0.04749  |</t>
  </si>
  <si>
    <t>| 300  | 0.00225  |    -     | 0.00213  |0.04761  |    -     | 0.04305  |</t>
  </si>
  <si>
    <t>| 301  | 0.00238  |    -     | 0.00218  |0.04737  |    -     | 0.04745  |</t>
  </si>
  <si>
    <t>| 302  | 0.00224  |    -     | 0.00208  |0.04735  |    -     | 0.04765  |</t>
  </si>
  <si>
    <t>| 303  | 0.00236  |    -     | 0.00216  |0.04734  |    -     | 0.04757  |</t>
  </si>
  <si>
    <t>| 304  | 0.00239  |    -     | 0.00218  |0.04741  |    -     | 0.04753  |</t>
  </si>
  <si>
    <t>| 305  | 0.00236  |    -     | 0.00219  |0.04733  |    -     | 0.04775  |</t>
  </si>
  <si>
    <t>| 306  | 0.00232  |    -     | 0.00217  |0.04740  |    -     | 0.04442  |</t>
  </si>
  <si>
    <t>| 307  | 0.00230  |    -     | 0.00227  |0.04742  |    -     | 0.04750  |</t>
  </si>
  <si>
    <t>| 308  | 0.00238  |    -     | 0.00227  |0.04744  |    -     | 0.04755  |</t>
  </si>
  <si>
    <t>| 309  | 0.00238  |    -     | 0.00219  |0.04745  |    -     | 0.04764  |</t>
  </si>
  <si>
    <t>| 310  | 0.00246  |    -     | 0.00222  |0.04237  |    -     | 0.04769  |</t>
  </si>
  <si>
    <t>| 311  | 0.00239  |    -     | 0.00221  |0.04747  |    -     | 0.03967  |</t>
  </si>
  <si>
    <t>| 312  | 0.00236  |    -     | 0.00220  |0.04073  |    -     | 0.04608  |</t>
  </si>
  <si>
    <t>| 313  | 0.00237  |    -     | 0.00213  |0.04752  |    -     | 0.04761  |</t>
  </si>
  <si>
    <t>| 314  | 0.00237  |    -     | 0.00226  |0.04743  |    -     | 0.04185  |</t>
  </si>
  <si>
    <t>| 315  | 0.00225  |    -     | 0.00211  |0.04737  |    -     | 0.04069  |</t>
  </si>
  <si>
    <t>| 316  | 0.00216  |    -     | 0.00236  |0.04739  |    -     | 0.04426  |</t>
  </si>
  <si>
    <t>| 317  | 0.00242  |    -     | 0.00220  |0.04751  |    -     | 0.04765  |</t>
  </si>
  <si>
    <t>| 318  | 0.00237  |    -     | 0.00214  |0.04752  |    -     | 0.04763  |</t>
  </si>
  <si>
    <t>| 319  | 0.00251  |    -     | 0.00217  |0.04751  |    -     | 0.04769  |</t>
  </si>
  <si>
    <t>| 320  | 0.00232  |    -     | 0.00219  |0.04750  |    -     | 0.04763  |</t>
  </si>
  <si>
    <t>| 321  | 0.00240  |    -     | 0.00220  |0.04681  |    -     | 0.04755  |</t>
  </si>
  <si>
    <t>| 322  | 0.00236  |    -     | 0.00225  |0.04238  |    -     | 0.04707  |</t>
  </si>
  <si>
    <t>| 323  | 0.00237  |    -     | 0.00238  |0.04111  |    -     | 0.04773  |</t>
  </si>
  <si>
    <t>| 324  | 0.00243  |    -     | 0.00229  |0.04753  |    -     | 0.04765  |</t>
  </si>
  <si>
    <t>| 325  | 0.00240  |    -     | 0.00215  |0.04153  |    -     | 0.04385  |</t>
  </si>
  <si>
    <t>| 326  | 0.00237  |    -     | 0.00221  |0.04755  |    -     | 0.04767  |</t>
  </si>
  <si>
    <t>| 327  | 0.00241  |    -     | 0.00224  |0.04745  |    -     | 0.04774  |</t>
  </si>
  <si>
    <t>| 328  | 0.00243  |    -     | 0.00226  |0.04752  |    -     | 0.04758  |</t>
  </si>
  <si>
    <t>| 329  | 0.00236  |    -     | 0.00217  |0.04741  |    -     | 0.04748  |</t>
  </si>
  <si>
    <t>| 330  | 0.00233  |    -     | 0.00228  |0.04750  |    -     | 0.04766  |</t>
  </si>
  <si>
    <t>| 331  | 0.00258  |    -     | 0.00238  |0.04602  |    -     | 0.04576  |</t>
  </si>
  <si>
    <t>| 332  | 0.00239  |    -     | 0.00217  |0.04737  |    -     | 0.04759  |</t>
  </si>
  <si>
    <t>| 333  | 0.00250  |    -     | 0.00215  |0.04744  |    -     | 0.04761  |</t>
  </si>
  <si>
    <t>| 334  | 0.00237  |    -     | 0.00219  |0.04744  |    -     | 0.04769  |</t>
  </si>
  <si>
    <t>| 335  | 0.00236  |    -     | 0.00225  |0.04740  |    -     | 0.04364  |</t>
  </si>
  <si>
    <t>| 336  | 0.00236  |    -     | 0.00223  |0.04038  |    -     | 0.04758  |</t>
  </si>
  <si>
    <t>| 337  | 0.00229  |    -     | 0.00219  |0.04735  |    -     | 0.04752  |</t>
  </si>
  <si>
    <t>| 338  | 0.00238  |    -     | 0.00223  |0.04734  |    -     | 0.04647  |</t>
  </si>
  <si>
    <t>| 339  | 0.00233  |    -     | 0.00221  |0.04729  |    -     | 0.04752  |</t>
  </si>
  <si>
    <t>| 340  | 0.00237  |    -     | 0.00222  |0.04744  |    -     | 0.04764  |</t>
  </si>
  <si>
    <t>| 341  | 0.00234  |    -     | 0.00219  |0.04640  |    -     | 0.04487  |</t>
  </si>
  <si>
    <t>| 342  | 0.00244  |    -     | 0.00219  |0.04741  |    -     | 0.04753  |</t>
  </si>
  <si>
    <t>| 343  | 0.00236  |    -     | 0.00217  |0.04751  |    -     | 0.04755  |</t>
  </si>
  <si>
    <t>| 344  | 0.00242  |    -     | 0.00223  |0.04747  |    -     | 0.04762  |</t>
  </si>
  <si>
    <t>| 345  | 0.00234  |    -     | 0.00215  |0.04746  |    -     | 0.04756  |</t>
  </si>
  <si>
    <t>| 346  | 0.00231  |    -     | 0.00206  |0.04420  |    -     | 0.04759  |</t>
  </si>
  <si>
    <t>| 347  | 0.00230  |    -     | 0.00219  |0.04738  |    -     | 0.04764  |</t>
  </si>
  <si>
    <t>| 348  | 0.00235  |    -     | 0.00227  |0.04747  |    -     | 0.04755  |</t>
  </si>
  <si>
    <t>| 349  | 0.00220  |    -     | 0.00208  |0.04730  |    -     | 0.04395  |</t>
  </si>
  <si>
    <t>| 350  | 0.00233  |    -     | 0.00219  |0.04741  |    -     | 0.04771  |</t>
  </si>
  <si>
    <t>| 351  | 0.00243  |    -     | 0.00221  |0.04747  |    -     | 0.04766  |</t>
  </si>
  <si>
    <t>| 352  | 0.00236  |    -     | 0.00218  |0.04737  |    -     | 0.04758  |</t>
  </si>
  <si>
    <t>| 353  | 0.00241  |    -     | 0.00222  |0.04745  |    -     | 0.04753  |</t>
  </si>
  <si>
    <t>| 354  | 0.00230  |    -     | 0.00221  |0.04747  |    -     | 0.04767  |</t>
  </si>
  <si>
    <t>| 355  | 0.00234  |    -     | 0.00216  |0.04742  |    -     | 0.04758  |</t>
  </si>
  <si>
    <t>| 356  | 0.00236  |    -     | 0.00214  |0.04745  |    -     | 0.04766  |</t>
  </si>
  <si>
    <t>| 357  | 0.00222  |    -     | 0.00209  |0.04725  |    -     | 0.04052  |</t>
  </si>
  <si>
    <t>| 358  | 0.00222  |    -     | 0.00209  |0.04731  |    -     | 0.04373  |</t>
  </si>
  <si>
    <t>| 359  | 0.00241  |    -     | 0.00214  |0.04748  |    -     | 0.04766  |</t>
  </si>
  <si>
    <t>| 360  | 0.00239  |    -     | 0.00221  |0.04749  |    -     | 0.04638  |</t>
  </si>
  <si>
    <t>| 361  | 0.00237  |    -     | 0.00226  |0.04364  |    -     | 0.04773  |</t>
  </si>
  <si>
    <t>| 362  | 0.00246  |    -     | 0.00219  |0.04755  |    -     | 0.04769  |</t>
  </si>
  <si>
    <t>| 363  | 0.00230  |    -     | 0.00213  |0.04749  |    -     | 0.04754  |</t>
  </si>
  <si>
    <t>| 364  | 0.00228  |    -     | 0.00217  |0.04746  |    -     | 0.04769  |</t>
  </si>
  <si>
    <t>| 365  | 0.00241  |    -     | 0.00222  |0.04748  |    -     | 0.04757  |</t>
  </si>
  <si>
    <t>| 366  | 0.00234  |    -     | 0.00220  |0.04750  |    -     | 0.04759  |</t>
  </si>
  <si>
    <t>| 367  | 0.00242  |    -     | 0.00221  |0.04748  |    -     | 0.04765  |</t>
  </si>
  <si>
    <t>| 368  | 0.00239  |    -     | 0.00223  |0.04748  |    -     | 0.04767  |</t>
  </si>
  <si>
    <t>| 369  | 0.00239  |    -     | 0.00219  |0.04498  |    -     | 0.04753  |</t>
  </si>
  <si>
    <t>| 370  | 0.00233  |    -     | 0.00219  |0.04738  |    -     | 0.04246  |</t>
  </si>
  <si>
    <t>| 371  | 0.00229  |    -     | 0.00219  |0.04696  |    -     | 0.04768  |</t>
  </si>
  <si>
    <t>| 372  | 0.00241  |    -     | 0.00215  |0.04744  |    -     | 0.04757  |</t>
  </si>
  <si>
    <t>| 373  | 0.00244  |    -     | 0.00228  |0.04749  |    -     | 0.04757  |</t>
  </si>
  <si>
    <t>| 374  | 0.00229  |    -     | 0.00218  |0.04746  |    -     | 0.04759  |</t>
  </si>
  <si>
    <t>| 375  | 0.00240  |    -     | 0.00222  |0.04750  |    -     | 0.04760  |</t>
  </si>
  <si>
    <t>| 376  | 0.00227  |    -     | 0.00222  |0.04752  |    -     | 0.04319  |</t>
  </si>
  <si>
    <t>| 377  | 0.00239  |    -     | 0.00215  |0.04746  |    -     | 0.04209  |</t>
  </si>
  <si>
    <t>| 378  | 0.00224  |    -     | 0.00207  |0.04715  |    -     | 0.04678  |</t>
  </si>
  <si>
    <t>| 379  | 0.00246  |    -     | 0.00220  |0.04738  |    -     | 0.04754  |</t>
  </si>
  <si>
    <t>| 380  | 0.00233  |    -     | 0.00226  |0.04746  |    -     | 0.04751  |</t>
  </si>
  <si>
    <t>| 381  | 0.00240  |    -     | 0.00221  |0.04750  |    -     | 0.04763  |</t>
  </si>
  <si>
    <t>| 382  | 0.00241  |    -     | 0.00226  |0.04748  |    -     | 0.04751  |</t>
  </si>
  <si>
    <t>| 383  | 0.00239  |    -     | 0.00223  |0.04748  |    -     | 0.04758  |</t>
  </si>
  <si>
    <t>| 384  | 0.00239  |    -     | 0.00219  |0.04744  |    -     | 0.03963  |</t>
  </si>
  <si>
    <t>| 385  | 0.00246  |    -     | 0.00240  |0.04258  |    -     | 0.04759  |</t>
  </si>
  <si>
    <t>| 386  | 0.00243  |    -     | 0.00225  |0.04751  |    -     | 0.04759  |</t>
  </si>
  <si>
    <t>| 387  | 0.00238  |    -     | 0.00224  |0.04746  |    -     | 0.04274  |</t>
  </si>
  <si>
    <t>| 388  | 0.00237  |    -     | 0.00220  |0.04378  |    -     | 0.04753  |</t>
  </si>
  <si>
    <t>| 389  | 0.00240  |    -     | 0.00230  |0.04758  |    -     | 0.04751  |</t>
  </si>
  <si>
    <t>| 390  | 0.00244  |    -     | 0.00226  |0.04734  |    -     | 0.04434  |</t>
  </si>
  <si>
    <t>| 391  | 0.00243  |    -     | 0.00224  |0.04743  |    -     | 0.04049  |</t>
  </si>
  <si>
    <t>| 392  | 0.00223  |    -     | 0.00227  |0.04748  |    -     | 0.04764  |</t>
  </si>
  <si>
    <t>| 393  | 0.00233  |    -     | 0.00221  |0.04749  |    -     | 0.04764  |</t>
  </si>
  <si>
    <t>| 394  | 0.00236  |    -     | 0.00222  |0.04747  |    -     | 0.04754  |</t>
  </si>
  <si>
    <t>| 395  | 0.00236  |    -     | 0.00218  |0.04749  |    -     | 0.04760  |</t>
  </si>
  <si>
    <t>| 396  | 0.00242  |    -     | 0.00221  |0.04749  |    -     | 0.04759  |</t>
  </si>
  <si>
    <t>| 397  | 0.00238  |    -     | 0.00223  |0.04642  |    -     | 0.04774  |</t>
  </si>
  <si>
    <t>| 398  | 0.00242  |    -     | 0.00223  |0.04740  |    -     | 0.04427  |</t>
  </si>
  <si>
    <t>| 399  | 0.00246  |    -     | 0.00234  |0.04751  |    -     | 0.04762  |</t>
  </si>
  <si>
    <t>| 400  | 0.00223  |    -     | 0.00209  |0.04491  |    -     | 0.04749  |</t>
  </si>
  <si>
    <t>| 401  | 0.00244  |    -     | 0.00215  |0.04757  |    -     | 0.04765  |</t>
  </si>
  <si>
    <t>| 402  | 0.00236  |    -     | 0.00218  |0.04744  |    -     | 0.04753  |</t>
  </si>
  <si>
    <t>| 403  | 0.00239  |    -     | 0.00215  |0.04738  |    -     | 0.04763  |</t>
  </si>
  <si>
    <t>| 404  | 0.00239  |    -     | 0.00229  |0.04745  |    -     | 0.04757  |</t>
  </si>
  <si>
    <t>| 405  | 0.00236  |    -     | 0.00222  |0.04738  |    -     | 0.04750  |</t>
  </si>
  <si>
    <t>| 406  | 0.00238  |    -     | 0.00223  |0.04749  |    -     | 0.04755  |</t>
  </si>
  <si>
    <t>| 407  | 0.00223  |    -     | 0.00210  |0.04744  |    -     | 0.04767  |</t>
  </si>
  <si>
    <t>| 408  | 0.00237  |    -     | 0.00221  |0.04069  |    -     | 0.04538  |</t>
  </si>
  <si>
    <t>| 409  | 0.00232  |    -     | 0.00224  |0.04591  |    -     | 0.04764  |</t>
  </si>
  <si>
    <t>| 410  | 0.00243  |    -     | 0.00222  |0.04751  |    -     | 0.04763  |</t>
  </si>
  <si>
    <t>| 411  | 0.00236  |    -     | 0.00226  |0.04472  |    -     | 0.04769  |</t>
  </si>
  <si>
    <t>| 412  | 0.00235  |    -     | 0.00219  |0.04430  |    -     | 0.04791  |</t>
  </si>
  <si>
    <t>| 413  | 0.00233  |    -     | 0.00216  |0.04091  |    -     | 0.04584  |</t>
  </si>
  <si>
    <t>| 414  | 0.00251  |    -     | 0.00221  |0.04731  |    -     | 0.04381  |</t>
  </si>
  <si>
    <t>| 415  | 0.00240  |    -     | 0.00224  |0.04740  |    -     | 0.04761  |</t>
  </si>
  <si>
    <t>| 416  | 0.00224  |    -     | 0.00218  |0.04743  |    -     | 0.04760  |</t>
  </si>
  <si>
    <t>| 417  | 0.00240  |    -     | 0.00223  |0.04744  |    -     | 0.04760  |</t>
  </si>
  <si>
    <t>| 418  | 0.00226  |    -     | 0.00218  |0.04743  |    -     | 0.04765  |</t>
  </si>
  <si>
    <t>| 419  | 0.00230  |    -     | 0.00214  |0.04749  |    -     | 0.04774  |</t>
  </si>
  <si>
    <t>| 420  | 0.00231  |    -     | 0.00216  |0.03795  |    -     | 0.03979  |</t>
  </si>
  <si>
    <t>| 421  | 0.00231  |    -     | 0.00221  |0.04743  |    -     | 0.04514  |</t>
  </si>
  <si>
    <t>| 422  | 0.00240  |    -     | 0.00221  |0.04743  |    -     | 0.04611  |</t>
  </si>
  <si>
    <t>| 423  | 0.00240  |    -     | 0.00229  |0.04747  |    -     | 0.04761  |</t>
  </si>
  <si>
    <t>| 424  | 0.00235  |    -     | 0.00219  |0.04747  |    -     | 0.04755  |</t>
  </si>
  <si>
    <t>| 425  | 0.00245  |    -     | 0.00222  |0.04745  |    -     | 0.04683  |</t>
  </si>
  <si>
    <t>| 426  | 0.00236  |    -     | 0.00221  |0.04749  |    -     | 0.04756  |</t>
  </si>
  <si>
    <t>| 427  | 0.00242  |    -     | 0.00223  |0.04748  |    -     | 0.04503  |</t>
  </si>
  <si>
    <t>| 428  | 0.00241  |    -     | 0.00227  |0.04750  |    -     | 0.04367  |</t>
  </si>
  <si>
    <t>| 429  | 0.00235  |    -     | 0.00219  |0.04589  |    -     | 0.04180  |</t>
  </si>
  <si>
    <t>| 430  | 0.00255  |    -     | 0.00221  |0.04748  |    -     | 0.04754  |</t>
  </si>
  <si>
    <t>| 431  | 0.00231  |    -     | 0.00220  |0.04743  |    -     | 0.04754  |</t>
  </si>
  <si>
    <t>| 432  | 0.00233  |    -     | 0.00222  |0.04753  |    -     | 0.04486  |</t>
  </si>
  <si>
    <t>| 433  | 0.00241  |    -     | 0.00221  |0.04745  |    -     | 0.04754  |</t>
  </si>
  <si>
    <t>| 434  | 0.00240  |    -     | 0.00225  |0.04736  |    -     | 0.04151  |</t>
  </si>
  <si>
    <t>| 435  | 0.00232  |    -     | 0.00218  |0.04743  |    -     | 0.04753  |</t>
  </si>
  <si>
    <t>| 436  | 0.00233  |    -     | 0.00221  |0.04746  |    -     | 0.04771  |</t>
  </si>
  <si>
    <t>| 437  | 0.00237  |    -     | 0.00224  |0.04747  |    -     | 0.04766  |</t>
  </si>
  <si>
    <t>| 438  | 0.00248  |    -     | 0.00231  |0.04752  |    -     | 0.04765  |</t>
  </si>
  <si>
    <t>| 439  | 0.00240  |    -     | 0.00231  |0.04752  |    -     | 0.04766  |</t>
  </si>
  <si>
    <t>| 440  | 0.00242  |    -     | 0.00231  |0.04750  |    -     | 0.04761  |</t>
  </si>
  <si>
    <t>| 441  | 0.00241  |    -     | 0.00225  |0.04736  |    -     | 0.04764  |</t>
  </si>
  <si>
    <t>| 442  | 0.00229  |    -     | 0.00226  |0.04559  |    -     | 0.03965  |</t>
  </si>
  <si>
    <t>| 443  | 0.00241  |    -     | 0.00222  |0.04746  |    -     | 0.04763  |</t>
  </si>
  <si>
    <t>| 444  | 0.00230  |    -     | 0.00219  |0.04741  |    -     | 0.04768  |</t>
  </si>
  <si>
    <t>| 445  | 0.00233  |    -     | 0.00220  |0.04738  |    -     | 0.04760  |</t>
  </si>
  <si>
    <t>| 446  | 0.00233  |    -     | 0.00219  |0.04742  |    -     | 0.04764  |</t>
  </si>
  <si>
    <t>| 447  | 0.00234  |    -     | 0.00221  |0.04745  |    -     | 0.04751  |</t>
  </si>
  <si>
    <t>| 448  | 0.00234  |    -     | 0.00218  |0.04647  |    -     | 0.04775  |</t>
  </si>
  <si>
    <t>| 449  | 0.00239  |    -     | 0.00221  |0.04433  |    -     | 0.04204  |</t>
  </si>
  <si>
    <t>| 450  | 0.00227  |    -     | 0.00224  |0.04759  |    -     | 0.04768  |</t>
  </si>
  <si>
    <t>| 451  | 0.00225  |    -     | 0.00209  |0.04734  |    -     | 0.04759  |</t>
  </si>
  <si>
    <t>| 452  | 0.00246  |    -     | 0.00222  |0.04426  |    -     | 0.04759  |</t>
  </si>
  <si>
    <t>| 453  | 0.00242  |    -     | 0.00222  |0.04411  |    -     | 0.04749  |</t>
  </si>
  <si>
    <t>| 454  | 0.00236  |    -     | 0.00225  |0.04741  |    -     | 0.04525  |</t>
  </si>
  <si>
    <t>| 455  | 0.00234  |    -     | 0.00220  |0.04354  |    -     | 0.04753  |</t>
  </si>
  <si>
    <t>| 456  | 0.00231  |    -     | 0.00215  |0.04743  |    -     | 0.04772  |</t>
  </si>
  <si>
    <t>| 457  | 0.00238  |    -     | 0.00223  |0.04748  |    -     | 0.04768  |</t>
  </si>
  <si>
    <t>| 458  | 0.00238  |    -     | 0.00229  |0.04744  |    -     | 0.04773  |</t>
  </si>
  <si>
    <t>| 459  | 0.00239  |    -     | 0.00222  |0.04735  |    -     | 0.04683  |</t>
  </si>
  <si>
    <t>| 460  | 0.00231  |    -     | 0.00223  |0.04318  |    -     | 0.04384  |</t>
  </si>
  <si>
    <t>| 461  | 0.00239  |    -     | 0.00227  |0.04500  |    -     | 0.04759  |</t>
  </si>
  <si>
    <t>| 462  | 0.00234  |    -     | 0.00216  |0.04740  |    -     | 0.04759  |</t>
  </si>
  <si>
    <t>| 463  | 0.00233  |    -     | 0.00222  |0.04197  |    -     | 0.04391  |</t>
  </si>
  <si>
    <t>| 464  | 0.00238  |    -     | 0.00224  |0.04746  |    -     | 0.04628  |</t>
  </si>
  <si>
    <t>| 465  | 0.00240  |    -     | 0.00221  |0.04747  |    -     | 0.04761  |</t>
  </si>
  <si>
    <t>| 466  | 0.00233  |    -     | 0.00229  |0.04750  |    -     | 0.04763  |</t>
  </si>
  <si>
    <t>| 467  | 0.00241  |    -     | 0.00223  |0.04749  |    -     | 0.04756  |</t>
  </si>
  <si>
    <t>| 468  | 0.00239  |    -     | 0.00226  |0.04490  |    -     | 0.04408  |</t>
  </si>
  <si>
    <t>| 469  | 0.00228  |    -     | 0.00211  |0.04733  |    -     | 0.04268  |</t>
  </si>
  <si>
    <t>| 470  | 0.00232  |    -     | 0.00222  |0.04747  |    -     | 0.04768  |</t>
  </si>
  <si>
    <t>| 471  | 0.00236  |    -     | 0.00221  |0.04744  |    -     | 0.04755  |</t>
  </si>
  <si>
    <t>| 472  | 0.00234  |    -     | 0.00226  |0.04426  |    -     | 0.04756  |</t>
  </si>
  <si>
    <t>| 473  | 0.00234  |    -     | 0.00219  |0.04746  |    -     | 0.03852  |</t>
  </si>
  <si>
    <t>| 474  | 0.00234  |    -     | 0.00227  |0.04748  |    -     | 0.04762  |</t>
  </si>
  <si>
    <t>| 475  | 0.00232  |    -     | 0.00219  |0.04690  |    -     | 0.04762  |</t>
  </si>
  <si>
    <t>| 476  | 0.00235  |    -     | 0.00221  |0.04750  |    -     | 0.04760  |</t>
  </si>
  <si>
    <t>| 477  | 0.00237  |    -     | 0.00222  |0.04744  |    -     | 0.04760  |</t>
  </si>
  <si>
    <t>| 478  | 0.00232  |    -     | 0.00221  |0.04750  |    -     | 0.04062  |</t>
  </si>
  <si>
    <t>| 479  | 0.00236  |    -     | 0.00220  |0.04741  |    -     | 0.04763  |</t>
  </si>
  <si>
    <t>| 480  | 0.00243  |    -     | 0.00224  |0.04745  |    -     | 0.04762  |</t>
  </si>
  <si>
    <t>| 481  | 0.00238  |    -     | 0.00215  |0.04377  |    -     | 0.04016  |</t>
  </si>
  <si>
    <t>| 482  | 0.00233  |    -     | 0.00207  |0.04735  |    -     | 0.04040  |</t>
  </si>
  <si>
    <t>| 483  | 0.00234  |    -     | 0.00225  |0.04747  |    -     | 0.04774  |</t>
  </si>
  <si>
    <t>| 484  | 0.00244  |    -     | 0.00219  |0.04760  |    -     | 0.04764  |</t>
  </si>
  <si>
    <t>| 485  | 0.00236  |    -     | 0.00227  |0.04749  |    -     | 0.04755  |</t>
  </si>
  <si>
    <t>| 486  | 0.00236  |    -     | 0.00220  |0.04735  |    -     | 0.04766  |</t>
  </si>
  <si>
    <t>| 487  | 0.00234  |    -     | 0.00222  |0.04735  |    -     | 0.04760  |</t>
  </si>
  <si>
    <t>| 488  | 0.00236  |    -     | 0.00221  |0.04746  |    -     | 0.04759  |</t>
  </si>
  <si>
    <t>| 489  | 0.00241  |    -     | 0.00221  |0.04748  |    -     | 0.04766  |</t>
  </si>
  <si>
    <t>| 490  | 0.00244  |    -     | 0.00224  |0.04634  |    -     | 0.04782  |</t>
  </si>
  <si>
    <t>| 491  | 0.00247  |    -     | 0.00220  |0.04744  |    -     | 0.04760  |</t>
  </si>
  <si>
    <t>| 492  | 0.00242  |    -     | 0.00220  |0.04736  |    -     | 0.04514  |</t>
  </si>
  <si>
    <t>| 493  | 0.00241  |    -     | 0.00234  |0.04645  |    -     | 0.04781  |</t>
  </si>
  <si>
    <t>| 494  | 0.00245  |    -     | 0.00245  |0.04754  |    -     | 0.04644  |</t>
  </si>
  <si>
    <t>| 495  | 0.00245  |    -     | 0.00227  |0.04751  |    -     | 0.04479  |</t>
  </si>
  <si>
    <t>| 496  | 0.00232  |    -     | 0.00218  |0.04615  |    -     | 0.04496  |</t>
  </si>
  <si>
    <t>| 497  | 0.00237  |    -     | 0.00226  |0.04747  |    -     | 0.04165  |</t>
  </si>
  <si>
    <t>| 498  | 0.00244  |    -     | 0.00230  |0.04736  |    -     | 0.04557  |</t>
  </si>
  <si>
    <t>| 499  | 0.00238  |    -     | 0.00218  |0.04641  |    -     | 0.04390  |</t>
  </si>
  <si>
    <t>| 500  | 0.00239  |    -     | 0.00214  |0.04751  |    -     | 0.04440  |</t>
  </si>
  <si>
    <t>| 501  | 0.00243  |    -     | 0.00289  |0.04143  |    -     | 0.04697  |</t>
  </si>
  <si>
    <t>| 502  | 0.00248  |    -     | 0.00229  |0.04757  |    -     | 0.04774  |</t>
  </si>
  <si>
    <t>| 503  | 0.00237  |    -     | 0.00222  |0.04513  |    -     | 0.04760  |</t>
  </si>
  <si>
    <t>| 504  | 0.00245  |    -     | 0.00223  |0.04738  |    -     | 0.04765  |</t>
  </si>
  <si>
    <t>| 505  | 0.00228  |    -     | 0.00209  |0.04729  |    -     | 0.04766  |</t>
  </si>
  <si>
    <t>| 506  | 0.00240  |    -     | 0.00222  |0.04735  |    -     | 0.04756  |</t>
  </si>
  <si>
    <t>| 507  | 0.00228  |    -     | 0.00210  |0.04621  |    -     | 0.04772  |</t>
  </si>
  <si>
    <t>| 508  | 0.00239  |    -     | 0.00216  |0.04744  |    -     | 0.04771  |</t>
  </si>
  <si>
    <t>| 509  | 0.00242  |    -     | 0.00220  |0.04744  |    -     | 0.04752  |</t>
  </si>
  <si>
    <t>| 510  | 0.00239  |    -     | 0.00222  |0.04746  |    -     | 0.04698  |</t>
  </si>
  <si>
    <t>| 511  | 0.00227  |    -     | 0.00226  |0.04747  |    -     | 0.04761  |</t>
  </si>
  <si>
    <t>| 512  | 0.00240  |    -     | 0.00225  |0.04740  |    -     | 0.04575  |</t>
  </si>
  <si>
    <t>| 513  | 0.00233  |    -     | 0.00220  |0.04560  |    -     | 0.04754  |</t>
  </si>
  <si>
    <t>| 514  | 0.00234  |    -     | 0.00216  |0.04526  |    -     | 0.04620  |</t>
  </si>
  <si>
    <t>| 515  | 0.00240  |    -     | 0.00219  |0.04749  |    -     | 0.04760  |</t>
  </si>
  <si>
    <t>| 516  | 0.00246  |    -     | 0.00222  |0.04739  |    -     | 0.04771  |</t>
  </si>
  <si>
    <t>| 517  | 0.00240  |    -     | 0.00219  |0.04747  |    -     | 0.04488  |</t>
  </si>
  <si>
    <t>| 518  | 0.00231  |    -     | 0.00216  |0.04742  |    -     | 0.04755  |</t>
  </si>
  <si>
    <t>| 519  | 0.00234  |    -     | 0.00218  |0.04746  |    -     | 0.04714  |</t>
  </si>
  <si>
    <t>| 520  | 0.00239  |    -     | 0.00224  |0.04557  |    -     | 0.04760  |</t>
  </si>
  <si>
    <t>| 521  | 0.00240  |    -     | 0.00217  |0.04268  |    -     | 0.04639  |</t>
  </si>
  <si>
    <t>| 522  | 0.00244  |    -     | 0.00224  |0.04571  |    -     | 0.04754  |</t>
  </si>
  <si>
    <t>| 523  | 0.00237  |    -     | 0.00219  |0.04746  |    -     | 0.04756  |</t>
  </si>
  <si>
    <t>| 524  | 0.00235  |    -     | 0.00215  |0.04743  |    -     | 0.04214  |</t>
  </si>
  <si>
    <t>| 525  | 0.00230  |    -     | 0.00208  |0.04726  |    -     | 0.04748  |</t>
  </si>
  <si>
    <t>| 526  | 0.00243  |    -     | 0.00218  |0.04493  |    -     | 0.04761  |</t>
  </si>
  <si>
    <t>| 527  | 0.00233  |    -     | 0.00219  |0.04739  |    -     | 0.04762  |</t>
  </si>
  <si>
    <t>| 528  | 0.00236  |    -     | 0.00216  |0.04747  |    -     | 0.04756  |</t>
  </si>
  <si>
    <t>| 529  | 0.00232  |    -     | 0.00214  |0.04743  |    -     | 0.04274  |</t>
  </si>
  <si>
    <t>| 530  | 0.00235  |    -     | 0.00218  |0.04702  |    -     | 0.04760  |</t>
  </si>
  <si>
    <t>| 531  | 0.00236  |    -     | 0.00216  |0.04743  |    -     | 0.04756  |</t>
  </si>
  <si>
    <t>| 532  | 0.00237  |    -     | 0.00217  |0.04746  |    -     | 0.04395  |</t>
  </si>
  <si>
    <t>| 533  | 0.00241  |    -     | 0.00219  |0.04740  |    -     | 0.04762  |</t>
  </si>
  <si>
    <t>| 534  | 0.00237  |    -     | 0.00219  |0.04746  |    -     | 0.04469  |</t>
  </si>
  <si>
    <t>| 535  | 0.00230  |    -     | 0.00216  |0.04743  |    -     | 0.04116  |</t>
  </si>
  <si>
    <t>| 536  | 0.00229  |    -     | 0.00222  |0.04742  |    -     | 0.04766  |</t>
  </si>
  <si>
    <t>| 537  | 0.00238  |    -     | 0.00212  |0.04145  |    -     | 0.04754  |</t>
  </si>
  <si>
    <t>| 538  | 0.00239  |    -     | 0.00218  |0.04745  |    -     | 0.04758  |</t>
  </si>
  <si>
    <t>| 539  | 0.00226  |    -     | 0.00210  |0.04751  |    -     | 0.04770  |</t>
  </si>
  <si>
    <t>| 540  | 0.00240  |    -     | 0.00220  |0.04707  |    -     | 0.04414  |</t>
  </si>
  <si>
    <t>| 541  | 0.00236  |    -     | 0.00216  |0.04742  |    -     | 0.04754  |</t>
  </si>
  <si>
    <t>| 542  | 0.00226  |    -     | 0.00210  |0.04798  |    -     | 0.04568  |</t>
  </si>
  <si>
    <t>| 543  | 0.00235  |    -     | 0.00218  |0.04739  |    -     | 0.04572  |</t>
  </si>
  <si>
    <t>| 544  | 0.00232  |    -     | 0.00220  |0.04743  |    -     | 0.04757  |</t>
  </si>
  <si>
    <t>| 545  | 0.00232  |    -     | 0.00213  |0.03792  |    -     | 0.04768  |</t>
  </si>
  <si>
    <t>| 546  | 0.00242  |    -     | 0.00222  |0.04745  |    -     | 0.04753  |</t>
  </si>
  <si>
    <t>| 547  | 0.00233  |    -     | 0.00217  |0.04746  |    -     | 0.04766  |</t>
  </si>
  <si>
    <t>| 548  | 0.00241  |    -     | 0.00220  |0.04744  |    -     | 0.04465  |</t>
  </si>
  <si>
    <t>| 549  | 0.00226  |    -     | 0.00220  |0.04741  |    -     | 0.04745  |</t>
  </si>
  <si>
    <t>| 550  | 0.00243  |    -     | 0.00224  |0.04539  |    -     | 0.04765  |</t>
  </si>
  <si>
    <t>| 551  | 0.00243  |    -     | 0.00221  |0.04747  |    -     | 0.04760  |</t>
  </si>
  <si>
    <t>| 552  | 0.00234  |    -     | 0.00215  |0.04085  |    -     | 0.04762  |</t>
  </si>
  <si>
    <t>| 553  | 0.00241  |    -     | 0.00219  |0.03975  |    -     | 0.04748  |</t>
  </si>
  <si>
    <t>| 554  | 0.00239  |    -     | 0.00219  |0.04742  |    -     | 0.04750  |</t>
  </si>
  <si>
    <t>| 555  | 0.00243  |    -     | 0.00215  |0.04747  |    -     | 0.04381  |</t>
  </si>
  <si>
    <t>| 556  | 0.00219  |    -     | 0.00207  |0.04730  |    -     | 0.04756  |</t>
  </si>
  <si>
    <t>| 557  | 0.00242  |    -     | 0.00221  |0.04744  |    -     | 0.04760  |</t>
  </si>
  <si>
    <t>| 558  | 0.00234  |    -     | 0.00220  |0.04745  |    -     | 0.04755  |</t>
  </si>
  <si>
    <t>| 559  | 0.00220  |    -     | 0.00208  |0.04747  |    -     | 0.04761  |</t>
  </si>
  <si>
    <t>| 560  | 0.00234  |    -     | 0.00219  |0.04741  |    -     | 0.04630  |</t>
  </si>
  <si>
    <t>| 561  | 0.00245  |    -     | 0.00218  |0.04739  |    -     | 0.04764  |</t>
  </si>
  <si>
    <t>| 562  | 0.00234  |    -     | 0.00218  |0.04494  |    -     | 0.04756  |</t>
  </si>
  <si>
    <t>| 563  | 0.00215  |    -     | 0.00240  |0.04130  |    -     | 0.04753  |</t>
  </si>
  <si>
    <t>| 564  | 0.00229  |    -     | 0.00221  |0.04741  |    -     | 0.04557  |</t>
  </si>
  <si>
    <t>| 565  | 0.00234  |    -     | 0.00219  |0.04750  |    -     | 0.04382  |</t>
  </si>
  <si>
    <t>| 566  | 0.00244  |    -     | 0.00217  |0.04747  |    -     | 0.04760  |</t>
  </si>
  <si>
    <t>| 567  | 0.00242  |    -     | 0.00221  |0.04744  |    -     | 0.04762  |</t>
  </si>
  <si>
    <t>| 568  | 0.00236  |    -     | 0.00217  |0.04745  |    -     | 0.04758  |</t>
  </si>
  <si>
    <t>| 569  | 0.00234  |    -     | 0.00225  |0.04737  |    -     | 0.04761  |</t>
  </si>
  <si>
    <t>| 570  | 0.00242  |    -     | 0.00220  |0.04746  |    -     | 0.04758  |</t>
  </si>
  <si>
    <t>| 571  | 0.00233  |    -     | 0.00218  |0.04743  |    -     | 0.04761  |</t>
  </si>
  <si>
    <t>| 572  | 0.00229  |    -     | 0.00221  |0.04747  |    -     | 0.04762  |</t>
  </si>
  <si>
    <t>| 573  | 0.00235  |    -     | 0.00224  |0.04756  |    -     | 0.04750  |</t>
  </si>
  <si>
    <t>| 574  | 0.00236  |    -     | 0.00214  |0.04114  |    -     | 0.04122  |</t>
  </si>
  <si>
    <t>| 575  | 0.00237  |    -     | 0.00212  |0.04736  |    -     | 0.04763  |</t>
  </si>
  <si>
    <t>| 576  | 0.00239  |    -     | 0.00226  |0.04222  |    -     | 0.04773  |</t>
  </si>
  <si>
    <t>| 577  | 0.00241  |    -     | 0.00220  |0.04742  |    -     | 0.04761  |</t>
  </si>
  <si>
    <t>| 578  | 0.00233  |    -     | 0.00219  |0.04591  |    -     | 0.04761  |</t>
  </si>
  <si>
    <t>| 579  | 0.00242  |    -     | 0.00220  |0.04748  |    -     | 0.04765  |</t>
  </si>
  <si>
    <t>| 580  | 0.00237  |    -     | 0.00223  |0.04747  |    -     | 0.04729  |</t>
  </si>
  <si>
    <t>| 581  | 0.00229  |    -     | 0.00213  |0.04725  |    -     | 0.04511  |</t>
  </si>
  <si>
    <t>| 582  | 0.00245  |    -     | 0.00214  |0.04728  |    -     | 0.04745  |</t>
  </si>
  <si>
    <t>| 583  | 0.00232  |    -     | 0.00223  |0.04738  |    -     | 0.04757  |</t>
  </si>
  <si>
    <t>| 584  | 0.00237  |    -     | 0.00222  |0.04398  |    -     | 0.04701  |</t>
  </si>
  <si>
    <t>| 585  | 0.00231  |    -     | 0.00219  |0.04214  |    -     | 0.04757  |</t>
  </si>
  <si>
    <t>| 586  | 0.00237  |    -     | 0.00220  |0.04749  |    -     | 0.04762  |</t>
  </si>
  <si>
    <t>| 587  | 0.00243  |    -     | 0.00218  |0.04747  |    -     | 0.04484  |</t>
  </si>
  <si>
    <t>| 588  | 0.00240  |    -     | 0.00210  |0.04740  |    -     | 0.04759  |</t>
  </si>
  <si>
    <t>| 589  | 0.00234  |    -     | 0.00218  |0.04739  |    -     | 0.04759  |</t>
  </si>
  <si>
    <t>| 590  | 0.00232  |    -     | 0.00220  |0.04748  |    -     | 0.04761  |</t>
  </si>
  <si>
    <t>| 591  | 0.00240  |    -     | 0.00222  |0.04551  |    -     | 0.04747  |</t>
  </si>
  <si>
    <t>| 592  | 0.00242  |    -     | 0.00223  |0.04741  |    -     | 0.04759  |</t>
  </si>
  <si>
    <t>| 593  | 0.00222  |    -     | 0.00207  |0.04427  |    -     | 0.04770  |</t>
  </si>
  <si>
    <t>| 594  | 0.00233  |    -     | 0.00217  |0.04748  |    -     | 0.04755  |</t>
  </si>
  <si>
    <t>| 595  | 0.00235  |    -     | 0.00218  |0.04743  |    -     | 0.04438  |</t>
  </si>
  <si>
    <t>| 596  | 0.00241  |    -     | 0.00221  |0.04471  |    -     | 0.04583  |</t>
  </si>
  <si>
    <t>| 597  | 0.00236  |    -     | 0.00215  |0.04745  |    -     | 0.04759  |</t>
  </si>
  <si>
    <t>| 598  | 0.00231  |    -     | 0.00216  |0.04743  |    -     | 0.04765  |</t>
  </si>
  <si>
    <t>| 599  | 0.00240  |    -     | 0.00220  |0.04749  |    -     | 0.04758  |</t>
  </si>
  <si>
    <t>| 600  | 0.00241  |    -     | 0.00227  |0.04746  |    -     | 0.04753  |</t>
  </si>
  <si>
    <t>| 601  | 0.00239  |    -     | 0.00218  |0.04743  |    -     | 0.04765  |</t>
  </si>
  <si>
    <t>| 602  | 0.00242  |    -     | 0.00225  |0.04743  |    -     | 0.04763  |</t>
  </si>
  <si>
    <t>| 603  | 0.00241  |    -     | 0.00223  |0.04747  |    -     | 0.04755  |</t>
  </si>
  <si>
    <t>| 604  | 0.00230  |    -     | 0.00222  |0.04543  |    -     | 0.04142  |</t>
  </si>
  <si>
    <t>| 605  | 0.00228  |    -     | 0.00218  |0.04745  |    -     | 0.04761  |</t>
  </si>
  <si>
    <t>| 606  | 0.00236  |    -     | 0.00221  |0.04570  |    -     | 0.04759  |</t>
  </si>
  <si>
    <t>| 607  | 0.00225  |    -     | 0.00223  |0.04742  |    -     | 0.04755  |</t>
  </si>
  <si>
    <t>| 608  | 0.00234  |    -     | 0.00218  |0.04754  |    -     | 0.04756  |</t>
  </si>
  <si>
    <t>| 609  | 0.00227  |    -     | 0.00219  |0.04745  |    -     | 0.04756  |</t>
  </si>
  <si>
    <t>| 610  | 0.00232  |    -     | 0.00226  |0.04725  |    -     | 0.04714  |</t>
  </si>
  <si>
    <t>| 611  | 0.00239  |    -     | 0.00214  |0.04737  |    -     | 0.04664  |</t>
  </si>
  <si>
    <t>| 612  | 0.00231  |    -     | 0.00218  |0.04744  |    -     | 0.04760  |</t>
  </si>
  <si>
    <t>| 613  | 0.00234  |    -     | 0.00217  |0.04737  |    -     | 0.04751  |</t>
  </si>
  <si>
    <t>| 614  | 0.00231  |    -     | 0.00218  |0.04750  |    -     | 0.04502  |</t>
  </si>
  <si>
    <t>| 615  | 0.00234  |    -     | 0.00219  |0.04271  |    -     | 0.04751  |</t>
  </si>
  <si>
    <t>| 616  | 0.00238  |    -     | 0.00220  |0.03988  |    -     | 0.04448  |</t>
  </si>
  <si>
    <t>| 617  | 0.00239  |    -     | 0.00219  |0.04746  |    -     | 0.04768  |</t>
  </si>
  <si>
    <t>| 618  | 0.00235  |    -     | 0.00220  |0.04744  |    -     | 0.04028  |</t>
  </si>
  <si>
    <t>| 619  | 0.00229  |    -     | 0.00216  |0.04744  |    -     | 0.04765  |</t>
  </si>
  <si>
    <t>| 620  | 0.00234  |    -     | 0.00216  |0.04171  |    -     | 0.04753  |</t>
  </si>
  <si>
    <t>| 621  | 0.00239  |    -     | 0.00217  |0.04740  |    -     | 0.03822  |</t>
  </si>
  <si>
    <t>| 622  | 0.00238  |    -     | 0.00214  |0.04738  |    -     | 0.04766  |</t>
  </si>
  <si>
    <t>| 623  | 0.00232  |    -     | 0.00218  |0.04744  |    -     | 0.04762  |</t>
  </si>
  <si>
    <t>| 624  | 0.00237  |    -     | 0.00220  |0.04604  |    -     | 0.04762  |</t>
  </si>
  <si>
    <t>| 625  | 0.00249  |    -     | 0.00216  |0.04724  |    -     | 0.04732  |</t>
  </si>
  <si>
    <t>| 626  | 0.00232  |    -     | 0.00214  |0.04748  |    -     | 0.04257  |</t>
  </si>
  <si>
    <t>| 627  | 0.00247  |    -     | 0.00220  |0.04731  |    -     | 0.04769  |</t>
  </si>
  <si>
    <t>| 628  | 0.00235  |    -     | 0.00216  |0.04743  |    -     | 0.04761  |</t>
  </si>
  <si>
    <t>| 629  | 0.00236  |    -     | 0.00224  |0.03997  |    -     | 0.04761  |</t>
  </si>
  <si>
    <t>| 630  | 0.00235  |    -     | 0.00214  |0.04753  |    -     | 0.04758  |</t>
  </si>
  <si>
    <t>| 631  | 0.00241  |    -     | 0.00222  |0.04746  |    -     | 0.04757  |</t>
  </si>
  <si>
    <t>| 632  | 0.00234  |    -     | 0.00220  |0.04755  |    -     | 0.04760  |</t>
  </si>
  <si>
    <t>| 633  | 0.00239  |    -     | 0.00220  |0.04739  |    -     | 0.04763  |</t>
  </si>
  <si>
    <t>| 634  | 0.00233  |    -     | 0.00218  |0.04792  |    -     | 0.04179  |</t>
  </si>
  <si>
    <t>| 635  | 0.00228  |    -     | 0.00221  |0.04744  |    -     | 0.04754  |</t>
  </si>
  <si>
    <t>| 636  | 0.00230  |    -     | 0.00224  |0.04017  |    -     | 0.04759  |</t>
  </si>
  <si>
    <t>| 637  | 0.00227  |    -     | 0.00210  |0.04732  |    -     | 0.04752  |</t>
  </si>
  <si>
    <t>| 638  | 0.00226  |    -     | 0.00214  |0.04746  |    -     | 0.04756  |</t>
  </si>
  <si>
    <t>| 639  | 0.00237  |    -     | 0.00218  |0.04745  |    -     | 0.04764  |</t>
  </si>
  <si>
    <t>| 640  | 0.00241  |    -     | 0.00222  |0.04743  |    -     | 0.04765  |</t>
  </si>
  <si>
    <t>| 641  | 0.00234  |    -     | 0.00216  |0.04740  |    -     | 0.04767  |</t>
  </si>
  <si>
    <t>| 642  | 0.00243  |    -     | 0.00222  |0.04352  |    -     | 0.04764  |</t>
  </si>
  <si>
    <t>| 643  | 0.00247  |    -     | 0.00222  |0.04742  |    -     | 0.04767  |</t>
  </si>
  <si>
    <t>| 644  | 0.00235  |    -     | 0.00218  |0.04738  |    -     | 0.04755  |</t>
  </si>
  <si>
    <t>| 645  | 0.00235  |    -     | 0.00224  |0.04743  |    -     | 0.04565  |</t>
  </si>
  <si>
    <t>| 646  | 0.00233  |    -     | 0.00221  |0.04694  |    -     | 0.04766  |</t>
  </si>
  <si>
    <t>| 647  | 0.00232  |    -     | 0.00220  |0.04734  |    -     | 0.04767  |</t>
  </si>
  <si>
    <t>| 648  | 0.00236  |    -     | 0.00217  |0.04567  |    -     | 0.04737  |</t>
  </si>
  <si>
    <t>| 649  | 0.00196  |    -     | 0.00227  |0.04584  |    -     | 0.04762  |</t>
  </si>
  <si>
    <t>| 650  | 0.00242  |    -     | 0.00221  |0.04687  |    -     | 0.04757  |</t>
  </si>
  <si>
    <t>| 651  | 0.00240  |    -     | 0.00220  |0.04742  |    -     | 0.04757  |</t>
  </si>
  <si>
    <t>| 652  | 0.00236  |    -     | 0.00217  |0.04009  |    -     | 0.04043  |</t>
  </si>
  <si>
    <t>| 653  | 0.00233  |    -     | 0.00217  |0.04690  |    -     | 0.04671  |</t>
  </si>
  <si>
    <t>| 654  | 0.00240  |    -     | 0.00218  |0.04733  |    -     | 0.04759  |</t>
  </si>
  <si>
    <t>| 655  | 0.00239  |    -     | 0.00217  |0.04744  |    -     | 0.04747  |</t>
  </si>
  <si>
    <t>| 656  | 0.00238  |    -     | 0.00220  |0.04740  |    -     | 0.04761  |</t>
  </si>
  <si>
    <t>| 657  | 0.00231  |    -     | 0.00214  |0.04748  |    -     | 0.04656  |</t>
  </si>
  <si>
    <t>| 658  | 0.00232  |    -     | 0.00326  |0.04752  |    -     | 0.04765  |</t>
  </si>
  <si>
    <t>| 659  | 0.00239  |    -     | 0.00218  |0.04744  |    -     | 0.04759  |</t>
  </si>
  <si>
    <t>| 660  | 0.00233  |    -     | 0.00226  |0.04748  |    -     | 0.04762  |</t>
  </si>
  <si>
    <t>| 661  | 0.00227  |    -     | 0.00213  |0.04747  |    -     | 0.04771  |</t>
  </si>
  <si>
    <t>| 662  | 0.00233  |    -     | 0.00219  |0.04157  |    -     | 0.04616  |</t>
  </si>
  <si>
    <t>| 663  | 0.00248  |    -     | 0.00220  |0.04743  |    -     | 0.04766  |</t>
  </si>
  <si>
    <t>| 664  | 0.00244  |    -     | 0.00223  |0.04748  |    -     | 0.04761  |</t>
  </si>
  <si>
    <t>| 665  | 0.00245  |    -     | 0.00231  |0.04745  |    -     | 0.04843  |</t>
  </si>
  <si>
    <t>| 666  | 0.00242  |    -     | 0.00223  |0.04756  |    -     | 0.04337  |</t>
  </si>
  <si>
    <t>| 667  | 0.00241  |    -     | 0.00228  |0.04741  |    -     | 0.04547  |</t>
  </si>
  <si>
    <t>| 668  | 0.00252  |    -     | 0.00222  |0.04452  |    -     | 0.04441  |</t>
  </si>
  <si>
    <t>| 669  | 0.00242  |    -     | 0.00218  |0.04491  |    -     | 0.03636  |</t>
  </si>
  <si>
    <t>| 670  | 0.00230  |    -     | 0.00226  |0.04750  |    -     | 0.04054  |</t>
  </si>
  <si>
    <t>| 671  | 0.00230  |    -     | 0.00216  |0.04748  |    -     | 0.04460  |</t>
  </si>
  <si>
    <t>| 672  | 0.00245  |    -     | 0.00227  |0.04654  |    -     | 0.04828  |</t>
  </si>
  <si>
    <t>| 673  | 0.00243  |    -     | 0.00223  |0.04748  |    -     | 0.04768  |</t>
  </si>
  <si>
    <t>| 674  | 0.00242  |    -     | 0.00221  |0.04409  |    -     | 0.04764  |</t>
  </si>
  <si>
    <t>| 675  | 0.00240  |    -     | 0.00221  |0.04739  |    -     | 0.04775  |</t>
  </si>
  <si>
    <t>| 676  | 0.00243  |    -     | 0.00221  |0.04742  |    -     | 0.04763  |</t>
  </si>
  <si>
    <t>| 677  | 0.00239  |    -     | 0.00210  |0.04751  |    -     | 0.04754  |</t>
  </si>
  <si>
    <t>| 678  | 0.00242  |    -     | 0.00267  |0.04728  |    -     | 0.04758  |</t>
  </si>
  <si>
    <t>| 679  | 0.00242  |    -     | 0.00225  |0.04427  |    -     | 0.04755  |</t>
  </si>
  <si>
    <t>| 680  | 0.00237  |    -     | 0.00220  |0.04744  |    -     | 0.04760  |</t>
  </si>
  <si>
    <t>| 681  | 0.00236  |    -     | 0.00220  |0.04723  |    -     | 0.04760  |</t>
  </si>
  <si>
    <t>| 682  | 0.00231  |    -     | 0.00219  |0.04747  |    -     | 0.04762  |</t>
  </si>
  <si>
    <t>| 683  | 0.00239  |    -     | 0.00225  |0.04396  |    -     | 0.04637  |</t>
  </si>
  <si>
    <t>| 684  | 0.00239  |    -     | 0.00225  |0.04572  |    -     | 0.04763  |</t>
  </si>
  <si>
    <t>| 685  | 0.00238  |    -     | 0.00220  |0.04601  |    -     | 0.04768  |</t>
  </si>
  <si>
    <t>| 686  | 0.00238  |    -     | 0.00227  |0.04228  |    -     | 0.04757  |</t>
  </si>
  <si>
    <t>| 687  | 0.00232  |    -     | 0.00219  |0.04746  |    -     | 0.04756  |</t>
  </si>
  <si>
    <t>| 688  | 0.00231  |    -     | 0.00221  |0.04752  |    -     | 0.04771  |</t>
  </si>
  <si>
    <t>| 689  | 0.00238  |    -     | 0.00223  |0.04748  |    -     | 0.04771  |</t>
  </si>
  <si>
    <t>| 690  | 0.00239  |    -     | 0.00226  |0.04752  |    -     | 0.04639  |</t>
  </si>
  <si>
    <t>| 691  | 0.00227  |    -     | 0.00227  |0.04740  |    -     | 0.04753  |</t>
  </si>
  <si>
    <t>| 692  | 0.00238  |    -     | 0.00226  |0.04260  |    -     | 0.04750  |</t>
  </si>
  <si>
    <t>| 693  | 0.00227  |    -     | 0.00210  |0.04174  |    -     | 0.04667  |</t>
  </si>
  <si>
    <t>| 694  | 0.00232  |    -     | 0.00220  |0.04746  |    -     | 0.04766  |</t>
  </si>
  <si>
    <t>| 695  | 0.00239  |    -     | 0.00222  |0.04739  |    -     | 0.04758  |</t>
  </si>
  <si>
    <t>| 696  | 0.00240  |    -     | 0.00219  |0.04746  |    -     | 0.04762  |</t>
  </si>
  <si>
    <t>| 697  | 0.00247  |    -     | 0.00231  |0.04738  |    -     | 0.04758  |</t>
  </si>
  <si>
    <t>| 698  | 0.00241  |    -     | 0.00224  |0.04143  |    -     | 0.03972  |</t>
  </si>
  <si>
    <t>| 699  | 0.00231  |    -     | 0.00215  |0.04422  |    -     | 0.04510  |</t>
  </si>
  <si>
    <t>| 700  | 0.00239  |    -     | 0.00229  |0.04517  |    -     | 0.04470  |</t>
  </si>
  <si>
    <t>| 701  | 0.00235  |    -     | 0.00217  |0.04739  |    -     | 0.04763  |</t>
  </si>
  <si>
    <t>| 702  | 0.00231  |    -     | 0.00224  |0.04646  |    -     | 0.04759  |</t>
  </si>
  <si>
    <t>| 703  | 0.00235  |    -     | 0.00219  |0.04748  |    -     | 0.04467  |</t>
  </si>
  <si>
    <t>| 704  | 0.00241  |    -     | 0.00221  |0.04620  |    -     | 0.04760  |</t>
  </si>
  <si>
    <t>| 705  | 0.00237  |    -     | 0.00219  |0.04750  |    -     | 0.03992  |</t>
  </si>
  <si>
    <t>| 706  | 0.00225  |    -     | 0.00224  |0.04734  |    -     | 0.04762  |</t>
  </si>
  <si>
    <t>| 707  | 0.00227  |    -     | 0.00207  |0.04563  |    -     | 0.04761  |</t>
  </si>
  <si>
    <t>| 708  | 0.00243  |    -     | 0.00221  |0.04740  |    -     | 0.04750  |</t>
  </si>
  <si>
    <t>| 709  | 0.00239  |    -     | 0.00225  |0.04744  |    -     | 0.04509  |</t>
  </si>
  <si>
    <t>| 710  | 0.00235  |    -     | 0.00224  |0.04728  |    -     | 0.04759  |</t>
  </si>
  <si>
    <t>| 711  | 0.00236  |    -     | 0.00218  |0.04745  |    -     | 0.04763  |</t>
  </si>
  <si>
    <t>| 712  | 0.00237  |    -     | 0.00209  |0.04812  |    -     | 0.04753  |</t>
  </si>
  <si>
    <t>| 713  | 0.00236  |    -     | 0.00215  |0.04740  |    -     | 0.03883  |</t>
  </si>
  <si>
    <t>| 714  | 0.00226  |    -     | 0.00205  |0.04569  |    -     | 0.04697  |</t>
  </si>
  <si>
    <t>| 715  | 0.00220  |    -     | 0.00210  |0.04733  |    -     | 0.04645  |</t>
  </si>
  <si>
    <t>| 716  | 0.00236  |    -     | 0.00222  |0.04752  |    -     | 0.04762  |</t>
  </si>
  <si>
    <t>| 717  | 0.00237  |    -     | 0.00220  |0.04746  |    -     | 0.04762  |</t>
  </si>
  <si>
    <t>| 718  | 0.00242  |    -     | 0.00222  |0.04751  |    -     | 0.04289  |</t>
  </si>
  <si>
    <t>| 719  | 0.00238  |    -     | 0.00215  |0.04750  |    -     | 0.04752  |</t>
  </si>
  <si>
    <t>| 720  | 0.00235  |    -     | 0.00218  |0.04736  |    -     | 0.04763  |</t>
  </si>
  <si>
    <t>| 721  | 0.00236  |    -     | 0.00224  |0.04731  |    -     | 0.04756  |</t>
  </si>
  <si>
    <t>| 722  | 0.00237  |    -     | 0.00220  |0.04749  |    -     | 0.04758  |</t>
  </si>
  <si>
    <t>| 723  | 0.00240  |    -     | 0.00221  |0.04749  |    -     | 0.04136  |</t>
  </si>
  <si>
    <t>| 724  | 0.00235  |    -     | 0.00218  |0.04676  |    -     | 0.04664  |</t>
  </si>
  <si>
    <t>| 725  | 0.00223  |    -     | 0.00208  |0.04732  |    -     | 0.04762  |</t>
  </si>
  <si>
    <t>| 726  | 0.00238  |    -     | 0.00221  |0.04745  |    -     | 0.04704  |</t>
  </si>
  <si>
    <t>| 727  | 0.00229  |    -     | 0.00208  |0.04724  |    -     | 0.04732  |</t>
  </si>
  <si>
    <t>| 728  | 0.00237  |    -     | 0.00218  |0.03995  |    -     | 0.04749  |</t>
  </si>
  <si>
    <t>| 729  | 0.00235  |    -     | 0.00218  |0.04751  |    -     | 0.04571  |</t>
  </si>
  <si>
    <t>| 730  | 0.00240  |    -     | 0.00225  |0.04738  |    -     | 0.04763  |</t>
  </si>
  <si>
    <t>| 731  | 0.00237  |    -     | 0.00220  |0.04535  |    -     | 0.04752  |</t>
  </si>
  <si>
    <t>| 732  | 0.00224  |    -     | 0.00231  |0.04689  |    -     | 0.04766  |</t>
  </si>
  <si>
    <t>| 733  | 0.00236  |    -     | 0.00223  |0.04749  |    -     | 0.04768  |</t>
  </si>
  <si>
    <t>| 734  | 0.00235  |    -     | 0.00221  |0.04661  |    -     | 0.04760  |</t>
  </si>
  <si>
    <t>| 735  | 0.00234  |    -     | 0.00217  |0.04634  |    -     | 0.04763  |</t>
  </si>
  <si>
    <t>| 736  | 0.00235  |    -     | 0.00220  |0.04742  |    -     | 0.04756  |</t>
  </si>
  <si>
    <t>| 737  | 0.00237  |    -     | 0.00215  |0.04747  |    -     | 0.04760  |</t>
  </si>
  <si>
    <t>| 738  | 0.00239  |    -     | 0.00222  |0.04749  |    -     | 0.04759  |</t>
  </si>
  <si>
    <t>| 739  | 0.00242  |    -     | 0.00222  |0.04752  |    -     | 0.04767  |</t>
  </si>
  <si>
    <t>| 740  | 0.00250  |    -     | 0.00226  |0.04752  |    -     | 0.04685  |</t>
  </si>
  <si>
    <t>| 741  | 0.00235  |    -     | 0.00230  |0.04753  |    -     | 0.04770  |</t>
  </si>
  <si>
    <t>| 742  | 0.00235  |    -     | 0.00221  |0.04749  |    -     | 0.04766  |</t>
  </si>
  <si>
    <t>| 743  | 0.00239  |    -     | 0.00216  |0.04579  |    -     | 0.04761  |</t>
  </si>
  <si>
    <t>| 744  | 0.00241  |    -     | 0.00221  |0.04749  |    -     | 0.04678  |</t>
  </si>
  <si>
    <t>| 745  | 0.00237  |    -     | 0.00225  |0.04739  |    -     | 0.04771  |</t>
  </si>
  <si>
    <t>| 746  | 0.00244  |    -     | 0.00227  |0.04749  |    -     | 0.04763  |</t>
  </si>
  <si>
    <t>| 747  | 0.00250  |    -     | 0.00222  |0.04749  |    -     | 0.04765  |</t>
  </si>
  <si>
    <t>| 748  | 0.00233  |    -     | 0.00222  |0.04745  |    -     | 0.04752  |</t>
  </si>
  <si>
    <t>| 749  | 0.00228  |    -     | 0.00210  |0.04724  |    -     | 0.03962  |</t>
  </si>
  <si>
    <t>| 750  | 0.00244  |    -     | 0.00222  |0.04737  |    -     | 0.04755  |</t>
  </si>
  <si>
    <t>| 751  | 0.00238  |    -     | 0.00219  |0.04660  |    -     | 0.04757  |</t>
  </si>
  <si>
    <t>| 752  | 0.00240  |    -     | 0.00222  |0.04688  |    -     | 0.04751  |</t>
  </si>
  <si>
    <t>| 753  | 0.00243  |    -     | 0.00223  |0.04668  |    -     | 0.04754  |</t>
  </si>
  <si>
    <t>| 754  | 0.00241  |    -     | 0.00222  |0.04010  |    -     | 0.04138  |</t>
  </si>
  <si>
    <t>| 755  | 0.00238  |    -     | 0.00219  |0.04747  |    -     | 0.04592  |</t>
  </si>
  <si>
    <t>| 756  | 0.00242  |    -     | 0.00229  |0.04746  |    -     | 0.04585  |</t>
  </si>
  <si>
    <t>| 757  | 0.00233  |    -     | 0.00231  |0.04398  |    -     | 0.04742  |</t>
  </si>
  <si>
    <t>| 758  | 0.00225  |    -     | 0.00209  |0.04727  |    -     | 0.04746  |</t>
  </si>
  <si>
    <t>| 759  | 0.00231  |    -     | 0.00222  |0.04737  |    -     | 0.04767  |</t>
  </si>
  <si>
    <t>| 760  | 0.00232  |    -     | 0.00209  |0.04734  |    -     | 0.04089  |</t>
  </si>
  <si>
    <t>| 761  | 0.00237  |    -     | 0.00217  |0.04740  |    -     | 0.04610  |</t>
  </si>
  <si>
    <t>| 762  | 0.00230  |    -     | 0.00214  |0.04736  |    -     | 0.04416  |</t>
  </si>
  <si>
    <t>| 763  | 0.00234  |    -     | 0.00222  |0.04745  |    -     | 0.04620  |</t>
  </si>
  <si>
    <t>| 764  | 0.00233  |    -     | 0.00224  |0.04749  |    -     | 0.04683  |</t>
  </si>
  <si>
    <t>| 765  | 0.00230  |    -     | 0.00223  |0.04755  |    -     | 0.04759  |</t>
  </si>
  <si>
    <t>| 766  | 0.00240  |    -     | 0.00224  |0.04751  |    -     | 0.04196  |</t>
  </si>
  <si>
    <t>| 767  | 0.00235  |    -     | 0.00221  |0.04752  |    -     | 0.04641  |</t>
  </si>
  <si>
    <t>| 768  | 0.00226  |    -     | 0.00215  |0.04745  |    -     | 0.04756  |</t>
  </si>
  <si>
    <t>| 769  | 0.00232  |    -     | 0.00219  |0.04500  |    -     | 0.04027  |</t>
  </si>
  <si>
    <t>| 770  | 0.00234  |    -     | 0.00228  |0.04749  |    -     | 0.04761  |</t>
  </si>
  <si>
    <t>| 771  | 0.00237  |    -     | 0.00216  |0.04751  |    -     | 0.04766  |</t>
  </si>
  <si>
    <t>| 772  | 0.00240  |    -     | 0.00227  |0.03986  |    -     | 0.04015  |</t>
  </si>
  <si>
    <t>| 773  | 0.00238  |    -     | 0.00221  |0.04011  |    -     | 0.04761  |</t>
  </si>
  <si>
    <t>| 774  | 0.00242  |    -     | 0.00221  |0.04743  |    -     | 0.04194  |</t>
  </si>
  <si>
    <t>| 775  | 0.00234  |    -     | 0.00227  |0.04227  |    -     | 0.04763  |</t>
  </si>
  <si>
    <t>| 776  | 0.00245  |    -     | 0.00220  |0.04746  |    -     | 0.04764  |</t>
  </si>
  <si>
    <t>| 777  | 0.00243  |    -     | 0.00223  |0.04748  |    -     | 0.04763  |</t>
  </si>
  <si>
    <t>| 778  | 0.00252  |    -     | 0.00221  |0.04746  |    -     | 0.04771  |</t>
  </si>
  <si>
    <t>| 779  | 0.00244  |    -     | 0.00223  |0.04750  |    -     | 0.03999  |</t>
  </si>
  <si>
    <t>| 780  | 0.00232  |    -     | 0.00225  |0.04738  |    -     | 0.04755  |</t>
  </si>
  <si>
    <t>| 781  | 0.00240  |    -     | 0.00217  |0.04751  |    -     | 0.04766  |</t>
  </si>
  <si>
    <t>| 782  | 0.00240  |    -     | 0.00222  |0.04173  |    -     | 0.04762  |</t>
  </si>
  <si>
    <t>| 783  | 0.00237  |    -     | 0.00231  |0.04753  |    -     | 0.04595  |</t>
  </si>
  <si>
    <t>| 784  | 0.00229  |    -     | 0.00222  |0.04744  |    -     | 0.04761  |</t>
  </si>
  <si>
    <t>| 785  | 0.00242  |    -     | 0.00225  |0.04572  |    -     | 0.04639  |</t>
  </si>
  <si>
    <t>| 786  | 0.00237  |    -     | 0.00216  |0.04748  |    -     | 0.04754  |</t>
  </si>
  <si>
    <t>| 787  | 0.00240  |    -     | 0.00223  |0.04749  |    -     | 0.04763  |</t>
  </si>
  <si>
    <t>| 788  | 0.00239  |    -     | 0.00226  |0.04409  |    -     | 0.04756  |</t>
  </si>
  <si>
    <t>| 789  | 0.00233  |    -     | 0.00221  |0.04747  |    -     | 0.04760  |</t>
  </si>
  <si>
    <t>| 790  | 0.00241  |    -     | 0.00223  |0.04741  |    -     | 0.04748  |</t>
  </si>
  <si>
    <t>| 791  | 0.00241  |    -     | 0.00223  |0.04741  |    -     | 0.04026  |</t>
  </si>
  <si>
    <t>| 792  | 0.00234  |    -     | 0.00217  |0.04745  |    -     | 0.04763  |</t>
  </si>
  <si>
    <t>| 793  | 0.00234  |    -     | 0.00219  |0.04747  |    -     | 0.04764  |</t>
  </si>
  <si>
    <t>| 794  | 0.00243  |    -     | 0.00221  |0.04746  |    -     | 0.04766  |</t>
  </si>
  <si>
    <t>| 795  | 0.00237  |    -     | 0.00225  |0.04263  |    -     | 0.04772  |</t>
  </si>
  <si>
    <t>| 796  | 0.00239  |    -     | 0.00220  |0.04744  |    -     | 0.04765  |</t>
  </si>
  <si>
    <t>| 797  | 0.00247  |    -     | 0.00230  |0.04748  |    -     | 0.04763  |</t>
  </si>
  <si>
    <t>| 798  | 0.00238  |    -     | 0.00210  |0.04734  |    -     | 0.04763  |</t>
  </si>
  <si>
    <t>| 799  | 0.00232  |    -     | 0.00214  |0.04737  |    -     | 0.04762  |</t>
  </si>
  <si>
    <t>| 800  | 0.00239  |    -     | 0.00225  |0.04741  |    -     | 0.04363  |</t>
  </si>
  <si>
    <t>| 801  | 0.00240  |    -     | 0.00216  |0.04745  |    -     | 0.04759  |</t>
  </si>
  <si>
    <t>| 802  | 0.00232  |    -     | 0.00224  |0.04742  |    -     | 0.04758  |</t>
  </si>
  <si>
    <t>| 803  | 0.00235  |    -     | 0.00218  |0.04746  |    -     | 0.04777  |</t>
  </si>
  <si>
    <t>| 804  | 0.00238  |    -     | 0.00223  |0.04744  |    -     | 0.04756  |</t>
  </si>
  <si>
    <t>| 805  | 0.00228  |    -     | 0.00212  |0.04735  |    -     | 0.04756  |</t>
  </si>
  <si>
    <t>| 806  | 0.00242  |    -     | 0.00226  |0.04079  |    -     | 0.04765  |</t>
  </si>
  <si>
    <t>| 807  | 0.00236  |    -     | 0.00221  |0.04742  |    -     | 0.04755  |</t>
  </si>
  <si>
    <t>| 808  | 0.00230  |    -     | 0.00225  |0.04743  |    -     | 0.04752  |</t>
  </si>
  <si>
    <t>| 809  | 0.00225  |    -     | 0.00208  |0.04730  |    -     | 0.04455  |</t>
  </si>
  <si>
    <t>| 810  | 0.00233  |    -     | 0.00219  |0.04745  |    -     | 0.04663  |</t>
  </si>
  <si>
    <t>| 811  | 0.00239  |    -     | 0.00218  |0.04739  |    -     | 0.04765  |</t>
  </si>
  <si>
    <t>| 812  | 0.00251  |    -     | 0.00223  |0.04750  |    -     | 0.04764  |</t>
  </si>
  <si>
    <t>| 813  | 0.00227  |    -     | 0.00211  |0.04735  |    -     | 0.04686  |</t>
  </si>
  <si>
    <t>| 814  | 0.00242  |    -     | 0.00219  |0.04743  |    -     | 0.04756  |</t>
  </si>
  <si>
    <t>| 815  | 0.00243  |    -     | 0.00222  |0.04754  |    -     | 0.04755  |</t>
  </si>
  <si>
    <t>| 816  | 0.00245  |    -     | 0.00219  |0.04743  |    -     | 0.04761  |</t>
  </si>
  <si>
    <t>| 817  | 0.00237  |    -     | 0.00225  |0.04742  |    -     | 0.04769  |</t>
  </si>
  <si>
    <t>| 818  | 0.00233  |    -     | 0.00220  |0.04734  |    -     | 0.04759  |</t>
  </si>
  <si>
    <t>| 819  | 0.00238  |    -     | 0.00220  |0.04748  |    -     | 0.04766  |</t>
  </si>
  <si>
    <t>| 820  | 0.00237  |    -     | 0.00222  |0.04751  |    -     | 0.04767  |</t>
  </si>
  <si>
    <t>| 821  | 0.00228  |    -     | 0.00210  |0.04748  |    -     | 0.04765  |</t>
  </si>
  <si>
    <t>| 822  | 0.00244  |    -     | 0.00224  |0.04748  |    -     | 0.04763  |</t>
  </si>
  <si>
    <t>| 823  | 0.00236  |    -     | 0.00228  |0.04425  |    -     | 0.04758  |</t>
  </si>
  <si>
    <t>| 824  | 0.00243  |    -     | 0.00222  |0.04751  |    -     | 0.04762  |</t>
  </si>
  <si>
    <t>| 825  | 0.00237  |    -     | 0.00227  |0.04637  |    -     | 0.04531  |</t>
  </si>
  <si>
    <t>| 826  | 0.00239  |    -     | 0.00217  |0.04749  |    -     | 0.04759  |</t>
  </si>
  <si>
    <t>| 827  | 0.00243  |    -     | 0.00224  |0.04749  |    -     | 0.04759  |</t>
  </si>
  <si>
    <t>| 828  | 0.00240  |    -     | 0.00224  |0.04744  |    -     | 0.04782  |</t>
  </si>
  <si>
    <t>| 829  | 0.00229  |    -     | 0.00212  |0.04735  |    -     | 0.04756  |</t>
  </si>
  <si>
    <t>| 830  | 0.00241  |    -     | 0.00227  |0.04741  |    -     | 0.04761  |</t>
  </si>
  <si>
    <t>| 831  | 0.00239  |    -     | 0.00228  |0.04745  |    -     | 0.03664  |</t>
  </si>
  <si>
    <t>| 832  | 0.00227  |    -     | 0.00224  |0.04747  |    -     | 0.04764  |</t>
  </si>
  <si>
    <t>| 833  | 0.00245  |    -     | 0.00219  |0.04748  |    -     | 0.04766  |</t>
  </si>
  <si>
    <t>| 834  | 0.00241  |    -     | 0.00222  |0.04751  |    -     | 0.04759  |</t>
  </si>
  <si>
    <t>| 835  | 0.00239  |    -     | 0.00221  |0.04745  |    -     | 0.04758  |</t>
  </si>
  <si>
    <t>| 836  | 0.00248  |    -     | 0.00223  |0.04746  |    -     | 0.04713  |</t>
  </si>
  <si>
    <t>| 837  | 0.00226  |    -     | 0.00252  |0.04754  |    -     | 0.04769  |</t>
  </si>
  <si>
    <t>| 838  | 0.00235  |    -     | 0.00219  |0.04738  |    -     | 0.04761  |</t>
  </si>
  <si>
    <t>| 839  | 0.00243  |    -     | 0.00229  |0.04747  |    -     | 0.04750  |</t>
  </si>
  <si>
    <t>| 840  | 0.00238  |    -     | 0.00220  |0.04740  |    -     | 0.04100  |</t>
  </si>
  <si>
    <t>| 841  | 0.00234  |    -     | 0.00225  |0.04738  |    -     | 0.04442  |</t>
  </si>
  <si>
    <t>| 842  | 0.00242  |    -     | 0.00226  |0.04752  |    -     | 0.04774  |</t>
  </si>
  <si>
    <t>| 843  | 0.00243  |    -     | 0.00225  |0.04318  |    -     | 0.04757  |</t>
  </si>
  <si>
    <t>| 844  | 0.00240  |    -     | 0.00225  |0.04748  |    -     | 0.04759  |</t>
  </si>
  <si>
    <t>| 845  | 0.00240  |    -     | 0.00223  |0.04745  |    -     | 0.04761  |</t>
  </si>
  <si>
    <t>| 846  | 0.00245  |    -     | 0.00223  |0.04751  |    -     | 0.04776  |</t>
  </si>
  <si>
    <t>| 847  | 0.00237  |    -     | 0.00228  |0.04449  |    -     | 0.04762  |</t>
  </si>
  <si>
    <t>| 848  | 0.00243  |    -     | 0.00220  |0.04750  |    -     | 0.04751  |</t>
  </si>
  <si>
    <t>| 849  | 0.00244  |    -     | 0.00229  |0.04745  |    -     | 0.04761  |</t>
  </si>
  <si>
    <t>| 850  | 0.00230  |    -     | 0.00226  |0.04743  |    -     | 0.04750  |</t>
  </si>
  <si>
    <t>| 851  | 0.00229  |    -     | 0.00221  |0.04713  |    -     | 0.04747  |</t>
  </si>
  <si>
    <t>| 852  | 0.00237  |    -     | 0.00222  |0.04740  |    -     | 0.04579  |</t>
  </si>
  <si>
    <t>| 853  | 0.00223  |    -     | 0.00227  |0.04053  |    -     | 0.04765  |</t>
  </si>
  <si>
    <t>| 854  | 0.00245  |    -     | 0.00221  |0.04518  |    -     | 0.04761  |</t>
  </si>
  <si>
    <t>| 855  | 0.00235  |    -     | 0.00224  |0.04746  |    -     | 0.04759  |</t>
  </si>
  <si>
    <t>| 856  | 0.00238  |    -     | 0.00223  |0.04079  |    -     | 0.04768  |</t>
  </si>
  <si>
    <t>| 857  | 0.00247  |    -     | 0.00219  |0.04279  |    -     | 0.04758  |</t>
  </si>
  <si>
    <t>| 858  | 0.00237  |    -     | 0.00219  |0.04746  |    -     | 0.04768  |</t>
  </si>
  <si>
    <t>| 859  | 0.00242  |    -     | 0.00223  |0.04735  |    -     | 0.04611  |</t>
  </si>
  <si>
    <t>| 860  | 0.00239  |    -     | 0.00225  |0.04745  |    -     | 0.04746  |</t>
  </si>
  <si>
    <t>| 861  | 0.00223  |    -     | 0.00209  |0.04728  |    -     | 0.04753  |</t>
  </si>
  <si>
    <t>| 862  | 0.00226  |    -     | 0.00209  |0.04605  |    -     | 0.04763  |</t>
  </si>
  <si>
    <t>| 863  | 0.00244  |    -     | 0.00225  |0.04747  |    -     | 0.04760  |</t>
  </si>
  <si>
    <t>| 864  | 0.00235  |    -     | 0.00226  |0.04748  |    -     | 0.04758  |</t>
  </si>
  <si>
    <t>| 865  | 0.00224  |    -     | 0.00208  |0.04729  |    -     | 0.04774  |</t>
  </si>
  <si>
    <t>| 866  | 0.00235  |    -     | 0.00229  |0.04741  |    -     | 0.04320  |</t>
  </si>
  <si>
    <t>| 867  | 0.00241  |    -     | 0.00224  |0.04736  |    -     | 0.04761  |</t>
  </si>
  <si>
    <t>| 868  | 0.00235  |    -     | 0.00226  |0.04742  |    -     | 0.04751  |</t>
  </si>
  <si>
    <t>| 869  | 0.00236  |    -     | 0.00220  |0.04751  |    -     | 0.04782  |</t>
  </si>
  <si>
    <t>| 870  | 0.00242  |    -     | 0.00229  |0.04748  |    -     | 0.04775  |</t>
  </si>
  <si>
    <t>| 871  | 0.00234  |    -     | 0.00227  |0.04749  |    -     | 0.04771  |</t>
  </si>
  <si>
    <t>| 872  | 0.00239  |    -     | 0.00228  |0.04750  |    -     | 0.04766  |</t>
  </si>
  <si>
    <t>| 873  | 0.00237  |    -     | 0.00223  |0.04749  |    -     | 0.04758  |</t>
  </si>
  <si>
    <t>| 874  | 0.00232  |    -     | 0.00221  |0.04047  |    -     | 0.04755  |</t>
  </si>
  <si>
    <t>| 875  | 0.00242  |    -     | 0.00222  |0.04744  |    -     | 0.04775  |</t>
  </si>
  <si>
    <t>| 876  | 0.00238  |    -     | 0.00231  |0.04095  |    -     | 0.04767  |</t>
  </si>
  <si>
    <t>| 877  | 0.00242  |    -     | 0.00220  |0.04741  |    -     | 0.04200  |</t>
  </si>
  <si>
    <t>| 878  | 0.00234  |    -     | 0.00220  |0.04745  |    -     | 0.04770  |</t>
  </si>
  <si>
    <t>| 879  | 0.00238  |    -     | 0.00213  |0.04631  |    -     | 0.04465  |</t>
  </si>
  <si>
    <t>| 880  | 0.00233  |    -     | 0.00219  |0.03953  |    -     | 0.04754  |</t>
  </si>
  <si>
    <t>| 881  | 0.00234  |    -     | 0.00226  |0.04739  |    -     | 0.04726  |</t>
  </si>
  <si>
    <t>| 882  | 0.00247  |    -     | 0.00222  |0.04269  |    -     | 0.04747  |</t>
  </si>
  <si>
    <t>| 883  | 0.00236  |    -     | 0.00223  |0.04185  |    -     | 0.04752  |</t>
  </si>
  <si>
    <t>| 884  | 0.00236  |    -     | 0.00221  |0.04740  |    -     | 0.04710  |</t>
  </si>
  <si>
    <t>| 885  | 0.00238  |    -     | 0.00228  |0.04750  |    -     | 0.04657  |</t>
  </si>
  <si>
    <t>| 886  | 0.00238  |    -     | 0.00228  |0.04526  |    -     | 0.04770  |</t>
  </si>
  <si>
    <t>| 887  | 0.00237  |    -     | 0.00222  |0.04639  |    -     | 0.04765  |</t>
  </si>
  <si>
    <t>| 888  | 0.00232  |    -     | 0.00223  |0.04744  |    -     | 0.04761  |</t>
  </si>
  <si>
    <t>| 889  | 0.00243  |    -     | 0.00228  |0.04745  |    -     | 0.04764  |</t>
  </si>
  <si>
    <t>| 890  | 0.00249  |    -     | 0.00214  |0.04743  |    -     | 0.04756  |</t>
  </si>
  <si>
    <t>| 891  | 0.00230  |    -     | 0.00220  |0.04742  |    -     | 0.04757  |</t>
  </si>
  <si>
    <t>| 892  | 0.00236  |    -     | 0.00225  |0.04523  |    -     | 0.04461  |</t>
  </si>
  <si>
    <t>| 893  | 0.00248  |    -     | 0.00224  |0.04747  |    -     | 0.04775  |</t>
  </si>
  <si>
    <t>| 894  | 0.00243  |    -     | 0.00226  |0.04626  |    -     | 0.04762  |</t>
  </si>
  <si>
    <t>| 895  | 0.00231  |    -     | 0.00222  |0.04747  |    -     | 0.04747  |</t>
  </si>
  <si>
    <t>| 896  | 0.00221  |    -     | 0.00208  |0.04310  |    -     | 0.04748  |</t>
  </si>
  <si>
    <t>| 897  | 0.00234  |    -     | 0.00223  |0.04238  |    -     | 0.04627  |</t>
  </si>
  <si>
    <t>| 898  | 0.00225  |    -     | 0.00210  |0.04738  |    -     | 0.04753  |</t>
  </si>
  <si>
    <t>| 899  | 0.00223  |    -     | 0.00210  |0.04731  |    -     | 0.04749  |</t>
  </si>
  <si>
    <t>| 900  | 0.00232  |    -     | 0.00210  |0.04732  |    -     | 0.04444  |</t>
  </si>
  <si>
    <t>| 901  | 0.00223  |    -     | 0.00210  |0.04729  |    -     | 0.04745  |</t>
  </si>
  <si>
    <t>| 902  | 0.00221  |    -     | 0.00212  |0.04612  |    -     | 0.04768  |</t>
  </si>
  <si>
    <t>| 903  | 0.00235  |    -     | 0.00221  |0.04748  |    -     | 0.04775  |</t>
  </si>
  <si>
    <t>| 904  | 0.00234  |    -     | 0.00222  |0.04744  |    -     | 0.04763  |</t>
  </si>
  <si>
    <t>| 905  | 0.00241  |    -     | 0.00223  |0.04745  |    -     | 0.04665  |</t>
  </si>
  <si>
    <t>| 906  | 0.00236  |    -     | 0.00223  |0.04363  |    -     | 0.04762  |</t>
  </si>
  <si>
    <t>| 907  | 0.00235  |    -     | 0.00221  |0.04522  |    -     | 0.04766  |</t>
  </si>
  <si>
    <t>| 908  | 0.00239  |    -     | 0.00223  |0.04745  |    -     | 0.04752  |</t>
  </si>
  <si>
    <t>| 909  | 0.00241  |    -     | 0.00228  |0.04748  |    -     | 0.04751  |</t>
  </si>
  <si>
    <t>| 910  | 0.00231  |    -     | 0.00227  |0.04741  |    -     | 0.04747  |</t>
  </si>
  <si>
    <t>| 911  | 0.00228  |    -     | 0.00209  |0.04729  |    -     | 0.04748  |</t>
  </si>
  <si>
    <t>| 912  | 0.00235  |    -     | 0.00225  |0.04746  |    -     | 0.04762  |</t>
  </si>
  <si>
    <t>| 913  | 0.00226  |    -     | 0.00210  |0.04735  |    -     | 0.04765  |</t>
  </si>
  <si>
    <t>| 914  | 0.00242  |    -     | 0.00219  |0.04743  |    -     | 0.04766  |</t>
  </si>
  <si>
    <t>| 915  | 0.00237  |    -     | 0.00215  |0.04748  |    -     | 0.04137  |</t>
  </si>
  <si>
    <t>| 916  | 0.00223  |    -     | 0.00208  |0.04747  |    -     | 0.04552  |</t>
  </si>
  <si>
    <t>| 917  | 0.00229  |    -     | 0.00219  |0.04744  |    -     | 0.04762  |</t>
  </si>
  <si>
    <t>| 918  | 0.00238  |    -     | 0.00231  |0.04753  |    -     | 0.04766  |</t>
  </si>
  <si>
    <t>| 919  | 0.00238  |    -     | 0.00223  |0.04752  |    -     | 0.04761  |</t>
  </si>
  <si>
    <t>| 920  | 0.00231  |    -     | 0.00227  |0.04755  |    -     | 0.04767  |</t>
  </si>
  <si>
    <t>| 921  | 0.00236  |    -     | 0.00220  |0.04741  |    -     | 0.04759  |</t>
  </si>
  <si>
    <t>| 922  | 0.00243  |    -     | 0.00226  |0.04748  |    -     | 0.04041  |</t>
  </si>
  <si>
    <t>| 923  | 0.00245  |    -     | 0.00227  |0.04061  |    -     | 0.04768  |</t>
  </si>
  <si>
    <t>| 924  | 0.00238  |    -     | 0.00229  |0.04748  |    -     | 0.04781  |</t>
  </si>
  <si>
    <t>| 925  | 0.00243  |    -     | 0.00226  |0.04748  |    -     | 0.04758  |</t>
  </si>
  <si>
    <t>| 926  | 0.00241  |    -     | 0.00228  |0.04740  |    -     | 0.04772  |</t>
  </si>
  <si>
    <t>| 927  | 0.00248  |    -     | 0.00225  |0.04416  |    -     | 0.04527  |</t>
  </si>
  <si>
    <t>| 928  | 0.00239  |    -     | 0.00229  |0.04481  |    -     | 0.04759  |</t>
  </si>
  <si>
    <t>| 929  | 0.00242  |    -     | 0.00225  |0.04418  |    -     | 0.04397  |</t>
  </si>
  <si>
    <t>| 930  | 0.00233  |    -     | 0.00222  |0.04739  |    -     | 0.04804  |</t>
  </si>
  <si>
    <t>| 931  | 0.00243  |    -     | 0.00229  |0.04753  |    -     | 0.04760  |</t>
  </si>
  <si>
    <t>| 932  | 0.00236  |    -     | 0.00226  |0.04743  |    -     | 0.04766  |</t>
  </si>
  <si>
    <t>| 933  | 0.00243  |    -     | 0.00218  |0.04603  |    -     | 0.04384  |</t>
  </si>
  <si>
    <t>| 934  | 0.00241  |    -     | 0.00224  |0.04411  |    -     | 0.04767  |</t>
  </si>
  <si>
    <t>| 935  | 0.00237  |    -     | 0.00223  |0.04750  |    -     | 0.04762  |</t>
  </si>
  <si>
    <t>| 936  | 0.00233  |    -     | 0.00212  |0.04737  |    -     | 0.04760  |</t>
  </si>
  <si>
    <t>| 937  | 0.00243  |    -     | 0.00224  |0.04751  |    -     | 0.04751  |</t>
  </si>
  <si>
    <t>| 938  | 0.00242  |    -     | 0.00228  |0.04623  |    -     | 0.04429  |</t>
  </si>
  <si>
    <t>| 939  | 0.00230  |    -     | 0.00219  |0.04734  |    -     | 0.04769  |</t>
  </si>
  <si>
    <t>| 940  | 0.00234  |    -     | 0.00221  |0.04747  |    -     | 0.04762  |</t>
  </si>
  <si>
    <t>| 941  | 0.00250  |    -     | 0.00218  |0.04738  |    -     | 0.04757  |</t>
  </si>
  <si>
    <t>| 942  | 0.00230  |    -     | 0.00216  |0.04521  |    -     | 0.04759  |</t>
  </si>
  <si>
    <t>| 943  | 0.00231  |    -     | 0.00220  |0.04740  |    -     | 0.04773  |</t>
  </si>
  <si>
    <t>| 944  | 0.00239  |    -     | 0.00226  |0.04749  |    -     | 0.04212  |</t>
  </si>
  <si>
    <t>| 945  | 0.00235  |    -     | 0.00223  |0.04745  |    -     | 0.04297  |</t>
  </si>
  <si>
    <t>| 946  | 0.00228  |    -     | 0.00225  |0.04738  |    -     | 0.04765  |</t>
  </si>
  <si>
    <t>| 947  | 0.00238  |    -     | 0.00221  |0.04463  |    -     | 0.04761  |</t>
  </si>
  <si>
    <t>| 948  | 0.00249  |    -     | 0.00226  |0.04526  |    -     | 0.04293  |</t>
  </si>
  <si>
    <t>| 949  | 0.00233  |    -     | 0.00214  |0.04734  |    -     | 0.04770  |</t>
  </si>
  <si>
    <t>| 950  | 0.00235  |    -     | 0.00223  |0.04585  |    -     | 0.04754  |</t>
  </si>
  <si>
    <t>| 951  | 0.00233  |    -     | 0.00223  |0.04750  |    -     | 0.04762  |</t>
  </si>
  <si>
    <t>| 952  | 0.00228  |    -     | 0.00224  |0.04746  |    -     | 0.04758  |</t>
  </si>
  <si>
    <t>| 953  | 0.00233  |    -     | 0.00219  |0.04437  |    -     | 0.04778  |</t>
  </si>
  <si>
    <t>| 954  | 0.00239  |    -     | 0.00225  |0.04194  |    -     | 0.04759  |</t>
  </si>
  <si>
    <t>| 955  | 0.00234  |    -     | 0.00212  |0.04746  |    -     | 0.04377  |</t>
  </si>
  <si>
    <t>| 956  | 0.00238  |    -     | 0.00228  |0.04751  |    -     | 0.04511  |</t>
  </si>
  <si>
    <t>| 957  | 0.00232  |    -     | 0.00223  |0.04745  |    -     | 0.04753  |</t>
  </si>
  <si>
    <t>| 958  | 0.00242  |    -     | 0.00225  |0.04398  |    -     | 0.04124  |</t>
  </si>
  <si>
    <t>| 959  | 0.00236  |    -     | 0.00220  |0.04115  |    -     | 0.04130  |</t>
  </si>
  <si>
    <t>| 960  | 0.00233  |    -     | 0.00220  |0.03763  |    -     | 0.04767  |</t>
  </si>
  <si>
    <t>| 961  | 0.00236  |    -     | 0.00223  |0.04747  |    -     | 0.04763  |</t>
  </si>
  <si>
    <t>| 962  | 0.00227  |    -     | 0.00209  |0.04469  |    -     | 0.04769  |</t>
  </si>
  <si>
    <t>| 963  | 0.00236  |    -     | 0.00230  |0.04749  |    -     | 0.04336  |</t>
  </si>
  <si>
    <t>| 964  | 0.00233  |    -     | 0.00229  |0.04752  |    -     | 0.04761  |</t>
  </si>
  <si>
    <t>| 965  | 0.00240  |    -     | 0.00220  |0.04739  |    -     | 0.04217  |</t>
  </si>
  <si>
    <t>| 966  | 0.00230  |    -     | 0.00219  |0.04044  |    -     | 0.04747  |</t>
  </si>
  <si>
    <t>| 967  | 0.00240  |    -     | 0.00228  |0.04740  |    -     | 0.04767  |</t>
  </si>
  <si>
    <t>| 968  | 0.00236  |    -     | 0.00220  |0.04747  |    -     | 0.04249  |</t>
  </si>
  <si>
    <t>| 969  | 0.00234  |    -     | 0.00226  |0.04742  |    -     | 0.04749  |</t>
  </si>
  <si>
    <t>| 970  | 0.00231  |    -     | 0.00226  |0.04750  |    -     | 0.04764  |</t>
  </si>
  <si>
    <t>| 971  | 0.00247  |    -     | 0.00219  |0.04745  |    -     | 0.04756  |</t>
  </si>
  <si>
    <t>| 972  | 0.00244  |    -     | 0.00224  |0.04745  |    -     | 0.04745  |</t>
  </si>
  <si>
    <t>| 973  | 0.00223  |    -     | 0.00208  |0.04729  |    -     | 0.04757  |</t>
  </si>
  <si>
    <t>| 974  | 0.00231  |    -     | 0.00226  |0.04754  |    -     | 0.04768  |</t>
  </si>
  <si>
    <t>| 975  | 0.00238  |    -     | 0.00224  |0.04744  |    -     | 0.04769  |</t>
  </si>
  <si>
    <t>| 976  | 0.00231  |    -     | 0.00224  |0.04417  |    -     | 0.04768  |</t>
  </si>
  <si>
    <t>| 977  | 0.00233  |    -     | 0.00224  |0.04749  |    -     | 0.04768  |</t>
  </si>
  <si>
    <t>| 978  | 0.00236  |    -     | 0.00220  |0.04748  |    -     | 0.04763  |</t>
  </si>
  <si>
    <t>| 979  | 0.00235  |    -     | 0.00225  |0.04749  |    -     | 0.04768  |</t>
  </si>
  <si>
    <t>| 980  | 0.00238  |    -     | 0.00223  |0.04749  |    -     | 0.04769  |</t>
  </si>
  <si>
    <t>| 981  | 0.00235  |    -     | 0.00228  |0.04753  |    -     | 0.04166  |</t>
  </si>
  <si>
    <t>| 982  | 0.00236  |    -     | 0.00211  |0.04730  |    -     | 0.04760  |</t>
  </si>
  <si>
    <t>| 983  | 0.00240  |    -     | 0.00222  |0.04748  |    -     | 0.04756  |</t>
  </si>
  <si>
    <t>| 984  | 0.00233  |    -     | 0.00224  |0.04747  |    -     | 0.04762  |</t>
  </si>
  <si>
    <t>| 985  | 0.00234  |    -     | 0.00224  |0.04744  |    -     | 0.04767  |</t>
  </si>
  <si>
    <t>| 986  | 0.00239  |    -     | 0.00226  |0.04099  |    -     | 0.04760  |</t>
  </si>
  <si>
    <t>| 987  | 0.00237  |    -     | 0.00224  |0.04743  |    -     | 0.04753  |</t>
  </si>
  <si>
    <t>| 988  | 0.00235  |    -     | 0.00222  |0.04739  |    -     | 0.04763  |</t>
  </si>
  <si>
    <t>| 989  | 0.00236  |    -     | 0.00222  |0.04114  |    -     | 0.04764  |</t>
  </si>
  <si>
    <t>| 990  | 0.00239  |    -     | 0.00225  |0.04753  |    -     | 0.04768  |</t>
  </si>
  <si>
    <t>| 991  | 0.00236  |    -     | 0.00217  |0.04741  |    -     | 0.04760  |</t>
  </si>
  <si>
    <t>| 992  | 0.00231  |    -     | 0.00218  |0.04685  |    -     | 0.04287  |</t>
  </si>
  <si>
    <t>| 993  | 0.00236  |    -     | 0.00220  |0.04741  |    -     | 0.04771  |</t>
  </si>
  <si>
    <t>| 994  | 0.00245  |    -     | 0.00223  |0.04533  |    -     | 0.04764  |</t>
  </si>
  <si>
    <t>| 995  | 0.00246  |    -     | 0.00223  |0.04744  |    -     | 0.04769  |</t>
  </si>
  <si>
    <t>| 996  | 0.00239  |    -     | 0.00222  |0.04347  |    -     | 0.04471  |</t>
  </si>
  <si>
    <t>| 997  | 0.00234  |    -     | 0.00216  |0.04735  |    -     | 0.04769  |</t>
  </si>
  <si>
    <t>| 998  | 0.00237  |    -     | 0.00222  |0.04744  |    -     | 0.04760  |</t>
  </si>
  <si>
    <t>| 999  | 0.00244  |    -     | 0.00222  |0.04662  |    -     | 0.04469  |</t>
  </si>
  <si>
    <t>| 1000 | 0.00237  |    -     | 0.00224  |0.04749  |    -     | 0.04771  |</t>
  </si>
  <si>
    <t>| 1001 | 0.00236  |    -     | 0.00224  |0.04744  |    -     |    -     |</t>
  </si>
  <si>
    <t>| 1003 | 0.00257  |    -     | 0.00221  |0.04738  |    -     |    -     |</t>
  </si>
  <si>
    <t>| 1004 | 0.00222  |    -     | 0.00207  |0.03992  |    -     |    -     |</t>
  </si>
  <si>
    <t>| 1005 | 0.00224  |    -     | 0.00207  |0.04404  |    -     |    -     |</t>
  </si>
  <si>
    <t>| 1006 | 0.00232  |    -     | 0.00208  |0.04721  |    -     |    -     |</t>
  </si>
  <si>
    <t>| 1007 | 0.00228  |    -     | 0.00208  |0.04730  |    -     |    -     |</t>
  </si>
  <si>
    <t>| 1008 | 0.00225  |    -     | 0.00208  |0.04730  |    -     |    -     |</t>
  </si>
  <si>
    <t>| 1009 | 0.00233  |    -     | 0.00217  |0.04583  |    -     |    -     |</t>
  </si>
  <si>
    <t>| 1010 | 0.00224  |    -     | 0.00215  |0.04732  |    -     |    -     |</t>
  </si>
  <si>
    <t>| 1011 | 0.00232  |    -     | 0.00215  |0.04428  |    -     |    -     |</t>
  </si>
  <si>
    <t>| 1012 | 0.00231  |    -     | 0.00174  |0.04491  |    -     |    -     |</t>
  </si>
  <si>
    <t>| 1013 | 0.00256  |    -     | 0.00212  |0.04418  |    -     |    -     |</t>
  </si>
  <si>
    <t>| 1014 | 0.00226  |    -     | 0.00208  |0.04722  |    -     |    -     |</t>
  </si>
  <si>
    <t>| 1015 | 0.00226  |    -     | 0.00215  |0.04267  |    -     |    -     |</t>
  </si>
  <si>
    <t>| 1016 | 0.00220  |    -     | 0.00205  |0.04725  |    -     |    -     |</t>
  </si>
  <si>
    <t>| 1017 | 0.00239  |    -     | 0.00210  |0.04725  |    -     |    -     |</t>
  </si>
  <si>
    <t>| 1018 | 0.00240  |    -     | 0.00224  |0.04388  |    -     |    -     |</t>
  </si>
  <si>
    <t>| 1019 | 0.00230  |    -     | 0.00207  |0.04726  |    -     |    -     |</t>
  </si>
  <si>
    <t>| 1020 | 0.00223  |    -     | 0.00203  |0.04725  |    -     |    -     |</t>
  </si>
  <si>
    <t>| 1021 | 0.00219  |    -     | 0.00206  |0.04574  |    -     |    -     |</t>
  </si>
  <si>
    <t>| 1022 | 0.00226  |    -     | 0.00210  |0.04736  |    -     |    -     |</t>
  </si>
  <si>
    <t>| 1023 | 0.00243  |    -     | 0.00220  |0.04752  |    -     |    -     |</t>
  </si>
  <si>
    <t>| 1024 | 0.00233  |    -     | 0.00215  |0.04747  |    -     |    -     |</t>
  </si>
  <si>
    <t>| 1025 | 0.00238  |    -     | 0.00223  |0.04742  |    -     |    -     |</t>
  </si>
  <si>
    <t>| 1026 | 0.00228  |    -     | 0.00220  |0.04547  |    -     |    -     |</t>
  </si>
  <si>
    <t>| 1027 | 0.00238  |    -     | 0.00230  |0.04751  |    -     |    -     |</t>
  </si>
  <si>
    <t>| 1028 | 0.00237  |    -     | 0.00222  |0.04605  |    -     |    -     |</t>
  </si>
  <si>
    <t>| 1029 | 0.00234  |    -     | 0.00221  |0.04744  |    -     |    -     |</t>
  </si>
  <si>
    <t>| 1030 | 0.00232  |    -     | 0.00222  |0.04745  |    -     |    -     |</t>
  </si>
  <si>
    <t>| 1031 | 0.00232  |    -     | 0.00224  |0.04214  |    -     |    -     |</t>
  </si>
  <si>
    <t>| 1032 | 0.00229  |    -     | 0.00217  |0.04748  |    -     |    -     |</t>
  </si>
  <si>
    <t>| 1033 | 0.00232  |    -     | 0.00222  |0.04738  |    -     |    -     |</t>
  </si>
  <si>
    <t>| 1034 | 0.00225  |    -     | 0.00212  |0.04693  |    -     |    -     |</t>
  </si>
  <si>
    <t>| 1035 | 0.00246  |    -     | 0.00223  |0.04746  |    -     |    -     |</t>
  </si>
  <si>
    <t>| 1036 | 0.00235  |    -     | 0.00222  |0.04742  |    -     |    -     |</t>
  </si>
  <si>
    <t>| 1037 | 0.00233  |    -     | 0.00221  |0.04746  |    -     |    -     |</t>
  </si>
  <si>
    <t>| 1038 | 0.00235  |    -     | 0.00219  |0.04741  |    -     |    -     |</t>
  </si>
  <si>
    <t>| 1039 | 0.00246  |    -     | 0.00229  |0.04749  |    -     |    -     |</t>
  </si>
  <si>
    <t>| 1040 | 0.00322  |    -     | 0.00244  |0.04760  |    -     |    -     |</t>
  </si>
  <si>
    <t>| 1041 | 0.00237  |    -     | 0.00215  |0.04389  |    -     |    -     |</t>
  </si>
  <si>
    <t>| 1042 | 0.00224  |    -     | 0.00212  |0.04741  |    -     |    -     |</t>
  </si>
  <si>
    <t>| 1043 | 0.00223  |    -     | 0.00209  |0.04434  |    -     |    -     |</t>
  </si>
  <si>
    <t>| 1044 | 0.00243  |    -     | 0.00231  |0.04744  |    -     |    -     |</t>
  </si>
  <si>
    <t>| 1045 | 0.00229  |    -     | 0.00215  |0.04737  |    -     |    -     |</t>
  </si>
  <si>
    <t>| 1046 | 0.00223  |    -     | 0.00211  |0.04749  |    -     |    -     |</t>
  </si>
  <si>
    <t>| 1047 | 0.00237  |    -     | 0.00216  |0.04336  |    -     |    -     |</t>
  </si>
  <si>
    <t>| 1048 | 0.00228  |    -     | 0.00219  |0.04744  |    -     |    -     |</t>
  </si>
  <si>
    <t>| 1049 | 0.00235  |    -     | 0.00223  |0.04092  |    -     |    -     |</t>
  </si>
  <si>
    <t>| 1050 | 0.00238  |    -     | 0.00219  |0.04744  |    -     |    -     |</t>
  </si>
  <si>
    <t>| 1051 | 0.00236  |    -     | 0.00221  |0.04554  |    -     |    -     |</t>
  </si>
  <si>
    <t>| 1052 | 0.00238  |    -     | 0.00227  |0.04748  |    -     |    -     |</t>
  </si>
  <si>
    <t>| 1053 | 0.00232  |    -     | 0.00231  |0.04742  |    -     |    -     |</t>
  </si>
  <si>
    <t>| 1054 | 0.00230  |    -     | 0.00210  |0.04727  |    -     |    -     |</t>
  </si>
  <si>
    <t>| 1055 | 0.00227  |    -     | 0.00211  |0.04728  |    -     |    -     |</t>
  </si>
  <si>
    <t>| 1056 | 0.00183  |    -     | 0.00208  |0.04745  |    -     |    -     |</t>
  </si>
  <si>
    <t>| 1057 | 0.00238  |    -     | 0.00214  |0.04741  |    -     |    -     |</t>
  </si>
  <si>
    <t>| 1058 | 0.00235  |    -     | 0.00209  |0.04743  |    -     |    -     |</t>
  </si>
  <si>
    <t>| 1059 | 0.00226  |    -     | 0.00208  |0.04745  |    -     |    -     |</t>
  </si>
  <si>
    <t>| 1060 | 0.00231  |    -     | 0.00210  |0.04730  |    -     |    -     |</t>
  </si>
  <si>
    <t>| 1061 | 0.00247  |    -     | 0.00214  |0.04729  |    -     |    -     |</t>
  </si>
  <si>
    <t>| 1062 | 0.00231  |    -     | 0.00215  |0.04070  |    -     |    -     |</t>
  </si>
  <si>
    <t>| 1063 | 0.00226  |    -     | 0.00214  |0.04673  |    -     |    -     |</t>
  </si>
  <si>
    <t>| 1064 | 0.00239  |    -     | 0.00218  |0.04726  |    -     |    -     |</t>
  </si>
  <si>
    <t>| 1065 | 0.00229  |    -     | 0.00207  |0.04732  |    -     |    -     |</t>
  </si>
  <si>
    <t>| 1066 | 0.00236  |    -     | 0.00210  |0.04587  |    -     |    -     |</t>
  </si>
  <si>
    <t>| 1067 | 0.00238  |    -     | 0.00227  |0.04705  |    -     |    -     |</t>
  </si>
  <si>
    <t>| 1068 | 0.00236  |    -     | 0.00221  |0.04744  |    -     |    -     |</t>
  </si>
  <si>
    <t>| 1069 | 0.00240  |    -     | 0.00230  |0.04744  |    -     |    -     |</t>
  </si>
  <si>
    <t>| 1070 | 0.00241  |    -     | 0.00222  |0.04748  |    -     |    -     |</t>
  </si>
  <si>
    <t>| 1071 | 0.00249  |    -     | 0.00212  |0.04743  |    -     |    -     |</t>
  </si>
  <si>
    <t>| 1072 | 0.00246  |    -     | 0.00220  |0.04741  |    -     |    -     |</t>
  </si>
  <si>
    <t>| 1073 | 0.00249  |    -     | 0.00238  |0.04759  |    -     |    -     |</t>
  </si>
  <si>
    <t>| 1074 | 0.00247  |    -     | 0.00226  |0.04751  |    -     |    -     |</t>
  </si>
  <si>
    <t>| 1075 | 0.00232  |    -     | 0.00219  |0.04747  |    -     |    -     |</t>
  </si>
  <si>
    <t>| 1076 | 0.00236  |    -     | 0.00223  |0.04748  |    -     |    -     |</t>
  </si>
  <si>
    <t>| 1077 | 0.00238  |    -     | 0.00227  |0.04753  |    -     |    -     |</t>
  </si>
  <si>
    <t>| 1078 | 0.00225  |    -     | 0.00212  |0.04747  |    -     |    -     |</t>
  </si>
  <si>
    <t>| 1079 | 0.00235  |    -     | 0.00218  |0.04746  |    -     |    -     |</t>
  </si>
  <si>
    <t>| 1080 | 0.00235  |    -     | 0.00222  |0.04744  |    -     |    -     |</t>
  </si>
  <si>
    <t>| 1081 | 0.00232  |    -     | 0.00221  |0.04749  |    -     |    -     |</t>
  </si>
  <si>
    <t>| 1082 | 0.00232  |    -     | 0.00217  |0.04726  |    -     |    -     |</t>
  </si>
  <si>
    <t>| 1083 | 0.00230  |    -     | 0.00213  |0.04751  |    -     |    -     |</t>
  </si>
  <si>
    <t>| 1084 | 0.00240  |    -     | 0.00221  |0.04746  |    -     |    -     |</t>
  </si>
  <si>
    <t>| 1085 | 0.00235  |    -     | 0.00220  |0.04748  |    -     |    -     |</t>
  </si>
  <si>
    <t>| 1086 | 0.00238  |    -     | 0.00226  |0.04752  |    -     |    -     |</t>
  </si>
  <si>
    <t>| 1087 | 0.00236  |    -     | 0.00222  |0.04647  |    -     |    -     |</t>
  </si>
  <si>
    <t>| 1088 | 0.00227  |    -     | 0.00216  |0.04729  |    -     |    -     |</t>
  </si>
  <si>
    <t>| 1089 | 0.00243  |    -     | 0.00222  |0.04738  |    -     |    -     |</t>
  </si>
  <si>
    <t>| 1090 | 0.00227  |    -     | 0.00212  |0.04738  |    -     |    -     |</t>
  </si>
  <si>
    <t>| 1091 | 0.00247  |    -     | 0.00221  |0.04755  |    -     |    -     |</t>
  </si>
  <si>
    <t>| 1092 | 0.00240  |    -     | 0.00223  |0.04749  |    -     |    -     |</t>
  </si>
  <si>
    <t>| 1093 | 0.00243  |    -     | 0.00216  |0.04739  |    -     |    -     |</t>
  </si>
  <si>
    <t>| 1094 | 0.00230  |    -     | 0.00220  |0.04749  |    -     |    -     |</t>
  </si>
  <si>
    <t>| 1095 | 0.00243  |    -     | 0.00228  |0.04747  |    -     |    -     |</t>
  </si>
  <si>
    <t>| 1096 | 0.00282  |    -     | 0.00224  |0.04387  |    -     |    -     |</t>
  </si>
  <si>
    <t>| 1097 | 0.00242  |    -     | 0.00223  |0.04745  |    -     |    -     |</t>
  </si>
  <si>
    <t>| 1098 | 0.00236  |    -     | 0.00221  |0.04749  |    -     |    -     |</t>
  </si>
  <si>
    <t>| 1099 | 0.00233  |    -     | 0.00219  |0.04769  |    -     |    -     |</t>
  </si>
  <si>
    <t>| 1100 | 0.00249  |    -     | 0.00223  |0.04745  |    -     |    -     |</t>
  </si>
  <si>
    <t>| 1101 | 0.00243  |    -     | 0.00222  |0.04748  |    -     |    -     |</t>
  </si>
  <si>
    <t>| 1102 | 0.00242  |    -     | 0.00225  |0.04743  |    -     |    -     |</t>
  </si>
  <si>
    <t>| 1103 | 0.00244  |    -     | 0.00223  |0.04749  |    -     |    -     |</t>
  </si>
  <si>
    <t>| 1104 | 0.00238  |    -     | 0.00212  |0.04748  |    -     |    -     |</t>
  </si>
  <si>
    <t>| 1105 | 0.00237  |    -     | 0.00226  |0.04632  |    -     |    -     |</t>
  </si>
  <si>
    <t>| 1106 | 0.00235  |    -     | 0.00215  |0.04698  |    -     |    -     |</t>
  </si>
  <si>
    <t>| 1107 | 0.00244  |    -     | 0.00229  |0.04746  |    -     |    -     |</t>
  </si>
  <si>
    <t>| 1108 | 0.00232  |    -     | 0.00224  |0.04742  |    -     |    -     |</t>
  </si>
  <si>
    <t>| 1109 | 0.00234  |    -     | 0.00208  |0.04501  |    -     |    -     |</t>
  </si>
  <si>
    <t>| 1110 | 0.00249  |    -     | 0.00221  |0.04757  |    -     |    -     |</t>
  </si>
  <si>
    <t>| 1111 | 0.00238  |    -     | 0.00221  |0.04569  |    -     |    -     |</t>
  </si>
  <si>
    <t>| 1112 | 0.00242  |    -     | 0.00227  |0.04748  |    -     |    -     |</t>
  </si>
  <si>
    <t>| 1113 | 0.00237  |    -     | 0.00220  |0.04747  |    -     |    -     |</t>
  </si>
  <si>
    <t>| 1114 | 0.00224  |    -     | 0.00228  |0.04749  |    -     |    -     |</t>
  </si>
  <si>
    <t>| 1115 | 0.00238  |    -     | 0.00215  |0.04749  |    -     |    -     |</t>
  </si>
  <si>
    <t>| 1116 | 0.00242  |    -     | 0.00228  |0.04749  |    -     |    -     |</t>
  </si>
  <si>
    <t>| 1117 | 0.00237  |    -     | 0.00221  |0.04712  |    -     |    -     |</t>
  </si>
  <si>
    <t>| 1118 | 0.00240  |    -     | 0.00223  |0.04747  |    -     |    -     |</t>
  </si>
  <si>
    <t>| 1119 | 0.00235  |    -     | 0.00222  |0.04529  |    -     |    -     |</t>
  </si>
  <si>
    <t>| 1120 | 0.00243  |    -     | 0.00221  |0.04745  |    -     |    -     |</t>
  </si>
  <si>
    <t>| 1121 | 0.00234  |    -     | 0.00220  |0.04440  |    -     |    -     |</t>
  </si>
  <si>
    <t>| 1122 | 0.00246  |    -     | 0.00223  |0.04747  |    -     |    -     |</t>
  </si>
  <si>
    <t>| 1123 | 0.00235  |    -     | 0.00218  |0.04609  |    -     |    -     |</t>
  </si>
  <si>
    <t>| 1124 | 0.00240  |    -     | 0.00228  |0.04749  |    -     |    -     |</t>
  </si>
  <si>
    <t>| 1125 | 0.00235  |    -     | 0.00221  |0.04746  |    -     |    -     |</t>
  </si>
  <si>
    <t>| 1126 | 0.00223  |    -     | 0.00225  |0.04738  |    -     |    -     |</t>
  </si>
  <si>
    <t>| 1127 | 0.00231  |    -     | 0.00219  |0.04724  |    -     |    -     |</t>
  </si>
  <si>
    <t>| 1128 | 0.00263  |    -     | 0.00230  |0.04739  |    -     |    -     |</t>
  </si>
  <si>
    <t>| 1129 | 0.00241  |    -     | 0.00228  |0.04744  |    -     |    -     |</t>
  </si>
  <si>
    <t>| 1130 | 0.00232  |    -     | 0.00224  |0.04746  |    -     |    -     |</t>
  </si>
  <si>
    <t>| 1131 | 0.00242  |    -     | 0.00228  |0.04749  |    -     |    -     |</t>
  </si>
  <si>
    <t>| 1132 | 0.00240  |    -     | 0.00228  |0.04753  |    -     |    -     |</t>
  </si>
  <si>
    <t>| 1133 | 0.00232  |    -     | 0.00221  |0.04749  |    -     |    -     |</t>
  </si>
  <si>
    <t>| 1134 | 0.00232  |    -     | 0.00222  |0.04315  |    -     |    -     |</t>
  </si>
  <si>
    <t>| 1135 | 0.00235  |    -     | 0.00221  |0.04387  |    -     |    -     |</t>
  </si>
  <si>
    <t>| 1136 | 0.00247  |    -     | 0.00221  |0.04742  |    -     |    -     |</t>
  </si>
  <si>
    <t>| 1137 | 0.00238  |    -     | 0.00223  |0.04749  |    -     |    -     |</t>
  </si>
  <si>
    <t>| 1138 | 0.00233  |    -     | 0.00228  |0.04436  |    -     |    -     |</t>
  </si>
  <si>
    <t>| 1139 | 0.00229  |    -     | 0.00215  |0.04747  |    -     |    -     |</t>
  </si>
  <si>
    <t>| 1140 | 0.00243  |    -     | 0.00218  |0.04745  |    -     |    -     |</t>
  </si>
  <si>
    <t>| 1141 | 0.00239  |    -     | 0.00229  |0.04750  |    -     |    -     |</t>
  </si>
  <si>
    <t>| 1142 | 0.00236  |    -     | 0.00223  |0.04105  |    -     |    -     |</t>
  </si>
  <si>
    <t>| 1143 | 0.00231  |    -     | 0.00218  |0.04733  |    -     |    -     |</t>
  </si>
  <si>
    <t>| 1144 | 0.00239  |    -     | 0.00224  |0.04753  |    -     |    -     |</t>
  </si>
  <si>
    <t>| 1145 | 0.00234  |    -     | 0.00220  |0.04740  |    -     |    -     |</t>
  </si>
  <si>
    <t>| 1146 | 0.00233  |    -     | 0.00224  |0.04740  |    -     |    -     |</t>
  </si>
  <si>
    <t>| 1147 | 0.00237  |    -     | 0.00224  |0.04751  |    -     |    -     |</t>
  </si>
  <si>
    <t>| 1148 | 0.00243  |    -     | 0.00210  |0.04535  |    -     |    -     |</t>
  </si>
  <si>
    <t>| 1149 | 0.00224  |    -     | 0.00209  |0.04734  |    -     |    -     |</t>
  </si>
  <si>
    <t>| 1150 | 0.00231  |    -     | 0.00226  |0.04697  |    -     |    -     |</t>
  </si>
  <si>
    <t>| 1151 | 0.00226  |    -     | 0.00212  |0.04733  |    -     |    -     |</t>
  </si>
  <si>
    <t>| 1152 | 0.00237  |    -     | 0.00210  |0.04731  |    -     |    -     |</t>
  </si>
  <si>
    <t>| 1153 | 0.00234  |    -     | 0.00223  |0.04568  |    -     |    -     |</t>
  </si>
  <si>
    <t>| 1154 | 0.00235  |    -     | 0.00223  |0.04744  |    -     |    -     |</t>
  </si>
  <si>
    <t>| 1155 | 0.00232  |    -     | 0.00221  |0.03954  |    -     |    -     |</t>
  </si>
  <si>
    <t>| 1156 | 0.00234  |    -     | 0.00225  |0.04753  |    -     |    -     |</t>
  </si>
  <si>
    <t>| 1157 | 0.00238  |    -     | 0.00221  |0.04742  |    -     |    -     |</t>
  </si>
  <si>
    <t>| 1158 | 0.00234  |    -     | 0.00225  |0.04747  |    -     |    -     |</t>
  </si>
  <si>
    <t>| 1159 | 0.00225  |    -     | 0.00210  |0.04745  |    -     |    -     |</t>
  </si>
  <si>
    <t>| 1160 | 0.00238  |    -     | 0.00224  |0.04735  |    -     |    -     |</t>
  </si>
  <si>
    <t>| 1161 | 0.00243  |    -     | 0.00223  |0.04748  |    -     |    -     |</t>
  </si>
  <si>
    <t>| 1162 | 0.00235  |    -     | 0.00225  |0.04734  |    -     |    -     |</t>
  </si>
  <si>
    <t>| 1163 | 0.00242  |    -     | 0.00222  |0.04740  |    -     |    -     |</t>
  </si>
  <si>
    <t>| 1164 | 0.00244  |    -     | 0.00228  |0.04749  |    -     |    -     |</t>
  </si>
  <si>
    <t>| 1165 | 0.00235  |    -     | 0.00222  |0.04747  |    -     |    -     |</t>
  </si>
  <si>
    <t>| 1166 | 0.00231  |    -     | 0.00219  |0.04591  |    -     |    -     |</t>
  </si>
  <si>
    <t>| 1167 | 0.00232  |    -     | 0.00221  |0.04740  |    -     |    -     |</t>
  </si>
  <si>
    <t>| 1168 | 0.00233  |    -     | 0.00211  |0.04748  |    -     |    -     |</t>
  </si>
  <si>
    <t>| 1169 | 0.00232  |    -     | 0.00218  |0.04747  |    -     |    -     |</t>
  </si>
  <si>
    <t>| 1170 | 0.00233  |    -     | 0.00223  |0.04763  |    -     |    -     |</t>
  </si>
  <si>
    <t>| 1171 | 0.00233  |    -     | 0.00220  |0.04742  |    -     |    -     |</t>
  </si>
  <si>
    <t>| 1172 | 0.00237  |    -     | 0.00223  |0.04744  |    -     |    -     |</t>
  </si>
  <si>
    <t>| 1173 | 0.00226  |    -     | 0.00227  |0.04736  |    -     |    -     |</t>
  </si>
  <si>
    <t>| 1174 | 0.00239  |    -     | 0.00225  |0.04748  |    -     |    -     |</t>
  </si>
  <si>
    <t>| 1175 | 0.00226  |    -     | 0.00228  |0.04749  |    -     |    -     |</t>
  </si>
  <si>
    <t>| 1176 | 0.00236  |    -     | 0.00220  |0.04747  |    -     |    -     |</t>
  </si>
  <si>
    <t>| 1177 | 0.00234  |    -     | 0.00221  |0.04741  |    -     |    -     |</t>
  </si>
  <si>
    <t>| 1178 | 0.00228  |    -     | 0.00226  |0.04405  |    -     |    -     |</t>
  </si>
  <si>
    <t>| 1179 | 0.00233  |    -     | 0.00222  |0.04264  |    -     |    -     |</t>
  </si>
  <si>
    <t>| 1180 | 0.00239  |    -     | 0.00222  |0.04749  |    -     |    -     |</t>
  </si>
  <si>
    <t>| 1181 | 0.00235  |    -     | 0.00220  |0.04746  |    -     |    -     |</t>
  </si>
  <si>
    <t>| 1182 | 0.00233  |    -     | 0.00222  |0.04748  |    -     |    -     |</t>
  </si>
  <si>
    <t>| 1183 | 0.00232  |    -     | 0.00220  |0.04577  |    -     |    -     |</t>
  </si>
  <si>
    <t>| 1184 | 0.00242  |    -     | 0.00213  |0.04747  |    -     |    -     |</t>
  </si>
  <si>
    <t>| 1185 | 0.00251  |    -     | 0.00239  |0.04550  |    -     |    -     |</t>
  </si>
  <si>
    <t>| 1186 | 0.00238  |    -     | 0.00224  |0.04743  |    -     |    -     |</t>
  </si>
  <si>
    <t>| 1187 | 0.00226  |    -     | 0.00224  |0.04748  |    -     |    -     |</t>
  </si>
  <si>
    <t>| 1188 | 0.00251  |    -     | 0.00225  |0.04263  |    -     |    -     |</t>
  </si>
  <si>
    <t>| 1189 | 0.00243  |    -     | 0.00229  |0.04255  |    -     |    -     |</t>
  </si>
  <si>
    <t>| 1190 | 0.00231  |    -     | 0.00223  |0.04747  |    -     |    -     |</t>
  </si>
  <si>
    <t>| 1191 | 0.00243  |    -     | 0.00227  |0.04747  |    -     |    -     |</t>
  </si>
  <si>
    <t>| 1192 | 0.00242  |    -     | 0.00221  |0.04748  |    -     |    -     |</t>
  </si>
  <si>
    <t>| 1193 | 0.00240  |    -     | 0.00223  |0.04737  |    -     |    -     |</t>
  </si>
  <si>
    <t>| 1194 | 0.00220  |    -     | 0.00213  |0.04746  |    -     |    -     |</t>
  </si>
  <si>
    <t>| 1195 | 0.00241  |    -     | 0.00224  |0.04556  |    -     |    -     |</t>
  </si>
  <si>
    <t>| 1196 | 0.00247  |    -     | 0.00223  |0.04748  |    -     |    -     |</t>
  </si>
  <si>
    <t>| 1197 | 0.00238  |    -     | 0.00222  |0.04757  |    -     |    -     |</t>
  </si>
  <si>
    <t>| 1198 | 0.00246  |    -     | 0.00229  |0.04742  |    -     |    -     |</t>
  </si>
  <si>
    <t>| 1199 | 0.00234  |    -     | 0.00222  |0.04740  |    -     |    -     |</t>
  </si>
  <si>
    <t>| 1200 | 0.00246  |    -     | 0.00227  |0.04742  |    -     |    -     |</t>
  </si>
  <si>
    <t>| 1201 | 0.00242  |    -     | 0.00223  |0.04693  |    -     |    -     |</t>
  </si>
  <si>
    <t>| 1202 | 0.00234  |    -     | 0.00220  |0.04748  |    -     |    -     |</t>
  </si>
  <si>
    <t>| 1203 | 0.00237  |    -     | 0.00230  |0.04753  |    -     |    -     |</t>
  </si>
  <si>
    <t>| 1204 | 0.00244  |    -     | 0.00227  |0.04751  |    -     |    -     |</t>
  </si>
  <si>
    <t>| 1205 | 0.00233  |    -     | 0.00221  |0.04748  |    -     |    -     |</t>
  </si>
  <si>
    <t>| 1206 | 0.00235  |    -     | 0.00222  |0.04737  |    -     |    -     |</t>
  </si>
  <si>
    <t>| 1207 | 0.00234  |    -     | 0.00222  |0.04742  |    -     |    -     |</t>
  </si>
  <si>
    <t>| 1208 | 0.00236  |    -     | 0.00213  |0.04739  |    -     |    -     |</t>
  </si>
  <si>
    <t>| 1209 | 0.00221  |    -     | 0.00224  |0.04740  |    -     |    -     |</t>
  </si>
  <si>
    <t>| 1210 | 0.00221  |    -     | 0.00213  |0.04712  |    -     |    -     |</t>
  </si>
  <si>
    <t>| 1211 | 0.00243  |    -     | 0.00225  |0.04737  |    -     |    -     |</t>
  </si>
  <si>
    <t>| 1212 | 0.00242  |    -     | 0.00221  |0.04256  |    -     |    -     |</t>
  </si>
  <si>
    <t>| 1213 | 0.00221  |    -     | 0.00208  |0.04730  |    -     |    -     |</t>
  </si>
  <si>
    <t>| 1214 | 0.00222  |    -     | 0.00206  |0.04730  |    -     |    -     |</t>
  </si>
  <si>
    <t>| 1215 | 0.00235  |    -     | 0.00222  |0.04753  |    -     |    -     |</t>
  </si>
  <si>
    <t>| 1216 | 0.00241  |    -     | 0.00227  |0.04509  |    -     |    -     |</t>
  </si>
  <si>
    <t>| 1217 | 0.00232  |    -     | 0.00220  |0.04443  |    -     |    -     |</t>
  </si>
  <si>
    <t>| 1218 | 0.00237  |    -     | 0.00222  |0.04752  |    -     |    -     |</t>
  </si>
  <si>
    <t>| 1219 | 0.00238  |    -     | 0.00229  |0.04734  |    -     |    -     |</t>
  </si>
  <si>
    <t>| 1220 | 0.00250  |    -     | 0.00222  |0.04199  |    -     |    -     |</t>
  </si>
  <si>
    <t>| 1221 | 0.00230  |    -     | 0.00217  |0.04630  |    -     |    -     |</t>
  </si>
  <si>
    <t>| 1222 | 0.00236  |    -     | 0.00223  |0.04750  |    -     |    -     |</t>
  </si>
  <si>
    <t>| 1223 | 0.00240  |    -     | 0.00228  |0.04750  |    -     |    -     |</t>
  </si>
  <si>
    <t>| 1224 | 0.00239  |    -     | 0.00221  |0.04745  |    -     |    -     |</t>
  </si>
  <si>
    <t>| 1225 | 0.00233  |    -     | 0.00222  |0.04018  |    -     |    -     |</t>
  </si>
  <si>
    <t>| 1226 | 0.00231  |    -     | 0.00218  |0.04750  |    -     |    -     |</t>
  </si>
  <si>
    <t>| 1227 | 0.00243  |    -     | 0.00227  |0.04748  |    -     |    -     |</t>
  </si>
  <si>
    <t>| 1228 | 0.00240  |    -     | 0.00217  |0.04123  |    -     |    -     |</t>
  </si>
  <si>
    <t>| 1229 | 0.00237  |    -     | 0.00223  |0.04738  |    -     |    -     |</t>
  </si>
  <si>
    <t>| 1230 | 0.00236  |    -     | 0.00223  |0.04749  |    -     |    -     |</t>
  </si>
  <si>
    <t>| 1231 | 0.00236  |    -     | 0.00221  |0.04745  |    -     |    -     |</t>
  </si>
  <si>
    <t>| 1232 | 0.00242  |    -     | 0.00223  |0.04362  |    -     |    -     |</t>
  </si>
  <si>
    <t>| 1233 | 0.00237  |    -     | 0.00225  |0.04484  |    -     |    -     |</t>
  </si>
  <si>
    <t>| 1234 | 0.00243  |    -     | 0.00233  |0.04670  |    -     |    -     |</t>
  </si>
  <si>
    <t>| 1235 | 0.00236  |    -     | 0.00219  |0.04745  |    -     |    -     |</t>
  </si>
  <si>
    <t>| 1236 | 0.00240  |    -     | 0.00220  |0.04746  |    -     |    -     |</t>
  </si>
  <si>
    <t>| 1237 | 0.00231  |    -     | 0.00221  |0.04743  |    -     |    -     |</t>
  </si>
  <si>
    <t>| 1238 | 0.00245  |    -     | 0.00228  |0.04748  |    -     |    -     |</t>
  </si>
  <si>
    <t>| 1239 | 0.00238  |    -     | 0.00218  |0.04748  |    -     |    -     |</t>
  </si>
  <si>
    <t>| 1240 | 0.00238  |    -     | 0.00217  |0.04740  |    -     |    -     |</t>
  </si>
  <si>
    <t>| 1241 | 0.00236  |    -     | 0.00221  |0.04191  |    -     |    -     |</t>
  </si>
  <si>
    <t>| 1242 | 0.00232  |    -     | 0.00222  |0.04741  |    -     |    -     |</t>
  </si>
  <si>
    <t>| 1243 | 0.00232  |    -     | 0.00228  |0.04736  |    -     |    -     |</t>
  </si>
  <si>
    <t>| 1244 | 0.00238  |    -     | 0.00219  |0.04749  |    -     |    -     |</t>
  </si>
  <si>
    <t>| 1245 | 0.00238  |    -     | 0.00222  |0.04749  |    -     |    -     |</t>
  </si>
  <si>
    <t>| 1246 | 0.00234  |    -     | 0.00213  |0.04623  |    -     |    -     |</t>
  </si>
  <si>
    <t>| 1247 | 0.00230  |    -     | 0.00221  |0.04645  |    -     |    -     |</t>
  </si>
  <si>
    <t>| 1248 | 0.00218  |    -     | 0.00206  |0.04711  |    -     |    -     |</t>
  </si>
  <si>
    <t>| 1249 | 0.00233  |    -     | 0.00219  |0.04733  |    -     |    -     |</t>
  </si>
  <si>
    <t>| 1250 | 0.00233  |    -     | 0.00207  |0.04084  |    -     |    -     |</t>
  </si>
  <si>
    <t>| 1251 | 0.00242  |    -     | 0.00221  |0.04748  |    -     |    -     |</t>
  </si>
  <si>
    <t>| 1252 | 0.00249  |    -     | 0.00227  |0.04430  |    -     |    -     |</t>
  </si>
  <si>
    <t>| 1253 | 0.00237  |    -     | 0.00223  |0.04631  |    -     |    -     |</t>
  </si>
  <si>
    <t>| 1254 | 0.00240  |    -     | 0.00221  |0.04745  |    -     |    -     |</t>
  </si>
  <si>
    <t>| 1255 | 0.00228  |    -     | 0.00213  |0.04731  |    -     |    -     |</t>
  </si>
  <si>
    <t>| 1256 | 0.00239  |    -     | 0.00220  |0.04746  |    -     |    -     |</t>
  </si>
  <si>
    <t>| 1257 | 0.00253  |    -     | 0.00212  |0.04700  |    -     |    -     |</t>
  </si>
  <si>
    <t>| 1258 | 0.00241  |    -     | 0.00223  |0.04749  |    -     |    -     |</t>
  </si>
  <si>
    <t>| 1259 | 0.00236  |    -     | 0.00268  |0.04752  |    -     |    -     |</t>
  </si>
  <si>
    <t>| 1260 | 0.00247  |    -     | 0.00228  |0.04703  |    -     |    -     |</t>
  </si>
  <si>
    <t>| 1261 | 0.00238  |    -     | 0.00226  |0.04512  |    -     |    -     |</t>
  </si>
  <si>
    <t>| 1262 | 0.00231  |    -     | 0.00221  |0.04748  |    -     |    -     |</t>
  </si>
  <si>
    <t>| 1263 | 0.00236  |    -     | 0.00221  |0.04747  |    -     |    -     |</t>
  </si>
  <si>
    <t>| 1264 | 0.00238  |    -     | 0.00229  |0.04745  |    -     |    -     |</t>
  </si>
  <si>
    <t>| 1265 | 0.00235  |    -     | 0.00221  |0.04741  |    -     |    -     |</t>
  </si>
  <si>
    <t>| 1266 | 0.00234  |    -     | 0.00225  |0.04750  |    -     |    -     |</t>
  </si>
  <si>
    <t>| 1267 | 0.00235  |    -     | 0.00221  |0.04751  |    -     |    -     |</t>
  </si>
  <si>
    <t>| 1268 | 0.00239  |    -     | 0.00224  |0.03952  |    -     |    -     |</t>
  </si>
  <si>
    <t>| 1269 | 0.00230  |    -     | 0.00223  |0.04749  |    -     |    -     |</t>
  </si>
  <si>
    <t>| 1270 | 0.00237  |    -     | 0.00222  |0.04321  |    -     |    -     |</t>
  </si>
  <si>
    <t>| 1271 | 0.00236  |    -     | 0.00223  |0.04745  |    -     |    -     |</t>
  </si>
  <si>
    <t>| 1272 | 0.00234  |    -     | 0.00223  |0.04528  |    -     |    -     |</t>
  </si>
  <si>
    <t>| 1273 | 0.00232  |    -     | 0.00218  |0.04739  |    -     |    -     |</t>
  </si>
  <si>
    <t>| 1274 | 0.00237  |    -     | 0.00222  |0.04156  |    -     |    -     |</t>
  </si>
  <si>
    <t>| 1275 | 0.00230  |    -     | 0.00220  |0.04747  |    -     |    -     |</t>
  </si>
  <si>
    <t>| 1276 | 0.00233  |    -     | 0.00221  |0.04624  |    -     |    -     |</t>
  </si>
  <si>
    <t>| 1277 | 0.00237  |    -     | 0.00219  |0.04753  |    -     |    -     |</t>
  </si>
  <si>
    <t>| 1278 | 0.00240  |    -     | 0.00227  |0.04744  |    -     |    -     |</t>
  </si>
  <si>
    <t>| 1279 | 0.00228  |    -     | 0.00227  |0.04754  |    -     |    -     |</t>
  </si>
  <si>
    <t>| 1280 | 0.00234  |    -     | 0.00219  |0.04098  |    -     |    -     |</t>
  </si>
  <si>
    <t>| 1281 | 0.00227  |    -     | 0.00216  |0.04269  |    -     |    -     |</t>
  </si>
  <si>
    <t>| 1282 | 0.00233  |    -     | 0.00221  |0.04749  |    -     |    -     |</t>
  </si>
  <si>
    <t>| 1283 | 0.00236  |    -     | 0.00224  |0.04745  |    -     |    -     |</t>
  </si>
  <si>
    <t>| 1284 | 0.00238  |    -     | 0.00222  |0.04590  |    -     |    -     |</t>
  </si>
  <si>
    <t>| 1285 | 0.00230  |    -     | 0.00222  |0.04754  |    -     |    -     |</t>
  </si>
  <si>
    <t>| 1286 | 0.00239  |    -     | 0.00219  |0.04742  |    -     |    -     |</t>
  </si>
  <si>
    <t>| 1287 | 0.00237  |    -     | 0.00227  |0.04752  |    -     |    -     |</t>
  </si>
  <si>
    <t>| 1288 | 0.00246  |    -     | 0.00226  |0.04749  |    -     |    -     |</t>
  </si>
  <si>
    <t>| 1289 | 0.00234  |    -     | 0.00213  |0.04752  |    -     |    -     |</t>
  </si>
  <si>
    <t>| 1290 | 0.00234  |    -     | 0.00222  |0.04746  |    -     |    -     |</t>
  </si>
  <si>
    <t>| 1291 | 0.00233  |    -     | 0.00215  |0.04393  |    -     |    -     |</t>
  </si>
  <si>
    <t>| 1292 | 0.00234  |    -     | 0.00217  |0.04742  |    -     |    -     |</t>
  </si>
  <si>
    <t>| 1293 | 0.00228  |    -     | 0.00228  |0.04749  |    -     |    -     |</t>
  </si>
  <si>
    <t>| 1294 | 0.00234  |    -     | 0.00219  |0.04747  |    -     |    -     |</t>
  </si>
  <si>
    <t>| 1295 | 0.00234  |    -     | 0.00223  |0.04747  |    -     |    -     |</t>
  </si>
  <si>
    <t>| 1296 | 0.00236  |    -     | 0.00227  |0.04738  |    -     |    -     |</t>
  </si>
  <si>
    <t>| 1297 | 0.00242  |    -     | 0.00224  |0.04749  |    -     |    -     |</t>
  </si>
  <si>
    <t>| 1298 | 0.00238  |    -     | 0.00215  |0.04751  |    -     |    -     |</t>
  </si>
  <si>
    <t>| 1299 | 0.00236  |    -     | 0.00228  |0.04750  |    -     |    -     |</t>
  </si>
  <si>
    <t>| 1300 | 0.00240  |    -     | 0.00221  |0.04745  |    -     |    -     |</t>
  </si>
  <si>
    <t>| 1301 | 0.00231  |    -     | 0.00221  |0.04752  |    -     |    -     |</t>
  </si>
  <si>
    <t>| 1302 | 0.00234  |    -     | 0.00231  |0.04736  |    -     |    -     |</t>
  </si>
  <si>
    <t>| 1303 | 0.00224  |    -     | 0.00211  |0.04742  |    -     |    -     |</t>
  </si>
  <si>
    <t>| 1304 | 0.00242  |    -     | 0.00224  |0.04737  |    -     |    -     |</t>
  </si>
  <si>
    <t>| 1305 | 0.00237  |    -     | 0.00233  |0.04741  |    -     |    -     |</t>
  </si>
  <si>
    <t>| 1306 | 0.00236  |    -     | 0.00221  |0.04738  |    -     |    -     |</t>
  </si>
  <si>
    <t>| 1307 | 0.00234  |    -     | 0.00223  |0.04738  |    -     |    -     |</t>
  </si>
  <si>
    <t>| 1308 | 0.00239  |    -     | 0.00222  |0.04751  |    -     |    -     |</t>
  </si>
  <si>
    <t>| 1309 | 0.00232  |    -     | 0.00221  |0.04386  |    -     |    -     |</t>
  </si>
  <si>
    <t>| 1310 | 0.00229  |    -     | 0.00221  |0.04748  |    -     |    -     |</t>
  </si>
  <si>
    <t>| 1311 | 0.00230  |    -     | 0.00219  |0.04745  |    -     |    -     |</t>
  </si>
  <si>
    <t>| 1312 | 0.00234  |    -     | 0.00212  |0.04749  |    -     |    -     |</t>
  </si>
  <si>
    <t>| 1313 | 0.00239  |    -     | 0.00222  |0.04741  |    -     |    -     |</t>
  </si>
  <si>
    <t>| 1314 | 0.00238  |    -     | 0.00222  |0.04408  |    -     |    -     |</t>
  </si>
  <si>
    <t>| 1315 | 0.00231  |    -     | 0.00220  |0.04743  |    -     |    -     |</t>
  </si>
  <si>
    <t>| 1316 | 0.00228  |    -     | 0.00226  |0.04746  |    -     |    -     |</t>
  </si>
  <si>
    <t>| 1317 | 0.00237  |    -     | 0.00223  |0.04747  |    -     |    -     |</t>
  </si>
  <si>
    <t>| 1318 | 0.00233  |    -     | 0.00221  |0.04463  |    -     |    -     |</t>
  </si>
  <si>
    <t>| 1319 | 0.00235  |    -     | 0.00223  |0.04740  |    -     |    -     |</t>
  </si>
  <si>
    <t>| 1320 | 0.00240  |    -     | 0.00228  |0.04108  |    -     |    -     |</t>
  </si>
  <si>
    <t>| 1321 | 0.00237  |    -     | 0.00223  |0.04746  |    -     |    -     |</t>
  </si>
  <si>
    <t>| 1322 | 0.00223  |    -     | 0.00229  |0.04759  |    -     |    -     |</t>
  </si>
  <si>
    <t>| 1323 | 0.00247  |    -     | 0.00214  |0.04745  |    -     |    -     |</t>
  </si>
  <si>
    <t>| 1324 | 0.00237  |    -     | 0.00222  |0.04744  |    -     |    -     |</t>
  </si>
  <si>
    <t>| 1325 | 0.00239  |    -     | 0.00219  |0.04744  |    -     |    -     |</t>
  </si>
  <si>
    <t>| 1326 | 0.00236  |    -     | 0.00221  |0.04199  |    -     |    -     |</t>
  </si>
  <si>
    <t>| 1327 | 0.00230  |    -     | 0.00221  |0.04750  |    -     |    -     |</t>
  </si>
  <si>
    <t>| 1328 | 0.00238  |    -     | 0.00220  |0.04756  |    -     |    -     |</t>
  </si>
  <si>
    <t>| 1329 | 0.00235  |    -     | 0.00223  |0.04752  |    -     |    -     |</t>
  </si>
  <si>
    <t>| 1330 | 0.00237  |    -     | 0.00221  |0.03948  |    -     |    -     |</t>
  </si>
  <si>
    <t>| 1331 | 0.00231  |    -     | 0.00220  |0.04753  |    -     |    -     |</t>
  </si>
  <si>
    <t>| 1332 | 0.00245  |    -     | 0.00227  |0.04274  |    -     |    -     |</t>
  </si>
  <si>
    <t>| 1333 | 0.00226  |    -     | 0.00209  |0.04736  |    -     |    -     |</t>
  </si>
  <si>
    <t>| 1334 | 0.00227  |    -     | 0.00210  |0.04226  |    -     |    -     |</t>
  </si>
  <si>
    <t>| 1335 | 0.00222  |    -     | 0.00205  |0.04731  |    -     |    -     |</t>
  </si>
  <si>
    <t>| 1336 | 0.00233  |    -     | 0.00208  |0.04740  |    -     |    -     |</t>
  </si>
  <si>
    <t>| 1337 | 0.00224  |    -     | 0.00207  |0.04737  |    -     |    -     |</t>
  </si>
  <si>
    <t>| 1338 | 0.00228  |    -     | 0.00209  |0.04728  |    -     |    -     |</t>
  </si>
  <si>
    <t>| 1339 | 0.00218  |    -     | 0.00209  |0.04729  |    -     |    -     |</t>
  </si>
  <si>
    <t>| 1340 | 0.00221  |    -     | 0.00210  |0.04041  |    -     |    -     |</t>
  </si>
  <si>
    <t>| 1341 | 0.00223  |    -     | 0.00206  |0.04732  |    -     |    -     |</t>
  </si>
  <si>
    <t>| 1342 | 0.00226  |    -     | 0.00210  |0.04739  |    -     |    -     |</t>
  </si>
  <si>
    <t>| 1343 | 0.00226  |    -     | 0.00229  |0.04743  |    -     |    -     |</t>
  </si>
  <si>
    <t>| 1344 | 0.00241  |    -     | 0.00216  |0.04744  |    -     |    -     |</t>
  </si>
  <si>
    <t>| 1345 | 0.00238  |    -     | 0.00217  |0.04515  |    -     |    -     |</t>
  </si>
  <si>
    <t>| 1346 | 0.00227  |    -     | 0.00208  |0.04728  |    -     |    -     |</t>
  </si>
  <si>
    <t>| 1347 | 0.00223  |    -     | 0.00210  |0.04734  |    -     |    -     |</t>
  </si>
  <si>
    <t>| 1348 | 0.00226  |    -     | 0.00209  |0.04726  |    -     |    -     |</t>
  </si>
  <si>
    <t>| 1349 | 0.00222  |    -     | 0.00208  |0.04726  |    -     |    -     |</t>
  </si>
  <si>
    <t>| 1350 | 0.00222  |    -     | 0.00207  |0.04728  |    -     |    -     |</t>
  </si>
  <si>
    <t>| 1351 | 0.00221  |    -     | 0.00206  |0.04729  |    -     |    -     |</t>
  </si>
  <si>
    <t>| 1352 | 0.00168  |    -     | 0.00230  |0.04730  |    -     |    -     |</t>
  </si>
  <si>
    <t>| 1353 | 0.00229  |    -     | 0.00207  |0.04629  |    -     |    -     |</t>
  </si>
  <si>
    <t>| 1354 | 0.00227  |    -     | 0.00212  |0.04736  |    -     |    -     |</t>
  </si>
  <si>
    <t>| 1355 | 0.00230  |    -     | 0.00211  |0.04730  |    -     |    -     |</t>
  </si>
  <si>
    <t>| 1356 | 0.00230  |    -     | 0.00208  |0.04147  |    -     |    -     |</t>
  </si>
  <si>
    <t>| 1357 | 0.00225  |    -     | 0.00210  |0.04727  |    -     |    -     |</t>
  </si>
  <si>
    <t>| 1358 | 0.00226  |    -     | 0.00209  |0.04729  |    -     |    -     |</t>
  </si>
  <si>
    <t>| 1359 | 0.00225  |    -     | 0.00208  |0.04729  |    -     |    -     |</t>
  </si>
  <si>
    <t>| 1360 | 0.00223  |    -     | 0.00207  |0.04725  |    -     |    -     |</t>
  </si>
  <si>
    <t>| 1361 | 0.00223  |    -     | 0.00208  |0.04731  |    -     |    -     |</t>
  </si>
  <si>
    <t>| 1362 | 0.00229  |    -     | 0.00210  |0.04729  |    -     |    -     |</t>
  </si>
  <si>
    <t>| 1363 | 0.00224  |    -     | 0.00209  |0.04731  |    -     |    -     |</t>
  </si>
  <si>
    <t>| 1364 | 0.00225  |    -     | 0.00210  |0.04730  |    -     |    -     |</t>
  </si>
  <si>
    <t>| 1365 | 0.00226  |    -     | 0.00210  |0.04725  |    -     |    -     |</t>
  </si>
  <si>
    <t>| 1366 | 0.00228  |    -     | 0.00210  |0.04729  |    -     |    -     |</t>
  </si>
  <si>
    <t>| 1367 | 0.00225  |    -     | 0.00211  |0.04722  |    -     |    -     |</t>
  </si>
  <si>
    <t>| 1368 | 0.00224  |    -     | 0.00210  |0.04099  |    -     |    -     |</t>
  </si>
  <si>
    <t>| 1369 | 0.00230  |    -     | 0.00208  |0.04727  |    -     |    -     |</t>
  </si>
  <si>
    <t>| 1370 | 0.00227  |    -     | 0.00211  |0.04733  |    -     |    -     |</t>
  </si>
  <si>
    <t>| 1371 | 0.00232  |    -     | 0.00211  |0.04736  |    -     |    -     |</t>
  </si>
  <si>
    <t>| 1372 | 0.00228  |    -     | 0.00209  |0.04732  |    -     |    -     |</t>
  </si>
  <si>
    <t>| 1373 | 0.00229  |    -     | 0.00208  |0.04733  |    -     |    -     |</t>
  </si>
  <si>
    <t>| 1374 | 0.00229  |    -     | 0.00207  |0.04723  |    -     |    -     |</t>
  </si>
  <si>
    <t>| 1375 | 0.00220  |    -     | 0.00210  |0.04615  |    -     |    -     |</t>
  </si>
  <si>
    <t>| 1376 | 0.00226  |    -     | 0.00207  |0.04010  |    -     |    -     |</t>
  </si>
  <si>
    <t>| 1377 | 0.00234  |    -     | 0.00213  |0.04386  |    -     |    -     |</t>
  </si>
  <si>
    <t>| 1378 | 0.00224  |    -     | 0.00208  |0.04730  |    -     |    -     |</t>
  </si>
  <si>
    <t>| 1379 | 0.00236  |    -     | 0.00209  |0.04728  |    -     |    -     |</t>
  </si>
  <si>
    <t>| 1380 | 0.00223  |    -     | 0.00208  |0.04734  |    -     |    -     |</t>
  </si>
  <si>
    <t>| 1381 | 0.00230  |    -     | 0.00212  |0.04729  |    -     |    -     |</t>
  </si>
  <si>
    <t>| 1382 | 0.00227  |    -     | 0.00211  |0.04729  |    -     |    -     |</t>
  </si>
  <si>
    <t>| 1383 | 0.00229  |    -     | 0.00214  |0.04167  |    -     |    -     |</t>
  </si>
  <si>
    <t>| 1384 | 0.00224  |    -     | 0.00208  |0.04734  |    -     |    -     |</t>
  </si>
  <si>
    <t>| 1385 | 0.00230  |    -     | 0.00210  |0.04587  |    -     |    -     |</t>
  </si>
  <si>
    <t>| 1386 | 0.00232  |    -     | 0.00211  |0.04737  |    -     |    -     |</t>
  </si>
  <si>
    <t>| 1387 | 0.00231  |    -     | 0.00211  |0.04736  |    -     |    -     |</t>
  </si>
  <si>
    <t>| 1388 | 0.00237  |    -     | 0.00212  |0.04734  |    -     |    -     |</t>
  </si>
  <si>
    <t>| 1389 | 0.00228  |    -     | 0.00210  |0.04596  |    -     |    -     |</t>
  </si>
  <si>
    <t>| 1390 | 0.00229  |    -     | 0.00210  |0.04732  |    -     |    -     |</t>
  </si>
  <si>
    <t>| 1391 | 0.00229  |    -     | 0.00188  |0.04732  |    -     |    -     |</t>
  </si>
  <si>
    <t>| 1392 | 0.00235  |    -     | 0.00214  |0.04738  |    -     |    -     |</t>
  </si>
  <si>
    <t>| 1393 | 0.00231  |    -     | 0.00211  |0.04736  |    -     |    -     |</t>
  </si>
  <si>
    <t>| 1394 | 0.00224  |    -     | 0.00206  |0.04720  |    -     |    -     |</t>
  </si>
  <si>
    <t>| 1395 | 0.00224  |    -     | 0.00206  |0.04083  |    -     |    -     |</t>
  </si>
  <si>
    <t>| 1396 | 0.00224  |    -     | 0.00205  |0.04729  |    -     |    -     |</t>
  </si>
  <si>
    <t>| 1397 | 0.00224  |    -     | 0.00316  |0.04734  |    -     |    -     |</t>
  </si>
  <si>
    <t>| 1398 | 0.00222  |    -     | 0.00206  |0.04567  |    -     |    -     |</t>
  </si>
  <si>
    <t>| 1399 | 0.00222  |    -     | 0.00208  |0.04688  |    -     |    -     |</t>
  </si>
  <si>
    <t>| 1400 | 0.00243  |    -     | 0.00224  |0.04751  |    -     |    -     |</t>
  </si>
  <si>
    <t>| 1401 | 0.00236  |    -     | 0.00221  |0.04742  |    -     |    -     |</t>
  </si>
  <si>
    <t>| 1402 | 0.00232  |    -     | 0.00222  |0.04743  |    -     |    -     |</t>
  </si>
  <si>
    <t>| 1403 | 0.00236  |    -     | 0.00222  |0.04746  |    -     |    -     |</t>
  </si>
  <si>
    <t>| 1404 | 0.00231  |    -     | 0.00220  |0.04749  |    -     |    -     |</t>
  </si>
  <si>
    <t>| 1405 | 0.00233  |    -     | 0.00218  |0.04740  |    -     |    -     |</t>
  </si>
  <si>
    <t>| 1406 | 0.00227  |    -     | 0.00225  |0.04127  |    -     |    -     |</t>
  </si>
  <si>
    <t>| 1407 | 0.00240  |    -     | 0.00223  |0.04747  |    -     |    -     |</t>
  </si>
  <si>
    <t>| 1408 | 0.00235  |    -     | 0.00211  |0.04334  |    -     |    -     |</t>
  </si>
  <si>
    <t>| 1409 | 0.00240  |    -     | 0.00222  |0.04413  |    -     |    -     |</t>
  </si>
  <si>
    <t>| 1410 | 0.00229  |    -     | 0.00218  |0.04389  |    -     |    -     |</t>
  </si>
  <si>
    <t>| 1411 | 0.00230  |    -     | 0.00216  |0.04559  |    -     |    -     |</t>
  </si>
  <si>
    <t>| 1412 | 0.00238  |    -     | 0.00222  |0.04330  |    -     |    -     |</t>
  </si>
  <si>
    <t>| 1413 | 0.00244  |    -     | 0.00225  |0.04743  |    -     |    -     |</t>
  </si>
  <si>
    <t>| 1414 | 0.00243  |    -     | 0.00216  |0.04554  |    -     |    -     |</t>
  </si>
  <si>
    <t>| 1415 | 0.00240  |    -     | 0.00226  |0.04602  |    -     |    -     |</t>
  </si>
  <si>
    <t>| 1416 | 0.00234  |    -     | 0.00227  |0.04746  |    -     |    -     |</t>
  </si>
  <si>
    <t>| 1417 | 0.00236  |    -     | 0.00219  |0.04747  |    -     |    -     |</t>
  </si>
  <si>
    <t>| 1418 | 0.00234  |    -     | 0.00222  |0.04751  |    -     |    -     |</t>
  </si>
  <si>
    <t>| 1419 | 0.00238  |    -     | 0.00218  |0.04189  |    -     |    -     |</t>
  </si>
  <si>
    <t>| 1420 | 0.00237  |    -     | 0.00222  |0.04748  |    -     |    -     |</t>
  </si>
  <si>
    <t>| 1421 | 0.00233  |    -     | 0.00219  |0.04744  |    -     |    -     |</t>
  </si>
  <si>
    <t>| 1422 | 0.00236  |    -     | 0.00223  |0.04494  |    -     |    -     |</t>
  </si>
  <si>
    <t>| 1423 | 0.00235  |    -     | 0.00223  |0.04746  |    -     |    -     |</t>
  </si>
  <si>
    <t>| 1424 | 0.00231  |    -     | 0.00220  |0.04752  |    -     |    -     |</t>
  </si>
  <si>
    <t>| 1425 | 0.00233  |    -     | 0.00217  |0.04740  |    -     |    -     |</t>
  </si>
  <si>
    <t>| 1426 | 0.00237  |    -     | 0.00220  |0.04739  |    -     |    -     |</t>
  </si>
  <si>
    <t>| 1427 | 0.00244  |    -     | 0.00219  |0.04748  |    -     |    -     |</t>
  </si>
  <si>
    <t>| 1428 | 0.00232  |    -     | 0.00219  |0.04437  |    -     |    -     |</t>
  </si>
  <si>
    <t>| 1429 | 0.00236  |    -     | 0.00224  |0.04748  |    -     |    -     |</t>
  </si>
  <si>
    <t>| 1430 | 0.00235  |    -     | 0.00222  |0.04748  |    -     |    -     |</t>
  </si>
  <si>
    <t>| 1431 | 0.00245  |    -     | 0.00219  |0.04748  |    -     |    -     |</t>
  </si>
  <si>
    <t>| 1432 | 0.00231  |    -     | 0.00220  |0.04752  |    -     |    -     |</t>
  </si>
  <si>
    <t>| 1433 | 0.00239  |    -     | 0.00229  |0.04737  |    -     |    -     |</t>
  </si>
  <si>
    <t>| 1434 | 0.00234  |    -     | 0.00228  |0.04749  |    -     |    -     |</t>
  </si>
  <si>
    <t>| 1435 | 0.00234  |    -     | 0.00222  |0.04712  |    -     |    -     |</t>
  </si>
  <si>
    <t>| 1436 | 0.00221  |    -     | 0.00220  |0.04742  |    -     |    -     |</t>
  </si>
  <si>
    <t>| 1437 | 0.00240  |    -     | 0.00223  |0.04746  |    -     |    -     |</t>
  </si>
  <si>
    <t>| 1438 | 0.00234  |    -     | 0.00222  |0.04737  |    -     |    -     |</t>
  </si>
  <si>
    <t>| 1439 | 0.00244  |    -     | 0.00214  |0.04484  |    -     |    -     |</t>
  </si>
  <si>
    <t>| 1440 | 0.00239  |    -     | 0.00227  |0.04750  |    -     |    -     |</t>
  </si>
  <si>
    <t>| 1441 | 0.00233  |    -     | 0.00223  |0.04750  |    -     |    -     |</t>
  </si>
  <si>
    <t>| 1442 | 0.00232  |    -     | 0.00217  |0.04275  |    -     |    -     |</t>
  </si>
  <si>
    <t>| 1443 | 0.00235  |    -     | 0.00219  |0.04735  |    -     |    -     |</t>
  </si>
  <si>
    <t>| 1444 | 0.00220  |    -     | 0.00206  |0.04603  |    -     |    -     |</t>
  </si>
  <si>
    <t>| 1445 | 0.00222  |    -     | 0.00206  |0.04729  |    -     |    -     |</t>
  </si>
  <si>
    <t>| 1446 | 0.00231  |    -     | 0.00219  |0.04743  |    -     |    -     |</t>
  </si>
  <si>
    <t>| 1447 | 0.00239  |    -     | 0.00212  |0.04736  |    -     |    -     |</t>
  </si>
  <si>
    <t>| 1448 | 0.00225  |    -     | 0.00226  |0.04741  |    -     |    -     |</t>
  </si>
  <si>
    <t>| 1449 | 0.00234  |    -     | 0.00220  |0.04346  |    -     |    -     |</t>
  </si>
  <si>
    <t>| 1450 | 0.00235  |    -     | 0.00219  |0.04172  |    -     |    -     |</t>
  </si>
  <si>
    <t>| 1451 | 0.00234  |    -     | 0.00223  |0.04744  |    -     |    -     |</t>
  </si>
  <si>
    <t>| 1452 | 0.00229  |    -     | 0.00222  |0.04749  |    -     |    -     |</t>
  </si>
  <si>
    <t>| 1453 | 0.00241  |    -     | 0.00223  |0.04742  |    -     |    -     |</t>
  </si>
  <si>
    <t>| 1454 | 0.00236  |    -     | 0.00225  |0.04734  |    -     |    -     |</t>
  </si>
  <si>
    <t>| 1455 | 0.00230  |    -     | 0.00224  |0.04746  |    -     |    -     |</t>
  </si>
  <si>
    <t>| 1456 | 0.00235  |    -     | 0.00222  |0.04748  |    -     |    -     |</t>
  </si>
  <si>
    <t>| 1457 | 0.00232  |    -     | 0.00222  |0.04745  |    -     |    -     |</t>
  </si>
  <si>
    <t>| 1458 | 0.00239  |    -     | 0.00228  |0.04749  |    -     |    -     |</t>
  </si>
  <si>
    <t>| 1459 | 0.00224  |    -     | 0.00211  |0.04752  |    -     |    -     |</t>
  </si>
  <si>
    <t>| 1460 | 0.00240  |    -     | 0.00220  |0.04478  |    -     |    -     |</t>
  </si>
  <si>
    <t>| 1461 | 0.00240  |    -     | 0.00223  |0.04742  |    -     |    -     |</t>
  </si>
  <si>
    <t>| 1462 | 0.00234  |    -     | 0.00220  |0.04748  |    -     |    -     |</t>
  </si>
  <si>
    <t>| 1463 | 0.00238  |    -     | 0.00221  |0.04746  |    -     |    -     |</t>
  </si>
  <si>
    <t>| 1464 | 0.00231  |    -     | 0.00220  |0.04745  |    -     |    -     |</t>
  </si>
  <si>
    <t>| 1465 | 0.00234  |    -     | 0.00220  |0.04748  |    -     |    -     |</t>
  </si>
  <si>
    <t>| 1466 | 0.00234  |    -     | 0.00220  |0.04741  |    -     |    -     |</t>
  </si>
  <si>
    <t>| 1467 | 0.00224  |    -     | 0.00206  |0.04151  |    -     |    -     |</t>
  </si>
  <si>
    <t>| 1468 | 0.00233  |    -     | 0.00222  |0.04738  |    -     |    -     |</t>
  </si>
  <si>
    <t>| 1469 | 0.00235  |    -     | 0.00222  |0.04745  |    -     |    -     |</t>
  </si>
  <si>
    <t>| 1470 | 0.00236  |    -     | 0.00223  |0.04746  |    -     |    -     |</t>
  </si>
  <si>
    <t>| 1471 | 0.00226  |    -     | 0.00217  |0.04733  |    -     |    -     |</t>
  </si>
  <si>
    <t>| 1472 | 0.00239  |    -     | 0.00219  |0.04726  |    -     |    -     |</t>
  </si>
  <si>
    <t>| 1473 | 0.00237  |    -     | 0.00222  |0.04560  |    -     |    -     |</t>
  </si>
  <si>
    <t>| 1474 | 0.00239  |    -     | 0.00221  |0.04753  |    -     |    -     |</t>
  </si>
  <si>
    <t>| 1475 | 0.00240  |    -     | 0.00223  |0.04750  |    -     |    -     |</t>
  </si>
  <si>
    <t>| 1476 | 0.00233  |    -     | 0.00219  |0.04744  |    -     |    -     |</t>
  </si>
  <si>
    <t>| 1477 | 0.00237  |    -     | 0.00220  |0.04747  |    -     |    -     |</t>
  </si>
  <si>
    <t>| 1478 | 0.00233  |    -     | 0.00221  |0.04216  |    -     |    -     |</t>
  </si>
  <si>
    <t>| 1479 | 0.00252  |    -     | 0.00235  |0.04749  |    -     |    -     |</t>
  </si>
  <si>
    <t>| 1480 | 0.00241  |    -     | 0.00221  |0.04738  |    -     |    -     |</t>
  </si>
  <si>
    <t>| 1481 | 0.00235  |    -     | 0.00223  |0.04710  |    -     |    -     |</t>
  </si>
  <si>
    <t>| 1482 | 0.00231  |    -     | 0.00218  |0.04253  |    -     |    -     |</t>
  </si>
  <si>
    <t>| 1483 | 0.00231  |    -     | 0.00216  |0.04746  |    -     |    -     |</t>
  </si>
  <si>
    <t>| 1484 | 0.00235  |    -     | 0.00218  |0.04742  |    -     |    -     |</t>
  </si>
  <si>
    <t>| 1485 | 0.00233  |    -     | 0.00223  |0.04747  |    -     |    -     |</t>
  </si>
  <si>
    <t>| 1486 | 0.00234  |    -     | 0.00219  |0.04747  |    -     |    -     |</t>
  </si>
  <si>
    <t>| 1487 | 0.00233  |    -     | 0.00219  |0.04733  |    -     |    -     |</t>
  </si>
  <si>
    <t>| 1488 | 0.00242  |    -     | 0.00221  |0.04750  |    -     |    -     |</t>
  </si>
  <si>
    <t>| 1489 | 0.00236  |    -     | 0.00227  |0.04735  |    -     |    -     |</t>
  </si>
  <si>
    <t>| 1490 | 0.00240  |    -     | 0.00225  |0.04751  |    -     |    -     |</t>
  </si>
  <si>
    <t>| 1491 | 0.00238  |    -     | 0.00219  |0.04743  |    -     |    -     |</t>
  </si>
  <si>
    <t>| 1492 | 0.00240  |    -     | 0.00213  |0.04326  |    -     |    -     |</t>
  </si>
  <si>
    <t>| 1493 | 0.00239  |    -     | 0.00222  |0.04749  |    -     |    -     |</t>
  </si>
  <si>
    <t>| 1494 | 0.00233  |    -     | 0.00221  |0.04155  |    -     |    -     |</t>
  </si>
  <si>
    <t>| 1495 | 0.00223  |    -     | 0.00221  |0.04744  |    -     |    -     |</t>
  </si>
  <si>
    <t>| 1496 | 0.00239  |    -     | 0.00220  |0.04747  |    -     |    -     |</t>
  </si>
  <si>
    <t>| 1497 | 0.00234  |    -     | 0.00221  |0.04747  |    -     |    -     |</t>
  </si>
  <si>
    <t>| 1498 | 0.00235  |    -     | 0.00219  |0.04743  |    -     |    -     |</t>
  </si>
  <si>
    <t>| 1499 | 0.00238  |    -     | 0.00221  |0.04746  |    -     |    -     |</t>
  </si>
  <si>
    <t>| 1500 | 0.00233  |    -     | 0.00221  |0.04747  |    -     |    -     |</t>
  </si>
  <si>
    <t>| 1501 | 0.00232  |    -     | 0.00220  |0.04618  |    -     |    -     |</t>
  </si>
  <si>
    <t>| 1502 | 0.00235  |    -     | 0.00227  |0.04139  |    -     |    -     |</t>
  </si>
  <si>
    <t>| 1503 | 0.00233  |    -     | 0.00218  |0.04747  |    -     |    -     |</t>
  </si>
  <si>
    <t>| 1504 | 0.00234  |    -     | 0.00217  |0.04746  |    -     |    -     |</t>
  </si>
  <si>
    <t>| 1505 | 0.00235  |    -     | 0.00222  |0.04744  |    -     |    -     |</t>
  </si>
  <si>
    <t>| 1506 | 0.00234  |    -     | 0.00219  |0.04609  |    -     |    -     |</t>
  </si>
  <si>
    <t>| 1507 | 0.00233  |    -     | 0.00220  |0.04744  |    -     |    -     |</t>
  </si>
  <si>
    <t>| 1508 | 0.00233  |    -     | 0.00219  |0.04380  |    -     |    -     |</t>
  </si>
  <si>
    <t>| 1509 | 0.00224  |    -     | 0.00214  |0.04529  |    -     |    -     |</t>
  </si>
  <si>
    <t>| 1510 | 0.00245  |    -     | 0.00223  |0.03994  |    -     |    -     |</t>
  </si>
  <si>
    <t>| 1511 | 0.00229  |    -     | 0.00213  |0.04742  |    -     |    -     |</t>
  </si>
  <si>
    <t>| 1512 | 0.00234  |    -     | 0.00227  |0.04757  |    -     |    -     |</t>
  </si>
  <si>
    <t>| 1513 | 0.00237  |    -     | 0.00225  |0.04737  |    -     |    -     |</t>
  </si>
  <si>
    <t>| 1514 | 0.00208  |    -     | 0.00227  |0.04734  |    -     |    -     |</t>
  </si>
  <si>
    <t>| 1515 | 0.00233  |    -     | 0.00220  |0.04737  |    -     |    -     |</t>
  </si>
  <si>
    <t>| 1516 | 0.00237  |    -     | 0.00224  |0.04747  |    -     |    -     |</t>
  </si>
  <si>
    <t>| 1517 | 0.00236  |    -     | 0.00220  |0.04743  |    -     |    -     |</t>
  </si>
  <si>
    <t>| 1518 | 0.00235  |    -     | 0.00223  |0.04439  |    -     |    -     |</t>
  </si>
  <si>
    <t>| 1519 | 0.00239  |    -     | 0.00209  |0.04746  |    -     |    -     |</t>
  </si>
  <si>
    <t>| 1520 | 0.00234  |    -     | 0.00218  |0.04751  |    -     |    -     |</t>
  </si>
  <si>
    <t>| 1521 | 0.00238  |    -     | 0.00228  |0.03949  |    -     |    -     |</t>
  </si>
  <si>
    <t>| 1522 | 0.00230  |    -     | 0.00217  |0.04744  |    -     |    -     |</t>
  </si>
  <si>
    <t>| 1523 | 0.00247  |    -     | 0.00224  |0.04748  |    -     |    -     |</t>
  </si>
  <si>
    <t>| 1524 | 0.00235  |    -     | 0.00222  |0.04740  |    -     |    -     |</t>
  </si>
  <si>
    <t>| 1525 | 0.00235  |    -     | 0.00221  |0.04739  |    -     |    -     |</t>
  </si>
  <si>
    <t>| 1526 | 0.00237  |    -     | 0.00223  |0.04747  |    -     |    -     |</t>
  </si>
  <si>
    <t>| 1527 | 0.00234  |    -     | 0.00221  |0.04749  |    -     |    -     |</t>
  </si>
  <si>
    <t>| 1528 | 0.00244  |    -     | 0.00226  |0.04403  |    -     |    -     |</t>
  </si>
  <si>
    <t>| 1529 | 0.00233  |    -     | 0.00218  |0.04747  |    -     |    -     |</t>
  </si>
  <si>
    <t>| 1530 | 0.00233  |    -     | 0.00220  |0.04747  |    -     |    -     |</t>
  </si>
  <si>
    <t>| 1531 | 0.00229  |    -     | 0.00214  |0.03973  |    -     |    -     |</t>
  </si>
  <si>
    <t>| 1532 | 0.00239  |    -     | 0.00224  |0.04740  |    -     |    -     |</t>
  </si>
  <si>
    <t>| 1533 | 0.00249  |    -     | 0.00230  |0.03965  |    -     |    -     |</t>
  </si>
  <si>
    <t>| 1534 | 0.00238  |    -     | 0.00222  |0.04743  |    -     |    -     |</t>
  </si>
  <si>
    <t>| 1535 | 0.00233  |    -     | 0.00219  |0.04745  |    -     |    -     |</t>
  </si>
  <si>
    <t>| 1536 | 0.00235  |    -     | 0.00221  |0.04739  |    -     |    -     |</t>
  </si>
  <si>
    <t>| 1537 | 0.00237  |    -     | 0.00211  |0.04117  |    -     |    -     |</t>
  </si>
  <si>
    <t>| 1538 | 0.00235  |    -     | 0.00224  |0.04745  |    -     |    -     |</t>
  </si>
  <si>
    <t>| 1539 | 0.00246  |    -     | 0.00221  |0.04747  |    -     |    -     |</t>
  </si>
  <si>
    <t>| 1540 | 0.00235  |    -     | 0.00229  |0.04739  |    -     |    -     |</t>
  </si>
  <si>
    <t>| 1541 | 0.00248  |    -     | 0.00222  |0.04743  |    -     |    -     |</t>
  </si>
  <si>
    <t>| 1542 | 0.00234  |    -     | 0.00215  |0.04730  |    -     |    -     |</t>
  </si>
  <si>
    <t>| 1543 | 0.00227  |    -     | 0.00218  |0.04713  |    -     |    -     |</t>
  </si>
  <si>
    <t>| 1544 | 0.00234  |    -     | 0.00221  |0.04299  |    -     |    -     |</t>
  </si>
  <si>
    <t>| 1545 | 0.00233  |    -     | 0.00222  |0.04728  |    -     |    -     |</t>
  </si>
  <si>
    <t>| 1546 | 0.00238  |    -     | 0.00220  |0.04741  |    -     |    -     |</t>
  </si>
  <si>
    <t>| 1547 | 0.00235  |    -     | 0.00219  |0.04744  |    -     |    -     |</t>
  </si>
  <si>
    <t>| 1548 | 0.00236  |    -     | 0.00222  |0.04748  |    -     |    -     |</t>
  </si>
  <si>
    <t>| 1549 | 0.00235  |    -     | 0.00226  |0.04739  |    -     |    -     |</t>
  </si>
  <si>
    <t>| 1550 | 0.00244  |    -     | 0.00228  |0.04741  |    -     |    -     |</t>
  </si>
  <si>
    <t>| 1551 | 0.00225  |    -     | 0.00222  |0.04149  |    -     |    -     |</t>
  </si>
  <si>
    <t>| 1552 | 0.00236  |    -     | 0.00220  |0.04743  |    -     |    -     |</t>
  </si>
  <si>
    <t>| 1553 | 0.00235  |    -     | 0.00223  |0.04596  |    -     |    -     |</t>
  </si>
  <si>
    <t>| 1554 | 0.00239  |    -     | 0.00221  |0.04387  |    -     |    -     |</t>
  </si>
  <si>
    <t>| 1555 | 0.00232  |    -     | 0.00220  |0.04746  |    -     |    -     |</t>
  </si>
  <si>
    <t>| 1556 | 0.00232  |    -     | 0.00221  |0.04748  |    -     |    -     |</t>
  </si>
  <si>
    <t>| 1557 | 0.00237  |    -     | 0.00222  |0.03971  |    -     |    -     |</t>
  </si>
  <si>
    <t>| 1558 | 0.00231  |    -     | 0.00219  |0.04751  |    -     |    -     |</t>
  </si>
  <si>
    <t>| 1559 | 0.00237  |    -     | 0.00222  |0.04743  |    -     |    -     |</t>
  </si>
  <si>
    <t>| 1560 | 0.00242  |    -     | 0.00227  |0.04744  |    -     |    -     |</t>
  </si>
  <si>
    <t>| 1561 | 0.00235  |    -     | 0.00225  |0.04659  |    -     |    -     |</t>
  </si>
  <si>
    <t>| 1562 | 0.00247  |    -     | 0.00223  |0.04747  |    -     |    -     |</t>
  </si>
  <si>
    <t>| 1563 | 0.00233  |    -     | 0.00220  |0.04746  |    -     |    -     |</t>
  </si>
  <si>
    <t>| 1564 | 0.00234  |    -     | 0.00220  |0.04460  |    -     |    -     |</t>
  </si>
  <si>
    <t>| 1565 | 0.00235  |    -     | 0.00224  |0.04747  |    -     |    -     |</t>
  </si>
  <si>
    <t>| 1566 | 0.00224  |    -     | 0.00227  |0.04747  |    -     |    -     |</t>
  </si>
  <si>
    <t>| 1567 | 0.00242  |    -     | 0.00224  |0.03961  |    -     |    -     |</t>
  </si>
  <si>
    <t>| 1568 | 0.00237  |    -     | 0.00221  |0.04628  |    -     |    -     |</t>
  </si>
  <si>
    <t>| 1569 | 0.00234  |    -     | 0.00223  |0.04750  |    -     |    -     |</t>
  </si>
  <si>
    <t>| 1570 | 0.00238  |    -     | 0.00224  |0.04742  |    -     |    -     |</t>
  </si>
  <si>
    <t>| 1571 | 0.00227  |    -     | 0.00214  |0.03808  |    -     |    -     |</t>
  </si>
  <si>
    <t>| 1572 | 0.00247  |    -     | 0.00221  |0.04748  |    -     |    -     |</t>
  </si>
  <si>
    <t>| 1573 | 0.00236  |    -     | 0.00220  |0.04274  |    -     |    -     |</t>
  </si>
  <si>
    <t>| 1574 | 0.00221  |    -     | 0.00208  |0.04737  |    -     |    -     |</t>
  </si>
  <si>
    <t>| 1575 | 0.00236  |    -     | 0.00221  |0.04749  |    -     |    -     |</t>
  </si>
  <si>
    <t>| 1576 | 0.00236  |    -     | 0.00217  |0.04739  |    -     |    -     |</t>
  </si>
  <si>
    <t>| 1577 | 0.00236  |    -     | 0.00217  |0.04301  |    -     |    -     |</t>
  </si>
  <si>
    <t>| 1578 | 0.00234  |    -     | 0.00217  |0.04749  |    -     |    -     |</t>
  </si>
  <si>
    <t>| 1579 | 0.00240  |    -     | 0.00220  |0.04740  |    -     |    -     |</t>
  </si>
  <si>
    <t>| 1580 | 0.00240  |    -     | 0.00225  |0.04743  |    -     |    -     |</t>
  </si>
  <si>
    <t>| 1581 | 0.00240  |    -     | 0.00222  |0.04742  |    -     |    -     |</t>
  </si>
  <si>
    <t>| 1582 | 0.00241  |    -     | 0.00225  |0.04746  |    -     |    -     |</t>
  </si>
  <si>
    <t>| 1583 | 0.00243  |    -     | 0.00222  |0.04089  |    -     |    -     |</t>
  </si>
  <si>
    <t>| 1584 | 0.00230  |    -     | 0.00218  |0.04747  |    -     |    -     |</t>
  </si>
  <si>
    <t>| 1585 | 0.00234  |    -     | 0.00223  |0.04749  |    -     |    -     |</t>
  </si>
  <si>
    <t>| 1586 | 0.00239  |    -     | 0.00229  |0.04746  |    -     |    -     |</t>
  </si>
  <si>
    <t>| 1587 | 0.00234  |    -     | 0.00223  |0.04745  |    -     |    -     |</t>
  </si>
  <si>
    <t>| 1588 | 0.00235  |    -     | 0.00221  |0.04741  |    -     |    -     |</t>
  </si>
  <si>
    <t>| 1589 | 0.00235  |    -     | 0.00222  |0.04358  |    -     |    -     |</t>
  </si>
  <si>
    <t>| 1590 | 0.00235  |    -     | 0.00211  |0.04747  |    -     |    -     |</t>
  </si>
  <si>
    <t>| 1591 | 0.00243  |    -     | 0.00216  |0.04770  |    -     |    -     |</t>
  </si>
  <si>
    <t>| 1592 | 0.00254  |    -     | 0.00227  |0.04120  |    -     |    -     |</t>
  </si>
  <si>
    <t>| 1593 | 0.00242  |    -     | 0.00219  |0.04572  |    -     |    -     |</t>
  </si>
  <si>
    <t>| 1594 | 0.00243  |    -     | 0.00221  |0.04748  |    -     |    -     |</t>
  </si>
  <si>
    <t>| 1595 | 0.00241  |    -     | 0.00229  |0.04742  |    -     |    -     |</t>
  </si>
  <si>
    <t>| 1596 | 0.00237  |    -     | 0.00220  |0.04750  |    -     |    -     |</t>
  </si>
  <si>
    <t>| 1597 | 0.00238  |    -     | 0.00218  |0.04749  |    -     |    -     |</t>
  </si>
  <si>
    <t>| 1598 | 0.00241  |    -     | 0.00225  |0.04081  |    -     |    -     |</t>
  </si>
  <si>
    <t>| 1599 | 0.00235  |    -     | 0.00221  |0.04747  |    -     |    -     |</t>
  </si>
  <si>
    <t>| 1600 | 0.00239  |    -     | 0.00220  |0.04744  |    -     |    -     |</t>
  </si>
  <si>
    <t>| 1601 | 0.00236  |    -     | 0.00214  |0.04637  |    -     |    -     |</t>
  </si>
  <si>
    <t>| 1602 | 0.00220  |    -     | 0.00207  |0.04728  |    -     |    -     |</t>
  </si>
  <si>
    <t>| 1603 | 0.00246  |    -     | 0.00228  |0.04341  |    -     |    -     |</t>
  </si>
  <si>
    <t>| 1604 | 0.00231  |    -     | 0.00223  |0.04744  |    -     |    -     |</t>
  </si>
  <si>
    <t>| 1605 | 0.00234  |    -     | 0.00221  |0.04747  |    -     |    -     |</t>
  </si>
  <si>
    <t>| 1606 | 0.00238  |    -     | 0.00227  |0.04747  |    -     |    -     |</t>
  </si>
  <si>
    <t>| 1607 | 0.00238  |    -     | 0.00224  |0.04749  |    -     |    -     |</t>
  </si>
  <si>
    <t>| 1608 | 0.00235  |    -     | 0.00230  |0.04342  |    -     |    -     |</t>
  </si>
  <si>
    <t>| 1609 | 0.00233  |    -     | 0.00216  |0.04751  |    -     |    -     |</t>
  </si>
  <si>
    <t>| 1610 | 0.00243  |    -     | 0.00220  |0.03955  |    -     |    -     |</t>
  </si>
  <si>
    <t>| 1611 | 0.00244  |    -     | 0.00217  |0.04751  |    -     |    -     |</t>
  </si>
  <si>
    <t>| 1612 | 0.00236  |    -     | 0.00228  |0.04748  |    -     |    -     |</t>
  </si>
  <si>
    <t>| 1613 | 0.00236  |    -     | 0.00223  |0.04464  |    -     |    -     |</t>
  </si>
  <si>
    <t>| 1614 | 0.00239  |    -     | 0.00223  |0.04745  |    -     |    -     |</t>
  </si>
  <si>
    <t>| 1615 | 0.00235  |    -     | 0.00222  |0.04748  |    -     |    -     |</t>
  </si>
  <si>
    <t>| 1616 | 0.00237  |    -     | 0.00223  |0.04742  |    -     |    -     |</t>
  </si>
  <si>
    <t>| 1617 | 0.00243  |    -     | 0.00222  |0.04752  |    -     |    -     |</t>
  </si>
  <si>
    <t>| 1618 | 0.00239  |    -     | 0.00226  |0.04748  |    -     |    -     |</t>
  </si>
  <si>
    <t>| 1619 | 0.00234  |    -     | 0.00219  |0.04743  |    -     |    -     |</t>
  </si>
  <si>
    <t>| 1620 | 0.00234  |    -     | 0.00224  |0.04567  |    -     |    -     |</t>
  </si>
  <si>
    <t>| 1621 | 0.00237  |    -     | 0.00209  |0.04730  |    -     |    -     |</t>
  </si>
  <si>
    <t>| 1622 | 0.00252  |    -     | 0.00222  |0.04748  |    -     |    -     |</t>
  </si>
  <si>
    <t>| 1623 | 0.00236  |    -     | 0.00218  |0.04026  |    -     |    -     |</t>
  </si>
  <si>
    <t>| 1624 | 0.00236  |    -     | 0.00224  |0.04493  |    -     |    -     |</t>
  </si>
  <si>
    <t>| 1625 | 0.00238  |    -     | 0.00224  |0.04744  |    -     |    -     |</t>
  </si>
  <si>
    <t>| 1626 | 0.00226  |    -     | 0.00232  |0.04749  |    -     |    -     |</t>
  </si>
  <si>
    <t>| 1627 | 0.00240  |    -     | 0.00227  |0.04747  |    -     |    -     |</t>
  </si>
  <si>
    <t>| 1628 | 0.00240  |    -     | 0.00222  |0.04418  |    -     |    -     |</t>
  </si>
  <si>
    <t>| 1629 | 0.00232  |    -     | 0.00216  |0.04734  |    -     |    -     |</t>
  </si>
  <si>
    <t>| 1630 | 0.00235  |    -     | 0.00233  |0.04768  |    -     |    -     |</t>
  </si>
  <si>
    <t>| 1631 | 0.00239  |    -     | 0.00223  |0.04150  |    -     |    -     |</t>
  </si>
  <si>
    <t>| 1632 | 0.00233  |    -     | 0.00220  |0.04746  |    -     |    -     |</t>
  </si>
  <si>
    <t>| 1633 | 0.00229  |    -     | 0.00219  |0.04745  |    -     |    -     |</t>
  </si>
  <si>
    <t>| 1634 | 0.00241  |    -     | 0.00222  |0.04741  |    -     |    -     |</t>
  </si>
  <si>
    <t>| 1635 | 0.00241  |    -     | 0.00217  |0.04738  |    -     |    -     |</t>
  </si>
  <si>
    <t>| 1636 | 0.00234  |    -     | 0.00222  |0.04748  |    -     |    -     |</t>
  </si>
  <si>
    <t>| 1637 | 0.00233  |    -     | 0.00218  |0.04737  |    -     |    -     |</t>
  </si>
  <si>
    <t>| 1638 | 0.00238  |    -     | 0.00220  |0.04740  |    -     |    -     |</t>
  </si>
  <si>
    <t>| 1639 | 0.00235  |    -     | 0.00213  |0.04745  |    -     |    -     |</t>
  </si>
  <si>
    <t>| 1640 | 0.00242  |    -     | 0.00213  |0.04600  |    -     |    -     |</t>
  </si>
  <si>
    <t>| 1641 | 0.00226  |    -     | 0.00206  |0.04729  |    -     |    -     |</t>
  </si>
  <si>
    <t>| 1642 | 0.00249  |    -     | 0.00221  |0.04747  |    -     |    -     |</t>
  </si>
  <si>
    <t>| 1643 | 0.00235  |    -     | 0.00219  |0.04742  |    -     |    -     |</t>
  </si>
  <si>
    <t>| 1644 | 0.00235  |    -     | 0.00221  |0.04043  |    -     |    -     |</t>
  </si>
  <si>
    <t>| 1645 | 0.00225  |    -     | 0.00220  |0.04746  |    -     |    -     |</t>
  </si>
  <si>
    <t>| 1646 | 0.00240  |    -     | 0.00219  |0.04315  |    -     |    -     |</t>
  </si>
  <si>
    <t>| 1647 | 0.00235  |    -     | 0.00220  |0.04747  |    -     |    -     |</t>
  </si>
  <si>
    <t>| 1648 | 0.00231  |    -     | 0.00223  |0.04417  |    -     |    -     |</t>
  </si>
  <si>
    <t>| 1649 | 0.00234  |    -     | 0.00225  |0.04747  |    -     |    -     |</t>
  </si>
  <si>
    <t>| 1650 | 0.00247  |    -     | 0.00222  |0.04745  |    -     |    -     |</t>
  </si>
  <si>
    <t>| 1651 | 0.00226  |    -     | 0.00226  |0.04738  |    -     |    -     |</t>
  </si>
  <si>
    <t>| 1652 | 0.00237  |    -     | 0.00222  |0.04738  |    -     |    -     |</t>
  </si>
  <si>
    <t>| 1653 | 0.00239  |    -     | 0.00223  |0.04153  |    -     |    -     |</t>
  </si>
  <si>
    <t>| 1654 | 0.00236  |    -     | 0.00221  |0.04739  |    -     |    -     |</t>
  </si>
  <si>
    <t>| 1655 | 0.00230  |    -     | 0.00225  |0.04744  |    -     |    -     |</t>
  </si>
  <si>
    <t>| 1656 | 0.00233  |    -     | 0.00219  |0.03963  |    -     |    -     |</t>
  </si>
  <si>
    <t>| 1657 | 0.00243  |    -     | 0.00219  |0.04500  |    -     |    -     |</t>
  </si>
  <si>
    <t>| 1658 | 0.00234  |    -     | 0.00220  |0.04744  |    -     |    -     |</t>
  </si>
  <si>
    <t>| 1659 | 0.00230  |    -     | 0.00221  |0.04062  |    -     |    -     |</t>
  </si>
  <si>
    <t>| 1660 | 0.00234  |    -     | 0.00219  |0.04327  |    -     |    -     |</t>
  </si>
  <si>
    <t>| 1661 | 0.00235  |    -     | 0.00216  |0.04743  |    -     |    -     |</t>
  </si>
  <si>
    <t>| 1662 | 0.00234  |    -     | 0.00221  |0.04748  |    -     |    -     |</t>
  </si>
  <si>
    <t>| 1663 | 0.00234  |    -     | 0.00220  |0.04745  |    -     |    -     |</t>
  </si>
  <si>
    <t>| 1664 | 0.00233  |    -     | 0.00218  |0.04743  |    -     |    -     |</t>
  </si>
  <si>
    <t>| 1665 | 0.00221  |    -     | 0.00210  |0.04748  |    -     |    -     |</t>
  </si>
  <si>
    <t>| 1666 | 0.00221  |    -     | 0.00215  |0.04724  |    -     |    -     |</t>
  </si>
  <si>
    <t>| 1667 | 0.00247  |    -     | 0.00228  |0.04737  |    -     |    -     |</t>
  </si>
  <si>
    <t>| 1668 | 0.00244  |    -     | 0.00224  |0.04166  |    -     |    -     |</t>
  </si>
  <si>
    <t>| 1669 | 0.00232  |    -     | 0.00214  |0.04539  |    -     |    -     |</t>
  </si>
  <si>
    <t>| 1670 | 0.00227  |    -     | 0.00208  |0.04730  |    -     |    -     |</t>
  </si>
  <si>
    <t>| 1671 | 0.00241  |    -     | 0.00219  |0.04696  |    -     |    -     |</t>
  </si>
  <si>
    <t>| 1672 | 0.00229  |    -     | 0.00215  |0.04725  |    -     |    -     |</t>
  </si>
  <si>
    <t>| 1673 | 0.00225  |    -     | 0.00209  |0.04728  |    -     |    -     |</t>
  </si>
  <si>
    <t>| 1674 | 0.00219  |    -     | 0.00206  |0.04677  |    -     |    -     |</t>
  </si>
  <si>
    <t>| 1675 | 0.00224  |    -     | 0.00209  |0.04729  |    -     |    -     |</t>
  </si>
  <si>
    <t>| 1676 | 0.00224  |    -     | 0.00214  |0.04558  |    -     |    -     |</t>
  </si>
  <si>
    <t>| 1677 | 0.00233  |    -     | 0.00227  |0.04748  |    -     |    -     |</t>
  </si>
  <si>
    <t>| 1678 | 0.00240  |    -     | 0.00219  |0.04593  |    -     |    -     |</t>
  </si>
  <si>
    <t>| 1679 | 0.00235  |    -     | 0.00222  |0.04077  |    -     |    -     |</t>
  </si>
  <si>
    <t>| 1680 | 0.00228  |    -     | 0.00209  |0.04310  |    -     |    -     |</t>
  </si>
  <si>
    <t>| 1681 | 0.00237  |    -     | 0.00226  |0.04752  |    -     |    -     |</t>
  </si>
  <si>
    <t>| 1682 | 0.00234  |    -     | 0.00218  |0.04746  |    -     |    -     |</t>
  </si>
  <si>
    <t>| 1683 | 0.00230  |    -     | 0.00220  |0.04729  |    -     |    -     |</t>
  </si>
  <si>
    <t>| 1684 | 0.00231  |    -     | 0.00219  |0.04137  |    -     |    -     |</t>
  </si>
  <si>
    <t>| 1685 | 0.00227  |    -     | 0.00219  |0.04747  |    -     |    -     |</t>
  </si>
  <si>
    <t>| 1686 | 0.00237  |    -     | 0.00221  |0.04747  |    -     |    -     |</t>
  </si>
  <si>
    <t>| 1687 | 0.00234  |    -     | 0.00221  |0.04746  |    -     |    -     |</t>
  </si>
  <si>
    <t>| 1688 | 0.00233  |    -     | 0.00218  |0.04128  |    -     |    -     |</t>
  </si>
  <si>
    <t>| 1689 | 0.00221  |    -     | 0.00207  |0.04741  |    -     |    -     |</t>
  </si>
  <si>
    <t>| 1690 | 0.00237  |    -     | 0.00229  |0.04741  |    -     |    -     |</t>
  </si>
  <si>
    <t>| 1691 | 0.00220  |    -     | 0.00213  |0.04748  |    -     |    -     |</t>
  </si>
  <si>
    <t>| 1692 | 0.00237  |    -     | 0.00220  |0.04742  |    -     |    -     |</t>
  </si>
  <si>
    <t>| 1693 | 0.00236  |    -     | 0.00220  |0.04747  |    -     |    -     |</t>
  </si>
  <si>
    <t>| 1694 | 0.00241  |    -     | 0.00221  |0.04537  |    -     |    -     |</t>
  </si>
  <si>
    <t>| 1695 | 0.00232  |    -     | 0.00217  |0.04745  |    -     |    -     |</t>
  </si>
  <si>
    <t>| 1696 | 0.00236  |    -     | 0.00219  |0.04744  |    -     |    -     |</t>
  </si>
  <si>
    <t>| 1697 | 0.00238  |    -     | 0.00221  |0.04503  |    -     |    -     |</t>
  </si>
  <si>
    <t>| 1698 | 0.00241  |    -     | 0.00220  |0.04741  |    -     |    -     |</t>
  </si>
  <si>
    <t>| 1699 | 0.00227  |    -     | 0.00222  |0.04267  |    -     |    -     |</t>
  </si>
  <si>
    <t>| 1700 | 0.00234  |    -     | 0.00217  |0.04746  |    -     |    -     |</t>
  </si>
  <si>
    <t>| 1701 | 0.00239  |    -     | 0.00226  |0.04224  |    -     |    -     |</t>
  </si>
  <si>
    <t>| 1702 | 0.00237  |    -     | 0.00216  |0.04722  |    -     |    -     |</t>
  </si>
  <si>
    <t>| 1703 | 0.00236  |    -     | 0.00219  |0.04621  |    -     |    -     |</t>
  </si>
  <si>
    <t>| 1704 | 0.00234  |    -     | 0.00217  |0.04744  |    -     |    -     |</t>
  </si>
  <si>
    <t>| 1705 | 0.00233  |    -     | 0.00221  |0.04744  |    -     |    -     |</t>
  </si>
  <si>
    <t>| 1706 | 0.00224  |    -     | 0.00208  |0.04734  |    -     |    -     |</t>
  </si>
  <si>
    <t>| 1707 | 0.00232  |    -     | 0.00218  |0.04744  |    -     |    -     |</t>
  </si>
  <si>
    <t>| 1708 | 0.00240  |    -     | 0.00227  |0.04747  |    -     |    -     |</t>
  </si>
  <si>
    <t>| 1709 | 0.00237  |    -     | 0.00225  |0.04746  |    -     |    -     |</t>
  </si>
  <si>
    <t>| 1710 | 0.00235  |    -     | 0.00215  |0.04744  |    -     |    -     |</t>
  </si>
  <si>
    <t>| 1711 | 0.00236  |    -     | 0.00220  |0.04733  |    -     |    -     |</t>
  </si>
  <si>
    <t>| 1712 | 0.00234  |    -     | 0.00215  |0.04744  |    -     |    -     |</t>
  </si>
  <si>
    <t>| 1713 | 0.00235  |    -     | 0.00220  |0.04745  |    -     |    -     |</t>
  </si>
  <si>
    <t>| 1714 | 0.00238  |    -     | 0.00218  |0.04746  |    -     |    -     |</t>
  </si>
  <si>
    <t>| 1715 | 0.00235  |    -     | 0.00221  |0.04753  |    -     |    -     |</t>
  </si>
  <si>
    <t>| 1716 | 0.00247  |    -     | 0.00224  |0.04085  |    -     |    -     |</t>
  </si>
  <si>
    <t>| 1717 | 0.00233  |    -     | 0.00218  |0.04279  |    -     |    -     |</t>
  </si>
  <si>
    <t>| 1718 | 0.00230  |    -     | 0.00223  |0.04738  |    -     |    -     |</t>
  </si>
  <si>
    <t>| 1719 | 0.00238  |    -     | 0.00218  |0.04747  |    -     |    -     |</t>
  </si>
  <si>
    <t>| 1720 | 0.00238  |    -     | 0.00228  |0.04742  |    -     |    -     |</t>
  </si>
  <si>
    <t>| 1721 | 0.00238  |    -     | 0.00221  |0.04457  |    -     |    -     |</t>
  </si>
  <si>
    <t>| 1722 | 0.00239  |    -     | 0.00226  |0.04743  |    -     |    -     |</t>
  </si>
  <si>
    <t>| 1723 | 0.00240  |    -     | 0.00222  |0.04372  |    -     |    -     |</t>
  </si>
  <si>
    <t>| 1724 | 0.00240  |    -     | 0.00221  |0.04216  |    -     |    -     |</t>
  </si>
  <si>
    <t>| 1725 | 0.00239  |    -     | 0.00223  |0.04746  |    -     |    -     |</t>
  </si>
  <si>
    <t>| 1726 | 0.00238  |    -     | 0.00224  |0.04744  |    -     |    -     |</t>
  </si>
  <si>
    <t>| 1727 | 0.00236  |    -     | 0.00227  |0.04747  |    -     |    -     |</t>
  </si>
  <si>
    <t>| 1728 | 0.00239  |    -     | 0.00219  |0.04264  |    -     |    -     |</t>
  </si>
  <si>
    <t>| 1729 | 0.00237  |    -     | 0.00211  |0.04561  |    -     |    -     |</t>
  </si>
  <si>
    <t>| 1730 | 0.00261  |    -     | 0.00239  |0.04747  |    -     |    -     |</t>
  </si>
  <si>
    <t>| 1731 | 0.00229  |    -     | 0.00211  |0.04751  |    -     |    -     |</t>
  </si>
  <si>
    <t>| 1732 | 0.00240  |    -     | 0.00221  |0.04747  |    -     |    -     |</t>
  </si>
  <si>
    <t>| 1733 | 0.00230  |    -     | 0.00219  |0.04339  |    -     |    -     |</t>
  </si>
  <si>
    <t>| 1734 | 0.00237  |    -     | 0.00216  |0.04649  |    -     |    -     |</t>
  </si>
  <si>
    <t>| 1735 | 0.00234  |    -     | 0.00221  |0.04750  |    -     |    -     |</t>
  </si>
  <si>
    <t>| 1736 | 0.00241  |    -     | 0.00228  |0.04742  |    -     |    -     |</t>
  </si>
  <si>
    <t>| 1737 | 0.00229  |    -     | 0.00213  |0.04735  |    -     |    -     |</t>
  </si>
  <si>
    <t>| 1738 | 0.00243  |    -     | 0.00223  |0.04759  |    -     |    -     |</t>
  </si>
  <si>
    <t>| 1739 | 0.00231  |    -     | 0.00210  |0.04739  |    -     |    -     |</t>
  </si>
  <si>
    <t>| 1740 | 0.00235  |    -     | 0.00226  |0.04754  |    -     |    -     |</t>
  </si>
  <si>
    <t>| 1741 | 0.00234  |    -     | 0.00221  |0.04736  |    -     |    -     |</t>
  </si>
  <si>
    <t>| 1742 | 0.00239  |    -     | 0.00224  |0.04748  |    -     |    -     |</t>
  </si>
  <si>
    <t>| 1743 | 0.00237  |    -     | 0.00220  |0.04747  |    -     |    -     |</t>
  </si>
  <si>
    <t>| 1744 | 0.00240  |    -     | 0.00222  |0.04742  |    -     |    -     |</t>
  </si>
  <si>
    <t>| 1745 | 0.00238  |    -     | 0.00223  |0.04749  |    -     |    -     |</t>
  </si>
  <si>
    <t>| 1746 | 0.00241  |    -     | 0.00226  |0.04747  |    -     |    -     |</t>
  </si>
  <si>
    <t>| 1747 | 0.00238  |    -     | 0.00216  |0.04746  |    -     |    -     |</t>
  </si>
  <si>
    <t>| 1748 | 0.00231  |    -     | 0.00226  |0.04750  |    -     |    -     |</t>
  </si>
  <si>
    <t>| 1749 | 0.00241  |    -     | 0.00228  |0.04757  |    -     |    -     |</t>
  </si>
  <si>
    <t>| 1750 | 0.00244  |    -     | 0.00223  |0.04746  |    -     |    -     |</t>
  </si>
  <si>
    <t>| 1751 | 0.00235  |    -     | 0.00219  |0.04730  |    -     |    -     |</t>
  </si>
  <si>
    <t>| 1752 | 0.00239  |    -     | 0.00227  |0.04751  |    -     |    -     |</t>
  </si>
  <si>
    <t>| 1753 | 0.00234  |    -     | 0.00220  |0.04749  |    -     |    -     |</t>
  </si>
  <si>
    <t>| 1754 | 0.00243  |    -     | 0.00224  |0.04753  |    -     |    -     |</t>
  </si>
  <si>
    <t>| 1755 | 0.00242  |    -     | 0.00228  |0.04751  |    -     |    -     |</t>
  </si>
  <si>
    <t>| 1756 | 0.00240  |    -     | 0.00217  |0.04745  |    -     |    -     |</t>
  </si>
  <si>
    <t>| 1757 | 0.00234  |    -     | 0.00220  |0.04106  |    -     |    -     |</t>
  </si>
  <si>
    <t>| 1758 | 0.00242  |    -     | 0.00225  |0.04709  |    -     |    -     |</t>
  </si>
  <si>
    <t>| 1759 | 0.00234  |    -     | 0.00220  |0.03950  |    -     |    -     |</t>
  </si>
  <si>
    <t>| 1760 | 0.00239  |    -     | 0.00226  |0.04743  |    -     |    -     |</t>
  </si>
  <si>
    <t>| 1761 | 0.00242  |    -     | 0.00220  |0.04750  |    -     |    -     |</t>
  </si>
  <si>
    <t>| 1762 | 0.00237  |    -     | 0.00228  |0.04743  |    -     |    -     |</t>
  </si>
  <si>
    <t>| 1763 | 0.00224  |    -     | 0.00211  |0.04748  |    -     |    -     |</t>
  </si>
  <si>
    <t>| 1764 | 0.00235  |    -     | 0.00222  |0.04748  |    -     |    -     |</t>
  </si>
  <si>
    <t>| 1765 | 0.00235  |    -     | 0.00222  |0.04744  |    -     |    -     |</t>
  </si>
  <si>
    <t>| 1766 | 0.00223  |    -     | 0.00217  |0.04529  |    -     |    -     |</t>
  </si>
  <si>
    <t>| 1767 | 0.00230  |    -     | 0.00213  |0.04495  |    -     |    -     |</t>
  </si>
  <si>
    <t>| 1768 | 0.00242  |    -     | 0.00227  |0.04748  |    -     |    -     |</t>
  </si>
  <si>
    <t>| 1769 | 0.00232  |    -     | 0.00219  |0.04744  |    -     |    -     |</t>
  </si>
  <si>
    <t>| 1770 | 0.00241  |    -     | 0.00223  |0.04587  |    -     |    -     |</t>
  </si>
  <si>
    <t>| 1771 | 0.00244  |    -     | 0.00223  |0.04748  |    -     |    -     |</t>
  </si>
  <si>
    <t>| 1772 | 0.00235  |    -     | 0.00219  |0.04745  |    -     |    -     |</t>
  </si>
  <si>
    <t>| 1773 | 0.00234  |    -     | 0.00213  |0.04742  |    -     |    -     |</t>
  </si>
  <si>
    <t>| 1774 | 0.00240  |    -     | 0.00226  |0.04751  |    -     |    -     |</t>
  </si>
  <si>
    <t>| 1775 | 0.00242  |    -     | 0.00229  |0.04408  |    -     |    -     |</t>
  </si>
  <si>
    <t>| 1776 | 0.00237  |    -     | 0.00224  |0.04553  |    -     |    -     |</t>
  </si>
  <si>
    <t>| 1777 | 0.00239  |    -     | 0.00221  |0.04733  |    -     |    -     |</t>
  </si>
  <si>
    <t>| 1778 | 0.00243  |    -     | 0.00223  |0.04740  |    -     |    -     |</t>
  </si>
  <si>
    <t>| 1779 | 0.00240  |    -     | 0.00223  |0.04743  |    -     |    -     |</t>
  </si>
  <si>
    <t>| 1780 | 0.00235  |    -     | 0.00222  |0.04317  |    -     |    -     |</t>
  </si>
  <si>
    <t>| 1781 | 0.00232  |    -     | 0.00227  |0.04745  |    -     |    -     |</t>
  </si>
  <si>
    <t>| 1782 | 0.00235  |    -     | 0.00219  |0.04745  |    -     |    -     |</t>
  </si>
  <si>
    <t>| 1783 | 0.00232  |    -     | 0.00223  |0.04724  |    -     |    -     |</t>
  </si>
  <si>
    <t>| 1784 | 0.00249  |    -     | 0.00225  |0.04754  |    -     |    -     |</t>
  </si>
  <si>
    <t>| 1785 | 0.00243  |    -     | 0.00223  |0.04224  |    -     |    -     |</t>
  </si>
  <si>
    <t>| 1786 | 0.00224  |    -     | 0.00210  |0.04736  |    -     |    -     |</t>
  </si>
  <si>
    <t>| 1787 | 0.00225  |    -     | 0.00211  |0.04745  |    -     |    -     |</t>
  </si>
  <si>
    <t>| 1788 | 0.00239  |    -     | 0.00225  |0.04741  |    -     |    -     |</t>
  </si>
  <si>
    <t>| 1789 | 0.00232  |    -     | 0.00228  |0.04449  |    -     |    -     |</t>
  </si>
  <si>
    <t>| 1790 | 0.00237  |    -     | 0.00217  |0.04746  |    -     |    -     |</t>
  </si>
  <si>
    <t>| 1791 | 0.00231  |    -     | 0.00220  |0.04746  |    -     |    -     |</t>
  </si>
  <si>
    <t>| 1792 | 0.00233  |    -     | 0.00221  |0.04745  |    -     |    -     |</t>
  </si>
  <si>
    <t>| 1793 | 0.00232  |    -     | 0.00226  |0.04753  |    -     |    -     |</t>
  </si>
  <si>
    <t>| 1794 | 0.00241  |    -     | 0.00225  |0.04746  |    -     |    -     |</t>
  </si>
  <si>
    <t>| 1795 | 0.00237  |    -     | 0.00223  |0.04750  |    -     |    -     |</t>
  </si>
  <si>
    <t>| 1796 | 0.00233  |    -     | 0.00221  |0.04617  |    -     |    -     |</t>
  </si>
  <si>
    <t>| 1797 | 0.00235  |    -     | 0.00229  |0.04749  |    -     |    -     |</t>
  </si>
  <si>
    <t>| 1798 | 0.00230  |    -     | 0.00224  |0.04745  |    -     |    -     |</t>
  </si>
  <si>
    <t>| 1799 | 0.00237  |    -     | 0.00221  |0.04750  |    -     |    -     |</t>
  </si>
  <si>
    <t>| 1800 | 0.00233  |    -     | 0.00215  |0.04748  |    -     |    -     |</t>
  </si>
  <si>
    <t>| 1801 | 0.00226  |    -     | 0.00207  |0.04434  |    -     |    -     |</t>
  </si>
  <si>
    <t>| 1802 | 0.00227  |    -     | 0.00208  |0.04737  |    -     |    -     |</t>
  </si>
  <si>
    <t>| 1803 | 0.00239  |    -     | 0.00221  |0.04739  |    -     |    -     |</t>
  </si>
  <si>
    <t>| 1804 | 0.00239  |    -     | 0.00224  |0.04175  |    -     |    -     |</t>
  </si>
  <si>
    <t>| 1805 | 0.00223  |    -     | 0.00212  |0.04741  |    -     |    -     |</t>
  </si>
  <si>
    <t>| 1806 | 0.00236  |    -     | 0.00217  |0.04734  |    -     |    -     |</t>
  </si>
  <si>
    <t>| 1807 | 0.00246  |    -     | 0.00214  |0.04734  |    -     |    -     |</t>
  </si>
  <si>
    <t>| 1808 | 0.00227  |    -     | 0.00215  |0.04735  |    -     |    -     |</t>
  </si>
  <si>
    <t>| 1809 | 0.00232  |    -     | 0.00220  |0.04737  |    -     |    -     |</t>
  </si>
  <si>
    <t>| 1810 | 0.00235  |    -     | 0.00226  |0.04741  |    -     |    -     |</t>
  </si>
  <si>
    <t>| 1811 | 0.00220  |    -     | 0.00222  |0.04735  |    -     |    -     |</t>
  </si>
  <si>
    <t>| 1812 | 0.00233  |    -     | 0.00219  |0.04744  |    -     |    -     |</t>
  </si>
  <si>
    <t>| 1813 | 0.00235  |    -     | 0.00222  |0.04746  |    -     |    -     |</t>
  </si>
  <si>
    <t>| 1814 | 0.00237  |    -     | 0.00219  |0.04152  |    -     |    -     |</t>
  </si>
  <si>
    <t>| 1815 | 0.00191  |    -     | 0.00214  |0.04742  |    -     |    -     |</t>
  </si>
  <si>
    <t>| 1816 | 0.00229  |    -     | 0.00228  |0.03986  |    -     |    -     |</t>
  </si>
  <si>
    <t>| 1817 | 0.00235  |    -     | 0.00210  |0.04741  |    -     |    -     |</t>
  </si>
  <si>
    <t>| 1818 | 0.00236  |    -     | 0.00223  |0.04746  |    -     |    -     |</t>
  </si>
  <si>
    <t>| 1819 | 0.00233  |    -     | 0.00217  |0.04747  |    -     |    -     |</t>
  </si>
  <si>
    <t>| 1820 | 0.00229  |    -     | 0.00221  |0.03993  |    -     |    -     |</t>
  </si>
  <si>
    <t>| 1821 | 0.00234  |    -     | 0.00221  |0.04743  |    -     |    -     |</t>
  </si>
  <si>
    <t>| 1822 | 0.00231  |    -     | 0.00214  |0.04381  |    -     |    -     |</t>
  </si>
  <si>
    <t>| 1823 | 0.00234  |    -     | 0.00226  |0.04699  |    -     |    -     |</t>
  </si>
  <si>
    <t>| 1824 | 0.00243  |    -     | 0.00220  |0.04201  |    -     |    -     |</t>
  </si>
  <si>
    <t>| 1825 | 0.00236  |    -     | 0.00222  |0.04748  |    -     |    -     |</t>
  </si>
  <si>
    <t>| 1826 | 0.00232  |    -     | 0.00228  |0.04751  |    -     |    -     |</t>
  </si>
  <si>
    <t>| 1827 | 0.00238  |    -     | 0.00217  |0.04745  |    -     |    -     |</t>
  </si>
  <si>
    <t>| 1828 | 0.00230  |    -     | 0.00216  |0.04748  |    -     |    -     |</t>
  </si>
  <si>
    <t>| 1829 | 0.00239  |    -     | 0.00226  |0.04744  |    -     |    -     |</t>
  </si>
  <si>
    <t>| 1830 | 0.00238  |    -     | 0.00221  |0.04737  |    -     |    -     |</t>
  </si>
  <si>
    <t>| 1831 | 0.00224  |    -     | 0.00220  |0.04747  |    -     |    -     |</t>
  </si>
  <si>
    <t>| 1832 | 0.00237  |    -     | 0.00222  |0.04744  |    -     |    -     |</t>
  </si>
  <si>
    <t>| 1833 | 0.00235  |    -     | 0.00222  |0.04748  |    -     |    -     |</t>
  </si>
  <si>
    <t>| 1834 | 0.00239  |    -     | 0.00225  |0.04050  |    -     |    -     |</t>
  </si>
  <si>
    <t>| 1835 | 0.00236  |    -     | 0.00220  |0.04739  |    -     |    -     |</t>
  </si>
  <si>
    <t>| 1836 | 0.00233  |    -     | 0.00223  |0.04749  |    -     |    -     |</t>
  </si>
  <si>
    <t>| 1837 | 0.00227  |    -     | 0.00206  |0.04730  |    -     |    -     |</t>
  </si>
  <si>
    <t>| 1838 | 0.00244  |    -     | 0.00220  |0.04752  |    -     |    -     |</t>
  </si>
  <si>
    <t>| 1839 | 0.00241  |    -     | 0.00227  |0.04744  |    -     |    -     |</t>
  </si>
  <si>
    <t>| 1840 | 0.00235  |    -     | 0.00221  |0.04162  |    -     |    -     |</t>
  </si>
  <si>
    <t>| 1841 | 0.00226  |    -     | 0.00218  |0.04747  |    -     |    -     |</t>
  </si>
  <si>
    <t>| 1842 | 0.00242  |    -     | 0.00221  |0.04491  |    -     |    -     |</t>
  </si>
  <si>
    <t>| 1843 | 0.00246  |    -     | 0.00235  |0.04752  |    -     |    -     |</t>
  </si>
  <si>
    <t>| 1844 | 0.00243  |    -     | 0.00224  |0.04655  |    -     |    -     |</t>
  </si>
  <si>
    <t>| 1845 | 0.00233  |    -     | 0.00218  |0.04198  |    -     |    -     |</t>
  </si>
  <si>
    <t>| 1846 | 0.00253  |    -     | 0.00219  |0.04718  |    -     |    -     |</t>
  </si>
  <si>
    <t>| 1847 | 0.00246  |    -     | 0.00223  |0.04743  |    -     |    -     |</t>
  </si>
  <si>
    <t>| 1848 | 0.00224  |    -     | 0.00214  |0.04741  |    -     |    -     |</t>
  </si>
  <si>
    <t>| 1849 | 0.00238  |    -     | 0.00217  |0.04749  |    -     |    -     |</t>
  </si>
  <si>
    <t>| 1850 | 0.00244  |    -     | 0.00228  |0.04488  |    -     |    -     |</t>
  </si>
  <si>
    <t>| 1851 | 0.00238  |    -     | 0.00220  |0.04745  |    -     |    -     |</t>
  </si>
  <si>
    <t>| 1852 | 0.00234  |    -     | 0.00219  |0.03984  |    -     |    -     |</t>
  </si>
  <si>
    <t>| 1853 | 0.00227  |    -     | 0.00216  |0.04744  |    -     |    -     |</t>
  </si>
  <si>
    <t>| 1854 | 0.00240  |    -     | 0.00225  |0.04006  |    -     |    -     |</t>
  </si>
  <si>
    <t>| 1855 | 0.00226  |    -     | 0.00224  |0.04748  |    -     |    -     |</t>
  </si>
  <si>
    <t>| 1856 | 0.00241  |    -     | 0.00215  |0.04629  |    -     |    -     |</t>
  </si>
  <si>
    <t>| 1857 | 0.00240  |    -     | 0.00221  |0.04751  |    -     |    -     |</t>
  </si>
  <si>
    <t>| 1858 | 0.00232  |    -     | 0.00217  |0.04734  |    -     |    -     |</t>
  </si>
  <si>
    <t>| 1859 | 0.00237  |    -     | 0.00224  |0.04717  |    -     |    -     |</t>
  </si>
  <si>
    <t>| 1860 | 0.00240  |    -     | 0.00221  |0.04748  |    -     |    -     |</t>
  </si>
  <si>
    <t>| 1861 | 0.00234  |    -     | 0.00222  |0.04745  |    -     |    -     |</t>
  </si>
  <si>
    <t>| 1862 | 0.00224  |    -     | 0.00217  |0.04737  |    -     |    -     |</t>
  </si>
  <si>
    <t>| 1863 | 0.00233  |    -     | 0.00220  |0.04745  |    -     |    -     |</t>
  </si>
  <si>
    <t>| 1864 | 0.00232  |    -     | 0.00220  |0.04747  |    -     |    -     |</t>
  </si>
  <si>
    <t>| 1865 | 0.00237  |    -     | 0.00219  |0.04750  |    -     |    -     |</t>
  </si>
  <si>
    <t>| 1866 | 0.00244  |    -     | 0.00224  |0.04742  |    -     |    -     |</t>
  </si>
  <si>
    <t>| 1867 | 0.00227  |    -     | 0.00226  |0.04748  |    -     |    -     |</t>
  </si>
  <si>
    <t>| 1868 | 0.00243  |    -     | 0.00220  |0.04743  |    -     |    -     |</t>
  </si>
  <si>
    <t>| 1869 | 0.00230  |    -     | 0.00221  |0.04736  |    -     |    -     |</t>
  </si>
  <si>
    <t>| 1870 | 0.00243  |    -     | 0.00221  |0.04158  |    -     |    -     |</t>
  </si>
  <si>
    <t>| 1871 | 0.00238  |    -     | 0.00223  |0.04748  |    -     |    -     |</t>
  </si>
  <si>
    <t>| 1872 | 0.00237  |    -     | 0.00220  |0.04751  |    -     |    -     |</t>
  </si>
  <si>
    <t>| 1873 | 0.00235  |    -     | 0.00218  |0.04735  |    -     |    -     |</t>
  </si>
  <si>
    <t>| 1874 | 0.00249  |    -     | 0.00230  |0.04620  |    -     |    -     |</t>
  </si>
  <si>
    <t>| 1875 | 0.00244  |    -     | 0.00222  |0.03930  |    -     |    -     |</t>
  </si>
  <si>
    <t>| 1876 | 0.00238  |    -     | 0.00219  |0.04667  |    -     |    -     |</t>
  </si>
  <si>
    <t>| 1877 | 0.00258  |    -     | 0.00231  |0.04740  |    -     |    -     |</t>
  </si>
  <si>
    <t>| 1878 | 0.00237  |    -     | 0.00222  |0.04751  |    -     |    -     |</t>
  </si>
  <si>
    <t>| 1879 | 0.00242  |    -     | 0.00223  |0.04751  |    -     |    -     |</t>
  </si>
  <si>
    <t>| 1880 | 0.00234  |    -     | 0.00220  |0.04428  |    -     |    -     |</t>
  </si>
  <si>
    <t>| 1881 | 0.00222  |    -     | 0.00208  |0.04727  |    -     |    -     |</t>
  </si>
  <si>
    <t>| 1882 | 0.00223  |    -     | 0.00208  |0.04695  |    -     |    -     |</t>
  </si>
  <si>
    <t>| 1883 | 0.00222  |    -     | 0.00209  |0.04731  |    -     |    -     |</t>
  </si>
  <si>
    <t>| 1884 | 0.00223  |    -     | 0.00210  |0.04731  |    -     |    -     |</t>
  </si>
  <si>
    <t>| 1885 | 0.00239  |    -     | 0.00271  |0.04731  |    -     |    -     |</t>
  </si>
  <si>
    <t>| 1886 | 0.00220  |    -     | 0.00207  |0.04089  |    -     |    -     |</t>
  </si>
  <si>
    <t>| 1887 | 0.00221  |    -     | 0.00210  |0.04728  |    -     |    -     |</t>
  </si>
  <si>
    <t>| 1888 | 0.00221  |    -     | 0.00209  |0.04722  |    -     |    -     |</t>
  </si>
  <si>
    <t>| 1889 | 0.00221  |    -     | 0.00210  |0.04728  |    -     |    -     |</t>
  </si>
  <si>
    <t>| 1890 | 0.00220  |    -     | 0.00208  |0.04367  |    -     |    -     |</t>
  </si>
  <si>
    <t>| 1891 | 0.00223  |    -     | 0.00211  |0.04732  |    -     |    -     |</t>
  </si>
  <si>
    <t>| 1892 | 0.00222  |    -     | 0.00209  |0.04729  |    -     |    -     |</t>
  </si>
  <si>
    <t>| 1893 | 0.00218  |    -     | 0.00207  |0.04725  |    -     |    -     |</t>
  </si>
  <si>
    <t>| 1894 | 0.00220  |    -     | 0.00208  |0.04215  |    -     |    -     |</t>
  </si>
  <si>
    <t>| 1895 | 0.00222  |    -     | 0.00207  |0.04727  |    -     |    -     |</t>
  </si>
  <si>
    <t>| 1896 | 0.00223  |    -     | 0.00208  |0.04706  |    -     |    -     |</t>
  </si>
  <si>
    <t>| 1897 | 0.00220  |    -     | 0.00207  |0.04436  |    -     |    -     |</t>
  </si>
  <si>
    <t>| 1898 | 0.00238  |    -     | 0.00219  |0.04025  |    -     |    -     |</t>
  </si>
  <si>
    <t>| 1899 | 0.00225  |    -     | 0.00213  |0.04730  |    -     |    -     |</t>
  </si>
  <si>
    <t>| 1900 | 0.00224  |    -     | 0.00212  |0.04721  |    -     |    -     |</t>
  </si>
  <si>
    <t>| 1901 | 0.00221  |    -     | 0.00209  |0.04728  |    -     |    -     |</t>
  </si>
  <si>
    <t>| 1902 | 0.00220  |    -     | 0.00208  |0.04723  |    -     |    -     |</t>
  </si>
  <si>
    <t>| 1903 | 0.00219  |    -     | 0.00207  |0.04727  |    -     |    -     |</t>
  </si>
  <si>
    <t>| 1904 | 0.00220  |    -     | 0.00207  |0.04445  |    -     |    -     |</t>
  </si>
  <si>
    <t>| 1905 | 0.00227  |    -     | 0.00210  |0.04551  |    -     |    -     |</t>
  </si>
  <si>
    <t>| 1906 | 0.00224  |    -     | 0.00208  |0.04727  |    -     |    -     |</t>
  </si>
  <si>
    <t>| 1907 | 0.00218  |    -     | 0.00208  |0.04442  |    -     |    -     |</t>
  </si>
  <si>
    <t>| 1908 | 0.00216  |    -     | 0.00203  |0.04240  |    -     |    -     |</t>
  </si>
  <si>
    <t>| 1909 | 0.00218  |    -     | 0.00207  |0.04727  |    -     |    -     |</t>
  </si>
  <si>
    <t>| 1910 | 0.00219  |    -     | 0.00208  |0.04726  |    -     |    -     |</t>
  </si>
  <si>
    <t>| 1911 | 0.00223  |    -     | 0.00207  |0.04340  |    -     |    -     |</t>
  </si>
  <si>
    <t>| 1912 | 0.00181  |    -     | 0.00228  |0.04731  |    -     |    -     |</t>
  </si>
  <si>
    <t>| 1913 | 0.00229  |    -     | 0.00210  |0.04730  |    -     |    -     |</t>
  </si>
  <si>
    <t>| 1914 | 0.00223  |    -     | 0.00210  |0.04725  |    -     |    -     |</t>
  </si>
  <si>
    <t>| 1915 | 0.00226  |    -     | 0.00207  |0.04710  |    -     |    -     |</t>
  </si>
  <si>
    <t>| 1916 | 0.00242  |    -     | 0.00213  |0.04737  |    -     |    -     |</t>
  </si>
  <si>
    <t>| 1917 | 0.00234  |    -     | 0.00210  |0.04685  |    -     |    -     |</t>
  </si>
  <si>
    <t>| 1918 | 0.00238  |    -     | 0.00211  |0.04559  |    -     |    -     |</t>
  </si>
  <si>
    <t>| 1919 | 0.00231  |    -     | 0.00212  |0.03949  |    -     |    -     |</t>
  </si>
  <si>
    <t>| 1920 | 0.00224  |    -     | 0.00213  |0.04090  |    -     |    -     |</t>
  </si>
  <si>
    <t>| 1921 | 0.00224  |    -     | 0.00210  |0.04719  |    -     |    -     |</t>
  </si>
  <si>
    <t>| 1922 | 0.00225  |    -     | 0.00210  |0.04701  |    -     |    -     |</t>
  </si>
  <si>
    <t>| 1923 | 0.00232  |    -     | 0.00211  |0.04724  |    -     |    -     |</t>
  </si>
  <si>
    <t>| 1924 | 0.00218  |    -     | 0.00209  |0.04724  |    -     |    -     |</t>
  </si>
  <si>
    <t>| 1925 | 0.00232  |    -     | 0.00209  |0.04731  |    -     |    -     |</t>
  </si>
  <si>
    <t>| 1926 | 0.00223  |    -     | 0.00209  |0.04732  |    -     |    -     |</t>
  </si>
  <si>
    <t>| 1927 | 0.00227  |    -     | 0.00208  |0.04734  |    -     |    -     |</t>
  </si>
  <si>
    <t>| 1928 | 0.00230  |    -     | 0.00211  |0.04730  |    -     |    -     |</t>
  </si>
  <si>
    <t>| 1929 | 0.00224  |    -     | 0.00213  |0.04730  |    -     |    -     |</t>
  </si>
  <si>
    <t>| 1930 | 0.00224  |    -     | 0.00210  |0.04736  |    -     |    -     |</t>
  </si>
  <si>
    <t>| 1931 | 0.00226  |    -     | 0.00210  |0.04718  |    -     |    -     |</t>
  </si>
  <si>
    <t>| 1932 | 0.00220  |    -     | 0.00207  |0.04727  |    -     |    -     |</t>
  </si>
  <si>
    <t>| 1933 | 0.00226  |    -     | 0.00209  |0.04731  |    -     |    -     |</t>
  </si>
  <si>
    <t>| 1934 | 0.00224  |    -     | 0.00208  |0.04427  |    -     |    -     |</t>
  </si>
  <si>
    <t>| 1935 | 0.00222  |    -     | 0.00206  |0.04725  |    -     |    -     |</t>
  </si>
  <si>
    <t>| 1936 | 0.00225  |    -     | 0.00208  |0.04725  |    -     |    -     |</t>
  </si>
  <si>
    <t>| 1937 | 0.00225  |    -     | 0.00209  |0.04722  |    -     |    -     |</t>
  </si>
  <si>
    <t>| 1938 | 0.00223  |    -     | 0.00210  |0.04728  |    -     |    -     |</t>
  </si>
  <si>
    <t>| 1939 | 0.00223  |    -     | 0.00210  |0.04608  |    -     |    -     |</t>
  </si>
  <si>
    <t>| 1940 | 0.00223  |    -     | 0.00208  |0.04727  |    -     |    -     |</t>
  </si>
  <si>
    <t>| 1941 | 0.00219  |    -     | 0.00208  |0.04725  |    -     |    -     |</t>
  </si>
  <si>
    <t>| 1942 | 0.00219  |    -     | 0.00208  |0.04720  |    -     |    -     |</t>
  </si>
  <si>
    <t>| 1943 | 0.00226  |    -     | 0.00211  |0.04728  |    -     |    -     |</t>
  </si>
  <si>
    <t>| 1944 | 0.00220  |    -     | 0.00209  |0.04728  |    -     |    -     |</t>
  </si>
  <si>
    <t>| 1945 | 0.00231  |    -     | 0.00208  |0.04188  |    -     |    -     |</t>
  </si>
  <si>
    <t>| 1946 | 0.00216  |    -     | 0.00205  |0.04725  |    -     |    -     |</t>
  </si>
  <si>
    <t>| 1947 | 0.00220  |    -     | 0.00208  |0.04731  |    -     |    -     |</t>
  </si>
  <si>
    <t>| 1948 | 0.00220  |    -     | 0.00208  |0.04732  |    -     |    -     |</t>
  </si>
  <si>
    <t>| 1949 | 0.00221  |    -     | 0.00210  |0.04727  |    -     |    -     |</t>
  </si>
  <si>
    <t>| 1950 | 0.00221  |    -     | 0.00210  |0.04606  |    -     |    -     |</t>
  </si>
  <si>
    <t>| 1951 | 0.00222  |    -     | 0.00208  |0.04728  |    -     |    -     |</t>
  </si>
  <si>
    <t>| 1952 | 0.00220  |    -     | 0.00206  |0.04719  |    -     |    -     |</t>
  </si>
  <si>
    <t>| 1953 | 0.00218  |    -     | 0.00207  |0.04727  |    -     |    -     |</t>
  </si>
  <si>
    <t>| 1954 | 0.00225  |    -     | 0.00209  |0.04612  |    -     |    -     |</t>
  </si>
  <si>
    <t>| 1955 | 0.00223  |    -     | 0.00210  |0.04728  |    -     |    -     |</t>
  </si>
  <si>
    <t>| 1956 | 0.00222  |    -     | 0.00206  |0.04722  |    -     |    -     |</t>
  </si>
  <si>
    <t>| 1957 | 0.00217  |    -     | 0.00206  |0.04723  |    -     |    -     |</t>
  </si>
  <si>
    <t>| 1958 | 0.00218  |    -     | 0.00206  |0.04443  |    -     |    -     |</t>
  </si>
  <si>
    <t>| 1959 | 0.00220  |    -     | 0.00209  |0.04611  |    -     |    -     |</t>
  </si>
  <si>
    <t>| 1960 | 0.00221  |    -     | 0.00207  |0.04717  |    -     |    -     |</t>
  </si>
  <si>
    <t>| 1961 | 0.00219  |    -     | 0.00207  |0.04727  |    -     |    -     |</t>
  </si>
  <si>
    <t>| 1962 | 0.00222  |    -     | 0.00216  |0.04724  |    -     |    -     |</t>
  </si>
  <si>
    <t>| 1963 | 0.00222  |    -     | 0.00208  |0.04453  |    -     |    -     |</t>
  </si>
  <si>
    <t>| 1964 | 0.00226  |    -     | 0.00211  |0.04599  |    -     |    -     |</t>
  </si>
  <si>
    <t>| 1965 | 0.00247  |    -     | 0.00227  |0.04458  |    -     |    -     |</t>
  </si>
  <si>
    <t>| 1966 | 0.00228  |    -     | 0.00219  |0.04748  |    -     |    -     |</t>
  </si>
  <si>
    <t>| 1967 | 0.00233  |    -     | 0.00219  |0.04746  |    -     |    -     |</t>
  </si>
  <si>
    <t>| 1968 | 0.00239  |    -     | 0.00220  |0.04606  |    -     |    -     |</t>
  </si>
  <si>
    <t>| 1969 | 0.00237  |    -     | 0.00218  |0.04625  |    -     |    -     |</t>
  </si>
  <si>
    <t>| 1970 | 0.00234  |    -     | 0.00219  |0.04742  |    -     |    -     |</t>
  </si>
  <si>
    <t>| 1971 | 0.00239  |    -     | 0.00223  |0.04745  |    -     |    -     |</t>
  </si>
  <si>
    <t>| 1972 | 0.00276  |    -     | 0.00231  |0.04739  |    -     |    -     |</t>
  </si>
  <si>
    <t>| 1973 | 0.00248  |    -     | 0.00220  |0.04741  |    -     |    -     |</t>
  </si>
  <si>
    <t>| 1974 | 0.00237  |    -     | 0.00220  |0.04750  |    -     |    -     |</t>
  </si>
  <si>
    <t>| 1975 | 0.00237  |    -     | 0.00219  |0.04743  |    -     |    -     |</t>
  </si>
  <si>
    <t>| 1976 | 0.00237  |    -     | 0.00221  |0.04746  |    -     |    -     |</t>
  </si>
  <si>
    <t>| 1977 | 0.00242  |    -     | 0.00226  |0.04750  |    -     |    -     |</t>
  </si>
  <si>
    <t>| 1978 | 0.00235  |    -     | 0.00223  |0.04747  |    -     |    -     |</t>
  </si>
  <si>
    <t>| 1979 | 0.00234  |    -     | 0.00221  |0.04745  |    -     |    -     |</t>
  </si>
  <si>
    <t>| 1980 | 0.00232  |    -     | 0.00224  |0.04752  |    -     |    -     |</t>
  </si>
  <si>
    <t>| 1981 | 0.00258  |    -     | 0.00227  |0.04758  |    -     |    -     |</t>
  </si>
  <si>
    <t>| 1982 | 0.00245  |    -     | 0.00226  |0.04751  |    -     |    -     |</t>
  </si>
  <si>
    <t>| 1983 | 0.00238  |    -     | 0.00220  |0.04751  |    -     |    -     |</t>
  </si>
  <si>
    <t>| 1984 | 0.00241  |    -     | 0.00229  |0.04745  |    -     |    -     |</t>
  </si>
  <si>
    <t>| 1985 | 0.00241  |    -     | 0.00227  |0.04345  |    -     |    -     |</t>
  </si>
  <si>
    <t>| 1986 | 0.00231  |    -     | 0.00221  |0.04740  |    -     |    -     |</t>
  </si>
  <si>
    <t>| 1987 | 0.00236  |    -     | 0.00223  |0.04746  |    -     |    -     |</t>
  </si>
  <si>
    <t>| 1988 | 0.00234  |    -     | 0.00219  |0.04745  |    -     |    -     |</t>
  </si>
  <si>
    <t>| 1989 | 0.00244  |    -     | 0.00221  |0.04746  |    -     |    -     |</t>
  </si>
  <si>
    <t>| 1990 | 0.00236  |    -     | 0.00220  |0.04747  |    -     |    -     |</t>
  </si>
  <si>
    <t>| 1991 | 0.00236  |    -     | 0.00217  |0.04747  |    -     |    -     |</t>
  </si>
  <si>
    <t>| 1992 | 0.00234  |    -     | 0.00219  |0.04431  |    -     |    -     |</t>
  </si>
  <si>
    <t>| 1993 | 0.00235  |    -     | 0.00220  |0.04742  |    -     |    -     |</t>
  </si>
  <si>
    <t>| 1994 | 0.00224  |    -     | 0.00208  |0.04733  |    -     |    -     |</t>
  </si>
  <si>
    <t>| 1995 | 0.00243  |    -     | 0.00223  |0.04749  |    -     |    -     |</t>
  </si>
  <si>
    <t>| 1996 | 0.00236  |    -     | 0.00221  |0.04736  |    -     |    -     |</t>
  </si>
  <si>
    <t>| 1997 | 0.00247  |    -     | 0.00230  |0.04751  |    -     |    -     |</t>
  </si>
  <si>
    <t>| 1998 | 0.00236  |    -     | 0.00228  |0.04749  |    -     |    -     |</t>
  </si>
  <si>
    <t>| 1999 | 0.00238  |    -     | 0.00224  |0.04750  |    -     |    -     |</t>
  </si>
  <si>
    <t>| 2000 | 0.00235  |    -     | 0.00221  |0.04745  |    -     |    -     |</t>
  </si>
  <si>
    <t>| 2001 | 0.00224  |    -     | 0.00208  |0.04734  |    -     |    -     |</t>
  </si>
  <si>
    <t>| 2002 | 0.00220  |    -     | 0.00206  |0.04725  |    -     |    -     |</t>
  </si>
  <si>
    <t>| 2003 | 0.00233  |    -     | 0.00223  |0.04746  |    -     |    -     |</t>
  </si>
  <si>
    <t>| 2004 | 0.00237  |    -     | 0.00227  |0.04651  |    -     |    -     |</t>
  </si>
  <si>
    <t>| 2005 | 0.00238  |    -     | 0.00221  |0.04748  |    -     |    -     |</t>
  </si>
  <si>
    <t>| 2006 | 0.00243  |    -     | 0.00230  |0.04752  |    -     |    -     |</t>
  </si>
  <si>
    <t>| 2007 | 0.00234  |    -     | 0.00225  |0.04746  |    -     |    -     |</t>
  </si>
  <si>
    <t>| 2008 | 0.00233  |    -     | 0.00221  |0.04092  |    -     |    -     |</t>
  </si>
  <si>
    <t>| 2009 | 0.00235  |    -     | 0.00216  |0.04748  |    -     |    -     |</t>
  </si>
  <si>
    <t>| 2010 | 0.00244  |    -     | 0.00220  |0.04749  |    -     |    -     |</t>
  </si>
  <si>
    <t>| 2011 | 0.00233  |    -     | 0.00220  |0.04747  |    -     |    -     |</t>
  </si>
  <si>
    <t>| 2012 | 0.00234  |    -     | 0.00218  |0.04725  |    -     |    -     |</t>
  </si>
  <si>
    <t>| 2013 | 0.00240  |    -     | 0.00228  |0.04739  |    -     |    -     |</t>
  </si>
  <si>
    <t>| 2014 | 0.00233  |    -     | 0.00219  |0.04745  |    -     |    -     |</t>
  </si>
  <si>
    <t>| 2015 | 0.00233  |    -     | 0.00220  |0.04747  |    -     |    -     |</t>
  </si>
  <si>
    <t>| 2016 | 0.00233  |    -     | 0.00214  |0.04746  |    -     |    -     |</t>
  </si>
  <si>
    <t>| 2017 | 0.00232  |    -     | 0.00220  |0.04750  |    -     |    -     |</t>
  </si>
  <si>
    <t>| 2018 | 0.00232  |    -     | 0.00220  |0.04741  |    -     |    -     |</t>
  </si>
  <si>
    <t>| 2019 | 0.00234  |    -     | 0.00221  |0.04352  |    -     |    -     |</t>
  </si>
  <si>
    <t>| 2020 | 0.00236  |    -     | 0.00227  |0.04752  |    -     |    -     |</t>
  </si>
  <si>
    <t>| 2021 | 0.00234  |    -     | 0.00221  |0.04737  |    -     |    -     |</t>
  </si>
  <si>
    <t>| 2022 | 0.00228  |    -     | 0.00215  |0.04750  |    -     |    -     |</t>
  </si>
  <si>
    <t>| 2023 | 0.00240  |    -     | 0.00228  |0.04751  |    -     |    -     |</t>
  </si>
  <si>
    <t>| 2024 | 0.00231  |    -     | 0.00221  |0.04654  |    -     |    -     |</t>
  </si>
  <si>
    <t>| 2025 | 0.00231  |    -     | 0.00220  |0.04646  |    -     |    -     |</t>
  </si>
  <si>
    <t>| 2026 | 0.00239  |    -     | 0.00213  |0.04740  |    -     |    -     |</t>
  </si>
  <si>
    <t>| 2027 | 0.00235  |    -     | 0.00219  |0.04228  |    -     |    -     |</t>
  </si>
  <si>
    <t>| 2028 | 0.00222  |    -     | 0.00221  |0.04740  |    -     |    -     |</t>
  </si>
  <si>
    <t>| 2029 | 0.00239  |    -     | 0.00223  |0.04749  |    -     |    -     |</t>
  </si>
  <si>
    <t>| 2030 | 0.00235  |    -     | 0.00222  |0.04748  |    -     |    -     |</t>
  </si>
  <si>
    <t>| 2031 | 0.00233  |    -     | 0.00222  |0.04375  |    -     |    -     |</t>
  </si>
  <si>
    <t>| 2032 | 0.00224  |    -     | 0.00208  |0.04739  |    -     |    -     |</t>
  </si>
  <si>
    <t>| 2033 | 0.00231  |    -     | 0.00209  |0.04735  |    -     |    -     |</t>
  </si>
  <si>
    <t>| 2034 | 0.00239  |    -     | 0.00223  |0.04748  |    -     |    -     |</t>
  </si>
  <si>
    <t>| 2035 | 0.00237  |    -     | 0.00221  |0.04058  |    -     |    -     |</t>
  </si>
  <si>
    <t>| 2036 | 0.00232  |    -     | 0.00218  |0.04553  |    -     |    -     |</t>
  </si>
  <si>
    <t>| 2037 | 0.00233  |    -     | 0.00218  |0.04741  |    -     |    -     |</t>
  </si>
  <si>
    <t>| 2038 | 0.00230  |    -     | 0.00221  |0.04534  |    -     |    -     |</t>
  </si>
  <si>
    <t>| 2039 | 0.00240  |    -     | 0.00222  |0.04739  |    -     |    -     |</t>
  </si>
  <si>
    <t>| 2040 | 0.00239  |    -     | 0.00222  |0.04586  |    -     |    -     |</t>
  </si>
  <si>
    <t>| 2041 | 0.00233  |    -     | 0.00222  |0.03971  |    -     |    -     |</t>
  </si>
  <si>
    <t>| 2042 | 0.00238  |    -     | 0.00212  |0.04751  |    -     |    -     |</t>
  </si>
  <si>
    <t>| 2043 | 0.00241  |    -     | 0.00218  |0.04739  |    -     |    -     |</t>
  </si>
  <si>
    <t>| 2044 | 0.00231  |    -     | 0.00221  |0.04724  |    -     |    -     |</t>
  </si>
  <si>
    <t>| 2045 | 0.00227  |    -     | 0.00226  |0.04009  |    -     |    -     |</t>
  </si>
  <si>
    <t>| 2046 | 0.00237  |    -     | 0.00223  |0.04737  |    -     |    -     |</t>
  </si>
  <si>
    <t>| 2047 | 0.00239  |    -     | 0.00224  |0.04734  |    -     |    -     |</t>
  </si>
  <si>
    <t>| 2048 | 0.00243  |    -     | 0.00227  |0.04750  |    -     |    -     |</t>
  </si>
  <si>
    <t>| 2049 | 0.00232  |    -     | 0.00225  |0.04747  |    -     |    -     |</t>
  </si>
  <si>
    <t>| 2050 | 0.00233  |    -     | 0.00220  |0.04748  |    -     |    -     |</t>
  </si>
  <si>
    <t>| 2051 | 0.00232  |    -     | 0.00218  |0.04203  |    -     |    -     |</t>
  </si>
  <si>
    <t>| 2052 | 0.00237  |    -     | 0.00216  |0.04742  |    -     |    -     |</t>
  </si>
  <si>
    <t>| 2053 | 0.00232  |    -     | 0.00220  |0.04646  |    -     |    -     |</t>
  </si>
  <si>
    <t>| 2054 | 0.00239  |    -     | 0.00222  |0.04438  |    -     |    -     |</t>
  </si>
  <si>
    <t>| 2055 | 0.00234  |    -     | 0.00220  |0.04574  |    -     |    -     |</t>
  </si>
  <si>
    <t>| 2056 | 0.00240  |    -     | 0.00220  |0.04750  |    -     |    -     |</t>
  </si>
  <si>
    <t>| 2057 | 0.00234  |    -     | 0.00221  |0.04130  |    -     |    -     |</t>
  </si>
  <si>
    <t>| 2058 | 0.00229  |    -     | 0.00218  |0.04746  |    -     |    -     |</t>
  </si>
  <si>
    <t>| 2059 | 0.00235  |    -     | 0.00222  |0.04749  |    -     |    -     |</t>
  </si>
  <si>
    <t>| 2060 | 0.00233  |    -     | 0.00222  |0.04749  |    -     |    -     |</t>
  </si>
  <si>
    <t>| 2061 | 0.00233  |    -     | 0.00222  |0.04387  |    -     |    -     |</t>
  </si>
  <si>
    <t>| 2062 | 0.00234  |    -     | 0.00215  |0.04737  |    -     |    -     |</t>
  </si>
  <si>
    <t>| 2063 | 0.00240  |    -     | 0.00212  |0.04747  |    -     |    -     |</t>
  </si>
  <si>
    <t>| 2064 | 0.00236  |    -     | 0.00221  |0.04745  |    -     |    -     |</t>
  </si>
  <si>
    <t>| 2065 | 0.00233  |    -     | 0.00221  |0.04736  |    -     |    -     |</t>
  </si>
  <si>
    <t>| 2066 | 0.00235  |    -     | 0.00224  |0.04424  |    -     |    -     |</t>
  </si>
  <si>
    <t>| 2067 | 0.00235  |    -     | 0.00223  |0.04750  |    -     |    -     |</t>
  </si>
  <si>
    <t>| 2068 | 0.00245  |    -     | 0.00229  |0.04739  |    -     |    -     |</t>
  </si>
  <si>
    <t>| 2069 | 0.00223  |    -     | 0.00209  |0.04744  |    -     |    -     |</t>
  </si>
  <si>
    <t>| 2070 | 0.00239  |    -     | 0.00227  |0.04738  |    -     |    -     |</t>
  </si>
  <si>
    <t>| 2071 | 0.00238  |    -     | 0.00222  |0.04219  |    -     |    -     |</t>
  </si>
  <si>
    <t>| 2072 | 0.00252  |    -     | 0.00229  |0.04751  |    -     |    -     |</t>
  </si>
  <si>
    <t>| 2073 | 0.00237  |    -     | 0.00215  |0.04748  |    -     |    -     |</t>
  </si>
  <si>
    <t>| 2074 | 0.00235  |    -     | 0.00223  |0.04743  |    -     |    -     |</t>
  </si>
  <si>
    <t>| 2075 | 0.00245  |    -     | 0.00226  |0.04743  |    -     |    -     |</t>
  </si>
  <si>
    <t>| 2076 | 0.00241  |    -     | 0.00221  |0.04102  |    -     |    -     |</t>
  </si>
  <si>
    <t>| 2077 | 0.00232  |    -     | 0.00221  |0.04750  |    -     |    -     |</t>
  </si>
  <si>
    <t>| 2078 | 0.00237  |    -     | 0.00221  |0.04747  |    -     |    -     |</t>
  </si>
  <si>
    <t>| 2079 | 0.00233  |    -     | 0.00222  |0.04744  |    -     |    -     |</t>
  </si>
  <si>
    <t>| 2080 | 0.00224  |    -     | 0.00219  |0.04752  |    -     |    -     |</t>
  </si>
  <si>
    <t>| 2081 | 0.00231  |    -     | 0.00212  |0.04569  |    -     |    -     |</t>
  </si>
  <si>
    <t>| 2082 | 0.00224  |    -     | 0.00207  |0.04726  |    -     |    -     |</t>
  </si>
  <si>
    <t>| 2083 | 0.00219  |    -     | 0.00206  |0.04187  |    -     |    -     |</t>
  </si>
  <si>
    <t>| 2084 | 0.00226  |    -     | 0.00209  |0.04700  |    -     |    -     |</t>
  </si>
  <si>
    <t>| 2085 | 0.00224  |    -     | 0.00208  |0.04733  |    -     |    -     |</t>
  </si>
  <si>
    <t>| 2086 | 0.00230  |    -     | 0.00209  |0.04587  |    -     |    -     |</t>
  </si>
  <si>
    <t>| 2087 | 0.00221  |    -     | 0.00207  |0.04362  |    -     |    -     |</t>
  </si>
  <si>
    <t>| 2088 | 0.00222  |    -     | 0.00209  |0.04738  |    -     |    -     |</t>
  </si>
  <si>
    <t>| 2089 | 0.00231  |    -     | 0.00211  |0.04252  |    -     |    -     |</t>
  </si>
  <si>
    <t>| 2090 | 0.00228  |    -     | 0.00209  |0.04720  |    -     |    -     |</t>
  </si>
  <si>
    <t>| 2091 | 0.00223  |    -     | 0.00208  |0.04725  |    -     |    -     |</t>
  </si>
  <si>
    <t>| 2092 | 0.00223  |    -     | 0.00209  |0.04730  |    -     |    -     |</t>
  </si>
  <si>
    <t>| 2093 | 0.00230  |    -     | 0.00213  |0.04726  |    -     |    -     |</t>
  </si>
  <si>
    <t>| 2094 | 0.00219  |    -     | 0.00207  |0.04726  |    -     |    -     |</t>
  </si>
  <si>
    <t>| 2095 | 0.00220  |    -     | 0.00208  |0.04726  |    -     |    -     |</t>
  </si>
  <si>
    <t>| 2096 | 0.00220  |    -     | 0.00206  |0.04586  |    -     |    -     |</t>
  </si>
  <si>
    <t>| 2097 | 0.00229  |    -     | 0.00216  |0.04650  |    -     |    -     |</t>
  </si>
  <si>
    <t>| 2098 | 0.00225  |    -     | 0.00210  |0.04744  |    -     |    -     |</t>
  </si>
  <si>
    <t>| 2099 | 0.00230  |    -     | 0.00223  |0.04236  |    -     |    -     |</t>
  </si>
  <si>
    <t>| 2100 | 0.00240  |    -     | 0.00225  |0.04733  |    -     |    -     |</t>
  </si>
  <si>
    <t>| 2101 | 0.00236  |    -     | 0.00211  |0.04734  |    -     |    -     |</t>
  </si>
  <si>
    <t>| 2102 | 0.00246  |    -     | 0.00216  |0.04741  |    -     |    -     |</t>
  </si>
  <si>
    <t>| 2103 | 0.00237  |    -     | 0.00222  |0.04745  |    -     |    -     |</t>
  </si>
  <si>
    <t>| 2104 | 0.00232  |    -     | 0.00219  |0.04733  |    -     |    -     |</t>
  </si>
  <si>
    <t>| 2105 | 0.00222  |    -     | 0.00210  |0.04729  |    -     |    -     |</t>
  </si>
  <si>
    <t>| 2106 | 0.00223  |    -     | 0.00210  |0.04731  |    -     |    -     |</t>
  </si>
  <si>
    <t>| 2107 | 0.00236  |    -     | 0.00224  |0.04741  |    -     |    -     |</t>
  </si>
  <si>
    <t>| 2108 | 0.00244  |    -     | 0.00219  |0.04745  |    -     |    -     |</t>
  </si>
  <si>
    <t>| 2109 | 0.00241  |    -     | 0.00247  |0.04198  |    -     |    -     |</t>
  </si>
  <si>
    <t>| 2110 | 0.00242  |    -     | 0.00224  |0.04044  |    -     |    -     |</t>
  </si>
  <si>
    <t>| 2111 | 0.00219  |    -     | 0.00203  |0.04737  |    -     |    -     |</t>
  </si>
  <si>
    <t>| 2112 | 0.00233  |    -     | 0.00211  |0.04737  |    -     |    -     |</t>
  </si>
  <si>
    <t>| 2113 | 0.00239  |    -     | 0.00228  |0.04747  |    -     |    -     |</t>
  </si>
  <si>
    <t>| 2114 | 0.00227  |    -     | 0.00226  |0.04736  |    -     |    -     |</t>
  </si>
  <si>
    <t>| 2115 | 0.00247  |    -     | 0.00224  |0.04653  |    -     |    -     |</t>
  </si>
  <si>
    <t>| 2116 | 0.00241  |    -     | 0.00215  |0.04742  |    -     |    -     |</t>
  </si>
  <si>
    <t>| 2117 | 0.00236  |    -     | 0.00223  |0.04745  |    -     |    -     |</t>
  </si>
  <si>
    <t>| 2118 | 0.00232  |    -     | 0.00220  |0.04739  |    -     |    -     |</t>
  </si>
  <si>
    <t>| 2119 | 0.00240  |    -     | 0.00226  |0.04743  |    -     |    -     |</t>
  </si>
  <si>
    <t>| 2120 | 0.00249  |    -     | 0.00222  |0.04746  |    -     |    -     |</t>
  </si>
  <si>
    <t>| 2121 | 0.00229  |    -     | 0.00230  |0.04743  |    -     |    -     |</t>
  </si>
  <si>
    <t>| 2122 | 0.00242  |    -     | 0.00225  |0.04743  |    -     |    -     |</t>
  </si>
  <si>
    <t>| 2123 | 0.00241  |    -     | 0.00221  |0.04739  |    -     |    -     |</t>
  </si>
  <si>
    <t>| 2124 | 0.00241  |    -     | 0.00221  |0.04742  |    -     |    -     |</t>
  </si>
  <si>
    <t>| 2125 | 0.00229  |    -     | 0.00225  |0.04748  |    -     |    -     |</t>
  </si>
  <si>
    <t>| 2126 | 0.00238  |    -     | 0.00221  |0.04748  |    -     |    -     |</t>
  </si>
  <si>
    <t>| 2127 | 0.00232  |    -     | 0.00218  |0.04748  |    -     |    -     |</t>
  </si>
  <si>
    <t>| 2128 | 0.00244  |    -     | 0.00230  |0.04745  |    -     |    -     |</t>
  </si>
  <si>
    <t>| 2129 | 0.00231  |    -     | 0.00226  |0.04750  |    -     |    -     |</t>
  </si>
  <si>
    <t>| 2130 | 0.00235  |    -     | 0.00211  |0.04593  |    -     |    -     |</t>
  </si>
  <si>
    <t>| 2131 | 0.00234  |    -     | 0.00211  |0.04726  |    -     |    -     |</t>
  </si>
  <si>
    <t>| 2132 | 0.00226  |    -     | 0.00214  |0.04747  |    -     |    -     |</t>
  </si>
  <si>
    <t>| 2133 | 0.00232  |    -     | 0.00221  |0.04739  |    -     |    -     |</t>
  </si>
  <si>
    <t>| 2134 | 0.00234  |    -     | 0.00222  |0.04746  |    -     |    -     |</t>
  </si>
  <si>
    <t>| 2135 | 0.00235  |    -     | 0.00222  |0.04746  |    -     |    -     |</t>
  </si>
  <si>
    <t>| 2136 | 0.00242  |    -     | 0.00220  |0.04746  |    -     |    -     |</t>
  </si>
  <si>
    <t>| 2137 | 0.00278  |    -     | 0.00233  |0.04751  |    -     |    -     |</t>
  </si>
  <si>
    <t>| 2138 | 0.00231  |    -     | 0.00219  |0.04747  |    -     |    -     |</t>
  </si>
  <si>
    <t>| 2139 | 0.00237  |    -     | 0.00217  |0.04545  |    -     |    -     |</t>
  </si>
  <si>
    <t>| 2140 | 0.00245  |    -     | 0.00213  |0.04737  |    -     |    -     |</t>
  </si>
  <si>
    <t>| 2141 | 0.00233  |    -     | 0.00222  |0.04655  |    -     |    -     |</t>
  </si>
  <si>
    <t>| 2142 | 0.00229  |    -     | 0.00212  |0.04413  |    -     |    -     |</t>
  </si>
  <si>
    <t>| 2143 | 0.00234  |    -     | 0.00214  |0.04751  |    -     |    -     |</t>
  </si>
  <si>
    <t>| 2144 | 0.00242  |    -     | 0.00215  |0.04654  |    -     |    -     |</t>
  </si>
  <si>
    <t>| 2145 | 0.00231  |    -     | 0.00221  |0.04742  |    -     |    -     |</t>
  </si>
  <si>
    <t>| 2146 | 0.00233  |    -     | 0.00222  |0.04740  |    -     |    -     |</t>
  </si>
  <si>
    <t>| 2147 | 0.00241  |    -     | 0.00223  |0.04746  |    -     |    -     |</t>
  </si>
  <si>
    <t>| 2148 | 0.00239  |    -     | 0.00226  |0.04741  |    -     |    -     |</t>
  </si>
  <si>
    <t>| 2149 | 0.00242  |    -     | 0.00225  |0.04754  |    -     |    -     |</t>
  </si>
  <si>
    <t>| 2150 | 0.00237  |    -     | 0.00227  |0.04132  |    -     |    -     |</t>
  </si>
  <si>
    <t>| 2151 | 0.00239  |    -     | 0.00221  |0.04746  |    -     |    -     |</t>
  </si>
  <si>
    <t>| 2152 | 0.00240  |    -     | 0.00219  |0.04743  |    -     |    -     |</t>
  </si>
  <si>
    <t>| 2153 | 0.00234  |    -     | 0.00221  |0.04745  |    -     |    -     |</t>
  </si>
  <si>
    <t>| 2154 | 0.00234  |    -     | 0.00228  |0.04747  |    -     |    -     |</t>
  </si>
  <si>
    <t>| 2155 | 0.00247  |    -     | 0.00215  |0.04747  |    -     |    -     |</t>
  </si>
  <si>
    <t>| 2156 | 0.00241  |    -     | 0.00216  |0.04747  |    -     |    -     |</t>
  </si>
  <si>
    <t>| 2157 | 0.00235  |    -     | 0.00221  |0.04744  |    -     |    -     |</t>
  </si>
  <si>
    <t>| 2158 | 0.00235  |    -     | 0.00219  |0.04365  |    -     |    -     |</t>
  </si>
  <si>
    <t>| 2159 | 0.00233  |    -     | 0.00231  |0.04436  |    -     |    -     |</t>
  </si>
  <si>
    <t>| 2160 | 0.00244  |    -     | 0.00225  |0.04743  |    -     |    -     |</t>
  </si>
  <si>
    <t>| 2161 | 0.00237  |    -     | 0.00220  |0.04745  |    -     |    -     |</t>
  </si>
  <si>
    <t>| 2162 | 0.00233  |    -     | 0.00222  |0.04743  |    -     |    -     |</t>
  </si>
  <si>
    <t>| 2163 | 0.00234  |    -     | 0.00211  |0.04539  |    -     |    -     |</t>
  </si>
  <si>
    <t>| 2164 | 0.00252  |    -     | 0.00231  |0.04715  |    -     |    -     |</t>
  </si>
  <si>
    <t>| 2165 | 0.00223  |    -     | 0.00210  |0.04737  |    -     |    -     |</t>
  </si>
  <si>
    <t>| 2166 | 0.00233  |    -     | 0.00223  |0.04747  |    -     |    -     |</t>
  </si>
  <si>
    <t>| 2167 | 0.00239  |    -     | 0.00223  |0.04747  |    -     |    -     |</t>
  </si>
  <si>
    <t>| 2168 | 0.00250  |    -     | 0.00226  |0.04742  |    -     |    -     |</t>
  </si>
  <si>
    <t>| 2169 | 0.00241  |    -     | 0.00225  |0.04665  |    -     |    -     |</t>
  </si>
  <si>
    <t>| 2170 | 0.00238  |    -     | 0.00223  |0.04748  |    -     |    -     |</t>
  </si>
  <si>
    <t>| 2171 | 0.00239  |    -     | 0.00230  |0.04748  |    -     |    -     |</t>
  </si>
  <si>
    <t>| 2172 | 0.00239  |    -     | 0.00224  |0.04746  |    -     |    -     |</t>
  </si>
  <si>
    <t>| 2173 | 0.00232  |    -     | 0.00221  |0.04745  |    -     |    -     |</t>
  </si>
  <si>
    <t>| 2174 | 0.00234  |    -     | 0.00222  |0.04745  |    -     |    -     |</t>
  </si>
  <si>
    <t>| 2175 | 0.00232  |    -     | 0.00217  |0.04448  |    -     |    -     |</t>
  </si>
  <si>
    <t>| 2176 | 0.00240  |    -     | 0.00219  |0.04746  |    -     |    -     |</t>
  </si>
  <si>
    <t>| 2177 | 0.00234  |    -     | 0.00222  |0.04741  |    -     |    -     |</t>
  </si>
  <si>
    <t>| 2178 | 0.00231  |    -     | 0.00221  |0.04402  |    -     |    -     |</t>
  </si>
  <si>
    <t>| 2179 | 0.00243  |    -     | 0.00215  |0.04748  |    -     |    -     |</t>
  </si>
  <si>
    <t>| 2180 | 0.00239  |    -     | 0.00219  |0.04736  |    -     |    -     |</t>
  </si>
  <si>
    <t>| 2181 | 0.00236  |    -     | 0.00220  |0.04746  |    -     |    -     |</t>
  </si>
  <si>
    <t>| 2182 | 0.00232  |    -     | 0.00220  |0.04500  |    -     |    -     |</t>
  </si>
  <si>
    <t>| 2183 | 0.00239  |    -     | 0.00220  |0.04745  |    -     |    -     |</t>
  </si>
  <si>
    <t>| 2184 | 0.00244  |    -     | 0.00216  |0.04736  |    -     |    -     |</t>
  </si>
  <si>
    <t>| 2185 | 0.00236  |    -     | 0.00221  |0.04226  |    -     |    -     |</t>
  </si>
  <si>
    <t>| 2186 | 0.00231  |    -     | 0.00219  |0.04627  |    -     |    -     |</t>
  </si>
  <si>
    <t>| 2187 | 0.00238  |    -     | 0.00221  |0.04744  |    -     |    -     |</t>
  </si>
  <si>
    <t>| 2188 | 0.00241  |    -     | 0.00216  |0.04518  |    -     |    -     |</t>
  </si>
  <si>
    <t>| 2189 | 0.00222  |    -     | 0.00207  |0.04572  |    -     |    -     |</t>
  </si>
  <si>
    <t>| 2190 | 0.00233  |    -     | 0.00224  |0.04541  |    -     |    -     |</t>
  </si>
  <si>
    <t>| 2191 | 0.00242  |    -     | 0.00223  |0.04750  |    -     |    -     |</t>
  </si>
  <si>
    <t>| 2192 | 0.00246  |    -     | 0.00223  |0.04744  |    -     |    -     |</t>
  </si>
  <si>
    <t>| 2193 | 0.00233  |    -     | 0.00221  |0.04660  |    -     |    -     |</t>
  </si>
  <si>
    <t>| 2194 | 0.00233  |    -     | 0.00218  |0.04744  |    -     |    -     |</t>
  </si>
  <si>
    <t>| 2195 | 0.00238  |    -     | 0.00218  |0.04748  |    -     |    -     |</t>
  </si>
  <si>
    <t>| 2196 | 0.00255  |    -     | 0.00221  |0.04745  |    -     |    -     |</t>
  </si>
  <si>
    <t>| 2197 | 0.00242  |    -     | 0.00224  |0.04741  |    -     |    -     |</t>
  </si>
  <si>
    <t>| 2198 | 0.00232  |    -     | 0.00227  |0.04061  |    -     |    -     |</t>
  </si>
  <si>
    <t>| 2199 | 0.00242  |    -     | 0.00221  |0.04742  |    -     |    -     |</t>
  </si>
  <si>
    <t>| 2200 | 0.00233  |    -     | 0.00217  |0.04355  |    -     |    -     |</t>
  </si>
  <si>
    <t>| 2201 | 0.00240  |    -     | 0.00221  |0.04666  |    -     |    -     |</t>
  </si>
  <si>
    <t>| 2202 | 0.00223  |    -     | 0.00213  |0.04732  |    -     |    -     |</t>
  </si>
  <si>
    <t>| 2203 | 0.00231  |    -     | 0.00224  |0.04745  |    -     |    -     |</t>
  </si>
  <si>
    <t>| 2204 | 0.00242  |    -     | 0.00228  |0.04747  |    -     |    -     |</t>
  </si>
  <si>
    <t>| 2205 | 0.00234  |    -     | 0.00225  |0.04744  |    -     |    -     |</t>
  </si>
  <si>
    <t>| 2206 | 0.00235  |    -     | 0.00223  |0.04572  |    -     |    -     |</t>
  </si>
  <si>
    <t>| 2207 | 0.00238  |    -     | 0.00223  |0.04742  |    -     |    -     |</t>
  </si>
  <si>
    <t>| 2208 | 0.00247  |    -     | 0.00222  |0.04746  |    -     |    -     |</t>
  </si>
  <si>
    <t>| 2209 | 0.00238  |    -     | 0.00225  |0.04751  |    -     |    -     |</t>
  </si>
  <si>
    <t>| 2210 | 0.00236  |    -     | 0.00220  |0.04523  |    -     |    -     |</t>
  </si>
  <si>
    <t>| 2211 | 0.00231  |    -     | 0.00223  |0.04743  |    -     |    -     |</t>
  </si>
  <si>
    <t>| 2212 | 0.00220  |    -     | 0.00207  |0.04729  |    -     |    -     |</t>
  </si>
  <si>
    <t>| 2213 | 0.00236  |    -     | 0.00221  |0.04029  |    -     |    -     |</t>
  </si>
  <si>
    <t>| 2214 | 0.00230  |    -     | 0.00217  |0.04742  |    -     |    -     |</t>
  </si>
  <si>
    <t>| 2215 | 0.00234  |    -     | 0.00221  |0.04488  |    -     |    -     |</t>
  </si>
  <si>
    <t>| 2216 | 0.00239  |    -     | 0.00229  |0.04184  |    -     |    -     |</t>
  </si>
  <si>
    <t>| 2217 | 0.00235  |    -     | 0.00222  |0.04751  |    -     |    -     |</t>
  </si>
  <si>
    <t>| 2218 | 0.00236  |    -     | 0.00224  |0.04747  |    -     |    -     |</t>
  </si>
  <si>
    <t>| 2219 | 0.00237  |    -     | 0.00228  |0.04742  |    -     |    -     |</t>
  </si>
  <si>
    <t>| 2220 | 0.00240  |    -     | 0.00222  |0.04746  |    -     |    -     |</t>
  </si>
  <si>
    <t>| 2221 | 0.00235  |    -     | 0.00218  |0.04739  |    -     |    -     |</t>
  </si>
  <si>
    <t>| 2222 | 0.00232  |    -     | 0.00223  |0.04747  |    -     |    -     |</t>
  </si>
  <si>
    <t>| 2223 | 0.00239  |    -     | 0.00222  |0.04745  |    -     |    -     |</t>
  </si>
  <si>
    <t>| 2224 | 0.00237  |    -     | 0.00219  |0.04744  |    -     |    -     |</t>
  </si>
  <si>
    <t>| 2225 | 0.00234  |    -     | 0.00221  |0.04158  |    -     |    -     |</t>
  </si>
  <si>
    <t>| 2226 | 0.00230  |    -     | 0.00219  |0.04746  |    -     |    -     |</t>
  </si>
  <si>
    <t>| 2227 | 0.00233  |    -     | 0.00222  |0.04072  |    -     |    -     |</t>
  </si>
  <si>
    <t>| 2228 | 0.00223  |    -     | 0.00208  |0.04721  |    -     |    -     |</t>
  </si>
  <si>
    <t>| 2229 | 0.00228  |    -     | 0.00224  |0.04750  |    -     |    -     |</t>
  </si>
  <si>
    <t>| 2230 | 0.00235  |    -     | 0.00221  |0.04741  |    -     |    -     |</t>
  </si>
  <si>
    <t>| 2231 | 0.00229  |    -     | 0.00223  |0.04682  |    -     |    -     |</t>
  </si>
  <si>
    <t>| 2232 | 0.00242  |    -     | 0.00227  |0.04743  |    -     |    -     |</t>
  </si>
  <si>
    <t>| 2233 | 0.00241  |    -     | 0.00221  |0.04739  |    -     |    -     |</t>
  </si>
  <si>
    <t>| 2234 | 0.00238  |    -     | 0.00221  |0.04744  |    -     |    -     |</t>
  </si>
  <si>
    <t>| 2235 | 0.00236  |    -     | 0.00221  |0.04743  |    -     |    -     |</t>
  </si>
  <si>
    <t>| 2236 | 0.00239  |    -     | 0.00222  |0.04744  |    -     |    -     |</t>
  </si>
  <si>
    <t>| 2237 | 0.00233  |    -     | 0.00214  |0.04766  |    -     |    -     |</t>
  </si>
  <si>
    <t>| 2238 | 0.00240  |    -     | 0.00221  |0.04745  |    -     |    -     |</t>
  </si>
  <si>
    <t>| 2239 | 0.00235  |    -     | 0.00227  |0.04733  |    -     |    -     |</t>
  </si>
  <si>
    <t>| 2240 | 0.00233  |    -     | 0.00217  |0.04742  |    -     |    -     |</t>
  </si>
  <si>
    <t>| 2241 | 0.00234  |    -     | 0.00224  |0.04742  |    -     |    -     |</t>
  </si>
  <si>
    <t>| 2242 | 0.00233  |    -     | 0.00219  |0.04738  |    -     |    -     |</t>
  </si>
  <si>
    <t>| 2243 | 0.00237  |    -     | 0.00226  |0.04734  |    -     |    -     |</t>
  </si>
  <si>
    <t>| 2244 | 0.00236  |    -     | 0.00220  |0.04732  |    -     |    -     |</t>
  </si>
  <si>
    <t>| 2245 | 0.00240  |    -     | 0.00222  |0.04741  |    -     |    -     |</t>
  </si>
  <si>
    <t>| 2246 | 0.00237  |    -     | 0.00228  |0.04140  |    -     |    -     |</t>
  </si>
  <si>
    <t>| 2247 | 0.00240  |    -     | 0.00221  |0.04737  |    -     |    -     |</t>
  </si>
  <si>
    <t>| 2248 | 0.00245  |    -     | 0.00218  |0.04746  |    -     |    -     |</t>
  </si>
  <si>
    <t>| 2249 | 0.00229  |    -     | 0.00220  |0.04741  |    -     |    -     |</t>
  </si>
  <si>
    <t>| 2250 | 0.00233  |    -     | 0.00221  |0.04742  |    -     |    -     |</t>
  </si>
  <si>
    <t>| 2251 | 0.00237  |    -     | 0.00223  |0.04743  |    -     |    -     |</t>
  </si>
  <si>
    <t>| 2252 | 0.00247  |    -     | 0.00223  |0.04744  |    -     |    -     |</t>
  </si>
  <si>
    <t>| 2253 | 0.00239  |    -     | 0.00225  |0.04493  |    -     |    -     |</t>
  </si>
  <si>
    <t>| 2254 | 0.00239  |    -     | 0.00220  |0.04465  |    -     |    -     |</t>
  </si>
  <si>
    <t>| 2255 | 0.00234  |    -     | 0.00211  |0.04731  |    -     |    -     |</t>
  </si>
  <si>
    <t>| 2256 | 0.00246  |    -     | 0.00220  |0.04002  |    -     |    -     |</t>
  </si>
  <si>
    <t>| 2257 | 0.00225  |    -     | 0.00222  |0.04746  |    -     |    -     |</t>
  </si>
  <si>
    <t>| 2258 | 0.00241  |    -     | 0.00227  |0.04749  |    -     |    -     |</t>
  </si>
  <si>
    <t>| 2259 | 0.00236  |    -     | 0.00223  |0.04745  |    -     |    -     |</t>
  </si>
  <si>
    <t>| 2260 | 0.00240  |    -     | 0.00227  |0.04747  |    -     |    -     |</t>
  </si>
  <si>
    <t>| 2261 | 0.00239  |    -     | 0.00222  |0.04488  |    -     |    -     |</t>
  </si>
  <si>
    <t>| 2262 | 0.00239  |    -     | 0.00219  |0.04747  |    -     |    -     |</t>
  </si>
  <si>
    <t>| 2263 | 0.00239  |    -     | 0.00229  |0.04751  |    -     |    -     |</t>
  </si>
  <si>
    <t>| 2264 | 0.00243  |    -     | 0.00226  |0.04569  |    -     |    -     |</t>
  </si>
  <si>
    <t>| 2265 | 0.00251  |    -     | 0.00246  |0.04753  |    -     |    -     |</t>
  </si>
  <si>
    <t>| 2266 | 0.00240  |    -     | 0.00226  |0.04441  |    -     |    -     |</t>
  </si>
  <si>
    <t>| 2267 | 0.00243  |    -     | 0.00223  |0.04743  |    -     |    -     |</t>
  </si>
  <si>
    <t>| 2268 | 0.00244  |    -     | 0.00229  |0.04742  |    -     |    -     |</t>
  </si>
  <si>
    <t>| 2269 | 0.00237  |    -     | 0.00224  |0.04747  |    -     |    -     |</t>
  </si>
  <si>
    <t>| 2270 | 0.00239  |    -     | 0.00220  |0.04756  |    -     |    -     |</t>
  </si>
  <si>
    <t>| 2271 | 0.00246  |    -     | 0.00224  |0.04745  |    -     |    -     |</t>
  </si>
  <si>
    <t>| 2272 | 0.00250  |    -     | 0.00220  |0.04744  |    -     |    -     |</t>
  </si>
  <si>
    <t>| 2273 | 0.00230  |    -     | 0.00226  |0.04746  |    -     |    -     |</t>
  </si>
  <si>
    <t>| 2274 | 0.00239  |    -     | 0.00228  |0.04749  |    -     |    -     |</t>
  </si>
  <si>
    <t>| 2275 | 0.00236  |    -     | 0.00220  |0.04608  |    -     |    -     |</t>
  </si>
  <si>
    <t>| 2276 | 0.00252  |    -     | 0.00236  |0.04729  |    -     |    -     |</t>
  </si>
  <si>
    <t>| 2277 | 0.00238  |    -     | 0.00219  |0.04760  |    -     |    -     |</t>
  </si>
  <si>
    <t>| 2278 | 0.00244  |    -     | 0.00221  |0.04740  |    -     |    -     |</t>
  </si>
  <si>
    <t>| 2279 | 0.00237  |    -     | 0.00220  |0.04749  |    -     |    -     |</t>
  </si>
  <si>
    <t>| 2280 | 0.00236  |    -     | 0.00219  |0.04742  |    -     |    -     |</t>
  </si>
  <si>
    <t>| 2281 | 0.00239  |    -     | 0.00223  |0.04549  |    -     |    -     |</t>
  </si>
  <si>
    <t>| 2282 | 0.00240  |    -     | 0.00223  |0.04743  |    -     |    -     |</t>
  </si>
  <si>
    <t>| 2283 | 0.00233  |    -     | 0.00220  |0.04749  |    -     |    -     |</t>
  </si>
  <si>
    <t>| 2284 | 0.00242  |    -     | 0.00227  |0.04748  |    -     |    -     |</t>
  </si>
  <si>
    <t>| 2285 | 0.00237  |    -     | 0.00222  |0.04367  |    -     |    -     |</t>
  </si>
  <si>
    <t>| 2286 | 0.00236  |    -     | 0.00225  |0.04753  |    -     |    -     |</t>
  </si>
  <si>
    <t>| 2287 | 0.00236  |    -     | 0.00222  |0.04747  |    -     |    -     |</t>
  </si>
  <si>
    <t>| 2288 | 0.00247  |    -     | 0.00239  |0.03988  |    -     |    -     |</t>
  </si>
  <si>
    <t>| 2289 | 0.00242  |    -     | 0.00221  |0.04712  |    -     |    -     |</t>
  </si>
  <si>
    <t>| 2290 | 0.00241  |    -     | 0.00225  |0.04747  |    -     |    -     |</t>
  </si>
  <si>
    <t>| 2291 | 0.00240  |    -     | 0.00229  |0.04745  |    -     |    -     |</t>
  </si>
  <si>
    <t>| 2292 | 0.00239  |    -     | 0.00221  |0.04013  |    -     |    -     |</t>
  </si>
  <si>
    <t>| 2293 | 0.00230  |    -     | 0.00220  |0.04690  |    -     |    -     |</t>
  </si>
  <si>
    <t>| 2294 | 0.00239  |    -     | 0.00228  |0.04753  |    -     |    -     |</t>
  </si>
  <si>
    <t>| 2295 | 0.00239  |    -     | 0.00228  |0.04753  |    -     |    -     |</t>
  </si>
  <si>
    <t>| 2296 | 0.00245  |    -     | 0.00228  |0.04745  |    -     |    -     |</t>
  </si>
  <si>
    <t>| 2297 | 0.00234  |    -     | 0.00225  |0.04476  |    -     |    -     |</t>
  </si>
  <si>
    <t>| 2298 | 0.00236  |    -     | 0.00219  |0.04748  |    -     |    -     |</t>
  </si>
  <si>
    <t>| 2299 | 0.00235  |    -     | 0.00218  |0.04743  |    -     |    -     |</t>
  </si>
  <si>
    <t>| 2300 | 0.00234  |    -     | 0.00220  |0.04745  |    -     |    -     |</t>
  </si>
  <si>
    <t>| 2301 | 0.00236  |    -     | 0.00224  |0.04748  |    -     |    -     |</t>
  </si>
  <si>
    <t>| 2302 | 0.00242  |    -     | 0.00223  |0.04166  |    -     |    -     |</t>
  </si>
  <si>
    <t>| 2303 | 0.00236  |    -     | 0.00228  |0.04655  |    -     |    -     |</t>
  </si>
  <si>
    <t>| 2304 | 0.00242  |    -     | 0.00219  |0.04506  |    -     |    -     |</t>
  </si>
  <si>
    <t>| 2305 | 0.00239  |    -     | 0.00223  |0.03848  |    -     |    -     |</t>
  </si>
  <si>
    <t>| 2306 | 0.00238  |    -     | 0.00221  |0.04751  |    -     |    -     |</t>
  </si>
  <si>
    <t>| 2307 | 0.00239  |    -     | 0.00229  |0.04745  |    -     |    -     |</t>
  </si>
  <si>
    <t>| 2308 | 0.00239  |    -     | 0.00223  |0.04743  |    -     |    -     |</t>
  </si>
  <si>
    <t>| 2309 | 0.00240  |    -     | 0.00223  |0.04674  |    -     |    -     |</t>
  </si>
  <si>
    <t>| 2310 | 0.00237  |    -     | 0.00223  |0.04748  |    -     |    -     |</t>
  </si>
  <si>
    <t>| 2311 | 0.00234  |    -     | 0.00222  |0.04497  |    -     |    -     |</t>
  </si>
  <si>
    <t>| 2312 | 0.00233  |    -     | 0.00221  |0.04736  |    -     |    -     |</t>
  </si>
  <si>
    <t>| 2313 | 0.00226  |    -     | 0.00211  |0.04735  |    -     |    -     |</t>
  </si>
  <si>
    <t>| 2314 | 0.00235  |    -     | 0.00228  |0.04390  |    -     |    -     |</t>
  </si>
  <si>
    <t>| 2315 | 0.00238  |    -     | 0.00218  |0.04739  |    -     |    -     |</t>
  </si>
  <si>
    <t>| 2316 | 0.00230  |    -     | 0.00212  |0.04742  |    -     |    -     |</t>
  </si>
  <si>
    <t>| 2317 | 0.00228  |    -     | 0.00208  |0.03795  |    -     |    -     |</t>
  </si>
  <si>
    <t>| 2318 | 0.00230  |    -     | 0.00216  |0.04745  |    -     |    -     |</t>
  </si>
  <si>
    <t>| 2319 | 0.00240  |    -     | 0.00220  |0.04742  |    -     |    -     |</t>
  </si>
  <si>
    <t>| 2320 | 0.00237  |    -     | 0.00220  |0.03958  |    -     |    -     |</t>
  </si>
  <si>
    <t>| 2321 | 0.00231  |    -     | 0.00214  |0.04746  |    -     |    -     |</t>
  </si>
  <si>
    <t>| 2322 | 0.00232  |    -     | 0.00220  |0.04056  |    -     |    -     |</t>
  </si>
  <si>
    <t>| 2323 | 0.00231  |    -     | 0.00224  |0.04278  |    -     |    -     |</t>
  </si>
  <si>
    <t>| 2324 | 0.00237  |    -     | 0.00221  |0.04745  |    -     |    -     |</t>
  </si>
  <si>
    <t>| 2325 | 0.00242  |    -     | 0.00219  |0.04116  |    -     |    -     |</t>
  </si>
  <si>
    <t>| 2326 | 0.00224  |    -     | 0.00206  |0.04725  |    -     |    -     |</t>
  </si>
  <si>
    <t>| 2327 | 0.00222  |    -     | 0.00206  |0.04732  |    -     |    -     |</t>
  </si>
  <si>
    <t>| 2328 | 0.00242  |    -     | 0.00222  |0.04744  |    -     |    -     |</t>
  </si>
  <si>
    <t>| 2329 | 0.00234  |    -     | 0.00213  |0.04752  |    -     |    -     |</t>
  </si>
  <si>
    <t>| 2330 | 0.00237  |    -     | 0.00219  |0.04746  |    -     |    -     |</t>
  </si>
  <si>
    <t>| 2331 | 0.00234  |    -     | 0.00220  |0.04746  |    -     |    -     |</t>
  </si>
  <si>
    <t>| 2332 | 0.00234  |    -     | 0.00222  |0.04600  |    -     |    -     |</t>
  </si>
  <si>
    <t>| 2333 | 0.00234  |    -     | 0.00220  |0.04746  |    -     |    -     |</t>
  </si>
  <si>
    <t>| 2334 | 0.00235  |    -     | 0.00223  |0.04443  |    -     |    -     |</t>
  </si>
  <si>
    <t>| 2335 | 0.00237  |    -     | 0.00221  |0.04756  |    -     |    -     |</t>
  </si>
  <si>
    <t>| 2336 | 0.00237  |    -     | 0.00217  |0.04413  |    -     |    -     |</t>
  </si>
  <si>
    <t>| 2337 | 0.00237  |    -     | 0.00221  |0.04107  |    -     |    -     |</t>
  </si>
  <si>
    <t>| 2338 | 0.00232  |    -     | 0.00218  |0.04746  |    -     |    -     |</t>
  </si>
  <si>
    <t>| 2339 | 0.00236  |    -     | 0.00222  |0.04184  |    -     |    -     |</t>
  </si>
  <si>
    <t>| 2340 | 0.00235  |    -     | 0.00224  |0.04743  |    -     |    -     |</t>
  </si>
  <si>
    <t>| 2341 | 0.00242  |    -     | 0.00214  |0.04757  |    -     |    -     |</t>
  </si>
  <si>
    <t>| 2342 | 0.00238  |    -     | 0.00230  |0.04637  |    -     |    -     |</t>
  </si>
  <si>
    <t>| 2343 | 0.00237  |    -     | 0.00222  |0.04747  |    -     |    -     |</t>
  </si>
  <si>
    <t>| 2344 | 0.00235  |    -     | 0.00220  |0.04683  |    -     |    -     |</t>
  </si>
  <si>
    <t>| 2345 | 0.00237  |    -     | 0.00221  |0.04742  |    -     |    -     |</t>
  </si>
  <si>
    <t>| 2346 | 0.00237  |    -     | 0.00225  |0.04748  |    -     |    -     |</t>
  </si>
  <si>
    <t>| 2347 | 0.00235  |    -     | 0.00221  |0.04309  |    -     |    -     |</t>
  </si>
  <si>
    <t>| 2348 | 0.00242  |    -     | 0.00218  |0.04548  |    -     |    -     |</t>
  </si>
  <si>
    <t>| 2349 | 0.00238  |    -     | 0.00220  |0.04739  |    -     |    -     |</t>
  </si>
  <si>
    <t>| 2350 | 0.00236  |    -     | 0.00223  |0.04748  |    -     |    -     |</t>
  </si>
  <si>
    <t>| 2351 | 0.00240  |    -     | 0.00222  |0.04221  |    -     |    -     |</t>
  </si>
  <si>
    <t>| 2352 | 0.00240  |    -     | 0.00217  |0.04537  |    -     |    -     |</t>
  </si>
  <si>
    <t>| 2353 | 0.00233  |    -     | 0.00219  |0.04663  |    -     |    -     |</t>
  </si>
  <si>
    <t>| 2354 | 0.00222  |    -     | 0.00208  |0.04729  |    -     |    -     |</t>
  </si>
  <si>
    <t>| 2355 | 0.00236  |    -     | 0.00229  |0.04515  |    -     |    -     |</t>
  </si>
  <si>
    <t>| 2356 | 0.00246  |    -     | 0.00218  |0.04460  |    -     |    -     |</t>
  </si>
  <si>
    <t>| 2357 | 0.00233  |    -     | 0.00224  |0.04739  |    -     |    -     |</t>
  </si>
  <si>
    <t>| 2358 | 0.00238  |    -     | 0.00221  |0.04746  |    -     |    -     |</t>
  </si>
  <si>
    <t>| 2359 | 0.00233  |    -     | 0.00223  |0.04620  |    -     |    -     |</t>
  </si>
  <si>
    <t>| 2360 | 0.00230  |    -     | 0.00218  |0.04269  |    -     |    -     |</t>
  </si>
  <si>
    <t>| 2361 | 0.00232  |    -     | 0.00219  |0.04741  |    -     |    -     |</t>
  </si>
  <si>
    <t>| 2362 | 0.00241  |    -     | 0.00224  |0.04153  |    -     |    -     |</t>
  </si>
  <si>
    <t>| 2363 | 0.00234  |    -     | 0.00222  |0.04742  |    -     |    -     |</t>
  </si>
  <si>
    <t>| 2364 | 0.00233  |    -     | 0.00223  |0.04738  |    -     |    -     |</t>
  </si>
  <si>
    <t>| 2365 | 0.00227  |    -     | 0.00217  |0.04737  |    -     |    -     |</t>
  </si>
  <si>
    <t>| 2366 | 0.00241  |    -     | 0.00223  |0.04736  |    -     |    -     |</t>
  </si>
  <si>
    <t>| 2367 | 0.00227  |    -     | 0.00228  |0.04286  |    -     |    -     |</t>
  </si>
  <si>
    <t>| 2368 | 0.00238  |    -     | 0.00222  |0.04470  |    -     |    -     |</t>
  </si>
  <si>
    <t>| 2369 | 0.00236  |    -     | 0.00220  |0.04740  |    -     |    -     |</t>
  </si>
  <si>
    <t>| 2370 | 0.00234  |    -     | 0.00212  |0.04740  |    -     |    -     |</t>
  </si>
  <si>
    <t>| 2371 | 0.00235  |    -     | 0.00222  |0.04747  |    -     |    -     |</t>
  </si>
  <si>
    <t>| 2372 | 0.00236  |    -     | 0.00212  |0.04147  |    -     |    -     |</t>
  </si>
  <si>
    <t>| 2373 | 0.00236  |    -     | 0.00220  |0.04747  |    -     |    -     |</t>
  </si>
  <si>
    <t>| 2374 | 0.00237  |    -     | 0.00223  |0.04745  |    -     |    -     |</t>
  </si>
  <si>
    <t>| 2375 | 0.00237  |    -     | 0.00221  |0.04746  |    -     |    -     |</t>
  </si>
  <si>
    <t>| 2376 | 0.00231  |    -     | 0.00214  |0.04128  |    -     |    -     |</t>
  </si>
  <si>
    <t>| 2377 | 0.00230  |    -     | 0.00221  |0.04594  |    -     |    -     |</t>
  </si>
  <si>
    <t>| 2378 | 0.00240  |    -     | 0.00219  |0.04749  |    -     |    -     |</t>
  </si>
  <si>
    <t>| 2379 | 0.00233  |    -     | 0.00219  |0.04746  |    -     |    -     |</t>
  </si>
  <si>
    <t>| 2380 | 0.00233  |    -     | 0.00219  |0.04284  |    -     |    -     |</t>
  </si>
  <si>
    <t>| 2381 | 0.00234  |    -     | 0.00222  |0.04750  |    -     |    -     |</t>
  </si>
  <si>
    <t>| 2382 | 0.00237  |    -     | 0.00222  |0.04742  |    -     |    -     |</t>
  </si>
  <si>
    <t>| 2383 | 0.00235  |    -     | 0.00221  |0.04747  |    -     |    -     |</t>
  </si>
  <si>
    <t>| 2384 | 0.00239  |    -     | 0.00218  |0.04745  |    -     |    -     |</t>
  </si>
  <si>
    <t>| 2385 | 0.00237  |    -     | 0.00218  |0.04750  |    -     |    -     |</t>
  </si>
  <si>
    <t>| 2386 | 0.00232  |    -     | 0.00219  |0.04747  |    -     |    -     |</t>
  </si>
  <si>
    <t>| 2387 | 0.00235  |    -     | 0.00218  |0.04790  |    -     |    -     |</t>
  </si>
  <si>
    <t>| 2388 | 0.00223  |    -     | 0.00209  |0.04724  |    -     |    -     |</t>
  </si>
  <si>
    <t>| 2389 | 0.00223  |    -     | 0.00208  |0.04737  |    -     |    -     |</t>
  </si>
  <si>
    <t>| 2390 | 0.00245  |    -     | 0.00223  |0.04590  |    -     |    -     |</t>
  </si>
  <si>
    <t>| 2391 | 0.00240  |    -     | 0.00209  |0.04729  |    -     |    -     |</t>
  </si>
  <si>
    <t>| 2392 | 0.00243  |    -     | 0.00223  |0.04100  |    -     |    -     |</t>
  </si>
  <si>
    <t>| 2393 | 0.00226  |    -     | 0.00224  |0.04471  |    -     |    -     |</t>
  </si>
  <si>
    <t>| 2394 | 0.00236  |    -     | 0.00222  |0.04183  |    -     |    -     |</t>
  </si>
  <si>
    <t>| 2395 | 0.00233  |    -     | 0.00220  |0.04739  |    -     |    -     |</t>
  </si>
  <si>
    <t>| 2396 | 0.00235  |    -     | 0.00231  |0.04742  |    -     |    -     |</t>
  </si>
  <si>
    <t>| 2397 | 0.00234  |    -     | 0.00221  |0.04742  |    -     |    -     |</t>
  </si>
  <si>
    <t>| 2398 | 0.00233  |    -     | 0.00220  |0.04746  |    -     |    -     |</t>
  </si>
  <si>
    <t>| 2399 | 0.00232  |    -     | 0.00223  |0.04745  |    -     |    -     |</t>
  </si>
  <si>
    <t>| 2400 | 0.00238  |    -     | 0.00221  |0.04747  |    -     |    -     |</t>
  </si>
  <si>
    <t>| 2401 | 0.00235  |    -     | 0.00218  |0.04734  |    -     |    -     |</t>
  </si>
  <si>
    <t>| 2402 | 0.00242  |    -     | 0.00224  |0.04747  |    -     |    -     |</t>
  </si>
  <si>
    <t>| 2403 | 0.00234  |    -     | 0.00222  |0.04747  |    -     |    -     |</t>
  </si>
  <si>
    <t>| 2404 | 0.00238  |    -     | 0.00227  |0.04749  |    -     |    -     |</t>
  </si>
  <si>
    <t>| 2405 | 0.00239  |    -     | 0.00221  |0.04745  |    -     |    -     |</t>
  </si>
  <si>
    <t>| 2406 | 0.00238  |    -     | 0.00220  |0.04361  |    -     |    -     |</t>
  </si>
  <si>
    <t>| 2407 | 0.00234  |    -     | 0.00216  |0.04740  |    -     |    -     |</t>
  </si>
  <si>
    <t>| 2408 | 0.00240  |    -     | 0.00218  |0.04742  |    -     |    -     |</t>
  </si>
  <si>
    <t>| 2409 | 0.00234  |    -     | 0.00223  |0.04743  |    -     |    -     |</t>
  </si>
  <si>
    <t>| 2410 | 0.00238  |    -     | 0.00221  |0.04749  |    -     |    -     |</t>
  </si>
  <si>
    <t>| 2411 | 0.00233  |    -     | 0.00220  |0.04741  |    -     |    -     |</t>
  </si>
  <si>
    <t>| 2412 | 0.00237  |    -     | 0.00222  |0.04743  |    -     |    -     |</t>
  </si>
  <si>
    <t>| 2413 | 0.00237  |    -     | 0.00221  |0.04544  |    -     |    -     |</t>
  </si>
  <si>
    <t>| 2414 | 0.00237  |    -     | 0.00225  |0.04746  |    -     |    -     |</t>
  </si>
  <si>
    <t>| 2415 | 0.00231  |    -     | 0.00229  |0.04752  |    -     |    -     |</t>
  </si>
  <si>
    <t>| 2416 | 0.00221  |    -     | 0.00210  |0.04730  |    -     |    -     |</t>
  </si>
  <si>
    <t>| 2417 | 0.00224  |    -     | 0.00210  |0.04730  |    -     |    -     |</t>
  </si>
  <si>
    <t>| 2418 | 0.00224  |    -     | 0.00208  |0.04731  |    -     |    -     |</t>
  </si>
  <si>
    <t>| 2419 | 0.00229  |    -     | 0.00217  |0.04727  |    -     |    -     |</t>
  </si>
  <si>
    <t>| 2420 | 0.00225  |    -     | 0.00212  |0.04730  |    -     |    -     |</t>
  </si>
  <si>
    <t>| 2421 | 0.00225  |    -     | 0.00213  |0.04738  |    -     |    -     |</t>
  </si>
  <si>
    <t>| 2422 | 0.00229  |    -     | 0.00209  |0.04733  |    -     |    -     |</t>
  </si>
  <si>
    <t>| 2423 | 0.00228  |    -     | 0.00212  |0.04732  |    -     |    -     |</t>
  </si>
  <si>
    <t>| 2424 | 0.00227  |    -     | 0.00206  |0.04636  |    -     |    -     |</t>
  </si>
  <si>
    <t>| 2425 | 0.00225  |    -     | 0.00207  |0.04730  |    -     |    -     |</t>
  </si>
  <si>
    <t>| 2426 | 0.00220  |    -     | 0.00208  |0.04728  |    -     |    -     |</t>
  </si>
  <si>
    <t>| 2427 | 0.00224  |    -     | 0.00210  |0.04730  |    -     |    -     |</t>
  </si>
  <si>
    <t>| 2428 | 0.00221  |    -     | 0.00211  |0.04729  |    -     |    -     |</t>
  </si>
  <si>
    <t>| 2429 | 0.00222  |    -     | 0.00209  |0.04731  |    -     |    -     |</t>
  </si>
  <si>
    <t>| 2430 | 0.00221  |    -     | 0.00209  |0.04382  |    -     |    -     |</t>
  </si>
  <si>
    <t>| 2431 | 0.00224  |    -     | 0.00209  |0.03979  |    -     |    -     |</t>
  </si>
  <si>
    <t>| 2432 | 0.00218  |    -     | 0.00205  |0.04638  |    -     |    -     |</t>
  </si>
  <si>
    <t>| 2433 | 0.00218  |    -     | 0.00208  |0.04023  |    -     |    -     |</t>
  </si>
  <si>
    <t>| 2434 | 0.00218  |    -     | 0.00205  |0.04724  |    -     |    -     |</t>
  </si>
  <si>
    <t>| 2435 | 0.00226  |    -     | 0.00209  |0.04727  |    -     |    -     |</t>
  </si>
  <si>
    <t>| 2436 | 0.00218  |    -     | 0.00207  |0.04725  |    -     |    -     |</t>
  </si>
  <si>
    <t>| 2437 | 0.00221  |    -     | 0.00212  |0.04729  |    -     |    -     |</t>
  </si>
  <si>
    <t>| 2438 | 0.00221  |    -     | 0.00208  |0.04728  |    -     |    -     |</t>
  </si>
  <si>
    <t>| 2439 | 0.00229  |    -     | 0.00217  |0.04730  |    -     |    -     |</t>
  </si>
  <si>
    <t>| 2440 | 0.00222  |    -     | 0.00208  |0.04727  |    -     |    -     |</t>
  </si>
  <si>
    <t>| 2441 | 0.00220  |    -     | 0.00207  |0.04726  |    -     |    -     |</t>
  </si>
  <si>
    <t>| 2442 | 0.00218  |    -     | 0.00207  |0.04727  |    -     |    -     |</t>
  </si>
  <si>
    <t>| 2443 | 0.00219  |    -     | 0.00207  |0.04696  |    -     |    -     |</t>
  </si>
  <si>
    <t>| 2444 | 0.00223  |    -     | 0.00217  |0.04332  |    -     |    -     |</t>
  </si>
  <si>
    <t>| 2445 | 0.00220  |    -     | 0.00207  |0.04726  |    -     |    -     |</t>
  </si>
  <si>
    <t>| 2446 | 0.00225  |    -     | 0.00210  |0.04730  |    -     |    -     |</t>
  </si>
  <si>
    <t>| 2447 | 0.00221  |    -     | 0.00211  |0.04733  |    -     |    -     |</t>
  </si>
  <si>
    <t>| 2448 | 0.00222  |    -     | 0.00208  |0.04726  |    -     |    -     |</t>
  </si>
  <si>
    <t>| 2449 | 0.00219  |    -     | 0.00207  |0.04729  |    -     |    -     |</t>
  </si>
  <si>
    <t>| 2450 | 0.00235  |    -     | 0.00213  |0.04365  |    -     |    -     |</t>
  </si>
  <si>
    <t>| 2451 | 0.00226  |    -     | 0.00209  |0.03982  |    -     |    -     |</t>
  </si>
  <si>
    <t>| 2452 | 0.00220  |    -     | 0.00210  |0.04726  |    -     |    -     |</t>
  </si>
  <si>
    <t>| 2453 | 0.00227  |    -     | 0.00211  |0.04732  |    -     |    -     |</t>
  </si>
  <si>
    <t>| 2454 | 0.00224  |    -     | 0.00210  |0.04731  |    -     |    -     |</t>
  </si>
  <si>
    <t>| 2455 | 0.00224  |    -     | 0.00207  |0.04725  |    -     |    -     |</t>
  </si>
  <si>
    <t>| 2456 | 0.00217  |    -     | 0.00208  |0.04556  |    -     |    -     |</t>
  </si>
  <si>
    <t>| 2457 | 0.00220  |    -     | 0.00209  |0.04727  |    -     |    -     |</t>
  </si>
  <si>
    <t>| 2458 | 0.00218  |    -     | 0.00211  |0.04733  |    -     |    -     |</t>
  </si>
  <si>
    <t>| 2459 | 0.00220  |    -     | 0.00208  |0.04682  |    -     |    -     |</t>
  </si>
  <si>
    <t>| 2460 | 0.00222  |    -     | 0.00208  |0.04727  |    -     |    -     |</t>
  </si>
  <si>
    <t>| 2461 | 0.00222  |    -     | 0.00209  |0.04129  |    -     |    -     |</t>
  </si>
  <si>
    <t>| 2462 | 0.00217  |    -     | 0.00212  |0.04724  |    -     |    -     |</t>
  </si>
  <si>
    <t>| 2463 | 0.00234  |    -     | 0.00214  |0.04732  |    -     |    -     |</t>
  </si>
  <si>
    <t>| 2464 | 0.00222  |    -     | 0.00210  |0.04730  |    -     |    -     |</t>
  </si>
  <si>
    <t>| 2465 | 0.00223  |    -     | 0.00210  |0.04728  |    -     |    -     |</t>
  </si>
  <si>
    <t>| 2466 | 0.00220  |    -     | 0.00207  |0.04318  |    -     |    -     |</t>
  </si>
  <si>
    <t>| 2467 | 0.00231  |    -     | 0.00210  |0.04271  |    -     |    -     |</t>
  </si>
  <si>
    <t>| 2468 | 0.00223  |    -     | 0.00207  |0.04725  |    -     |    -     |</t>
  </si>
  <si>
    <t>| 2469 | 0.00221  |    -     | 0.00207  |0.04726  |    -     |    -     |</t>
  </si>
  <si>
    <t>| 2470 | 0.00223  |    -     | 0.00208  |0.04729  |    -     |    -     |</t>
  </si>
  <si>
    <t>| 2471 | 0.00220  |    -     | 0.00208  |0.04519  |    -     |    -     |</t>
  </si>
  <si>
    <t>| 2472 | 0.00222  |    -     | 0.00207  |0.04063  |    -     |    -     |</t>
  </si>
  <si>
    <t>| 2473 | 0.00222  |    -     | 0.00206  |0.04722  |    -     |    -     |</t>
  </si>
  <si>
    <t>| 2474 | 0.00228  |    -     | 0.00218  |0.04737  |    -     |    -     |</t>
  </si>
  <si>
    <t>| 2475 | 0.00224  |    -     | 0.00209  |0.04731  |    -     |    -     |</t>
  </si>
  <si>
    <t>| 2476 | 0.00224  |    -     | 0.00210  |0.04726  |    -     |    -     |</t>
  </si>
  <si>
    <t>| 2477 | 0.00216  |    -     | 0.00207  |0.04726  |    -     |    -     |</t>
  </si>
  <si>
    <t>| 2478 | 0.00220  |    -     | 0.00208  |0.04729  |    -     |    -     |</t>
  </si>
  <si>
    <t>| 2479 | 0.00219  |    -     | 0.00210  |0.04478  |    -     |    -     |</t>
  </si>
  <si>
    <t>| 2480 | 0.00221  |    -     | 0.00207  |0.04725  |    -     |    -     |</t>
  </si>
  <si>
    <t>| 2481 | 0.00219  |    -     | 0.00206  |0.04723  |    -     |    -     |</t>
  </si>
  <si>
    <t>| 2482 | 0.00219  |    -     | 0.00206  |0.04731  |    -     |    -     |</t>
  </si>
  <si>
    <t>| 2483 | 0.00224  |    -     | 0.00209  |0.04289  |    -     |    -     |</t>
  </si>
  <si>
    <t>| 2484 | 0.00218  |    -     | 0.00205  |0.04725  |    -     |    -     |</t>
  </si>
  <si>
    <t>| 2485 | 0.00222  |    -     | 0.00209  |0.04730  |    -     |    -     |</t>
  </si>
  <si>
    <t>| 2486 | 0.00220  |    -     | 0.00206  |0.04391  |    -     |    -     |</t>
  </si>
  <si>
    <t>| 2487 | 0.00224  |    -     | 0.00207  |0.04718  |    -     |    -     |</t>
  </si>
  <si>
    <t>| 2488 | 0.00220  |    -     | 0.00206  |0.04724  |    -     |    -     |</t>
  </si>
  <si>
    <t>| 2489 | 0.00218  |    -     | 0.00206  |0.04723  |    -     |    -     |</t>
  </si>
  <si>
    <t>| 2490 | 0.00219  |    -     | 0.00207  |0.04358  |    -     |    -     |</t>
  </si>
  <si>
    <t>| 2491 | 0.00218  |    -     | 0.00207  |0.04595  |    -     |    -     |</t>
  </si>
  <si>
    <t>| 2492 | 0.00221  |    -     | 0.00207  |0.04725  |    -     |    -     |</t>
  </si>
  <si>
    <t>| 2493 | 0.00224  |    -     | 0.00207  |0.04728  |    -     |    -     |</t>
  </si>
  <si>
    <t>| 2494 | 0.00231  |    -     | 0.00206  |0.04727  |    -     |    -     |</t>
  </si>
  <si>
    <t>| 2495 | 0.00223  |    -     | 0.00207  |0.04275  |    -     |    -     |</t>
  </si>
  <si>
    <t>| 2496 | 0.00217  |    -     | 0.00207  |0.04719  |    -     |    -     |</t>
  </si>
  <si>
    <t>| 2497 | 0.00218  |    -     | 0.00207  |0.04431  |    -     |    -     |</t>
  </si>
  <si>
    <t>| 2498 | 0.00218  |    -     | 0.00206  |0.04726  |    -     |    -     |</t>
  </si>
  <si>
    <t>| 2499 | 0.00225  |    -     | 0.00209  |0.04603  |    -     |    -     |</t>
  </si>
  <si>
    <t>| 2500 | 0.00220  |    -     | 0.00223  |0.04730  |    -     |    -     |</t>
  </si>
  <si>
    <t>| 2501 | 0.00232  |    -     | 0.00213  |0.04733  |    -     |    -     |</t>
  </si>
  <si>
    <t>| 2502 | 0.00221  |    -     | 0.00208  |0.04727  |    -     |    -     |</t>
  </si>
  <si>
    <t>| 2503 | 0.00226  |    -     | 0.00209  |0.04241  |    -     |    -     |</t>
  </si>
  <si>
    <t>| 2504 | 0.00223  |    -     | 0.00207  |0.04729  |    -     |    -     |</t>
  </si>
  <si>
    <t>| 2505 | 0.00225  |    -     | 0.00210  |0.04728  |    -     |    -     |</t>
  </si>
  <si>
    <t>| 2506 | 0.00219  |    -     | 0.00208  |0.04731  |    -     |    -     |</t>
  </si>
  <si>
    <t>| 2507 | 0.00225  |    -     | 0.00210  |0.04553  |    -     |    -     |</t>
  </si>
  <si>
    <t>| 2508 | 0.00222  |    -     | 0.00208  |0.04729  |    -     |    -     |</t>
  </si>
  <si>
    <t>| 2509 | 0.00221  |    -     | 0.00207  |0.04728  |    -     |    -     |</t>
  </si>
  <si>
    <t>| 2510 | 0.00222  |    -     | 0.00210  |0.04051  |    -     |    -     |</t>
  </si>
  <si>
    <t>| 2511 | 0.00217  |    -     | 0.00206  |0.04576  |    -     |    -     |</t>
  </si>
  <si>
    <t>| 2512 | 0.00220  |    -     | 0.00206  |0.04731  |    -     |    -     |</t>
  </si>
  <si>
    <t>| 2513 | 0.00224  |    -     | 0.00208  |0.04722  |    -     |    -     |</t>
  </si>
  <si>
    <t>| 2514 | 0.00228  |    -     | 0.00209  |0.04730  |    -     |    -     |</t>
  </si>
  <si>
    <t>| 2515 | 0.00220  |    -     | 0.00207  |0.04279  |    -     |    -     |</t>
  </si>
  <si>
    <t>| 2516 | 0.00219  |    -     | 0.00207  |0.04721  |    -     |    -     |</t>
  </si>
  <si>
    <t>| 2517 | 0.00223  |    -     | 0.00207  |0.04729  |    -     |    -     |</t>
  </si>
  <si>
    <t>| 2518 | 0.00223  |    -     | 0.00209  |0.04724  |    -     |    -     |</t>
  </si>
  <si>
    <t>| 2519 | 0.00224  |    -     | 0.00210  |0.04084  |    -     |    -     |</t>
  </si>
  <si>
    <t>| 2520 | 0.00193  |    -     | 0.00209  |0.04730  |    -     |    -     |</t>
  </si>
  <si>
    <t>| 2521 | 0.00226  |    -     | 0.00209  |0.04551  |    -     |    -     |</t>
  </si>
  <si>
    <t>| 2522 | 0.00222  |    -     | 0.00208  |0.04266  |    -     |    -     |</t>
  </si>
  <si>
    <t>| 2523 | 0.00227  |    -     | 0.00208  |0.04726  |    -     |    -     |</t>
  </si>
  <si>
    <t>| 2524 | 0.00222  |    -     | 0.00209  |0.04725  |    -     |    -     |</t>
  </si>
  <si>
    <t>| 2525 | 0.00221  |    -     | 0.00207  |0.04545  |    -     |    -     |</t>
  </si>
  <si>
    <t>| 2526 | 0.00222  |    -     | 0.00209  |0.04721  |    -     |    -     |</t>
  </si>
  <si>
    <t>| 2527 | 0.00221  |    -     | 0.00209  |0.04729  |    -     |    -     |</t>
  </si>
  <si>
    <t>| 2528 | 0.00225  |    -     | 0.00211  |0.04730  |    -     |    -     |</t>
  </si>
  <si>
    <t>| 2529 | 0.00225  |    -     | 0.00210  |0.04729  |    -     |    -     |</t>
  </si>
  <si>
    <t>| 2530 | 0.00223  |    -     | 0.00209  |0.04500  |    -     |    -     |</t>
  </si>
  <si>
    <t>| 2531 | 0.00224  |    -     | 0.00208  |0.04487  |    -     |    -     |</t>
  </si>
  <si>
    <t>| 2532 | 0.00230  |    -     | 0.00212  |0.03670  |    -     |    -     |</t>
  </si>
  <si>
    <t>| 2533 | 0.00220  |    -     | 0.00206  |0.04720  |    -     |    -     |</t>
  </si>
  <si>
    <t>| 2534 | 0.00234  |    -     | 0.00215  |0.04733  |    -     |    -     |</t>
  </si>
  <si>
    <t>| 2535 | 0.00243  |    -     | 0.00219  |0.04746  |    -     |    -     |</t>
  </si>
  <si>
    <t>| 2536 | 0.00236  |    -     | 0.00223  |0.04747  |    -     |    -     |</t>
  </si>
  <si>
    <t>| 2537 | 0.00230  |    -     | 0.00221  |0.04750  |    -     |    -     |</t>
  </si>
  <si>
    <t>| 2538 | 0.00235  |    -     | 0.00221  |0.04745  |    -     |    -     |</t>
  </si>
  <si>
    <t>| 2539 | 0.00236  |    -     | 0.00219  |0.04650  |    -     |    -     |</t>
  </si>
  <si>
    <t>| 2540 | 0.00234  |    -     | 0.00220  |0.04743  |    -     |    -     |</t>
  </si>
  <si>
    <t>| 2541 | 0.00236  |    -     | 0.00222  |0.04740  |    -     |    -     |</t>
  </si>
  <si>
    <t>| 2542 | 0.00234  |    -     | 0.00221  |0.04725  |    -     |    -     |</t>
  </si>
  <si>
    <t>| 2543 | 0.00238  |    -     | 0.00218  |0.04151  |    -     |    -     |</t>
  </si>
  <si>
    <t>| 2544 | 0.00229  |    -     | 0.00220  |0.04741  |    -     |    -     |</t>
  </si>
  <si>
    <t>| 2545 | 0.00240  |    -     | 0.00221  |0.04749  |    -     |    -     |</t>
  </si>
  <si>
    <t>| 2546 | 0.00230  |    -     | 0.00221  |0.04748  |    -     |    -     |</t>
  </si>
  <si>
    <t>| 2547 | 0.00244  |    -     | 0.00228  |0.04111  |    -     |    -     |</t>
  </si>
  <si>
    <t>| 2548 | 0.00231  |    -     | 0.00219  |0.04739  |    -     |    -     |</t>
  </si>
  <si>
    <t>| 2549 | 0.00244  |    -     | 0.00223  |0.04748  |    -     |    -     |</t>
  </si>
  <si>
    <t>| 2550 | 0.00236  |    -     | 0.00220  |0.04292  |    -     |    -     |</t>
  </si>
  <si>
    <t>| 2551 | 0.00232  |    -     | 0.00221  |0.04579  |    -     |    -     |</t>
  </si>
  <si>
    <t>| 2552 | 0.00234  |    -     | 0.00220  |0.04732  |    -     |    -     |</t>
  </si>
  <si>
    <t>| 2553 | 0.00243  |    -     | 0.00223  |0.04495  |    -     |    -     |</t>
  </si>
  <si>
    <t>| 2554 | 0.00238  |    -     | 0.00218  |0.04042  |    -     |    -     |</t>
  </si>
  <si>
    <t>| 2555 | 0.00229  |    -     | 0.00216  |0.04744  |    -     |    -     |</t>
  </si>
  <si>
    <t>| 2556 | 0.00237  |    -     | 0.00224  |0.04743  |    -     |    -     |</t>
  </si>
  <si>
    <t>| 2557 | 0.00232  |    -     | 0.00223  |0.04435  |    -     |    -     |</t>
  </si>
  <si>
    <t>| 2558 | 0.00236  |    -     | 0.00219  |0.04739  |    -     |    -     |</t>
  </si>
  <si>
    <t>| 2559 | 0.00243  |    -     | 0.00220  |0.04739  |    -     |    -     |</t>
  </si>
  <si>
    <t>| 2560 | 0.00235  |    -     | 0.00219  |0.04745  |    -     |    -     |</t>
  </si>
  <si>
    <t>| 2561 | 0.00232  |    -     | 0.00219  |0.04395  |    -     |    -     |</t>
  </si>
  <si>
    <t>| 2562 | 0.00236  |    -     | 0.00232  |0.04742  |    -     |    -     |</t>
  </si>
  <si>
    <t>| 2563 | 0.00230  |    -     | 0.00227  |0.04743  |    -     |    -     |</t>
  </si>
  <si>
    <t>| 2564 | 0.00230  |    -     | 0.00227  |0.04751  |    -     |    -     |</t>
  </si>
  <si>
    <t>| 2565 | 0.00232  |    -     | 0.00224  |0.04740  |    -     |    -     |</t>
  </si>
  <si>
    <t>| 2566 | 0.00235  |    -     | 0.00221  |0.04737  |    -     |    -     |</t>
  </si>
  <si>
    <t>| 2567 | 0.00244  |    -     | 0.00222  |0.04747  |    -     |    -     |</t>
  </si>
  <si>
    <t>| 2568 | 0.00242  |    -     | 0.00231  |0.04746  |    -     |    -     |</t>
  </si>
  <si>
    <t>| 2569 | 0.00240  |    -     | 0.00213  |0.04747  |    -     |    -     |</t>
  </si>
  <si>
    <t>| 2570 | 0.00235  |    -     | 0.00224  |0.04745  |    -     |    -     |</t>
  </si>
  <si>
    <t>| 2571 | 0.00235  |    -     | 0.00220  |0.04190  |    -     |    -     |</t>
  </si>
  <si>
    <t>| 2572 | 0.00225  |    -     | 0.00218  |0.04743  |    -     |    -     |</t>
  </si>
  <si>
    <t>| 2573 | 0.00241  |    -     | 0.00217  |0.04737  |    -     |    -     |</t>
  </si>
  <si>
    <t>| 2574 | 0.00238  |    -     | 0.00224  |0.04744  |    -     |    -     |</t>
  </si>
  <si>
    <t>| 2575 | 0.00234  |    -     | 0.00216  |0.04732  |    -     |    -     |</t>
  </si>
  <si>
    <t>| 2576 | 0.00237  |    -     | 0.00225  |0.04741  |    -     |    -     |</t>
  </si>
  <si>
    <t>| 2577 | 0.00235  |    -     | 0.00226  |0.04242  |    -     |    -     |</t>
  </si>
  <si>
    <t>| 2578 | 0.00240  |    -     | 0.00224  |0.04744  |    -     |    -     |</t>
  </si>
  <si>
    <t>| 2579 | 0.00235  |    -     | 0.00217  |0.04745  |    -     |    -     |</t>
  </si>
  <si>
    <t>| 2580 | 0.00220  |    -     | 0.00250  |0.04034  |    -     |    -     |</t>
  </si>
  <si>
    <t>| 2581 | 0.00238  |    -     | 0.00220  |0.04700  |    -     |    -     |</t>
  </si>
  <si>
    <t>| 2582 | 0.00235  |    -     | 0.00223  |0.04698  |    -     |    -     |</t>
  </si>
  <si>
    <t>| 2583 | 0.00242  |    -     | 0.00222  |0.04734  |    -     |    -     |</t>
  </si>
  <si>
    <t>| 2584 | 0.00237  |    -     | 0.00225  |0.04748  |    -     |    -     |</t>
  </si>
  <si>
    <t>| 2585 | 0.00237  |    -     | 0.00219  |0.04080  |    -     |    -     |</t>
  </si>
  <si>
    <t>| 2586 | 0.00239  |    -     | 0.00215  |0.04733  |    -     |    -     |</t>
  </si>
  <si>
    <t>| 2587 | 0.00242  |    -     | 0.00227  |0.04736  |    -     |    -     |</t>
  </si>
  <si>
    <t>| 2588 | 0.00238  |    -     | 0.00214  |0.04730  |    -     |    -     |</t>
  </si>
  <si>
    <t>| 2589 | 0.00239  |    -     | 0.00220  |0.04739  |    -     |    -     |</t>
  </si>
  <si>
    <t>| 2590 | 0.00233  |    -     | 0.00220  |0.04739  |    -     |    -     |</t>
  </si>
  <si>
    <t>| 2591 | 0.00228  |    -     | 0.00220  |0.04762  |    -     |    -     |</t>
  </si>
  <si>
    <t>| 2592 | 0.00246  |    -     | 0.00217  |0.04737  |    -     |    -     |</t>
  </si>
  <si>
    <t>| 2593 | 0.00232  |    -     | 0.00220  |0.04194  |    -     |    -     |</t>
  </si>
  <si>
    <t>| 2594 | 0.00236  |    -     | 0.00217  |0.04744  |    -     |    -     |</t>
  </si>
  <si>
    <t>| 2595 | 0.00235  |    -     | 0.00219  |0.04749  |    -     |    -     |</t>
  </si>
  <si>
    <t>| 2596 | 0.00232  |    -     | 0.00219  |0.04737  |    -     |    -     |</t>
  </si>
  <si>
    <t>| 2597 | 0.00237  |    -     | 0.00220  |0.04550  |    -     |    -     |</t>
  </si>
  <si>
    <t>| 2598 | 0.00234  |    -     | 0.00214  |0.04741  |    -     |    -     |</t>
  </si>
  <si>
    <t>| 2599 | 0.00238  |    -     | 0.00219  |0.04742  |    -     |    -     |</t>
  </si>
  <si>
    <t>| 2600 | 0.00241  |    -     | 0.00219  |0.04744  |    -     |    -     |</t>
  </si>
  <si>
    <t>| 2601 | 0.00235  |    -     | 0.00240  |0.04391  |    -     |    -     |</t>
  </si>
  <si>
    <t>| 2602 | 0.00249  |    -     | 0.00219  |0.04745  |    -     |    -     |</t>
  </si>
  <si>
    <t>| 2603 | 0.00243  |    -     | 0.00225  |0.04744  |    -     |    -     |</t>
  </si>
  <si>
    <t>| 2604 | 0.00242  |    -     | 0.00220  |0.04287  |    -     |    -     |</t>
  </si>
  <si>
    <t>| 2605 | 0.00236  |    -     | 0.00212  |0.04150  |    -     |    -     |</t>
  </si>
  <si>
    <t>| 2606 | 0.00233  |    -     | 0.00213  |0.04744  |    -     |    -     |</t>
  </si>
  <si>
    <t>| 2607 | 0.00233  |    -     | 0.00214  |0.04430  |    -     |    -     |</t>
  </si>
  <si>
    <t>| 2608 | 0.00235  |    -     | 0.00215  |0.04739  |    -     |    -     |</t>
  </si>
  <si>
    <t>| 2609 | 0.00239  |    -     | 0.00220  |0.04729  |    -     |    -     |</t>
  </si>
  <si>
    <t>| 2610 | 0.00232  |    -     | 0.00207  |0.04028  |    -     |    -     |</t>
  </si>
  <si>
    <t>| 2611 | 0.00227  |    -     | 0.00221  |0.04604  |    -     |    -     |</t>
  </si>
  <si>
    <t>| 2612 | 0.00226  |    -     | 0.00215  |0.04729  |    -     |    -     |</t>
  </si>
  <si>
    <t>| 2613 | 0.00243  |    -     | 0.00219  |0.04074  |    -     |    -     |</t>
  </si>
  <si>
    <t>| 2614 | 0.00229  |    -     | 0.00211  |0.04740  |    -     |    -     |</t>
  </si>
  <si>
    <t>| 2615 | 0.00222  |    -     | 0.00223  |0.04741  |    -     |    -     |</t>
  </si>
  <si>
    <t>| 2616 | 0.00227  |    -     | 0.00223  |0.04477  |    -     |    -     |</t>
  </si>
  <si>
    <t>| 2617 | 0.00228  |    -     | 0.00215  |0.04745  |    -     |    -     |</t>
  </si>
  <si>
    <t>| 2618 | 0.00234  |    -     | 0.00214  |0.04742  |    -     |    -     |</t>
  </si>
  <si>
    <t>| 2619 | 0.00234  |    -     | 0.00208  |0.04678  |    -     |    -     |</t>
  </si>
  <si>
    <t>| 2620 | 0.00227  |    -     | 0.00213  |0.04725  |    -     |    -     |</t>
  </si>
  <si>
    <t>| 2621 | 0.00227  |    -     | 0.00222  |0.04745  |    -     |    -     |</t>
  </si>
  <si>
    <t>| 2622 | 0.00225  |    -     | 0.00211  |0.04734  |    -     |    -     |</t>
  </si>
  <si>
    <t>| 2623 | 0.00250  |    -     | 0.00222  |0.04730  |    -     |    -     |</t>
  </si>
  <si>
    <t>| 2624 | 0.00228  |    -     | 0.00214  |0.04740  |    -     |    -     |</t>
  </si>
  <si>
    <t>| 2625 | 0.00219  |    -     | 0.00212  |0.04354  |    -     |    -     |</t>
  </si>
  <si>
    <t>| 2626 | 0.00233  |    -     | 0.00209  |0.04503  |    -     |    -     |</t>
  </si>
  <si>
    <t>| 2627 | 0.00235  |    -     | 0.00209  |0.04744  |    -     |    -     |</t>
  </si>
  <si>
    <t>| 2628 | 0.00228  |    -     | 0.00223  |0.04742  |    -     |    -     |</t>
  </si>
  <si>
    <t>| 2629 | 0.00226  |    -     | 0.00210  |0.04738  |    -     |    -     |</t>
  </si>
  <si>
    <t>| 2630 | 0.00225  |    -     | 0.00215  |0.04694  |    -     |    -     |</t>
  </si>
  <si>
    <t>| 2631 | 0.00242  |    -     | 0.00217  |0.04721  |    -     |    -     |</t>
  </si>
  <si>
    <t>| 2632 | 0.00228  |    -     | 0.00208  |0.04484  |    -     |    -     |</t>
  </si>
  <si>
    <t>| 2633 | 0.00236  |    -     | 0.00209  |0.04737  |    -     |    -     |</t>
  </si>
  <si>
    <t>| 2634 | 0.00233  |    -     | 0.00224  |0.04743  |    -     |    -     |</t>
  </si>
  <si>
    <t>| 2635 | 0.00228  |    -     | 0.00226  |0.04741  |    -     |    -     |</t>
  </si>
  <si>
    <t>| 2636 | 0.00233  |    -     | 0.00216  |0.04087  |    -     |    -     |</t>
  </si>
  <si>
    <t>| 2637 | 0.00225  |    -     | 0.00207  |0.04731  |    -     |    -     |</t>
  </si>
  <si>
    <t>| 2638 | 0.00230  |    -     | 0.00212  |0.04739  |    -     |    -     |</t>
  </si>
  <si>
    <t>| 2639 | 0.00237  |    -     | 0.00218  |0.04745  |    -     |    -     |</t>
  </si>
  <si>
    <t>| 2640 | 0.00222  |    -     | 0.00209  |0.04725  |    -     |    -     |</t>
  </si>
  <si>
    <t>| 2641 | 0.00228  |    -     | 0.00211  |0.04725  |    -     |    -     |</t>
  </si>
  <si>
    <t>| 2642 | 0.00224  |    -     | 0.00223  |0.04733  |    -     |    -     |</t>
  </si>
  <si>
    <t>| 2643 | 0.00238  |    -     | 0.00217  |0.04659  |    -     |    -     |</t>
  </si>
  <si>
    <t>| 2644 | 0.00230  |    -     | 0.00217  |0.04737  |    -     |    -     |</t>
  </si>
  <si>
    <t>| 2645 | 0.00235  |    -     | 0.00223  |0.04741  |    -     |    -     |</t>
  </si>
  <si>
    <t>| 2646 | 0.00236  |    -     | 0.00220  |0.04737  |    -     |    -     |</t>
  </si>
  <si>
    <t>| 2647 | 0.00226  |    -     | 0.00215  |0.04744  |    -     |    -     |</t>
  </si>
  <si>
    <t>| 2648 | 0.00230  |    -     | 0.00218  |0.04743  |    -     |    -     |</t>
  </si>
  <si>
    <t>| 2649 | 0.00233  |    -     | 0.00219  |0.04728  |    -     |    -     |</t>
  </si>
  <si>
    <t>| 2650 | 0.00233  |    -     | 0.00221  |0.04569  |    -     |    -     |</t>
  </si>
  <si>
    <t>| 2651 | 0.00242  |    -     | 0.00224  |0.04744  |    -     |    -     |</t>
  </si>
  <si>
    <t>| 2652 | 0.00231  |    -     | 0.00217  |0.04741  |    -     |    -     |</t>
  </si>
  <si>
    <t>| 2653 | 0.00233  |    -     | 0.00218  |0.04734  |    -     |    -     |</t>
  </si>
  <si>
    <t>| 2654 | 0.00238  |    -     | 0.00220  |0.04738  |    -     |    -     |</t>
  </si>
  <si>
    <t>| 2655 | 0.00228  |    -     | 0.00223  |0.04750  |    -     |    -     |</t>
  </si>
  <si>
    <t>| 2656 | 0.00236  |    -     | 0.00216  |0.04745  |    -     |    -     |</t>
  </si>
  <si>
    <t>| 2657 | 0.00235  |    -     | 0.00217  |0.04736  |    -     |    -     |</t>
  </si>
  <si>
    <t>| 2658 | 0.00245  |    -     | 0.00224  |0.04743  |    -     |    -     |</t>
  </si>
  <si>
    <t>| 2659 | 0.00239  |    -     | 0.00217  |0.04113  |    -     |    -     |</t>
  </si>
  <si>
    <t>| 2660 | 0.00238  |    -     | 0.00215  |0.04748  |    -     |    -     |</t>
  </si>
  <si>
    <t>| 2661 | 0.00238  |    -     | 0.00218  |0.04746  |    -     |    -     |</t>
  </si>
  <si>
    <t>| 2662 | 0.00237  |    -     | 0.00217  |0.04746  |    -     |    -     |</t>
  </si>
  <si>
    <t>| 2663 | 0.00238  |    -     | 0.00218  |0.04744  |    -     |    -     |</t>
  </si>
  <si>
    <t>| 2664 | 0.00235  |    -     | 0.00226  |0.04379  |    -     |    -     |</t>
  </si>
  <si>
    <t>| 2665 | 0.00236  |    -     | 0.00217  |0.04743  |    -     |    -     |</t>
  </si>
  <si>
    <t>| 2666 | 0.00235  |    -     | 0.00216  |0.04730  |    -     |    -     |</t>
  </si>
  <si>
    <t>| 2667 | 0.00246  |    -     | 0.00220  |0.04743  |    -     |    -     |</t>
  </si>
  <si>
    <t>| 2668 | 0.00237  |    -     | 0.00220  |0.04750  |    -     |    -     |</t>
  </si>
  <si>
    <t>| 2669 | 0.00234  |    -     | 0.00219  |0.04750  |    -     |    -     |</t>
  </si>
  <si>
    <t>| 2670 | 0.00239  |    -     | 0.00221  |0.04697  |    -     |    -     |</t>
  </si>
  <si>
    <t>| 2671 | 0.00226  |    -     | 0.00210  |0.04744  |    -     |    -     |</t>
  </si>
  <si>
    <t>| 2672 | 0.00237  |    -     | 0.00225  |0.04751  |    -     |    -     |</t>
  </si>
  <si>
    <t>| 2673 | 0.00240  |    -     | 0.00213  |0.04744  |    -     |    -     |</t>
  </si>
  <si>
    <t>| 2674 | 0.00236  |    -     | 0.00221  |0.04745  |    -     |    -     |</t>
  </si>
  <si>
    <t>| 2675 | 0.00235  |    -     | 0.00218  |0.04743  |    -     |    -     |</t>
  </si>
  <si>
    <t>| 2676 | 0.00233  |    -     | 0.00219  |0.04737  |    -     |    -     |</t>
  </si>
  <si>
    <t>| 2677 | 0.00233  |    -     | 0.00216  |0.04746  |    -     |    -     |</t>
  </si>
  <si>
    <t>| 2678 | 0.00239  |    -     | 0.00219  |0.04741  |    -     |    -     |</t>
  </si>
  <si>
    <t>| 2679 | 0.00242  |    -     | 0.00216  |0.04381  |    -     |    -     |</t>
  </si>
  <si>
    <t>| 2680 | 0.00226  |    -     | 0.00208  |0.04734  |    -     |    -     |</t>
  </si>
  <si>
    <t>| 2681 | 0.00242  |    -     | 0.00219  |0.04746  |    -     |    -     |</t>
  </si>
  <si>
    <t>| 2682 | 0.00237  |    -     | 0.00217  |0.04733  |    -     |    -     |</t>
  </si>
  <si>
    <t>| 2683 | 0.00245  |    -     | 0.00219  |0.04748  |    -     |    -     |</t>
  </si>
  <si>
    <t>| 2684 | 0.00229  |    -     | 0.00221  |0.04284  |    -     |    -     |</t>
  </si>
  <si>
    <t>| 2685 | 0.00235  |    -     | 0.00219  |0.04742  |    -     |    -     |</t>
  </si>
  <si>
    <t>| 2686 | 0.00223  |    -     | 0.00220  |0.04643  |    -     |    -     |</t>
  </si>
  <si>
    <t>| 2687 | 0.00246  |    -     | 0.00221  |0.04749  |    -     |    -     |</t>
  </si>
  <si>
    <t>| 2688 | 0.00224  |    -     | 0.00207  |0.04727  |    -     |    -     |</t>
  </si>
  <si>
    <t>| 2689 | 0.00226  |    -     | 0.00210  |0.04735  |    -     |    -     |</t>
  </si>
  <si>
    <t>| 2690 | 0.00241  |    -     | 0.00210  |0.04749  |    -     |    -     |</t>
  </si>
  <si>
    <t>| 2691 | 0.00245  |    -     | 0.00217  |0.04747  |    -     |    -     |</t>
  </si>
  <si>
    <t>| 2692 | 0.00230  |    -     | 0.00218  |0.04742  |    -     |    -     |</t>
  </si>
  <si>
    <t>| 2693 | 0.00234  |    -     | 0.00221  |0.04747  |    -     |    -     |</t>
  </si>
  <si>
    <t>| 2694 | 0.00234  |    -     | 0.00220  |0.04741  |    -     |    -     |</t>
  </si>
  <si>
    <t>| 2695 | 0.00234  |    -     | 0.00222  |0.04744  |    -     |    -     |</t>
  </si>
  <si>
    <t>| 2696 | 0.00244  |    -     | 0.00219  |0.04736  |    -     |    -     |</t>
  </si>
  <si>
    <t>| 2697 | 0.00250  |    -     | 0.00227  |0.04745  |    -     |    -     |</t>
  </si>
  <si>
    <t>| 2698 | 0.00241  |    -     | 0.00220  |0.03954  |    -     |    -     |</t>
  </si>
  <si>
    <t>| 2699 | 0.00233  |    -     | 0.00219  |0.04742  |    -     |    -     |</t>
  </si>
  <si>
    <t>| 2700 | 0.00238  |    -     | 0.00218  |0.04747  |    -     |    -     |</t>
  </si>
  <si>
    <t>| 2701 | 0.00239  |    -     | 0.00225  |0.04749  |    -     |    -     |</t>
  </si>
  <si>
    <t>| 2702 | 0.00235  |    -     | 0.00214  |0.04743  |    -     |    -     |</t>
  </si>
  <si>
    <t>| 2703 | 0.00241  |    -     | 0.00221  |0.04742  |    -     |    -     |</t>
  </si>
  <si>
    <t>| 2704 | 0.00240  |    -     | 0.00216  |0.04742  |    -     |    -     |</t>
  </si>
  <si>
    <t>| 2705 | 0.00238  |    -     | 0.00217  |0.04737  |    -     |    -     |</t>
  </si>
  <si>
    <t>| 2706 | 0.00238  |    -     | 0.00220  |0.04064  |    -     |    -     |</t>
  </si>
  <si>
    <t>| 2707 | 0.00240  |    -     | 0.00218  |0.04745  |    -     |    -     |</t>
  </si>
  <si>
    <t>| 2708 | 0.00237  |    -     | 0.00219  |0.04744  |    -     |    -     |</t>
  </si>
  <si>
    <t>| 2709 | 0.00244  |    -     | 0.00221  |0.04742  |    -     |    -     |</t>
  </si>
  <si>
    <t>| 2710 | 0.00247  |    -     | 0.00212  |0.04734  |    -     |    -     |</t>
  </si>
  <si>
    <t>| 2711 | 0.00223  |    -     | 0.00214  |0.04744  |    -     |    -     |</t>
  </si>
  <si>
    <t>| 2712 | 0.00236  |    -     | 0.00215  |0.04748  |    -     |    -     |</t>
  </si>
  <si>
    <t>| 2713 | 0.00246  |    -     | 0.00213  |0.04363  |    -     |    -     |</t>
  </si>
  <si>
    <t>| 2714 | 0.00241  |    -     | 0.00219  |0.04002  |    -     |    -     |</t>
  </si>
  <si>
    <t>| 2715 | 0.00230  |    -     | 0.00217  |0.04744  |    -     |    -     |</t>
  </si>
  <si>
    <t>| 2716 | 0.00232  |    -     | 0.00227  |0.04745  |    -     |    -     |</t>
  </si>
  <si>
    <t>| 2717 | 0.00233  |    -     | 0.00218  |0.04747  |    -     |    -     |</t>
  </si>
  <si>
    <t>| 2718 | 0.00238  |    -     | 0.00218  |0.04715  |    -     |    -     |</t>
  </si>
  <si>
    <t>| 2719 | 0.00227  |    -     | 0.00211  |0.04740  |    -     |    -     |</t>
  </si>
  <si>
    <t>| 2720 | 0.00240  |    -     | 0.00219  |0.04741  |    -     |    -     |</t>
  </si>
  <si>
    <t>| 2721 | 0.00233  |    -     | 0.00224  |0.04735  |    -     |    -     |</t>
  </si>
  <si>
    <t>| 2722 | 0.00241  |    -     | 0.00219  |0.04749  |    -     |    -     |</t>
  </si>
  <si>
    <t>| 2723 | 0.00235  |    -     | 0.00216  |0.04419  |    -     |    -     |</t>
  </si>
  <si>
    <t>| 2724 | 0.00232  |    -     | 0.00226  |0.04745  |    -     |    -     |</t>
  </si>
  <si>
    <t>| 2725 | 0.00236  |    -     | 0.00221  |0.04742  |    -     |    -     |</t>
  </si>
  <si>
    <t>| 2726 | 0.00239  |    -     | 0.00216  |0.04743  |    -     |    -     |</t>
  </si>
  <si>
    <t>| 2727 | 0.00242  |    -     | 0.00218  |0.03972  |    -     |    -     |</t>
  </si>
  <si>
    <t>| 2728 | 0.00228  |    -     | 0.00220  |0.04465  |    -     |    -     |</t>
  </si>
  <si>
    <t>| 2729 | 0.00240  |    -     | 0.00222  |0.04748  |    -     |    -     |</t>
  </si>
  <si>
    <t>| 2730 | 0.00244  |    -     | 0.00226  |0.04736  |    -     |    -     |</t>
  </si>
  <si>
    <t>| 2731 | 0.00239  |    -     | 0.00221  |0.04412  |    -     |    -     |</t>
  </si>
  <si>
    <t>| 2732 | 0.00236  |    -     | 0.00220  |0.04743  |    -     |    -     |</t>
  </si>
  <si>
    <t>| 2733 | 0.00236  |    -     | 0.00221  |0.04741  |    -     |    -     |</t>
  </si>
  <si>
    <t>| 2734 | 0.00239  |    -     | 0.00219  |0.04744  |    -     |    -     |</t>
  </si>
  <si>
    <t>| 2735 | 0.00236  |    -     | 0.00219  |0.04278  |    -     |    -     |</t>
  </si>
  <si>
    <t>| 2736 | 0.00231  |    -     | 0.00216  |0.04739  |    -     |    -     |</t>
  </si>
  <si>
    <t>| 2737 | 0.00237  |    -     | 0.00220  |0.04741  |    -     |    -     |</t>
  </si>
  <si>
    <t>| 2738 | 0.00241  |    -     | 0.00218  |0.03959  |    -     |    -     |</t>
  </si>
  <si>
    <t>| 2739 | 0.00235  |    -     | 0.00216  |0.04740  |    -     |    -     |</t>
  </si>
  <si>
    <t>| 2740 | 0.00239  |    -     | 0.00218  |0.04748  |    -     |    -     |</t>
  </si>
  <si>
    <t>| 2741 | 0.00232  |    -     | 0.00212  |0.04747  |    -     |    -     |</t>
  </si>
  <si>
    <t>| 2742 | 0.00238  |    -     | 0.00221  |0.04742  |    -     |    -     |</t>
  </si>
  <si>
    <t>| 2743 | 0.00238  |    -     | 0.00221  |0.04700  |    -     |    -     |</t>
  </si>
  <si>
    <t>| 2744 | 0.00240  |    -     | 0.00214  |0.04749  |    -     |    -     |</t>
  </si>
  <si>
    <t>| 2745 | 0.00235  |    -     | 0.00215  |0.04492  |    -     |    -     |</t>
  </si>
  <si>
    <t>| 2746 | 0.00238  |    -     | 0.00217  |0.04457  |    -     |    -     |</t>
  </si>
  <si>
    <t>| 2747 | 0.00232  |    -     | 0.00210  |0.03977  |    -     |    -     |</t>
  </si>
  <si>
    <t>| 2748 | 0.00230  |    -     | 0.00206  |0.04732  |    -     |    -     |</t>
  </si>
  <si>
    <t>| 2749 | 0.00234  |    -     | 0.00208  |0.04731  |    -     |    -     |</t>
  </si>
  <si>
    <t>| 2750 | 0.00227  |    -     | 0.00211  |0.04730  |    -     |    -     |</t>
  </si>
  <si>
    <t>| 2751 | 0.00222  |    -     | 0.00206  |0.04729  |    -     |    -     |</t>
  </si>
  <si>
    <t>| 2752 | 0.00218  |    -     | 0.00206  |0.04731  |    -     |    -     |</t>
  </si>
  <si>
    <t>| 2753 | 0.00224  |    -     | 0.00207  |0.04138  |    -     |    -     |</t>
  </si>
  <si>
    <t>| 2754 | 0.00219  |    -     | 0.00206  |0.04729  |    -     |    -     |</t>
  </si>
  <si>
    <t>| 2755 | 0.00225  |    -     | 0.00208  |0.04735  |    -     |    -     |</t>
  </si>
  <si>
    <t>| 2756 | 0.00229  |    -     | 0.00207  |0.04732  |    -     |    -     |</t>
  </si>
  <si>
    <t>| 2757 | 0.00227  |    -     | 0.00209  |0.04373  |    -     |    -     |</t>
  </si>
  <si>
    <t>| 2758 | 0.00227  |    -     | 0.00207  |0.04733  |    -     |    -     |</t>
  </si>
  <si>
    <t>| 2759 | 0.00226  |    -     | 0.00208  |0.04729  |    -     |    -     |</t>
  </si>
  <si>
    <t>| 2760 | 0.00224  |    -     | 0.00208  |0.04730  |    -     |    -     |</t>
  </si>
  <si>
    <t>| 2761 | 0.00226  |    -     | 0.00209  |0.04733  |    -     |    -     |</t>
  </si>
  <si>
    <t>| 2762 | 0.00243  |    -     | 0.00219  |0.04466  |    -     |    -     |</t>
  </si>
  <si>
    <t>| 2763 | 0.00240  |    -     | 0.00221  |0.04555  |    -     |    -     |</t>
  </si>
  <si>
    <t>| 2764 | 0.00242  |    -     | 0.00219  |0.04753  |    -     |    -     |</t>
  </si>
  <si>
    <t>| 2765 | 0.00235  |    -     | 0.00217  |0.04592  |    -     |    -     |</t>
  </si>
  <si>
    <t>| 2766 | 0.00250  |    -     | 0.00211  |0.04750  |    -     |    -     |</t>
  </si>
  <si>
    <t>| 2767 | 0.00232  |    -     | 0.00223  |0.04192  |    -     |    -     |</t>
  </si>
  <si>
    <t>| 2768 | 0.00234  |    -     | 0.00220  |0.04737  |    -     |    -     |</t>
  </si>
  <si>
    <t>| 2769 | 0.00227  |    -     | 0.00209  |0.04691  |    -     |    -     |</t>
  </si>
  <si>
    <t>| 2770 | 0.00246  |    -     | 0.00214  |0.04745  |    -     |    -     |</t>
  </si>
  <si>
    <t>| 2771 | 0.00233  |    -     | 0.00221  |0.04742  |    -     |    -     |</t>
  </si>
  <si>
    <t>| 2772 | 0.00229  |    -     | 0.00223  |0.04741  |    -     |    -     |</t>
  </si>
  <si>
    <t>| 2773 | 0.00235  |    -     | 0.00222  |0.04540  |    -     |    -     |</t>
  </si>
  <si>
    <t>| 2774 | 0.00239  |    -     | 0.00221  |0.04746  |    -     |    -     |</t>
  </si>
  <si>
    <t>| 2775 | 0.00239  |    -     | 0.00214  |0.04747  |    -     |    -     |</t>
  </si>
  <si>
    <t>| 2776 | 0.00239  |    -     | 0.00218  |0.04737  |    -     |    -     |</t>
  </si>
  <si>
    <t>| 2777 | 0.00232  |    -     | 0.00223  |0.04737  |    -     |    -     |</t>
  </si>
  <si>
    <t>| 2778 | 0.00225  |    -     | 0.00208  |0.04734  |    -     |    -     |</t>
  </si>
  <si>
    <t>| 2779 | 0.00240  |    -     | 0.00218  |0.04746  |    -     |    -     |</t>
  </si>
  <si>
    <t>| 2780 | 0.00238  |    -     | 0.00216  |0.04742  |    -     |    -     |</t>
  </si>
  <si>
    <t>| 2781 | 0.00239  |    -     | 0.00219  |0.04008  |    -     |    -     |</t>
  </si>
  <si>
    <t>| 2782 | 0.00231  |    -     | 0.00213  |0.04742  |    -     |    -     |</t>
  </si>
  <si>
    <t>| 2783 | 0.00235  |    -     | 0.00217  |0.04431  |    -     |    -     |</t>
  </si>
  <si>
    <t>| 2784 | 0.00224  |    -     | 0.00209  |0.04355  |    -     |    -     |</t>
  </si>
  <si>
    <t>| 2785 | 0.00242  |    -     | 0.00218  |0.04750  |    -     |    -     |</t>
  </si>
  <si>
    <t>| 2786 | 0.00241  |    -     | 0.00223  |0.04746  |    -     |    -     |</t>
  </si>
  <si>
    <t>| 2787 | 0.00237  |    -     | 0.00220  |0.04741  |    -     |    -     |</t>
  </si>
  <si>
    <t>| 2788 | 0.00242  |    -     | 0.00218  |0.04747  |    -     |    -     |</t>
  </si>
  <si>
    <t>| 2789 | 0.00242  |    -     | 0.00213  |0.04491  |    -     |    -     |</t>
  </si>
  <si>
    <t>| 2790 | 0.00228  |    -     | 0.00219  |0.04751  |    -     |    -     |</t>
  </si>
  <si>
    <t>| 2791 | 0.00246  |    -     | 0.00225  |0.04592  |    -     |    -     |</t>
  </si>
  <si>
    <t>| 2792 | 0.00234  |    -     | 0.00217  |0.04387  |    -     |    -     |</t>
  </si>
  <si>
    <t>| 2793 | 0.00236  |    -     | 0.00214  |0.04734  |    -     |    -     |</t>
  </si>
  <si>
    <t>| 2794 | 0.00244  |    -     | 0.00221  |0.04749  |    -     |    -     |</t>
  </si>
  <si>
    <t>| 2795 | 0.00240  |    -     | 0.00222  |0.04624  |    -     |    -     |</t>
  </si>
  <si>
    <t>| 2796 | 0.00236  |    -     | 0.00212  |0.04676  |    -     |    -     |</t>
  </si>
  <si>
    <t>| 2797 | 0.00245  |    -     | 0.00223  |0.04751  |    -     |    -     |</t>
  </si>
  <si>
    <t>| 2798 | 0.00248  |    -     | 0.00221  |0.04745  |    -     |    -     |</t>
  </si>
  <si>
    <t>| 2799 | 0.00237  |    -     | 0.00210  |0.04735  |    -     |    -     |</t>
  </si>
  <si>
    <t>| 2800 | 0.00241  |    -     | 0.00221  |0.04767  |    -     |    -     |</t>
  </si>
  <si>
    <t>| 2801 | 0.00244  |    -     | 0.00218  |0.04729  |    -     |    -     |</t>
  </si>
  <si>
    <t>| 2802 | 0.00236  |    -     | 0.00240  |0.04380  |    -     |    -     |</t>
  </si>
  <si>
    <t>| 2803 | 0.00235  |    -     | 0.00224  |0.04141  |    -     |    -     |</t>
  </si>
  <si>
    <t>| 2804 | 0.00247  |    -     | 0.00209  |0.04734  |    -     |    -     |</t>
  </si>
  <si>
    <t>| 2805 | 0.00239  |    -     | 0.00214  |0.04068  |    -     |    -     |</t>
  </si>
  <si>
    <t>| 2806 | 0.00231  |    -     | 0.00210  |0.04069  |    -     |    -     |</t>
  </si>
  <si>
    <t>| 2807 | 0.00234  |    -     | 0.00218  |0.04742  |    -     |    -     |</t>
  </si>
  <si>
    <t>| 2808 | 0.00241  |    -     | 0.00218  |0.04612  |    -     |    -     |</t>
  </si>
  <si>
    <t>| 2809 | 0.00317  |    -     | 0.00367  |0.04260  |    -     |    -     |</t>
  </si>
  <si>
    <t>| 2810 | 0.00303  |    -     | 0.00343  |0.04259  |    -     |    -     |</t>
  </si>
  <si>
    <t>| 2812 | 0.00242  |    -     | 0.00240  |0.04062  |    -     |    -     |</t>
  </si>
  <si>
    <t>| 2813 | 0.00250  |    -     | 0.00227  |0.04308  |    -     |    -     |</t>
  </si>
  <si>
    <t>| 2814 | 0.00293  |    -     | 0.00227  |0.04396  |    -     |    -     |</t>
  </si>
  <si>
    <t>| 2815 | 0.00248  |    -     | 0.00223  |0.04522  |    -     |    -     |</t>
  </si>
  <si>
    <t>| 2816 | 0.00280  |    -     | 0.00237  |0.04537  |    -     |    -     |</t>
  </si>
  <si>
    <t>| 2817 | 0.00244  |    -     | 0.00235  |0.04629  |    -     |    -     |</t>
  </si>
  <si>
    <t>| 2818 | 0.00258  |    -     | 0.00234  |0.04330  |    -     |    -     |</t>
  </si>
  <si>
    <t>| 2819 | 0.00236  |    -     | 0.00213  |0.04578  |    -     |    -     |</t>
  </si>
  <si>
    <t>| 2820 | 0.00234  |    -     | 0.00215  |0.04574  |    -     |    -     |</t>
  </si>
  <si>
    <t>| 2821 | 0.00271  |    -     | 0.00223  |0.04490  |    -     |    -     |</t>
  </si>
  <si>
    <t>| 2822 | 0.00241  |    -     | 0.00230  |0.04545  |    -     |    -     |</t>
  </si>
  <si>
    <t>| 2823 | 0.00233  |    -     | 0.00212  |0.04501  |    -     |    -     |</t>
  </si>
  <si>
    <t>| 2824 | 0.00234  |    -     | 0.00213  |0.04506  |    -     |    -     |</t>
  </si>
  <si>
    <t>| 2825 | 0.00244  |    -     | 0.00228  |0.04491  |    -     |    -     |</t>
  </si>
  <si>
    <t>| 2826 | 0.00236  |    -     | 0.00226  |0.03791  |    -     |    -     |</t>
  </si>
  <si>
    <t>| 2827 | 0.00249  |    -     | 0.00226  |0.03748  |    -     |    -     |</t>
  </si>
  <si>
    <t>| 2828 | 0.00222  |    -     | 0.00204  |0.04725  |    -     |    -     |</t>
  </si>
  <si>
    <t>| 2829 | 0.00234  |    -     | 0.00208  |0.04728  |    -     |    -     |</t>
  </si>
  <si>
    <t>| 2830 | 0.00218  |    -     | 0.00207  |0.04726  |    -     |    -     |</t>
  </si>
  <si>
    <t>| 2831 | 0.00220  |    -     | 0.00210  |0.04728  |    -     |    -     |</t>
  </si>
  <si>
    <t>| 2832 | 0.00220  |    -     | 0.00209  |0.04729  |    -     |    -     |</t>
  </si>
  <si>
    <t>| 2833 | 0.00225  |    -     | 0.00208  |0.04419  |    -     |    -     |</t>
  </si>
  <si>
    <t>| 2834 | 0.00220  |    -     | 0.00207  |0.04728  |    -     |    -     |</t>
  </si>
  <si>
    <t>| 2835 | 0.00225  |    -     | 0.00209  |0.04729  |    -     |    -     |</t>
  </si>
  <si>
    <t>| 2836 | 0.00220  |    -     | 0.00208  |0.04728  |    -     |    -     |</t>
  </si>
  <si>
    <t>| 2837 | 0.00219  |    -     | 0.00207  |0.04727  |    -     |    -     |</t>
  </si>
  <si>
    <t>| 2838 | 0.00219  |    -     | 0.00210  |0.04727  |    -     |    -     |</t>
  </si>
  <si>
    <t>| 2839 | 0.00219  |    -     | 0.00206  |0.04727  |    -     |    -     |</t>
  </si>
  <si>
    <t>| 2840 | 0.00220  |    -     | 0.00211  |0.04730  |    -     |    -     |</t>
  </si>
  <si>
    <t>| 2841 | 0.00219  |    -     | 0.00207  |0.04672  |    -     |    -     |</t>
  </si>
  <si>
    <t>| 2842 | 0.00220  |    -     | 0.00206  |0.04721  |    -     |    -     |</t>
  </si>
  <si>
    <t>| 2843 | 0.00219  |    -     | 0.00207  |0.04725  |    -     |    -     |</t>
  </si>
  <si>
    <t>| 2844 | 0.00218  |    -     | 0.00209  |0.04728  |    -     |    -     |</t>
  </si>
  <si>
    <t>| 2845 | 0.00221  |    -     | 0.00208  |0.04726  |    -     |    -     |</t>
  </si>
  <si>
    <t>| 2846 | 0.00226  |    -     | 0.00210  |0.04731  |    -     |    -     |</t>
  </si>
  <si>
    <t>| 2847 | 0.00221  |    -     | 0.00204  |0.04456  |    -     |    -     |</t>
  </si>
  <si>
    <t>| 2848 | 0.00224  |    -     | 0.00209  |0.04726  |    -     |    -     |</t>
  </si>
  <si>
    <t>| 2849 | 0.00231  |    -     | 0.00206  |0.04727  |    -     |    -     |</t>
  </si>
  <si>
    <t>| 2850 | 0.00218  |    -     | 0.00208  |0.04729  |    -     |    -     |</t>
  </si>
  <si>
    <t>| 2851 | 0.00222  |    -     | 0.00207  |0.04434  |    -     |    -     |</t>
  </si>
  <si>
    <t>| 2852 | 0.00221  |    -     | 0.00205  |0.04722  |    -     |    -     |</t>
  </si>
  <si>
    <t>| 2853 | 0.00215  |    -     | 0.00205  |0.04726  |    -     |    -     |</t>
  </si>
  <si>
    <t>| 2854 | 0.00217  |    -     | 0.00206  |0.04671  |    -     |    -     |</t>
  </si>
  <si>
    <t>| 2855 | 0.00231  |    -     | 0.00209  |0.04731  |    -     |    -     |</t>
  </si>
  <si>
    <t>| 2856 | 0.00224  |    -     | 0.00208  |0.04585  |    -     |    -     |</t>
  </si>
  <si>
    <t>| 2857 | 0.00228  |    -     | 0.00207  |0.04416  |    -     |    -     |</t>
  </si>
  <si>
    <t>| 2858 | 0.00224  |    -     | 0.00208  |0.04346  |    -     |    -     |</t>
  </si>
  <si>
    <t>| 2859 | 0.00219  |    -     | 0.00207  |0.04402  |    -     |    -     |</t>
  </si>
  <si>
    <t>| 2860 | 0.00222  |    -     | 0.00210  |0.04727  |    -     |    -     |</t>
  </si>
  <si>
    <t>| 2861 | 0.00220  |    -     | 0.00208  |0.04362  |    -     |    -     |</t>
  </si>
  <si>
    <t>| 2862 | 0.00222  |    -     | 0.00209  |0.04728  |    -     |    -     |</t>
  </si>
  <si>
    <t>| 2863 | 0.00220  |    -     | 0.00207  |0.04727  |    -     |    -     |</t>
  </si>
  <si>
    <t>| 2864 | 0.00227  |    -     | 0.00208  |0.04727  |    -     |    -     |</t>
  </si>
  <si>
    <t>| 2865 | 0.00220  |    -     | 0.00208  |0.04728  |    -     |    -     |</t>
  </si>
  <si>
    <t>| 2866 | 0.00218  |    -     | 0.00207  |0.04729  |    -     |    -     |</t>
  </si>
  <si>
    <t>| 2867 | 0.00224  |    -     | 0.00208  |0.04256  |    -     |    -     |</t>
  </si>
  <si>
    <t>| 2868 | 0.00218  |    -     | 0.00208  |0.04722  |    -     |    -     |</t>
  </si>
  <si>
    <t>| 2869 | 0.00227  |    -     | 0.00208  |0.04728  |    -     |    -     |</t>
  </si>
  <si>
    <t>| 2870 | 0.00218  |    -     | 0.00208  |0.03993  |    -     |    -     |</t>
  </si>
  <si>
    <t>| 2871 | 0.00223  |    -     | 0.00209  |0.04729  |    -     |    -     |</t>
  </si>
  <si>
    <t>| 2872 | 0.00222  |    -     | 0.00207  |0.04652  |    -     |    -     |</t>
  </si>
  <si>
    <t>| 2873 | 0.00221  |    -     | 0.00208  |0.04720  |    -     |    -     |</t>
  </si>
  <si>
    <t>| 2874 | 0.00224  |    -     | 0.00209  |0.04725  |    -     |    -     |</t>
  </si>
  <si>
    <t>| 2875 | 0.00236  |    -     | 0.00230  |0.04738  |    -     |    -     |</t>
  </si>
  <si>
    <t>| 2876 | 0.00228  |    -     | 0.00214  |0.04731  |    -     |    -     |</t>
  </si>
  <si>
    <t>| 2877 | 0.00222  |    -     | 0.00209  |0.04726  |    -     |    -     |</t>
  </si>
  <si>
    <t>| 2878 | 0.00222  |    -     | 0.00208  |0.04347  |    -     |    -     |</t>
  </si>
  <si>
    <t>| 2879 | 0.00219  |    -     | 0.00207  |0.04727  |    -     |    -     |</t>
  </si>
  <si>
    <t>| 2880 | 0.00220  |    -     | 0.00207  |0.04413  |    -     |    -     |</t>
  </si>
  <si>
    <t>| 2881 | 0.00219  |    -     | 0.00207  |0.04728  |    -     |    -     |</t>
  </si>
  <si>
    <t>| 2882 | 0.00219  |    -     | 0.00209  |0.04596  |    -     |    -     |</t>
  </si>
  <si>
    <t>| 2883 | 0.00220  |    -     | 0.00229  |0.04739  |    -     |    -     |</t>
  </si>
  <si>
    <t>| 2884 | 0.00235  |    -     | 0.00212  |0.04555  |    -     |    -     |</t>
  </si>
  <si>
    <t>| 2885 | 0.00223  |    -     | 0.00208  |0.04727  |    -     |    -     |</t>
  </si>
  <si>
    <t>| 2886 | 0.00218  |    -     | 0.00208  |0.04729  |    -     |    -     |</t>
  </si>
  <si>
    <t>| 2887 | 0.00220  |    -     | 0.00209  |0.04729  |    -     |    -     |</t>
  </si>
  <si>
    <t>| 2888 | 0.00220  |    -     | 0.00210  |0.04730  |    -     |    -     |</t>
  </si>
  <si>
    <t>| 2889 | 0.00228  |    -     | 0.00208  |0.04727  |    -     |    -     |</t>
  </si>
  <si>
    <t>| 2890 | 0.00225  |    -     | 0.00210  |0.04727  |    -     |    -     |</t>
  </si>
  <si>
    <t>| 2891 | 0.00221  |    -     | 0.00209  |0.04729  |    -     |    -     |</t>
  </si>
  <si>
    <t>| 2892 | 0.00221  |    -     | 0.00208  |0.04730  |    -     |    -     |</t>
  </si>
  <si>
    <t>| 2893 | 0.00221  |    -     | 0.00207  |0.04728  |    -     |    -     |</t>
  </si>
  <si>
    <t>| 2894 | 0.00234  |    -     | 0.00214  |0.04732  |    -     |    -     |</t>
  </si>
  <si>
    <t>| 2895 | 0.00223  |    -     | 0.00209  |0.04729  |    -     |    -     |</t>
  </si>
  <si>
    <t>| 2896 | 0.00222  |    -     | 0.00208  |0.04730  |    -     |    -     |</t>
  </si>
  <si>
    <t>| 2897 | 0.00222  |    -     | 0.00208  |0.04724  |    -     |    -     |</t>
  </si>
  <si>
    <t>| 2898 | 0.00218  |    -     | 0.00206  |0.04728  |    -     |    -     |</t>
  </si>
  <si>
    <t>| 2899 | 0.00223  |    -     | 0.00208  |0.04726  |    -     |    -     |</t>
  </si>
  <si>
    <t>| 2900 | 0.00243  |    -     | 0.00220  |0.04727  |    -     |    -     |</t>
  </si>
  <si>
    <t>| 2901 | 0.00220  |    -     | 0.00209  |0.04728  |    -     |    -     |</t>
  </si>
  <si>
    <t>| 2902 | 0.00225  |    -     | 0.00209  |0.04726  |    -     |    -     |</t>
  </si>
  <si>
    <t>| 2903 | 0.00225  |    -     | 0.00208  |0.04725  |    -     |    -     |</t>
  </si>
  <si>
    <t>| 2904 | 0.00225  |    -     | 0.00208  |0.04393  |    -     |    -     |</t>
  </si>
  <si>
    <t>| 2905 | 0.00226  |    -     | 0.00211  |0.04351  |    -     |    -     |</t>
  </si>
  <si>
    <t>| 2906 | 0.00224  |    -     | 0.00208  |0.04725  |    -     |    -     |</t>
  </si>
  <si>
    <t>| 2907 | 0.00238  |    -     | 0.00218  |0.04728  |    -     |    -     |</t>
  </si>
  <si>
    <t>| 2908 | 0.00228  |    -     | 0.00206  |0.04385  |    -     |    -     |</t>
  </si>
  <si>
    <t>| 2909 | 0.00227  |    -     | 0.00208  |0.04727  |    -     |    -     |</t>
  </si>
  <si>
    <t>| 2910 | 0.00221  |    -     | 0.00208  |0.04725  |    -     |    -     |</t>
  </si>
  <si>
    <t>| 2911 | 0.00221  |    -     | 0.00209  |0.04009  |    -     |    -     |</t>
  </si>
  <si>
    <t>| 2912 | 0.00227  |    -     | 0.00211  |0.04522  |    -     |    -     |</t>
  </si>
  <si>
    <t>| 2913 | 0.00227  |    -     | 0.00209  |0.04728  |    -     |    -     |</t>
  </si>
  <si>
    <t>| 2914 | 0.00220  |    -     | 0.00208  |0.04560  |    -     |    -     |</t>
  </si>
  <si>
    <t>| 2915 | 0.00221  |    -     | 0.00207  |0.04098  |    -     |    -     |</t>
  </si>
  <si>
    <t>| 2916 | 0.00214  |    -     | 0.00203  |0.04721  |    -     |    -     |</t>
  </si>
  <si>
    <t>| 2917 | 0.00225  |    -     | 0.00209  |0.04727  |    -     |    -     |</t>
  </si>
  <si>
    <t>| 2918 | 0.00219  |    -     | 0.00209  |0.04550  |    -     |    -     |</t>
  </si>
  <si>
    <t>| 2919 | 0.00220  |    -     | 0.00210  |0.04726  |    -     |    -     |</t>
  </si>
  <si>
    <t>| 2920 | 0.00218  |    -     | 0.00207  |0.04718  |    -     |    -     |</t>
  </si>
  <si>
    <t>| 2921 | 0.00222  |    -     | 0.00210  |0.04579  |    -     |    -     |</t>
  </si>
  <si>
    <t>| 2922 | 0.00225  |    -     | 0.00208  |0.04732  |    -     |    -     |</t>
  </si>
  <si>
    <t>| 2923 | 0.00224  |    -     | 0.00209  |0.04465  |    -     |    -     |</t>
  </si>
  <si>
    <t>| 2924 | 0.00237  |    -     | 0.00211  |0.04730  |    -     |    -     |</t>
  </si>
  <si>
    <t>| 2925 | 0.00222  |    -     | 0.00209  |0.04731  |    -     |    -     |</t>
  </si>
  <si>
    <t>| 2926 | 0.00224  |    -     | 0.00212  |0.04726  |    -     |    -     |</t>
  </si>
  <si>
    <t>| 2927 | 0.00224  |    -     | 0.00211  |0.04620  |    -     |    -     |</t>
  </si>
  <si>
    <t>| 2928 | 0.00238  |    -     | 0.00218  |0.04734  |    -     |    -     |</t>
  </si>
  <si>
    <t>| 2929 | 0.00233  |    -     | 0.00214  |0.04721  |    -     |    -     |</t>
  </si>
  <si>
    <t>| 2930 | 0.00224  |    -     | 0.00206  |0.04121  |    -     |    -     |</t>
  </si>
  <si>
    <t>| 2931 | 0.00223  |    -     | 0.00211  |0.04727  |    -     |    -     |</t>
  </si>
  <si>
    <t>| 2932 | 0.00270  |    -     | 0.00248  |0.04598  |    -     |    -     |</t>
  </si>
  <si>
    <t>| 2933 | 0.00223  |    -     | 0.00210  |0.04723  |    -     |    -     |</t>
  </si>
  <si>
    <t>| 2934 | 0.00223  |    -     | 0.00208  |0.04727  |    -     |    -     |</t>
  </si>
  <si>
    <t>| 2935 | 0.00220  |    -     | 0.00209  |0.04725  |    -     |    -     |</t>
  </si>
  <si>
    <t>| 2936 | 0.00216  |    -     | 0.00210  |0.04780  |    -     |    -     |</t>
  </si>
  <si>
    <t>| 2937 | 0.00225  |    -     | 0.00211  |0.04727  |    -     |    -     |</t>
  </si>
  <si>
    <t>| 2938 | 0.00231  |    -     | 0.00212  |0.04726  |    -     |    -     |</t>
  </si>
  <si>
    <t>| 2939 | 0.00228  |    -     | 0.00212  |0.04728  |    -     |    -     |</t>
  </si>
  <si>
    <t>| 2940 | 0.00219  |    -     | 0.00207  |0.04693  |    -     |    -     |</t>
  </si>
  <si>
    <t>| 2941 | 0.00222  |    -     | 0.00209  |0.04731  |    -     |    -     |</t>
  </si>
  <si>
    <t>| 2942 | 0.00222  |    -     | 0.00210  |0.04431  |    -     |    -     |</t>
  </si>
  <si>
    <t>| 2943 | 0.00227  |    -     | 0.00212  |0.04728  |    -     |    -     |</t>
  </si>
  <si>
    <t>| 2944 | 0.00221  |    -     | 0.00210  |0.03926  |    -     |    -     |</t>
  </si>
  <si>
    <t>| 2945 | 0.00218  |    -     | 0.00206  |0.04727  |    -     |    -     |</t>
  </si>
  <si>
    <t>| 2946 | 0.00222  |    -     | 0.00211  |0.04725  |    -     |    -     |</t>
  </si>
  <si>
    <t>| 2947 | 0.00222  |    -     | 0.00211  |0.04736  |    -     |    -     |</t>
  </si>
  <si>
    <t>| 2948 | 0.00230  |    -     | 0.00231  |0.04682  |    -     |    -     |</t>
  </si>
  <si>
    <t>| 2949 | 0.00227  |    -     | 0.00211  |0.04734  |    -     |    -     |</t>
  </si>
  <si>
    <t>| 2950 | 0.00221  |    -     | 0.00211  |0.04730  |    -     |    -     |</t>
  </si>
  <si>
    <t>| 2951 | 0.00223  |    -     | 0.00210  |0.04730  |    -     |    -     |</t>
  </si>
  <si>
    <t>| 2952 | 0.00221  |    -     | 0.00213  |0.04021  |    -     |    -     |</t>
  </si>
  <si>
    <t>| 2953 | 0.00310  |    -     | 0.00221  |0.04547  |    -     |    -     |</t>
  </si>
  <si>
    <t>| 2954 | 0.00220  |    -     | 0.00208  |0.04731  |    -     |    -     |</t>
  </si>
  <si>
    <t>| 2955 | 0.00240  |    -     | 0.00225  |0.04744  |    -     |    -     |</t>
  </si>
  <si>
    <t>| 2956 | 0.00222  |    -     | 0.00212  |0.04724  |    -     |    -     |</t>
  </si>
  <si>
    <t>| 2957 | 0.00224  |    -     | 0.00208  |0.04722  |    -     |    -     |</t>
  </si>
  <si>
    <t>| 2958 | 0.00222  |    -     | 0.00210  |0.04730  |    -     |    -     |</t>
  </si>
  <si>
    <t>| 2959 | 0.00220  |    -     | 0.00209  |0.04091  |    -     |    -     |</t>
  </si>
  <si>
    <t>| 2960 | 0.00216  |    -     | 0.00206  |0.03987  |    -     |    -     |</t>
  </si>
  <si>
    <t>| 2961 | 0.00221  |    -     | 0.00209  |0.04725  |    -     |    -     |</t>
  </si>
  <si>
    <t>| 2962 | 0.00219  |    -     | 0.00208  |0.04727  |    -     |    -     |</t>
  </si>
  <si>
    <t>| 2963 | 0.00222  |    -     | 0.00209  |0.04728  |    -     |    -     |</t>
  </si>
  <si>
    <t>| 2964 | 0.00224  |    -     | 0.00212  |0.04283  |    -     |    -     |</t>
  </si>
  <si>
    <t>| 2965 | 0.00214  |    -     | 0.00211  |0.04732  |    -     |    -     |</t>
  </si>
  <si>
    <t>| 2966 | 0.00223  |    -     | 0.00210  |0.04729  |    -     |    -     |</t>
  </si>
  <si>
    <t>| 2967 | 0.00222  |    -     | 0.00210  |0.04731  |    -     |    -     |</t>
  </si>
  <si>
    <t>| 2968 | 0.00226  |    -     | 0.00208  |0.04490  |    -     |    -     |</t>
  </si>
  <si>
    <t>| 2969 | 0.00224  |    -     | 0.00208  |0.04727  |    -     |    -     |</t>
  </si>
  <si>
    <t>| 2970 | 0.00218  |    -     | 0.00207  |0.04725  |    -     |    -     |</t>
  </si>
  <si>
    <t>| 2971 | 0.00236  |    -     | 0.00206  |0.04722  |    -     |    -     |</t>
  </si>
  <si>
    <t>| 2972 | 0.00216  |    -     | 0.00206  |0.04724  |    -     |    -     |</t>
  </si>
  <si>
    <t>| 2973 | 0.00222  |    -     | 0.00209  |0.03994  |    -     |    -     |</t>
  </si>
  <si>
    <t>| 2974 | 0.00219  |    -     | 0.00206  |0.04730  |    -     |    -     |</t>
  </si>
  <si>
    <t>| 2975 | 0.00235  |    -     | 0.00217  |0.04742  |    -     |    -     |</t>
  </si>
  <si>
    <t>| 2976 | 0.00218  |    -     | 0.00208  |0.04734  |    -     |    -     |</t>
  </si>
  <si>
    <t>| 2977 | 0.00239  |    -     | 0.00222  |0.04742  |    -     |    -     |</t>
  </si>
  <si>
    <t>| 2978 | 0.00233  |    -     | 0.00222  |0.04737  |    -     |    -     |</t>
  </si>
  <si>
    <t>| 2979 | 0.00225  |    -     | 0.00210  |0.04729  |    -     |    -     |</t>
  </si>
  <si>
    <t>| 2980 | 0.00227  |    -     | 0.00208  |0.04734  |    -     |    -     |</t>
  </si>
  <si>
    <t>| 2981 | 0.00238  |    -     | 0.00230  |0.04408  |    -     |    -     |</t>
  </si>
  <si>
    <t>| 2982 | 0.00236  |    -     | 0.00217  |0.04748  |    -     |    -     |</t>
  </si>
  <si>
    <t>| 2983 | 0.00232  |    -     | 0.00215  |0.04436  |    -     |    -     |</t>
  </si>
  <si>
    <t>| 2984 | 0.00233  |    -     | 0.00219  |0.04743  |    -     |    -     |</t>
  </si>
  <si>
    <t>| 2985 | 0.00231  |    -     | 0.00222  |0.04738  |    -     |    -     |</t>
  </si>
  <si>
    <t>| 2986 | 0.00226  |    -     | 0.00221  |0.04738  |    -     |    -     |</t>
  </si>
  <si>
    <t>| 2987 | 0.00235  |    -     | 0.00228  |0.04387  |    -     |    -     |</t>
  </si>
  <si>
    <t>| 2988 | 0.00238  |    -     | 0.00228  |0.04742  |    -     |    -     |</t>
  </si>
  <si>
    <t>| 2989 | 0.00231  |    -     | 0.00213  |0.04747  |    -     |    -     |</t>
  </si>
  <si>
    <t>| 2990 | 0.00233  |    -     | 0.00220  |0.04744  |    -     |    -     |</t>
  </si>
  <si>
    <t>| 2991 | 0.00237  |    -     | 0.00222  |0.04743  |    -     |    -     |</t>
  </si>
  <si>
    <t>| 2992 | 0.00237  |    -     | 0.00219  |0.04341  |    -     |    -     |</t>
  </si>
  <si>
    <t>| 2993 | 0.00235  |    -     | 0.00216  |0.04653  |    -     |    -     |</t>
  </si>
  <si>
    <t>| 2994 | 0.00236  |    -     | 0.00219  |0.04726  |    -     |    -     |</t>
  </si>
  <si>
    <t>| 2995 | 0.00220  |    -     | 0.00207  |0.04728  |    -     |    -     |</t>
  </si>
  <si>
    <t>| 2996 | 0.00222  |    -     | 0.00209  |0.04730  |    -     |    -     |</t>
  </si>
  <si>
    <t>| 2997 | 0.00219  |    -     | 0.00209  |0.04731  |    -     |    -     |</t>
  </si>
  <si>
    <t>| 2998 | 0.00220  |    -     | 0.00206  |0.04727  |    -     |    -     |</t>
  </si>
  <si>
    <t>| 2999 | 0.00220  |    -     | 0.00209  |0.04732  |    -     |    -     |</t>
  </si>
  <si>
    <t>| 3000 | 0.00218  |    -     | 0.00206  |0.04728  |    -     |    -     |</t>
  </si>
  <si>
    <t>| 3001 | 0.00220  |    -     | 0.00208  |0.04721  |    -     |    -     |</t>
  </si>
  <si>
    <t>| 3002 | 0.00218  |    -     | 0.00208  |0.04730  |    -     |    -     |</t>
  </si>
  <si>
    <t>| 3003 | 0.00219  |    -     | 0.00208  |0.04724  |    -     |    -     |</t>
  </si>
  <si>
    <t>| 3004 | 0.00216  |    -     | 0.00205  |0.04723  |    -     |    -     |</t>
  </si>
  <si>
    <t>| 3005 | 0.00228  |    -     | 0.00209  |0.04734  |    -     |    -     |</t>
  </si>
  <si>
    <t>| 3006 | 0.00234  |    -     | 0.00217  |0.04735  |    -     |    -     |</t>
  </si>
  <si>
    <t>| 3007 | 0.00239  |    -     | 0.00228  |0.04367  |    -     |    -     |</t>
  </si>
  <si>
    <t>| 3008 | 0.00237  |    -     | 0.00224  |0.04666  |    -     |    -     |</t>
  </si>
  <si>
    <t>| 3009 | 0.00228  |    -     | 0.00223  |0.04269  |    -     |    -     |</t>
  </si>
  <si>
    <t>| 3010 | 0.00234  |    -     | 0.00220  |0.04747  |    -     |    -     |</t>
  </si>
  <si>
    <t>| 3011 | 0.00232  |    -     | 0.00221  |0.04745  |    -     |    -     |</t>
  </si>
  <si>
    <t>| 3012 | 0.00240  |    -     | 0.00219  |0.04110  |    -     |    -     |</t>
  </si>
  <si>
    <t>| 3013 | 0.00230  |    -     | 0.00218  |0.04488  |    -     |    -     |</t>
  </si>
  <si>
    <t>| 3014 | 0.00239  |    -     | 0.00224  |0.04745  |    -     |    -     |</t>
  </si>
  <si>
    <t>| 3015 | 0.00221  |    -     | 0.00210  |0.04738  |    -     |    -     |</t>
  </si>
  <si>
    <t>| 3016 | 0.00232  |    -     | 0.00221  |0.04746  |    -     |    -     |</t>
  </si>
  <si>
    <t>| 3017 | 0.00233  |    -     | 0.00221  |0.04742  |    -     |    -     |</t>
  </si>
  <si>
    <t>| 3018 | 0.00231  |    -     | 0.00221  |0.04741  |    -     |    -     |</t>
  </si>
  <si>
    <t>| 3019 | 0.00234  |    -     | 0.00224  |0.04746  |    -     |    -     |</t>
  </si>
  <si>
    <t>| 3020 | 0.00238  |    -     | 0.00217  |0.04739  |    -     |    -     |</t>
  </si>
  <si>
    <t>| 3021 | 0.00236  |    -     | 0.00225  |0.04740  |    -     |    -     |</t>
  </si>
  <si>
    <t>| 3022 | 0.00235  |    -     | 0.00221  |0.04726  |    -     |    -     |</t>
  </si>
  <si>
    <t>| 3023 | 0.00230  |    -     | 0.00211  |0.04746  |    -     |    -     |</t>
  </si>
  <si>
    <t>| 3024 | 0.00233  |    -     | 0.00222  |0.04741  |    -     |    -     |</t>
  </si>
  <si>
    <t>| 3025 | 0.00231  |    -     | 0.00222  |0.04119  |    -     |    -     |</t>
  </si>
  <si>
    <t>| 3026 | 0.00235  |    -     | 0.00225  |0.04744  |    -     |    -     |</t>
  </si>
  <si>
    <t>| 3027 | 0.00245  |    -     | 0.00230  |0.04754  |    -     |    -     |</t>
  </si>
  <si>
    <t>| 3028 | 0.00235  |    -     | 0.00220  |0.04737  |    -     |    -     |</t>
  </si>
  <si>
    <t>| 3029 | 0.00221  |    -     | 0.00212  |0.04747  |    -     |    -     |</t>
  </si>
  <si>
    <t>| 3030 | 0.00234  |    -     | 0.00224  |0.04745  |    -     |    -     |</t>
  </si>
  <si>
    <t>| 3031 | 0.00234  |    -     | 0.00223  |0.04746  |    -     |    -     |</t>
  </si>
  <si>
    <t>| 3032 | 0.00234  |    -     | 0.00226  |0.04741  |    -     |    -     |</t>
  </si>
  <si>
    <t>| 3033 | 0.00233  |    -     | 0.00222  |0.04746  |    -     |    -     |</t>
  </si>
  <si>
    <t>| 3034 | 0.00231  |    -     | 0.00219  |0.04748  |    -     |    -     |</t>
  </si>
  <si>
    <t>| 3035 | 0.00239  |    -     | 0.00222  |0.04740  |    -     |    -     |</t>
  </si>
  <si>
    <t>| 3036 | 0.00236  |    -     | 0.00221  |0.04738  |    -     |    -     |</t>
  </si>
  <si>
    <t>| 3037 | 0.00238  |    -     | 0.00219  |0.04739  |    -     |    -     |</t>
  </si>
  <si>
    <t>| 3038 | 0.00217  |    -     | 0.00211  |0.04729  |    -     |    -     |</t>
  </si>
  <si>
    <t>| 3039 | 0.00223  |    -     | 0.00210  |0.04724  |    -     |    -     |</t>
  </si>
  <si>
    <t>| 3040 | 0.00217  |    -     | 0.00207  |0.04307  |    -     |    -     |</t>
  </si>
  <si>
    <t>| 3041 | 0.00235  |    -     | 0.00224  |0.04746  |    -     |    -     |</t>
  </si>
  <si>
    <t>| 3042 | 0.00236  |    -     | 0.00221  |0.04737  |    -     |    -     |</t>
  </si>
  <si>
    <t>| 3043 | 0.00225  |    -     | 0.00219  |0.04746  |    -     |    -     |</t>
  </si>
  <si>
    <t>| 3044 | 0.00234  |    -     | 0.00219  |0.04744  |    -     |    -     |</t>
  </si>
  <si>
    <t>| 3045 | 0.00232  |    -     | 0.00221  |0.04744  |    -     |    -     |</t>
  </si>
  <si>
    <t>| 3046 | 0.00238  |    -     | 0.00219  |0.04747  |    -     |    -     |</t>
  </si>
  <si>
    <t>| 3047 | 0.00229  |    -     | 0.00221  |0.04739  |    -     |    -     |</t>
  </si>
  <si>
    <t>| 3048 | 0.00237  |    -     | 0.00227  |0.04743  |    -     |    -     |</t>
  </si>
  <si>
    <t>| 3049 | 0.00235  |    -     | 0.00222  |0.04747  |    -     |    -     |</t>
  </si>
  <si>
    <t>| 3050 | 0.00238  |    -     | 0.00221  |0.04738  |    -     |    -     |</t>
  </si>
  <si>
    <t>| 3051 | 0.00236  |    -     | 0.00223  |0.04747  |    -     |    -     |</t>
  </si>
  <si>
    <t>| 3052 | 0.00233  |    -     | 0.00220  |0.04742  |    -     |    -     |</t>
  </si>
  <si>
    <t>| 3053 | 0.00231  |    -     | 0.00224  |0.04749  |    -     |    -     |</t>
  </si>
  <si>
    <t>| 3054 | 0.00239  |    -     | 0.00221  |0.04743  |    -     |    -     |</t>
  </si>
  <si>
    <t>| 3055 | 0.00235  |    -     | 0.00222  |0.04745  |    -     |    -     |</t>
  </si>
  <si>
    <t>| 3056 | 0.00242  |    -     | 0.00218  |0.04102  |    -     |    -     |</t>
  </si>
  <si>
    <t>| 3057 | 0.00230  |    -     | 0.00220  |0.04741  |    -     |    -     |</t>
  </si>
  <si>
    <t>| 3058 | 0.00238  |    -     | 0.00224  |0.04739  |    -     |    -     |</t>
  </si>
  <si>
    <t>| 3059 | 0.00238  |    -     | 0.00224  |0.04746  |    -     |    -     |</t>
  </si>
  <si>
    <t>| 3060 | 0.00239  |    -     | 0.00220  |0.04741  |    -     |    -     |</t>
  </si>
  <si>
    <t>| 3061 | 0.00226  |    -     | 0.00223  |0.04741  |    -     |    -     |</t>
  </si>
  <si>
    <t>| 3062 | 0.00233  |    -     | 0.00217  |0.04745  |    -     |    -     |</t>
  </si>
  <si>
    <t>| 3063 | 0.00233  |    -     | 0.00221  |0.04738  |    -     |    -     |</t>
  </si>
  <si>
    <t>| 3064 | 0.00233  |    -     | 0.00223  |0.04746  |    -     |    -     |</t>
  </si>
  <si>
    <t>| 3065 | 0.00242  |    -     | 0.00218  |0.03881  |    -     |    -     |</t>
  </si>
  <si>
    <t>| 3066 | 0.00235  |    -     | 0.00219  |0.04744  |    -     |    -     |</t>
  </si>
  <si>
    <t>| 3067 | 0.00231  |    -     | 0.00222  |0.04747  |    -     |    -     |</t>
  </si>
  <si>
    <t>| 3068 | 0.00242  |    -     | 0.00212  |0.04742  |    -     |    -     |</t>
  </si>
  <si>
    <t>| 3069 | 0.00220  |    -     | 0.00209  |0.04730  |    -     |    -     |</t>
  </si>
  <si>
    <t>| 3070 | 0.00224  |    -     | 0.00209  |0.04732  |    -     |    -     |</t>
  </si>
  <si>
    <t>| 3071 | 0.00232  |    -     | 0.00219  |0.04752  |    -     |    -     |</t>
  </si>
  <si>
    <t>| 3072 | 0.00242  |    -     | 0.00226  |0.04738  |    -     |    -     |</t>
  </si>
  <si>
    <t>| 3073 | 0.00223  |    -     | 0.00212  |0.04740  |    -     |    -     |</t>
  </si>
  <si>
    <t>| 3074 | 0.00234  |    -     | 0.00219  |0.04746  |    -     |    -     |</t>
  </si>
  <si>
    <t>| 3075 | 0.00233  |    -     | 0.00218  |0.04739  |    -     |    -     |</t>
  </si>
  <si>
    <t>| 3076 | 0.00247  |    -     | 0.00216  |0.04749  |    -     |    -     |</t>
  </si>
  <si>
    <t>| 3077 | 0.00233  |    -     | 0.00219  |0.04738  |    -     |    -     |</t>
  </si>
  <si>
    <t>| 3078 | 0.00232  |    -     | 0.00226  |0.04746  |    -     |    -     |</t>
  </si>
  <si>
    <t>| 3079 | 0.00232  |    -     | 0.00222  |0.04736  |    -     |    -     |</t>
  </si>
  <si>
    <t>| 3080 | 0.00237  |    -     | 0.00219  |0.04383  |    -     |    -     |</t>
  </si>
  <si>
    <t>| 3081 | 0.00244  |    -     | 0.00229  |0.04754  |    -     |    -     |</t>
  </si>
  <si>
    <t>| 3082 | 0.00233  |    -     | 0.00223  |0.04742  |    -     |    -     |</t>
  </si>
  <si>
    <t>| 3083 | 0.00231  |    -     | 0.00224  |0.04743  |    -     |    -     |</t>
  </si>
  <si>
    <t>| 3084 | 0.00223  |    -     | 0.00215  |0.04736  |    -     |    -     |</t>
  </si>
  <si>
    <t>| 3085 | 0.00234  |    -     | 0.00225  |0.04736  |    -     |    -     |</t>
  </si>
  <si>
    <t>| 3086 | 0.00233  |    -     | 0.00222  |0.04741  |    -     |    -     |</t>
  </si>
  <si>
    <t>| 3087 | 0.00240  |    -     | 0.00227  |0.04748  |    -     |    -     |</t>
  </si>
  <si>
    <t>| 3088 | 0.00236  |    -     | 0.00221  |0.04747  |    -     |    -     |</t>
  </si>
  <si>
    <t>| 3089 | 0.00235  |    -     | 0.00221  |0.04696  |    -     |    -     |</t>
  </si>
  <si>
    <t>| 3090 | 0.00249  |    -     | 0.00229  |0.04755  |    -     |    -     |</t>
  </si>
  <si>
    <t>| 3091 | 0.00231  |    -     | 0.00220  |0.04061  |    -     |    -     |</t>
  </si>
  <si>
    <t>| 3092 | 0.00253  |    -     | 0.00236  |0.04744  |    -     |    -     |</t>
  </si>
  <si>
    <t>| 3093 | 0.00238  |    -     | 0.00222  |0.04747  |    -     |    -     |</t>
  </si>
  <si>
    <t>| 3094 | 0.00239  |    -     | 0.00220  |0.04749  |    -     |    -     |</t>
  </si>
  <si>
    <t>| 3095 | 0.00236  |    -     | 0.00223  |0.04746  |    -     |    -     |</t>
  </si>
  <si>
    <t>| 3096 | 0.00242  |    -     | 0.00225  |0.04746  |    -     |    -     |</t>
  </si>
  <si>
    <t>| 3097 | 0.00235  |    -     | 0.00219  |0.04745  |    -     |    -     |</t>
  </si>
  <si>
    <t>| 3098 | 0.00230  |    -     | 0.00223  |0.04750  |    -     |    -     |</t>
  </si>
  <si>
    <t>| 3099 | 0.00235  |    -     | 0.00221  |0.04747  |    -     |    -     |</t>
  </si>
  <si>
    <t>| 3100 | 0.00232  |    -     | 0.00224  |0.04745  |    -     |    -     |</t>
  </si>
  <si>
    <t>| 3101 | 0.00240  |    -     | 0.00218  |0.04743  |    -     |    -     |</t>
  </si>
  <si>
    <t>| 3102 | 0.00240  |    -     | 0.00227  |0.04473  |    -     |    -     |</t>
  </si>
  <si>
    <t>| 3103 | 0.00236  |    -     | 0.00223  |0.04747  |    -     |    -     |</t>
  </si>
  <si>
    <t>| 3104 | 0.00257  |    -     | 0.00219  |0.04282  |    -     |    -     |</t>
  </si>
  <si>
    <t>| 3105 | 0.00242  |    -     | 0.00224  |0.04418  |    -     |    -     |</t>
  </si>
  <si>
    <t>| 3106 | 0.00231  |    -     | 0.00221  |0.04744  |    -     |    -     |</t>
  </si>
  <si>
    <t>| 3107 | 0.00232  |    -     | 0.00226  |0.04743  |    -     |    -     |</t>
  </si>
  <si>
    <t>| 3108 | 0.00226  |    -     | 0.00225  |0.04139  |    -     |    -     |</t>
  </si>
  <si>
    <t>| 3109 | 0.00274  |    -     | 0.00228  |0.04134  |    -     |    -     |</t>
  </si>
  <si>
    <t>| 3110 | 0.00240  |    -     | 0.00222  |0.04742  |    -     |    -     |</t>
  </si>
  <si>
    <t>| 3111 | 0.00236  |    -     | 0.00224  |0.04635  |    -     |    -     |</t>
  </si>
  <si>
    <t>| 3112 | 0.00219  |    -     | 0.00208  |0.04730  |    -     |    -     |</t>
  </si>
  <si>
    <t>| 3113 | 0.00226  |    -     | 0.00230  |0.04751  |    -     |    -     |</t>
  </si>
  <si>
    <t>| 3114 | 0.00234  |    -     | 0.00221  |0.04742  |    -     |    -     |</t>
  </si>
  <si>
    <t>| 3115 | 0.00222  |    -     | 0.00228  |0.04750  |    -     |    -     |</t>
  </si>
  <si>
    <t>| 3116 | 0.00237  |    -     | 0.00219  |0.04742  |    -     |    -     |</t>
  </si>
  <si>
    <t>| 3117 | 0.00237  |    -     | 0.00221  |0.04745  |    -     |    -     |</t>
  </si>
  <si>
    <t>| 3118 | 0.00233  |    -     | 0.00226  |0.04741  |    -     |    -     |</t>
  </si>
  <si>
    <t>| 3119 | 0.00234  |    -     | 0.00221  |0.04049  |    -     |    -     |</t>
  </si>
  <si>
    <t>| 3120 | 0.00234  |    -     | 0.00218  |0.04734  |    -     |    -     |</t>
  </si>
  <si>
    <t>| 3121 | 0.00237  |    -     | 0.00223  |0.04747  |    -     |    -     |</t>
  </si>
  <si>
    <t>| 3122 | 0.00233  |    -     | 0.00224  |0.04742  |    -     |    -     |</t>
  </si>
  <si>
    <t>| 3123 | 0.00235  |    -     | 0.00223  |0.04748  |    -     |    -     |</t>
  </si>
  <si>
    <t>| 3124 | 0.00243  |    -     | 0.00228  |0.04750  |    -     |    -     |</t>
  </si>
  <si>
    <t>| 3125 | 0.00237  |    -     | 0.00218  |0.04745  |    -     |    -     |</t>
  </si>
  <si>
    <t>| 3126 | 0.00231  |    -     | 0.00220  |0.04748  |    -     |    -     |</t>
  </si>
  <si>
    <t>| 3127 | 0.00237  |    -     | 0.00223  |0.04733  |    -     |    -     |</t>
  </si>
  <si>
    <t>| 3128 | 0.00235  |    -     | 0.00222  |0.04746  |    -     |    -     |</t>
  </si>
  <si>
    <t>| 3129 | 0.00240  |    -     | 0.00221  |0.04744  |    -     |    -     |</t>
  </si>
  <si>
    <t>| 3130 | 0.00231  |    -     | 0.00222  |0.04702  |    -     |    -     |</t>
  </si>
  <si>
    <t>| 3131 | 0.00233  |    -     | 0.00219  |0.04744  |    -     |    -     |</t>
  </si>
  <si>
    <t>| 3132 | 0.00241  |    -     | 0.00220  |0.04745  |    -     |    -     |</t>
  </si>
  <si>
    <t>| 3133 | 0.00234  |    -     | 0.00220  |0.04743  |    -     |    -     |</t>
  </si>
  <si>
    <t>| 3134 | 0.00235  |    -     | 0.00219  |0.04648  |    -     |    -     |</t>
  </si>
  <si>
    <t>| 3135 | 0.00231  |    -     | 0.00226  |0.04740  |    -     |    -     |</t>
  </si>
  <si>
    <t>| 3136 | 0.00237  |    -     | 0.00222  |0.04741  |    -     |    -     |</t>
  </si>
  <si>
    <t>| 3137 | 0.00233  |    -     | 0.00225  |0.04555  |    -     |    -     |</t>
  </si>
  <si>
    <t>| 3138 | 0.00238  |    -     | 0.00225  |0.04747  |    -     |    -     |</t>
  </si>
  <si>
    <t>| 3139 | 0.00234  |    -     | 0.00223  |0.04745  |    -     |    -     |</t>
  </si>
  <si>
    <t>| 3140 | 0.00239  |    -     | 0.00219  |0.04739  |    -     |    -     |</t>
  </si>
  <si>
    <t>| 3141 | 0.00236  |    -     | 0.00222  |0.04738  |    -     |    -     |</t>
  </si>
  <si>
    <t>| 3142 | 0.00236  |    -     | 0.00225  |0.04739  |    -     |    -     |</t>
  </si>
  <si>
    <t>| 3143 | 0.00236  |    -     | 0.00231  |0.04749  |    -     |    -     |</t>
  </si>
  <si>
    <t>| 3144 | 0.00237  |    -     | 0.00221  |0.03780  |    -     |    -     |</t>
  </si>
  <si>
    <t>| 3145 | 0.00236  |    -     | 0.00220  |0.04483  |    -     |    -     |</t>
  </si>
  <si>
    <t>| 3146 | 0.00227  |    -     | 0.00220  |0.04736  |    -     |    -     |</t>
  </si>
  <si>
    <t>| 3147 | 0.00226  |    -     | 0.00220  |0.04743  |    -     |    -     |</t>
  </si>
  <si>
    <t>| 3148 | 0.00231  |    -     | 0.00221  |0.04745  |    -     |    -     |</t>
  </si>
  <si>
    <t>| 3149 | 0.00226  |    -     | 0.00225  |0.04737  |    -     |    -     |</t>
  </si>
  <si>
    <t>| 3150 | 0.00238  |    -     | 0.00227  |0.04752  |    -     |    -     |</t>
  </si>
  <si>
    <t>| 3151 | 0.00234  |    -     | 0.00220  |0.04774  |    -     |    -     |</t>
  </si>
  <si>
    <t>| 3152 | 0.00255  |    -     | 0.00219  |0.04745  |    -     |    -     |</t>
  </si>
  <si>
    <t>| 3153 | 0.00235  |    -     | 0.00218  |0.04746  |    -     |    -     |</t>
  </si>
  <si>
    <t>| 3154 | 0.00231  |    -     | 0.00219  |0.04379  |    -     |    -     |</t>
  </si>
  <si>
    <t>| 3155 | 0.00232  |    -     | 0.00214  |0.04181  |    -     |    -     |</t>
  </si>
  <si>
    <t>| 3156 | 0.00233  |    -     | 0.00218  |0.04747  |    -     |    -     |</t>
  </si>
  <si>
    <t>| 3157 | 0.00230  |    -     | 0.00216  |0.04745  |    -     |    -     |</t>
  </si>
  <si>
    <t>| 3158 | 0.00235  |    -     | 0.00220  |0.04735  |    -     |    -     |</t>
  </si>
  <si>
    <t>| 3159 | 0.00231  |    -     | 0.00219  |0.04743  |    -     |    -     |</t>
  </si>
  <si>
    <t>| 3160 | 0.00237  |    -     | 0.00214  |0.04748  |    -     |    -     |</t>
  </si>
  <si>
    <t>| 3161 | 0.00237  |    -     | 0.00215  |0.04629  |    -     |    -     |</t>
  </si>
  <si>
    <t>| 3162 | 0.00233  |    -     | 0.00224  |0.04740  |    -     |    -     |</t>
  </si>
  <si>
    <t>| 3163 | 0.00242  |    -     | 0.00227  |0.04428  |    -     |    -     |</t>
  </si>
  <si>
    <t>| 3164 | 0.00235  |    -     | 0.00221  |0.04745  |    -     |    -     |</t>
  </si>
  <si>
    <t>| 3165 | 0.00231  |    -     | 0.00219  |0.04750  |    -     |    -     |</t>
  </si>
  <si>
    <t>| 3166 | 0.00234  |    -     | 0.00218  |0.04738  |    -     |    -     |</t>
  </si>
  <si>
    <t>| 3167 | 0.00236  |    -     | 0.00223  |0.04739  |    -     |    -     |</t>
  </si>
  <si>
    <t>| 3168 | 0.00240  |    -     | 0.00222  |0.04746  |    -     |    -     |</t>
  </si>
  <si>
    <t>| 3169 | 0.00236  |    -     | 0.00218  |0.04497  |    -     |    -     |</t>
  </si>
  <si>
    <t>| 3170 | 0.00239  |    -     | 0.00220  |0.04647  |    -     |    -     |</t>
  </si>
  <si>
    <t>| 3171 | 0.00235  |    -     | 0.00221  |0.04266  |    -     |    -     |</t>
  </si>
  <si>
    <t>| 3172 | 0.00233  |    -     | 0.00219  |0.04744  |    -     |    -     |</t>
  </si>
  <si>
    <t>| 3173 | 0.00229  |    -     | 0.00227  |0.04749  |    -     |    -     |</t>
  </si>
  <si>
    <t>| 3174 | 0.00237  |    -     | 0.00221  |0.04743  |    -     |    -     |</t>
  </si>
  <si>
    <t>| 3175 | 0.00222  |    -     | 0.00210  |0.04725  |    -     |    -     |</t>
  </si>
  <si>
    <t>| 3176 | 0.00222  |    -     | 0.00209  |0.04730  |    -     |    -     |</t>
  </si>
  <si>
    <t>| 3177 | 0.00234  |    -     | 0.00221  |0.04641  |    -     |    -     |</t>
  </si>
  <si>
    <t>| 3178 | 0.00230  |    -     | 0.00216  |0.04743  |    -     |    -     |</t>
  </si>
  <si>
    <t>| 3179 | 0.00236  |    -     | 0.00221  |0.04741  |    -     |    -     |</t>
  </si>
  <si>
    <t>| 3180 | 0.00236  |    -     | 0.00219  |0.04741  |    -     |    -     |</t>
  </si>
  <si>
    <t>| 3181 | 0.00238  |    -     | 0.00220  |0.04746  |    -     |    -     |</t>
  </si>
  <si>
    <t>| 3182 | 0.00239  |    -     | 0.00220  |0.04589  |    -     |    -     |</t>
  </si>
  <si>
    <t>| 3183 | 0.00232  |    -     | 0.00227  |0.04744  |    -     |    -     |</t>
  </si>
  <si>
    <t>| 3184 | 0.00242  |    -     | 0.00212  |0.04749  |    -     |    -     |</t>
  </si>
  <si>
    <t>| 3185 | 0.00240  |    -     | 0.00222  |0.04743  |    -     |    -     |</t>
  </si>
  <si>
    <t>| 3186 | 0.00235  |    -     | 0.00219  |0.04744  |    -     |    -     |</t>
  </si>
  <si>
    <t>| 3187 | 0.00234  |    -     | 0.00224  |0.04746  |    -     |    -     |</t>
  </si>
  <si>
    <t>| 3188 | 0.00245  |    -     | 0.00227  |0.04742  |    -     |    -     |</t>
  </si>
  <si>
    <t>| 3189 | 0.00240  |    -     | 0.00223  |0.04753  |    -     |    -     |</t>
  </si>
  <si>
    <t>| 3190 | 0.00229  |    -     | 0.00219  |0.04745  |    -     |    -     |</t>
  </si>
  <si>
    <t>| 3191 | 0.00233  |    -     | 0.00221  |0.04749  |    -     |    -     |</t>
  </si>
  <si>
    <t>| 3192 | 0.00238  |    -     | 0.00219  |0.04737  |    -     |    -     |</t>
  </si>
  <si>
    <t>| 3193 | 0.00234  |    -     | 0.00224  |0.04751  |    -     |    -     |</t>
  </si>
  <si>
    <t>| 3194 | 0.00233  |    -     | 0.00214  |0.04748  |    -     |    -     |</t>
  </si>
  <si>
    <t>| 3195 | 0.00237  |    -     | 0.00222  |0.04744  |    -     |    -     |</t>
  </si>
  <si>
    <t>| 3196 | 0.00239  |    -     | 0.00222  |0.04743  |    -     |    -     |</t>
  </si>
  <si>
    <t>| 3197 | 0.00232  |    -     | 0.00222  |0.04745  |    -     |    -     |</t>
  </si>
  <si>
    <t>| 3198 | 0.00234  |    -     | 0.00223  |0.04745  |    -     |    -     |</t>
  </si>
  <si>
    <t>| 3199 | 0.00234  |    -     | 0.00222  |0.04740  |    -     |    -     |</t>
  </si>
  <si>
    <t>| 3200 | 0.00229  |    -     | 0.00220  |0.04744  |    -     |    -     |</t>
  </si>
  <si>
    <t>| 3201 | 0.00246  |    -     | 0.00226  |0.04747  |    -     |    -     |</t>
  </si>
  <si>
    <t>| 3202 | 0.00245  |    -     | 0.00225  |0.04587  |    -     |    -     |</t>
  </si>
  <si>
    <t>| 3203 | 0.00231  |    -     | 0.00214  |0.04745  |    -     |    -     |</t>
  </si>
  <si>
    <t>| 3204 | 0.00242  |    -     | 0.00222  |0.04427  |    -     |    -     |</t>
  </si>
  <si>
    <t>| 3205 | 0.00240  |    -     | 0.00222  |0.04746  |    -     |    -     |</t>
  </si>
  <si>
    <t>| 3206 | 0.00232  |    -     | 0.00221  |0.04512  |    -     |    -     |</t>
  </si>
  <si>
    <t>| 3207 | 0.00235  |    -     | 0.00223  |0.04747  |    -     |    -     |</t>
  </si>
  <si>
    <t>| 3208 | 0.00247  |    -     | 0.00230  |0.04725  |    -     |    -     |</t>
  </si>
  <si>
    <t>| 3209 | 0.00223  |    -     | 0.00211  |0.04729  |    -     |    -     |</t>
  </si>
  <si>
    <t>| 3210 | 0.00226  |    -     | 0.00207  |0.04729  |    -     |    -     |</t>
  </si>
  <si>
    <t>| 3211 | 0.00225  |    -     | 0.00209  |0.04728  |    -     |    -     |</t>
  </si>
  <si>
    <t>| 3212 | 0.00222  |    -     | 0.00210  |0.04727  |    -     |    -     |</t>
  </si>
  <si>
    <t>| 3213 | 0.00225  |    -     | 0.00208  |0.04728  |    -     |    -     |</t>
  </si>
  <si>
    <t>| 3214 | 0.00223  |    -     | 0.00207  |0.04723  |    -     |    -     |</t>
  </si>
  <si>
    <t>| 3215 | 0.00225  |    -     | 0.00207  |0.04727  |    -     |    -     |</t>
  </si>
  <si>
    <t>| 3216 | 0.00223  |    -     | 0.00207  |0.04722  |    -     |    -     |</t>
  </si>
  <si>
    <t>| 3217 | 0.00221  |    -     | 0.00206  |0.04730  |    -     |    -     |</t>
  </si>
  <si>
    <t>| 3218 | 0.00223  |    -     | 0.00207  |0.04727  |    -     |    -     |</t>
  </si>
  <si>
    <t>| 3219 | 0.00221  |    -     | 0.00207  |0.04727  |    -     |    -     |</t>
  </si>
  <si>
    <t>| 3220 | 0.00222  |    -     | 0.00209  |0.04723  |    -     |    -     |</t>
  </si>
  <si>
    <t>| 3221 | 0.00229  |    -     | 0.00212  |0.04726  |    -     |    -     |</t>
  </si>
  <si>
    <t>| 3222 | 0.00221  |    -     | 0.00207  |0.04728  |    -     |    -     |</t>
  </si>
  <si>
    <t>| 3223 | 0.00224  |    -     | 0.00208  |0.04723  |    -     |    -     |</t>
  </si>
  <si>
    <t>| 3224 | 0.00221  |    -     | 0.00207  |0.04727  |    -     |    -     |</t>
  </si>
  <si>
    <t>| 3225 | 0.00224  |    -     | 0.00207  |0.04738  |    -     |    -     |</t>
  </si>
  <si>
    <t>| 3226 | 0.00227  |    -     | 0.00209  |0.04516  |    -     |    -     |</t>
  </si>
  <si>
    <t>| 3227 | 0.00224  |    -     | 0.00207  |0.04394  |    -     |    -     |</t>
  </si>
  <si>
    <t>| 3228 | 0.00229  |    -     | 0.00212  |0.04731  |    -     |    -     |</t>
  </si>
  <si>
    <t>| 3229 | 0.00228  |    -     | 0.00210  |0.04732  |    -     |    -     |</t>
  </si>
  <si>
    <t>| 3230 | 0.00225  |    -     | 0.00211  |0.04735  |    -     |    -     |</t>
  </si>
  <si>
    <t>| 3231 | 0.00227  |    -     | 0.00210  |0.04727  |    -     |    -     |</t>
  </si>
  <si>
    <t>| 3232 | 0.00245  |    -     | 0.00223  |0.04746  |    -     |    -     |</t>
  </si>
  <si>
    <t>| 3233 | 0.00236  |    -     | 0.00220  |0.04748  |    -     |    -     |</t>
  </si>
  <si>
    <t>| 3234 | 0.00234  |    -     | 0.00219  |0.04710  |    -     |    -     |</t>
  </si>
  <si>
    <t>| 3235 | 0.00235  |    -     | 0.00223  |0.04743  |    -     |    -     |</t>
  </si>
  <si>
    <t>| 3236 | 0.00237  |    -     | 0.00369  |0.04761  |    -     |    -     |</t>
  </si>
  <si>
    <t>| 3237 | 0.00237  |    -     | 0.00222  |0.04745  |    -     |    -     |</t>
  </si>
  <si>
    <t>| 3238 | 0.00235  |    -     | 0.00221  |0.04743  |    -     |    -     |</t>
  </si>
  <si>
    <t>| 3239 | 0.00235  |    -     | 0.00224  |0.04746  |    -     |    -     |</t>
  </si>
  <si>
    <t>| 3240 | 0.00245  |    -     | 0.00219  |0.04712  |    -     |    -     |</t>
  </si>
  <si>
    <t>| 3241 | 0.00247  |    -     | 0.00215  |0.04737  |    -     |    -     |</t>
  </si>
  <si>
    <t>| 3242 | 0.00235  |    -     | 0.00223  |0.04744  |    -     |    -     |</t>
  </si>
  <si>
    <t>| 3243 | 0.00236  |    -     | 0.00222  |0.04745  |    -     |    -     |</t>
  </si>
  <si>
    <t>| 3244 | 0.00240  |    -     | 0.00227  |0.04746  |    -     |    -     |</t>
  </si>
  <si>
    <t>| 3245 | 0.00234  |    -     | 0.00223  |0.04747  |    -     |    -     |</t>
  </si>
  <si>
    <t>| 3246 | 0.00232  |    -     | 0.00224  |0.04739  |    -     |    -     |</t>
  </si>
  <si>
    <t>| 3247 | 0.00239  |    -     | 0.00222  |0.04745  |    -     |    -     |</t>
  </si>
  <si>
    <t>| 3248 | 0.00231  |    -     | 0.00221  |0.04740  |    -     |    -     |</t>
  </si>
  <si>
    <t>| 3249 | 0.00240  |    -     | 0.00231  |0.04746  |    -     |    -     |</t>
  </si>
  <si>
    <t>| 3250 | 0.00241  |    -     | 0.00226  |0.04736  |    -     |    -     |</t>
  </si>
  <si>
    <t>| 3251 | 0.00242  |    -     | 0.00225  |0.04632  |    -     |    -     |</t>
  </si>
  <si>
    <t>| 3252 | 0.00235  |    -     | 0.00224  |0.04745  |    -     |    -     |</t>
  </si>
  <si>
    <t>| 3253 | 0.00231  |    -     | 0.00227  |0.04736  |    -     |    -     |</t>
  </si>
  <si>
    <t>| 3254 | 0.00232  |    -     | 0.00222  |0.04739  |    -     |    -     |</t>
  </si>
  <si>
    <t>| 3255 | 0.00237  |    -     | 0.00216  |0.04746  |    -     |    -     |</t>
  </si>
  <si>
    <t>| 3256 | 0.00240  |    -     | 0.00222  |0.04742  |    -     |    -     |</t>
  </si>
  <si>
    <t>| 3257 | 0.00236  |    -     | 0.00223  |0.04745  |    -     |    -     |</t>
  </si>
  <si>
    <t>| 3258 | 0.00226  |    -     | 0.00226  |0.04444  |    -     |    -     |</t>
  </si>
  <si>
    <t>| 3259 | 0.00230  |    -     | 0.00219  |0.04741  |    -     |    -     |</t>
  </si>
  <si>
    <t>| 3260 | 0.00245  |    -     | 0.00227  |0.04650  |    -     |    -     |</t>
  </si>
  <si>
    <t>| 3261 | 0.00235  |    -     | 0.00223  |0.04735  |    -     |    -     |</t>
  </si>
  <si>
    <t>| 3262 | 0.00241  |    -     | 0.00224  |0.04746  |    -     |    -     |</t>
  </si>
  <si>
    <t>| 3263 | 0.00239  |    -     | 0.00222  |0.04743  |    -     |    -     |</t>
  </si>
  <si>
    <t>| 3264 | 0.00234  |    -     | 0.00222  |0.04739  |    -     |    -     |</t>
  </si>
  <si>
    <t>| 3265 | 0.00233  |    -     | 0.00223  |0.04743  |    -     |    -     |</t>
  </si>
  <si>
    <t>| 3266 | 0.00235  |    -     | 0.00224  |0.04739  |    -     |    -     |</t>
  </si>
  <si>
    <t>| 3267 | 0.00221  |    -     | 0.00209  |0.04735  |    -     |    -     |</t>
  </si>
  <si>
    <t>| 3268 | 0.00240  |    -     | 0.00220  |0.04746  |    -     |    -     |</t>
  </si>
  <si>
    <t>| 3269 | 0.00231  |    -     | 0.00221  |0.04739  |    -     |    -     |</t>
  </si>
  <si>
    <t>| 3270 | 0.00236  |    -     | 0.00221  |0.04742  |    -     |    -     |</t>
  </si>
  <si>
    <t>| 3271 | 0.00240  |    -     | 0.00221  |0.04746  |    -     |    -     |</t>
  </si>
  <si>
    <t>| 3272 | 0.00235  |    -     | 0.00221  |0.04740  |    -     |    -     |</t>
  </si>
  <si>
    <t>| 3273 | 0.00235  |    -     | 0.00223  |0.04738  |    -     |    -     |</t>
  </si>
  <si>
    <t>| 3274 | 0.00232  |    -     | 0.00226  |0.04747  |    -     |    -     |</t>
  </si>
  <si>
    <t>| 3275 | 0.00249  |    -     | 0.00234  |0.04752  |    -     |    -     |</t>
  </si>
  <si>
    <t>| 3276 | 0.00252  |    -     | 0.00243  |0.04752  |    -     |    -     |</t>
  </si>
  <si>
    <t>| 3277 | 0.00242  |    -     | 0.00223  |0.04750  |    -     |    -     |</t>
  </si>
  <si>
    <t>| 3278 | 0.00235  |    -     | 0.00224  |0.04747  |    -     |    -     |</t>
  </si>
  <si>
    <t>| 3279 | 0.00251  |    -     | 0.00229  |0.04753  |    -     |    -     |</t>
  </si>
  <si>
    <t>| 3280 | 0.00238  |    -     | 0.00222  |0.04586  |    -     |    -     |</t>
  </si>
  <si>
    <t>| 3281 | 0.00222  |    -     | 0.00210  |0.04733  |    -     |    -     |</t>
  </si>
  <si>
    <t>| 3282 | 0.00224  |    -     | 0.00211  |0.04258  |    -     |    -     |</t>
  </si>
  <si>
    <t>| 3283 | 0.00227  |    -     | 0.00224  |0.04539  |    -     |    -     |</t>
  </si>
  <si>
    <t>| 3284 | 0.00241  |    -     | 0.00230  |0.04747  |    -     |    -     |</t>
  </si>
  <si>
    <t>| 3285 | 0.00239  |    -     | 0.00225  |0.04746  |    -     |    -     |</t>
  </si>
  <si>
    <t>| 3286 | 0.00240  |    -     | 0.00216  |0.04746  |    -     |    -     |</t>
  </si>
  <si>
    <t>| 3287 | 0.00240  |    -     | 0.00221  |0.04743  |    -     |    -     |</t>
  </si>
  <si>
    <t>| 3288 | 0.00238  |    -     | 0.00221  |0.04736  |    -     |    -     |</t>
  </si>
  <si>
    <t>| 3289 | 0.00235  |    -     | 0.00225  |0.04746  |    -     |    -     |</t>
  </si>
  <si>
    <t>| 3290 | 0.00235  |    -     | 0.00216  |0.04749  |    -     |    -     |</t>
  </si>
  <si>
    <t>| 3291 | 0.00243  |    -     | 0.00221  |0.04743  |    -     |    -     |</t>
  </si>
  <si>
    <t>| 3292 | 0.00237  |    -     | 0.00219  |0.04746  |    -     |    -     |</t>
  </si>
  <si>
    <t>| 3293 | 0.00231  |    -     | 0.00220  |0.04741  |    -     |    -     |</t>
  </si>
  <si>
    <t>| 3294 | 0.00231  |    -     | 0.00223  |0.04500  |    -     |    -     |</t>
  </si>
  <si>
    <t>| 3295 | 0.00236  |    -     | 0.00220  |0.04742  |    -     |    -     |</t>
  </si>
  <si>
    <t>| 3296 | 0.00235  |    -     | 0.00221  |0.04740  |    -     |    -     |</t>
  </si>
  <si>
    <t>| 3297 | 0.00234  |    -     | 0.00224  |0.04744  |    -     |    -     |</t>
  </si>
  <si>
    <t>| 3298 | 0.00240  |    -     | 0.00224  |0.04633  |    -     |    -     |</t>
  </si>
  <si>
    <t>| 3299 | 0.00243  |    -     | 0.00226  |0.04749  |    -     |    -     |</t>
  </si>
  <si>
    <t>| 3300 | 0.00232  |    -     | 0.00231  |0.04747  |    -     |    -     |</t>
  </si>
  <si>
    <t>| 3301 | 0.00236  |    -     | 0.00224  |0.04462  |    -     |    -     |</t>
  </si>
  <si>
    <t>| 3302 | 0.00241  |    -     | 0.00222  |0.04745  |    -     |    -     |</t>
  </si>
  <si>
    <t>| 3303 | 0.00240  |    -     | 0.00220  |0.04745  |    -     |    -     |</t>
  </si>
  <si>
    <t>| 3304 | 0.00236  |    -     | 0.00223  |0.04745  |    -     |    -     |</t>
  </si>
  <si>
    <t>| 3305 | 0.00241  |    -     | 0.00223  |0.04750  |    -     |    -     |</t>
  </si>
  <si>
    <t>| 3306 | 0.00229  |    -     | 0.00210  |0.04732  |    -     |    -     |</t>
  </si>
  <si>
    <t>| 3307 | 0.00247  |    -     | 0.00221  |0.04741  |    -     |    -     |</t>
  </si>
  <si>
    <t>| 3308 | 0.00234  |    -     | 0.00223  |0.04487  |    -     |    -     |</t>
  </si>
  <si>
    <t>| 3309 | 0.00236  |    -     | 0.00224  |0.04544  |    -     |    -     |</t>
  </si>
  <si>
    <t>| 3310 | 0.00235  |    -     | 0.00222  |0.04745  |    -     |    -     |</t>
  </si>
  <si>
    <t>| 3311 | 0.00238  |    -     | 0.00220  |0.04744  |    -     |    -     |</t>
  </si>
  <si>
    <t>| 3312 | 0.00235  |    -     | 0.00220  |0.04742  |    -     |    -     |</t>
  </si>
  <si>
    <t>| 3313 | 0.00233  |    -     | 0.00224  |0.04736  |    -     |    -     |</t>
  </si>
  <si>
    <t>| 3314 | 0.00236  |    -     | 0.00227  |0.04743  |    -     |    -     |</t>
  </si>
  <si>
    <t>| 3315 | 0.00237  |    -     | 0.00224  |0.04729  |    -     |    -     |</t>
  </si>
  <si>
    <t>| 3316 | 0.00222  |    -     | 0.00226  |0.04746  |    -     |    -     |</t>
  </si>
  <si>
    <t>| 3317 | 0.00234  |    -     | 0.00218  |0.04740  |    -     |    -     |</t>
  </si>
  <si>
    <t>| 3318 | 0.00240  |    -     | 0.00231  |0.04748  |    -     |    -     |</t>
  </si>
  <si>
    <t>| 3319 | 0.00235  |    -     | 0.00222  |0.04741  |    -     |    -     |</t>
  </si>
  <si>
    <t>| 3320 | 0.00236  |    -     | 0.00223  |0.04746  |    -     |    -     |</t>
  </si>
  <si>
    <t>| 3321 | 0.00231  |    -     | 0.00223  |0.04746  |    -     |    -     |</t>
  </si>
  <si>
    <t>| 3322 | 0.00236  |    -     | 0.00223  |0.04743  |    -     |    -     |</t>
  </si>
  <si>
    <t>| 3323 | 0.00223  |    -     | 0.00212  |0.04742  |    -     |    -     |</t>
  </si>
  <si>
    <t>| 3324 | 0.00235  |    -     | 0.00222  |0.04744  |    -     |    -     |</t>
  </si>
  <si>
    <t>| 3325 | 0.00236  |    -     | 0.00217  |0.04749  |    -     |    -     |</t>
  </si>
  <si>
    <t>| 3326 | 0.00236  |    -     | 0.00230  |0.04745  |    -     |    -     |</t>
  </si>
  <si>
    <t>| 3327 | 0.00235  |    -     | 0.00217  |0.04741  |    -     |    -     |</t>
  </si>
  <si>
    <t>| 3328 | 0.00238  |    -     | 0.00222  |0.04747  |    -     |    -     |</t>
  </si>
  <si>
    <t>| 3329 | 0.00233  |    -     | 0.00223  |0.04629  |    -     |    -     |</t>
  </si>
  <si>
    <t>| 3330 | 0.00230  |    -     | 0.00223  |0.04745  |    -     |    -     |</t>
  </si>
  <si>
    <t>| 3331 | 0.00242  |    -     | 0.00223  |0.04744  |    -     |    -     |</t>
  </si>
  <si>
    <t>| 3332 | 0.00238  |    -     | 0.00217  |0.04747  |    -     |    -     |</t>
  </si>
  <si>
    <t>| 3333 | 0.00233  |    -     | 0.00223  |0.03989  |    -     |    -     |</t>
  </si>
  <si>
    <t>| 3334 | 0.00230  |    -     | 0.00222  |0.04730  |    -     |    -     |</t>
  </si>
  <si>
    <t>| 3335 | 0.00232  |    -     | 0.00221  |0.04742  |    -     |    -     |</t>
  </si>
  <si>
    <t>| 3336 | 0.00238  |    -     | 0.00228  |0.04743  |    -     |    -     |</t>
  </si>
  <si>
    <t>| 3337 | 0.00237  |    -     | 0.00220  |0.04738  |    -     |    -     |</t>
  </si>
  <si>
    <t>| 3338 | 0.00238  |    -     | 0.00223  |0.04015  |    -     |    -     |</t>
  </si>
  <si>
    <t>| 3339 | 0.00231  |    -     | 0.00223  |0.04743  |    -     |    -     |</t>
  </si>
  <si>
    <t>| 3340 | 0.00231  |    -     | 0.00208  |0.04738  |    -     |    -     |</t>
  </si>
  <si>
    <t>| 3341 | 0.00240  |    -     | 0.00222  |0.04747  |    -     |    -     |</t>
  </si>
  <si>
    <t>| 3342 | 0.00236  |    -     | 0.00221  |0.04739  |    -     |    -     |</t>
  </si>
  <si>
    <t>| 3343 | 0.00236  |    -     | 0.00223  |0.04414  |    -     |    -     |</t>
  </si>
  <si>
    <t>| 3344 | 0.00240  |    -     | 0.00225  |0.04736  |    -     |    -     |</t>
  </si>
  <si>
    <t>| 3345 | 0.00240  |    -     | 0.00226  |0.04745  |    -     |    -     |</t>
  </si>
  <si>
    <t>| 3346 | 0.00241  |    -     | 0.00231  |0.04701  |    -     |    -     |</t>
  </si>
  <si>
    <t>| 3347 | 0.00241  |    -     | 0.00221  |0.04746  |    -     |    -     |</t>
  </si>
  <si>
    <t>| 3348 | 0.00233  |    -     | 0.00225  |0.03976  |    -     |    -     |</t>
  </si>
  <si>
    <t>| 3349 | 0.00233  |    -     | 0.00220  |0.04177  |    -     |    -     |</t>
  </si>
  <si>
    <t>| 3350 | 0.00229  |    -     | 0.00221  |0.04747  |    -     |    -     |</t>
  </si>
  <si>
    <t>| 3351 | 0.00239  |    -     | 0.00224  |0.04744  |    -     |    -     |</t>
  </si>
  <si>
    <t>| 3352 | 0.00233  |    -     | 0.00224  |0.04741  |    -     |    -     |</t>
  </si>
  <si>
    <t>| 3353 | 0.00234  |    -     | 0.00224  |0.04715  |    -     |    -     |</t>
  </si>
  <si>
    <t>| 3354 | 0.00235  |    -     | 0.00223  |0.04746  |    -     |    -     |</t>
  </si>
  <si>
    <t>| 3355 | 0.00228  |    -     | 0.00228  |0.04741  |    -     |    -     |</t>
  </si>
  <si>
    <t>| 3356 | 0.00246  |    -     | 0.00221  |0.04736  |    -     |    -     |</t>
  </si>
  <si>
    <t>| 3357 | 0.00243  |    -     | 0.00221  |0.04393  |    -     |    -     |</t>
  </si>
  <si>
    <t>| 3358 | 0.00238  |    -     | 0.00226  |0.04739  |    -     |    -     |</t>
  </si>
  <si>
    <t>| 3359 | 0.00239  |    -     | 0.00221  |0.04743  |    -     |    -     |</t>
  </si>
  <si>
    <t>| 3360 | 0.00244  |    -     | 0.00227  |0.04736  |    -     |    -     |</t>
  </si>
  <si>
    <t>| 3361 | 0.00240  |    -     | 0.00228  |0.04749  |    -     |    -     |</t>
  </si>
  <si>
    <t>| 3362 | 0.00235  |    -     | 0.00220  |0.04745  |    -     |    -     |</t>
  </si>
  <si>
    <t>| 3363 | 0.00236  |    -     | 0.00223  |0.04734  |    -     |    -     |</t>
  </si>
  <si>
    <t>| 3364 | 0.00221  |    -     | 0.00209  |0.04726  |    -     |    -     |</t>
  </si>
  <si>
    <t>| 3365 | 0.00239  |    -     | 0.00227  |0.04503  |    -     |    -     |</t>
  </si>
  <si>
    <t>| 3366 | 0.00240  |    -     | 0.00225  |0.04483  |    -     |    -     |</t>
  </si>
  <si>
    <t>| 3367 | 0.00235  |    -     | 0.00217  |0.04737  |    -     |    -     |</t>
  </si>
  <si>
    <t>| 3368 | 0.00240  |    -     | 0.00223  |0.03991  |    -     |    -     |</t>
  </si>
  <si>
    <t>| 3369 | 0.00233  |    -     | 0.00221  |0.04735  |    -     |    -     |</t>
  </si>
  <si>
    <t>| 3370 | 0.00220  |    -     | 0.00210  |0.04737  |    -     |    -     |</t>
  </si>
  <si>
    <t>| 3371 | 0.00238  |    -     | 0.00223  |0.04741  |    -     |    -     |</t>
  </si>
  <si>
    <t>| 3372 | 0.00234  |    -     | 0.00227  |0.04474  |    -     |    -     |</t>
  </si>
  <si>
    <t>| 3373 | 0.00230  |    -     | 0.00224  |0.04367  |    -     |    -     |</t>
  </si>
  <si>
    <t>| 3374 | 0.00237  |    -     | 0.00218  |0.04502  |    -     |    -     |</t>
  </si>
  <si>
    <t>| 3375 | 0.00233  |    -     | 0.00225  |0.04738  |    -     |    -     |</t>
  </si>
  <si>
    <t>| 3376 | 0.00240  |    -     | 0.00214  |0.04498  |    -     |    -     |</t>
  </si>
  <si>
    <t>| 3377 | 0.00244  |    -     | 0.00228  |0.04755  |    -     |    -     |</t>
  </si>
  <si>
    <t>| 3378 | 0.00239  |    -     | 0.00225  |0.04650  |    -     |    -     |</t>
  </si>
  <si>
    <t>| 3379 | 0.00238  |    -     | 0.00228  |0.04739  |    -     |    -     |</t>
  </si>
  <si>
    <t>| 3380 | 0.00240  |    -     | 0.00221  |0.04297  |    -     |    -     |</t>
  </si>
  <si>
    <t>| 3381 | 0.00236  |    -     | 0.00226  |0.04745  |    -     |    -     |</t>
  </si>
  <si>
    <t>| 3382 | 0.00239  |    -     | 0.00225  |0.04746  |    -     |    -     |</t>
  </si>
  <si>
    <t>| 3383 | 0.00237  |    -     | 0.00216  |0.04744  |    -     |    -     |</t>
  </si>
  <si>
    <t>| 3384 | 0.00244  |    -     | 0.00232  |0.04749  |    -     |    -     |</t>
  </si>
  <si>
    <t>| 3385 | 0.00234  |    -     | 0.00221  |0.04736  |    -     |    -     |</t>
  </si>
  <si>
    <t>| 3386 | 0.00240  |    -     | 0.00229  |0.04741  |    -     |    -     |</t>
  </si>
  <si>
    <t>| 3387 | 0.00238  |    -     | 0.00224  |0.04742  |    -     |    -     |</t>
  </si>
  <si>
    <t>| 3388 | 0.00223  |    -     | 0.00211  |0.04735  |    -     |    -     |</t>
  </si>
  <si>
    <t>| 3389 | 0.00223  |    -     | 0.00211  |0.04736  |    -     |    -     |</t>
  </si>
  <si>
    <t>| 3390 | 0.00241  |    -     | 0.00227  |0.04741  |    -     |    -     |</t>
  </si>
  <si>
    <t>| 3391 | 0.00242  |    -     | 0.00223  |0.04749  |    -     |    -     |</t>
  </si>
  <si>
    <t>| 3392 | 0.00245  |    -     | 0.00229  |0.04738  |    -     |    -     |</t>
  </si>
  <si>
    <t>| 3393 | 0.00233  |    -     | 0.00224  |0.04748  |    -     |    -     |</t>
  </si>
  <si>
    <t>| 3394 | 0.00229  |    -     | 0.00212  |0.04735  |    -     |    -     |</t>
  </si>
  <si>
    <t>| 3395 | 0.00248  |    -     | 0.00227  |0.04736  |    -     |    -     |</t>
  </si>
  <si>
    <t>| 3396 | 0.00230  |    -     | 0.00213  |0.04918  |    -     |    -     |</t>
  </si>
  <si>
    <t>| 3398 | 0.00251  |    -     | 0.00214  |0.04721  |    -     |    -     |</t>
  </si>
  <si>
    <t>| 3399 | 0.00249  |    -     | 0.00239  |0.04766  |    -     |    -     |</t>
  </si>
  <si>
    <t>| 3400 | 0.00335  |    -     | 0.00211  |0.04559  |    -     |    -     |</t>
  </si>
  <si>
    <t>TRUE:</t>
  </si>
  <si>
    <t>| 3401 | 0.00239  |    -     | 0.00216  |0.04471  |    -     |    -     |</t>
  </si>
  <si>
    <t>| 3402 | 0.00252  |    -     | 0.00216  |0.04737  |    -     |    -     |</t>
  </si>
  <si>
    <t>| 3403 | 0.00242  |    -     | 0.00209  |0.04583  |    -     |    -     |</t>
  </si>
  <si>
    <t>| 3404 | 0.00251  |    -     | 0.00225  |0.04589  |    -     |    -     |</t>
  </si>
  <si>
    <t>| 3405 | 0.00242  |    -     | 0.00229  |0.04371  |    -     |    -     |</t>
  </si>
  <si>
    <t>| 3406 | 0.00242  |    -     | 0.00216  |0.03952  |    -     |    -     |</t>
  </si>
  <si>
    <t>| 3407 | 0.00233  |    -     | 0.00208  |0.04277  |    -     |    -     |</t>
  </si>
  <si>
    <t>| 3408 | 0.00245  |    -     | 0.00219  |0.04265  |    -     |    -     |</t>
  </si>
  <si>
    <t>| 3409 | 0.00246  |    -     | 0.00241  |0.04344  |    -     |    -     |</t>
  </si>
  <si>
    <t>| 3410 | 0.00248  |    -     | 0.00226  |0.03683  |    -     |    -     |</t>
  </si>
  <si>
    <t>| 3411 | 0.00253  |    -     | 0.00228  |0.04552  |    -     |    -     |</t>
  </si>
  <si>
    <t>| 3412 | 0.00249  |    -     | 0.00229  |0.04397  |    -     |    -     |</t>
  </si>
  <si>
    <t>| 3413 | 0.00252  |    -     | 0.00227  |0.03835  |    -     |    -     |</t>
  </si>
  <si>
    <t>| 3414 | 0.00260  |    -     | 0.00228  |0.04442  |    -     |    -     |</t>
  </si>
  <si>
    <t>| 3415 | 0.00233  |    -     | 0.00235  |0.04456  |    -     |    -     |</t>
  </si>
  <si>
    <t>| 3416 | 0.00247  |    -     | 0.00224  |0.04631  |    -     |    -     |</t>
  </si>
  <si>
    <t>| 3417 | 0.00236  |    -     | 0.00226  |0.04705  |    -     |    -     |</t>
  </si>
  <si>
    <t>| 3418 | 0.00228  |    -     | 0.00230  |0.04743  |    -     |    -     |</t>
  </si>
  <si>
    <t>| 3419 | 0.00242  |    -     | 0.00227  |0.04748  |    -     |    -     |</t>
  </si>
  <si>
    <t>| 3420 | 0.00230  |    -     | 0.00213  |0.04444  |    -     |    -     |</t>
  </si>
  <si>
    <t>| 3421 | 0.00235  |    -     | 0.00220  |0.04754  |    -     |    -     |</t>
  </si>
  <si>
    <t>| 3422 | 0.00235  |    -     | 0.00224  |0.04451  |    -     |    -     |</t>
  </si>
  <si>
    <t>| 3423 | 0.00238  |    -     | 0.00227  |0.04680  |    -     |    -     |</t>
  </si>
  <si>
    <t>| 3424 | 0.00258  |    -     | 0.00220  |0.04441  |    -     |    -     |</t>
  </si>
  <si>
    <t>| 3425 | 0.00234  |    -     | 0.00232  |0.04741  |    -     |    -     |</t>
  </si>
  <si>
    <t>| 3426 | 0.00231  |    -     | 0.00218  |0.04718  |    -     |    -     |</t>
  </si>
  <si>
    <t>| 3427 | 0.00203  |    -     | 0.00221  |0.04619  |    -     |    -     |</t>
  </si>
  <si>
    <t>| 3428 | 0.00225  |    -     | 0.00212  |0.04199  |    -     |    -     |</t>
  </si>
  <si>
    <t>| 3429 | 0.00268  |    -     | 0.00215  |0.04734  |    -     |    -     |</t>
  </si>
  <si>
    <t>| 3430 | 0.00235  |    -     | 0.00220  |0.04742  |    -     |    -     |</t>
  </si>
  <si>
    <t>| 3431 | 0.00237  |    -     | 0.00216  |0.04740  |    -     |    -     |</t>
  </si>
  <si>
    <t>| 3432 | 0.00237  |    -     | 0.00227  |0.04743  |    -     |    -     |</t>
  </si>
  <si>
    <t>| 3433 | 0.00231  |    -     | 0.00223  |0.04108  |    -     |    -     |</t>
  </si>
  <si>
    <t>| 3434 | 0.00228  |    -     | 0.00221  |0.04738  |    -     |    -     |</t>
  </si>
  <si>
    <t>| 3435 | 0.00243  |    -     | 0.00219  |0.04756  |    -     |    -     |</t>
  </si>
  <si>
    <t>| 3436 | 0.00246  |    -     | 0.00221  |0.04748  |    -     |    -     |</t>
  </si>
  <si>
    <t>| 3437 | 0.00222  |    -     | 0.00213  |0.03948  |    -     |    -     |</t>
  </si>
  <si>
    <t>| 3438 | 0.00229  |    -     | 0.00218  |0.04713  |    -     |    -     |</t>
  </si>
  <si>
    <t>| 3439 | 0.00238  |    -     | 0.00220  |0.04748  |    -     |    -     |</t>
  </si>
  <si>
    <t>| 3440 | 0.00233  |    -     | 0.00219  |0.04751  |    -     |    -     |</t>
  </si>
  <si>
    <t>| 3441 | 0.00245  |    -     | 0.00223  |0.04744  |    -     |    -     |</t>
  </si>
  <si>
    <t>| 3442 | 0.00239  |    -     | 0.00223  |0.04751  |    -     |    -     |</t>
  </si>
  <si>
    <t>| 3443 | 0.00238  |    -     | 0.00221  |0.04745  |    -     |    -     |</t>
  </si>
  <si>
    <t>| 3444 | 0.00231  |    -     | 0.00213  |0.04738  |    -     |    -     |</t>
  </si>
  <si>
    <t>| 3445 | 0.00232  |    -     | 0.00233  |0.04761  |    -     |    -     |</t>
  </si>
  <si>
    <t>| 3446 | 0.00244  |    -     | 0.00227  |0.04751  |    -     |    -     |</t>
  </si>
  <si>
    <t>| 3447 | 0.00239  |    -     | 0.00218  |0.04746  |    -     |    -     |</t>
  </si>
  <si>
    <t>| 3448 | 0.00239  |    -     | 0.00223  |0.04734  |    -     |    -     |</t>
  </si>
  <si>
    <t>| 3449 | 0.00239  |    -     | 0.00223  |0.04749  |    -     |    -     |</t>
  </si>
  <si>
    <t>| 3450 | 0.00238  |    -     | 0.00221  |0.04747  |    -     |    -     |</t>
  </si>
  <si>
    <t>| 3451 | 0.00236  |    -     | 0.00218  |0.04749  |    -     |    -     |</t>
  </si>
  <si>
    <t>| 3452 | 0.00235  |    -     | 0.00222  |0.04688  |    -     |    -     |</t>
  </si>
  <si>
    <t>| 3453 | 0.00239  |    -     | 0.00226  |0.04751  |    -     |    -     |</t>
  </si>
  <si>
    <t>| 3454 | 0.00235  |    -     | 0.00222  |0.04396  |    -     |    -     |</t>
  </si>
  <si>
    <t>| 3455 | 0.00252  |    -     | 0.00220  |0.04750  |    -     |    -     |</t>
  </si>
  <si>
    <t>| 3456 | 0.00233  |    -     | 0.00222  |0.04322  |    -     |    -     |</t>
  </si>
  <si>
    <t>| 3457 | 0.00233  |    -     | 0.00223  |0.04744  |    -     |    -     |</t>
  </si>
  <si>
    <t>| 3458 | 0.00231  |    -     | 0.00227  |0.04750  |    -     |    -     |</t>
  </si>
  <si>
    <t>| 3459 | 0.00242  |    -     | 0.00223  |0.04741  |    -     |    -     |</t>
  </si>
  <si>
    <t>| 3460 | 0.00239  |    -     | 0.00224  |0.04744  |    -     |    -     |</t>
  </si>
  <si>
    <t>| 3461 | 0.00233  |    -     | 0.00224  |0.04741  |    -     |    -     |</t>
  </si>
  <si>
    <t>| 3462 | 0.00227  |    -     | 0.00209  |0.04736  |    -     |    -     |</t>
  </si>
  <si>
    <t>| 3463 | 0.00244  |    -     | 0.00225  |0.04749  |    -     |    -     |</t>
  </si>
  <si>
    <t>| 3464 | 0.00242  |    -     | 0.00222  |0.04746  |    -     |    -     |</t>
  </si>
  <si>
    <t>| 3465 | 0.00233  |    -     | 0.00217  |0.04748  |    -     |    -     |</t>
  </si>
  <si>
    <t>| 3466 | 0.00233  |    -     | 0.00220  |0.04748  |    -     |    -     |</t>
  </si>
  <si>
    <t>| 3467 | 0.00237  |    -     | 0.00220  |0.04352  |    -     |    -     |</t>
  </si>
  <si>
    <t>| 3468 | 0.00241  |    -     | 0.00224  |0.04745  |    -     |    -     |</t>
  </si>
  <si>
    <t>| 3469 | 0.00232  |    -     | 0.00224  |0.04323  |    -     |    -     |</t>
  </si>
  <si>
    <t>| 3470 | 0.00230  |    -     | 0.00219  |0.04750  |    -     |    -     |</t>
  </si>
  <si>
    <t>| 3471 | 0.00235  |    -     | 0.00222  |0.04749  |    -     |    -     |</t>
  </si>
  <si>
    <t>| 3472 | 0.00231  |    -     | 0.00220  |0.04748  |    -     |    -     |</t>
  </si>
  <si>
    <t>| 3473 | 0.00235  |    -     | 0.00222  |0.04747  |    -     |    -     |</t>
  </si>
  <si>
    <t>| 3474 | 0.00228  |    -     | 0.00215  |0.04751  |    -     |    -     |</t>
  </si>
  <si>
    <t>| 3475 | 0.00244  |    -     | 0.00224  |0.04755  |    -     |    -     |</t>
  </si>
  <si>
    <t>| 3476 | 0.00233  |    -     | 0.00221  |0.04457  |    -     |    -     |</t>
  </si>
  <si>
    <t>| 3477 | 0.00239  |    -     | 0.00226  |0.04117  |    -     |    -     |</t>
  </si>
  <si>
    <t>| 3478 | 0.00233  |    -     | 0.00217  |0.04752  |    -     |    -     |</t>
  </si>
  <si>
    <t>| 3479 | 0.00254  |    -     | 0.00218  |0.04754  |    -     |    -     |</t>
  </si>
  <si>
    <t>| 3480 | 0.00235  |    -     | 0.00222  |0.04749  |    -     |    -     |</t>
  </si>
  <si>
    <t>| 3481 | 0.00233  |    -     | 0.00220  |0.04529  |    -     |    -     |</t>
  </si>
  <si>
    <t>| 3482 | 0.00237  |    -     | 0.00224  |0.04745  |    -     |    -     |</t>
  </si>
  <si>
    <t>| 3483 | 0.00240  |    -     | 0.00221  |0.04019  |    -     |    -     |</t>
  </si>
  <si>
    <t>| 3484 | 0.00235  |    -     | 0.00221  |0.04747  |    -     |    -     |</t>
  </si>
  <si>
    <t>| 3485 | 0.00234  |    -     | 0.00222  |0.04751  |    -     |    -     |</t>
  </si>
  <si>
    <t>| 3486 | 0.00238  |    -     | 0.00219  |0.04748  |    -     |    -     |</t>
  </si>
  <si>
    <t>| 3487 | 0.00237  |    -     | 0.00222  |0.04553  |    -     |    -     |</t>
  </si>
  <si>
    <t>| 3488 | 0.00229  |    -     | 0.00219  |0.04742  |    -     |    -     |</t>
  </si>
  <si>
    <t>| 3489 | 0.00225  |    -     | 0.00225  |0.04752  |    -     |    -     |</t>
  </si>
  <si>
    <t>| 3490 | 0.00234  |    -     | 0.00222  |0.04741  |    -     |    -     |</t>
  </si>
  <si>
    <t>| 3491 | 0.00245  |    -     | 0.00223  |0.04557  |    -     |    -     |</t>
  </si>
  <si>
    <t>| 3492 | 0.00236  |    -     | 0.00226  |0.04579  |    -     |    -     |</t>
  </si>
  <si>
    <t>| 3493 | 0.00243  |    -     | 0.00223  |0.04335  |    -     |    -     |</t>
  </si>
  <si>
    <t>| 3494 | 0.00239  |    -     | 0.00212  |0.04614  |    -     |    -     |</t>
  </si>
  <si>
    <t>| 3495 | 0.00225  |    -     | 0.00211  |0.04737  |    -     |    -     |</t>
  </si>
  <si>
    <t>| 3496 | 0.00227  |    -     | 0.00211  |0.04257  |    -     |    -     |</t>
  </si>
  <si>
    <t>| 3497 | 0.00226  |    -     | 0.00222  |0.04750  |    -     |    -     |</t>
  </si>
  <si>
    <t>| 3498 | 0.00231  |    -     | 0.00223  |0.04365  |    -     |    -     |</t>
  </si>
  <si>
    <t>| 3499 | 0.00224  |    -     | 0.00225  |0.04753  |    -     |    -     |</t>
  </si>
  <si>
    <t>| 3500 | 0.00239  |    -     | 0.00219  |0.04749  |    -     |    -     |</t>
  </si>
  <si>
    <t>| 3501 | 0.00233  |    -     | 0.00220  |0.04745  |    -     |    -     |</t>
  </si>
  <si>
    <t>| 3502 | 0.00230  |    -     | 0.00207  |0.04734  |    -     |    -     |</t>
  </si>
  <si>
    <t>| 3503 | 0.00234  |    -     | 0.00220  |0.04742  |    -     |    -     |</t>
  </si>
  <si>
    <t>| 3504 | 0.00231  |    -     | 0.00220  |0.04747  |    -     |    -     |</t>
  </si>
  <si>
    <t>| 3505 | 0.00225  |    -     | 0.00210  |0.04767  |    -     |    -     |</t>
  </si>
  <si>
    <t>| 3506 | 0.00240  |    -     | 0.00224  |0.04754  |    -     |    -     |</t>
  </si>
  <si>
    <t>| 3507 | 0.00240  |    -     | 0.00225  |0.04056  |    -     |    -     |</t>
  </si>
  <si>
    <t>| 3508 | 0.00228  |    -     | 0.00219  |0.04739  |    -     |    -     |</t>
  </si>
  <si>
    <t>| 3509 | 0.00239  |    -     | 0.00222  |0.04751  |    -     |    -     |</t>
  </si>
  <si>
    <t>| 3510 | 0.00235  |    -     | 0.00222  |0.04746  |    -     |    -     |</t>
  </si>
  <si>
    <t>| 3511 | 0.00240  |    -     | 0.00218  |0.03590  |    -     |    -     |</t>
  </si>
  <si>
    <t>| 3512 | 0.00222  |    -     | 0.00226  |0.04740  |    -     |    -     |</t>
  </si>
  <si>
    <t>| 3513 | 0.00229  |    -     | 0.00217  |0.04750  |    -     |    -     |</t>
  </si>
  <si>
    <t>| 3514 | 0.00237  |    -     | 0.00216  |0.04748  |    -     |    -     |</t>
  </si>
  <si>
    <t>| 3515 | 0.00234  |    -     | 0.00218  |0.04749  |    -     |    -     |</t>
  </si>
  <si>
    <t>| 3516 | 0.00232  |    -     | 0.00222  |0.04740  |    -     |    -     |</t>
  </si>
  <si>
    <t>| 3517 | 0.00236  |    -     | 0.00222  |0.04749  |    -     |    -     |</t>
  </si>
  <si>
    <t>| 3518 | 0.00234  |    -     | 0.00225  |0.04659  |    -     |    -     |</t>
  </si>
  <si>
    <t>| 3519 | 0.00236  |    -     | 0.00220  |0.04367  |    -     |    -     |</t>
  </si>
  <si>
    <t>| 3520 | 0.00230  |    -     | 0.00217  |0.04735  |    -     |    -     |</t>
  </si>
  <si>
    <t>| 3521 | 0.00226  |    -     | 0.00209  |0.04736  |    -     |    -     |</t>
  </si>
  <si>
    <t>| 3522 | 0.00238  |    -     | 0.00215  |0.04742  |    -     |    -     |</t>
  </si>
  <si>
    <t>| 3523 | 0.00241  |    -     | 0.00224  |0.04736  |    -     |    -     |</t>
  </si>
  <si>
    <t>| 3524 | 0.00235  |    -     | 0.00228  |0.04752  |    -     |    -     |</t>
  </si>
  <si>
    <t>| 3525 | 0.00233  |    -     | 0.00222  |0.04749  |    -     |    -     |</t>
  </si>
  <si>
    <t>| 3526 | 0.00233  |    -     | 0.00222  |0.04746  |    -     |    -     |</t>
  </si>
  <si>
    <t>| 3527 | 0.00231  |    -     | 0.00226  |0.04585  |    -     |    -     |</t>
  </si>
  <si>
    <t>| 3528 | 0.00235  |    -     | 0.00224  |0.04752  |    -     |    -     |</t>
  </si>
  <si>
    <t>| 3529 | 0.00236  |    -     | 0.00221  |0.04750  |    -     |    -     |</t>
  </si>
  <si>
    <t>| 3530 | 0.00230  |    -     | 0.00220  |0.04747  |    -     |    -     |</t>
  </si>
  <si>
    <t>| 3531 | 0.00237  |    -     | 0.00221  |0.04746  |    -     |    -     |</t>
  </si>
  <si>
    <t>| 3532 | 0.00235  |    -     | 0.00217  |0.04403  |    -     |    -     |</t>
  </si>
  <si>
    <t>| 3533 | 0.00238  |    -     | 0.00212  |0.04749  |    -     |    -     |</t>
  </si>
  <si>
    <t>| 3534 | 0.00236  |    -     | 0.00217  |0.04742  |    -     |    -     |</t>
  </si>
  <si>
    <t>| 3535 | 0.00230  |    -     | 0.00221  |0.04746  |    -     |    -     |</t>
  </si>
  <si>
    <t>| 3536 | 0.00234  |    -     | 0.00221  |0.04412  |    -     |    -     |</t>
  </si>
  <si>
    <t>| 3537 | 0.00231  |    -     | 0.00227  |0.04744  |    -     |    -     |</t>
  </si>
  <si>
    <t>| 3538 | 0.00244  |    -     | 0.00220  |0.04747  |    -     |    -     |</t>
  </si>
  <si>
    <t>| 3539 | 0.00234  |    -     | 0.00217  |0.04733  |    -     |    -     |</t>
  </si>
  <si>
    <t>| 3540 | 0.00228  |    -     | 0.00215  |0.04017  |    -     |    -     |</t>
  </si>
  <si>
    <t>| 3541 | 0.00243  |    -     | 0.00222  |0.03566  |    -     |    -     |</t>
  </si>
  <si>
    <t>| 3542 | 0.00242  |    -     | 0.00229  |0.04750  |    -     |    -     |</t>
  </si>
  <si>
    <t>| 3543 | 0.00233  |    -     | 0.00222  |0.04748  |    -     |    -     |</t>
  </si>
  <si>
    <t>| 3544 | 0.00238  |    -     | 0.00220  |0.04744  |    -     |    -     |</t>
  </si>
  <si>
    <t>| 3545 | 0.00236  |    -     | 0.00224  |0.04749  |    -     |    -     |</t>
  </si>
  <si>
    <t>| 3546 | 0.00236  |    -     | 0.00224  |0.04752  |    -     |    -     |</t>
  </si>
  <si>
    <t>| 3547 | 0.00233  |    -     | 0.00228  |0.04712  |    -     |    -     |</t>
  </si>
  <si>
    <t>| 3548 | 0.00229  |    -     | 0.00220  |0.04751  |    -     |    -     |</t>
  </si>
  <si>
    <t>| 3549 | 0.00239  |    -     | 0.00220  |0.04749  |    -     |    -     |</t>
  </si>
  <si>
    <t>| 3550 | 0.00226  |    -     | 0.00227  |0.04757  |    -     |    -     |</t>
  </si>
  <si>
    <t>| 3551 | 0.00249  |    -     | 0.00202  |0.04394  |    -     |    -     |</t>
  </si>
  <si>
    <t>| 3552 | 0.00226  |    -     | 0.00224  |0.04155  |    -     |    -     |</t>
  </si>
  <si>
    <t>| 3553 | 0.00258  |    -     | 0.00237  |0.04574  |    -     |    -     |</t>
  </si>
  <si>
    <t>| 3554 | 0.00237  |    -     | 0.00223  |0.04748  |    -     |    -     |</t>
  </si>
  <si>
    <t>| 3555 | 0.00235  |    -     | 0.00227  |0.04666  |    -     |    -     |</t>
  </si>
  <si>
    <t>| 3556 | 0.00235  |    -     | 0.00223  |0.04738  |    -     |    -     |</t>
  </si>
  <si>
    <t>| 3557 | 0.00235  |    -     | 0.00222  |0.04737  |    -     |    -     |</t>
  </si>
  <si>
    <t>| 3558 | 0.00229  |    -     | 0.00224  |0.04749  |    -     |    -     |</t>
  </si>
  <si>
    <t>| 3559 | 0.00233  |    -     | 0.00231  |0.04744  |    -     |    -     |</t>
  </si>
  <si>
    <t>| 3560 | 0.00222  |    -     | 0.00210  |0.04735  |    -     |    -     |</t>
  </si>
  <si>
    <t>| 3561 | 0.00238  |    -     | 0.00224  |0.04653  |    -     |    -     |</t>
  </si>
  <si>
    <t>| 3562 | 0.00238  |    -     | 0.00224  |0.04384  |    -     |    -     |</t>
  </si>
  <si>
    <t>| 3563 | 0.00231  |    -     | 0.00207  |0.04732  |    -     |    -     |</t>
  </si>
  <si>
    <t>| 3564 | 0.00228  |    -     | 0.00209  |0.04739  |    -     |    -     |</t>
  </si>
  <si>
    <t>| 3565 | 0.00237  |    -     | 0.00228  |0.04748  |    -     |    -     |</t>
  </si>
  <si>
    <t>| 3566 | 0.00218  |    -     | 0.00208  |0.04202  |    -     |    -     |</t>
  </si>
  <si>
    <t>| 3567 | 0.00236  |    -     | 0.00224  |0.04744  |    -     |    -     |</t>
  </si>
  <si>
    <t>| 3568 | 0.00231  |    -     | 0.00217  |0.04747  |    -     |    -     |</t>
  </si>
  <si>
    <t>| 3569 | 0.00232  |    -     | 0.00219  |0.04747  |    -     |    -     |</t>
  </si>
  <si>
    <t>| 3570 | 0.00235  |    -     | 0.00220  |0.04738  |    -     |    -     |</t>
  </si>
  <si>
    <t>| 3571 | 0.00240  |    -     | 0.00224  |0.04743  |    -     |    -     |</t>
  </si>
  <si>
    <t>| 3572 | 0.00227  |    -     | 0.00218  |0.04742  |    -     |    -     |</t>
  </si>
  <si>
    <t>| 3573 | 0.00244  |    -     | 0.00229  |0.04756  |    -     |    -     |</t>
  </si>
  <si>
    <t>| 3574 | 0.00231  |    -     | 0.00221  |0.04747  |    -     |    -     |</t>
  </si>
  <si>
    <t>| 3575 | 0.00235  |    -     | 0.00218  |0.04747  |    -     |    -     |</t>
  </si>
  <si>
    <t>| 3576 | 0.00236  |    -     | 0.00226  |0.04738  |    -     |    -     |</t>
  </si>
  <si>
    <t>| 3577 | 0.00238  |    -     | 0.00223  |0.04740  |    -     |    -     |</t>
  </si>
  <si>
    <t>| 3578 | 0.00239  |    -     | 0.00222  |0.04749  |    -     |    -     |</t>
  </si>
  <si>
    <t>| 3579 | 0.00237  |    -     | 0.00219  |0.04747  |    -     |    -     |</t>
  </si>
  <si>
    <t>| 3580 | 0.00232  |    -     | 0.00219  |0.04348  |    -     |    -     |</t>
  </si>
  <si>
    <t>| 3581 | 0.00235  |    -     | 0.00218  |0.04746  |    -     |    -     |</t>
  </si>
  <si>
    <t>| 3582 | 0.00231  |    -     | 0.00224  |0.04754  |    -     |    -     |</t>
  </si>
  <si>
    <t>| 3583 | 0.00238  |    -     | 0.00223  |0.04753  |    -     |    -     |</t>
  </si>
  <si>
    <t>| 3584 | 0.00238  |    -     | 0.00220  |0.04746  |    -     |    -     |</t>
  </si>
  <si>
    <t>| 3585 | 0.00233  |    -     | 0.00221  |0.04737  |    -     |    -     |</t>
  </si>
  <si>
    <t>| 3586 | 0.00236  |    -     | 0.00224  |0.04351  |    -     |    -     |</t>
  </si>
  <si>
    <t>| 3587 | 0.00234  |    -     | 0.00220  |0.04742  |    -     |    -     |</t>
  </si>
  <si>
    <t>| 3588 | 0.00233  |    -     | 0.00221  |0.03947  |    -     |    -     |</t>
  </si>
  <si>
    <t>| 3589 | 0.00237  |    -     | 0.00212  |0.04738  |    -     |    -     |</t>
  </si>
  <si>
    <t>| 3590 | 0.00224  |    -     | 0.00213  |0.04744  |    -     |    -     |</t>
  </si>
  <si>
    <t>| 3591 | 0.00241  |    -     | 0.00225  |0.04748  |    -     |    -     |</t>
  </si>
  <si>
    <t>| 3592 | 0.00228  |    -     | 0.00222  |0.04745  |    -     |    -     |</t>
  </si>
  <si>
    <t>| 3593 | 0.00239  |    -     | 0.00223  |0.04746  |    -     |    -     |</t>
  </si>
  <si>
    <t>| 3594 | 0.00232  |    -     | 0.00223  |0.04750  |    -     |    -     |</t>
  </si>
  <si>
    <t>| 3595 | 0.00238  |    -     | 0.00231  |0.04748  |    -     |    -     |</t>
  </si>
  <si>
    <t>| 3596 | 0.00238  |    -     | 0.00222  |0.04618  |    -     |    -     |</t>
  </si>
  <si>
    <t>| 3597 | 0.00229  |    -     | 0.00220  |0.04743  |    -     |    -     |</t>
  </si>
  <si>
    <t>| 3598 | 0.00233  |    -     | 0.00222  |0.04745  |    -     |    -     |</t>
  </si>
  <si>
    <t>| 3599 | 0.00219  |    -     | 0.00207  |0.04727  |    -     |    -     |</t>
  </si>
  <si>
    <t>| 3600 | 0.00221  |    -     | 0.00208  |0.04742  |    -     |    -     |</t>
  </si>
  <si>
    <t>| 3601 | 0.00230  |    -     | 0.00222  |0.04741  |    -     |    -     |</t>
  </si>
  <si>
    <t>| 3602 | 0.00221  |    -     | 0.00210  |0.04733  |    -     |    -     |</t>
  </si>
  <si>
    <t>| 3603 | 0.00221  |    -     | 0.00209  |0.04735  |    -     |    -     |</t>
  </si>
  <si>
    <t>| 3604 | 0.00237  |    -     | 0.00219  |0.04748  |    -     |    -     |</t>
  </si>
  <si>
    <t>| 3605 | 0.00223  |    -     | 0.00226  |0.04749  |    -     |    -     |</t>
  </si>
  <si>
    <t>| 3606 | 0.00224  |    -     | 0.00215  |0.04746  |    -     |    -     |</t>
  </si>
  <si>
    <t>| 3607 | 0.00235  |    -     | 0.00216  |0.04748  |    -     |    -     |</t>
  </si>
  <si>
    <t>| 3608 | 0.00236  |    -     | 0.00225  |0.04751  |    -     |    -     |</t>
  </si>
  <si>
    <t>| 3609 | 0.00234  |    -     | 0.00217  |0.04483  |    -     |    -     |</t>
  </si>
  <si>
    <t>| 3610 | 0.00219  |    -     | 0.00222  |0.04395  |    -     |    -     |</t>
  </si>
  <si>
    <t>| 3611 | 0.00232  |    -     | 0.00214  |0.04111  |    -     |    -     |</t>
  </si>
  <si>
    <t>| 3612 | 0.00237  |    -     | 0.00219  |0.04725  |    -     |    -     |</t>
  </si>
  <si>
    <t>| 3613 | 0.00232  |    -     | 0.00224  |0.04565  |    -     |    -     |</t>
  </si>
  <si>
    <t>| 3614 | 0.00228  |    -     | 0.00223  |0.04745  |    -     |    -     |</t>
  </si>
  <si>
    <t>| 3615 | 0.00236  |    -     | 0.00224  |0.03996  |    -     |    -     |</t>
  </si>
  <si>
    <t>| 3616 | 0.00232  |    -     | 0.00223  |0.04743  |    -     |    -     |</t>
  </si>
  <si>
    <t>| 3617 | 0.00228  |    -     | 0.00229  |0.04742  |    -     |    -     |</t>
  </si>
  <si>
    <t>| 3618 | 0.00237  |    -     | 0.00225  |0.04745  |    -     |    -     |</t>
  </si>
  <si>
    <t>| 3619 | 0.00235  |    -     | 0.00220  |0.04739  |    -     |    -     |</t>
  </si>
  <si>
    <t>| 3620 | 0.00241  |    -     | 0.00221  |0.04732  |    -     |    -     |</t>
  </si>
  <si>
    <t>| 3621 | 0.00233  |    -     | 0.00219  |0.04739  |    -     |    -     |</t>
  </si>
  <si>
    <t>| 3622 | 0.00236  |    -     | 0.00224  |0.04754  |    -     |    -     |</t>
  </si>
  <si>
    <t>| 3623 | 0.00238  |    -     | 0.00222  |0.04748  |    -     |    -     |</t>
  </si>
  <si>
    <t>| 3624 | 0.00237  |    -     | 0.00229  |0.04752  |    -     |    -     |</t>
  </si>
  <si>
    <t>| 3625 | 0.00234  |    -     | 0.00219  |0.04743  |    -     |    -     |</t>
  </si>
  <si>
    <t>| 3626 | 0.00235  |    -     | 0.00224  |0.04743  |    -     |    -     |</t>
  </si>
  <si>
    <t>| 3627 | 0.00234  |    -     | 0.00227  |0.04746  |    -     |    -     |</t>
  </si>
  <si>
    <t>| 3628 | 0.00234  |    -     | 0.00221  |0.04748  |    -     |    -     |</t>
  </si>
  <si>
    <t>| 3629 | 0.00234  |    -     | 0.00222  |0.04747  |    -     |    -     |</t>
  </si>
  <si>
    <t>| 3630 | 0.00229  |    -     | 0.00217  |0.04740  |    -     |    -     |</t>
  </si>
  <si>
    <t>| 3631 | 0.00235  |    -     | 0.00228  |0.04090  |    -     |    -     |</t>
  </si>
  <si>
    <t>| 3632 | 0.00200  |    -     | 0.00226  |0.04743  |    -     |    -     |</t>
  </si>
  <si>
    <t>| 3633 | 0.00224  |    -     | 0.00224  |0.04743  |    -     |    -     |</t>
  </si>
  <si>
    <t>| 3634 | 0.00226  |    -     | 0.00224  |0.04752  |    -     |    -     |</t>
  </si>
  <si>
    <t>| 3635 | 0.00236  |    -     | 0.00220  |0.04749  |    -     |    -     |</t>
  </si>
  <si>
    <t>| 3636 | 0.00233  |    -     | 0.00224  |0.04734  |    -     |    -     |</t>
  </si>
  <si>
    <t>| 3637 | 0.00229  |    -     | 0.00219  |0.04736  |    -     |    -     |</t>
  </si>
  <si>
    <t>| 3638 | 0.00241  |    -     | 0.00222  |0.04747  |    -     |    -     |</t>
  </si>
  <si>
    <t>| 3639 | 0.00236  |    -     | 0.00220  |0.04747  |    -     |    -     |</t>
  </si>
  <si>
    <t>| 3640 | 0.00229  |    -     | 0.00223  |0.04778  |    -     |    -     |</t>
  </si>
  <si>
    <t>| 3641 | 0.00244  |    -     | 0.00233  |0.03657  |    -     |    -     |</t>
  </si>
  <si>
    <t>| 3642 | 0.00233  |    -     | 0.00226  |0.04746  |    -     |    -     |</t>
  </si>
  <si>
    <t>| 3643 | 0.00234  |    -     | 0.00223  |0.04747  |    -     |    -     |</t>
  </si>
  <si>
    <t>| 3644 | 0.00235  |    -     | 0.00223  |0.04748  |    -     |    -     |</t>
  </si>
  <si>
    <t>| 3645 | 0.00232  |    -     | 0.00220  |0.04748  |    -     |    -     |</t>
  </si>
  <si>
    <t>| 3646 | 0.00237  |    -     | 0.00222  |0.04539  |    -     |    -     |</t>
  </si>
  <si>
    <t>| 3647 | 0.00233  |    -     | 0.00222  |0.04741  |    -     |    -     |</t>
  </si>
  <si>
    <t>| 3648 | 0.00239  |    -     | 0.00225  |0.04747  |    -     |    -     |</t>
  </si>
  <si>
    <t>| 3649 | 0.00230  |    -     | 0.00225  |0.04743  |    -     |    -     |</t>
  </si>
  <si>
    <t>| 3650 | 0.00235  |    -     | 0.00215  |0.04742  |    -     |    -     |</t>
  </si>
  <si>
    <t>| 3651 | 0.00237  |    -     | 0.00227  |0.04753  |    -     |    -     |</t>
  </si>
  <si>
    <t>| 3652 | 0.00233  |    -     | 0.00220  |0.04747  |    -     |    -     |</t>
  </si>
  <si>
    <t>| 3653 | 0.00233  |    -     | 0.00225  |0.04529  |    -     |    -     |</t>
  </si>
  <si>
    <t>| 3654 | 0.00234  |    -     | 0.00219  |0.04736  |    -     |    -     |</t>
  </si>
  <si>
    <t>| 3655 | 0.00232  |    -     | 0.00223  |0.04738  |    -     |    -     |</t>
  </si>
  <si>
    <t>| 3656 | 0.00234  |    -     | 0.00217  |0.04743  |    -     |    -     |</t>
  </si>
  <si>
    <t>| 3657 | 0.00233  |    -     | 0.00222  |0.04751  |    -     |    -     |</t>
  </si>
  <si>
    <t>| 3658 | 0.00236  |    -     | 0.00219  |0.04091  |    -     |    -     |</t>
  </si>
  <si>
    <t>| 3659 | 0.00230  |    -     | 0.00219  |0.04744  |    -     |    -     |</t>
  </si>
  <si>
    <t>| 3660 | 0.00231  |    -     | 0.00222  |0.04735  |    -     |    -     |</t>
  </si>
  <si>
    <t>| 3661 | 0.00235  |    -     | 0.00220  |0.04749  |    -     |    -     |</t>
  </si>
  <si>
    <t>| 3662 | 0.00235  |    -     | 0.00218  |0.04743  |    -     |    -     |</t>
  </si>
  <si>
    <t>| 3663 | 0.00232  |    -     | 0.00220  |0.04746  |    -     |    -     |</t>
  </si>
  <si>
    <t>| 3664 | 0.00237  |    -     | 0.00222  |0.04750  |    -     |    -     |</t>
  </si>
  <si>
    <t>| 3665 | 0.00231  |    -     | 0.00220  |0.04381  |    -     |    -     |</t>
  </si>
  <si>
    <t>| 3666 | 0.00240  |    -     | 0.00225  |0.04751  |    -     |    -     |</t>
  </si>
  <si>
    <t>| 3667 | 0.00235  |    -     | 0.00226  |0.04748  |    -     |    -     |</t>
  </si>
  <si>
    <t>| 3668 | 0.00235  |    -     | 0.00224  |0.04749  |    -     |    -     |</t>
  </si>
  <si>
    <t>| 3669 | 0.00233  |    -     | 0.00223  |0.04244  |    -     |    -     |</t>
  </si>
  <si>
    <t>| 3670 | 0.00247  |    -     | 0.00220  |0.04605  |    -     |    -     |</t>
  </si>
  <si>
    <t>| 3671 | 0.00236  |    -     | 0.00214  |0.04746  |    -     |    -     |</t>
  </si>
  <si>
    <t>| 3672 | 0.00229  |    -     | 0.00226  |0.04749  |    -     |    -     |</t>
  </si>
  <si>
    <t>| 3673 | 0.00233  |    -     | 0.00222  |0.04749  |    -     |    -     |</t>
  </si>
  <si>
    <t>| 3674 | 0.00236  |    -     | 0.00267  |0.04643  |    -     |    -     |</t>
  </si>
  <si>
    <t>| 3675 | 0.00248  |    -     | 0.00223  |0.04744  |    -     |    -     |</t>
  </si>
  <si>
    <t>| 3676 | 0.00242  |    -     | 0.00225  |0.04754  |    -     |    -     |</t>
  </si>
  <si>
    <t>| 3677 | 0.00236  |    -     | 0.00223  |0.04750  |    -     |    -     |</t>
  </si>
  <si>
    <t>| 3678 | 0.00248  |    -     | 0.00225  |0.04744  |    -     |    -     |</t>
  </si>
  <si>
    <t>| 3679 | 0.00231  |    -     | 0.00222  |0.04740  |    -     |    -     |</t>
  </si>
  <si>
    <t>| 3680 | 0.00238  |    -     | 0.00225  |0.04737  |    -     |    -     |</t>
  </si>
  <si>
    <t>| 3681 | 0.00242  |    -     | 0.00224  |0.04747  |    -     |    -     |</t>
  </si>
  <si>
    <t>| 3682 | 0.00238  |    -     | 0.00221  |0.04748  |    -     |    -     |</t>
  </si>
  <si>
    <t>| 3683 | 0.00233  |    -     | 0.00221  |0.04747  |    -     |    -     |</t>
  </si>
  <si>
    <t>| 3684 | 0.00234  |    -     | 0.00221  |0.04740  |    -     |    -     |</t>
  </si>
  <si>
    <t>| 3685 | 0.00235  |    -     | 0.00224  |0.04747  |    -     |    -     |</t>
  </si>
  <si>
    <t>| 3686 | 0.00236  |    -     | 0.00222  |0.04739  |    -     |    -     |</t>
  </si>
  <si>
    <t>| 3687 | 0.00233  |    -     | 0.00225  |0.04749  |    -     |    -     |</t>
  </si>
  <si>
    <t>| 3688 | 0.00234  |    -     | 0.00222  |0.04748  |    -     |    -     |</t>
  </si>
  <si>
    <t>| 3689 | 0.00236  |    -     | 0.00217  |0.04710  |    -     |    -     |</t>
  </si>
  <si>
    <t>| 3690 | 0.00254  |    -     | 0.00229  |0.04497  |    -     |    -     |</t>
  </si>
  <si>
    <t>| 3691 | 0.00229  |    -     | 0.00223  |0.04704  |    -     |    -     |</t>
  </si>
  <si>
    <t>| 3692 | 0.00235  |    -     | 0.00223  |0.04638  |    -     |    -     |</t>
  </si>
  <si>
    <t>| 3693 | 0.00229  |    -     | 0.00218  |0.04409  |    -     |    -     |</t>
  </si>
  <si>
    <t>| 3694 | 0.00235  |    -     | 0.00222  |0.04744  |    -     |    -     |</t>
  </si>
  <si>
    <t>| 3695 | 0.00230  |    -     | 0.00225  |0.04398  |    -     |    -     |</t>
  </si>
  <si>
    <t>| 3696 | 0.00239  |    -     | 0.00224  |0.04618  |    -     |    -     |</t>
  </si>
  <si>
    <t>| 3697 | 0.00223  |    -     | 0.00209  |0.04737  |    -     |    -     |</t>
  </si>
  <si>
    <t>| 3698 | 0.00248  |    -     | 0.00228  |0.04750  |    -     |    -     |</t>
  </si>
  <si>
    <t>| 3699 | 0.00238  |    -     | 0.00222  |0.04740  |    -     |    -     |</t>
  </si>
  <si>
    <t>| 3700 | 0.00234  |    -     | 0.00222  |0.04466  |    -     |    -     |</t>
  </si>
  <si>
    <t>| 3701 | 0.00241  |    -     | 0.00225  |0.04735  |    -     |    -     |</t>
  </si>
  <si>
    <t>| 3702 | 0.00221  |    -     | 0.00219  |0.04747  |    -     |    -     |</t>
  </si>
  <si>
    <t>| 3703 | 0.00238  |    -     | 0.00222  |0.04742  |    -     |    -     |</t>
  </si>
  <si>
    <t>| 3704 | 0.00225  |    -     | 0.00217  |0.04752  |    -     |    -     |</t>
  </si>
  <si>
    <t>| 3705 | 0.00245  |    -     | 0.00228  |0.04751  |    -     |    -     |</t>
  </si>
  <si>
    <t>| 3706 | 0.00244  |    -     | 0.00228  |0.04749  |    -     |    -     |</t>
  </si>
  <si>
    <t>| 3707 | 0.00226  |    -     | 0.00212  |0.04729  |    -     |    -     |</t>
  </si>
  <si>
    <t>| 3708 | 0.00230  |    -     | 0.00210  |0.04737  |    -     |    -     |</t>
  </si>
  <si>
    <t>| 3709 | 0.00248  |    -     | 0.00214  |0.04739  |    -     |    -     |</t>
  </si>
  <si>
    <t>| 3710 | 0.00240  |    -     | 0.00224  |0.04743  |    -     |    -     |</t>
  </si>
  <si>
    <t>| 3711 | 0.00234  |    -     | 0.00223  |0.04742  |    -     |    -     |</t>
  </si>
  <si>
    <t>| 3712 | 0.00233  |    -     | 0.00222  |0.04750  |    -     |    -     |</t>
  </si>
  <si>
    <t>| 3713 | 0.00237  |    -     | 0.00226  |0.04718  |    -     |    -     |</t>
  </si>
  <si>
    <t>| 3714 | 0.00236  |    -     | 0.00223  |0.04748  |    -     |    -     |</t>
  </si>
  <si>
    <t>| 3715 | 0.00231  |    -     | 0.00219  |0.04743  |    -     |    -     |</t>
  </si>
  <si>
    <t>| 3716 | 0.00237  |    -     | 0.00225  |0.04747  |    -     |    -     |</t>
  </si>
  <si>
    <t>| 3717 | 0.00235  |    -     | 0.00223  |0.04748  |    -     |    -     |</t>
  </si>
  <si>
    <t>| 3718 | 0.00236  |    -     | 0.00218  |0.04525  |    -     |    -     |</t>
  </si>
  <si>
    <t>| 3719 | 0.00237  |    -     | 0.00224  |0.04607  |    -     |    -     |</t>
  </si>
  <si>
    <t>| 3720 | 0.00235  |    -     | 0.00226  |0.04742  |    -     |    -     |</t>
  </si>
  <si>
    <t>| 3721 | 0.00237  |    -     | 0.00224  |0.04749  |    -     |    -     |</t>
  </si>
  <si>
    <t>| 3722 | 0.00239  |    -     | 0.00221  |0.04748  |    -     |    -     |</t>
  </si>
  <si>
    <t>| 3723 | 0.00232  |    -     | 0.00223  |0.04747  |    -     |    -     |</t>
  </si>
  <si>
    <t>| 3724 | 0.00232  |    -     | 0.00220  |0.04747  |    -     |    -     |</t>
  </si>
  <si>
    <t>| 3725 | 0.00232  |    -     | 0.00223  |0.04747  |    -     |    -     |</t>
  </si>
  <si>
    <t>| 3726 | 0.00238  |    -     | 0.00221  |0.04742  |    -     |    -     |</t>
  </si>
  <si>
    <t>| 3727 | 0.00226  |    -     | 0.00229  |0.04142  |    -     |    -     |</t>
  </si>
  <si>
    <t>| 3728 | 0.00233  |    -     | 0.00222  |0.04462  |    -     |    -     |</t>
  </si>
  <si>
    <t>| 3729 | 0.00241  |    -     | 0.00221  |0.04748  |    -     |    -     |</t>
  </si>
  <si>
    <t>| 3730 | 0.00233  |    -     | 0.00224  |0.04746  |    -     |    -     |</t>
  </si>
  <si>
    <t>| 3731 | 0.00221  |    -     | 0.00210  |0.04729  |    -     |    -     |</t>
  </si>
  <si>
    <t>| 3732 | 0.00241  |    -     | 0.00228  |0.04751  |    -     |    -     |</t>
  </si>
  <si>
    <t>| 3733 | 0.00232  |    -     | 0.00227  |0.04746  |    -     |    -     |</t>
  </si>
  <si>
    <t>| 3734 | 0.00237  |    -     | 0.00221  |0.04748  |    -     |    -     |</t>
  </si>
  <si>
    <t>| 3735 | 0.00231  |    -     | 0.00213  |0.04750  |    -     |    -     |</t>
  </si>
  <si>
    <t>| 3736 | 0.00221  |    -     | 0.00214  |0.04728  |    -     |    -     |</t>
  </si>
  <si>
    <t>| 3737 | 0.00225  |    -     | 0.00213  |0.04756  |    -     |    -     |</t>
  </si>
  <si>
    <t>| 3738 | 0.00238  |    -     | 0.00227  |0.04747  |    -     |    -     |</t>
  </si>
  <si>
    <t>| 3739 | 0.00232  |    -     | 0.00216  |0.04592  |    -     |    -     |</t>
  </si>
  <si>
    <t>| 3740 | 0.00228  |    -     | 0.00220  |0.04744  |    -     |    -     |</t>
  </si>
  <si>
    <t>| 3741 | 0.00250  |    -     | 0.00229  |0.04745  |    -     |    -     |</t>
  </si>
  <si>
    <t>| 3742 | 0.00242  |    -     | 0.00224  |0.04744  |    -     |    -     |</t>
  </si>
  <si>
    <t>| 3743 | 0.00242  |    -     | 0.00227  |0.04743  |    -     |    -     |</t>
  </si>
  <si>
    <t>| 3744 | 0.00237  |    -     | 0.00224  |0.04744  |    -     |    -     |</t>
  </si>
  <si>
    <t>| 3745 | 0.00239  |    -     | 0.00221  |0.04751  |    -     |    -     |</t>
  </si>
  <si>
    <t>| 3746 | 0.00240  |    -     | 0.00231  |0.04746  |    -     |    -     |</t>
  </si>
  <si>
    <t>| 3747 | 0.00238  |    -     | 0.00222  |0.04742  |    -     |    -     |</t>
  </si>
  <si>
    <t>| 3748 | 0.00245  |    -     | 0.00229  |0.04748  |    -     |    -     |</t>
  </si>
  <si>
    <t>| 3749 | 0.00238  |    -     | 0.00225  |0.04752  |    -     |    -     |</t>
  </si>
  <si>
    <t>| 3750 | 0.00235  |    -     | 0.00222  |0.04740  |    -     |    -     |</t>
  </si>
  <si>
    <t>| 3751 | 0.00232  |    -     | 0.00216  |0.04743  |    -     |    -     |</t>
  </si>
  <si>
    <t>| 3752 | 0.00239  |    -     | 0.00223  |0.04750  |    -     |    -     |</t>
  </si>
  <si>
    <t>| 3753 | 0.00234  |    -     | 0.00222  |0.04750  |    -     |    -     |</t>
  </si>
  <si>
    <t>| 3754 | 0.00235  |    -     | 0.00223  |0.04745  |    -     |    -     |</t>
  </si>
  <si>
    <t>| 3755 | 0.00235  |    -     | 0.00213  |0.04752  |    -     |    -     |</t>
  </si>
  <si>
    <t>| 3756 | 0.00235  |    -     | 0.00222  |0.04753  |    -     |    -     |</t>
  </si>
  <si>
    <t>| 3757 | 0.00232  |    -     | 0.00224  |0.04744  |    -     |    -     |</t>
  </si>
  <si>
    <t>| 3758 | 0.00240  |    -     | 0.00221  |0.04044  |    -     |    -     |</t>
  </si>
  <si>
    <t>| 3759 | 0.00230  |    -     | 0.00219  |0.04743  |    -     |    -     |</t>
  </si>
  <si>
    <t>| 3760 | 0.00223  |    -     | 0.00210  |0.04734  |    -     |    -     |</t>
  </si>
  <si>
    <t>| 3761 | 0.00233  |    -     | 0.00224  |0.04742  |    -     |    -     |</t>
  </si>
  <si>
    <t>| 3762 | 0.00238  |    -     | 0.00217  |0.04749  |    -     |    -     |</t>
  </si>
  <si>
    <t>| 3763 | 0.00233  |    -     | 0.00224  |0.04391  |    -     |    -     |</t>
  </si>
  <si>
    <t>| 3764 | 0.00230  |    -     | 0.00221  |0.04740  |    -     |    -     |</t>
  </si>
  <si>
    <t>| 3765 | 0.00236  |    -     | 0.00222  |0.04748  |    -     |    -     |</t>
  </si>
  <si>
    <t>| 3766 | 0.00236  |    -     | 0.00221  |0.04766  |    -     |    -     |</t>
  </si>
  <si>
    <t>| 3767 | 0.00237  |    -     | 0.00226  |0.04752  |    -     |    -     |</t>
  </si>
  <si>
    <t>| 3768 | 0.00244  |    -     | 0.00224  |0.04751  |    -     |    -     |</t>
  </si>
  <si>
    <t>| 3769 | 0.00236  |    -     | 0.00226  |0.03991  |    -     |    -     |</t>
  </si>
  <si>
    <t>| 3770 | 0.00243  |    -     | 0.00215  |0.04720  |    -     |    -     |</t>
  </si>
  <si>
    <t>| 3771 | 0.00238  |    -     | 0.00226  |0.04750  |    -     |    -     |</t>
  </si>
  <si>
    <t>| 3772 | 0.00232  |    -     | 0.00228  |0.04745  |    -     |    -     |</t>
  </si>
  <si>
    <t>| 3773 | 0.00232  |    -     | 0.00224  |0.04748  |    -     |    -     |</t>
  </si>
  <si>
    <t>| 3774 | 0.00236  |    -     | 0.00217  |0.04123  |    -     |    -     |</t>
  </si>
  <si>
    <t>| 3775 | 0.00236  |    -     | 0.00224  |0.04748  |    -     |    -     |</t>
  </si>
  <si>
    <t>| 3776 | 0.00230  |    -     | 0.00228  |0.04750  |    -     |    -     |</t>
  </si>
  <si>
    <t>| 3777 | 0.00231  |    -     | 0.00223  |0.04749  |    -     |    -     |</t>
  </si>
  <si>
    <t>| 3778 | 0.00237  |    -     | 0.00221  |0.04268  |    -     |    -     |</t>
  </si>
  <si>
    <t>| 3779 | 0.00230  |    -     | 0.00221  |0.04748  |    -     |    -     |</t>
  </si>
  <si>
    <t>| 3780 | 0.00233  |    -     | 0.00220  |0.04748  |    -     |    -     |</t>
  </si>
  <si>
    <t>| 3781 | 0.00231  |    -     | 0.00223  |0.04745  |    -     |    -     |</t>
  </si>
  <si>
    <t>| 3782 | 0.00241  |    -     | 0.00225  |0.03977  |    -     |    -     |</t>
  </si>
  <si>
    <t>| 3783 | 0.00228  |    -     | 0.00221  |0.04741  |    -     |    -     |</t>
  </si>
  <si>
    <t>| 3784 | 0.00238  |    -     | 0.00223  |0.04749  |    -     |    -     |</t>
  </si>
  <si>
    <t>| 3785 | 0.00229  |    -     | 0.00221  |0.03969  |    -     |    -     |</t>
  </si>
  <si>
    <t>| 3786 | 0.00245  |    -     | 0.00227  |0.04062  |    -     |    -     |</t>
  </si>
  <si>
    <t>| 3787 | 0.00242  |    -     | 0.00224  |0.04752  |    -     |    -     |</t>
  </si>
  <si>
    <t>| 3788 | 0.00249  |    -     | 0.00228  |0.04747  |    -     |    -     |</t>
  </si>
  <si>
    <t>| 3789 | 0.00235  |    -     | 0.00225  |0.04737  |    -     |    -     |</t>
  </si>
  <si>
    <t>| 3790 | 0.00235  |    -     | 0.00227  |0.04751  |    -     |    -     |</t>
  </si>
  <si>
    <t>| 3791 | 0.00234  |    -     | 0.00221  |0.04745  |    -     |    -     |</t>
  </si>
  <si>
    <t>| 3792 | 0.00229  |    -     | 0.00229  |0.04751  |    -     |    -     |</t>
  </si>
  <si>
    <t>| 3793 | 0.00233  |    -     | 0.00221  |0.03992  |    -     |    -     |</t>
  </si>
  <si>
    <t>| 3794 | 0.00219  |    -     | 0.00209  |0.04737  |    -     |    -     |</t>
  </si>
  <si>
    <t>| 3795 | 0.00238  |    -     | 0.00228  |0.04753  |    -     |    -     |</t>
  </si>
  <si>
    <t>| 3796 | 0.00235  |    -     | 0.00224  |0.04746  |    -     |    -     |</t>
  </si>
  <si>
    <t>| 3797 | 0.00230  |    -     | 0.00222  |0.04749  |    -     |    -     |</t>
  </si>
  <si>
    <t>| 3798 | 0.00235  |    -     | 0.00222  |0.04165  |    -     |    -     |</t>
  </si>
  <si>
    <t>| 3799 | 0.00235  |    -     | 0.00220  |0.04748  |    -     |    -     |</t>
  </si>
  <si>
    <t>| 3800 | 0.00236  |    -     | 0.00221  |0.04749  |    -     |    -     |</t>
  </si>
  <si>
    <t>| 3801 | 0.00235  |    -     | 0.00222  |0.04748  |    -     |    -     |</t>
  </si>
  <si>
    <t>| 3802 | 0.00240  |    -     | 0.00228  |0.04104  |    -     |    -     |</t>
  </si>
  <si>
    <t>| 3803 | 0.00235  |    -     | 0.00223  |0.04747  |    -     |    -     |</t>
  </si>
  <si>
    <t>| 3804 | 0.00237  |    -     | 0.00223  |0.04751  |    -     |    -     |</t>
  </si>
  <si>
    <t>| 3805 | 0.00233  |    -     | 0.00221  |0.04744  |    -     |    -     |</t>
  </si>
  <si>
    <t>| 3806 | 0.00233  |    -     | 0.00223  |0.04124  |    -     |    -     |</t>
  </si>
  <si>
    <t>| 3807 | 0.00242  |    -     | 0.00227  |0.04749  |    -     |    -     |</t>
  </si>
  <si>
    <t>| 3808 | 0.00236  |    -     | 0.00223  |0.04748  |    -     |    -     |</t>
  </si>
  <si>
    <t>| 3809 | 0.00242  |    -     | 0.00220  |0.04752  |    -     |    -     |</t>
  </si>
  <si>
    <t>| 3810 | 0.00237  |    -     | 0.00227  |0.04086  |    -     |    -     |</t>
  </si>
  <si>
    <t>| 3811 | 0.00230  |    -     | 0.00223  |0.04738  |    -     |    -     |</t>
  </si>
  <si>
    <t>| 3812 | 0.00225  |    -     | 0.00210  |0.04737  |    -     |    -     |</t>
  </si>
  <si>
    <t>| 3813 | 0.00234  |    -     | 0.00223  |0.04748  |    -     |    -     |</t>
  </si>
  <si>
    <t>| 3814 | 0.00236  |    -     | 0.00222  |0.04160  |    -     |    -     |</t>
  </si>
  <si>
    <t>| 3815 | 0.00233  |    -     | 0.00230  |0.04748  |    -     |    -     |</t>
  </si>
  <si>
    <t>| 3816 | 0.00234  |    -     | 0.00223  |0.04745  |    -     |    -     |</t>
  </si>
  <si>
    <t>| 3817 | 0.00233  |    -     | 0.00222  |0.04750  |    -     |    -     |</t>
  </si>
  <si>
    <t>| 3818 | 0.00237  |    -     | 0.00219  |0.04116  |    -     |    -     |</t>
  </si>
  <si>
    <t>| 3819 | 0.00236  |    -     | 0.00225  |0.04750  |    -     |    -     |</t>
  </si>
  <si>
    <t>| 3820 | 0.00237  |    -     | 0.00222  |0.04747  |    -     |    -     |</t>
  </si>
  <si>
    <t>| 3821 | 0.00233  |    -     | 0.00222  |0.04747  |    -     |    -     |</t>
  </si>
  <si>
    <t>| 3822 | 0.00236  |    -     | 0.00221  |0.04475  |    -     |    -     |</t>
  </si>
  <si>
    <t>| 3823 | 0.00243  |    -     | 0.00227  |0.04747  |    -     |    -     |</t>
  </si>
  <si>
    <t>| 3824 | 0.00227  |    -     | 0.00231  |0.04403  |    -     |    -     |</t>
  </si>
  <si>
    <t>| 3825 | 0.00233  |    -     | 0.00223  |0.04746  |    -     |    -     |</t>
  </si>
  <si>
    <t>| 3826 | 0.00240  |    -     | 0.00219  |0.03979  |    -     |    -     |</t>
  </si>
  <si>
    <t>| 3827 | 0.00236  |    -     | 0.00225  |0.04752  |    -     |    -     |</t>
  </si>
  <si>
    <t>| 3828 | 0.00235  |    -     | 0.00223  |0.04747  |    -     |    -     |</t>
  </si>
  <si>
    <t>| 3829 | 0.00234  |    -     | 0.00221  |0.04743  |    -     |    -     |</t>
  </si>
  <si>
    <t>| 3830 | 0.00239  |    -     | 0.00220  |0.04746  |    -     |    -     |</t>
  </si>
  <si>
    <t>| 3831 | 0.00230  |    -     | 0.00222  |0.04736  |    -     |    -     |</t>
  </si>
  <si>
    <t>| 3832 | 0.00239  |    -     | 0.00224  |0.04743  |    -     |    -     |</t>
  </si>
  <si>
    <t>| 3833 | 0.00233  |    -     | 0.00222  |0.04748  |    -     |    -     |</t>
  </si>
  <si>
    <t>| 3834 | 0.00242  |    -     | 0.00222  |0.04739  |    -     |    -     |</t>
  </si>
  <si>
    <t>| 3835 | 0.00228  |    -     | 0.00227  |0.04749  |    -     |    -     |</t>
  </si>
  <si>
    <t>| 3836 | 0.00254  |    -     | 0.00244  |0.04750  |    -     |    -     |</t>
  </si>
  <si>
    <t>| 3837 | 0.00239  |    -     | 0.00225  |0.04749  |    -     |    -     |</t>
  </si>
  <si>
    <t>| 3838 | 0.00249  |    -     | 0.00222  |0.04745  |    -     |    -     |</t>
  </si>
  <si>
    <t>| 3839 | 0.00237  |    -     | 0.00223  |0.04744  |    -     |    -     |</t>
  </si>
  <si>
    <t>| 3840 | 0.00239  |    -     | 0.00227  |0.04752  |    -     |    -     |</t>
  </si>
  <si>
    <t>| 3841 | 0.00236  |    -     | 0.00217  |0.04753  |    -     |    -     |</t>
  </si>
  <si>
    <t>| 3842 | 0.00237  |    -     | 0.00224  |0.04747  |    -     |    -     |</t>
  </si>
  <si>
    <t>| 3843 | 0.00232  |    -     | 0.00222  |0.04741  |    -     |    -     |</t>
  </si>
  <si>
    <t>| 3844 | 0.00234  |    -     | 0.00221  |0.04603  |    -     |    -     |</t>
  </si>
  <si>
    <t>| 3845 | 0.00238  |    -     | 0.00223  |0.03965  |    -     |    -     |</t>
  </si>
  <si>
    <t>| 3846 | 0.00236  |    -     | 0.00224  |0.03965  |    -     |    -     |</t>
  </si>
  <si>
    <t>| 3847 | 0.00228  |    -     | 0.00220  |0.04744  |    -     |    -     |</t>
  </si>
  <si>
    <t>| 3848 | 0.00232  |    -     | 0.00223  |0.04156  |    -     |    -     |</t>
  </si>
  <si>
    <t>| 3849 | 0.00224  |    -     | 0.00224  |0.04740  |    -     |    -     |</t>
  </si>
  <si>
    <t>| 3850 | 0.00230  |    -     | 0.00214  |0.04737  |    -     |    -     |</t>
  </si>
  <si>
    <t>| 3851 | 0.00219  |    -     | 0.00221  |0.04583  |    -     |    -     |</t>
  </si>
  <si>
    <t>| 3852 | 0.00236  |    -     | 0.00223  |0.04745  |    -     |    -     |</t>
  </si>
  <si>
    <t>| 3853 | 0.00223  |    -     | 0.00209  |0.04733  |    -     |    -     |</t>
  </si>
  <si>
    <t>| 3854 | 0.00240  |    -     | 0.00227  |0.04748  |    -     |    -     |</t>
  </si>
  <si>
    <t>| 3855 | 0.00235  |    -     | 0.00227  |0.04744  |    -     |    -     |</t>
  </si>
  <si>
    <t>| 3856 | 0.00230  |    -     | 0.00225  |0.04743  |    -     |    -     |</t>
  </si>
  <si>
    <t>| 3857 | 0.00236  |    -     | 0.00224  |0.04752  |    -     |    -     |</t>
  </si>
  <si>
    <t>| 3858 | 0.00238  |    -     | 0.00218  |0.04744  |    -     |    -     |</t>
  </si>
  <si>
    <t>| 3859 | 0.00237  |    -     | 0.00220  |0.04742  |    -     |    -     |</t>
  </si>
  <si>
    <t>| 3860 | 0.00235  |    -     | 0.00220  |0.04747  |    -     |    -     |</t>
  </si>
  <si>
    <t>| 3861 | 0.00330  |    -     | 0.00245  |0.04757  |    -     |    -     |</t>
  </si>
  <si>
    <t>| 3862 | 0.00249  |    -     | 0.00232  |0.04747  |    -     |    -     |</t>
  </si>
  <si>
    <t>| 3863 | 0.00233  |    -     | 0.00225  |0.04743  |    -     |    -     |</t>
  </si>
  <si>
    <t>| 3864 | 0.00232  |    -     | 0.00221  |0.04751  |    -     |    -     |</t>
  </si>
  <si>
    <t>| 3865 | 0.00234  |    -     | 0.00218  |0.04756  |    -     |    -     |</t>
  </si>
  <si>
    <t>| 3866 | 0.00248  |    -     | 0.00226  |0.04751  |    -     |    -     |</t>
  </si>
  <si>
    <t>| 3867 | 0.00240  |    -     | 0.00224  |0.04752  |    -     |    -     |</t>
  </si>
  <si>
    <t>| 3868 | 0.00235  |    -     | 0.00222  |0.04747  |    -     |    -     |</t>
  </si>
  <si>
    <t>| 3869 | 0.00234  |    -     | 0.00224  |0.03908  |    -     |    -     |</t>
  </si>
  <si>
    <t>| 3870 | 0.00238  |    -     | 0.00219  |0.04759  |    -     |    -     |</t>
  </si>
  <si>
    <t>| 3871 | 0.00193  |    -     | 0.00223  |0.04781  |    -     |    -     |</t>
  </si>
  <si>
    <t>| 3872 | 0.00239  |    -     | 0.00228  |0.04746  |    -     |    -     |</t>
  </si>
  <si>
    <t>| 3873 | 0.00238  |    -     | 0.00226  |0.04742  |    -     |    -     |</t>
  </si>
  <si>
    <t>| 3874 | 0.00241  |    -     | 0.00225  |0.04749  |    -     |    -     |</t>
  </si>
  <si>
    <t>| 3875 | 0.00232  |    -     | 0.00222  |0.04747  |    -     |    -     |</t>
  </si>
  <si>
    <t>| 3876 | 0.00235  |    -     | 0.00221  |0.04748  |    -     |    -     |</t>
  </si>
  <si>
    <t>| 3877 | 0.00233  |    -     | 0.00224  |0.04738  |    -     |    -     |</t>
  </si>
  <si>
    <t>| 3878 | 0.00242  |    -     | 0.00222  |0.04747  |    -     |    -     |</t>
  </si>
  <si>
    <t>| 3879 | 0.00241  |    -     | 0.00227  |0.04748  |    -     |    -     |</t>
  </si>
  <si>
    <t>| 3880 | 0.00233  |    -     | 0.00225  |0.04748  |    -     |    -     |</t>
  </si>
  <si>
    <t>| 3881 | 0.00233  |    -     | 0.00223  |0.04743  |    -     |    -     |</t>
  </si>
  <si>
    <t>| 3882 | 0.00237  |    -     | 0.00222  |0.04746  |    -     |    -     |</t>
  </si>
  <si>
    <t>| 3883 | 0.00232  |    -     | 0.00223  |0.03815  |    -     |    -     |</t>
  </si>
  <si>
    <t>| 3884 | 0.00226  |    -     | 0.00221  |0.04379  |    -     |    -     |</t>
  </si>
  <si>
    <t>| 3885 | 0.00236  |    -     | 0.00225  |0.04572  |    -     |    -     |</t>
  </si>
  <si>
    <t>| 3886 | 0.00239  |    -     | 0.00229  |0.04746  |    -     |    -     |</t>
  </si>
  <si>
    <t>| 3887 | 0.00232  |    -     | 0.00221  |0.04751  |    -     |    -     |</t>
  </si>
  <si>
    <t>| 3888 | 0.00234  |    -     | 0.00223  |0.04120  |    -     |    -     |</t>
  </si>
  <si>
    <t>| 3889 | 0.00228  |    -     | 0.00210  |0.04730  |    -     |    -     |</t>
  </si>
  <si>
    <t>| 3890 | 0.00228  |    -     | 0.00218  |0.04754  |    -     |    -     |</t>
  </si>
  <si>
    <t>| 3891 | 0.00234  |    -     | 0.00224  |0.04744  |    -     |    -     |</t>
  </si>
  <si>
    <t>| 3892 | 0.00220  |    -     | 0.00210  |0.04735  |    -     |    -     |</t>
  </si>
  <si>
    <t>| 3893 | 0.00236  |    -     | 0.00230  |0.04748  |    -     |    -     |</t>
  </si>
  <si>
    <t>| 3894 | 0.00244  |    -     | 0.00221  |0.04647  |    -     |    -     |</t>
  </si>
  <si>
    <t>| 3895 | 0.00233  |    -     | 0.00221  |0.04745  |    -     |    -     |</t>
  </si>
  <si>
    <t>| 3896 | 0.00235  |    -     | 0.00221  |0.04746  |    -     |    -     |</t>
  </si>
  <si>
    <t>| 3897 | 0.00231  |    -     | 0.00224  |0.04749  |    -     |    -     |</t>
  </si>
  <si>
    <t>| 3898 | 0.00238  |    -     | 0.00221  |0.04746  |    -     |    -     |</t>
  </si>
  <si>
    <t>| 3899 | 0.00231  |    -     | 0.00219  |0.04746  |    -     |    -     |</t>
  </si>
  <si>
    <t>| 3900 | 0.00234  |    -     | 0.00222  |0.04746  |    -     |    -     |</t>
  </si>
  <si>
    <t>| 3901 | 0.00235  |    -     | 0.00220  |0.04750  |    -     |    -     |</t>
  </si>
  <si>
    <t>| 3902 | 0.00232  |    -     | 0.00223  |0.04747  |    -     |    -     |</t>
  </si>
  <si>
    <t>| 3903 | 0.00232  |    -     | 0.00223  |0.04743  |    -     |    -     |</t>
  </si>
  <si>
    <t>| 3904 | 0.00229  |    -     | 0.00226  |0.04751  |    -     |    -     |</t>
  </si>
  <si>
    <t>| 3905 | 0.00246  |    -     | 0.00225  |0.04610  |    -     |    -     |</t>
  </si>
  <si>
    <t>| 3906 | 0.00237  |    -     | 0.00223  |0.04746  |    -     |    -     |</t>
  </si>
  <si>
    <t>| 3907 | 0.00233  |    -     | 0.00223  |0.04739  |    -     |    -     |</t>
  </si>
  <si>
    <t>| 3908 | 0.00233  |    -     | 0.00222  |0.04746  |    -     |    -     |</t>
  </si>
  <si>
    <t>| 3909 | 0.00237  |    -     | 0.00216  |0.04476  |    -     |    -     |</t>
  </si>
  <si>
    <t>| 3910 | 0.00236  |    -     | 0.00221  |0.04746  |    -     |    -     |</t>
  </si>
  <si>
    <t>| 3911 | 0.00234  |    -     | 0.00222  |0.04746  |    -     |    -     |</t>
  </si>
  <si>
    <t>| 3912 | 0.00231  |    -     | 0.00223  |0.04745  |    -     |    -     |</t>
  </si>
  <si>
    <t>| 3913 | 0.00224  |    -     | 0.00220  |0.04742  |    -     |    -     |</t>
  </si>
  <si>
    <t>| 3914 | 0.00238  |    -     | 0.00220  |0.04749  |    -     |    -     |</t>
  </si>
  <si>
    <t>| 3915 | 0.00239  |    -     | 0.00225  |0.04747  |    -     |    -     |</t>
  </si>
  <si>
    <t>| 3916 | 0.00232  |    -     | 0.00222  |0.04746  |    -     |    -     |</t>
  </si>
  <si>
    <t>| 3917 | 0.00234  |    -     | 0.00224  |0.04749  |    -     |    -     |</t>
  </si>
  <si>
    <t>| 3918 | 0.00236  |    -     | 0.00220  |0.04734  |    -     |    -     |</t>
  </si>
  <si>
    <t>| 3919 | 0.00225  |    -     | 0.00209  |0.04729  |    -     |    -     |</t>
  </si>
  <si>
    <t>| 3920 | 0.00223  |    -     | 0.00222  |0.04727  |    -     |    -     |</t>
  </si>
  <si>
    <t>| 3921 | 0.00236  |    -     | 0.00226  |0.04739  |    -     |    -     |</t>
  </si>
  <si>
    <t>| 3922 | 0.00234  |    -     | 0.00219  |0.04145  |    -     |    -     |</t>
  </si>
  <si>
    <t>| 3923 | 0.00232  |    -     | 0.00221  |0.04567  |    -     |    -     |</t>
  </si>
  <si>
    <t>| 3924 | 0.00243  |    -     | 0.00229  |0.04457  |    -     |    -     |</t>
  </si>
  <si>
    <t>| 3925 | 0.00238  |    -     | 0.00221  |0.04613  |    -     |    -     |</t>
  </si>
  <si>
    <t>| 3926 | 0.00237  |    -     | 0.00227  |0.04738  |    -     |    -     |</t>
  </si>
  <si>
    <t>| 3927 | 0.00230  |    -     | 0.00222  |0.04737  |    -     |    -     |</t>
  </si>
  <si>
    <t>| 3928 | 0.00233  |    -     | 0.00227  |0.04283  |    -     |    -     |</t>
  </si>
  <si>
    <t>| 3929 | 0.00252  |    -     | 0.00228  |0.04752  |    -     |    -     |</t>
  </si>
  <si>
    <t>| 3930 | 0.00236  |    -     | 0.00223  |0.04749  |    -     |    -     |</t>
  </si>
  <si>
    <t>| 3931 | 0.00237  |    -     | 0.00229  |0.04739  |    -     |    -     |</t>
  </si>
  <si>
    <t>| 3932 | 0.00236  |    -     | 0.00225  |0.04743  |    -     |    -     |</t>
  </si>
  <si>
    <t>| 3933 | 0.00236  |    -     | 0.00226  |0.04745  |    -     |    -     |</t>
  </si>
  <si>
    <t>| 3934 | 0.00241  |    -     | 0.00220  |0.03948  |    -     |    -     |</t>
  </si>
  <si>
    <t>| 3935 | 0.00232  |    -     | 0.00222  |0.04742  |    -     |    -     |</t>
  </si>
  <si>
    <t>| 3936 | 0.00236  |    -     | 0.00223  |0.04747  |    -     |    -     |</t>
  </si>
  <si>
    <t>| 3937 | 0.00232  |    -     | 0.00221  |0.04638  |    -     |    -     |</t>
  </si>
  <si>
    <t>| 3938 | 0.00247  |    -     | 0.00246  |0.04751  |    -     |    -     |</t>
  </si>
  <si>
    <t>| 3939 | 0.00245  |    -     | 0.00225  |0.04749  |    -     |    -     |</t>
  </si>
  <si>
    <t>| 3940 | 0.00235  |    -     | 0.00225  |0.04742  |    -     |    -     |</t>
  </si>
  <si>
    <t>| 3941 | 0.00244  |    -     | 0.00222  |0.04750  |    -     |    -     |</t>
  </si>
  <si>
    <t>| 3942 | 0.00232  |    -     | 0.00225  |0.04734  |    -     |    -     |</t>
  </si>
  <si>
    <t>| 3943 | 0.00226  |    -     | 0.00226  |0.04184  |    -     |    -     |</t>
  </si>
  <si>
    <t>| 3944 | 0.00234  |    -     | 0.00221  |0.04739  |    -     |    -     |</t>
  </si>
  <si>
    <t>| 3945 | 0.00245  |    -     | 0.00228  |0.04689  |    -     |    -     |</t>
  </si>
  <si>
    <t>| 3946 | 0.00239  |    -     | 0.00229  |0.04741  |    -     |    -     |</t>
  </si>
  <si>
    <t>| 3947 | 0.00235  |    -     | 0.00217  |0.04712  |    -     |    -     |</t>
  </si>
  <si>
    <t>| 3948 | 0.00231  |    -     | 0.00222  |0.03962  |    -     |    -     |</t>
  </si>
  <si>
    <t>| 3949 | 0.00249  |    -     | 0.00230  |0.04747  |    -     |    -     |</t>
  </si>
  <si>
    <t>| 3950 | 0.00236  |    -     | 0.00211  |0.04736  |    -     |    -     |</t>
  </si>
  <si>
    <t>| 3951 | 0.00235  |    -     | 0.00222  |0.04748  |    -     |    -     |</t>
  </si>
  <si>
    <t>| 3952 | 0.00242  |    -     | 0.00225  |0.04752  |    -     |    -     |</t>
  </si>
  <si>
    <t>| 3953 | 0.00232  |    -     | 0.00220  |0.04470  |    -     |    -     |</t>
  </si>
  <si>
    <t>| 3954 | 0.00254  |    -     | 0.00235  |0.04743  |    -     |    -     |</t>
  </si>
  <si>
    <t>| 3955 | 0.00233  |    -     | 0.00226  |0.04748  |    -     |    -     |</t>
  </si>
  <si>
    <t>| 3956 | 0.00221  |    -     | 0.00210  |0.04749  |    -     |    -     |</t>
  </si>
  <si>
    <t>| 3957 | 0.00241  |    -     | 0.00228  |0.04745  |    -     |    -     |</t>
  </si>
  <si>
    <t>| 3958 | 0.00236  |    -     | 0.00221  |0.04606  |    -     |    -     |</t>
  </si>
  <si>
    <t>| 3959 | 0.00238  |    -     | 0.00226  |0.04746  |    -     |    -     |</t>
  </si>
  <si>
    <t>| 3960 | 0.00237  |    -     | 0.00223  |0.04748  |    -     |    -     |</t>
  </si>
  <si>
    <t>| 3961 | 0.00234  |    -     | 0.00224  |0.04747  |    -     |    -     |</t>
  </si>
  <si>
    <t>| 3962 | 0.00234  |    -     | 0.00214  |0.04444  |    -     |    -     |</t>
  </si>
  <si>
    <t>| 3963 | 0.00244  |    -     | 0.00215  |0.04030  |    -     |    -     |</t>
  </si>
  <si>
    <t>| 3964 | 0.00237  |    -     | 0.00226  |0.04753  |    -     |    -     |</t>
  </si>
  <si>
    <t>| 3965 | 0.00249  |    -     | 0.00228  |0.04746  |    -     |    -     |</t>
  </si>
  <si>
    <t>| 3966 | 0.00236  |    -     | 0.00224  |0.04746  |    -     |    -     |</t>
  </si>
  <si>
    <t>| 3967 | 0.00231  |    -     | 0.00227  |0.04740  |    -     |    -     |</t>
  </si>
  <si>
    <t>| 3968 | 0.00237  |    -     | 0.00214  |0.04682  |    -     |    -     |</t>
  </si>
  <si>
    <t>| 3969 | 0.00236  |    -     | 0.00222  |0.04745  |    -     |    -     |</t>
  </si>
  <si>
    <t>| 3970 | 0.00243  |    -     | 0.00221  |0.04749  |    -     |    -     |</t>
  </si>
  <si>
    <t>| 3971 | 0.00233  |    -     | 0.00224  |0.04748  |    -     |    -     |</t>
  </si>
  <si>
    <t>| 3972 | 0.00234  |    -     | 0.00220  |0.04618  |    -     |    -     |</t>
  </si>
  <si>
    <t>| 3973 | 0.00246  |    -     | 0.00223  |0.04749  |    -     |    -     |</t>
  </si>
  <si>
    <t>| 3974 | 0.00237  |    -     | 0.00226  |0.04751  |    -     |    -     |</t>
  </si>
  <si>
    <t>| 3975 | 0.00236  |    -     | 0.00224  |0.04742  |    -     |    -     |</t>
  </si>
  <si>
    <t>| 3976 | 0.00233  |    -     | 0.00222  |0.04748  |    -     |    -     |</t>
  </si>
  <si>
    <t>| 3977 | 0.00240  |    -     | 0.00223  |0.04745  |    -     |    -     |</t>
  </si>
  <si>
    <t>| 3978 | 0.00230  |    -     | 0.00223  |0.04741  |    -     |    -     |</t>
  </si>
  <si>
    <t>| 3979 | 0.00233  |    -     | 0.00222  |0.04747  |    -     |    -     |</t>
  </si>
  <si>
    <t>| 3980 | 0.00237  |    -     | 0.00226  |0.04746  |    -     |    -     |</t>
  </si>
  <si>
    <t>| 3981 | 0.00233  |    -     | 0.00222  |0.04739  |    -     |    -     |</t>
  </si>
  <si>
    <t>| 3982 | 0.00225  |    -     | 0.00222  |0.04745  |    -     |    -     |</t>
  </si>
  <si>
    <t>| 3983 | 0.00243  |    -     | 0.00227  |0.04479  |    -     |    -     |</t>
  </si>
  <si>
    <t>| 3984 | 0.00233  |    -     | 0.00224  |0.04751  |    -     |    -     |</t>
  </si>
  <si>
    <t>| 3985 | 0.00238  |    -     | 0.00225  |0.04746  |    -     |    -     |</t>
  </si>
  <si>
    <t>| 3986 | 0.00241  |    -     | 0.00220  |0.04747  |    -     |    -     |</t>
  </si>
  <si>
    <t>| 3987 | 0.00230  |    -     | 0.00222  |0.04745  |    -     |    -     |</t>
  </si>
  <si>
    <t>| 3988 | 0.00233  |    -     | 0.00222  |0.04740  |    -     |    -     |</t>
  </si>
  <si>
    <t>| 3989 | 0.00217  |    -     | 0.00207  |0.04729  |    -     |    -     |</t>
  </si>
  <si>
    <t>| 3990 | 0.00226  |    -     | 0.00211  |0.04746  |    -     |    -     |</t>
  </si>
  <si>
    <t>| 3991 | 0.00240  |    -     | 0.00226  |0.04539  |    -     |    -     |</t>
  </si>
  <si>
    <t>| 3992 | 0.00233  |    -     | 0.00223  |0.04740  |    -     |    -     |</t>
  </si>
  <si>
    <t>| 3993 | 0.00234  |    -     | 0.00225  |0.04747  |    -     |    -     |</t>
  </si>
  <si>
    <t>| 3994 | 0.00243  |    -     | 0.00221  |0.04748  |    -     |    -     |</t>
  </si>
  <si>
    <t>| 3995 | 0.00230  |    -     | 0.00219  |0.04129  |    -     |    -     |</t>
  </si>
  <si>
    <t>| 3996 | 0.00232  |    -     | 0.00222  |0.04731  |    -     |    -     |</t>
  </si>
  <si>
    <t>| 3997 | 0.00228  |    -     | 0.00224  |0.04744  |    -     |    -     |</t>
  </si>
  <si>
    <t>| 3998 | 0.00238  |    -     | 0.00224  |0.04745  |    -     |    -     |</t>
  </si>
  <si>
    <t>| 3999 | 0.00232  |    -     | 0.00226  |0.04742  |    -     |    -     |</t>
  </si>
  <si>
    <t>| 4000 | 0.00229  |    -     | 0.00223  |0.04747  |    -     |    -     |</t>
  </si>
  <si>
    <t>| 4001 | 0.00233  |    -     | 0.00228  |0.04748  |    -     |    -     |</t>
  </si>
  <si>
    <t>| 4002 | 0.00238  |    -     | 0.00228  |0.04749  |    -     |    -     |</t>
  </si>
  <si>
    <t>| 4003 | 0.00235  |    -     | 0.00225  |0.04752  |    -     |    -     |</t>
  </si>
  <si>
    <t>| 4004 | 0.00230  |    -     | 0.00223  |0.04744  |    -     |    -     |</t>
  </si>
  <si>
    <t>| 4005 | 0.00242  |    -     | 0.00227  |0.04741  |    -     |    -     |</t>
  </si>
  <si>
    <t>| 4006 | 0.00238  |    -     | 0.00222  |0.04743  |    -     |    -     |</t>
  </si>
  <si>
    <t>| 4007 | 0.00226  |    -     | 0.00213  |0.04739  |    -     |    -     |</t>
  </si>
  <si>
    <t>| 4008 | 0.00233  |    -     | 0.00226  |0.04743  |    -     |    -     |</t>
  </si>
  <si>
    <t>| 4009 | 0.00235  |    -     | 0.00227  |0.04748  |    -     |    -     |</t>
  </si>
  <si>
    <t>| 4010 | 0.00234  |    -     | 0.00217  |0.04747  |    -     |    -     |</t>
  </si>
  <si>
    <t>| 4011 | 0.00242  |    -     | 0.00220  |0.04212  |    -     |    -     |</t>
  </si>
  <si>
    <t>| 4012 | 0.00237  |    -     | 0.00223  |0.04750  |    -     |    -     |</t>
  </si>
  <si>
    <t>| 4013 | 0.00233  |    -     | 0.00221  |0.04748  |    -     |    -     |</t>
  </si>
  <si>
    <t>| 4014 | 0.00240  |    -     | 0.00221  |0.04745  |    -     |    -     |</t>
  </si>
  <si>
    <t>| 4015 | 0.00240  |    -     | 0.00226  |0.04526  |    -     |    -     |</t>
  </si>
  <si>
    <t>| 4016 | 0.00235  |    -     | 0.00219  |0.04723  |    -     |    -     |</t>
  </si>
  <si>
    <t>| 4017 | 0.00244  |    -     | 0.00228  |0.04754  |    -     |    -     |</t>
  </si>
  <si>
    <t>| 4018 | 0.00248  |    -     | 0.00225  |0.04747  |    -     |    -     |</t>
  </si>
  <si>
    <t>| 4019 | 0.00231  |    -     | 0.00219  |0.04746  |    -     |    -     |</t>
  </si>
  <si>
    <t>| 4020 | 0.00232  |    -     | 0.00221  |0.04744  |    -     |    -     |</t>
  </si>
  <si>
    <t>| 4021 | 0.00242  |    -     | 0.00219  |0.04676  |    -     |    -     |</t>
  </si>
  <si>
    <t>| 4022 | 0.00249  |    -     | 0.00224  |0.04746  |    -     |    -     |</t>
  </si>
  <si>
    <t>| 4023 | 0.00226  |    -     | 0.00230  |0.04610  |    -     |    -     |</t>
  </si>
  <si>
    <t>| 4024 | 0.00232  |    -     | 0.00220  |0.04742  |    -     |    -     |</t>
  </si>
  <si>
    <t>| 4025 | 0.00225  |    -     | 0.00212  |0.04737  |    -     |    -     |</t>
  </si>
  <si>
    <t>| 4026 | 0.00223  |    -     | 0.00207  |0.04099  |    -     |    -     |</t>
  </si>
  <si>
    <t>| 4027 | 0.00234  |    -     | 0.00223  |0.04130  |    -     |    -     |</t>
  </si>
  <si>
    <t>| 4028 | 0.00239  |    -     | 0.00221  |0.04743  |    -     |    -     |</t>
  </si>
  <si>
    <t>| 4029 | 0.00234  |    -     | 0.00212  |0.04743  |    -     |    -     |</t>
  </si>
  <si>
    <t>| 4030 | 0.00237  |    -     | 0.00218  |0.04744  |    -     |    -     |</t>
  </si>
  <si>
    <t>| 4031 | 0.00233  |    -     | 0.00220  |0.04741  |    -     |    -     |</t>
  </si>
  <si>
    <t>| 4032 | 0.00239  |    -     | 0.00222  |0.04745  |    -     |    -     |</t>
  </si>
  <si>
    <t>| 4033 | 0.00233  |    -     | 0.00219  |0.04746  |    -     |    -     |</t>
  </si>
  <si>
    <t>| 4034 | 0.00237  |    -     | 0.00222  |0.04746  |    -     |    -     |</t>
  </si>
  <si>
    <t>| 4035 | 0.00236  |    -     | 0.00220  |0.04745  |    -     |    -     |</t>
  </si>
  <si>
    <t>| 4036 | 0.00239  |    -     | 0.00224  |0.04745  |    -     |    -     |</t>
  </si>
  <si>
    <t>| 4037 | 0.00243  |    -     | 0.00228  |0.04749  |    -     |    -     |</t>
  </si>
  <si>
    <t>| 4038 | 0.00237  |    -     | 0.00215  |0.04751  |    -     |    -     |</t>
  </si>
  <si>
    <t>| 4039 | 0.00233  |    -     | 0.00230  |0.04745  |    -     |    -     |</t>
  </si>
  <si>
    <t>| 4040 | 0.00238  |    -     | 0.00225  |0.04741  |    -     |    -     |</t>
  </si>
  <si>
    <t>| 4041 | 0.00245  |    -     | 0.00224  |0.04747  |    -     |    -     |</t>
  </si>
  <si>
    <t>| 4042 | 0.00244  |    -     | 0.00223  |0.04743  |    -     |    -     |</t>
  </si>
  <si>
    <t>| 4043 | 0.00234  |    -     | 0.00222  |0.04746  |    -     |    -     |</t>
  </si>
  <si>
    <t>| 4044 | 0.00224  |    -     | 0.00218  |0.04737  |    -     |    -     |</t>
  </si>
  <si>
    <t>| 4045 | 0.00235  |    -     | 0.00224  |0.04747  |    -     |    -     |</t>
  </si>
  <si>
    <t>| 4046 | 0.00238  |    -     | 0.00216  |0.04735  |    -     |    -     |</t>
  </si>
  <si>
    <t>| 4047 | 0.00219  |    -     | 0.00208  |0.04731  |    -     |    -     |</t>
  </si>
  <si>
    <t>| 4048 | 0.00240  |    -     | 0.00226  |0.04748  |    -     |    -     |</t>
  </si>
  <si>
    <t>| 4049 | 0.00232  |    -     | 0.00219  |0.04742  |    -     |    -     |</t>
  </si>
  <si>
    <t>| 4050 | 0.00243  |    -     | 0.00219  |0.04745  |    -     |    -     |</t>
  </si>
  <si>
    <t>| 4051 | 0.00229  |    -     | 0.00223  |0.04741  |    -     |    -     |</t>
  </si>
  <si>
    <t>| 4052 | 0.00243  |    -     | 0.00221  |0.04407  |    -     |    -     |</t>
  </si>
  <si>
    <t>| 4053 | 0.00233  |    -     | 0.00220  |0.04740  |    -     |    -     |</t>
  </si>
  <si>
    <t>| 4054 | 0.00238  |    -     | 0.00220  |0.04749  |    -     |    -     |</t>
  </si>
  <si>
    <t>| 4055 | 0.00232  |    -     | 0.00192  |0.04740  |    -     |    -     |</t>
  </si>
  <si>
    <t>| 4056 | 0.00236  |    -     | 0.00224  |0.04749  |    -     |    -     |</t>
  </si>
  <si>
    <t>| 4057 | 0.00236  |    -     | 0.00221  |0.04749  |    -     |    -     |</t>
  </si>
  <si>
    <t>| 4058 | 0.00238  |    -     | 0.00217  |0.04743  |    -     |    -     |</t>
  </si>
  <si>
    <t>| 4059 | 0.00236  |    -     | 0.00220  |0.04743  |    -     |    -     |</t>
  </si>
  <si>
    <t>| 4060 | 0.00252  |    -     | 0.00229  |0.04753  |    -     |    -     |</t>
  </si>
  <si>
    <t>| 4061 | 0.00237  |    -     | 0.00226  |0.04697  |    -     |    -     |</t>
  </si>
  <si>
    <t>| 4062 | 0.00239  |    -     | 0.00228  |0.04746  |    -     |    -     |</t>
  </si>
  <si>
    <t>| 4063 | 0.00236  |    -     | 0.00221  |0.04756  |    -     |    -     |</t>
  </si>
  <si>
    <t>| 4064 | 0.00252  |    -     | 0.00232  |0.04750  |    -     |    -     |</t>
  </si>
  <si>
    <t>| 4065 | 0.00238  |    -     | 0.00220  |0.04713  |    -     |    -     |</t>
  </si>
  <si>
    <t>| 4066 | 0.00238  |    -     | 0.00216  |0.04740  |    -     |    -     |</t>
  </si>
  <si>
    <t>| 4067 | 0.00239  |    -     | 0.00222  |0.04747  |    -     |    -     |</t>
  </si>
  <si>
    <t>| 4068 | 0.00231  |    -     | 0.00224  |0.04745  |    -     |    -     |</t>
  </si>
  <si>
    <t>| 4069 | 0.00236  |    -     | 0.00221  |0.04745  |    -     |    -     |</t>
  </si>
  <si>
    <t>| 4070 | 0.00235  |    -     | 0.00218  |0.04744  |    -     |    -     |</t>
  </si>
  <si>
    <t>| 4071 | 0.00231  |    -     | 0.00223  |0.04745  |    -     |    -     |</t>
  </si>
  <si>
    <t>| 4072 | 0.00233  |    -     | 0.00222  |0.04746  |    -     |    -     |</t>
  </si>
  <si>
    <t>| 4073 | 0.00234  |    -     | 0.00223  |0.04748  |    -     |    -     |</t>
  </si>
  <si>
    <t>| 4074 | 0.00237  |    -     | 0.00218  |0.04745  |    -     |    -     |</t>
  </si>
  <si>
    <t>| 4075 | 0.00236  |    -     | 0.00221  |0.04742  |    -     |    -     |</t>
  </si>
  <si>
    <t>| 4076 | 0.00236  |    -     | 0.00223  |0.04743  |    -     |    -     |</t>
  </si>
  <si>
    <t>| 4077 | 0.00229  |    -     | 0.00229  |0.04745  |    -     |    -     |</t>
  </si>
  <si>
    <t>| 4078 | 0.00235  |    -     | 0.00223  |0.04387  |    -     |    -     |</t>
  </si>
  <si>
    <t>| 4079 | 0.00255  |    -     | 0.00238  |0.04751  |    -     |    -     |</t>
  </si>
  <si>
    <t>| 4080 | 0.00244  |    -     | 0.00230  |0.04742  |    -     |    -     |</t>
  </si>
  <si>
    <t>| 4081 | 0.00229  |    -     | 0.00226  |0.04702  |    -     |    -     |</t>
  </si>
  <si>
    <t>| 4082 | 0.00240  |    -     | 0.00219  |0.04658  |    -     |    -     |</t>
  </si>
  <si>
    <t>| 4083 | 0.00229  |    -     | 0.00214  |0.03960  |    -     |    -     |</t>
  </si>
  <si>
    <t>| 4084 | 0.00232  |    -     | 0.00219  |0.04732  |    -     |    -     |</t>
  </si>
  <si>
    <t>| 4085 | 0.00235  |    -     | 0.00219  |0.04744  |    -     |    -     |</t>
  </si>
  <si>
    <t>| 4086 | 0.00221  |    -     | 0.00209  |0.04735  |    -     |    -     |</t>
  </si>
  <si>
    <t>| 4087 | 0.00237  |    -     | 0.00229  |0.04742  |    -     |    -     |</t>
  </si>
  <si>
    <t>| 4088 | 0.00237  |    -     | 0.00223  |0.04754  |    -     |    -     |</t>
  </si>
  <si>
    <t>| 4089 | 0.00233  |    -     | 0.00217  |0.04731  |    -     |    -     |</t>
  </si>
  <si>
    <t>| 4090 | 0.00238  |    -     | 0.00223  |0.04742  |    -     |    -     |</t>
  </si>
  <si>
    <t>| 4091 | 0.00232  |    -     | 0.00220  |0.04743  |    -     |    -     |</t>
  </si>
  <si>
    <t>| 4092 | 0.00230  |    -     | 0.00221  |0.04747  |    -     |    -     |</t>
  </si>
  <si>
    <t>| 4093 | 0.00234  |    -     | 0.00221  |0.04746  |    -     |    -     |</t>
  </si>
  <si>
    <t>| 4094 | 0.00237  |    -     | 0.00218  |0.04745  |    -     |    -     |</t>
  </si>
  <si>
    <t>| 4095 | 0.00235  |    -     | 0.00220  |0.04743  |    -     |    -     |</t>
  </si>
  <si>
    <t>| 4096 | 0.00237  |    -     | 0.00222  |0.04739  |    -     |    -     |</t>
  </si>
  <si>
    <t>| 4097 | 0.00234  |    -     | 0.00223  |0.04748  |    -     |    -     |</t>
  </si>
  <si>
    <t>| 4098 | 0.00235  |    -     | 0.00223  |0.04738  |    -     |    -     |</t>
  </si>
  <si>
    <t>| 4099 | 0.00240  |    -     | 0.00228  |0.04743  |    -     |    -     |</t>
  </si>
  <si>
    <t>| 4100 | 0.00237  |    -     | 0.00220  |0.04133  |    -     |    -     |</t>
  </si>
  <si>
    <t>| 4101 | 0.00219  |    -     | 0.00214  |0.04736  |    -     |    -     |</t>
  </si>
  <si>
    <t>| 4102 | 0.00241  |    -     | 0.00222  |0.04746  |    -     |    -     |</t>
  </si>
  <si>
    <t>| 4103 | 0.00238  |    -     | 0.00222  |0.04746  |    -     |    -     |</t>
  </si>
  <si>
    <t>| 4104 | 0.00233  |    -     | 0.00218  |0.04739  |    -     |    -     |</t>
  </si>
  <si>
    <t>| 4105 | 0.00235  |    -     | 0.00216  |0.04740  |    -     |    -     |</t>
  </si>
  <si>
    <t>| 4106 | 0.00235  |    -     | 0.00219  |0.04743  |    -     |    -     |</t>
  </si>
  <si>
    <t>| 4107 | 0.00230  |    -     | 0.00208  |0.04736  |    -     |    -     |</t>
  </si>
  <si>
    <t>| 4108 | 0.00236  |    -     | 0.00220  |0.04740  |    -     |    -     |</t>
  </si>
  <si>
    <t>| 4109 | 0.00236  |    -     | 0.00224  |0.04746  |    -     |    -     |</t>
  </si>
  <si>
    <t>| 4110 | 0.00238  |    -     | 0.00220  |0.04746  |    -     |    -     |</t>
  </si>
  <si>
    <t>| 4111 | 0.00235  |    -     | 0.00219  |0.04707  |    -     |    -     |</t>
  </si>
  <si>
    <t>| 4112 | 0.00234  |    -     | 0.00219  |0.04699  |    -     |    -     |</t>
  </si>
  <si>
    <t>| 4113 | 0.00234  |    -     | 0.00221  |0.04749  |    -     |    -     |</t>
  </si>
  <si>
    <t>| 4114 | 0.00235  |    -     | 0.00218  |0.04740  |    -     |    -     |</t>
  </si>
  <si>
    <t>| 4115 | 0.00231  |    -     | 0.00209  |0.04745  |    -     |    -     |</t>
  </si>
  <si>
    <t>| 4116 | 0.00232  |    -     | 0.00219  |0.04740  |    -     |    -     |</t>
  </si>
  <si>
    <t>| 4117 | 0.00234  |    -     | 0.00223  |0.04729  |    -     |    -     |</t>
  </si>
  <si>
    <t>| 4118 | 0.00230  |    -     | 0.00225  |0.04751  |    -     |    -     |</t>
  </si>
  <si>
    <t>| 4119 | 0.00235  |    -     | 0.00229  |0.04749  |    -     |    -     |</t>
  </si>
  <si>
    <t>| 4120 | 0.00234  |    -     | 0.00220  |0.04493  |    -     |    -     |</t>
  </si>
  <si>
    <t>| 4121 | 0.00223  |    -     | 0.00217  |0.04742  |    -     |    -     |</t>
  </si>
  <si>
    <t>| 4122 | 0.00238  |    -     | 0.00220  |0.04745  |    -     |    -     |</t>
  </si>
  <si>
    <t>| 4123 | 0.00233  |    -     | 0.00220  |0.04741  |    -     |    -     |</t>
  </si>
  <si>
    <t>| 4124 | 0.00234  |    -     | 0.00220  |0.04647  |    -     |    -     |</t>
  </si>
  <si>
    <t>| 4125 | 0.00235  |    -     | 0.00216  |0.04058  |    -     |    -     |</t>
  </si>
  <si>
    <t>| 4126 | 0.00234  |    -     | 0.00217  |0.04744  |    -     |    -     |</t>
  </si>
  <si>
    <t>| 4127 | 0.00238  |    -     | 0.00223  |0.04748  |    -     |    -     |</t>
  </si>
  <si>
    <t>| 4128 | 0.00235  |    -     | 0.00221  |0.04742  |    -     |    -     |</t>
  </si>
  <si>
    <t>| 4129 | 0.00240  |    -     | 0.00222  |0.04742  |    -     |    -     |</t>
  </si>
  <si>
    <t>| 4130 | 0.00238  |    -     | 0.00220  |0.04229  |    -     |    -     |</t>
  </si>
  <si>
    <t>| 4131 | 0.00233  |    -     | 0.00224  |0.04742  |    -     |    -     |</t>
  </si>
  <si>
    <t>| 4132 | 0.00224  |    -     | 0.00212  |0.04736  |    -     |    -     |</t>
  </si>
  <si>
    <t>| 4133 | 0.00232  |    -     | 0.00226  |0.04745  |    -     |    -     |</t>
  </si>
  <si>
    <t>| 4134 | 0.00232  |    -     | 0.00221  |0.04740  |    -     |    -     |</t>
  </si>
  <si>
    <t>| 4135 | 0.00237  |    -     | 0.00221  |0.04748  |    -     |    -     |</t>
  </si>
  <si>
    <t>| 4136 | 0.00233  |    -     | 0.00218  |0.04748  |    -     |    -     |</t>
  </si>
  <si>
    <t>| 4137 | 0.00233  |    -     | 0.00222  |0.04751  |    -     |    -     |</t>
  </si>
  <si>
    <t>| 4138 | 0.00249  |    -     | 0.00225  |0.04749  |    -     |    -     |</t>
  </si>
  <si>
    <t>| 4139 | 0.00233  |    -     | 0.00219  |0.04735  |    -     |    -     |</t>
  </si>
  <si>
    <t>| 4140 | 0.00233  |    -     | 0.00225  |0.04740  |    -     |    -     |</t>
  </si>
  <si>
    <t>| 4141 | 0.00237  |    -     | 0.00224  |0.04750  |    -     |    -     |</t>
  </si>
  <si>
    <t>| 4142 | 0.00240  |    -     | 0.00221  |0.04746  |    -     |    -     |</t>
  </si>
  <si>
    <t>| 4143 | 0.00231  |    -     | 0.00221  |0.04737  |    -     |    -     |</t>
  </si>
  <si>
    <t>| 4144 | 0.00217  |    -     | 0.00210  |0.04746  |    -     |    -     |</t>
  </si>
  <si>
    <t>| 4145 | 0.00232  |    -     | 0.00219  |0.04066  |    -     |    -     |</t>
  </si>
  <si>
    <t>| 4146 | 0.00231  |    -     | 0.00217  |0.04740  |    -     |    -     |</t>
  </si>
  <si>
    <t>| 4147 | 0.00228  |    -     | 0.00212  |0.04733  |    -     |    -     |</t>
  </si>
  <si>
    <t>| 4148 | 0.00227  |    -     | 0.00210  |0.04736  |    -     |    -     |</t>
  </si>
  <si>
    <t>| 4149 | 0.00239  |    -     | 0.00220  |0.04751  |    -     |    -     |</t>
  </si>
  <si>
    <t>| 4150 | 0.00243  |    -     | 0.00223  |0.04730  |    -     |    -     |</t>
  </si>
  <si>
    <t>| 4151 | 0.00231  |    -     | 0.00218  |0.04393  |    -     |    -     |</t>
  </si>
  <si>
    <t>| 4152 | 0.00225  |    -     | 0.00218  |0.04478  |    -     |    -     |</t>
  </si>
  <si>
    <t>| 4153 | 0.00228  |    -     | 0.00218  |0.04747  |    -     |    -     |</t>
  </si>
  <si>
    <t>| 4154 | 0.00237  |    -     | 0.00220  |0.04747  |    -     |    -     |</t>
  </si>
  <si>
    <t>| 4155 | 0.00234  |    -     | 0.00221  |0.04349  |    -     |    -     |</t>
  </si>
  <si>
    <t>| 4156 | 0.00237  |    -     | 0.00223  |0.04743  |    -     |    -     |</t>
  </si>
  <si>
    <t>| 4157 | 0.00224  |    -     | 0.00213  |0.04759  |    -     |    -     |</t>
  </si>
  <si>
    <t>| 4158 | 0.00246  |    -     | 0.00225  |0.04753  |    -     |    -     |</t>
  </si>
  <si>
    <t>| 4159 | 0.00230  |    -     | 0.00218  |0.04742  |    -     |    -     |</t>
  </si>
  <si>
    <t>| 4160 | 0.00230  |    -     | 0.00221  |0.04674  |    -     |    -     |</t>
  </si>
  <si>
    <t>| 4161 | 0.00223  |    -     | 0.00217  |0.04740  |    -     |    -     |</t>
  </si>
  <si>
    <t>| 4162 | 0.00236  |    -     | 0.00221  |0.04760  |    -     |    -     |</t>
  </si>
  <si>
    <t>| 4163 | 0.00241  |    -     | 0.00226  |0.04749  |    -     |    -     |</t>
  </si>
  <si>
    <t>| 4164 | 0.00232  |    -     | 0.00221  |0.04744  |    -     |    -     |</t>
  </si>
  <si>
    <t>| 4165 | 0.00231  |    -     | 0.00216  |0.04744  |    -     |    -     |</t>
  </si>
  <si>
    <t>| 4166 | 0.00242  |    -     | 0.00222  |0.04746  |    -     |    -     |</t>
  </si>
  <si>
    <t>| 4167 | 0.00233  |    -     | 0.00221  |0.04737  |    -     |    -     |</t>
  </si>
  <si>
    <t>| 4168 | 0.00237  |    -     | 0.00227  |0.04741  |    -     |    -     |</t>
  </si>
  <si>
    <t>| 4169 | 0.00234  |    -     | 0.00220  |0.04746  |    -     |    -     |</t>
  </si>
  <si>
    <t>| 4170 | 0.00241  |    -     | 0.00221  |0.04740  |    -     |    -     |</t>
  </si>
  <si>
    <t>| 4171 | 0.00233  |    -     | 0.00224  |0.04743  |    -     |    -     |</t>
  </si>
  <si>
    <t>| 4172 | 0.00252  |    -     | 0.00228  |0.04756  |    -     |    -     |</t>
  </si>
  <si>
    <t>| 4173 | 0.00235  |    -     | 0.00220  |0.04748  |    -     |    -     |</t>
  </si>
  <si>
    <t>| 4174 | 0.00237  |    -     | 0.00226  |0.04743  |    -     |    -     |</t>
  </si>
  <si>
    <t>| 4175 | 0.00239  |    -     | 0.00223  |0.04744  |    -     |    -     |</t>
  </si>
  <si>
    <t>| 4176 | 0.00226  |    -     | 0.00219  |0.04744  |    -     |    -     |</t>
  </si>
  <si>
    <t>| 4177 | 0.00262  |    -     | 0.00247  |0.04760  |    -     |    -     |</t>
  </si>
  <si>
    <t>| 4178 | 0.00246  |    -     | 0.00221  |0.04156  |    -     |    -     |</t>
  </si>
  <si>
    <t>| 4179 | 0.00234  |    -     | 0.00217  |0.04742  |    -     |    -     |</t>
  </si>
  <si>
    <t>| 4180 | 0.00236  |    -     | 0.00222  |0.03968  |    -     |    -     |</t>
  </si>
  <si>
    <t>| 4181 | 0.00233  |    -     | 0.00219  |0.04745  |    -     |    -     |</t>
  </si>
  <si>
    <t>| 4182 | 0.00239  |    -     | 0.00220  |0.04744  |    -     |    -     |</t>
  </si>
  <si>
    <t>| 4183 | 0.00220  |    -     | 0.00208  |0.04726  |    -     |    -     |</t>
  </si>
  <si>
    <t>| 4184 | 0.00220  |    -     | 0.00207  |0.04723  |    -     |    -     |</t>
  </si>
  <si>
    <t>| 4185 | 0.00225  |    -     | 0.00206  |0.04729  |    -     |    -     |</t>
  </si>
  <si>
    <t>| 4186 | 0.00224  |    -     | 0.00207  |0.04727  |    -     |    -     |</t>
  </si>
  <si>
    <t>| 4187 | 0.00222  |    -     | 0.00206  |0.04725  |    -     |    -     |</t>
  </si>
  <si>
    <t>| 4188 | 0.00223  |    -     | 0.00206  |0.04733  |    -     |    -     |</t>
  </si>
  <si>
    <t>| 4189 | 0.00238  |    -     | 0.00223  |0.04178  |    -     |    -     |</t>
  </si>
  <si>
    <t>| 4190 | 0.00233  |    -     | 0.00221  |0.04739  |    -     |    -     |</t>
  </si>
  <si>
    <t>| 4191 | 0.00240  |    -     | 0.00222  |0.04736  |    -     |    -     |</t>
  </si>
  <si>
    <t>| 4192 | 0.00234  |    -     | 0.00218  |0.04743  |    -     |    -     |</t>
  </si>
  <si>
    <t>| 4193 | 0.00233  |    -     | 0.00218  |0.04683  |    -     |    -     |</t>
  </si>
  <si>
    <t>| 4194 | 0.00237  |    -     | 0.00216  |0.04735  |    -     |    -     |</t>
  </si>
  <si>
    <t>| 4195 | 0.00236  |    -     | 0.00215  |0.04626  |    -     |    -     |</t>
  </si>
  <si>
    <t>| 4196 | 0.00245  |    -     | 0.00213  |0.04747  |    -     |    -     |</t>
  </si>
  <si>
    <t>| 4197 | 0.00238  |    -     | 0.00222  |0.04743  |    -     |    -     |</t>
  </si>
  <si>
    <t>| 4198 | 0.00235  |    -     | 0.00220  |0.04740  |    -     |    -     |</t>
  </si>
  <si>
    <t>| 4199 | 0.00234  |    -     | 0.00217  |0.03697  |    -     |    -     |</t>
  </si>
  <si>
    <t>| 4200 | 0.00233  |    -     | 0.00214  |0.04743  |    -     |    -     |</t>
  </si>
  <si>
    <t>| 4201 | 0.00233  |    -     | 0.00223  |0.04381  |    -     |    -     |</t>
  </si>
  <si>
    <t>| 4202 | 0.00229  |    -     | 0.00221  |0.04739  |    -     |    -     |</t>
  </si>
  <si>
    <t>| 4203 | 0.00234  |    -     | 0.00226  |0.04739  |    -     |    -     |</t>
  </si>
  <si>
    <t>| 4204 | 0.00235  |    -     | 0.00218  |0.04741  |    -     |    -     |</t>
  </si>
  <si>
    <t>| 4205 | 0.00230  |    -     | 0.00221  |0.04747  |    -     |    -     |</t>
  </si>
  <si>
    <t>| 4206 | 0.00243  |    -     | 0.00224  |0.04740  |    -     |    -     |</t>
  </si>
  <si>
    <t>| 4207 | 0.00234  |    -     | 0.00219  |0.04742  |    -     |    -     |</t>
  </si>
  <si>
    <t>| 4208 | 0.00225  |    -     | 0.00226  |0.04748  |    -     |    -     |</t>
  </si>
  <si>
    <t>| 4209 | 0.00229  |    -     | 0.00225  |0.04077  |    -     |    -     |</t>
  </si>
  <si>
    <t>| 4210 | 0.00231  |    -     | 0.00218  |0.04742  |    -     |    -     |</t>
  </si>
  <si>
    <t>| 4211 | 0.00235  |    -     | 0.00221  |0.04745  |    -     |    -     |</t>
  </si>
  <si>
    <t>| 4212 | 0.00229  |    -     | 0.00225  |0.04743  |    -     |    -     |</t>
  </si>
  <si>
    <t>| 4213 | 0.00237  |    -     | 0.00223  |0.04745  |    -     |    -     |</t>
  </si>
  <si>
    <t>| 4214 | 0.00241  |    -     | 0.00218  |0.04738  |    -     |    -     |</t>
  </si>
  <si>
    <t>| 4215 | 0.00234  |    -     | 0.00225  |0.04746  |    -     |    -     |</t>
  </si>
  <si>
    <t>| 4216 | 0.00244  |    -     | 0.00230  |0.04753  |    -     |    -     |</t>
  </si>
  <si>
    <t>| 4217 | 0.00230  |    -     | 0.00218  |0.04745  |    -     |    -     |</t>
  </si>
  <si>
    <t>| 4218 | 0.00232  |    -     | 0.00227  |0.04687  |    -     |    -     |</t>
  </si>
  <si>
    <t>| 4219 | 0.00234  |    -     | 0.00223  |0.04747  |    -     |    -     |</t>
  </si>
  <si>
    <t>| 4220 | 0.00236  |    -     | 0.00226  |0.04749  |    -     |    -     |</t>
  </si>
  <si>
    <t>| 4221 | 0.00234  |    -     | 0.00223  |0.04742  |    -     |    -     |</t>
  </si>
  <si>
    <t>| 4222 | 0.00237  |    -     | 0.00222  |0.04744  |    -     |    -     |</t>
  </si>
  <si>
    <t>| 4223 | 0.00232  |    -     | 0.00222  |0.04744  |    -     |    -     |</t>
  </si>
  <si>
    <t>| 4224 | 0.00232  |    -     | 0.00223  |0.04746  |    -     |    -     |</t>
  </si>
  <si>
    <t>| 4225 | 0.00231  |    -     | 0.00210  |0.04750  |    -     |    -     |</t>
  </si>
  <si>
    <t>| 4226 | 0.00243  |    -     | 0.00253  |0.04756  |    -     |    -     |</t>
  </si>
  <si>
    <t>| 4227 | 0.00243  |    -     | 0.00220  |0.04739  |    -     |    -     |</t>
  </si>
  <si>
    <t>| 4228 | 0.00234  |    -     | 0.00221  |0.04747  |    -     |    -     |</t>
  </si>
  <si>
    <t>| 4229 | 0.00237  |    -     | 0.00229  |0.04742  |    -     |    -     |</t>
  </si>
  <si>
    <t>| 4230 | 0.00240  |    -     | 0.00223  |0.04743  |    -     |    -     |</t>
  </si>
  <si>
    <t>| 4231 | 0.00230  |    -     | 0.00222  |0.04745  |    -     |    -     |</t>
  </si>
  <si>
    <t>| 4232 | 0.00234  |    -     | 0.00221  |0.04747  |    -     |    -     |</t>
  </si>
  <si>
    <t>| 4233 | 0.00232  |    -     | 0.00218  |0.04732  |    -     |    -     |</t>
  </si>
  <si>
    <t>| 4234 | 0.00233  |    -     | 0.00218  |0.04739  |    -     |    -     |</t>
  </si>
  <si>
    <t>| 4235 | 0.00240  |    -     | 0.00223  |0.04757  |    -     |    -     |</t>
  </si>
  <si>
    <t>| 4236 | 0.00242  |    -     | 0.00223  |0.04746  |    -     |    -     |</t>
  </si>
  <si>
    <t>| 4237 | 0.00228  |    -     | 0.00210  |0.04280  |    -     |    -     |</t>
  </si>
  <si>
    <t>| 4238 | 0.00220  |    -     | 0.00208  |0.04108  |    -     |    -     |</t>
  </si>
  <si>
    <t>| 4239 | 0.00235  |    -     | 0.00221  |0.04362  |    -     |    -     |</t>
  </si>
  <si>
    <t>| 4240 | 0.00233  |    -     | 0.00224  |0.04750  |    -     |    -     |</t>
  </si>
  <si>
    <t>| 4241 | 0.00232  |    -     | 0.00220  |0.04751  |    -     |    -     |</t>
  </si>
  <si>
    <t>| 4242 | 0.00237  |    -     | 0.00217  |0.04594  |    -     |    -     |</t>
  </si>
  <si>
    <t>| 4243 | 0.00235  |    -     | 0.00225  |0.04747  |    -     |    -     |</t>
  </si>
  <si>
    <t>| 4244 | 0.00234  |    -     | 0.00221  |0.04740  |    -     |    -     |</t>
  </si>
  <si>
    <t>| 4245 | 0.00237  |    -     | 0.00223  |0.04742  |    -     |    -     |</t>
  </si>
  <si>
    <t>| 4246 | 0.00243  |    -     | 0.00221  |0.04108  |    -     |    -     |</t>
  </si>
  <si>
    <t>| 4247 | 0.00218  |    -     | 0.00206  |0.04729  |    -     |    -     |</t>
  </si>
  <si>
    <t>| 4248 | 0.00236  |    -     | 0.00220  |0.04745  |    -     |    -     |</t>
  </si>
  <si>
    <t>| 4249 | 0.00235  |    -     | 0.00221  |0.04462  |    -     |    -     |</t>
  </si>
  <si>
    <t>| 4250 | 0.00233  |    -     | 0.00223  |0.04385  |    -     |    -     |</t>
  </si>
  <si>
    <t>| 4251 | 0.00246  |    -     | 0.00230  |0.04744  |    -     |    -     |</t>
  </si>
  <si>
    <t>| 4252 | 0.00235  |    -     | 0.00224  |0.04749  |    -     |    -     |</t>
  </si>
  <si>
    <t>| 4253 | 0.00237  |    -     | 0.00220  |0.04737  |    -     |    -     |</t>
  </si>
  <si>
    <t>| 4254 | 0.00240  |    -     | 0.00222  |0.03969  |    -     |    -     |</t>
  </si>
  <si>
    <t>| 4255 | 0.00237  |    -     | 0.00213  |0.04756  |    -     |    -     |</t>
  </si>
  <si>
    <t>| 4256 | 0.00234  |    -     | 0.00225  |0.04744  |    -     |    -     |</t>
  </si>
  <si>
    <t>| 4257 | 0.00233  |    -     | 0.00220  |0.04744  |    -     |    -     |</t>
  </si>
  <si>
    <t>| 4258 | 0.00235  |    -     | 0.00224  |0.04725  |    -     |    -     |</t>
  </si>
  <si>
    <t>| 4259 | 0.00246  |    -     | 0.00217  |0.04744  |    -     |    -     |</t>
  </si>
  <si>
    <t>| 4260 | 0.00241  |    -     | 0.00221  |0.04732  |    -     |    -     |</t>
  </si>
  <si>
    <t>| 4261 | 0.00236  |    -     | 0.00222  |0.04717  |    -     |    -     |</t>
  </si>
  <si>
    <t>| 4262 | 0.00240  |    -     | 0.00223  |0.04742  |    -     |    -     |</t>
  </si>
  <si>
    <t>| 4263 | 0.00238  |    -     | 0.00221  |0.04746  |    -     |    -     |</t>
  </si>
  <si>
    <t>| 4264 | 0.00231  |    -     | 0.00224  |0.04742  |    -     |    -     |</t>
  </si>
  <si>
    <t>| 4265 | 0.00234  |    -     | 0.00221  |0.04753  |    -     |    -     |</t>
  </si>
  <si>
    <t>| 4266 | 0.00241  |    -     | 0.00226  |0.04744  |    -     |    -     |</t>
  </si>
  <si>
    <t>| 4267 | 0.00235  |    -     | 0.00222  |0.04748  |    -     |    -     |</t>
  </si>
  <si>
    <t>| 4268 | 0.00236  |    -     | 0.00216  |0.04476  |    -     |    -     |</t>
  </si>
  <si>
    <t>| 4269 | 0.00234  |    -     | 0.00220  |0.04757  |    -     |    -     |</t>
  </si>
  <si>
    <t>| 4270 | 0.00241  |    -     | 0.00225  |0.04742  |    -     |    -     |</t>
  </si>
  <si>
    <t>| 4271 | 0.00235  |    -     | 0.00212  |0.04736  |    -     |    -     |</t>
  </si>
  <si>
    <t>| 4272 | 0.00233  |    -     | 0.00215  |0.04748  |    -     |    -     |</t>
  </si>
  <si>
    <t>| 4273 | 0.00236  |    -     | 0.00220  |0.04744  |    -     |    -     |</t>
  </si>
  <si>
    <t>| 4274 | 0.00248  |    -     | 0.00230  |0.04743  |    -     |    -     |</t>
  </si>
  <si>
    <t>| 4275 | 0.00244  |    -     | 0.00230  |0.04751  |    -     |    -     |</t>
  </si>
  <si>
    <t>| 4276 | 0.00228  |    -     | 0.00224  |0.04738  |    -     |    -     |</t>
  </si>
  <si>
    <t>| 4277 | 0.00236  |    -     | 0.00226  |0.04648  |    -     |    -     |</t>
  </si>
  <si>
    <t>| 4278 | 0.00239  |    -     | 0.00226  |0.04543  |    -     |    -     |</t>
  </si>
  <si>
    <t>| 4279 | 0.00237  |    -     | 0.00217  |0.04743  |    -     |    -     |</t>
  </si>
  <si>
    <t>| 4280 | 0.00227  |    -     | 0.00224  |0.04745  |    -     |    -     |</t>
  </si>
  <si>
    <t>| 4281 | 0.00229  |    -     | 0.00209  |0.04734  |    -     |    -     |</t>
  </si>
  <si>
    <t>| 4282 | 0.00237  |    -     | 0.00229  |0.04748  |    -     |    -     |</t>
  </si>
  <si>
    <t>| 4283 | 0.00236  |    -     | 0.00219  |0.04144  |    -     |    -     |</t>
  </si>
  <si>
    <t>| 4284 | 0.00233  |    -     | 0.00218  |0.04537  |    -     |    -     |</t>
  </si>
  <si>
    <t>| 4285 | 0.00235  |    -     | 0.00222  |0.04748  |    -     |    -     |</t>
  </si>
  <si>
    <t>| 4286 | 0.00232  |    -     | 0.00221  |0.04745  |    -     |    -     |</t>
  </si>
  <si>
    <t>| 4287 | 0.00231  |    -     | 0.00225  |0.04744  |    -     |    -     |</t>
  </si>
  <si>
    <t>| 4288 | 0.00232  |    -     | 0.00219  |0.04744  |    -     |    -     |</t>
  </si>
  <si>
    <t>| 4289 | 0.00205  |    -     | 0.00222  |0.04747  |    -     |    -     |</t>
  </si>
  <si>
    <t>| 4290 | 0.00239  |    -     | 0.00218  |0.04745  |    -     |    -     |</t>
  </si>
  <si>
    <t>| 4291 | 0.00229  |    -     | 0.00220  |0.04743  |    -     |    -     |</t>
  </si>
  <si>
    <t>| 4292 | 0.00235  |    -     | 0.00222  |0.04747  |    -     |    -     |</t>
  </si>
  <si>
    <t>| 4293 | 0.00234  |    -     | 0.00223  |0.04734  |    -     |    -     |</t>
  </si>
  <si>
    <t>| 4294 | 0.00235  |    -     | 0.00223  |0.04744  |    -     |    -     |</t>
  </si>
  <si>
    <t>| 4295 | 0.00231  |    -     | 0.00219  |0.04747  |    -     |    -     |</t>
  </si>
  <si>
    <t>| 4296 | 0.00233  |    -     | 0.00222  |0.04743  |    -     |    -     |</t>
  </si>
  <si>
    <t>| 4297 | 0.00238  |    -     | 0.00217  |0.04731  |    -     |    -     |</t>
  </si>
  <si>
    <t>| 4298 | 0.00243  |    -     | 0.00226  |0.04739  |    -     |    -     |</t>
  </si>
  <si>
    <t>| 4299 | 0.00236  |    -     | 0.00226  |0.04743  |    -     |    -     |</t>
  </si>
  <si>
    <t>| 4300 | 0.00218  |    -     | 0.00209  |0.04747  |    -     |    -     |</t>
  </si>
  <si>
    <t>| 4301 | 0.00237  |    -     | 0.00228  |0.04747  |    -     |    -     |</t>
  </si>
  <si>
    <t>| 4302 | 0.00236  |    -     | 0.00222  |0.04741  |    -     |    -     |</t>
  </si>
  <si>
    <t>| 4303 | 0.00237  |    -     | 0.00224  |0.04372  |    -     |    -     |</t>
  </si>
  <si>
    <t>| 4304 | 0.00228  |    -     | 0.00221  |0.04746  |    -     |    -     |</t>
  </si>
  <si>
    <t>| 4305 | 0.00234  |    -     | 0.00222  |0.04744  |    -     |    -     |</t>
  </si>
  <si>
    <t>| 4306 | 0.00235  |    -     | 0.00219  |0.04737  |    -     |    -     |</t>
  </si>
  <si>
    <t>| 4307 | 0.00231  |    -     | 0.00225  |0.04747  |    -     |    -     |</t>
  </si>
  <si>
    <t>| 4308 | 0.00234  |    -     | 0.00220  |0.03848  |    -     |    -     |</t>
  </si>
  <si>
    <t>| 4309 | 0.00230  |    -     | 0.00219  |0.04745  |    -     |    -     |</t>
  </si>
  <si>
    <t>| 4310 | 0.00234  |    -     | 0.00222  |0.04746  |    -     |    -     |</t>
  </si>
  <si>
    <t>| 4311 | 0.00234  |    -     | 0.00223  |0.04743  |    -     |    -     |</t>
  </si>
  <si>
    <t>| 4312 | 0.00221  |    -     | 0.00216  |0.04628  |    -     |    -     |</t>
  </si>
  <si>
    <t>| 4313 | 0.00231  |    -     | 0.00230  |0.04744  |    -     |    -     |</t>
  </si>
  <si>
    <t>| 4314 | 0.00249  |    -     | 0.00228  |0.04751  |    -     |    -     |</t>
  </si>
  <si>
    <t>| 4315 | 0.00229  |    -     | 0.00223  |0.04736  |    -     |    -     |</t>
  </si>
  <si>
    <t>| 4316 | 0.00237  |    -     | 0.00223  |0.04747  |    -     |    -     |</t>
  </si>
  <si>
    <t>| 4317 | 0.00236  |    -     | 0.00224  |0.04744  |    -     |    -     |</t>
  </si>
  <si>
    <t>| 4318 | 0.00231  |    -     | 0.00223  |0.04747  |    -     |    -     |</t>
  </si>
  <si>
    <t>| 4319 | 0.00231  |    -     | 0.00223  |0.04745  |    -     |    -     |</t>
  </si>
  <si>
    <t>| 4320 | 0.00234  |    -     | 0.00220  |0.04604  |    -     |    -     |</t>
  </si>
  <si>
    <t>| 4321 | 0.00236  |    -     | 0.00225  |0.04740  |    -     |    -     |</t>
  </si>
  <si>
    <t>| 4322 | 0.00239  |    -     | 0.00221  |0.04742  |    -     |    -     |</t>
  </si>
  <si>
    <t>| 4323 | 0.00241  |    -     | 0.00221  |0.04740  |    -     |    -     |</t>
  </si>
  <si>
    <t>| 4324 | 0.00235  |    -     | 0.00228  |0.04744  |    -     |    -     |</t>
  </si>
  <si>
    <t>| 4325 | 0.00230  |    -     | 0.00219  |0.04742  |    -     |    -     |</t>
  </si>
  <si>
    <t>| 4326 | 0.00239  |    -     | 0.00221  |0.04748  |    -     |    -     |</t>
  </si>
  <si>
    <t>| 4327 | 0.00232  |    -     | 0.00220  |0.04026  |    -     |    -     |</t>
  </si>
  <si>
    <t>| 4328 | 0.00168  |    -     | 0.00218  |0.04739  |    -     |    -     |</t>
  </si>
  <si>
    <t>| 4329 | 0.00234  |    -     | 0.00214  |0.04579  |    -     |    -     |</t>
  </si>
  <si>
    <t>| 4330 | 0.00235  |    -     | 0.00224  |0.04744  |    -     |    -     |</t>
  </si>
  <si>
    <t>| 4331 | 0.00233  |    -     | 0.00221  |0.04746  |    -     |    -     |</t>
  </si>
  <si>
    <t>| 4332 | 0.00230  |    -     | 0.00211  |0.04737  |    -     |    -     |</t>
  </si>
  <si>
    <t>| 4333 | 0.00241  |    -     | 0.00228  |0.04454  |    -     |    -     |</t>
  </si>
  <si>
    <t>| 4334 | 0.00233  |    -     | 0.00222  |0.04736  |    -     |    -     |</t>
  </si>
  <si>
    <t>| 4335 | 0.00236  |    -     | 0.00226  |0.04739  |    -     |    -     |</t>
  </si>
  <si>
    <t>| 4336 | 0.00237  |    -     | 0.00225  |0.04743  |    -     |    -     |</t>
  </si>
  <si>
    <t>| 4337 | 0.00236  |    -     | 0.00223  |0.04746  |    -     |    -     |</t>
  </si>
  <si>
    <t>| 4338 | 0.00240  |    -     | 0.00220  |0.04116  |    -     |    -     |</t>
  </si>
  <si>
    <t>| 4339 | 0.00237  |    -     | 0.00222  |0.04563  |    -     |    -     |</t>
  </si>
  <si>
    <t>| 4340 | 0.00242  |    -     | 0.00221  |0.04745  |    -     |    -     |</t>
  </si>
  <si>
    <t>| 4341 | 0.00234  |    -     | 0.00222  |0.04746  |    -     |    -     |</t>
  </si>
  <si>
    <t>| 4342 | 0.00233  |    -     | 0.00219  |0.04744  |    -     |    -     |</t>
  </si>
  <si>
    <t>| 4343 | 0.00237  |    -     | 0.00223  |0.04431  |    -     |    -     |</t>
  </si>
  <si>
    <t>| 4344 | 0.00240  |    -     | 0.00226  |0.04741  |    -     |    -     |</t>
  </si>
  <si>
    <t>| 4345 | 0.00224  |    -     | 0.00210  |0.04730  |    -     |    -     |</t>
  </si>
  <si>
    <t>| 4346 | 0.00237  |    -     | 0.00221  |0.04738  |    -     |    -     |</t>
  </si>
  <si>
    <t>| 4347 | 0.00237  |    -     | 0.00223  |0.04742  |    -     |    -     |</t>
  </si>
  <si>
    <t>| 4348 | 0.00236  |    -     | 0.00220  |0.04152  |    -     |    -     |</t>
  </si>
  <si>
    <t>| 4349 | 0.00234  |    -     | 0.00218  |0.04749  |    -     |    -     |</t>
  </si>
  <si>
    <t>| 4350 | 0.00239  |    -     | 0.00215  |0.04743  |    -     |    -     |</t>
  </si>
  <si>
    <t>| 4351 | 0.00234  |    -     | 0.00221  |0.04738  |    -     |    -     |</t>
  </si>
  <si>
    <t>| 4352 | 0.00231  |    -     | 0.00223  |0.04756  |    -     |    -     |</t>
  </si>
  <si>
    <t>| 4353 | 0.00246  |    -     | 0.00219  |0.04745  |    -     |    -     |</t>
  </si>
  <si>
    <t>| 4354 | 0.00238  |    -     | 0.00218  |0.04743  |    -     |    -     |</t>
  </si>
  <si>
    <t>| 4355 | 0.00230  |    -     | 0.00220  |0.03979  |    -     |    -     |</t>
  </si>
  <si>
    <t>| 4356 | 0.00227  |    -     | 0.00223  |0.04736  |    -     |    -     |</t>
  </si>
  <si>
    <t>| 4357 | 0.00228  |    -     | 0.00219  |0.04747  |    -     |    -     |</t>
  </si>
  <si>
    <t>| 4358 | 0.00235  |    -     | 0.00220  |0.04432  |    -     |    -     |</t>
  </si>
  <si>
    <t>| 4359 | 0.00230  |    -     | 0.00218  |0.04738  |    -     |    -     |</t>
  </si>
  <si>
    <t>| 4360 | 0.00237  |    -     | 0.00223  |0.04743  |    -     |    -     |</t>
  </si>
  <si>
    <t>| 4361 | 0.00240  |    -     | 0.00226  |0.04744  |    -     |    -     |</t>
  </si>
  <si>
    <t>| 4362 | 0.00230  |    -     | 0.00223  |0.04744  |    -     |    -     |</t>
  </si>
  <si>
    <t>| 4363 | 0.00237  |    -     | 0.00220  |0.04750  |    -     |    -     |</t>
  </si>
  <si>
    <t>| 4364 | 0.00231  |    -     | 0.00221  |0.04747  |    -     |    -     |</t>
  </si>
  <si>
    <t>| 4365 | 0.00233  |    -     | 0.00222  |0.04743  |    -     |    -     |</t>
  </si>
  <si>
    <t>| 4366 | 0.00237  |    -     | 0.00216  |0.04746  |    -     |    -     |</t>
  </si>
  <si>
    <t>| 4367 | 0.00231  |    -     | 0.00222  |0.04735  |    -     |    -     |</t>
  </si>
  <si>
    <t>| 4368 | 0.00245  |    -     | 0.00223  |0.04744  |    -     |    -     |</t>
  </si>
  <si>
    <t>| 4369 | 0.00229  |    -     | 0.00224  |0.04740  |    -     |    -     |</t>
  </si>
  <si>
    <t>| 4370 | 0.00243  |    -     | 0.00223  |0.04741  |    -     |    -     |</t>
  </si>
  <si>
    <t>| 4371 | 0.00236  |    -     | 0.00221  |0.04620  |    -     |    -     |</t>
  </si>
  <si>
    <t>| 4372 | 0.00242  |    -     | 0.00227  |0.04672  |    -     |    -     |</t>
  </si>
  <si>
    <t>| 4373 | 0.00233  |    -     | 0.00222  |0.04739  |    -     |    -     |</t>
  </si>
  <si>
    <t>| 4374 | 0.00242  |    -     | 0.00222  |0.04745  |    -     |    -     |</t>
  </si>
  <si>
    <t>| 4375 | 0.00236  |    -     | 0.00223  |0.04419  |    -     |    -     |</t>
  </si>
  <si>
    <t>| 4376 | 0.00236  |    -     | 0.00214  |0.04740  |    -     |    -     |</t>
  </si>
  <si>
    <t>| 4377 | 0.00234  |    -     | 0.00219  |0.04744  |    -     |    -     |</t>
  </si>
  <si>
    <t>| 4378 | 0.00224  |    -     | 0.00208  |0.04733  |    -     |    -     |</t>
  </si>
  <si>
    <t>| 4379 | 0.00236  |    -     | 0.00217  |0.04739  |    -     |    -     |</t>
  </si>
  <si>
    <t>| 4380 | 0.00243  |    -     | 0.00218  |0.04226  |    -     |    -     |</t>
  </si>
  <si>
    <t>| 4381 | 0.00249  |    -     | 0.00250  |0.04757  |    -     |    -     |</t>
  </si>
  <si>
    <t>| 4382 | 0.00244  |    -     | 0.00227  |0.04739  |    -     |    -     |</t>
  </si>
  <si>
    <t>| 4383 | 0.00242  |    -     | 0.00225  |0.04745  |    -     |    -     |</t>
  </si>
  <si>
    <t>| 4384 | 0.00231  |    -     | 0.00219  |0.04744  |    -     |    -     |</t>
  </si>
  <si>
    <t>| 4385 | 0.00235  |    -     | 0.00220  |0.04743  |    -     |    -     |</t>
  </si>
  <si>
    <t>| 4386 | 0.00235  |    -     | 0.00223  |0.04767  |    -     |    -     |</t>
  </si>
  <si>
    <t>| 4387 | 0.00243  |    -     | 0.00221  |0.04751  |    -     |    -     |</t>
  </si>
  <si>
    <t>| 4388 | 0.00241  |    -     | 0.00223  |0.04749  |    -     |    -     |</t>
  </si>
  <si>
    <t>| 4389 | 0.00236  |    -     | 0.00215  |0.04747  |    -     |    -     |</t>
  </si>
  <si>
    <t>| 4390 | 0.00240  |    -     | 0.00221  |0.04742  |    -     |    -     |</t>
  </si>
  <si>
    <t>| 4391 | 0.00243  |    -     | 0.00220  |0.04732  |    -     |    -     |</t>
  </si>
  <si>
    <t>| 4392 | 0.00240  |    -     | 0.00225  |0.04739  |    -     |    -     |</t>
  </si>
  <si>
    <t>| 4393 | 0.00233  |    -     | 0.00220  |0.04750  |    -     |    -     |</t>
  </si>
  <si>
    <t>| 4394 | 0.00237  |    -     | 0.00218  |0.04741  |    -     |    -     |</t>
  </si>
  <si>
    <t>| 4395 | 0.00237  |    -     | 0.00220  |0.04625  |    -     |    -     |</t>
  </si>
  <si>
    <t>| 4396 | 0.00236  |    -     | 0.00222  |0.04743  |    -     |    -     |</t>
  </si>
  <si>
    <t>| 4397 | 0.00236  |    -     | 0.00221  |0.04744  |    -     |    -     |</t>
  </si>
  <si>
    <t>| 4398 | 0.00238  |    -     | 0.00215  |0.04385  |    -     |    -     |</t>
  </si>
  <si>
    <t>| 4399 | 0.00228  |    -     | 0.00226  |0.04746  |    -     |    -     |</t>
  </si>
  <si>
    <t>| 4400 | 0.00231  |    -     | 0.00216  |0.04652  |    -     |    -     |</t>
  </si>
  <si>
    <t>| 4401 | 0.00238  |    -     | 0.00220  |0.04744  |    -     |    -     |</t>
  </si>
  <si>
    <t>| 4402 | 0.00237  |    -     | 0.00221  |0.04745  |    -     |    -     |</t>
  </si>
  <si>
    <t>| 4403 | 0.00237  |    -     | 0.00220  |0.04742  |    -     |    -     |</t>
  </si>
  <si>
    <t>| 4404 | 0.00233  |    -     | 0.00222  |0.04746  |    -     |    -     |</t>
  </si>
  <si>
    <t>| 4405 | 0.00236  |    -     | 0.00223  |0.04746  |    -     |    -     |</t>
  </si>
  <si>
    <t>| 4406 | 0.00237  |    -     | 0.00220  |0.04740  |    -     |    -     |</t>
  </si>
  <si>
    <t>| 4407 | 0.00228  |    -     | 0.00226  |0.04741  |    -     |    -     |</t>
  </si>
  <si>
    <t>| 4408 | 0.00237  |    -     | 0.00223  |0.04747  |    -     |    -     |</t>
  </si>
  <si>
    <t>| 4409 | 0.00236  |    -     | 0.00223  |0.04747  |    -     |    -     |</t>
  </si>
  <si>
    <t>| 4410 | 0.00236  |    -     | 0.00215  |0.04751  |    -     |    -     |</t>
  </si>
  <si>
    <t>| 4411 | 0.00241  |    -     | 0.00221  |0.04744  |    -     |    -     |</t>
  </si>
  <si>
    <t>| 4412 | 0.00232  |    -     | 0.00217  |0.04598  |    -     |    -     |</t>
  </si>
  <si>
    <t>| 4413 | 0.00234  |    -     | 0.00223  |0.04733  |    -     |    -     |</t>
  </si>
  <si>
    <t>| 4414 | 0.00236  |    -     | 0.00217  |0.04691  |    -     |    -     |</t>
  </si>
  <si>
    <t>| 4415 | 0.00224  |    -     | 0.00219  |0.04743  |    -     |    -     |</t>
  </si>
  <si>
    <t>| 4416 | 0.00238  |    -     | 0.00221  |0.04744  |    -     |    -     |</t>
  </si>
  <si>
    <t>| 4417 | 0.00233  |    -     | 0.00220  |0.04741  |    -     |    -     |</t>
  </si>
  <si>
    <t>| 4418 | 0.00230  |    -     | 0.00218  |0.04746  |    -     |    -     |</t>
  </si>
  <si>
    <t>| 4419 | 0.00233  |    -     | 0.00221  |0.04742  |    -     |    -     |</t>
  </si>
  <si>
    <t>| 4420 | 0.00237  |    -     | 0.00218  |0.04234  |    -     |    -     |</t>
  </si>
  <si>
    <t>| 4421 | 0.00240  |    -     | 0.00219  |0.04393  |    -     |    -     |</t>
  </si>
  <si>
    <t>| 4422 | 0.00235  |    -     | 0.00220  |0.04608  |    -     |    -     |</t>
  </si>
  <si>
    <t>| 4423 | 0.00231  |    -     | 0.00220  |0.04742  |    -     |    -     |</t>
  </si>
  <si>
    <t>| 4424 | 0.00237  |    -     | 0.00223  |0.04739  |    -     |    -     |</t>
  </si>
  <si>
    <t>| 4425 | 0.00237  |    -     | 0.00228  |0.04747  |    -     |    -     |</t>
  </si>
  <si>
    <t>| 4426 | 0.00238  |    -     | 0.00219  |0.04737  |    -     |    -     |</t>
  </si>
  <si>
    <t>| 4427 | 0.00240  |    -     | 0.00240  |0.04754  |    -     |    -     |</t>
  </si>
  <si>
    <t>| 4428 | 0.00240  |    -     | 0.00222  |0.04536  |    -     |    -     |</t>
  </si>
  <si>
    <t>| 4429 | 0.00225  |    -     | 0.00232  |0.04506  |    -     |    -     |</t>
  </si>
  <si>
    <t>| 4430 | 0.00241  |    -     | 0.00215  |0.04744  |    -     |    -     |</t>
  </si>
  <si>
    <t>| 4431 | 0.00237  |    -     | 0.00221  |0.04746  |    -     |    -     |</t>
  </si>
  <si>
    <t>| 4432 | 0.00235  |    -     | 0.00221  |0.04743  |    -     |    -     |</t>
  </si>
  <si>
    <t>| 4433 | 0.00235  |    -     | 0.00223  |0.04743  |    -     |    -     |</t>
  </si>
  <si>
    <t>| 4434 | 0.00236  |    -     | 0.00225  |0.04739  |    -     |    -     |</t>
  </si>
  <si>
    <t>| 4435 | 0.00236  |    -     | 0.00224  |0.04740  |    -     |    -     |</t>
  </si>
  <si>
    <t>| 4436 | 0.00237  |    -     | 0.00223  |0.04746  |    -     |    -     |</t>
  </si>
  <si>
    <t>| 4437 | 0.00234  |    -     | 0.00222  |0.04501  |    -     |    -     |</t>
  </si>
  <si>
    <t>| 4438 | 0.00232  |    -     | 0.00223  |0.04743  |    -     |    -     |</t>
  </si>
  <si>
    <t>| 4439 | 0.00232  |    -     | 0.00222  |0.04454  |    -     |    -     |</t>
  </si>
  <si>
    <t>| 4440 | 0.00234  |    -     | 0.00218  |0.04187  |    -     |    -     |</t>
  </si>
  <si>
    <t>| 4441 | 0.00239  |    -     | 0.00223  |0.04749  |    -     |    -     |</t>
  </si>
  <si>
    <t>| 4442 | 0.00242  |    -     | 0.00220  |0.04744  |    -     |    -     |</t>
  </si>
  <si>
    <t>| 4443 | 0.00234  |    -     | 0.00222  |0.04740  |    -     |    -     |</t>
  </si>
  <si>
    <t>| 4444 | 0.00238  |    -     | 0.00221  |0.04736  |    -     |    -     |</t>
  </si>
  <si>
    <t>| 4445 | 0.00240  |    -     | 0.00225  |0.04745  |    -     |    -     |</t>
  </si>
  <si>
    <t>| 4446 | 0.00233  |    -     | 0.00225  |0.03951  |    -     |    -     |</t>
  </si>
  <si>
    <t>| 4447 | 0.00233  |    -     | 0.00219  |0.04220  |    -     |    -     |</t>
  </si>
  <si>
    <t>| 4448 | 0.00234  |    -     | 0.00226  |0.04747  |    -     |    -     |</t>
  </si>
  <si>
    <t>| 4449 | 0.00233  |    -     | 0.00214  |0.04737  |    -     |    -     |</t>
  </si>
  <si>
    <t>| 4450 | 0.00226  |    -     | 0.00209  |0.04736  |    -     |    -     |</t>
  </si>
  <si>
    <t>| 4451 | 0.00236  |    -     | 0.00224  |0.04745  |    -     |    -     |</t>
  </si>
  <si>
    <t>| 4452 | 0.00236  |    -     | 0.00220  |0.04745  |    -     |    -     |</t>
  </si>
  <si>
    <t>| 4453 | 0.00246  |    -     | 0.00230  |0.04751  |    -     |    -     |</t>
  </si>
  <si>
    <t>| 4454 | 0.00239  |    -     | 0.00229  |0.04747  |    -     |    -     |</t>
  </si>
  <si>
    <t>| 4455 | 0.00236  |    -     | 0.00214  |0.04747  |    -     |    -     |</t>
  </si>
  <si>
    <t>| 4456 | 0.00241  |    -     | 0.00221  |0.04744  |    -     |    -     |</t>
  </si>
  <si>
    <t>| 4457 | 0.00235  |    -     | 0.00222  |0.04739  |    -     |    -     |</t>
  </si>
  <si>
    <t>| 4458 | 0.00238  |    -     | 0.00222  |0.04740  |    -     |    -     |</t>
  </si>
  <si>
    <t>| 4459 | 0.00240  |    -     | 0.00221  |0.04746  |    -     |    -     |</t>
  </si>
  <si>
    <t>| 4460 | 0.00234  |    -     | 0.00223  |0.04743  |    -     |    -     |</t>
  </si>
  <si>
    <t>| 4461 | 0.00234  |    -     | 0.00222  |0.04747  |    -     |    -     |</t>
  </si>
  <si>
    <t>| 4462 | 0.00239  |    -     | 0.00219  |0.04604  |    -     |    -     |</t>
  </si>
  <si>
    <t>| 4463 | 0.00235  |    -     | 0.00220  |0.04744  |    -     |    -     |</t>
  </si>
  <si>
    <t>| 4464 | 0.00237  |    -     | 0.00221  |0.04741  |    -     |    -     |</t>
  </si>
  <si>
    <t>| 4465 | 0.00237  |    -     | 0.00223  |0.04356  |    -     |    -     |</t>
  </si>
  <si>
    <t>| 4466 | 0.00243  |    -     | 0.00220  |0.04742  |    -     |    -     |</t>
  </si>
  <si>
    <t>| 4467 | 0.00235  |    -     | 0.00220  |0.04742  |    -     |    -     |</t>
  </si>
  <si>
    <t>| 4468 | 0.00238  |    -     | 0.00221  |0.04733  |    -     |    -     |</t>
  </si>
  <si>
    <t>| 4469 | 0.00231  |    -     | 0.00222  |0.04747  |    -     |    -     |</t>
  </si>
  <si>
    <t>| 4470 | 0.00241  |    -     | 0.00225  |0.04748  |    -     |    -     |</t>
  </si>
  <si>
    <t>| 4471 | 0.00237  |    -     | 0.00221  |0.04747  |    -     |    -     |</t>
  </si>
  <si>
    <t>| 4472 | 0.00234  |    -     | 0.00218  |0.04741  |    -     |    -     |</t>
  </si>
  <si>
    <t>| 4473 | 0.00237  |    -     | 0.00223  |0.04742  |    -     |    -     |</t>
  </si>
  <si>
    <t>| 4474 | 0.00233  |    -     | 0.00223  |0.04733  |    -     |    -     |</t>
  </si>
  <si>
    <t>| 4475 | 0.00224  |    -     | 0.00209  |0.04734  |    -     |    -     |</t>
  </si>
  <si>
    <t>| 4476 | 0.00243  |    -     | 0.00220  |0.04745  |    -     |    -     |</t>
  </si>
  <si>
    <t>| 4477 | 0.00232  |    -     | 0.00218  |0.04737  |    -     |    -     |</t>
  </si>
  <si>
    <t>| 4478 | 0.00236  |    -     | 0.00216  |0.04736  |    -     |    -     |</t>
  </si>
  <si>
    <t>| 4479 | 0.00231  |    -     | 0.00222  |0.04744  |    -     |    -     |</t>
  </si>
  <si>
    <t>| 4480 | 0.00238  |    -     | 0.00221  |0.04743  |    -     |    -     |</t>
  </si>
  <si>
    <t>| 4481 | 0.00237  |    -     | 0.00217  |0.04743  |    -     |    -     |</t>
  </si>
  <si>
    <t>| 4482 | 0.00239  |    -     | 0.00216  |0.04743  |    -     |    -     |</t>
  </si>
  <si>
    <t>| 4483 | 0.00234  |    -     | 0.00221  |0.04745  |    -     |    -     |</t>
  </si>
  <si>
    <t>| 4484 | 0.00245  |    -     | 0.00221  |0.04740  |    -     |    -     |</t>
  </si>
  <si>
    <t>| 4485 | 0.00238  |    -     | 0.00216  |0.04744  |    -     |    -     |</t>
  </si>
  <si>
    <t>| 4486 | 0.00232  |    -     | 0.00221  |0.04669  |    -     |    -     |</t>
  </si>
  <si>
    <t>| 4487 | 0.00232  |    -     | 0.00218  |0.04420  |    -     |    -     |</t>
  </si>
  <si>
    <t>| 4488 | 0.00233  |    -     | 0.00224  |0.04741  |    -     |    -     |</t>
  </si>
  <si>
    <t>| 4489 | 0.00236  |    -     | 0.00224  |0.04742  |    -     |    -     |</t>
  </si>
  <si>
    <t>| 4490 | 0.00227  |    -     | 0.00216  |0.04737  |    -     |    -     |</t>
  </si>
  <si>
    <t>| 4491 | 0.00223  |    -     | 0.00213  |0.04741  |    -     |    -     |</t>
  </si>
  <si>
    <t>| 4492 | 0.00240  |    -     | 0.00221  |0.04738  |    -     |    -     |</t>
  </si>
  <si>
    <t>| 4493 | 0.00240  |    -     | 0.00223  |0.04744  |    -     |    -     |</t>
  </si>
  <si>
    <t>| 4494 | 0.00240  |    -     | 0.00218  |0.04743  |    -     |    -     |</t>
  </si>
  <si>
    <t>| 4495 | 0.00235  |    -     | 0.00222  |0.04743  |    -     |    -     |</t>
  </si>
  <si>
    <t>| 4496 | 0.00239  |    -     | 0.00219  |0.04006  |    -     |    -     |</t>
  </si>
  <si>
    <t>| 4497 | 0.00221  |    -     | 0.00213  |0.04734  |    -     |    -     |</t>
  </si>
  <si>
    <t>| 4498 | 0.00238  |    -     | 0.00220  |0.04747  |    -     |    -     |</t>
  </si>
  <si>
    <t>| 4499 | 0.00231  |    -     | 0.00224  |0.04735  |    -     |    -     |</t>
  </si>
  <si>
    <t>| 4500 | 0.00238  |    -     | 0.00221  |0.04745  |    -     |    -     |</t>
  </si>
  <si>
    <t>| 4501 | 0.00233  |    -     | 0.00223  |0.04412  |    -     |    -     |</t>
  </si>
  <si>
    <t>| 4502 | 0.00236  |    -     | 0.00215  |0.04744  |    -     |    -     |</t>
  </si>
  <si>
    <t>| 4503 | 0.00229  |    -     | 0.00225  |0.04746  |    -     |    -     |</t>
  </si>
  <si>
    <t>| 4504 | 0.00240  |    -     | 0.00220  |0.04742  |    -     |    -     |</t>
  </si>
  <si>
    <t>| 4505 | 0.00235  |    -     | 0.00223  |0.04739  |    -     |    -     |</t>
  </si>
  <si>
    <t>| 4506 | 0.00239  |    -     | 0.00222  |0.04029  |    -     |    -     |</t>
  </si>
  <si>
    <t>| 4507 | 0.00248  |    -     | 0.00231  |0.04673  |    -     |    -     |</t>
  </si>
  <si>
    <t>| 4508 | 0.00252  |    -     | 0.00228  |0.04749  |    -     |    -     |</t>
  </si>
  <si>
    <t>| 4509 | 0.00238  |    -     | 0.00225  |0.04740  |    -     |    -     |</t>
  </si>
  <si>
    <t>| 4510 | 0.00223  |    -     | 0.00209  |0.04727  |    -     |    -     |</t>
  </si>
  <si>
    <t>| 4511 | 0.00239  |    -     | 0.00221  |0.04739  |    -     |    -     |</t>
  </si>
  <si>
    <t>| 4512 | 0.00237  |    -     | 0.00218  |0.04561  |    -     |    -     |</t>
  </si>
  <si>
    <t>| 4513 | 0.00242  |    -     | 0.00226  |0.04739  |    -     |    -     |</t>
  </si>
  <si>
    <t>| 4514 | 0.00233  |    -     | 0.00221  |0.04739  |    -     |    -     |</t>
  </si>
  <si>
    <t>| 4515 | 0.00237  |    -     | 0.00224  |0.04746  |    -     |    -     |</t>
  </si>
  <si>
    <t>| 4516 | 0.00237  |    -     | 0.00220  |0.04742  |    -     |    -     |</t>
  </si>
  <si>
    <t>| 4517 | 0.00219  |    -     | 0.00209  |0.04732  |    -     |    -     |</t>
  </si>
  <si>
    <t>| 4518 | 0.00234  |    -     | 0.00218  |0.04737  |    -     |    -     |</t>
  </si>
  <si>
    <t>| 4519 | 0.00244  |    -     | 0.00222  |0.04746  |    -     |    -     |</t>
  </si>
  <si>
    <t>| 4520 | 0.00236  |    -     | 0.00216  |0.04746  |    -     |    -     |</t>
  </si>
  <si>
    <t>| 4521 | 0.00224  |    -     | 0.00221  |0.04743  |    -     |    -     |</t>
  </si>
  <si>
    <t>| 4522 | 0.00236  |    -     | 0.00219  |0.04745  |    -     |    -     |</t>
  </si>
  <si>
    <t>| 4523 | 0.00233  |    -     | 0.00213  |0.04746  |    -     |    -     |</t>
  </si>
  <si>
    <t>| 4524 | 0.00238  |    -     | 0.00222  |0.04747  |    -     |    -     |</t>
  </si>
  <si>
    <t>| 4525 | 0.00234  |    -     | 0.00220  |0.04679  |    -     |    -     |</t>
  </si>
  <si>
    <t>| 4526 | 0.00238  |    -     | 0.00218  |0.04740  |    -     |    -     |</t>
  </si>
  <si>
    <t>| 4527 | 0.00241  |    -     | 0.00217  |0.04750  |    -     |    -     |</t>
  </si>
  <si>
    <t>| 4528 | 0.00240  |    -     | 0.00220  |0.04738  |    -     |    -     |</t>
  </si>
  <si>
    <t>| 4529 | 0.00243  |    -     | 0.00226  |0.04745  |    -     |    -     |</t>
  </si>
  <si>
    <t>| 4530 | 0.00240  |    -     | 0.00222  |0.04745  |    -     |    -     |</t>
  </si>
  <si>
    <t>| 4531 | 0.00233  |    -     | 0.00222  |0.04623  |    -     |    -     |</t>
  </si>
  <si>
    <t>| 4532 | 0.00245  |    -     | 0.00234  |0.04747  |    -     |    -     |</t>
  </si>
  <si>
    <t>| 4533 | 0.00243  |    -     | 0.00224  |0.04745  |    -     |    -     |</t>
  </si>
  <si>
    <t>| 4534 | 0.00237  |    -     | 0.00219  |0.04744  |    -     |    -     |</t>
  </si>
  <si>
    <t>| 4535 | 0.00232  |    -     | 0.00221  |0.04741  |    -     |    -     |</t>
  </si>
  <si>
    <t>| 4536 | 0.00236  |    -     | 0.00221  |0.04743  |    -     |    -     |</t>
  </si>
  <si>
    <t>| 4537 | 0.00236  |    -     | 0.00225  |0.04714  |    -     |    -     |</t>
  </si>
  <si>
    <t>| 4538 | 0.00242  |    -     | 0.00222  |0.04746  |    -     |    -     |</t>
  </si>
  <si>
    <t>| 4539 | 0.00237  |    -     | 0.00219  |0.04746  |    -     |    -     |</t>
  </si>
  <si>
    <t>| 4540 | 0.00236  |    -     | 0.00221  |0.04740  |    -     |    -     |</t>
  </si>
  <si>
    <t>| 4541 | 0.00233  |    -     | 0.00221  |0.04738  |    -     |    -     |</t>
  </si>
  <si>
    <t>| 4542 | 0.00246  |    -     | 0.00219  |0.04216  |    -     |    -     |</t>
  </si>
  <si>
    <t>| 4543 | 0.00230  |    -     | 0.00223  |0.04737  |    -     |    -     |</t>
  </si>
  <si>
    <t>| 4544 | 0.00233  |    -     | 0.00217  |0.04741  |    -     |    -     |</t>
  </si>
  <si>
    <t>| 4545 | 0.00233  |    -     | 0.00224  |0.04736  |    -     |    -     |</t>
  </si>
  <si>
    <t>| 4546 | 0.00241  |    -     | 0.00212  |0.04742  |    -     |    -     |</t>
  </si>
  <si>
    <t>| 4547 | 0.00242  |    -     | 0.00230  |0.04742  |    -     |    -     |</t>
  </si>
  <si>
    <t>| 4548 | 0.00237  |    -     | 0.00220  |0.04184  |    -     |    -     |</t>
  </si>
  <si>
    <t>| 4549 | 0.00230  |    -     | 0.00220  |0.04736  |    -     |    -     |</t>
  </si>
  <si>
    <t>| 4550 | 0.00227  |    -     | 0.00220  |0.04345  |    -     |    -     |</t>
  </si>
  <si>
    <t>| 4551 | 0.00236  |    -     | 0.00222  |0.04741  |    -     |    -     |</t>
  </si>
  <si>
    <t>| 4552 | 0.00238  |    -     | 0.00218  |0.04743  |    -     |    -     |</t>
  </si>
  <si>
    <t>| 4553 | 0.00238  |    -     | 0.00224  |0.04741  |    -     |    -     |</t>
  </si>
  <si>
    <t>| 4554 | 0.00240  |    -     | 0.00225  |0.04745  |    -     |    -     |</t>
  </si>
  <si>
    <t>| 4555 | 0.00225  |    -     | 0.00210  |0.04734  |    -     |    -     |</t>
  </si>
  <si>
    <t>| 4556 | 0.00241  |    -     | 0.00223  |0.04741  |    -     |    -     |</t>
  </si>
  <si>
    <t>| 4557 | 0.00235  |    -     | 0.00225  |0.04742  |    -     |    -     |</t>
  </si>
  <si>
    <t>| 4558 | 0.00235  |    -     | 0.00221  |0.04739  |    -     |    -     |</t>
  </si>
  <si>
    <t>| 4559 | 0.00237  |    -     | 0.00221  |0.04745  |    -     |    -     |</t>
  </si>
  <si>
    <t>| 4560 | 0.00240  |    -     | 0.00219  |0.04743  |    -     |    -     |</t>
  </si>
  <si>
    <t>| 4561 | 0.00222  |    -     | 0.00215  |0.04737  |    -     |    -     |</t>
  </si>
  <si>
    <t>| 4562 | 0.00237  |    -     | 0.00220  |0.04746  |    -     |    -     |</t>
  </si>
  <si>
    <t>| 4563 | 0.00232  |    -     | 0.00222  |0.04748  |    -     |    -     |</t>
  </si>
  <si>
    <t>| 4564 | 0.00235  |    -     | 0.00224  |0.04743  |    -     |    -     |</t>
  </si>
  <si>
    <t>| 4565 | 0.00234  |    -     | 0.00221  |0.04371  |    -     |    -     |</t>
  </si>
  <si>
    <t>| 4566 | 0.00233  |    -     | 0.00231  |0.04747  |    -     |    -     |</t>
  </si>
  <si>
    <t>| 4567 | 0.00230  |    -     | 0.00220  |0.04728  |    -     |    -     |</t>
  </si>
  <si>
    <t>| 4568 | 0.00234  |    -     | 0.00221  |0.04743  |    -     |    -     |</t>
  </si>
  <si>
    <t>| 4569 | 0.00238  |    -     | 0.00222  |0.04383  |    -     |    -     |</t>
  </si>
  <si>
    <t>| 4570 | 0.00238  |    -     | 0.00218  |0.04742  |    -     |    -     |</t>
  </si>
  <si>
    <t>| 4571 | 0.00236  |    -     | 0.00222  |0.04746  |    -     |    -     |</t>
  </si>
  <si>
    <t>| 4572 | 0.00226  |    -     | 0.00209  |0.04396  |    -     |    -     |</t>
  </si>
  <si>
    <t>| 4573 | 0.00240  |    -     | 0.00223  |0.04742  |    -     |    -     |</t>
  </si>
  <si>
    <t>| 4574 | 0.00239  |    -     | 0.00220  |0.04743  |    -     |    -     |</t>
  </si>
  <si>
    <t>| 4575 | 0.00232  |    -     | 0.00221  |0.04375  |    -     |    -     |</t>
  </si>
  <si>
    <t>| 4576 | 0.00237  |    -     | 0.00221  |0.04470  |    -     |    -     |</t>
  </si>
  <si>
    <t>| 4577 | 0.00236  |    -     | 0.00237  |0.04752  |    -     |    -     |</t>
  </si>
  <si>
    <t>| 4578 | 0.00252  |    -     | 0.00221  |0.04764  |    -     |    -     |</t>
  </si>
  <si>
    <t>| 4579 | 0.00242  |    -     | 0.00222  |0.04271  |    -     |    -     |</t>
  </si>
  <si>
    <t>| 4580 | 0.00239  |    -     | 0.00218  |0.04505  |    -     |    -     |</t>
  </si>
  <si>
    <t>| 4581 | 0.00243  |    -     | 0.00239  |0.04762  |    -     |    -     |</t>
  </si>
  <si>
    <t>| 4582 | 0.00243  |    -     | 0.00221  |0.04746  |    -     |    -     |</t>
  </si>
  <si>
    <t>| 4583 | 0.00233  |    -     | 0.00219  |0.04745  |    -     |    -     |</t>
  </si>
  <si>
    <t>| 4584 | 0.00239  |    -     | 0.00218  |0.04742  |    -     |    -     |</t>
  </si>
  <si>
    <t>| 4585 | 0.00223  |    -     | 0.00224  |0.04513  |    -     |    -     |</t>
  </si>
  <si>
    <t>| 4586 | 0.00245  |    -     | 0.00218  |0.04749  |    -     |    -     |</t>
  </si>
  <si>
    <t>| 4587 | 0.00234  |    -     | 0.00219  |0.04744  |    -     |    -     |</t>
  </si>
  <si>
    <t>| 4588 | 0.00233  |    -     | 0.00215  |0.04743  |    -     |    -     |</t>
  </si>
  <si>
    <t>| 4589 | 0.00236  |    -     | 0.00220  |0.04748  |    -     |    -     |</t>
  </si>
  <si>
    <t>| 4590 | 0.00240  |    -     | 0.00218  |0.04447  |    -     |    -     |</t>
  </si>
  <si>
    <t>| 4591 | 0.00224  |    -     | 0.00214  |0.04743  |    -     |    -     |</t>
  </si>
  <si>
    <t>| 4592 | 0.00237  |    -     | 0.00218  |0.04744  |    -     |    -     |</t>
  </si>
  <si>
    <t>| 4593 | 0.00234  |    -     | 0.00220  |0.04742  |    -     |    -     |</t>
  </si>
  <si>
    <t>| 4594 | 0.00240  |    -     | 0.00220  |0.04745  |    -     |    -     |</t>
  </si>
  <si>
    <t>| 4595 | 0.00232  |    -     | 0.00219  |0.03947  |    -     |    -     |</t>
  </si>
  <si>
    <t>| 4596 | 0.00232  |    -     | 0.00204  |0.04698  |    -     |    -     |</t>
  </si>
  <si>
    <t>| 4597 | 0.00236  |    -     | 0.00209  |0.04736  |    -     |    -     |</t>
  </si>
  <si>
    <t>| 4598 | 0.00240  |    -     | 0.00220  |0.04697  |    -     |    -     |</t>
  </si>
  <si>
    <t>| 4599 | 0.00232  |    -     | 0.00223  |0.04459  |    -     |    -     |</t>
  </si>
  <si>
    <t>| 4600 | 0.00234  |    -     | 0.00216  |0.04746  |    -     |    -     |</t>
  </si>
  <si>
    <t>| 4601 | 0.00231  |    -     | 0.00216  |0.04742  |    -     |    -     |</t>
  </si>
  <si>
    <t>| 4602 | 0.00241  |    -     | 0.00217  |0.04743  |    -     |    -     |</t>
  </si>
  <si>
    <t>| 4603 | 0.00226  |    -     | 0.00208  |0.04425  |    -     |    -     |</t>
  </si>
  <si>
    <t>| 4604 | 0.00224  |    -     | 0.00209  |0.03877  |    -     |    -     |</t>
  </si>
  <si>
    <t>| 4605 | 0.00232  |    -     | 0.00211  |0.04749  |    -     |    -     |</t>
  </si>
  <si>
    <t>| 4606 | 0.00238  |    -     | 0.00210  |0.04749  |    -     |    -     |</t>
  </si>
  <si>
    <t>| 4607 | 0.00233  |    -     | 0.00216  |0.04740  |    -     |    -     |</t>
  </si>
  <si>
    <t>| 4608 | 0.00242  |    -     | 0.00218  |0.04744  |    -     |    -     |</t>
  </si>
  <si>
    <t>| 4609 | 0.00233  |    -     | 0.00223  |0.04744  |    -     |    -     |</t>
  </si>
  <si>
    <t>| 4610 | 0.00240  |    -     | 0.00219  |0.03995  |    -     |    -     |</t>
  </si>
  <si>
    <t>| 4611 | 0.00231  |    -     | 0.00210  |0.04727  |    -     |    -     |</t>
  </si>
  <si>
    <t>| 4612 | 0.00236  |    -     | 0.00218  |0.04744  |    -     |    -     |</t>
  </si>
  <si>
    <t>| 4613 | 0.00238  |    -     | 0.00220  |0.04743  |    -     |    -     |</t>
  </si>
  <si>
    <t>| 4614 | 0.00240  |    -     | 0.00220  |0.04742  |    -     |    -     |</t>
  </si>
  <si>
    <t>| 4615 | 0.00230  |    -     | 0.00223  |0.04423  |    -     |    -     |</t>
  </si>
  <si>
    <t>| 4616 | 0.00234  |    -     | 0.00224  |0.04745  |    -     |    -     |</t>
  </si>
  <si>
    <t>| 4617 | 0.00236  |    -     | 0.00223  |0.04746  |    -     |    -     |</t>
  </si>
  <si>
    <t>| 4618 | 0.00235  |    -     | 0.00217  |0.04740  |    -     |    -     |</t>
  </si>
  <si>
    <t>| 4619 | 0.00233  |    -     | 0.00220  |0.04731  |    -     |    -     |</t>
  </si>
  <si>
    <t>| 4620 | 0.00249  |    -     | 0.00234  |0.04743  |    -     |    -     |</t>
  </si>
  <si>
    <t>| 4621 | 0.00236  |    -     | 0.00212  |0.04738  |    -     |    -     |</t>
  </si>
  <si>
    <t>| 4622 | 0.00232  |    -     | 0.00221  |0.04735  |    -     |    -     |</t>
  </si>
  <si>
    <t>| 4623 | 0.00231  |    -     | 0.00218  |0.04738  |    -     |    -     |</t>
  </si>
  <si>
    <t>| 4624 | 0.00241  |    -     | 0.00222  |0.04197  |    -     |    -     |</t>
  </si>
  <si>
    <t>| 4625 | 0.00241  |    -     | 0.00220  |0.04199  |    -     |    -     |</t>
  </si>
  <si>
    <t>| 4626 | 0.00236  |    -     | 0.00218  |0.04745  |    -     |    -     |</t>
  </si>
  <si>
    <t>| 4627 | 0.00231  |    -     | 0.00222  |0.04736  |    -     |    -     |</t>
  </si>
  <si>
    <t>| 4628 | 0.00231  |    -     | 0.00219  |0.04748  |    -     |    -     |</t>
  </si>
  <si>
    <t>| 4629 | 0.00232  |    -     | 0.00212  |0.04735  |    -     |    -     |</t>
  </si>
  <si>
    <t>| 4630 | 0.00236  |    -     | 0.00217  |0.04745  |    -     |    -     |</t>
  </si>
  <si>
    <t>| 4631 | 0.00235  |    -     | 0.00212  |0.04296  |    -     |    -     |</t>
  </si>
  <si>
    <t>| 4632 | 0.00232  |    -     | 0.00219  |0.04735  |    -     |    -     |</t>
  </si>
  <si>
    <t>| 4633 | 0.00220  |    -     | 0.00223  |0.04747  |    -     |    -     |</t>
  </si>
  <si>
    <t>| 4634 | 0.00241  |    -     | 0.00220  |0.04738  |    -     |    -     |</t>
  </si>
  <si>
    <t>| 4635 | 0.00235  |    -     | 0.00221  |0.04703  |    -     |    -     |</t>
  </si>
  <si>
    <t>| 4636 | 0.00258  |    -     | 0.00215  |0.04733  |    -     |    -     |</t>
  </si>
  <si>
    <t>| 4637 | 0.00234  |    -     | 0.00220  |0.04737  |    -     |    -     |</t>
  </si>
  <si>
    <t>| 4638 | 0.00238  |    -     | 0.00223  |0.04088  |    -     |    -     |</t>
  </si>
  <si>
    <t>| 4639 | 0.00228  |    -     | 0.00217  |0.04736  |    -     |    -     |</t>
  </si>
  <si>
    <t>| 4640 | 0.00242  |    -     | 0.00219  |0.04747  |    -     |    -     |</t>
  </si>
  <si>
    <t>| 4641 | 0.00231  |    -     | 0.00215  |0.04740  |    -     |    -     |</t>
  </si>
  <si>
    <t>| 4642 | 0.00235  |    -     | 0.00221  |0.04746  |    -     |    -     |</t>
  </si>
  <si>
    <t>| 4643 | 0.00235  |    -     | 0.00222  |0.04747  |    -     |    -     |</t>
  </si>
  <si>
    <t>| 4644 | 0.00231  |    -     | 0.00211  |0.04741  |    -     |    -     |</t>
  </si>
  <si>
    <t>| 4645 | 0.00243  |    -     | 0.00224  |0.04742  |    -     |    -     |</t>
  </si>
  <si>
    <t>| 4646 | 0.00241  |    -     | 0.00220  |0.04744  |    -     |    -     |</t>
  </si>
  <si>
    <t>| 4647 | 0.00235  |    -     | 0.00223  |0.04587  |    -     |    -     |</t>
  </si>
  <si>
    <t>| 4648 | 0.00248  |    -     | 0.00224  |0.04747  |    -     |    -     |</t>
  </si>
  <si>
    <t>| 4649 | 0.00237  |    -     | 0.00215  |0.04748  |    -     |    -     |</t>
  </si>
  <si>
    <t>| 4650 | 0.00228  |    -     | 0.00215  |0.04742  |    -     |    -     |</t>
  </si>
  <si>
    <t>| 4651 | 0.00233  |    -     | 0.00217  |0.04746  |    -     |    -     |</t>
  </si>
  <si>
    <t>| 4652 | 0.00238  |    -     | 0.00219  |0.04743  |    -     |    -     |</t>
  </si>
  <si>
    <t>| 4653 | 0.00235  |    -     | 0.00220  |0.04601  |    -     |    -     |</t>
  </si>
  <si>
    <t>| 4654 | 0.00244  |    -     | 0.00227  |0.04741  |    -     |    -     |</t>
  </si>
  <si>
    <t>| 4655 | 0.00236  |    -     | 0.00219  |0.04739  |    -     |    -     |</t>
  </si>
  <si>
    <t>| 4656 | 0.00238  |    -     | 0.00216  |0.04115  |    -     |    -     |</t>
  </si>
  <si>
    <t>| 4657 | 0.00231  |    -     | 0.00218  |0.04750  |    -     |    -     |</t>
  </si>
  <si>
    <t>| 4658 | 0.00243  |    -     | 0.00219  |0.04744  |    -     |    -     |</t>
  </si>
  <si>
    <t>| 4659 | 0.00233  |    -     | 0.00217  |0.04745  |    -     |    -     |</t>
  </si>
  <si>
    <t>| 4660 | 0.00239  |    -     | 0.00217  |0.04737  |    -     |    -     |</t>
  </si>
  <si>
    <t>| 4661 | 0.00237  |    -     | 0.00221  |0.04733  |    -     |    -     |</t>
  </si>
  <si>
    <t>| 4662 | 0.00223  |    -     | 0.00209  |0.04730  |    -     |    -     |</t>
  </si>
  <si>
    <t>| 4663 | 0.00221  |    -     | 0.00225  |0.03969  |    -     |    -     |</t>
  </si>
  <si>
    <t>| 4664 | 0.00244  |    -     | 0.00219  |0.04264  |    -     |    -     |</t>
  </si>
  <si>
    <t>| 4665 | 0.00238  |    -     | 0.00222  |0.04736  |    -     |    -     |</t>
  </si>
  <si>
    <t>| 4666 | 0.00238  |    -     | 0.00215  |0.04623  |    -     |    -     |</t>
  </si>
  <si>
    <t>| 4667 | 0.00240  |    -     | 0.00220  |0.04742  |    -     |    -     |</t>
  </si>
  <si>
    <t>| 4668 | 0.00237  |    -     | 0.00221  |0.04734  |    -     |    -     |</t>
  </si>
  <si>
    <t>| 4669 | 0.00252  |    -     | 0.00238  |0.04666  |    -     |    -     |</t>
  </si>
  <si>
    <t>| 4670 | 0.00227  |    -     | 0.00211  |0.04734  |    -     |    -     |</t>
  </si>
  <si>
    <t>| 4671 | 0.00235  |    -     | 0.00216  |0.04744  |    -     |    -     |</t>
  </si>
  <si>
    <t>| 4672 | 0.00236  |    -     | 0.00220  |0.04744  |    -     |    -     |</t>
  </si>
  <si>
    <t>| 4673 | 0.00234  |    -     | 0.00221  |0.04746  |    -     |    -     |</t>
  </si>
  <si>
    <t>| 4674 | 0.00234  |    -     | 0.00216  |0.04741  |    -     |    -     |</t>
  </si>
  <si>
    <t>| 4675 | 0.00240  |    -     | 0.00220  |0.04742  |    -     |    -     |</t>
  </si>
  <si>
    <t>| 4676 | 0.00228  |    -     | 0.00212  |0.04371  |    -     |    -     |</t>
  </si>
  <si>
    <t>| 4677 | 0.00231  |    -     | 0.00215  |0.03909  |    -     |    -     |</t>
  </si>
  <si>
    <t>| 4678 | 0.00219  |    -     | 0.00224  |0.04749  |    -     |    -     |</t>
  </si>
  <si>
    <t>| 4679 | 0.00232  |    -     | 0.00219  |0.04744  |    -     |    -     |</t>
  </si>
  <si>
    <t>| 4680 | 0.00237  |    -     | 0.00219  |0.04741  |    -     |    -     |</t>
  </si>
  <si>
    <t>| 4681 | 0.00237  |    -     | 0.00223  |0.04742  |    -     |    -     |</t>
  </si>
  <si>
    <t>| 4682 | 0.00241  |    -     | 0.00219  |0.04742  |    -     |    -     |</t>
  </si>
  <si>
    <t>| 4683 | 0.00234  |    -     | 0.00210  |0.04744  |    -     |    -     |</t>
  </si>
  <si>
    <t>| 4684 | 0.00246  |    -     | 0.00221  |0.04747  |    -     |    -     |</t>
  </si>
  <si>
    <t>| 4685 | 0.00235  |    -     | 0.00218  |0.04746  |    -     |    -     |</t>
  </si>
  <si>
    <t>| 4686 | 0.00239  |    -     | 0.00218  |0.04747  |    -     |    -     |</t>
  </si>
  <si>
    <t>| 4687 | 0.00233  |    -     | 0.00220  |0.04743  |    -     |    -     |</t>
  </si>
  <si>
    <t>| 4688 | 0.00239  |    -     | 0.00218  |0.04741  |    -     |    -     |</t>
  </si>
  <si>
    <t>| 4689 | 0.00234  |    -     | 0.00223  |0.04245  |    -     |    -     |</t>
  </si>
  <si>
    <t>| 4690 | 0.00235  |    -     | 0.00221  |0.04740  |    -     |    -     |</t>
  </si>
  <si>
    <t>| 4691 | 0.00224  |    -     | 0.00213  |0.04747  |    -     |    -     |</t>
  </si>
  <si>
    <t>| 4692 | 0.00234  |    -     | 0.00219  |0.04736  |    -     |    -     |</t>
  </si>
  <si>
    <t>| 4693 | 0.00234  |    -     | 0.00221  |0.04737  |    -     |    -     |</t>
  </si>
  <si>
    <t>| 4694 | 0.00237  |    -     | 0.00219  |0.04738  |    -     |    -     |</t>
  </si>
  <si>
    <t>| 4695 | 0.00233  |    -     | 0.00216  |0.04738  |    -     |    -     |</t>
  </si>
  <si>
    <t>| 4696 | 0.00234  |    -     | 0.00218  |0.04744  |    -     |    -     |</t>
  </si>
  <si>
    <t>| 4697 | 0.00235  |    -     | 0.00220  |0.04747  |    -     |    -     |</t>
  </si>
  <si>
    <t>| 4698 | 0.00238  |    -     | 0.00220  |0.04022  |    -     |    -     |</t>
  </si>
  <si>
    <t>| 4699 | 0.00229  |    -     | 0.00217  |0.04745  |    -     |    -     |</t>
  </si>
  <si>
    <t>| 4700 | 0.00235  |    -     | 0.00218  |0.04746  |    -     |    -     |</t>
  </si>
  <si>
    <t>| 4701 | 0.00236  |    -     | 0.00219  |0.04748  |    -     |    -     |</t>
  </si>
  <si>
    <t>| 4702 | 0.00239  |    -     | 0.00217  |0.04749  |    -     |    -     |</t>
  </si>
  <si>
    <t>| 4703 | 0.00240  |    -     | 0.00217  |0.04738  |    -     |    -     |</t>
  </si>
  <si>
    <t>| 4704 | 0.00235  |    -     | 0.00213  |0.04263  |    -     |    -     |</t>
  </si>
  <si>
    <t>| 4705 | 0.00217  |    -     | 0.00221  |0.04744  |    -     |    -     |</t>
  </si>
  <si>
    <t>| 4706 | 0.00240  |    -     | 0.00219  |0.04740  |    -     |    -     |</t>
  </si>
  <si>
    <t>| 4707 | 0.00236  |    -     | 0.00221  |0.04745  |    -     |    -     |</t>
  </si>
  <si>
    <t>| 4708 | 0.00237  |    -     | 0.00224  |0.04739  |    -     |    -     |</t>
  </si>
  <si>
    <t>| 4709 | 0.00221  |    -     | 0.00219  |0.04551  |    -     |    -     |</t>
  </si>
  <si>
    <t>| 4710 | 0.00233  |    -     | 0.00216  |0.04741  |    -     |    -     |</t>
  </si>
  <si>
    <t>| 4711 | 0.00234  |    -     | 0.00218  |0.04740  |    -     |    -     |</t>
  </si>
  <si>
    <t>| 4712 | 0.00243  |    -     | 0.00217  |0.04738  |    -     |    -     |</t>
  </si>
  <si>
    <t>| 4713 | 0.00236  |    -     | 0.00224  |0.04746  |    -     |    -     |</t>
  </si>
  <si>
    <t>| 4714 | 0.00238  |    -     | 0.00218  |0.04459  |    -     |    -     |</t>
  </si>
  <si>
    <t>| 4715 | 0.00231  |    -     | 0.00217  |0.04744  |    -     |    -     |</t>
  </si>
  <si>
    <t>| 4716 | 0.00236  |    -     | 0.00223  |0.04745  |    -     |    -     |</t>
  </si>
  <si>
    <t>| 4717 | 0.00233  |    -     | 0.00221  |0.04738  |    -     |    -     |</t>
  </si>
  <si>
    <t>| 4718 | 0.00241  |    -     | 0.00223  |0.04746  |    -     |    -     |</t>
  </si>
  <si>
    <t>| 4719 | 0.00231  |    -     | 0.00221  |0.04742  |    -     |    -     |</t>
  </si>
  <si>
    <t>| 4720 | 0.00238  |    -     | 0.00223  |0.04745  |    -     |    -     |</t>
  </si>
  <si>
    <t>| 4721 | 0.00230  |    -     | 0.00223  |0.03939  |    -     |    -     |</t>
  </si>
  <si>
    <t>| 4722 | 0.00238  |    -     | 0.00218  |0.04740  |    -     |    -     |</t>
  </si>
  <si>
    <t>| 4723 | 0.00239  |    -     | 0.00222  |0.04748  |    -     |    -     |</t>
  </si>
  <si>
    <t>| 4724 | 0.00239  |    -     | 0.00219  |0.04747  |    -     |    -     |</t>
  </si>
  <si>
    <t>| 4725 | 0.00234  |    -     | 0.00218  |0.04738  |    -     |    -     |</t>
  </si>
  <si>
    <t>| 4726 | 0.00237  |    -     | 0.00220  |0.04540  |    -     |    -     |</t>
  </si>
  <si>
    <t>| 4727 | 0.00239  |    -     | 0.00221  |0.04742  |    -     |    -     |</t>
  </si>
  <si>
    <t>| 4728 | 0.00218  |    -     | 0.00205  |0.04727  |    -     |    -     |</t>
  </si>
  <si>
    <t>| 4729 | 0.00242  |    -     | 0.00223  |0.04685  |    -     |    -     |</t>
  </si>
  <si>
    <t>| 4730 | 0.00234  |    -     | 0.00216  |0.04742  |    -     |    -     |</t>
  </si>
  <si>
    <t>| 4731 | 0.00226  |    -     | 0.00208  |0.04729  |    -     |    -     |</t>
  </si>
  <si>
    <t>| 4732 | 0.00225  |    -     | 0.00207  |0.04729  |    -     |    -     |</t>
  </si>
  <si>
    <t>| 4733 | 0.00238  |    -     | 0.00224  |0.04748  |    -     |    -     |</t>
  </si>
  <si>
    <t>| 4734 | 0.00241  |    -     | 0.00222  |0.04747  |    -     |    -     |</t>
  </si>
  <si>
    <t>| 4735 | 0.00234  |    -     | 0.00216  |0.04742  |    -     |    -     |</t>
  </si>
  <si>
    <t>| 4736 | 0.00235  |    -     | 0.00221  |0.04743  |    -     |    -     |</t>
  </si>
  <si>
    <t>| 4737 | 0.00237  |    -     | 0.00223  |0.04738  |    -     |    -     |</t>
  </si>
  <si>
    <t>| 4738 | 0.00234  |    -     | 0.00210  |0.04734  |    -     |    -     |</t>
  </si>
  <si>
    <t>| 4739 | 0.00237  |    -     | 0.00221  |0.04739  |    -     |    -     |</t>
  </si>
  <si>
    <t>| 4740 | 0.00233  |    -     | 0.00224  |0.04746  |    -     |    -     |</t>
  </si>
  <si>
    <t>| 4741 | 0.00235  |    -     | 0.00222  |0.04751  |    -     |    -     |</t>
  </si>
  <si>
    <t>| 4742 | 0.00239  |    -     | 0.00214  |0.04751  |    -     |    -     |</t>
  </si>
  <si>
    <t>| 4743 | 0.00231  |    -     | 0.00219  |0.04738  |    -     |    -     |</t>
  </si>
  <si>
    <t>| 4744 | 0.00241  |    -     | 0.00219  |0.04736  |    -     |    -     |</t>
  </si>
  <si>
    <t>| 4745 | 0.00239  |    -     | 0.00223  |0.04742  |    -     |    -     |</t>
  </si>
  <si>
    <t>| 4746 | 0.00233  |    -     | 0.00211  |0.04743  |    -     |    -     |</t>
  </si>
  <si>
    <t>| 4747 | 0.00235  |    -     | 0.00221  |0.04749  |    -     |    -     |</t>
  </si>
  <si>
    <t>| 4748 | 0.00232  |    -     | 0.00220  |0.04665  |    -     |    -     |</t>
  </si>
  <si>
    <t>| 4749 | 0.00232  |    -     | 0.00217  |0.04737  |    -     |    -     |</t>
  </si>
  <si>
    <t>| 4750 | 0.00233  |    -     | 0.00220  |0.04731  |    -     |    -     |</t>
  </si>
  <si>
    <t>| 4751 | 0.00235  |    -     | 0.00217  |0.04739  |    -     |    -     |</t>
  </si>
  <si>
    <t>| 4752 | 0.00239  |    -     | 0.00222  |0.04563  |    -     |    -     |</t>
  </si>
  <si>
    <t>| 4753 | 0.00233  |    -     | 0.00218  |0.04740  |    -     |    -     |</t>
  </si>
  <si>
    <t>| 4754 | 0.00233  |    -     | 0.00218  |0.04745  |    -     |    -     |</t>
  </si>
  <si>
    <t>| 4755 | 0.00235  |    -     | 0.00217  |0.04743  |    -     |    -     |</t>
  </si>
  <si>
    <t>| 4756 | 0.00233  |    -     | 0.00220  |0.04739  |    -     |    -     |</t>
  </si>
  <si>
    <t>| 4757 | 0.00237  |    -     | 0.00220  |0.04740  |    -     |    -     |</t>
  </si>
  <si>
    <t>| 4758 | 0.00231  |    -     | 0.00218  |0.04740  |    -     |    -     |</t>
  </si>
  <si>
    <t>| 4759 | 0.00231  |    -     | 0.00222  |0.03955  |    -     |    -     |</t>
  </si>
  <si>
    <t>| 4760 | 0.00225  |    -     | 0.00214  |0.04742  |    -     |    -     |</t>
  </si>
  <si>
    <t>| 4761 | 0.00232  |    -     | 0.00220  |0.04749  |    -     |    -     |</t>
  </si>
  <si>
    <t>| 4762 | 0.00243  |    -     | 0.00227  |0.04748  |    -     |    -     |</t>
  </si>
  <si>
    <t>| 4763 | 0.00238  |    -     | 0.00219  |0.04739  |    -     |    -     |</t>
  </si>
  <si>
    <t>| 4764 | 0.00237  |    -     | 0.00218  |0.04739  |    -     |    -     |</t>
  </si>
  <si>
    <t>| 4765 | 0.00237  |    -     | 0.00222  |0.04747  |    -     |    -     |</t>
  </si>
  <si>
    <t>| 4766 | 0.00238  |    -     | 0.00219  |0.04743  |    -     |    -     |</t>
  </si>
  <si>
    <t>| 4767 | 0.00223  |    -     | 0.00208  |0.04729  |    -     |    -     |</t>
  </si>
  <si>
    <t>| 4768 | 0.00227  |    -     | 0.00208  |0.04730  |    -     |    -     |</t>
  </si>
  <si>
    <t>| 4769 | 0.00222  |    -     | 0.00208  |0.04728  |    -     |    -     |</t>
  </si>
  <si>
    <t>| 4770 | 0.00232  |    -     | 0.00217  |0.04744  |    -     |    -     |</t>
  </si>
  <si>
    <t>| 4771 | 0.00238  |    -     | 0.00216  |0.04744  |    -     |    -     |</t>
  </si>
  <si>
    <t>| 4772 | 0.00236  |    -     | 0.00219  |0.04678  |    -     |    -     |</t>
  </si>
  <si>
    <t>| 4773 | 0.00234  |    -     | 0.00218  |0.04740  |    -     |    -     |</t>
  </si>
  <si>
    <t>| 4774 | 0.00237  |    -     | 0.00224  |0.04739  |    -     |    -     |</t>
  </si>
  <si>
    <t>| 4775 | 0.00241  |    -     | 0.00220  |0.04742  |    -     |    -     |</t>
  </si>
  <si>
    <t>| 4776 | 0.00231  |    -     | 0.00222  |0.04741  |    -     |    -     |</t>
  </si>
  <si>
    <t>| 4777 | 0.00236  |    -     | 0.00224  |0.04603  |    -     |    -     |</t>
  </si>
  <si>
    <t>| 4778 | 0.00231  |    -     | 0.00217  |0.04747  |    -     |    -     |</t>
  </si>
  <si>
    <t>| 4779 | 0.00237  |    -     | 0.00217  |0.04740  |    -     |    -     |</t>
  </si>
  <si>
    <t>| 4780 | 0.00232  |    -     | 0.00220  |0.04667  |    -     |    -     |</t>
  </si>
  <si>
    <t>| 4781 | 0.00247  |    -     | 0.00216  |0.04739  |    -     |    -     |</t>
  </si>
  <si>
    <t>| 4782 | 0.00238  |    -     | 0.00221  |0.04746  |    -     |    -     |</t>
  </si>
  <si>
    <t>| 4783 | 0.00240  |    -     | 0.00218  |0.04734  |    -     |    -     |</t>
  </si>
  <si>
    <t>| 4784 | 0.00231  |    -     | 0.00218  |0.04737  |    -     |    -     |</t>
  </si>
  <si>
    <t>| 4785 | 0.00234  |    -     | 0.00222  |0.04735  |    -     |    -     |</t>
  </si>
  <si>
    <t>| 4786 | 0.00232  |    -     | 0.00212  |0.04740  |    -     |    -     |</t>
  </si>
  <si>
    <t>| 4787 | 0.00236  |    -     | 0.00221  |0.04446  |    -     |    -     |</t>
  </si>
  <si>
    <t>| 4788 | 0.00237  |    -     | 0.00220  |0.04546  |    -     |    -     |</t>
  </si>
  <si>
    <t>| 4789 | 0.00228  |    -     | 0.00222  |0.04746  |    -     |    -     |</t>
  </si>
  <si>
    <t>| 4790 | 0.00235  |    -     | 0.00222  |0.04742  |    -     |    -     |</t>
  </si>
  <si>
    <t>| 4791 | 0.00236  |    -     | 0.00221  |0.04743  |    -     |    -     |</t>
  </si>
  <si>
    <t>| 4792 | 0.00245  |    -     | 0.00219  |0.04063  |    -     |    -     |</t>
  </si>
  <si>
    <t>| 4793 | 0.00226  |    -     | 0.00219  |0.04730  |    -     |    -     |</t>
  </si>
  <si>
    <t>| 4794 | 0.00227  |    -     | 0.00217  |0.04743  |    -     |    -     |</t>
  </si>
  <si>
    <t>| 4795 | 0.00235  |    -     | 0.00217  |0.04814  |    -     |    -     |</t>
  </si>
  <si>
    <t>| 4796 | 0.00246  |    -     | 0.00217  |0.04742  |    -     |    -     |</t>
  </si>
  <si>
    <t>| 4797 | 0.00242  |    -     | 0.00225  |0.04748  |    -     |    -     |</t>
  </si>
  <si>
    <t>| 4798 | 0.00228  |    -     | 0.00223  |0.04746  |    -     |    -     |</t>
  </si>
  <si>
    <t>| 4799 | 0.00237  |    -     | 0.00219  |0.04740  |    -     |    -     |</t>
  </si>
  <si>
    <t>| 4800 | 0.00243  |    -     | 0.00223  |0.04744  |    -     |    -     |</t>
  </si>
  <si>
    <t>| 4801 | 0.00240  |    -     | 0.00219  |0.04744  |    -     |    -     |</t>
  </si>
  <si>
    <t>| 4802 | 0.00231  |    -     | 0.00220  |0.04741  |    -     |    -     |</t>
  </si>
  <si>
    <t>| 4803 | 0.00233  |    -     | 0.00222  |0.04747  |    -     |    -     |</t>
  </si>
  <si>
    <t>| 4804 | 0.00235  |    -     | 0.00219  |0.04744  |    -     |    -     |</t>
  </si>
  <si>
    <t>| 4805 | 0.00233  |    -     | 0.00220  |0.04746  |    -     |    -     |</t>
  </si>
  <si>
    <t>| 4806 | 0.00239  |    -     | 0.00218  |0.04746  |    -     |    -     |</t>
  </si>
  <si>
    <t>| 4807 | 0.00236  |    -     | 0.00219  |0.04746  |    -     |    -     |</t>
  </si>
  <si>
    <t>| 4808 | 0.00238  |    -     | 0.00216  |0.04571  |    -     |    -     |</t>
  </si>
  <si>
    <t>| 4809 | 0.00233  |    -     | 0.00218  |0.04747  |    -     |    -     |</t>
  </si>
  <si>
    <t>| 4810 | 0.00230  |    -     | 0.00218  |0.04708  |    -     |    -     |</t>
  </si>
  <si>
    <t>| 4811 | 0.00239  |    -     | 0.00216  |0.04744  |    -     |    -     |</t>
  </si>
  <si>
    <t>| 4812 | 0.00236  |    -     | 0.00219  |0.04743  |    -     |    -     |</t>
  </si>
  <si>
    <t>| 4813 | 0.00232  |    -     | 0.00220  |0.04744  |    -     |    -     |</t>
  </si>
  <si>
    <t>| 4814 | 0.00235  |    -     | 0.00219  |0.04738  |    -     |    -     |</t>
  </si>
  <si>
    <t>| 4815 | 0.00242  |    -     | 0.00220  |0.04745  |    -     |    -     |</t>
  </si>
  <si>
    <t>| 4816 | 0.00238  |    -     | 0.00219  |0.04736  |    -     |    -     |</t>
  </si>
  <si>
    <t>| 4817 | 0.00228  |    -     | 0.00218  |0.04736  |    -     |    -     |</t>
  </si>
  <si>
    <t>| 4818 | 0.00236  |    -     | 0.00217  |0.04599  |    -     |    -     |</t>
  </si>
  <si>
    <t>| 4819 | 0.00231  |    -     | 0.00217  |0.04743  |    -     |    -     |</t>
  </si>
  <si>
    <t>| 4820 | 0.00245  |    -     | 0.00223  |0.04746  |    -     |    -     |</t>
  </si>
  <si>
    <t>| 4821 | 0.00234  |    -     | 0.00221  |0.04740  |    -     |    -     |</t>
  </si>
  <si>
    <t>| 4822 | 0.00232  |    -     | 0.00217  |0.04744  |    -     |    -     |</t>
  </si>
  <si>
    <t>| 4823 | 0.00233  |    -     | 0.00221  |0.04306  |    -     |    -     |</t>
  </si>
  <si>
    <t>| 4824 | 0.00234  |    -     | 0.00223  |0.04742  |    -     |    -     |</t>
  </si>
  <si>
    <t>| 4825 | 0.00238  |    -     | 0.00222  |0.04742  |    -     |    -     |</t>
  </si>
  <si>
    <t>| 4826 | 0.00235  |    -     | 0.00217  |0.04739  |    -     |    -     |</t>
  </si>
  <si>
    <t>| 4827 | 0.00233  |    -     | 0.00218  |0.04744  |    -     |    -     |</t>
  </si>
  <si>
    <t>| 4828 | 0.00230  |    -     | 0.00219  |0.04746  |    -     |    -     |</t>
  </si>
  <si>
    <t>| 4829 | 0.00237  |    -     | 0.00221  |0.04738  |    -     |    -     |</t>
  </si>
  <si>
    <t>| 4830 | 0.00232  |    -     | 0.00206  |0.04729  |    -     |    -     |</t>
  </si>
  <si>
    <t>| 4831 | 0.00247  |    -     | 0.00228  |0.04152  |    -     |    -     |</t>
  </si>
  <si>
    <t>| 4832 | 0.00231  |    -     | 0.00218  |0.04368  |    -     |    -     |</t>
  </si>
  <si>
    <t>| 4833 | 0.00235  |    -     | 0.00222  |0.04737  |    -     |    -     |</t>
  </si>
  <si>
    <t>| 4834 | 0.00234  |    -     | 0.00211  |0.04737  |    -     |    -     |</t>
  </si>
  <si>
    <t>| 4835 | 0.00232  |    -     | 0.00209  |0.04492  |    -     |    -     |</t>
  </si>
  <si>
    <t>| 4836 | 0.00236  |    -     | 0.00221  |0.04741  |    -     |    -     |</t>
  </si>
  <si>
    <t>| 4837 | 0.00234  |    -     | 0.00217  |0.04738  |    -     |    -     |</t>
  </si>
  <si>
    <t>| 4838 | 0.00235  |    -     | 0.00223  |0.04746  |    -     |    -     |</t>
  </si>
  <si>
    <t>| 4839 | 0.00232  |    -     | 0.00220  |0.04736  |    -     |    -     |</t>
  </si>
  <si>
    <t>| 4840 | 0.00242  |    -     | 0.00217  |0.04742  |    -     |    -     |</t>
  </si>
  <si>
    <t>| 4841 | 0.00222  |    -     | 0.00218  |0.04746  |    -     |    -     |</t>
  </si>
  <si>
    <t>| 4842 | 0.00254  |    -     | 0.00224  |0.04735  |    -     |    -     |</t>
  </si>
  <si>
    <t>| 4843 | 0.00208  |    -     | 0.00226  |0.04746  |    -     |    -     |</t>
  </si>
  <si>
    <t>| 4844 | 0.00239  |    -     | 0.00220  |0.04744  |    -     |    -     |</t>
  </si>
  <si>
    <t>| 4845 | 0.00232  |    -     | 0.00221  |0.04745  |    -     |    -     |</t>
  </si>
  <si>
    <t>| 4846 | 0.00236  |    -     | 0.00222  |0.04740  |    -     |    -     |</t>
  </si>
  <si>
    <t>| 4847 | 0.00238  |    -     | 0.00220  |0.04745  |    -     |    -     |</t>
  </si>
  <si>
    <t>| 4848 | 0.00228  |    -     | 0.00216  |0.04735  |    -     |    -     |</t>
  </si>
  <si>
    <t>| 4849 | 0.00239  |    -     | 0.00223  |0.04747  |    -     |    -     |</t>
  </si>
  <si>
    <t>| 4850 | 0.00233  |    -     | 0.00220  |0.04747  |    -     |    -     |</t>
  </si>
  <si>
    <t>| 4851 | 0.00237  |    -     | 0.00219  |0.04661  |    -     |    -     |</t>
  </si>
  <si>
    <t>| 4852 | 0.00234  |    -     | 0.00211  |0.04740  |    -     |    -     |</t>
  </si>
  <si>
    <t>| 4853 | 0.00239  |    -     | 0.00223  |0.04745  |    -     |    -     |</t>
  </si>
  <si>
    <t>| 4854 | 0.00236  |    -     | 0.00220  |0.04746  |    -     |    -     |</t>
  </si>
  <si>
    <t>| 4855 | 0.00239  |    -     | 0.00220  |0.04745  |    -     |    -     |</t>
  </si>
  <si>
    <t>| 4856 | 0.00234  |    -     | 0.00219  |0.04737  |    -     |    -     |</t>
  </si>
  <si>
    <t>| 4857 | 0.00240  |    -     | 0.00222  |0.04577  |    -     |    -     |</t>
  </si>
  <si>
    <t>| 4858 | 0.00231  |    -     | 0.00212  |0.04743  |    -     |    -     |</t>
  </si>
  <si>
    <t>| 4859 | 0.00248  |    -     | 0.00226  |0.04751  |    -     |    -     |</t>
  </si>
  <si>
    <t>| 4860 | 0.00240  |    -     | 0.00216  |0.04728  |    -     |    -     |</t>
  </si>
  <si>
    <t>| 4861 | 0.00241  |    -     | 0.00215  |0.04745  |    -     |    -     |</t>
  </si>
  <si>
    <t>| 4862 | 0.00232  |    -     | 0.00211  |0.04439  |    -     |    -     |</t>
  </si>
  <si>
    <t>| 4863 | 0.00234  |    -     | 0.00217  |0.04741  |    -     |    -     |</t>
  </si>
  <si>
    <t>| 4864 | 0.00227  |    -     | 0.00207  |0.04729  |    -     |    -     |</t>
  </si>
  <si>
    <t>| 4865 | 0.00238  |    -     | 0.00218  |0.04746  |    -     |    -     |</t>
  </si>
  <si>
    <t>| 4866 | 0.00232  |    -     | 0.00218  |0.04744  |    -     |    -     |</t>
  </si>
  <si>
    <t>| 4867 | 0.00235  |    -     | 0.00221  |0.04743  |    -     |    -     |</t>
  </si>
  <si>
    <t>| 4868 | 0.00237  |    -     | 0.00221  |0.04533  |    -     |    -     |</t>
  </si>
  <si>
    <t>| 4869 | 0.00237  |    -     | 0.00221  |0.04745  |    -     |    -     |</t>
  </si>
  <si>
    <t>| 4870 | 0.00242  |    -     | 0.00219  |0.04589  |    -     |    -     |</t>
  </si>
  <si>
    <t>| 4871 | 0.00236  |    -     | 0.00218  |0.04746  |    -     |    -     |</t>
  </si>
  <si>
    <t>| 4872 | 0.00235  |    -     | 0.00218  |0.04741  |    -     |    -     |</t>
  </si>
  <si>
    <t>| 4873 | 0.00220  |    -     | 0.00228  |0.04812  |    -     |    -     |</t>
  </si>
  <si>
    <t>| 4874 | 0.00233  |    -     | 0.00221  |0.04743  |    -     |    -     |</t>
  </si>
  <si>
    <t>| 4875 | 0.00225  |    -     | 0.00209  |0.04736  |    -     |    -     |</t>
  </si>
  <si>
    <t>| 4876 | 0.00243  |    -     | 0.00222  |0.04737  |    -     |    -     |</t>
  </si>
  <si>
    <t>| 4877 | 0.00223  |    -     | 0.00211  |0.04746  |    -     |    -     |</t>
  </si>
  <si>
    <t>| 4878 | 0.00243  |    -     | 0.00226  |0.04739  |    -     |    -     |</t>
  </si>
  <si>
    <t>| 4879 | 0.00236  |    -     | 0.00223  |0.04733  |    -     |    -     |</t>
  </si>
  <si>
    <t>| 4880 | 0.00238  |    -     | 0.00218  |0.04746  |    -     |    -     |</t>
  </si>
  <si>
    <t>| 4881 | 0.00230  |    -     | 0.00215  |0.04573  |    -     |    -     |</t>
  </si>
  <si>
    <t>| 4882 | 0.00236  |    -     | 0.00215  |0.04735  |    -     |    -     |</t>
  </si>
  <si>
    <t>| 4883 | 0.00243  |    -     | 0.00221  |0.04743  |    -     |    -     |</t>
  </si>
  <si>
    <t>| 4884 | 0.00239  |    -     | 0.00222  |0.04754  |    -     |    -     |</t>
  </si>
  <si>
    <t>| 4885 | 0.00239  |    -     | 0.00211  |0.04740  |    -     |    -     |</t>
  </si>
  <si>
    <t>| 4886 | 0.00232  |    -     | 0.00221  |0.04444  |    -     |    -     |</t>
  </si>
  <si>
    <t>| 4887 | 0.00237  |    -     | 0.00220  |0.04742  |    -     |    -     |</t>
  </si>
  <si>
    <t>| 4888 | 0.00242  |    -     | 0.00223  |0.04559  |    -     |    -     |</t>
  </si>
  <si>
    <t>| 4889 | 0.00231  |    -     | 0.00222  |0.04744  |    -     |    -     |</t>
  </si>
  <si>
    <t>| 4890 | 0.00234  |    -     | 0.00214  |0.04744  |    -     |    -     |</t>
  </si>
  <si>
    <t>| 4891 | 0.00238  |    -     | 0.00215  |0.04739  |    -     |    -     |</t>
  </si>
  <si>
    <t>| 4892 | 0.00238  |    -     | 0.00217  |0.04743  |    -     |    -     |</t>
  </si>
  <si>
    <t>| 4893 | 0.00235  |    -     | 0.00220  |0.04746  |    -     |    -     |</t>
  </si>
  <si>
    <t>| 4894 | 0.00232  |    -     | 0.00219  |0.04741  |    -     |    -     |</t>
  </si>
  <si>
    <t>| 4895 | 0.00234  |    -     | 0.00222  |0.04724  |    -     |    -     |</t>
  </si>
  <si>
    <t>| 4896 | 0.00234  |    -     | 0.00219  |0.04734  |    -     |    -     |</t>
  </si>
  <si>
    <t>| 4897 | 0.00238  |    -     | 0.00217  |0.04739  |    -     |    -     |</t>
  </si>
  <si>
    <t>| 4898 | 0.00234  |    -     | 0.00218  |0.04742  |    -     |    -     |</t>
  </si>
  <si>
    <t>| 4899 | 0.00236  |    -     | 0.00222  |0.04745  |    -     |    -     |</t>
  </si>
  <si>
    <t>| 4900 | 0.00234  |    -     | 0.00218  |0.04744  |    -     |    -     |</t>
  </si>
  <si>
    <t>| 4901 | 0.00232  |    -     | 0.00216  |0.04735  |    -     |    -     |</t>
  </si>
  <si>
    <t>| 4902 | 0.00231  |    -     | 0.00225  |0.04741  |    -     |    -     |</t>
  </si>
  <si>
    <t>| 4903 | 0.00235  |    -     | 0.00220  |0.04747  |    -     |    -     |</t>
  </si>
  <si>
    <t>| 4904 | 0.00233  |    -     | 0.00227  |0.04744  |    -     |    -     |</t>
  </si>
  <si>
    <t>| 4905 | 0.00234  |    -     | 0.00222  |0.04747  |    -     |    -     |</t>
  </si>
  <si>
    <t>| 4906 | 0.00237  |    -     | 0.00221  |0.04451  |    -     |    -     |</t>
  </si>
  <si>
    <t>| 4907 | 0.00230  |    -     | 0.00219  |0.04741  |    -     |    -     |</t>
  </si>
  <si>
    <t>| 4908 | 0.00233  |    -     | 0.00222  |0.04757  |    -     |    -     |</t>
  </si>
  <si>
    <t>| 4909 | 0.00240  |    -     | 0.00221  |0.04738  |    -     |    -     |</t>
  </si>
  <si>
    <t>| 4910 | 0.00235  |    -     | 0.00222  |0.04734  |    -     |    -     |</t>
  </si>
  <si>
    <t>| 4911 | 0.00238  |    -     | 0.00221  |0.04741  |    -     |    -     |</t>
  </si>
  <si>
    <t>| 4912 | 0.00233  |    -     | 0.00218  |0.04734  |    -     |    -     |</t>
  </si>
  <si>
    <t>| 4913 | 0.00239  |    -     | 0.00225  |0.04733  |    -     |    -     |</t>
  </si>
  <si>
    <t>| 4914 | 0.00238  |    -     | 0.00226  |0.04741  |    -     |    -     |</t>
  </si>
  <si>
    <t>| 4915 | 0.00239  |    -     | 0.00223  |0.04748  |    -     |    -     |</t>
  </si>
  <si>
    <t>| 4916 | 0.00246  |    -     | 0.00215  |0.04793  |    -     |    -     |</t>
  </si>
  <si>
    <t>| 4917 | 0.00238  |    -     | 0.00223  |0.04745  |    -     |    -     |</t>
  </si>
  <si>
    <t>| 4918 | 0.00234  |    -     | 0.00224  |0.04744  |    -     |    -     |</t>
  </si>
  <si>
    <t>| 4919 | 0.00235  |    -     | 0.00213  |0.04746  |    -     |    -     |</t>
  </si>
  <si>
    <t>| 4920 | 0.00247  |    -     | 0.00223  |0.04741  |    -     |    -     |</t>
  </si>
  <si>
    <t>| 4921 | 0.00223  |    -     | 0.00209  |0.04731  |    -     |    -     |</t>
  </si>
  <si>
    <t>| 4922 | 0.00234  |    -     | 0.00222  |0.04744  |    -     |    -     |</t>
  </si>
  <si>
    <t>| 4923 | 0.00232  |    -     | 0.00217  |0.04382  |    -     |    -     |</t>
  </si>
  <si>
    <t>| 4924 | 0.00234  |    -     | 0.00219  |0.04742  |    -     |    -     |</t>
  </si>
  <si>
    <t>| 4925 | 0.00227  |    -     | 0.00228  |0.04105  |    -     |    -     |</t>
  </si>
  <si>
    <t>| 4926 | 0.00236  |    -     | 0.00224  |0.04735  |    -     |    -     |</t>
  </si>
  <si>
    <t>| 4927 | 0.00223  |    -     | 0.00209  |0.04734  |    -     |    -     |</t>
  </si>
  <si>
    <t>| 4928 | 0.00238  |    -     | 0.00222  |0.04749  |    -     |    -     |</t>
  </si>
  <si>
    <t>| 4929 | 0.00233  |    -     | 0.00222  |0.04745  |    -     |    -     |</t>
  </si>
  <si>
    <t>| 4930 | 0.00231  |    -     | 0.00220  |0.04745  |    -     |    -     |</t>
  </si>
  <si>
    <t>| 4931 | 0.00237  |    -     | 0.00222  |0.04748  |    -     |    -     |</t>
  </si>
  <si>
    <t>| 4932 | 0.00230  |    -     | 0.00218  |0.04745  |    -     |    -     |</t>
  </si>
  <si>
    <t>| 4933 | 0.00233  |    -     | 0.00223  |0.04752  |    -     |    -     |</t>
  </si>
  <si>
    <t>| 4934 | 0.00235  |    -     | 0.00216  |0.04748  |    -     |    -     |</t>
  </si>
  <si>
    <t>| 4935 | 0.00237  |    -     | 0.00219  |0.04745  |    -     |    -     |</t>
  </si>
  <si>
    <t>| 4936 | 0.00242  |    -     | 0.00225  |0.04744  |    -     |    -     |</t>
  </si>
  <si>
    <t>| 4937 | 0.00233  |    -     | 0.00225  |0.04744  |    -     |    -     |</t>
  </si>
  <si>
    <t>| 4938 | 0.00233  |    -     | 0.00220  |0.04744  |    -     |    -     |</t>
  </si>
  <si>
    <t>| 4939 | 0.00238  |    -     | 0.00219  |0.04742  |    -     |    -     |</t>
  </si>
  <si>
    <t>| 4940 | 0.00237  |    -     | 0.00223  |0.04741  |    -     |    -     |</t>
  </si>
  <si>
    <t>| 4941 | 0.00235  |    -     | 0.00223  |0.04515  |    -     |    -     |</t>
  </si>
  <si>
    <t>| 4942 | 0.00233  |    -     | 0.00225  |0.04042  |    -     |    -     |</t>
  </si>
  <si>
    <t>| 4943 | 0.00226  |    -     | 0.00224  |0.04734  |    -     |    -     |</t>
  </si>
  <si>
    <t>| 4944 | 0.00223  |    -     | 0.00223  |0.04747  |    -     |    -     |</t>
  </si>
  <si>
    <t>| 4945 | 0.00234  |    -     | 0.00213  |0.04740  |    -     |    -     |</t>
  </si>
  <si>
    <t>| 4946 | 0.00244  |    -     | 0.00227  |0.04749  |    -     |    -     |</t>
  </si>
  <si>
    <t>| 4947 | 0.00226  |    -     | 0.00223  |0.04734  |    -     |    -     |</t>
  </si>
  <si>
    <t>| 4948 | 0.00241  |    -     | 0.00225  |0.04745  |    -     |    -     |</t>
  </si>
  <si>
    <t>| 4949 | 0.00234  |    -     | 0.00224  |0.04735  |    -     |    -     |</t>
  </si>
  <si>
    <t>| 4950 | 0.00235  |    -     | 0.00220  |0.04740  |    -     |    -     |</t>
  </si>
  <si>
    <t>| 4951 | 0.00251  |    -     | 0.00228  |0.04751  |    -     |    -     |</t>
  </si>
  <si>
    <t>| 4952 | 0.00237  |    -     | 0.00221  |0.04745  |    -     |    -     |</t>
  </si>
  <si>
    <t>| 4953 | 0.00232  |    -     | 0.00223  |0.04742  |    -     |    -     |</t>
  </si>
  <si>
    <t>| 4954 | 0.00238  |    -     | 0.00219  |0.04587  |    -     |    -     |</t>
  </si>
  <si>
    <t>| 4955 | 0.00247  |    -     | 0.00213  |0.04746  |    -     |    -     |</t>
  </si>
  <si>
    <t>| 4956 | 0.00238  |    -     | 0.00223  |0.04735  |    -     |    -     |</t>
  </si>
  <si>
    <t>| 4957 | 0.00241  |    -     | 0.00223  |0.04747  |    -     |    -     |</t>
  </si>
  <si>
    <t>| 4958 | 0.00237  |    -     | 0.00223  |0.04746  |    -     |    -     |</t>
  </si>
  <si>
    <t>| 4959 | 0.00236  |    -     | 0.00220  |0.04743  |    -     |    -     |</t>
  </si>
  <si>
    <t>| 4960 | 0.00233  |    -     | 0.00224  |0.04741  |    -     |    -     |</t>
  </si>
  <si>
    <t>| 4961 | 0.00229  |    -     | 0.00207  |0.04737  |    -     |    -     |</t>
  </si>
  <si>
    <t>| 4962 | 0.00231  |    -     | 0.00218  |0.04746  |    -     |    -     |</t>
  </si>
  <si>
    <t>| 4963 | 0.00240  |    -     | 0.00219  |0.04744  |    -     |    -     |</t>
  </si>
  <si>
    <t>| 4964 | 0.00235  |    -     | 0.00216  |0.04739  |    -     |    -     |</t>
  </si>
  <si>
    <t>| 4965 | 0.00236  |    -     | 0.00222  |0.04738  |    -     |    -     |</t>
  </si>
  <si>
    <t>| 4966 | 0.00236  |    -     | 0.00226  |0.04745  |    -     |    -     |</t>
  </si>
  <si>
    <t>| 4967 | 0.00239  |    -     | 0.00222  |0.04749  |    -     |    -     |</t>
  </si>
  <si>
    <t>| 4968 | 0.00236  |    -     | 0.00222  |0.04746  |    -     |    -     |</t>
  </si>
  <si>
    <t>| 4969 | 0.00233  |    -     | 0.00219  |0.04156  |    -     |    -     |</t>
  </si>
  <si>
    <t>| 4970 | 0.00231  |    -     | 0.00220  |0.04640  |    -     |    -     |</t>
  </si>
  <si>
    <t>| 4971 | 0.00242  |    -     | 0.00225  |0.04747  |    -     |    -     |</t>
  </si>
  <si>
    <t>| 4972 | 0.00238  |    -     | 0.00221  |0.04744  |    -     |    -     |</t>
  </si>
  <si>
    <t>| 4973 | 0.00233  |    -     | 0.00221  |0.04747  |    -     |    -     |</t>
  </si>
  <si>
    <t>| 4974 | 0.00235  |    -     | 0.00220  |0.04664  |    -     |    -     |</t>
  </si>
  <si>
    <t>| 4975 | 0.00240  |    -     | 0.00229  |0.04747  |    -     |    -     |</t>
  </si>
  <si>
    <t>| 4976 | 0.00231  |    -     | 0.00217  |0.04490  |    -     |    -     |</t>
  </si>
  <si>
    <t>| 4977 | 0.00234  |    -     | 0.00221  |0.04734  |    -     |    -     |</t>
  </si>
  <si>
    <t>| 4978 | 0.00226  |    -     | 0.00220  |0.04738  |    -     |    -     |</t>
  </si>
  <si>
    <t>| 4979 | 0.00237  |    -     | 0.00216  |0.04094  |    -     |    -     |</t>
  </si>
  <si>
    <t>| 4980 | 0.00221  |    -     | 0.00207  |0.04664  |    -     |    -     |</t>
  </si>
  <si>
    <t>| 4981 | 0.00236  |    -     | 0.00222  |0.04738  |    -     |    -     |</t>
  </si>
  <si>
    <t>| 4982 | 0.00230  |    -     | 0.00215  |0.04746  |    -     |    -     |</t>
  </si>
  <si>
    <t>| 4983 | 0.00237  |    -     | 0.00222  |0.04741  |    -     |    -     |</t>
  </si>
  <si>
    <t>| 4984 | 0.00236  |    -     | 0.00218  |0.04746  |    -     |    -     |</t>
  </si>
  <si>
    <t>| 4985 | 0.00234  |    -     | 0.00220  |0.04745  |    -     |    -     |</t>
  </si>
  <si>
    <t>| 4986 | 0.00236  |    -     | 0.00223  |0.04744  |    -     |    -     |</t>
  </si>
  <si>
    <t>| 4987 | 0.00240  |    -     | 0.00218  |0.04742  |    -     |    -     |</t>
  </si>
  <si>
    <t>| 4988 | 0.00234  |    -     | 0.00222  |0.04550  |    -     |    -     |</t>
  </si>
  <si>
    <t>| 4989 | 0.00235  |    -     | 0.00223  |0.04746  |    -     |    -     |</t>
  </si>
  <si>
    <t>| 4990 | 0.00241  |    -     | 0.00222  |0.04741  |    -     |    -     |</t>
  </si>
  <si>
    <t>| 4991 | 0.00239  |    -     | 0.00216  |0.04743  |    -     |    -     |</t>
  </si>
  <si>
    <t>| 4992 | 0.00237  |    -     | 0.00225  |0.04747  |    -     |    -     |</t>
  </si>
  <si>
    <t>| 4993 | 0.00233  |    -     | 0.00222  |0.04735  |    -     |    -     |</t>
  </si>
  <si>
    <t>| 4994 | 0.00231  |    -     | 0.00221  |0.04746  |    -     |    -     |</t>
  </si>
  <si>
    <t>| 4995 | 0.00235  |    -     | 0.00221  |0.04744  |    -     |    -     |</t>
  </si>
  <si>
    <t>| 4996 | 0.00227  |    -     | 0.00216  |0.04748  |    -     |    -     |</t>
  </si>
  <si>
    <t>| 4997 | 0.00233  |    -     | 0.00223  |0.04746  |    -     |    -     |</t>
  </si>
  <si>
    <t>| 4998 | 0.00238  |    -     | 0.00218  |0.04158  |    -     |    -     |</t>
  </si>
  <si>
    <t>| 4999 | 0.00229  |    -     | 0.00217  |0.04740  |    -     |    -     |</t>
  </si>
  <si>
    <t>| 5000 | 0.00233  |    -     | 0.00213  |0.04736  |    -     |    -     |</t>
  </si>
  <si>
    <t>| 5001 | 0.00237  |    -     | 0.00222  |0.04743  |    -     |    -     |</t>
  </si>
  <si>
    <t>| 5002 | 0.00240  |    -     | 0.00219  |0.04741  |    -     |    -     |</t>
  </si>
  <si>
    <t>| 5003 | 0.00245  |    -     | 0.00221  |0.04579  |    -     |    -     |</t>
  </si>
  <si>
    <t>| 5004 | 0.00231  |    -     | 0.00220  |0.04688  |    -     |    -     |</t>
  </si>
  <si>
    <t>| 5005 | 0.00230  |    -     | 0.00224  |0.04742  |    -     |    -     |</t>
  </si>
  <si>
    <t>| 5006 | 0.00235  |    -     | 0.00223  |0.04745  |    -     |    -     |</t>
  </si>
  <si>
    <t>| 5007 | 0.00236  |    -     | 0.00222  |0.04185  |    -     |    -     |</t>
  </si>
  <si>
    <t>| 5008 | 0.00230  |    -     | 0.00221  |0.04743  |    -     |    -     |</t>
  </si>
  <si>
    <t>| 5009 | 0.00241  |    -     | 0.00224  |0.04749  |    -     |    -     |</t>
  </si>
  <si>
    <t>| 5010 | 0.00234  |    -     | 0.00220  |0.04741  |    -     |    -     |</t>
  </si>
  <si>
    <t>| 5011 | 0.00232  |    -     | 0.00220  |0.04146  |    -     |    -     |</t>
  </si>
  <si>
    <t>| 5012 | 0.00225  |    -     | 0.00218  |0.04725  |    -     |    -     |</t>
  </si>
  <si>
    <t>| 5013 | 0.00232  |    -     | 0.00210  |0.04474  |    -     |    -     |</t>
  </si>
  <si>
    <t>| 5014 | 0.00236  |    -     | 0.00220  |0.04296  |    -     |    -     |</t>
  </si>
  <si>
    <t>| 5015 | 0.00238  |    -     | 0.00221  |0.04688  |    -     |    -     |</t>
  </si>
  <si>
    <t>| 5016 | 0.00230  |    -     | 0.00212  |0.04734  |    -     |    -     |</t>
  </si>
  <si>
    <t>| 5017 | 0.00233  |    -     | 0.00219  |0.04741  |    -     |    -     |</t>
  </si>
  <si>
    <t>| 5018 | 0.00238  |    -     | 0.00219  |0.04745  |    -     |    -     |</t>
  </si>
  <si>
    <t>| 5019 | 0.00238  |    -     | 0.00219  |0.04338  |    -     |    -     |</t>
  </si>
  <si>
    <t>| 5020 | 0.00227  |    -     | 0.00218  |0.04748  |    -     |    -     |</t>
  </si>
  <si>
    <t>| 5021 | 0.00235  |    -     | 0.00223  |0.04745  |    -     |    -     |</t>
  </si>
  <si>
    <t>| 5022 | 0.00238  |    -     | 0.00219  |0.04745  |    -     |    -     |</t>
  </si>
  <si>
    <t>| 5023 | 0.00236  |    -     | 0.00220  |0.04121  |    -     |    -     |</t>
  </si>
  <si>
    <t>| 5024 | 0.00233  |    -     | 0.00222  |0.04571  |    -     |    -     |</t>
  </si>
  <si>
    <t>| 5025 | 0.00232  |    -     | 0.00221  |0.04740  |    -     |    -     |</t>
  </si>
  <si>
    <t>| 5026 | 0.00240  |    -     | 0.00220  |0.04721  |    -     |    -     |</t>
  </si>
  <si>
    <t>| 5027 | 0.00239  |    -     | 0.00222  |0.03994  |    -     |    -     |</t>
  </si>
  <si>
    <t>| 5028 | 0.00229  |    -     | 0.00220  |0.04734  |    -     |    -     |</t>
  </si>
  <si>
    <t>| 5029 | 0.00232  |    -     | 0.00221  |0.04740  |    -     |    -     |</t>
  </si>
  <si>
    <t>| 5030 | 0.00231  |    -     | 0.00223  |0.04738  |    -     |    -     |</t>
  </si>
  <si>
    <t>| 5031 | 0.00236  |    -     | 0.00224  |0.04706  |    -     |    -     |</t>
  </si>
  <si>
    <t>| 5032 | 0.00236  |    -     | 0.00221  |0.04736  |    -     |    -     |</t>
  </si>
  <si>
    <t>| 5033 | 0.00236  |    -     | 0.00225  |0.04631  |    -     |    -     |</t>
  </si>
  <si>
    <t>| 5034 | 0.00240  |    -     | 0.00218  |0.04746  |    -     |    -     |</t>
  </si>
  <si>
    <t>| 5035 | 0.00238  |    -     | 0.00217  |0.03955  |    -     |    -     |</t>
  </si>
  <si>
    <t>| 5036 | 0.00221  |    -     | 0.00215  |0.04747  |    -     |    -     |</t>
  </si>
  <si>
    <t>| 5037 | 0.00242  |    -     | 0.00221  |0.04745  |    -     |    -     |</t>
  </si>
  <si>
    <t>| 5038 | 0.00237  |    -     | 0.00218  |0.04743  |    -     |    -     |</t>
  </si>
  <si>
    <t>| 5039 | 0.00234  |    -     | 0.00220  |0.04744  |    -     |    -     |</t>
  </si>
  <si>
    <t>| 5040 | 0.00237  |    -     | 0.00219  |0.04748  |    -     |    -     |</t>
  </si>
  <si>
    <t>| 5041 | 0.00235  |    -     | 0.00222  |0.04745  |    -     |    -     |</t>
  </si>
  <si>
    <t>| 5042 | 0.00230  |    -     | 0.00213  |0.04744  |    -     |    -     |</t>
  </si>
  <si>
    <t>| 5043 | 0.00237  |    -     | 0.00220  |0.04743  |    -     |    -     |</t>
  </si>
  <si>
    <t>| 5044 | 0.00231  |    -     | 0.00224  |0.04462  |    -     |    -     |</t>
  </si>
  <si>
    <t>| 5045 | 0.00236  |    -     | 0.00221  |0.04738  |    -     |    -     |</t>
  </si>
  <si>
    <t>| 5046 | 0.00242  |    -     | 0.00222  |0.04745  |    -     |    -     |</t>
  </si>
  <si>
    <t>| 5047 | 0.00239  |    -     | 0.00223  |0.04620  |    -     |    -     |</t>
  </si>
  <si>
    <t>| 5048 | 0.00239  |    -     | 0.00220  |0.04743  |    -     |    -     |</t>
  </si>
  <si>
    <t>| 5049 | 0.00236  |    -     | 0.00223  |0.04045  |    -     |    -     |</t>
  </si>
  <si>
    <t>| 5050 | 0.00234  |    -     | 0.00221  |0.04744  |    -     |    -     |</t>
  </si>
  <si>
    <t>| 5051 | 0.00240  |    -     | 0.00220  |0.04737  |    -     |    -     |</t>
  </si>
  <si>
    <t>| 5052 | 0.00236  |    -     | 0.00216  |0.04749  |    -     |    -     |</t>
  </si>
  <si>
    <t>| 5053 | 0.00251  |    -     | 0.00215  |0.04748  |    -     |    -     |</t>
  </si>
  <si>
    <t>| 5054 | 0.00239  |    -     | 0.00221  |0.04432  |    -     |    -     |</t>
  </si>
  <si>
    <t>| 5055 | 0.00235  |    -     | 0.00221  |0.04744  |    -     |    -     |</t>
  </si>
  <si>
    <t>| 5056 | 0.00238  |    -     | 0.00222  |0.04747  |    -     |    -     |</t>
  </si>
  <si>
    <t>| 5057 | 0.00231  |    -     | 0.00220  |0.04741  |    -     |    -     |</t>
  </si>
  <si>
    <t>| 5058 | 0.00219  |    -     | 0.00207  |0.04732  |    -     |    -     |</t>
  </si>
  <si>
    <t>| 5059 | 0.00224  |    -     | 0.00208  |0.04633  |    -     |    -     |</t>
  </si>
  <si>
    <t>| 5060 | 0.00226  |    -     | 0.00208  |0.04723  |    -     |    -     |</t>
  </si>
  <si>
    <t>| 5061 | 0.00223  |    -     | 0.00206  |0.04728  |    -     |    -     |</t>
  </si>
  <si>
    <t>| 5062 | 0.00222  |    -     | 0.00205  |0.04723  |    -     |    -     |</t>
  </si>
  <si>
    <t>| 5063 | 0.00228  |    -     | 0.00215  |0.04748  |    -     |    -     |</t>
  </si>
  <si>
    <t>| 5064 | 0.00235  |    -     | 0.00210  |0.04732  |    -     |    -     |</t>
  </si>
  <si>
    <t>| 5065 | 0.00224  |    -     | 0.00208  |0.03959  |    -     |    -     |</t>
  </si>
  <si>
    <t>| 5066 | 0.00222  |    -     | 0.00204  |0.04726  |    -     |    -     |</t>
  </si>
  <si>
    <t>| 5067 | 0.00227  |    -     | 0.00210  |0.04531  |    -     |    -     |</t>
  </si>
  <si>
    <t>| 5068 | 0.00224  |    -     | 0.00208  |0.04730  |    -     |    -     |</t>
  </si>
  <si>
    <t>| 5069 | 0.00227  |    -     | 0.00207  |0.04354  |    -     |    -     |</t>
  </si>
  <si>
    <t>| 5070 | 0.00222  |    -     | 0.00206  |0.04655  |    -     |    -     |</t>
  </si>
  <si>
    <t>| 5071 | 0.00225  |    -     | 0.00209  |0.04389  |    -     |    -     |</t>
  </si>
  <si>
    <t>| 5072 | 0.00226  |    -     | 0.00206  |0.04717  |    -     |    -     |</t>
  </si>
  <si>
    <t>| 5073 | 0.00221  |    -     | 0.00207  |0.04724  |    -     |    -     |</t>
  </si>
  <si>
    <t>| 5074 | 0.00224  |    -     | 0.00207  |0.04725  |    -     |    -     |</t>
  </si>
  <si>
    <t>| 5075 | 0.00221  |    -     | 0.00206  |0.04616  |    -     |    -     |</t>
  </si>
  <si>
    <t>| 5076 | 0.00221  |    -     | 0.00206  |0.04725  |    -     |    -     |</t>
  </si>
  <si>
    <t>| 5077 | 0.00222  |    -     | 0.00204  |0.04723  |    -     |    -     |</t>
  </si>
  <si>
    <t>| 5078 | 0.00221  |    -     | 0.00204  |0.04728  |    -     |    -     |</t>
  </si>
  <si>
    <t>| 5079 | 0.00227  |    -     | 0.00206  |0.04626  |    -     |    -     |</t>
  </si>
  <si>
    <t>| 5080 | 0.00223  |    -     | 0.00206  |0.04727  |    -     |    -     |</t>
  </si>
  <si>
    <t>| 5081 | 0.00228  |    -     | 0.00208  |0.04727  |    -     |    -     |</t>
  </si>
  <si>
    <t>| 5082 | 0.00224  |    -     | 0.00208  |0.04724  |    -     |    -     |</t>
  </si>
  <si>
    <t>| 5083 | 0.00222  |    -     | 0.00208  |0.04729  |    -     |    -     |</t>
  </si>
  <si>
    <t>| 5084 | 0.00223  |    -     | 0.00206  |0.04653  |    -     |    -     |</t>
  </si>
  <si>
    <t>| 5085 | 0.00247  |    -     | 0.00220  |0.04729  |    -     |    -     |</t>
  </si>
  <si>
    <t>| 5086 | 0.00224  |    -     | 0.00208  |0.04634  |    -     |    -     |</t>
  </si>
  <si>
    <t>| 5087 | 0.00238  |    -     | 0.00226  |0.04671  |    -     |    -     |</t>
  </si>
  <si>
    <t>| 5088 | 0.00236  |    -     | 0.00221  |0.04748  |    -     |    -     |</t>
  </si>
  <si>
    <t>| 5089 | 0.00235  |    -     | 0.00220  |0.04143  |    -     |    -     |</t>
  </si>
  <si>
    <t>| 5090 | 0.00233  |    -     | 0.00219  |0.04742  |    -     |    -     |</t>
  </si>
  <si>
    <t>| 5091 | 0.00235  |    -     | 0.00224  |0.04722  |    -     |    -     |</t>
  </si>
  <si>
    <t>| 5092 | 0.00244  |    -     | 0.00218  |0.04742  |    -     |    -     |</t>
  </si>
  <si>
    <t>| 5093 | 0.00232  |    -     | 0.00227  |0.04752  |    -     |    -     |</t>
  </si>
  <si>
    <t>| 5094 | 0.00242  |    -     | 0.00226  |0.04744  |    -     |    -     |</t>
  </si>
  <si>
    <t>| 5095 | 0.00232  |    -     | 0.00220  |0.04676  |    -     |    -     |</t>
  </si>
  <si>
    <t>| 5096 | 0.00233  |    -     | 0.00223  |0.04740  |    -     |    -     |</t>
  </si>
  <si>
    <t>| 5097 | 0.00224  |    -     | 0.00218  |0.04735  |    -     |    -     |</t>
  </si>
  <si>
    <t>| 5098 | 0.00234  |    -     | 0.00224  |0.04747  |    -     |    -     |</t>
  </si>
  <si>
    <t>| 5099 | 0.00236  |    -     | 0.00224  |0.04744  |    -     |    -     |</t>
  </si>
  <si>
    <t>| 5100 | 0.00236  |    -     | 0.00224  |0.04420  |    -     |    -     |</t>
  </si>
  <si>
    <t>| 5101 | 0.00238  |    -     | 0.00223  |0.04577  |    -     |    -     |</t>
  </si>
  <si>
    <t>| 5102 | 0.00238  |    -     | 0.00224  |0.04741  |    -     |    -     |</t>
  </si>
  <si>
    <t>| 5103 | 0.00245  |    -     | 0.00216  |0.04748  |    -     |    -     |</t>
  </si>
  <si>
    <t>| 5104 | 0.00234  |    -     | 0.00223  |0.04743  |    -     |    -     |</t>
  </si>
  <si>
    <t>| 5105 | 0.00237  |    -     | 0.00223  |0.04749  |    -     |    -     |</t>
  </si>
  <si>
    <t>| 5106 | 0.00238  |    -     | 0.00219  |0.04291  |    -     |    -     |</t>
  </si>
  <si>
    <t>| 5107 | 0.00263  |    -     | 0.00231  |0.04753  |    -     |    -     |</t>
  </si>
  <si>
    <t>| 5108 | 0.00235  |    -     | 0.00223  |0.04749  |    -     |    -     |</t>
  </si>
  <si>
    <t>| 5109 | 0.00242  |    -     | 0.00227  |0.04745  |    -     |    -     |</t>
  </si>
  <si>
    <t>| 5110 | 0.00239  |    -     | 0.00219  |0.04230  |    -     |    -     |</t>
  </si>
  <si>
    <t>| 5111 | 0.00230  |    -     | 0.00221  |0.04750  |    -     |    -     |</t>
  </si>
  <si>
    <t>| 5112 | 0.00238  |    -     | 0.00217  |0.04744  |    -     |    -     |</t>
  </si>
  <si>
    <t>| 5113 | 0.00245  |    -     | 0.00224  |0.04747  |    -     |    -     |</t>
  </si>
  <si>
    <t>| 5114 | 0.00236  |    -     | 0.00220  |0.04087  |    -     |    -     |</t>
  </si>
  <si>
    <t>| 5115 | 0.00239  |    -     | 0.00223  |0.04747  |    -     |    -     |</t>
  </si>
  <si>
    <t>| 5116 | 0.00235  |    -     | 0.00223  |0.04746  |    -     |    -     |</t>
  </si>
  <si>
    <t>| 5117 | 0.00239  |    -     | 0.00219  |0.04742  |    -     |    -     |</t>
  </si>
  <si>
    <t>| 5118 | 0.00241  |    -     | 0.00222  |0.04113  |    -     |    -     |</t>
  </si>
  <si>
    <t>| 5119 | 0.00227  |    -     | 0.00216  |0.04160  |    -     |    -     |</t>
  </si>
  <si>
    <t>| 5120 | 0.00231  |    -     | 0.00220  |0.04744  |    -     |    -     |</t>
  </si>
  <si>
    <t>| 5121 | 0.00231  |    -     | 0.00220  |0.04737  |    -     |    -     |</t>
  </si>
  <si>
    <t>| 5122 | 0.00230  |    -     | 0.00219  |0.04744  |    -     |    -     |</t>
  </si>
  <si>
    <t>| 5123 | 0.00234  |    -     | 0.00221  |0.04743  |    -     |    -     |</t>
  </si>
  <si>
    <t>| 5124 | 0.00238  |    -     | 0.00221  |0.04738  |    -     |    -     |</t>
  </si>
  <si>
    <t>| 5125 | 0.00237  |    -     | 0.00225  |0.04740  |    -     |    -     |</t>
  </si>
  <si>
    <t>| 5126 | 0.00242  |    -     | 0.00223  |0.04037  |    -     |    -     |</t>
  </si>
  <si>
    <t>| 5127 | 0.00229  |    -     | 0.00222  |0.04743  |    -     |    -     |</t>
  </si>
  <si>
    <t>| 5128 | 0.00236  |    -     | 0.00220  |0.04746  |    -     |    -     |</t>
  </si>
  <si>
    <t>| 5129 | 0.00241  |    -     | 0.00224  |0.04747  |    -     |    -     |</t>
  </si>
  <si>
    <t>| 5130 | 0.00238  |    -     | 0.00217  |0.04123  |    -     |    -     |</t>
  </si>
  <si>
    <t>| 5131 | 0.00231  |    -     | 0.00207  |0.04737  |    -     |    -     |</t>
  </si>
  <si>
    <t>| 5132 | 0.00238  |    -     | 0.00221  |0.04275  |    -     |    -     |</t>
  </si>
  <si>
    <t>| 5133 | 0.00227  |    -     | 0.00219  |0.04739  |    -     |    -     |</t>
  </si>
  <si>
    <t>| 5134 | 0.00235  |    -     | 0.00226  |0.04742  |    -     |    -     |</t>
  </si>
  <si>
    <t>| 5135 | 0.00235  |    -     | 0.00212  |0.04737  |    -     |    -     |</t>
  </si>
  <si>
    <t>| 5136 | 0.00235  |    -     | 0.00219  |0.04739  |    -     |    -     |</t>
  </si>
  <si>
    <t>| 5137 | 0.00240  |    -     | 0.00219  |0.04742  |    -     |    -     |</t>
  </si>
  <si>
    <t>| 5138 | 0.00242  |    -     | 0.00221  |0.04741  |    -     |    -     |</t>
  </si>
  <si>
    <t>| 5139 | 0.00237  |    -     | 0.00221  |0.04735  |    -     |    -     |</t>
  </si>
  <si>
    <t>| 5140 | 0.00241  |    -     | 0.00223  |0.04745  |    -     |    -     |</t>
  </si>
  <si>
    <t>| 5141 | 0.00238  |    -     | 0.00222  |0.04745  |    -     |    -     |</t>
  </si>
  <si>
    <t>| 5142 | 0.00238  |    -     | 0.00219  |0.04745  |    -     |    -     |</t>
  </si>
  <si>
    <t>| 5143 | 0.00232  |    -     | 0.00219  |0.04743  |    -     |    -     |</t>
  </si>
  <si>
    <t>| 5144 | 0.00239  |    -     | 0.00221  |0.04688  |    -     |    -     |</t>
  </si>
  <si>
    <t>| 5145 | 0.00240  |    -     | 0.00222  |0.04743  |    -     |    -     |</t>
  </si>
  <si>
    <t>| 5146 | 0.00239  |    -     | 0.00220  |0.04743  |    -     |    -     |</t>
  </si>
  <si>
    <t>| 5147 | 0.00236  |    -     | 0.00224  |0.04746  |    -     |    -     |</t>
  </si>
  <si>
    <t>| 5148 | 0.00231  |    -     | 0.00220  |0.04742  |    -     |    -     |</t>
  </si>
  <si>
    <t>| 5149 | 0.00236  |    -     | 0.00224  |0.04705  |    -     |    -     |</t>
  </si>
  <si>
    <t>| 5150 | 0.00239  |    -     | 0.00221  |0.04653  |    -     |    -     |</t>
  </si>
  <si>
    <t>| 5151 | 0.00238  |    -     | 0.00212  |0.04744  |    -     |    -     |</t>
  </si>
  <si>
    <t>| 5152 | 0.00241  |    -     | 0.00228  |0.04735  |    -     |    -     |</t>
  </si>
  <si>
    <t>| 5153 | 0.00242  |    -     | 0.00230  |0.04741  |    -     |    -     |</t>
  </si>
  <si>
    <t>| 5154 | 0.00239  |    -     | 0.00220  |0.04737  |    -     |    -     |</t>
  </si>
  <si>
    <t>| 5155 | 0.00242  |    -     | 0.00225  |0.04738  |    -     |    -     |</t>
  </si>
  <si>
    <t>| 5156 | 0.00248  |    -     | 0.00209  |0.04731  |    -     |    -     |</t>
  </si>
  <si>
    <t>| 5157 | 0.00240  |    -     | 0.00231  |0.04739  |    -     |    -     |</t>
  </si>
  <si>
    <t>| 5158 | 0.00240  |    -     | 0.00221  |0.04663  |    -     |    -     |</t>
  </si>
  <si>
    <t>| 5159 | 0.00229  |    -     | 0.00219  |0.04740  |    -     |    -     |</t>
  </si>
  <si>
    <t>| 5160 | 0.00236  |    -     | 0.00219  |0.04745  |    -     |    -     |</t>
  </si>
  <si>
    <t>| 5161 | 0.00238  |    -     | 0.00225  |0.04741  |    -     |    -     |</t>
  </si>
  <si>
    <t>| 5162 | 0.00236  |    -     | 0.00220  |0.04735  |    -     |    -     |</t>
  </si>
  <si>
    <t>| 5163 | 0.00230  |    -     | 0.00220  |0.04747  |    -     |    -     |</t>
  </si>
  <si>
    <t>| 5164 | 0.00238  |    -     | 0.00220  |0.04749  |    -     |    -     |</t>
  </si>
  <si>
    <t>| 5165 | 0.00239  |    -     | 0.00224  |0.04740  |    -     |    -     |</t>
  </si>
  <si>
    <t>| 5166 | 0.00237  |    -     | 0.00228  |0.04740  |    -     |    -     |</t>
  </si>
  <si>
    <t>| 5167 | 0.00233  |    -     | 0.00223  |0.04746  |    -     |    -     |</t>
  </si>
  <si>
    <t>| 5168 | 0.00238  |    -     | 0.00222  |0.04570  |    -     |    -     |</t>
  </si>
  <si>
    <t>| 5169 | 0.00232  |    -     | 0.00219  |0.04545  |    -     |    -     |</t>
  </si>
  <si>
    <t>| 5170 | 0.00227  |    -     | 0.00221  |0.04743  |    -     |    -     |</t>
  </si>
  <si>
    <t>| 5171 | 0.00241  |    -     | 0.00216  |0.04745  |    -     |    -     |</t>
  </si>
  <si>
    <t>| 5172 | 0.00233  |    -     | 0.00213  |0.04752  |    -     |    -     |</t>
  </si>
  <si>
    <t>| 5173 | 0.00234  |    -     | 0.00223  |0.04127  |    -     |    -     |</t>
  </si>
  <si>
    <t>| 5174 | 0.00236  |    -     | 0.00220  |0.04741  |    -     |    -     |</t>
  </si>
  <si>
    <t>| 5175 | 0.00222  |    -     | 0.00211  |0.04741  |    -     |    -     |</t>
  </si>
  <si>
    <t>| 5176 | 0.00242  |    -     | 0.00226  |0.04744  |    -     |    -     |</t>
  </si>
  <si>
    <t>| 5177 | 0.00233  |    -     | 0.00223  |0.04152  |    -     |    -     |</t>
  </si>
  <si>
    <t>| 5178 | 0.00234  |    -     | 0.00219  |0.04094  |    -     |    -     |</t>
  </si>
  <si>
    <t>| 5179 | 0.00232  |    -     | 0.00220  |0.04733  |    -     |    -     |</t>
  </si>
  <si>
    <t>| 5180 | 0.00236  |    -     | 0.00223  |0.04733  |    -     |    -     |</t>
  </si>
  <si>
    <t>| 5181 | 0.00227  |    -     | 0.00224  |0.04747  |    -     |    -     |</t>
  </si>
  <si>
    <t>| 5182 | 0.00238  |    -     | 0.00219  |0.04744  |    -     |    -     |</t>
  </si>
  <si>
    <t>| 5183 | 0.00234  |    -     | 0.00221  |0.04739  |    -     |    -     |</t>
  </si>
  <si>
    <t>| 5184 | 0.00233  |    -     | 0.00225  |0.04745  |    -     |    -     |</t>
  </si>
  <si>
    <t>| 5185 | 0.00236  |    -     | 0.00220  |0.04103  |    -     |    -     |</t>
  </si>
  <si>
    <t>| 5186 | 0.00233  |    -     | 0.00221  |0.04729  |    -     |    -     |</t>
  </si>
  <si>
    <t>| 5187 | 0.00239  |    -     | 0.00223  |0.04742  |    -     |    -     |</t>
  </si>
  <si>
    <t>| 5188 | 0.00232  |    -     | 0.00222  |0.04729  |    -     |    -     |</t>
  </si>
  <si>
    <t>| 5189 | 0.00231  |    -     | 0.00215  |0.04089  |    -     |    -     |</t>
  </si>
  <si>
    <t>| 5190 | 0.00261  |    -     | 0.00239  |0.04743  |    -     |    -     |</t>
  </si>
  <si>
    <t>| 5191 | 0.00229  |    -     | 0.00213  |0.04617  |    -     |    -     |</t>
  </si>
  <si>
    <t>| 5192 | 0.00223  |    -     | 0.00209  |0.04544  |    -     |    -     |</t>
  </si>
  <si>
    <t>| 5193 | 0.00237  |    -     | 0.00216  |0.04361  |    -     |    -     |</t>
  </si>
  <si>
    <t>| 5194 | 0.00238  |    -     | 0.00223  |0.04747  |    -     |    -     |</t>
  </si>
  <si>
    <t>| 5195 | 0.00235  |    -     | 0.00223  |0.04747  |    -     |    -     |</t>
  </si>
  <si>
    <t>| 5196 | 0.00237  |    -     | 0.00226  |0.04744  |    -     |    -     |</t>
  </si>
  <si>
    <t>| 5197 | 0.00235  |    -     | 0.00223  |0.04106  |    -     |    -     |</t>
  </si>
  <si>
    <t>| 5198 | 0.00237  |    -     | 0.00220  |0.04220  |    -     |    -     |</t>
  </si>
  <si>
    <t>| 5199 | 0.00234  |    -     | 0.00224  |0.04620  |    -     |    -     |</t>
  </si>
  <si>
    <t>| 5200 | 0.00238  |    -     | 0.00224  |0.04746  |    -     |    -     |</t>
  </si>
  <si>
    <t>| 5201 | 0.00236  |    -     | 0.00225  |0.04658  |    -     |    -     |</t>
  </si>
  <si>
    <t>| 5202 | 0.00244  |    -     | 0.00248  |0.04753  |    -     |    -     |</t>
  </si>
  <si>
    <t>| 5203 | 0.00232  |    -     | 0.00221  |0.04548  |    -     |    -     |</t>
  </si>
  <si>
    <t>| 5204 | 0.00239  |    -     | 0.00224  |0.04750  |    -     |    -     |</t>
  </si>
  <si>
    <t>| 5205 | 0.00234  |    -     | 0.00219  |0.04272  |    -     |    -     |</t>
  </si>
  <si>
    <t>| 5206 | 0.00238  |    -     | 0.00219  |0.04743  |    -     |    -     |</t>
  </si>
  <si>
    <t>| 5207 | 0.00232  |    -     | 0.00222  |0.04749  |    -     |    -     |</t>
  </si>
  <si>
    <t>| 5208 | 0.00232  |    -     | 0.00222  |0.04734  |    -     |    -     |</t>
  </si>
  <si>
    <t>| 5209 | 0.00237  |    -     | 0.00227  |0.04244  |    -     |    -     |</t>
  </si>
  <si>
    <t>| 5210 | 0.00237  |    -     | 0.00223  |0.04733  |    -     |    -     |</t>
  </si>
  <si>
    <t>| 5211 | 0.00237  |    -     | 0.00224  |0.04646  |    -     |    -     |</t>
  </si>
  <si>
    <t>| 5212 | 0.00223  |    -     | 0.00220  |0.04742  |    -     |    -     |</t>
  </si>
  <si>
    <t>| 5213 | 0.00237  |    -     | 0.00222  |0.04135  |    -     |    -     |</t>
  </si>
  <si>
    <t>| 5214 | 0.00235  |    -     | 0.00219  |0.04112  |    -     |    -     |</t>
  </si>
  <si>
    <t>| 5215 | 0.00229  |    -     | 0.00219  |0.04742  |    -     |    -     |</t>
  </si>
  <si>
    <t>| 5216 | 0.00234  |    -     | 0.00220  |0.04575  |    -     |    -     |</t>
  </si>
  <si>
    <t>| 5217 | 0.00236  |    -     | 0.00223  |0.04741  |    -     |    -     |</t>
  </si>
  <si>
    <t>| 5218 | 0.00239  |    -     | 0.00230  |0.04742  |    -     |    -     |</t>
  </si>
  <si>
    <t>| 5219 | 0.00236  |    -     | 0.00222  |0.04502  |    -     |    -     |</t>
  </si>
  <si>
    <t>| 5220 | 0.00233  |    -     | 0.00218  |0.04740  |    -     |    -     |</t>
  </si>
  <si>
    <t>| 5221 | 0.00236  |    -     | 0.00224  |0.04446  |    -     |    -     |</t>
  </si>
  <si>
    <t>| 5222 | 0.00224  |    -     | 0.00214  |0.04750  |    -     |    -     |</t>
  </si>
  <si>
    <t>| 5223 | 0.00229  |    -     | 0.00223  |0.04592  |    -     |    -     |</t>
  </si>
  <si>
    <t>| 5224 | 0.00245  |    -     | 0.00234  |0.04743  |    -     |    -     |</t>
  </si>
  <si>
    <t>| 5225 | 0.00244  |    -     | 0.00225  |0.04241  |    -     |    -     |</t>
  </si>
  <si>
    <t>| 5226 | 0.00236  |    -     | 0.00219  |0.04746  |    -     |    -     |</t>
  </si>
  <si>
    <t>| 5227 | 0.00236  |    -     | 0.00222  |0.04757  |    -     |    -     |</t>
  </si>
  <si>
    <t>| 5228 | 0.00245  |    -     | 0.00223  |0.04748  |    -     |    -     |</t>
  </si>
  <si>
    <t>| 5229 | 0.00242  |    -     | 0.00226  |0.04093  |    -     |    -     |</t>
  </si>
  <si>
    <t>| 5230 | 0.00251  |    -     | 0.00228  |0.04734  |    -     |    -     |</t>
  </si>
  <si>
    <t>| 5231 | 0.00236  |    -     | 0.00225  |0.04752  |    -     |    -     |</t>
  </si>
  <si>
    <t>| 5232 | 0.00247  |    -     | 0.00226  |0.04791  |    -     |    -     |</t>
  </si>
  <si>
    <t>| 5233 | 0.00248  |    -     | 0.00224  |0.04018  |    -     |    -     |</t>
  </si>
  <si>
    <t>| 5234 | 0.00233  |    -     | 0.00218  |0.04743  |    -     |    -     |</t>
  </si>
  <si>
    <t>| 5235 | 0.00233  |    -     | 0.00223  |0.04746  |    -     |    -     |</t>
  </si>
  <si>
    <t>| 5236 | 0.00238  |    -     | 0.00223  |0.04733  |    -     |    -     |</t>
  </si>
  <si>
    <t>| 5237 | 0.00237  |    -     | 0.00221  |0.04135  |    -     |    -     |</t>
  </si>
  <si>
    <t>| 5238 | 0.00233  |    -     | 0.00217  |0.04199  |    -     |    -     |</t>
  </si>
  <si>
    <t>| 5239 | 0.00233  |    -     | 0.00220  |0.04456  |    -     |    -     |</t>
  </si>
  <si>
    <t>| 5240 | 0.00235  |    -     | 0.00220  |0.04745  |    -     |    -     |</t>
  </si>
  <si>
    <t>| 5241 | 0.00222  |    -     | 0.00210  |0.04733  |    -     |    -     |</t>
  </si>
  <si>
    <t>| 5242 | 0.00231  |    -     | 0.00217  |0.04729  |    -     |    -     |</t>
  </si>
  <si>
    <t>| 5243 | 0.00231  |    -     | 0.00217  |0.04734  |    -     |    -     |</t>
  </si>
  <si>
    <t>| 5244 | 0.00244  |    -     | 0.00222  |0.04740  |    -     |    -     |</t>
  </si>
  <si>
    <t>| 5245 | 0.00233  |    -     | 0.00224  |0.04293  |    -     |    -     |</t>
  </si>
  <si>
    <t>| 5246 | 0.00230  |    -     | 0.00220  |0.04745  |    -     |    -     |</t>
  </si>
  <si>
    <t>| 5247 | 0.00235  |    -     | 0.00221  |0.04747  |    -     |    -     |</t>
  </si>
  <si>
    <t>| 5248 | 0.00238  |    -     | 0.00222  |0.04686  |    -     |    -     |</t>
  </si>
  <si>
    <t>| 5249 | 0.00233  |    -     | 0.00210  |0.04226  |    -     |    -     |</t>
  </si>
  <si>
    <t>| 5250 | 0.00242  |    -     | 0.00226  |0.04094  |    -     |    -     |</t>
  </si>
  <si>
    <t>| 5251 | 0.00247  |    -     | 0.00226  |0.04749  |    -     |    -     |</t>
  </si>
  <si>
    <t>| 5252 | 0.00244  |    -     | 0.00223  |0.04746  |    -     |    -     |</t>
  </si>
  <si>
    <t>| 5253 | 0.00236  |    -     | 0.00220  |0.04705  |    -     |    -     |</t>
  </si>
  <si>
    <t>| 5254 | 0.00238  |    -     | 0.00226  |0.04741  |    -     |    -     |</t>
  </si>
  <si>
    <t>| 5255 | 0.00242  |    -     | 0.00229  |0.04741  |    -     |    -     |</t>
  </si>
  <si>
    <t>| 5256 | 0.00242  |    -     | 0.00228  |0.04747  |    -     |    -     |</t>
  </si>
  <si>
    <t>| 5257 | 0.00235  |    -     | 0.00222  |0.04737  |    -     |    -     |</t>
  </si>
  <si>
    <t>| 5258 | 0.00230  |    -     | 0.00217  |0.04745  |    -     |    -     |</t>
  </si>
  <si>
    <t>| 5259 | 0.00236  |    -     | 0.00222  |0.04746  |    -     |    -     |</t>
  </si>
  <si>
    <t>| 5260 | 0.00245  |    -     | 0.00224  |0.04746  |    -     |    -     |</t>
  </si>
  <si>
    <t>| 5261 | 0.00235  |    -     | 0.00222  |0.04746  |    -     |    -     |</t>
  </si>
  <si>
    <t>| 5262 | 0.00238  |    -     | 0.00223  |0.04740  |    -     |    -     |</t>
  </si>
  <si>
    <t>| 5263 | 0.00232  |    -     | 0.00220  |0.04741  |    -     |    -     |</t>
  </si>
  <si>
    <t>| 5264 | 0.00238  |    -     | 0.00224  |0.04708  |    -     |    -     |</t>
  </si>
  <si>
    <t>| 5265 | 0.00248  |    -     | 0.00221  |0.04750  |    -     |    -     |</t>
  </si>
  <si>
    <t>| 5266 | 0.00250  |    -     | 0.00227  |0.04747  |    -     |    -     |</t>
  </si>
  <si>
    <t>| 5267 | 0.00239  |    -     | 0.00225  |0.04747  |    -     |    -     |</t>
  </si>
  <si>
    <t>| 5268 | 0.00238  |    -     | 0.00222  |0.04746  |    -     |    -     |</t>
  </si>
  <si>
    <t>| 5269 | 0.00233  |    -     | 0.00225  |0.04491  |    -     |    -     |</t>
  </si>
  <si>
    <t>| 5270 | 0.00240  |    -     | 0.00229  |0.04747  |    -     |    -     |</t>
  </si>
  <si>
    <t>| 5271 | 0.00241  |    -     | 0.00218  |0.04595  |    -     |    -     |</t>
  </si>
  <si>
    <t>| 5272 | 0.00242  |    -     | 0.00219  |0.04748  |    -     |    -     |</t>
  </si>
  <si>
    <t>| 5273 | 0.00237  |    -     | 0.00222  |0.04747  |    -     |    -     |</t>
  </si>
  <si>
    <t>| 5274 | 0.00240  |    -     | 0.00229  |0.04747  |    -     |    -     |</t>
  </si>
  <si>
    <t>| 5275 | 0.00232  |    -     | 0.00225  |0.04748  |    -     |    -     |</t>
  </si>
  <si>
    <t>| 5276 | 0.00235  |    -     | 0.00221  |0.04749  |    -     |    -     |</t>
  </si>
  <si>
    <t>| 5277 | 0.00233  |    -     | 0.00222  |0.03984  |    -     |    -     |</t>
  </si>
  <si>
    <t>| 5278 | 0.00238  |    -     | 0.00221  |0.04742  |    -     |    -     |</t>
  </si>
  <si>
    <t>| 5279 | 0.00238  |    -     | 0.00223  |0.04698  |    -     |    -     |</t>
  </si>
  <si>
    <t>| 5280 | 0.00227  |    -     | 0.00222  |0.04743  |    -     |    -     |</t>
  </si>
  <si>
    <t>| 5281 | 0.00231  |    -     | 0.00225  |0.04741  |    -     |    -     |</t>
  </si>
  <si>
    <t>| 5282 | 0.00240  |    -     | 0.00224  |0.04065  |    -     |    -     |</t>
  </si>
  <si>
    <t>| 5283 | 0.00231  |    -     | 0.00219  |0.04746  |    -     |    -     |</t>
  </si>
  <si>
    <t>| 5284 | 0.00242  |    -     | 0.00224  |0.04743  |    -     |    -     |</t>
  </si>
  <si>
    <t>| 5285 | 0.00232  |    -     | 0.00220  |0.04745  |    -     |    -     |</t>
  </si>
  <si>
    <t>| 5286 | 0.00237  |    -     | 0.00220  |0.04747  |    -     |    -     |</t>
  </si>
  <si>
    <t>| 5287 | 0.00232  |    -     | 0.00223  |0.04748  |    -     |    -     |</t>
  </si>
  <si>
    <t>| 5288 | 0.00234  |    -     | 0.00215  |0.04367  |    -     |    -     |</t>
  </si>
  <si>
    <t>| 5289 | 0.00239  |    -     | 0.00226  |0.04742  |    -     |    -     |</t>
  </si>
  <si>
    <t>| 5290 | 0.00244  |    -     | 0.00218  |0.04740  |    -     |    -     |</t>
  </si>
  <si>
    <t>| 5291 | 0.00238  |    -     | 0.00224  |0.04349  |    -     |    -     |</t>
  </si>
  <si>
    <t>| 5292 | 0.00240  |    -     | 0.00223  |0.04746  |    -     |    -     |</t>
  </si>
  <si>
    <t>| 5293 | 0.00236  |    -     | 0.00214  |0.04752  |    -     |    -     |</t>
  </si>
  <si>
    <t>| 5294 | 0.00237  |    -     | 0.00221  |0.04746  |    -     |    -     |</t>
  </si>
  <si>
    <t>| 5295 | 0.00232  |    -     | 0.00219  |0.04745  |    -     |    -     |</t>
  </si>
  <si>
    <t>| 5296 | 0.00238  |    -     | 0.00225  |0.04738  |    -     |    -     |</t>
  </si>
  <si>
    <t>| 5297 | 0.00223  |    -     | 0.00210  |0.04729  |    -     |    -     |</t>
  </si>
  <si>
    <t>| 5298 | 0.00225  |    -     | 0.00211  |0.04071  |    -     |    -     |</t>
  </si>
  <si>
    <t>| 5299 | 0.00234  |    -     | 0.00217  |0.04746  |    -     |    -     |</t>
  </si>
  <si>
    <t>| 5300 | 0.00233  |    -     | 0.00224  |0.04756  |    -     |    -     |</t>
  </si>
  <si>
    <t>| 5301 | 0.00245  |    -     | 0.00221  |0.04743  |    -     |    -     |</t>
  </si>
  <si>
    <t>| 5302 | 0.00240  |    -     | 0.00219  |0.04736  |    -     |    -     |</t>
  </si>
  <si>
    <t>| 5303 | 0.00231  |    -     | 0.00225  |0.04746  |    -     |    -     |</t>
  </si>
  <si>
    <t>| 5304 | 0.00240  |    -     | 0.00224  |0.04741  |    -     |    -     |</t>
  </si>
  <si>
    <t>| 5305 | 0.00234  |    -     | 0.00221  |0.04747  |    -     |    -     |</t>
  </si>
  <si>
    <t>| 5306 | 0.00237  |    -     | 0.00222  |0.03902  |    -     |    -     |</t>
  </si>
  <si>
    <t>| 5307 | 0.00231  |    -     | 0.00220  |0.04668  |    -     |    -     |</t>
  </si>
  <si>
    <t>| 5308 | 0.00240  |    -     | 0.00219  |0.04741  |    -     |    -     |</t>
  </si>
  <si>
    <t>| 5309 | 0.00229  |    -     | 0.00221  |0.04745  |    -     |    -     |</t>
  </si>
  <si>
    <t>| 5310 | 0.00236  |    -     | 0.00221  |0.04745  |    -     |    -     |</t>
  </si>
  <si>
    <t>| 5311 | 0.00232  |    -     | 0.00220  |0.04179  |    -     |    -     |</t>
  </si>
  <si>
    <t>| 5312 | 0.00232  |    -     | 0.00218  |0.04742  |    -     |    -     |</t>
  </si>
  <si>
    <t>| 5313 | 0.00235  |    -     | 0.00223  |0.04747  |    -     |    -     |</t>
  </si>
  <si>
    <t>| 5314 | 0.00235  |    -     | 0.00222  |0.04746  |    -     |    -     |</t>
  </si>
  <si>
    <t>| 5315 | 0.00232  |    -     | 0.00223  |0.04741  |    -     |    -     |</t>
  </si>
  <si>
    <t>| 5316 | 0.00226  |    -     | 0.00209  |0.04723  |    -     |    -     |</t>
  </si>
  <si>
    <t>| 5317 | 0.00226  |    -     | 0.00209  |0.04732  |    -     |    -     |</t>
  </si>
  <si>
    <t>| 5318 | 0.00242  |    -     | 0.00212  |0.04728  |    -     |    -     |</t>
  </si>
  <si>
    <t>| 5319 | 0.00238  |    -     | 0.00224  |0.04746  |    -     |    -     |</t>
  </si>
  <si>
    <t>| 5320 | 0.00234  |    -     | 0.00221  |0.04744  |    -     |    -     |</t>
  </si>
  <si>
    <t>| 5321 | 0.00237  |    -     | 0.00224  |0.04741  |    -     |    -     |</t>
  </si>
  <si>
    <t>| 5322 | 0.00240  |    -     | 0.00222  |0.04742  |    -     |    -     |</t>
  </si>
  <si>
    <t>| 5323 | 0.00231  |    -     | 0.00220  |0.04742  |    -     |    -     |</t>
  </si>
  <si>
    <t>| 5324 | 0.00236  |    -     | 0.00222  |0.04743  |    -     |    -     |</t>
  </si>
  <si>
    <t>| 5325 | 0.00236  |    -     | 0.00223  |0.04749  |    -     |    -     |</t>
  </si>
  <si>
    <t>| 5326 | 0.00237  |    -     | 0.00219  |0.04746  |    -     |    -     |</t>
  </si>
  <si>
    <t>| 5327 | 0.00233  |    -     | 0.00219  |0.04740  |    -     |    -     |</t>
  </si>
  <si>
    <t>| 5328 | 0.00249  |    -     | 0.00228  |0.04742  |    -     |    -     |</t>
  </si>
  <si>
    <t>| 5329 | 0.00235  |    -     | 0.00221  |0.04735  |    -     |    -     |</t>
  </si>
  <si>
    <t>| 5330 | 0.00237  |    -     | 0.00225  |0.04728  |    -     |    -     |</t>
  </si>
  <si>
    <t>| 5331 | 0.00218  |    -     | 0.00207  |0.04731  |    -     |    -     |</t>
  </si>
  <si>
    <t>| 5332 | 0.00238  |    -     | 0.00221  |0.04745  |    -     |    -     |</t>
  </si>
  <si>
    <t>| 5333 | 0.00228  |    -     | 0.00215  |0.04738  |    -     |    -     |</t>
  </si>
  <si>
    <t>| 5334 | 0.00231  |    -     | 0.00217  |0.04746  |    -     |    -     |</t>
  </si>
  <si>
    <t>| 5335 | 0.00233  |    -     | 0.00222  |0.04746  |    -     |    -     |</t>
  </si>
  <si>
    <t>| 5336 | 0.00235  |    -     | 0.00219  |0.04420  |    -     |    -     |</t>
  </si>
  <si>
    <t>| 5337 | 0.00227  |    -     | 0.00219  |0.04741  |    -     |    -     |</t>
  </si>
  <si>
    <t>| 5338 | 0.00239  |    -     | 0.00222  |0.04745  |    -     |    -     |</t>
  </si>
  <si>
    <t>| 5339 | 0.00231  |    -     | 0.00223  |0.04739  |    -     |    -     |</t>
  </si>
  <si>
    <t>| 5340 | 0.00244  |    -     | 0.00220  |0.04744  |    -     |    -     |</t>
  </si>
  <si>
    <t>| 5341 | 0.00233  |    -     | 0.00222  |0.04741  |    -     |    -     |</t>
  </si>
  <si>
    <t>| 5342 | 0.00227  |    -     | 0.00228  |0.04745  |    -     |    -     |</t>
  </si>
  <si>
    <t>| 5343 | 0.00233  |    -     | 0.00221  |0.03967  |    -     |    -     |</t>
  </si>
  <si>
    <t>| 5344 | 0.00237  |    -     | 0.00222  |0.04744  |    -     |    -     |</t>
  </si>
  <si>
    <t>| 5345 | 0.00227  |    -     | 0.00218  |0.04742  |    -     |    -     |</t>
  </si>
  <si>
    <t>| 5346 | 0.00236  |    -     | 0.00222  |0.04747  |    -     |    -     |</t>
  </si>
  <si>
    <t>| 5347 | 0.00239  |    -     | 0.00226  |0.04356  |    -     |    -     |</t>
  </si>
  <si>
    <t>| 5348 | 0.00239  |    -     | 0.00220  |0.04742  |    -     |    -     |</t>
  </si>
  <si>
    <t>| 5349 | 0.00238  |    -     | 0.00221  |0.04747  |    -     |    -     |</t>
  </si>
  <si>
    <t>| 5350 | 0.00237  |    -     | 0.00221  |0.04745  |    -     |    -     |</t>
  </si>
  <si>
    <t>| 5351 | 0.00240  |    -     | 0.00228  |0.04745  |    -     |    -     |</t>
  </si>
  <si>
    <t>| 5352 | 0.00222  |    -     | 0.00211  |0.04732  |    -     |    -     |</t>
  </si>
  <si>
    <t>| 5353 | 0.00238  |    -     | 0.00221  |0.04743  |    -     |    -     |</t>
  </si>
  <si>
    <t>| 5354 | 0.00235  |    -     | 0.00221  |0.04741  |    -     |    -     |</t>
  </si>
  <si>
    <t>| 5355 | 0.00233  |    -     | 0.00224  |0.04741  |    -     |    -     |</t>
  </si>
  <si>
    <t>| 5356 | 0.00235  |    -     | 0.00222  |0.04178  |    -     |    -     |</t>
  </si>
  <si>
    <t>| 5357 | 0.00233  |    -     | 0.00223  |0.04743  |    -     |    -     |</t>
  </si>
  <si>
    <t>| 5358 | 0.00236  |    -     | 0.00215  |0.04749  |    -     |    -     |</t>
  </si>
  <si>
    <t>| 5359 | 0.00231  |    -     | 0.00222  |0.04734  |    -     |    -     |</t>
  </si>
  <si>
    <t>| 5360 | 0.00242  |    -     | 0.00227  |0.04746  |    -     |    -     |</t>
  </si>
  <si>
    <t>| 5361 | 0.00231  |    -     | 0.00220  |0.04746  |    -     |    -     |</t>
  </si>
  <si>
    <t>| 5362 | 0.00238  |    -     | 0.00222  |0.04745  |    -     |    -     |</t>
  </si>
  <si>
    <t>| 5363 | 0.00231  |    -     | 0.00220  |0.04745  |    -     |    -     |</t>
  </si>
  <si>
    <t>| 5364 | 0.00231  |    -     | 0.00223  |0.04536  |    -     |    -     |</t>
  </si>
  <si>
    <t>| 5365 | 0.00234  |    -     | 0.00225  |0.04740  |    -     |    -     |</t>
  </si>
  <si>
    <t>| 5366 | 0.00230  |    -     | 0.00207  |0.04738  |    -     |    -     |</t>
  </si>
  <si>
    <t>| 5367 | 0.00254  |    -     | 0.00218  |0.04743  |    -     |    -     |</t>
  </si>
  <si>
    <t>| 5368 | 0.00245  |    -     | 0.00229  |0.04744  |    -     |    -     |</t>
  </si>
  <si>
    <t>| 5369 | 0.00233  |    -     | 0.00222  |0.04739  |    -     |    -     |</t>
  </si>
  <si>
    <t>| 5370 | 0.00235  |    -     | 0.00221  |0.04743  |    -     |    -     |</t>
  </si>
  <si>
    <t>| 5371 | 0.00234  |    -     | 0.00223  |0.04747  |    -     |    -     |</t>
  </si>
  <si>
    <t>| 5372 | 0.00232  |    -     | 0.00221  |0.04746  |    -     |    -     |</t>
  </si>
  <si>
    <t>| 5373 | 0.00232  |    -     | 0.00223  |0.04581  |    -     |    -     |</t>
  </si>
  <si>
    <t>| 5374 | 0.00241  |    -     | 0.00222  |0.04746  |    -     |    -     |</t>
  </si>
  <si>
    <t>| 5375 | 0.00233  |    -     | 0.00224  |0.04493  |    -     |    -     |</t>
  </si>
  <si>
    <t>| 5376 | 0.00233  |    -     | 0.00220  |0.03817  |    -     |    -     |</t>
  </si>
  <si>
    <t>| 5377 | 0.00232  |    -     | 0.00220  |0.04743  |    -     |    -     |</t>
  </si>
  <si>
    <t>| 5378 | 0.00220  |    -     | 0.00212  |0.04736  |    -     |    -     |</t>
  </si>
  <si>
    <t>| 5379 | 0.00242  |    -     | 0.00230  |0.04739  |    -     |    -     |</t>
  </si>
  <si>
    <t>| 5380 | 0.00236  |    -     | 0.00222  |0.03993  |    -     |    -     |</t>
  </si>
  <si>
    <t>| 5381 | 0.00230  |    -     | 0.00224  |0.04739  |    -     |    -     |</t>
  </si>
  <si>
    <t>| 5382 | 0.00237  |    -     | 0.00225  |0.04744  |    -     |    -     |</t>
  </si>
  <si>
    <t>| 5383 | 0.00239  |    -     | 0.00220  |0.04738  |    -     |    -     |</t>
  </si>
  <si>
    <t>| 5384 | 0.00235  |    -     | 0.00224  |0.04746  |    -     |    -     |</t>
  </si>
  <si>
    <t>| 5385 | 0.00236  |    -     | 0.00223  |0.04750  |    -     |    -     |</t>
  </si>
  <si>
    <t>| 5386 | 0.00241  |    -     | 0.00227  |0.04742  |    -     |    -     |</t>
  </si>
  <si>
    <t>| 5387 | 0.00244  |    -     | 0.00221  |0.04523  |    -     |    -     |</t>
  </si>
  <si>
    <t>| 5388 | 0.00228  |    -     | 0.00221  |0.04740  |    -     |    -     |</t>
  </si>
  <si>
    <t>| 5389 | 0.00236  |    -     | 0.00222  |0.04750  |    -     |    -     |</t>
  </si>
  <si>
    <t>| 5390 | 0.00233  |    -     | 0.00226  |0.04745  |    -     |    -     |</t>
  </si>
  <si>
    <t>| 5391 | 0.00237  |    -     | 0.00219  |0.04747  |    -     |    -     |</t>
  </si>
  <si>
    <t>| 5392 | 0.00238  |    -     | 0.00222  |0.04745  |    -     |    -     |</t>
  </si>
  <si>
    <t>| 5393 | 0.00236  |    -     | 0.00220  |0.04666  |    -     |    -     |</t>
  </si>
  <si>
    <t>| 5394 | 0.00242  |    -     | 0.00223  |0.04502  |    -     |    -     |</t>
  </si>
  <si>
    <t>| 5395 | 0.00232  |    -     | 0.00220  |0.04740  |    -     |    -     |</t>
  </si>
  <si>
    <t>| 5396 | 0.00237  |    -     | 0.00222  |0.04746  |    -     |    -     |</t>
  </si>
  <si>
    <t>| 5397 | 0.00235  |    -     | 0.00222  |0.04734  |    -     |    -     |</t>
  </si>
  <si>
    <t>| 5398 | 0.00238  |    -     | 0.00229  |0.04741  |    -     |    -     |</t>
  </si>
  <si>
    <t>| 5399 | 0.00236  |    -     | 0.00223  |0.04739  |    -     |    -     |</t>
  </si>
  <si>
    <t>| 5400 | 0.00236  |    -     | 0.00224  |0.04731  |    -     |    -     |</t>
  </si>
  <si>
    <t>| 5401 | 0.00241  |    -     | 0.00226  |0.04748  |    -     |    -     |</t>
  </si>
  <si>
    <t>| 5402 | 0.00240  |    -     | 0.00220  |0.04690  |    -     |    -     |</t>
  </si>
  <si>
    <t>| 5403 | 0.00222  |    -     | 0.00209  |0.04733  |    -     |    -     |</t>
  </si>
  <si>
    <t>| 5404 | 0.00223  |    -     | 0.00209  |0.04731  |    -     |    -     |</t>
  </si>
  <si>
    <t>| 5405 | 0.00224  |    -     | 0.00223  |0.04751  |    -     |    -     |</t>
  </si>
  <si>
    <t>| 5406 | 0.00251  |    -     | 0.00226  |0.04744  |    -     |    -     |</t>
  </si>
  <si>
    <t>| 5407 | 0.00234  |    -     | 0.00221  |0.04741  |    -     |    -     |</t>
  </si>
  <si>
    <t>| 5408 | 0.00235  |    -     | 0.00222  |0.04749  |    -     |    -     |</t>
  </si>
  <si>
    <t>| 5409 | 0.00238  |    -     | 0.00222  |0.04745  |    -     |    -     |</t>
  </si>
  <si>
    <t>| 5410 | 0.00236  |    -     | 0.00220  |0.04002  |    -     |    -     |</t>
  </si>
  <si>
    <t>| 5411 | 0.00237  |    -     | 0.00223  |0.04741  |    -     |    -     |</t>
  </si>
  <si>
    <t>| 5412 | 0.00237  |    -     | 0.00223  |0.04428  |    -     |    -     |</t>
  </si>
  <si>
    <t>| 5413 | 0.00235  |    -     | 0.00221  |0.04738  |    -     |    -     |</t>
  </si>
  <si>
    <t>| 5414 | 0.00231  |    -     | 0.00224  |0.04445  |    -     |    -     |</t>
  </si>
  <si>
    <t>| 5415 | 0.00238  |    -     | 0.00223  |0.04113  |    -     |    -     |</t>
  </si>
  <si>
    <t>| 5416 | 0.00227  |    -     | 0.00222  |0.04495  |    -     |    -     |</t>
  </si>
  <si>
    <t>| 5417 | 0.00236  |    -     | 0.00223  |0.04748  |    -     |    -     |</t>
  </si>
  <si>
    <t>| 5418 | 0.00232  |    -     | 0.00221  |0.04747  |    -     |    -     |</t>
  </si>
  <si>
    <t>| 5419 | 0.00234  |    -     | 0.00222  |0.04747  |    -     |    -     |</t>
  </si>
  <si>
    <t>| 5420 | 0.00234  |    -     | 0.00211  |0.04737  |    -     |    -     |</t>
  </si>
  <si>
    <t>| 5421 | 0.00238  |    -     | 0.00229  |0.04022  |    -     |    -     |</t>
  </si>
  <si>
    <t>| 5422 | 0.00234  |    -     | 0.00221  |0.04358  |    -     |    -     |</t>
  </si>
  <si>
    <t>| 5423 | 0.00232  |    -     | 0.00213  |0.04680  |    -     |    -     |</t>
  </si>
  <si>
    <t>| 5424 | 0.00235  |    -     | 0.00222  |0.04753  |    -     |    -     |</t>
  </si>
  <si>
    <t>| 5425 | 0.00233  |    -     | 0.00217  |0.04743  |    -     |    -     |</t>
  </si>
  <si>
    <t>| 5426 | 0.00243  |    -     | 0.00230  |0.03964  |    -     |    -     |</t>
  </si>
  <si>
    <t>| 5427 | 0.00233  |    -     | 0.00223  |0.04759  |    -     |    -     |</t>
  </si>
  <si>
    <t>| 5428 | 0.00246  |    -     | 0.00228  |0.04752  |    -     |    -     |</t>
  </si>
  <si>
    <t>| 5429 | 0.00244  |    -     | 0.00222  |0.04748  |    -     |    -     |</t>
  </si>
  <si>
    <t>| 5430 | 0.00234  |    -     | 0.00223  |0.04251  |    -     |    -     |</t>
  </si>
  <si>
    <t>| 5431 | 0.00237  |    -     | 0.00222  |0.04735  |    -     |    -     |</t>
  </si>
  <si>
    <t>| 5432 | 0.00227  |    -     | 0.00216  |0.04030  |    -     |    -     |</t>
  </si>
  <si>
    <t>| 5433 | 0.00229  |    -     | 0.00219  |0.04742  |    -     |    -     |</t>
  </si>
  <si>
    <t>| 5434 | 0.00238  |    -     | 0.00224  |0.04740  |    -     |    -     |</t>
  </si>
  <si>
    <t>| 5435 | 0.00236  |    -     | 0.00225  |0.04752  |    -     |    -     |</t>
  </si>
  <si>
    <t>| 5436 | 0.00240  |    -     | 0.00227  |0.04742  |    -     |    -     |</t>
  </si>
  <si>
    <t>| 5437 | 0.00236  |    -     | 0.00223  |0.04737  |    -     |    -     |</t>
  </si>
  <si>
    <t>| 5438 | 0.00241  |    -     | 0.00221  |0.04748  |    -     |    -     |</t>
  </si>
  <si>
    <t>| 5439 | 0.00238  |    -     | 0.00220  |0.04744  |    -     |    -     |</t>
  </si>
  <si>
    <t>| 5440 | 0.00231  |    -     | 0.00219  |0.04745  |    -     |    -     |</t>
  </si>
  <si>
    <t>| 5441 | 0.00238  |    -     | 0.00221  |0.04741  |    -     |    -     |</t>
  </si>
  <si>
    <t>| 5442 | 0.00238  |    -     | 0.00222  |0.04740  |    -     |    -     |</t>
  </si>
  <si>
    <t>| 5443 | 0.00237  |    -     | 0.00220  |0.04750  |    -     |    -     |</t>
  </si>
  <si>
    <t>| 5444 | 0.00232  |    -     | 0.00222  |0.04736  |    -     |    -     |</t>
  </si>
  <si>
    <t>| 5445 | 0.00235  |    -     | 0.00224  |0.04387  |    -     |    -     |</t>
  </si>
  <si>
    <t>| 5446 | 0.00239  |    -     | 0.00213  |0.04083  |    -     |    -     |</t>
  </si>
  <si>
    <t>| 5447 | 0.00233  |    -     | 0.00223  |0.04746  |    -     |    -     |</t>
  </si>
  <si>
    <t>| 5448 | 0.00236  |    -     | 0.00220  |0.04567  |    -     |    -     |</t>
  </si>
  <si>
    <t>| 5449 | 0.00238  |    -     | 0.00220  |0.04741  |    -     |    -     |</t>
  </si>
  <si>
    <t>| 5450 | 0.00226  |    -     | 0.00210  |0.03829  |    -     |    -     |</t>
  </si>
  <si>
    <t>| 5451 | 0.00180  |    -     | 0.00233  |0.04748  |    -     |    -     |</t>
  </si>
  <si>
    <t>| 5452 | 0.00235  |    -     | 0.00222  |0.04739  |    -     |    -     |</t>
  </si>
  <si>
    <t>| 5453 | 0.00235  |    -     | 0.00223  |0.04746  |    -     |    -     |</t>
  </si>
  <si>
    <t>| 5454 | 0.00233  |    -     | 0.00219  |0.04738  |    -     |    -     |</t>
  </si>
  <si>
    <t>| 5455 | 0.00237  |    -     | 0.00223  |0.04741  |    -     |    -     |</t>
  </si>
  <si>
    <t>| 5456 | 0.00236  |    -     | 0.00223  |0.04746  |    -     |    -     |</t>
  </si>
  <si>
    <t>| 5457 | 0.00234  |    -     | 0.00223  |0.04736  |    -     |    -     |</t>
  </si>
  <si>
    <t>| 5458 | 0.00239  |    -     | 0.00212  |0.04736  |    -     |    -     |</t>
  </si>
  <si>
    <t>| 5459 | 0.00233  |    -     | 0.00220  |0.04599  |    -     |    -     |</t>
  </si>
  <si>
    <t>| 5460 | 0.00239  |    -     | 0.00223  |0.04745  |    -     |    -     |</t>
  </si>
  <si>
    <t>| 5461 | 0.00236  |    -     | 0.00223  |0.04748  |    -     |    -     |</t>
  </si>
  <si>
    <t>| 5462 | 0.00236  |    -     | 0.00220  |0.04744  |    -     |    -     |</t>
  </si>
  <si>
    <t>| 5463 | 0.00236  |    -     | 0.00221  |0.04745  |    -     |    -     |</t>
  </si>
  <si>
    <t>| 5464 | 0.00234  |    -     | 0.00221  |0.04734  |    -     |    -     |</t>
  </si>
  <si>
    <t>| 5465 | 0.00246  |    -     | 0.00228  |0.04753  |    -     |    -     |</t>
  </si>
  <si>
    <t>| 5466 | 0.00239  |    -     | 0.00219  |0.04739  |    -     |    -     |</t>
  </si>
  <si>
    <t>| 5467 | 0.00240  |    -     | 0.00222  |0.04470  |    -     |    -     |</t>
  </si>
  <si>
    <t>| 5468 | 0.00231  |    -     | 0.00221  |0.04047  |    -     |    -     |</t>
  </si>
  <si>
    <t>| 5469 | 0.00228  |    -     | 0.00219  |0.04743  |    -     |    -     |</t>
  </si>
  <si>
    <t>| 5470 | 0.00237  |    -     | 0.00225  |0.04745  |    -     |    -     |</t>
  </si>
  <si>
    <t>| 5471 | 0.00234  |    -     | 0.00225  |0.04744  |    -     |    -     |</t>
  </si>
  <si>
    <t>| 5472 | 0.00235  |    -     | 0.00222  |0.04739  |    -     |    -     |</t>
  </si>
  <si>
    <t>| 5473 | 0.00235  |    -     | 0.00221  |0.04009  |    -     |    -     |</t>
  </si>
  <si>
    <t>| 5474 | 0.00235  |    -     | 0.00226  |0.04512  |    -     |    -     |</t>
  </si>
  <si>
    <t>| 5475 | 0.00238  |    -     | 0.00223  |0.04745  |    -     |    -     |</t>
  </si>
  <si>
    <t>| 5476 | 0.00235  |    -     | 0.00220  |0.04739  |    -     |    -     |</t>
  </si>
  <si>
    <t>| 5477 | 0.00239  |    -     | 0.00221  |0.04741  |    -     |    -     |</t>
  </si>
  <si>
    <t>| 5478 | 0.00240  |    -     | 0.00222  |0.04734  |    -     |    -     |</t>
  </si>
  <si>
    <t>| 5479 | 0.00236  |    -     | 0.00213  |0.04742  |    -     |    -     |</t>
  </si>
  <si>
    <t>| 5480 | 0.00230  |    -     | 0.00222  |0.04676  |    -     |    -     |</t>
  </si>
  <si>
    <t>| 5481 | 0.00233  |    -     | 0.00223  |0.04743  |    -     |    -     |</t>
  </si>
  <si>
    <t>| 5482 | 0.00244  |    -     | 0.00221  |0.04714  |    -     |    -     |</t>
  </si>
  <si>
    <t>| 5483 | 0.00241  |    -     | 0.00222  |0.04743  |    -     |    -     |</t>
  </si>
  <si>
    <t>| 5484 | 0.00238  |    -     | 0.00212  |0.04748  |    -     |    -     |</t>
  </si>
  <si>
    <t>| 5485 | 0.00239  |    -     | 0.00219  |0.04743  |    -     |    -     |</t>
  </si>
  <si>
    <t>| 5486 | 0.00233  |    -     | 0.00223  |0.04745  |    -     |    -     |</t>
  </si>
  <si>
    <t>| 5487 | 0.00235  |    -     | 0.00222  |0.04744  |    -     |    -     |</t>
  </si>
  <si>
    <t>| 5488 | 0.00236  |    -     | 0.00221  |0.04745  |    -     |    -     |</t>
  </si>
  <si>
    <t>| 5489 | 0.00227  |    -     | 0.00222  |0.04737  |    -     |    -     |</t>
  </si>
  <si>
    <t>| 5490 | 0.00235  |    -     | 0.00226  |0.04738  |    -     |    -     |</t>
  </si>
  <si>
    <t>| 5491 | 0.00234  |    -     | 0.00219  |0.04743  |    -     |    -     |</t>
  </si>
  <si>
    <t>| 5492 | 0.00230  |    -     | 0.00220  |0.04352  |    -     |    -     |</t>
  </si>
  <si>
    <t>| 5493 | 0.00236  |    -     | 0.00223  |0.04736  |    -     |    -     |</t>
  </si>
  <si>
    <t>| 5494 | 0.00247  |    -     | 0.00224  |0.04740  |    -     |    -     |</t>
  </si>
  <si>
    <t>| 5495 | 0.00237  |    -     | 0.00222  |0.04739  |    -     |    -     |</t>
  </si>
  <si>
    <t>| 5496 | 0.00236  |    -     | 0.00222  |0.04737  |    -     |    -     |</t>
  </si>
  <si>
    <t>| 5497 | 0.00230  |    -     | 0.00229  |0.04742  |    -     |    -     |</t>
  </si>
  <si>
    <t>| 5498 | 0.00234  |    -     | 0.00210  |0.04069  |    -     |    -     |</t>
  </si>
  <si>
    <t>| 5499 | 0.00246  |    -     | 0.00221  |0.04202  |    -     |    -     |</t>
  </si>
  <si>
    <t>| 5500 | 0.00224  |    -     | 0.00218  |0.04744  |    -     |    -     |</t>
  </si>
  <si>
    <t>| 5501 | 0.00234  |    -     | 0.00226  |0.04740  |    -     |    -     |</t>
  </si>
  <si>
    <t>| 5502 | 0.00237  |    -     | 0.00214  |0.04182  |    -     |    -     |</t>
  </si>
  <si>
    <t>| 5503 | 0.00234  |    -     | 0.00221  |0.04748  |    -     |    -     |</t>
  </si>
  <si>
    <t>| 5504 | 0.00245  |    -     | 0.00227  |0.04745  |    -     |    -     |</t>
  </si>
  <si>
    <t>| 5505 | 0.00243  |    -     | 0.00222  |0.04742  |    -     |    -     |</t>
  </si>
  <si>
    <t>| 5506 | 0.00242  |    -     | 0.00228  |0.04763  |    -     |    -     |</t>
  </si>
  <si>
    <t>| 5507 | 0.00251  |    -     | 0.00225  |0.04619  |    -     |    -     |</t>
  </si>
  <si>
    <t>| 5508 | 0.00238  |    -     | 0.00217  |0.04746  |    -     |    -     |</t>
  </si>
  <si>
    <t>| 5509 | 0.00233  |    -     | 0.00226  |0.04746  |    -     |    -     |</t>
  </si>
  <si>
    <t>| 5510 | 0.00241  |    -     | 0.00229  |0.04748  |    -     |    -     |</t>
  </si>
  <si>
    <t>| 5511 | 0.00226  |    -     | 0.00213  |0.04733  |    -     |    -     |</t>
  </si>
  <si>
    <t>| 5512 | 0.00225  |    -     | 0.00212  |0.04744  |    -     |    -     |</t>
  </si>
  <si>
    <t>| 5513 | 0.00238  |    -     | 0.00227  |0.04572  |    -     |    -     |</t>
  </si>
  <si>
    <t>| 5514 | 0.00241  |    -     | 0.00225  |0.04741  |    -     |    -     |</t>
  </si>
  <si>
    <t>| 5515 | 0.00239  |    -     | 0.00225  |0.04750  |    -     |    -     |</t>
  </si>
  <si>
    <t>| 5516 | 0.00235  |    -     | 0.00223  |0.04453  |    -     |    -     |</t>
  </si>
  <si>
    <t>| 5517 | 0.00240  |    -     | 0.00224  |0.04091  |    -     |    -     |</t>
  </si>
  <si>
    <t>| 5518 | 0.00231  |    -     | 0.00220  |0.04052  |    -     |    -     |</t>
  </si>
  <si>
    <t>| 5519 | 0.00236  |    -     | 0.00226  |0.04740  |    -     |    -     |</t>
  </si>
  <si>
    <t>| 5520 | 0.00241  |    -     | 0.00225  |0.04743  |    -     |    -     |</t>
  </si>
  <si>
    <t>| 5521 | 0.00233  |    -     | 0.00225  |0.04745  |    -     |    -     |</t>
  </si>
  <si>
    <t>| 5522 | 0.00237  |    -     | 0.00227  |0.04743  |    -     |    -     |</t>
  </si>
  <si>
    <t>| 5523 | 0.00246  |    -     | 0.00221  |0.04748  |    -     |    -     |</t>
  </si>
  <si>
    <t>| 5524 | 0.00239  |    -     | 0.00229  |0.04748  |    -     |    -     |</t>
  </si>
  <si>
    <t>| 5525 | 0.00235  |    -     | 0.00220  |0.04742  |    -     |    -     |</t>
  </si>
  <si>
    <t>| 5526 | 0.00238  |    -     | 0.00224  |0.04748  |    -     |    -     |</t>
  </si>
  <si>
    <t>| 5527 | 0.00236  |    -     | 0.00224  |0.04745  |    -     |    -     |</t>
  </si>
  <si>
    <t>| 5528 | 0.00230  |    -     | 0.00221  |0.04741  |    -     |    -     |</t>
  </si>
  <si>
    <t>| 5529 | 0.00235  |    -     | 0.00211  |0.04735  |    -     |    -     |</t>
  </si>
  <si>
    <t>| 5530 | 0.00226  |    -     | 0.00226  |0.04741  |    -     |    -     |</t>
  </si>
  <si>
    <t>| 5531 | 0.00239  |    -     | 0.00223  |0.04741  |    -     |    -     |</t>
  </si>
  <si>
    <t>| 5532 | 0.00236  |    -     | 0.00229  |0.04745  |    -     |    -     |</t>
  </si>
  <si>
    <t>| 5533 | 0.00233  |    -     | 0.00218  |0.04450  |    -     |    -     |</t>
  </si>
  <si>
    <t>| 5534 | 0.00233  |    -     | 0.00224  |0.04749  |    -     |    -     |</t>
  </si>
  <si>
    <t>| 5535 | 0.00230  |    -     | 0.00223  |0.04746  |    -     |    -     |</t>
  </si>
  <si>
    <t>| 5536 | 0.00233  |    -     | 0.00216  |0.04140  |    -     |    -     |</t>
  </si>
  <si>
    <t>| 5537 | 0.00231  |    -     | 0.00220  |0.04112  |    -     |    -     |</t>
  </si>
  <si>
    <t>| 5538 | 0.00231  |    -     | 0.00218  |0.04453  |    -     |    -     |</t>
  </si>
  <si>
    <t>| 5539 | 0.00246  |    -     | 0.00221  |0.04754  |    -     |    -     |</t>
  </si>
  <si>
    <t>| 5540 | 0.00236  |    -     | 0.00223  |0.04050  |    -     |    -     |</t>
  </si>
  <si>
    <t>| 5541 | 0.00234  |    -     | 0.00223  |0.04188  |    -     |    -     |</t>
  </si>
  <si>
    <t>| 5542 | 0.00242  |    -     | 0.00225  |0.04742  |    -     |    -     |</t>
  </si>
  <si>
    <t>| 5543 | 0.00245  |    -     | 0.00217  |0.04745  |    -     |    -     |</t>
  </si>
  <si>
    <t>| 5544 | 0.00242  |    -     | 0.00228  |0.04738  |    -     |    -     |</t>
  </si>
  <si>
    <t>| 5545 | 0.00240  |    -     | 0.00229  |0.04749  |    -     |    -     |</t>
  </si>
  <si>
    <t>| 5546 | 0.00234  |    -     | 0.00224  |0.04747  |    -     |    -     |</t>
  </si>
  <si>
    <t>| 5547 | 0.00241  |    -     | 0.00227  |0.04747  |    -     |    -     |</t>
  </si>
  <si>
    <t>| 5548 | 0.00226  |    -     | 0.00207  |0.04728  |    -     |    -     |</t>
  </si>
  <si>
    <t>| 5549 | 0.00245  |    -     | 0.00224  |0.04736  |    -     |    -     |</t>
  </si>
  <si>
    <t>| 5550 | 0.00235  |    -     | 0.00223  |0.04746  |    -     |    -     |</t>
  </si>
  <si>
    <t>| 5551 | 0.00239  |    -     | 0.00221  |0.04747  |    -     |    -     |</t>
  </si>
  <si>
    <t>| 5552 | 0.00233  |    -     | 0.00222  |0.04743  |    -     |    -     |</t>
  </si>
  <si>
    <t>| 5553 | 0.00236  |    -     | 0.00219  |0.04741  |    -     |    -     |</t>
  </si>
  <si>
    <t>| 5554 | 0.00231  |    -     | 0.00213  |0.04733  |    -     |    -     |</t>
  </si>
  <si>
    <t>| 5555 | 0.00236  |    -     | 0.00220  |0.04745  |    -     |    -     |</t>
  </si>
  <si>
    <t>| 5556 | 0.00233  |    -     | 0.00221  |0.04741  |    -     |    -     |</t>
  </si>
  <si>
    <t>| 5557 | 0.00230  |    -     | 0.00226  |0.04744  |    -     |    -     |</t>
  </si>
  <si>
    <t>| 5558 | 0.00236  |    -     | 0.00224  |0.04371  |    -     |    -     |</t>
  </si>
  <si>
    <t>| 5559 | 0.00231  |    -     | 0.00219  |0.04740  |    -     |    -     |</t>
  </si>
  <si>
    <t>| 5560 | 0.00232  |    -     | 0.00225  |0.04740  |    -     |    -     |</t>
  </si>
  <si>
    <t>| 5561 | 0.00238  |    -     | 0.00225  |0.04747  |    -     |    -     |</t>
  </si>
  <si>
    <t>| 5562 | 0.00228  |    -     | 0.00211  |0.04749  |    -     |    -     |</t>
  </si>
  <si>
    <t>| 5563 | 0.00249  |    -     | 0.00228  |0.04751  |    -     |    -     |</t>
  </si>
  <si>
    <t>| 5564 | 0.00231  |    -     | 0.00221  |0.04559  |    -     |    -     |</t>
  </si>
  <si>
    <t>| 5565 | 0.00231  |    -     | 0.00224  |0.04745  |    -     |    -     |</t>
  </si>
  <si>
    <t>| 5566 | 0.00236  |    -     | 0.00224  |0.04746  |    -     |    -     |</t>
  </si>
  <si>
    <t>| 5567 | 0.00237  |    -     | 0.00223  |0.04747  |    -     |    -     |</t>
  </si>
  <si>
    <t>| 5568 | 0.00231  |    -     | 0.00221  |0.04749  |    -     |    -     |</t>
  </si>
  <si>
    <t>| 5569 | 0.00231  |    -     | 0.00218  |0.04743  |    -     |    -     |</t>
  </si>
  <si>
    <t>| 5570 | 0.00232  |    -     | 0.00215  |0.04745  |    -     |    -     |</t>
  </si>
  <si>
    <t>| 5571 | 0.00239  |    -     | 0.00224  |0.04744  |    -     |    -     |</t>
  </si>
  <si>
    <t>| 5572 | 0.00232  |    -     | 0.00221  |0.04741  |    -     |    -     |</t>
  </si>
  <si>
    <t>| 5573 | 0.00241  |    -     | 0.00224  |0.04743  |    -     |    -     |</t>
  </si>
  <si>
    <t>| 5574 | 0.00233  |    -     | 0.00223  |0.04740  |    -     |    -     |</t>
  </si>
  <si>
    <t>| 5575 | 0.00240  |    -     | 0.00222  |0.04748  |    -     |    -     |</t>
  </si>
  <si>
    <t>| 5576 | 0.00235  |    -     | 0.00222  |0.03964  |    -     |    -     |</t>
  </si>
  <si>
    <t>| 5577 | 0.00270  |    -     | 0.00233  |0.04376  |    -     |    -     |</t>
  </si>
  <si>
    <t>| 5578 | 0.00242  |    -     | 0.00222  |0.04748  |    -     |    -     |</t>
  </si>
  <si>
    <t>| 5579 | 0.00234  |    -     | 0.00221  |0.04727  |    -     |    -     |</t>
  </si>
  <si>
    <t>| 5580 | 0.00239  |    -     | 0.00225  |0.04747  |    -     |    -     |</t>
  </si>
  <si>
    <t>| 5581 | 0.00238  |    -     | 0.00222  |0.04743  |    -     |    -     |</t>
  </si>
  <si>
    <t>| 5582 | 0.00238  |    -     | 0.00225  |0.04748  |    -     |    -     |</t>
  </si>
  <si>
    <t>| 5583 | 0.00242  |    -     | 0.00221  |0.04738  |    -     |    -     |</t>
  </si>
  <si>
    <t>| 5584 | 0.00237  |    -     | 0.00213  |0.04559  |    -     |    -     |</t>
  </si>
  <si>
    <t>| 5585 | 0.00235  |    -     | 0.00222  |0.04743  |    -     |    -     |</t>
  </si>
  <si>
    <t>| 5586 | 0.00226  |    -     | 0.00226  |0.04741  |    -     |    -     |</t>
  </si>
  <si>
    <t>| 5587 | 0.00240  |    -     | 0.00222  |0.04745  |    -     |    -     |</t>
  </si>
  <si>
    <t>| 5588 | 0.00233  |    -     | 0.00223  |0.04741  |    -     |    -     |</t>
  </si>
  <si>
    <t>| 5589 | 0.00232  |    -     | 0.00223  |0.04745  |    -     |    -     |</t>
  </si>
  <si>
    <t>| 5590 | 0.00234  |    -     | 0.00222  |0.04748  |    -     |    -     |</t>
  </si>
  <si>
    <t>| 5591 | 0.00235  |    -     | 0.00220  |0.04742  |    -     |    -     |</t>
  </si>
  <si>
    <t>| 5592 | 0.00233  |    -     | 0.00221  |0.04410  |    -     |    -     |</t>
  </si>
  <si>
    <t>| 5593 | 0.00240  |    -     | 0.00224  |0.04581  |    -     |    -     |</t>
  </si>
  <si>
    <t>| 5594 | 0.00246  |    -     | 0.00245  |0.04752  |    -     |    -     |</t>
  </si>
  <si>
    <t>| 5595 | 0.00244  |    -     | 0.00231  |0.04741  |    -     |    -     |</t>
  </si>
  <si>
    <t>| 5596 | 0.00225  |    -     | 0.00227  |0.04750  |    -     |    -     |</t>
  </si>
  <si>
    <t>| 5597 | 0.00237  |    -     | 0.00223  |0.04748  |    -     |    -     |</t>
  </si>
  <si>
    <t>| 5598 | 0.00233  |    -     | 0.00223  |0.04747  |    -     |    -     |</t>
  </si>
  <si>
    <t>| 5599 | 0.00238  |    -     | 0.00219  |0.04528  |    -     |    -     |</t>
  </si>
  <si>
    <t>| 5600 | 0.00233  |    -     | 0.00220  |0.04748  |    -     |    -     |</t>
  </si>
  <si>
    <t>| 5601 | 0.00232  |    -     | 0.00216  |0.03986  |    -     |    -     |</t>
  </si>
  <si>
    <t>| 5602 | 0.00239  |    -     | 0.00223  |0.04750  |    -     |    -     |</t>
  </si>
  <si>
    <t>| 5603 | 0.00236  |    -     | 0.00223  |0.04745  |    -     |    -     |</t>
  </si>
  <si>
    <t>| 5604 | 0.00232  |    -     | 0.00222  |0.04744  |    -     |    -     |</t>
  </si>
  <si>
    <t>| 5605 | 0.00234  |    -     | 0.00215  |0.04728  |    -     |    -     |</t>
  </si>
  <si>
    <t>| 5606 | 0.00236  |    -     | 0.00224  |0.04749  |    -     |    -     |</t>
  </si>
  <si>
    <t>| 5607 | 0.00241  |    -     | 0.00224  |0.04743  |    -     |    -     |</t>
  </si>
  <si>
    <t>| 5608 | 0.00236  |    -     | 0.00221  |0.04739  |    -     |    -     |</t>
  </si>
  <si>
    <t>| 5609 | 0.00242  |    -     | 0.00224  |0.04746  |    -     |    -     |</t>
  </si>
  <si>
    <t>| 5610 | 0.00231  |    -     | 0.00219  |0.04745  |    -     |    -     |</t>
  </si>
  <si>
    <t>| 5611 | 0.00227  |    -     | 0.00218  |0.04738  |    -     |    -     |</t>
  </si>
  <si>
    <t>| 5612 | 0.00242  |    -     | 0.00226  |0.04745  |    -     |    -     |</t>
  </si>
  <si>
    <t>| 5613 | 0.00241  |    -     | 0.00223  |0.04730  |    -     |    -     |</t>
  </si>
  <si>
    <t>| 5614 | 0.00244  |    -     | 0.00222  |0.04753  |    -     |    -     |</t>
  </si>
  <si>
    <t>| 5615 | 0.00239  |    -     | 0.00214  |0.04739  |    -     |    -     |</t>
  </si>
  <si>
    <t>| 5616 | 0.00239  |    -     | 0.00225  |0.04742  |    -     |    -     |</t>
  </si>
  <si>
    <t>| 5617 | 0.00225  |    -     | 0.00213  |0.04731  |    -     |    -     |</t>
  </si>
  <si>
    <t>| 5618 | 0.00248  |    -     | 0.00223  |0.04743  |    -     |    -     |</t>
  </si>
  <si>
    <t>| 5619 | 0.00243  |    -     | 0.00226  |0.04742  |    -     |    -     |</t>
  </si>
  <si>
    <t>| 5620 | 0.00237  |    -     | 0.00224  |0.04736  |    -     |    -     |</t>
  </si>
  <si>
    <t>| 5621 | 0.00238  |    -     | 0.00219  |0.04748  |    -     |    -     |</t>
  </si>
  <si>
    <t>| 5622 | 0.00234  |    -     | 0.00229  |0.04741  |    -     |    -     |</t>
  </si>
  <si>
    <t>| 5623 | 0.00247  |    -     | 0.00221  |0.04743  |    -     |    -     |</t>
  </si>
  <si>
    <t>| 5624 | 0.00246  |    -     | 0.00219  |0.04751  |    -     |    -     |</t>
  </si>
  <si>
    <t>| 5625 | 0.00237  |    -     | 0.00228  |0.04739  |    -     |    -     |</t>
  </si>
  <si>
    <t>| 5626 | 0.00245  |    -     | 0.00228  |0.04655  |    -     |    -     |</t>
  </si>
  <si>
    <t>| 5627 | 0.00237  |    -     | 0.00223  |0.04744  |    -     |    -     |</t>
  </si>
  <si>
    <t>| 5628 | 0.00231  |    -     | 0.00227  |0.04683  |    -     |    -     |</t>
  </si>
  <si>
    <t>| 5629 | 0.00236  |    -     | 0.00223  |0.04743  |    -     |    -     |</t>
  </si>
  <si>
    <t>| 5630 | 0.00234  |    -     | 0.00223  |0.04744  |    -     |    -     |</t>
  </si>
  <si>
    <t>| 5631 | 0.00235  |    -     | 0.00222  |0.04745  |    -     |    -     |</t>
  </si>
  <si>
    <t>| 5632 | 0.00232  |    -     | 0.00222  |0.04743  |    -     |    -     |</t>
  </si>
  <si>
    <t>| 5633 | 0.00235  |    -     | 0.00222  |0.04740  |    -     |    -     |</t>
  </si>
  <si>
    <t>| 5634 | 0.00239  |    -     | 0.00223  |0.04747  |    -     |    -     |</t>
  </si>
  <si>
    <t>| 5635 | 0.00234  |    -     | 0.00220  |0.04742  |    -     |    -     |</t>
  </si>
  <si>
    <t>| 5636 | 0.00231  |    -     | 0.00222  |0.04255  |    -     |    -     |</t>
  </si>
  <si>
    <t>| 5637 | 0.00228  |    -     | 0.00219  |0.04747  |    -     |    -     |</t>
  </si>
  <si>
    <t>| 5638 | 0.00235  |    -     | 0.00219  |0.04152  |    -     |    -     |</t>
  </si>
  <si>
    <t>| 5639 | 0.00233  |    -     | 0.00224  |0.04748  |    -     |    -     |</t>
  </si>
  <si>
    <t>| 5640 | 0.00247  |    -     | 0.00220  |0.04741  |    -     |    -     |</t>
  </si>
  <si>
    <t>| 5641 | 0.00238  |    -     | 0.00229  |0.04747  |    -     |    -     |</t>
  </si>
  <si>
    <t>| 5642 | 0.00235  |    -     | 0.00221  |0.04380  |    -     |    -     |</t>
  </si>
  <si>
    <t>| 5643 | 0.00240  |    -     | 0.00225  |0.04741  |    -     |    -     |</t>
  </si>
  <si>
    <t>| 5644 | 0.00242  |    -     | 0.00229  |0.04744  |    -     |    -     |</t>
  </si>
  <si>
    <t>| 5645 | 0.00229  |    -     | 0.00209  |0.04734  |    -     |    -     |</t>
  </si>
  <si>
    <t>| 5646 | 0.00235  |    -     | 0.00229  |0.04040  |    -     |    -     |</t>
  </si>
  <si>
    <t>| 5647 | 0.00240  |    -     | 0.00223  |0.04704  |    -     |    -     |</t>
  </si>
  <si>
    <t>| 5648 | 0.00231  |    -     | 0.00215  |0.04742  |    -     |    -     |</t>
  </si>
  <si>
    <t>| 5649 | 0.00234  |    -     | 0.00228  |0.04739  |    -     |    -     |</t>
  </si>
  <si>
    <t>| 5650 | 0.00227  |    -     | 0.00218  |0.04745  |    -     |    -     |</t>
  </si>
  <si>
    <t>| 5651 | 0.00239  |    -     | 0.00221  |0.04745  |    -     |    -     |</t>
  </si>
  <si>
    <t>| 5652 | 0.00234  |    -     | 0.00224  |0.04739  |    -     |    -     |</t>
  </si>
  <si>
    <t>| 5653 | 0.00233  |    -     | 0.00222  |0.04748  |    -     |    -     |</t>
  </si>
  <si>
    <t>| 5654 | 0.00234  |    -     | 0.00223  |0.04608  |    -     |    -     |</t>
  </si>
  <si>
    <t>| 5655 | 0.00236  |    -     | 0.00222  |0.04643  |    -     |    -     |</t>
  </si>
  <si>
    <t>| 5656 | 0.00241  |    -     | 0.00220  |0.04744  |    -     |    -     |</t>
  </si>
  <si>
    <t>| 5657 | 0.00236  |    -     | 0.00225  |0.04201  |    -     |    -     |</t>
  </si>
  <si>
    <t>| 5658 | 0.00231  |    -     | 0.00218  |0.04742  |    -     |    -     |</t>
  </si>
  <si>
    <t>| 5659 | 0.00239  |    -     | 0.00223  |0.04658  |    -     |    -     |</t>
  </si>
  <si>
    <t>| 5660 | 0.00246  |    -     | 0.00227  |0.04752  |    -     |    -     |</t>
  </si>
  <si>
    <t>| 5661 | 0.00239  |    -     | 0.00226  |0.04751  |    -     |    -     |</t>
  </si>
  <si>
    <t>| 5662 | 0.00237  |    -     | 0.00222  |0.04744  |    -     |    -     |</t>
  </si>
  <si>
    <t>| 5663 | 0.00234  |    -     | 0.00222  |0.04749  |    -     |    -     |</t>
  </si>
  <si>
    <t>| 5664 | 0.00234  |    -     | 0.00218  |0.04746  |    -     |    -     |</t>
  </si>
  <si>
    <t>| 5665 | 0.00234  |    -     | 0.00222  |0.04746  |    -     |    -     |</t>
  </si>
  <si>
    <t>| 5666 | 0.00233  |    -     | 0.00222  |0.04739  |    -     |    -     |</t>
  </si>
  <si>
    <t>| 5667 | 0.00238  |    -     | 0.00224  |0.04745  |    -     |    -     |</t>
  </si>
  <si>
    <t>| 5668 | 0.00235  |    -     | 0.00221  |0.04745  |    -     |    -     |</t>
  </si>
  <si>
    <t>| 5669 | 0.00232  |    -     | 0.00222  |0.04741  |    -     |    -     |</t>
  </si>
  <si>
    <t>| 5670 | 0.00235  |    -     | 0.00222  |0.03953  |    -     |    -     |</t>
  </si>
  <si>
    <t>| 5671 | 0.00230  |    -     | 0.00220  |0.04743  |    -     |    -     |</t>
  </si>
  <si>
    <t>| 5672 | 0.00238  |    -     | 0.00223  |0.04738  |    -     |    -     |</t>
  </si>
  <si>
    <t>| 5673 | 0.00237  |    -     | 0.00224  |0.04738  |    -     |    -     |</t>
  </si>
  <si>
    <t>| 5674 | 0.00239  |    -     | 0.00223  |0.04749  |    -     |    -     |</t>
  </si>
  <si>
    <t>| 5675 | 0.00239  |    -     | 0.00221  |0.04532  |    -     |    -     |</t>
  </si>
  <si>
    <t>| 5676 | 0.00241  |    -     | 0.00221  |0.04739  |    -     |    -     |</t>
  </si>
  <si>
    <t>| 5677 | 0.00235  |    -     | 0.00223  |0.04737  |    -     |    -     |</t>
  </si>
  <si>
    <t>| 5678 | 0.00233  |    -     | 0.00223  |0.04743  |    -     |    -     |</t>
  </si>
  <si>
    <t>| 5679 | 0.00247  |    -     | 0.00214  |0.04751  |    -     |    -     |</t>
  </si>
  <si>
    <t>| 5680 | 0.00225  |    -     | 0.00208  |0.04730  |    -     |    -     |</t>
  </si>
  <si>
    <t>| 5681 | 0.00239  |    -     | 0.00224  |0.04744  |    -     |    -     |</t>
  </si>
  <si>
    <t>| 5682 | 0.00233  |    -     | 0.00224  |0.04676  |    -     |    -     |</t>
  </si>
  <si>
    <t>| 5683 | 0.00234  |    -     | 0.00224  |0.04743  |    -     |    -     |</t>
  </si>
  <si>
    <t>| 5684 | 0.00236  |    -     | 0.00223  |0.04745  |    -     |    -     |</t>
  </si>
  <si>
    <t>| 5685 | 0.00235  |    -     | 0.00222  |0.04742  |    -     |    -     |</t>
  </si>
  <si>
    <t>| 5686 | 0.00234  |    -     | 0.00224  |0.04744  |    -     |    -     |</t>
  </si>
  <si>
    <t>| 5687 | 0.00231  |    -     | 0.00222  |0.04741  |    -     |    -     |</t>
  </si>
  <si>
    <t>| 5688 | 0.00220  |    -     | 0.00211  |0.04736  |    -     |    -     |</t>
  </si>
  <si>
    <t>| 5689 | 0.00244  |    -     | 0.00225  |0.04731  |    -     |    -     |</t>
  </si>
  <si>
    <t>| 5690 | 0.00232  |    -     | 0.00222  |0.04741  |    -     |    -     |</t>
  </si>
  <si>
    <t>| 5691 | 0.00241  |    -     | 0.00213  |0.04729  |    -     |    -     |</t>
  </si>
  <si>
    <t>| 5692 | 0.00240  |    -     | 0.00218  |0.04747  |    -     |    -     |</t>
  </si>
  <si>
    <t>| 5693 | 0.00237  |    -     | 0.00222  |0.04743  |    -     |    -     |</t>
  </si>
  <si>
    <t>| 5694 | 0.00233  |    -     | 0.00219  |0.04487  |    -     |    -     |</t>
  </si>
  <si>
    <t>| 5695 | 0.00235  |    -     | 0.00222  |0.04741  |    -     |    -     |</t>
  </si>
  <si>
    <t>| 5696 | 0.00238  |    -     | 0.00224  |0.04748  |    -     |    -     |</t>
  </si>
  <si>
    <t>| 5697 | 0.00233  |    -     | 0.00222  |0.04744  |    -     |    -     |</t>
  </si>
  <si>
    <t>| 5698 | 0.00224  |    -     | 0.00213  |0.04742  |    -     |    -     |</t>
  </si>
  <si>
    <t>| 5699 | 0.00244  |    -     | 0.00229  |0.04753  |    -     |    -     |</t>
  </si>
  <si>
    <t>| 5700 | 0.00232  |    -     | 0.00223  |0.04746  |    -     |    -     |</t>
  </si>
  <si>
    <t>| 5701 | 0.00232  |    -     | 0.00220  |0.04734  |    -     |    -     |</t>
  </si>
  <si>
    <t>| 5702 | 0.00221  |    -     | 0.00209  |0.04398  |    -     |    -     |</t>
  </si>
  <si>
    <t>| 5703 | 0.00234  |    -     | 0.00222  |0.04742  |    -     |    -     |</t>
  </si>
  <si>
    <t>| 5704 | 0.00230  |    -     | 0.00224  |0.04742  |    -     |    -     |</t>
  </si>
  <si>
    <t>| 5705 | 0.00234  |    -     | 0.00221  |0.04744  |    -     |    -     |</t>
  </si>
  <si>
    <t>| 5706 | 0.00237  |    -     | 0.00223  |0.04747  |    -     |    -     |</t>
  </si>
  <si>
    <t>| 5707 | 0.00235  |    -     | 0.00221  |0.04746  |    -     |    -     |</t>
  </si>
  <si>
    <t>| 5708 | 0.00236  |    -     | 0.00224  |0.04739  |    -     |    -     |</t>
  </si>
  <si>
    <t>| 5709 | 0.00235  |    -     | 0.00223  |0.04742  |    -     |    -     |</t>
  </si>
  <si>
    <t>| 5710 | 0.00226  |    -     | 0.00210  |0.04560  |    -     |    -     |</t>
  </si>
  <si>
    <t>| 5711 | 0.00237  |    -     | 0.00222  |0.04736  |    -     |    -     |</t>
  </si>
  <si>
    <t>| 5712 | 0.00236  |    -     | 0.00223  |0.04738  |    -     |    -     |</t>
  </si>
  <si>
    <t>| 5713 | 0.00241  |    -     | 0.00226  |0.04747  |    -     |    -     |</t>
  </si>
  <si>
    <t>| 5714 | 0.00233  |    -     | 0.00222  |0.04738  |    -     |    -     |</t>
  </si>
  <si>
    <t>| 5715 | 0.00239  |    -     | 0.00224  |0.04357  |    -     |    -     |</t>
  </si>
  <si>
    <t>| 5716 | 0.00230  |    -     | 0.00219  |0.04216  |    -     |    -     |</t>
  </si>
  <si>
    <t>| 5717 | 0.00228  |    -     | 0.00220  |0.04749  |    -     |    -     |</t>
  </si>
  <si>
    <t>| 5718 | 0.00237  |    -     | 0.00228  |0.04739  |    -     |    -     |</t>
  </si>
  <si>
    <t>| 5719 | 0.00241  |    -     | 0.00224  |0.04746  |    -     |    -     |</t>
  </si>
  <si>
    <t>| 5720 | 0.00232  |    -     | 0.00227  |0.04445  |    -     |    -     |</t>
  </si>
  <si>
    <t>| 5721 | 0.00255  |    -     | 0.00233  |0.04750  |    -     |    -     |</t>
  </si>
  <si>
    <t>| 5722 | 0.00235  |    -     | 0.00222  |0.04741  |    -     |    -     |</t>
  </si>
  <si>
    <t>| 5723 | 0.00225  |    -     | 0.00212  |0.04734  |    -     |    -     |</t>
  </si>
  <si>
    <t>| 5724 | 0.00224  |    -     | 0.00209  |0.04733  |    -     |    -     |</t>
  </si>
  <si>
    <t>| 5725 | 0.00232  |    -     | 0.00221  |0.04030  |    -     |    -     |</t>
  </si>
  <si>
    <t>| 5726 | 0.00242  |    -     | 0.00223  |0.04744  |    -     |    -     |</t>
  </si>
  <si>
    <t>| 5727 | 0.00251  |    -     | 0.00229  |0.04752  |    -     |    -     |</t>
  </si>
  <si>
    <t>| 5728 | 0.00235  |    -     | 0.00222  |0.04747  |    -     |    -     |</t>
  </si>
  <si>
    <t>| 5729 | 0.00240  |    -     | 0.00227  |0.04749  |    -     |    -     |</t>
  </si>
  <si>
    <t>| 5730 | 0.00234  |    -     | 0.00224  |0.04742  |    -     |    -     |</t>
  </si>
  <si>
    <t>| 5731 | 0.00237  |    -     | 0.00221  |0.04746  |    -     |    -     |</t>
  </si>
  <si>
    <t>| 5732 | 0.00236  |    -     | 0.00222  |0.04739  |    -     |    -     |</t>
  </si>
  <si>
    <t>| 5733 | 0.00247  |    -     | 0.00230  |0.04743  |    -     |    -     |</t>
  </si>
  <si>
    <t>| 5734 | 0.00241  |    -     | 0.00225  |0.04747  |    -     |    -     |</t>
  </si>
  <si>
    <t>| 5735 | 0.00235  |    -     | 0.00223  |0.04739  |    -     |    -     |</t>
  </si>
  <si>
    <t>| 5736 | 0.00232  |    -     | 0.00221  |0.04518  |    -     |    -     |</t>
  </si>
  <si>
    <t>| 5737 | 0.00226  |    -     | 0.00228  |0.04579  |    -     |    -     |</t>
  </si>
  <si>
    <t>| 5738 | 0.00251  |    -     | 0.00221  |0.04742  |    -     |    -     |</t>
  </si>
  <si>
    <t>| 5739 | 0.00235  |    -     | 0.00220  |0.04739  |    -     |    -     |</t>
  </si>
  <si>
    <t>| 5740 | 0.00245  |    -     | 0.00232  |0.04752  |    -     |    -     |</t>
  </si>
  <si>
    <t>| 5741 | 0.00235  |    -     | 0.00222  |0.04745  |    -     |    -     |</t>
  </si>
  <si>
    <t>| 5742 | 0.00228  |    -     | 0.00210  |0.04734  |    -     |    -     |</t>
  </si>
  <si>
    <t>| 5743 | 0.00239  |    -     | 0.00220  |0.04733  |    -     |    -     |</t>
  </si>
  <si>
    <t>| 5744 | 0.00237  |    -     | 0.00225  |0.04745  |    -     |    -     |</t>
  </si>
  <si>
    <t>| 5745 | 0.00239  |    -     | 0.00224  |0.04748  |    -     |    -     |</t>
  </si>
  <si>
    <t>| 5746 | 0.00234  |    -     | 0.00220  |0.04746  |    -     |    -     |</t>
  </si>
  <si>
    <t>| 5747 | 0.00240  |    -     | 0.00218  |0.04745  |    -     |    -     |</t>
  </si>
  <si>
    <t>| 5748 | 0.00239  |    -     | 0.00215  |0.04746  |    -     |    -     |</t>
  </si>
  <si>
    <t>| 5749 | 0.00241  |    -     | 0.00229  |0.04575  |    -     |    -     |</t>
  </si>
  <si>
    <t>| 5750 | 0.00237  |    -     | 0.00228  |0.04535  |    -     |    -     |</t>
  </si>
  <si>
    <t>| 5751 | 0.00238  |    -     | 0.00225  |0.04720  |    -     |    -     |</t>
  </si>
  <si>
    <t>| 5752 | 0.00232  |    -     | 0.00217  |0.04743  |    -     |    -     |</t>
  </si>
  <si>
    <t>| 5753 | 0.00243  |    -     | 0.00226  |0.04407  |    -     |    -     |</t>
  </si>
  <si>
    <t>| 5754 | 0.00240  |    -     | 0.00229  |0.04744  |    -     |    -     |</t>
  </si>
  <si>
    <t>| 5755 | 0.00240  |    -     | 0.00224  |0.04750  |    -     |    -     |</t>
  </si>
  <si>
    <t>| 5756 | 0.00233  |    -     | 0.00219  |0.04737  |    -     |    -     |</t>
  </si>
  <si>
    <t>| 5757 | 0.00247  |    -     | 0.00228  |0.04746  |    -     |    -     |</t>
  </si>
  <si>
    <t>| 5758 | 0.00244  |    -     | 0.00224  |0.04747  |    -     |    -     |</t>
  </si>
  <si>
    <t>| 5759 | 0.00233  |    -     | 0.00221  |0.04745  |    -     |    -     |</t>
  </si>
  <si>
    <t>| 5760 | 0.00233  |    -     | 0.00223  |0.04747  |    -     |    -     |</t>
  </si>
  <si>
    <t>| 5761 | 0.00230  |    -     | 0.00222  |0.04741  |    -     |    -     |</t>
  </si>
  <si>
    <t>| 5762 | 0.00236  |    -     | 0.00220  |0.04751  |    -     |    -     |</t>
  </si>
  <si>
    <t>| 5763 | 0.00233  |    -     | 0.00223  |0.04745  |    -     |    -     |</t>
  </si>
  <si>
    <t>| 5764 | 0.00233  |    -     | 0.00223  |0.04734  |    -     |    -     |</t>
  </si>
  <si>
    <t>| 5765 | 0.00236  |    -     | 0.00222  |0.04748  |    -     |    -     |</t>
  </si>
  <si>
    <t>| 5766 | 0.00238  |    -     | 0.00222  |0.04748  |    -     |    -     |</t>
  </si>
  <si>
    <t>| 5767 | 0.00231  |    -     | 0.00217  |0.04199  |    -     |    -     |</t>
  </si>
  <si>
    <t>| 5768 | 0.00235  |    -     | 0.00225  |0.04747  |    -     |    -     |</t>
  </si>
  <si>
    <t>| 5769 | 0.00233  |    -     | 0.00230  |0.04748  |    -     |    -     |</t>
  </si>
  <si>
    <t>| 5770 | 0.00242  |    -     | 0.00224  |0.04743  |    -     |    -     |</t>
  </si>
  <si>
    <t>| 5771 | 0.00248  |    -     | 0.00225  |0.04715  |    -     |    -     |</t>
  </si>
  <si>
    <t>| 5772 | 0.00238  |    -     | 0.00225  |0.04742  |    -     |    -     |</t>
  </si>
  <si>
    <t>| 5773 | 0.00239  |    -     | 0.00223  |0.04413  |    -     |    -     |</t>
  </si>
  <si>
    <t>| 5774 | 0.00241  |    -     | 0.00225  |0.04732  |    -     |    -     |</t>
  </si>
  <si>
    <t>| 5775 | 0.00239  |    -     | 0.00223  |0.04751  |    -     |    -     |</t>
  </si>
  <si>
    <t>| 5776 | 0.00234  |    -     | 0.00212  |0.04790  |    -     |    -     |</t>
  </si>
  <si>
    <t>| 5777 | 0.00245  |    -     | 0.00217  |0.04752  |    -     |    -     |</t>
  </si>
  <si>
    <t>| 5778 | 0.00239  |    -     | 0.00225  |0.04741  |    -     |    -     |</t>
  </si>
  <si>
    <t>| 5779 | 0.00239  |    -     | 0.00229  |0.04746  |    -     |    -     |</t>
  </si>
  <si>
    <t>| 5780 | 0.00229  |    -     | 0.00224  |0.04748  |    -     |    -     |</t>
  </si>
  <si>
    <t>| 5781 | 0.00234  |    -     | 0.00221  |0.04564  |    -     |    -     |</t>
  </si>
  <si>
    <t>| 5782 | 0.00238  |    -     | 0.00220  |0.04743  |    -     |    -     |</t>
  </si>
  <si>
    <t>| 5783 | 0.00235  |    -     | 0.00219  |0.04747  |    -     |    -     |</t>
  </si>
  <si>
    <t>| 5784 | 0.00233  |    -     | 0.00219  |0.04632  |    -     |    -     |</t>
  </si>
  <si>
    <t>| 5785 | 0.00233  |    -     | 0.00226  |0.04742  |    -     |    -     |</t>
  </si>
  <si>
    <t>| 5786 | 0.00241  |    -     | 0.00220  |0.04744  |    -     |    -     |</t>
  </si>
  <si>
    <t>| 5787 | 0.00233  |    -     | 0.00221  |0.04067  |    -     |    -     |</t>
  </si>
  <si>
    <t>| 5788 | 0.00228  |    -     | 0.00220  |0.04747  |    -     |    -     |</t>
  </si>
  <si>
    <t>| 5789 | 0.00238  |    -     | 0.00221  |0.04743  |    -     |    -     |</t>
  </si>
  <si>
    <t>| 5790 | 0.00231  |    -     | 0.00222  |0.04747  |    -     |    -     |</t>
  </si>
  <si>
    <t>| 5791 | 0.00235  |    -     | 0.00219  |0.04744  |    -     |    -     |</t>
  </si>
  <si>
    <t>| 5792 | 0.00239  |    -     | 0.00220  |0.04744  |    -     |    -     |</t>
  </si>
  <si>
    <t>| 5793 | 0.00237  |    -     | 0.00216  |0.04739  |    -     |    -     |</t>
  </si>
  <si>
    <t>| 5794 | 0.00237  |    -     | 0.00218  |0.04183  |    -     |    -     |</t>
  </si>
  <si>
    <t>| 5795 | 0.00232  |    -     | 0.00220  |0.04737  |    -     |    -     |</t>
  </si>
  <si>
    <t>| 5796 | 0.00235  |    -     | 0.00229  |0.04750  |    -     |    -     |</t>
  </si>
  <si>
    <t>| 5797 | 0.00235  |    -     | 0.00221  |0.04746  |    -     |    -     |</t>
  </si>
  <si>
    <t>| 5798 | 0.00236  |    -     | 0.00218  |0.04740  |    -     |    -     |</t>
  </si>
  <si>
    <t>| 5799 | 0.00222  |    -     | 0.00208  |0.04735  |    -     |    -     |</t>
  </si>
  <si>
    <t>| 5800 | 0.00236  |    -     | 0.00220  |0.04742  |    -     |    -     |</t>
  </si>
  <si>
    <t>| 5801 | 0.00234  |    -     | 0.00217  |0.04737  |    -     |    -     |</t>
  </si>
  <si>
    <t>| 5802 | 0.00231  |    -     | 0.00222  |0.04745  |    -     |    -     |</t>
  </si>
  <si>
    <t>| 5803 | 0.00234  |    -     | 0.00219  |0.04745  |    -     |    -     |</t>
  </si>
  <si>
    <t>| 5804 | 0.00231  |    -     | 0.00218  |0.04744  |    -     |    -     |</t>
  </si>
  <si>
    <t>| 5805 | 0.00237  |    -     | 0.00221  |0.04742  |    -     |    -     |</t>
  </si>
  <si>
    <t>| 5806 | 0.00240  |    -     | 0.00219  |0.04619  |    -     |    -     |</t>
  </si>
  <si>
    <t>| 5807 | 0.00234  |    -     | 0.00223  |0.04703  |    -     |    -     |</t>
  </si>
  <si>
    <t>| 5808 | 0.00240  |    -     | 0.00222  |0.04742  |    -     |    -     |</t>
  </si>
  <si>
    <t>| 5809 | 0.00240  |    -     | 0.00220  |0.04733  |    -     |    -     |</t>
  </si>
  <si>
    <t>| 5810 | 0.00239  |    -     | 0.00219  |0.04743  |    -     |    -     |</t>
  </si>
  <si>
    <t>| 5811 | 0.00238  |    -     | 0.00225  |0.04744  |    -     |    -     |</t>
  </si>
  <si>
    <t>| 5812 | 0.00234  |    -     | 0.00220  |0.04747  |    -     |    -     |</t>
  </si>
  <si>
    <t>| 5813 | 0.00230  |    -     | 0.00220  |0.04744  |    -     |    -     |</t>
  </si>
  <si>
    <t>| 5814 | 0.00241  |    -     | 0.00220  |0.04745  |    -     |    -     |</t>
  </si>
  <si>
    <t>| 5815 | 0.00241  |    -     | 0.00229  |0.04742  |    -     |    -     |</t>
  </si>
  <si>
    <t>| 5816 | 0.00239  |    -     | 0.00221  |0.04749  |    -     |    -     |</t>
  </si>
  <si>
    <t>| 5817 | 0.00247  |    -     | 0.00225  |0.04748  |    -     |    -     |</t>
  </si>
  <si>
    <t>| 5818 | 0.00241  |    -     | 0.00227  |0.04744  |    -     |    -     |</t>
  </si>
  <si>
    <t>| 5819 | 0.00237  |    -     | 0.00217  |0.04743  |    -     |    -     |</t>
  </si>
  <si>
    <t>| 5820 | 0.00235  |    -     | 0.00223  |0.04744  |    -     |    -     |</t>
  </si>
  <si>
    <t>| 5821 | 0.00236  |    -     | 0.00223  |0.04745  |    -     |    -     |</t>
  </si>
  <si>
    <t>| 5822 | 0.00244  |    -     | 0.00215  |0.04740  |    -     |    -     |</t>
  </si>
  <si>
    <t>| 5823 | 0.00240  |    -     | 0.00220  |0.04224  |    -     |    -     |</t>
  </si>
  <si>
    <t>| 5824 | 0.00230  |    -     | 0.00219  |0.04742  |    -     |    -     |</t>
  </si>
  <si>
    <t>| 5825 | 0.00236  |    -     | 0.00222  |0.04741  |    -     |    -     |</t>
  </si>
  <si>
    <t>| 5826 | 0.00248  |    -     | 0.00221  |0.04743  |    -     |    -     |</t>
  </si>
  <si>
    <t>| 5827 | 0.00232  |    -     | 0.00218  |0.04745  |    -     |    -     |</t>
  </si>
  <si>
    <t>| 5828 | 0.00234  |    -     | 0.00221  |0.04749  |    -     |    -     |</t>
  </si>
  <si>
    <t>| 5829 | 0.00225  |    -     | 0.00212  |0.04731  |    -     |    -     |</t>
  </si>
  <si>
    <t>| 5830 | 0.00224  |    -     | 0.00209  |0.04734  |    -     |    -     |</t>
  </si>
  <si>
    <t>| 5831 | 0.00235  |    -     | 0.00222  |0.04741  |    -     |    -     |</t>
  </si>
  <si>
    <t>| 5832 | 0.00242  |    -     | 0.00222  |0.04741  |    -     |    -     |</t>
  </si>
  <si>
    <t>| 5833 | 0.00233  |    -     | 0.00219  |0.04745  |    -     |    -     |</t>
  </si>
  <si>
    <t>| 5834 | 0.00232  |    -     | 0.00213  |0.04748  |    -     |    -     |</t>
  </si>
  <si>
    <t>| 5835 | 0.00248  |    -     | 0.00222  |0.04747  |    -     |    -     |</t>
  </si>
  <si>
    <t>| 5836 | 0.00240  |    -     | 0.00225  |0.04744  |    -     |    -     |</t>
  </si>
  <si>
    <t>| 5837 | 0.00235  |    -     | 0.00222  |0.04743  |    -     |    -     |</t>
  </si>
  <si>
    <t>| 5838 | 0.00238  |    -     | 0.00218  |0.04723  |    -     |    -     |</t>
  </si>
  <si>
    <t>| 5839 | 0.00225  |    -     | 0.00206  |0.04731  |    -     |    -     |</t>
  </si>
  <si>
    <t>| 5840 | 0.00232  |    -     | 0.00225  |0.04746  |    -     |    -     |</t>
  </si>
  <si>
    <t>| 5841 | 0.00240  |    -     | 0.00221  |0.04739  |    -     |    -     |</t>
  </si>
  <si>
    <t>| 5842 | 0.00234  |    -     | 0.00220  |0.04737  |    -     |    -     |</t>
  </si>
  <si>
    <t>| 5843 | 0.00240  |    -     | 0.00223  |0.04412  |    -     |    -     |</t>
  </si>
  <si>
    <t>| 5844 | 0.00244  |    -     | 0.00224  |0.04741  |    -     |    -     |</t>
  </si>
  <si>
    <t>| 5845 | 0.00237  |    -     | 0.00215  |0.04737  |    -     |    -     |</t>
  </si>
  <si>
    <t>| 5846 | 0.00237  |    -     | 0.00219  |0.04418  |    -     |    -     |</t>
  </si>
  <si>
    <t>| 5847 | 0.00239  |    -     | 0.00221  |0.04737  |    -     |    -     |</t>
  </si>
  <si>
    <t>| 5848 | 0.00238  |    -     | 0.00223  |0.04745  |    -     |    -     |</t>
  </si>
  <si>
    <t>| 5849 | 0.00237  |    -     | 0.00220  |0.04743  |    -     |    -     |</t>
  </si>
  <si>
    <t>| 5850 | 0.00242  |    -     | 0.00220  |0.04743  |    -     |    -     |</t>
  </si>
  <si>
    <t>| 5851 | 0.00228  |    -     | 0.00217  |0.03851  |    -     |    -     |</t>
  </si>
  <si>
    <t>| 5852 | 0.00235  |    -     | 0.00220  |0.04744  |    -     |    -     |</t>
  </si>
  <si>
    <t>| 5853 | 0.00232  |    -     | 0.00219  |0.04737  |    -     |    -     |</t>
  </si>
  <si>
    <t>| 5854 | 0.00239  |    -     | 0.00228  |0.04746  |    -     |    -     |</t>
  </si>
  <si>
    <t>| 5855 | 0.00230  |    -     | 0.00223  |0.04746  |    -     |    -     |</t>
  </si>
  <si>
    <t>| 5856 | 0.00229  |    -     | 0.00225  |0.04743  |    -     |    -     |</t>
  </si>
  <si>
    <t>| 5857 | 0.00230  |    -     | 0.00227  |0.04746  |    -     |    -     |</t>
  </si>
  <si>
    <t>| 5858 | 0.00233  |    -     | 0.00224  |0.04747  |    -     |    -     |</t>
  </si>
  <si>
    <t>| 5859 | 0.00235  |    -     | 0.00223  |0.04749  |    -     |    -     |</t>
  </si>
  <si>
    <t>| 5860 | 0.00233  |    -     | 0.00218  |0.04742  |    -     |    -     |</t>
  </si>
  <si>
    <t>| 5861 | 0.00232  |    -     | 0.00224  |0.04745  |    -     |    -     |</t>
  </si>
  <si>
    <t>| 5862 | 0.00229  |    -     | 0.00226  |0.04541  |    -     |    -     |</t>
  </si>
  <si>
    <t>| 5863 | 0.00228  |    -     | 0.00227  |0.04733  |    -     |    -     |</t>
  </si>
  <si>
    <t>| 5864 | 0.00240  |    -     | 0.00225  |0.04746  |    -     |    -     |</t>
  </si>
  <si>
    <t>| 5865 | 0.00238  |    -     | 0.00224  |0.04746  |    -     |    -     |</t>
  </si>
  <si>
    <t>| 5866 | 0.00239  |    -     | 0.00217  |0.04740  |    -     |    -     |</t>
  </si>
  <si>
    <t>| 5867 | 0.00235  |    -     | 0.00221  |0.04746  |    -     |    -     |</t>
  </si>
  <si>
    <t>| 5868 | 0.00236  |    -     | 0.00226  |0.04742  |    -     |    -     |</t>
  </si>
  <si>
    <t>| 5869 | 0.00232  |    -     | 0.00224  |0.04641  |    -     |    -     |</t>
  </si>
  <si>
    <t>| 5870 | 0.00242  |    -     | 0.00223  |0.04737  |    -     |    -     |</t>
  </si>
  <si>
    <t>| 5871 | 0.00238  |    -     | 0.00224  |0.04739  |    -     |    -     |</t>
  </si>
  <si>
    <t>| 5872 | 0.00238  |    -     | 0.00225  |0.04741  |    -     |    -     |</t>
  </si>
  <si>
    <t>| 5873 | 0.00238  |    -     | 0.00227  |0.04740  |    -     |    -     |</t>
  </si>
  <si>
    <t>| 5874 | 0.00241  |    -     | 0.00224  |0.04743  |    -     |    -     |</t>
  </si>
  <si>
    <t>| 5875 | 0.00235  |    -     | 0.00219  |0.04734  |    -     |    -     |</t>
  </si>
  <si>
    <t>| 5876 | 0.00240  |    -     | 0.00221  |0.04745  |    -     |    -     |</t>
  </si>
  <si>
    <t>| 5877 | 0.00232  |    -     | 0.00220  |0.04742  |    -     |    -     |</t>
  </si>
  <si>
    <t>| 5878 | 0.00241  |    -     | 0.00223  |0.04636  |    -     |    -     |</t>
  </si>
  <si>
    <t>| 5879 | 0.00232  |    -     | 0.00219  |0.04677  |    -     |    -     |</t>
  </si>
  <si>
    <t>| 5880 | 0.00230  |    -     | 0.00222  |0.04744  |    -     |    -     |</t>
  </si>
  <si>
    <t>| 5881 | 0.00223  |    -     | 0.00217  |0.04479  |    -     |    -     |</t>
  </si>
  <si>
    <t>| 5882 | 0.00239  |    -     | 0.00216  |0.04472  |    -     |    -     |</t>
  </si>
  <si>
    <t>| 5883 | 0.00240  |    -     | 0.00225  |0.04750  |    -     |    -     |</t>
  </si>
  <si>
    <t>| 5884 | 0.00237  |    -     | 0.00222  |0.04478  |    -     |    -     |</t>
  </si>
  <si>
    <t>| 5885 | 0.00238  |    -     | 0.00230  |0.04747  |    -     |    -     |</t>
  </si>
  <si>
    <t>| 5886 | 0.00238  |    -     | 0.00217  |0.04350  |    -     |    -     |</t>
  </si>
  <si>
    <t>| 5887 | 0.00229  |    -     | 0.00227  |0.04757  |    -     |    -     |</t>
  </si>
  <si>
    <t>| 5888 | 0.00245  |    -     | 0.00225  |0.04467  |    -     |    -     |</t>
  </si>
  <si>
    <t>| 5889 | 0.00235  |    -     | 0.00222  |0.04744  |    -     |    -     |</t>
  </si>
  <si>
    <t>| 5890 | 0.00242  |    -     | 0.00215  |0.04353  |    -     |    -     |</t>
  </si>
  <si>
    <t>| 5891 | 0.00234  |    -     | 0.00222  |0.04634  |    -     |    -     |</t>
  </si>
  <si>
    <t>| 5892 | 0.00234  |    -     | 0.00222  |0.04647  |    -     |    -     |</t>
  </si>
  <si>
    <t>| 5893 | 0.00242  |    -     | 0.00215  |0.04750  |    -     |    -     |</t>
  </si>
  <si>
    <t>| 5894 | 0.00239  |    -     | 0.00228  |0.04746  |    -     |    -     |</t>
  </si>
  <si>
    <t>| 5895 | 0.00234  |    -     | 0.00226  |0.04746  |    -     |    -     |</t>
  </si>
  <si>
    <t>| 5896 | 0.00227  |    -     | 0.00208  |0.04732  |    -     |    -     |</t>
  </si>
  <si>
    <t>| 5897 | 0.00240  |    -     | 0.00226  |0.04480  |    -     |    -     |</t>
  </si>
  <si>
    <t>| 5898 | 0.00236  |    -     | 0.00216  |0.04747  |    -     |    -     |</t>
  </si>
  <si>
    <t>| 5899 | 0.00228  |    -     | 0.00212  |0.04729  |    -     |    -     |</t>
  </si>
  <si>
    <t>| 5900 | 0.00227  |    -     | 0.00210  |0.04733  |    -     |    -     |</t>
  </si>
  <si>
    <t>| 5901 | 0.00238  |    -     | 0.00229  |0.04051  |    -     |    -     |</t>
  </si>
  <si>
    <t>| 5902 | 0.00236  |    -     | 0.00225  |0.04633  |    -     |    -     |</t>
  </si>
  <si>
    <t>| 5903 | 0.00238  |    -     | 0.00220  |0.04744  |    -     |    -     |</t>
  </si>
  <si>
    <t>| 5904 | 0.00233  |    -     | 0.00218  |0.04346  |    -     |    -     |</t>
  </si>
  <si>
    <t>| 5905 | 0.00231  |    -     | 0.00217  |0.04737  |    -     |    -     |</t>
  </si>
  <si>
    <t>| 5906 | 0.00241  |    -     | 0.00219  |0.04744  |    -     |    -     |</t>
  </si>
  <si>
    <t>| 5907 | 0.00237  |    -     | 0.00221  |0.04748  |    -     |    -     |</t>
  </si>
  <si>
    <t>| 5908 | 0.00235  |    -     | 0.00221  |0.04738  |    -     |    -     |</t>
  </si>
  <si>
    <t>| 5909 | 0.00236  |    -     | 0.00221  |0.04351  |    -     |    -     |</t>
  </si>
  <si>
    <t>| 5910 | 0.00237  |    -     | 0.00221  |0.04740  |    -     |    -     |</t>
  </si>
  <si>
    <t>| 5911 | 0.00234  |    -     | 0.00217  |0.04733  |    -     |    -     |</t>
  </si>
  <si>
    <t>| 5912 | 0.00220  |    -     | 0.00225  |0.04477  |    -     |    -     |</t>
  </si>
  <si>
    <t>| 5913 | 0.00238  |    -     | 0.00227  |0.04746  |    -     |    -     |</t>
  </si>
  <si>
    <t>| 5914 | 0.00238  |    -     | 0.00219  |0.04749  |    -     |    -     |</t>
  </si>
  <si>
    <t>| 5915 | 0.00232  |    -     | 0.00219  |0.04743  |    -     |    -     |</t>
  </si>
  <si>
    <t>| 5916 | 0.00233  |    -     | 0.00219  |0.04737  |    -     |    -     |</t>
  </si>
  <si>
    <t>| 5917 | 0.00233  |    -     | 0.00218  |0.04485  |    -     |    -     |</t>
  </si>
  <si>
    <t>| 5918 | 0.00234  |    -     | 0.00224  |0.04721  |    -     |    -     |</t>
  </si>
  <si>
    <t>| 5919 | 0.00233  |    -     | 0.00223  |0.04741  |    -     |    -     |</t>
  </si>
  <si>
    <t>| 5920 | 0.00238  |    -     | 0.00219  |0.04740  |    -     |    -     |</t>
  </si>
  <si>
    <t>| 5921 | 0.00237  |    -     | 0.00224  |0.04738  |    -     |    -     |</t>
  </si>
  <si>
    <t>| 5922 | 0.00241  |    -     | 0.00221  |0.04744  |    -     |    -     |</t>
  </si>
  <si>
    <t>| 5923 | 0.00235  |    -     | 0.00223  |0.04745  |    -     |    -     |</t>
  </si>
  <si>
    <t>| 5924 | 0.00232  |    -     | 0.00211  |0.04742  |    -     |    -     |</t>
  </si>
  <si>
    <t>| 5925 | 0.00233  |    -     | 0.00222  |0.04487  |    -     |    -     |</t>
  </si>
  <si>
    <t>| 5926 | 0.00243  |    -     | 0.00225  |0.04744  |    -     |    -     |</t>
  </si>
  <si>
    <t>| 5927 | 0.00235  |    -     | 0.00222  |0.04737  |    -     |    -     |</t>
  </si>
  <si>
    <t>| 5928 | 0.00238  |    -     | 0.00222  |0.04740  |    -     |    -     |</t>
  </si>
  <si>
    <t>| 5929 | 0.00233  |    -     | 0.00219  |0.04126  |    -     |    -     |</t>
  </si>
  <si>
    <t>| 5930 | 0.00223  |    -     | 0.00216  |0.04737  |    -     |    -     |</t>
  </si>
  <si>
    <t>| 5931 | 0.00233  |    -     | 0.00221  |0.04742  |    -     |    -     |</t>
  </si>
  <si>
    <t>| 5932 | 0.00235  |    -     | 0.00228  |0.04733  |    -     |    -     |</t>
  </si>
  <si>
    <t>| 5933 | 0.00230  |    -     | 0.00218  |0.04743  |    -     |    -     |</t>
  </si>
  <si>
    <t>| 5934 | 0.00240  |    -     | 0.00220  |0.04740  |    -     |    -     |</t>
  </si>
  <si>
    <t>| 5935 | 0.00239  |    -     | 0.00222  |0.04743  |    -     |    -     |</t>
  </si>
  <si>
    <t>| 5936 | 0.00227  |    -     | 0.00210  |0.04729  |    -     |    -     |</t>
  </si>
  <si>
    <t>| 5937 | 0.00223  |    -     | 0.00209  |0.04731  |    -     |    -     |</t>
  </si>
  <si>
    <t>| 5938 | 0.00237  |    -     | 0.00225  |0.04743  |    -     |    -     |</t>
  </si>
  <si>
    <t>| 5939 | 0.00239  |    -     | 0.00222  |0.04741  |    -     |    -     |</t>
  </si>
  <si>
    <t>| 5940 | 0.00229  |    -     | 0.00217  |0.04739  |    -     |    -     |</t>
  </si>
  <si>
    <t>| 5941 | 0.00237  |    -     | 0.00222  |0.04744  |    -     |    -     |</t>
  </si>
  <si>
    <t>| 5942 | 0.00238  |    -     | 0.00220  |0.04739  |    -     |    -     |</t>
  </si>
  <si>
    <t>| 5943 | 0.00234  |    -     | 0.00223  |0.04743  |    -     |    -     |</t>
  </si>
  <si>
    <t>| 5944 | 0.00234  |    -     | 0.00221  |0.04736  |    -     |    -     |</t>
  </si>
  <si>
    <t>| 5945 | 0.00236  |    -     | 0.00219  |0.04700  |    -     |    -     |</t>
  </si>
  <si>
    <t>| 5946 | 0.00245  |    -     | 0.00225  |0.04745  |    -     |    -     |</t>
  </si>
  <si>
    <t>| 5947 | 0.00235  |    -     | 0.00223  |0.04740  |    -     |    -     |</t>
  </si>
  <si>
    <t>| 5948 | 0.00238  |    -     | 0.00220  |0.04525  |    -     |    -     |</t>
  </si>
  <si>
    <t>| 5949 | 0.00232  |    -     | 0.00222  |0.04742  |    -     |    -     |</t>
  </si>
  <si>
    <t>| 5950 | 0.00241  |    -     | 0.00220  |0.04741  |    -     |    -     |</t>
  </si>
  <si>
    <t>| 5951 | 0.00241  |    -     | 0.00229  |0.04748  |    -     |    -     |</t>
  </si>
  <si>
    <t>| 5952 | 0.00243  |    -     | 0.00221  |0.04737  |    -     |    -     |</t>
  </si>
  <si>
    <t>| 5953 | 0.00235  |    -     | 0.00224  |0.04743  |    -     |    -     |</t>
  </si>
  <si>
    <t>| 5954 | 0.00238  |    -     | 0.00223  |0.04742  |    -     |    -     |</t>
  </si>
  <si>
    <t>| 5955 | 0.00235  |    -     | 0.00220  |0.04743  |    -     |    -     |</t>
  </si>
  <si>
    <t>| 5956 | 0.00234  |    -     | 0.00221  |0.04735  |    -     |    -     |</t>
  </si>
  <si>
    <t>| 5957 | 0.00234  |    -     | 0.00214  |0.04741  |    -     |    -     |</t>
  </si>
  <si>
    <t>| 5958 | 0.00239  |    -     | 0.00220  |0.04744  |    -     |    -     |</t>
  </si>
  <si>
    <t>| 5959 | 0.00234  |    -     | 0.00222  |0.04742  |    -     |    -     |</t>
  </si>
  <si>
    <t>| 5960 | 0.00234  |    -     | 0.00221  |0.04748  |    -     |    -     |</t>
  </si>
  <si>
    <t>| 5961 | 0.00234  |    -     | 0.00226  |0.04732  |    -     |    -     |</t>
  </si>
  <si>
    <t>| 5962 | 0.00244  |    -     | 0.00222  |0.04737  |    -     |    -     |</t>
  </si>
  <si>
    <t>| 5963 | 0.00236  |    -     | 0.00224  |0.04601  |    -     |    -     |</t>
  </si>
  <si>
    <t>| 5964 | 0.00231  |    -     | 0.00220  |0.04730  |    -     |    -     |</t>
  </si>
  <si>
    <t>| 5965 | 0.00244  |    -     | 0.00223  |0.04746  |    -     |    -     |</t>
  </si>
  <si>
    <t>| 5966 | 0.00239  |    -     | 0.00219  |0.04745  |    -     |    -     |</t>
  </si>
  <si>
    <t>| 5967 | 0.00235  |    -     | 0.00219  |0.04746  |    -     |    -     |</t>
  </si>
  <si>
    <t>| 5968 | 0.00232  |    -     | 0.00218  |0.04681  |    -     |    -     |</t>
  </si>
  <si>
    <t>| 5969 | 0.00229  |    -     | 0.00220  |0.04741  |    -     |    -     |</t>
  </si>
  <si>
    <t>| 5970 | 0.00220  |    -     | 0.00218  |0.04752  |    -     |    -     |</t>
  </si>
  <si>
    <t>| 5971 | 0.00243  |    -     | 0.00228  |0.04749  |    -     |    -     |</t>
  </si>
  <si>
    <t>| 5972 | 0.00233  |    -     | 0.00220  |0.04744  |    -     |    -     |</t>
  </si>
  <si>
    <t>| 5973 | 0.00233  |    -     | 0.00222  |0.04744  |    -     |    -     |</t>
  </si>
  <si>
    <t>| 5974 | 0.00241  |    -     | 0.00219  |0.04737  |    -     |    -     |</t>
  </si>
  <si>
    <t>| 5975 | 0.00238  |    -     | 0.00221  |0.04746  |    -     |    -     |</t>
  </si>
  <si>
    <t>| 5976 | 0.00235  |    -     | 0.00222  |0.04686  |    -     |    -     |</t>
  </si>
  <si>
    <t>| 5977 | 0.00234  |    -     | 0.00219  |0.04745  |    -     |    -     |</t>
  </si>
  <si>
    <t>| 5978 | 0.00237  |    -     | 0.00218  |0.04406  |    -     |    -     |</t>
  </si>
  <si>
    <t>| 5979 | 0.00231  |    -     | 0.00217  |0.04742  |    -     |    -     |</t>
  </si>
  <si>
    <t>| 5980 | 0.00232  |    -     | 0.00221  |0.04739  |    -     |    -     |</t>
  </si>
  <si>
    <t>| 5981 | 0.00241  |    -     | 0.00222  |0.04734  |    -     |    -     |</t>
  </si>
  <si>
    <t>| 5982 | 0.00238  |    -     | 0.00219  |0.04630  |    -     |    -     |</t>
  </si>
  <si>
    <t>| 5983 | 0.00235  |    -     | 0.00217  |0.04740  |    -     |    -     |</t>
  </si>
  <si>
    <t>| 5984 | 0.00231  |    -     | 0.00218  |0.04450  |    -     |    -     |</t>
  </si>
  <si>
    <t>| 5985 | 0.00236  |    -     | 0.00221  |0.04475  |    -     |    -     |</t>
  </si>
  <si>
    <t>| 5986 | 0.00226  |    -     | 0.00216  |0.04737  |    -     |    -     |</t>
  </si>
  <si>
    <t>| 5987 | 0.00232  |    -     | 0.00223  |0.04742  |    -     |    -     |</t>
  </si>
  <si>
    <t>| 5988 | 0.00234  |    -     | 0.00220  |0.04737  |    -     |    -     |</t>
  </si>
  <si>
    <t>| 5989 | 0.00234  |    -     | 0.00216  |0.04732  |    -     |    -     |</t>
  </si>
  <si>
    <t>| 5990 | 0.00236  |    -     | 0.00228  |0.04013  |    -     |    -     |</t>
  </si>
  <si>
    <t>| 5991 | 0.00234  |    -     | 0.00220  |0.04747  |    -     |    -     |</t>
  </si>
  <si>
    <t>| 5992 | 0.00236  |    -     | 0.00222  |0.04742  |    -     |    -     |</t>
  </si>
  <si>
    <t>| 5993 | 0.00221  |    -     | 0.00206  |0.04731  |    -     |    -     |</t>
  </si>
  <si>
    <t>| 5994 | 0.00241  |    -     | 0.00220  |0.04745  |    -     |    -     |</t>
  </si>
  <si>
    <t>| 5995 | 0.00232  |    -     | 0.00222  |0.04737  |    -     |    -     |</t>
  </si>
  <si>
    <t>| 5996 | 0.00236  |    -     | 0.00222  |0.04741  |    -     |    -     |</t>
  </si>
  <si>
    <t>| 5997 | 0.00220  |    -     | 0.00227  |0.04744  |    -     |    -     |</t>
  </si>
  <si>
    <t>| 5998 | 0.00238  |    -     | 0.00218  |0.04745  |    -     |    -     |</t>
  </si>
  <si>
    <t>| 5999 | 0.00233  |    -     | 0.00221  |0.04749  |    -     |    -     |</t>
  </si>
  <si>
    <t>| 6000 | 0.00234  |    -     | 0.00219  |0.04743  |    -     |    -     |</t>
  </si>
  <si>
    <t>-</t>
  </si>
  <si>
    <t>| n | Iterative C | Recursive C | Dynamic Programming  C | Iterative P | Recursive P | Dynamic Programming  P |</t>
  </si>
  <si>
    <t>|--|:--:|:--:|:--:|:--:|:--:|:--:|</t>
  </si>
  <si>
    <t>| 1    | 0.00224  | 0.00191  | 0.00193  |0.03886  | 0.03900  | 0.03996  |</t>
  </si>
  <si>
    <t>| 2    | 0.00217  | 0.00202  | 0.00191  |0.03973  | 0.03982  | 0.03644  |</t>
  </si>
  <si>
    <t>| 3    | 0.00207  | 0.00188  | 0.00199  |0.03924  | 0.03991  | 0.03985  |</t>
  </si>
  <si>
    <t>| 4    | 0.00212  | 0.00194  | 0.00189  |0.03966  | 0.03973  | 0.03811  |</t>
  </si>
  <si>
    <t>| 5    | 0.00212  | 0.00194  | 0.00189  |0.03964  | 0.03977  | 0.03976  |</t>
  </si>
  <si>
    <t>| 6    | 0.00217  | 0.00201  | 0.00192  |0.03428  | 0.03984  | 0.03981  |</t>
  </si>
  <si>
    <t>| 7    | 0.00212  | 0.00204  | 0.00195  |0.03969  | 0.03989  | 0.03981  |</t>
  </si>
  <si>
    <t>| 8    | 0.00210  | 0.00196  | 0.00195  |0.03729  | 0.03969  | 0.03786  |</t>
  </si>
  <si>
    <t>| 9    | 0.00216  | 0.00195  | 0.00193  |0.03960  | 0.03983  | 0.03974  |</t>
  </si>
  <si>
    <t>| 10   | 0.00209  | 0.00192  | 0.00189  |0.03905  | 0.03981  | 0.04019  |</t>
  </si>
  <si>
    <t>| 11   | 0.00211  | 0.00196  | 0.00199  |0.03971  | 0.03985  | 0.03973  |</t>
  </si>
  <si>
    <t>| 12   | 0.00208  | 0.00192  | 0.00190  |0.03960  | 0.04014  | 0.03968  |</t>
  </si>
  <si>
    <t>| 13   | 0.00211  | 0.00198  | 0.00197  |0.03967  | 0.03977  | 0.03983  |</t>
  </si>
  <si>
    <t>| 14   | 0.00198  | 0.00186  | 0.00192  |0.03917  | 0.03992  | 0.03985  |</t>
  </si>
  <si>
    <t>| 15   | 0.00205  | 0.00199  | 0.00234  |0.03973  | 0.03985  | 0.03985  |</t>
  </si>
  <si>
    <t>| 16   | 0.00209  | 0.00199  | 0.00195  |0.03963  | 0.03967  | 0.03973  |</t>
  </si>
  <si>
    <t>| 17   | 0.00212  | 0.00194  | 0.00194  |0.03952  | 0.04002  | 0.04014  |</t>
  </si>
  <si>
    <t>| 18   | 0.00210  | 0.00196  | 0.00194  |0.03963  | 0.04023  | 0.03989  |</t>
  </si>
  <si>
    <t>| 19   | 0.00203  | 0.00196  | 0.00197  |0.03962  | 0.03984  | 0.03980  |</t>
  </si>
  <si>
    <t>| 20   | 0.00216  | 0.00198  | 0.00193  |0.03966  | 0.03990  | 0.03980  |</t>
  </si>
  <si>
    <t>| 21   | 0.00201  | 0.00189  | 0.00192  |0.03967  | 0.03986  | 0.03983  |</t>
  </si>
  <si>
    <t>| 22   | 0.00207  | 0.00193  | 0.00181  |0.03962  | 0.03992  | 0.03984  |</t>
  </si>
  <si>
    <t>| 23   | 0.00218  | 0.00185  | 0.00182  |0.03953  | 0.03720  | 0.03727  |</t>
  </si>
  <si>
    <t>| 24   | 0.00214  | 0.00189  | 0.00186  |0.03963  | 0.07684  | 0.03996  |</t>
  </si>
  <si>
    <t>| 25   | 0.00214  | 0.00195  | 0.00186  |0.03969  | 0.07686  | 0.03989  |</t>
  </si>
  <si>
    <t>| 26   | 0.00206  | 0.00448  | 0.00195  |0.03964  | 0.07679  | 0.03994  |</t>
  </si>
  <si>
    <t>| 27   | 0.00214  | 0.00450  | 0.00199  |0.03967  | 0.13186  | 0.03997  |</t>
  </si>
  <si>
    <t>| 28   | 0.00215  | 0.00447  | 0.00188  |0.03971  | 0.13203  | 0.04047  |</t>
  </si>
  <si>
    <t>| 29   | 0.00218  | 0.00950  | 0.00185  |0.03971  | 0.18682  | 0.04037  |</t>
  </si>
  <si>
    <t>| 30   | 0.00223  | 0.00944  | 0.00192  |0.03963  | 0.29435  | 0.03999  |</t>
  </si>
  <si>
    <t>| 31   | 0.00213  | 0.01955  | 0.00195  |0.03740  | 0.46200  | 0.04007  |</t>
  </si>
  <si>
    <t>| 32   | 0.00215  | 0.03954  | 0.00194  |0.03971  | 0.72317  | 0.03609  |</t>
  </si>
  <si>
    <t>| 33   | 0.00209  | 0.03908  | 0.00184  |0.03543  | 1.11307  | 0.04040  |</t>
  </si>
  <si>
    <t>| 34   | 0.00216  | 0.07660  | 0.00182  |0.03969  | 1.80194  | 0.04008  |</t>
  </si>
  <si>
    <t>| 35   | 0.00228  | 0.12912  | 0.00224  |0.03972  | 2.90187  | 0.03812  |</t>
  </si>
  <si>
    <t>| 36   | 0.00212  | 0.18115  | 0.00233  |0.03991  | 4.64278  | 0.04052  |</t>
  </si>
  <si>
    <t>| 37   | 0.00224  | 0.23247  | 0.00228  |0.03975  | 7.39035  | 0.04004  |</t>
  </si>
  <si>
    <t>| 38   | 0.00211  | 0.34659  | 0.00233  |0.03714  | 11.95169 | 0.03828  |</t>
  </si>
  <si>
    <t>| 39   | 0.00205  | 0.57167  | 0.00214  |0.03964  | 19.19840 | 0.03958  |</t>
  </si>
  <si>
    <t>| 40   | 0.00207  | 0.89521  | 0.00239  |0.03978  | 31.30102 | 0.04004  |</t>
  </si>
  <si>
    <t>| 41   | 0.00242  | 1.44913  | 0.00247  |0.03976  | 50.21861 | 0.03925  |</t>
  </si>
  <si>
    <t>| 42   | 0.00218  | 2.35982  | 0.00297  |0.03988  |    -     | 0.04061  |</t>
  </si>
  <si>
    <t>| 43   | 0.00220  | 3.76791  | 0.00308  |0.04013  |    -     | 0.04024  |</t>
  </si>
  <si>
    <t>| 44   | 0.00202  | 6.13398  | 0.00303  |0.04015  |    -     | 0.03994  |</t>
  </si>
  <si>
    <t>| 45   | 0.00217  | 9.78483  | 0.00232  |0.03977  |    -     | 0.04002  |</t>
  </si>
  <si>
    <t>| 46   | 0.00217  | 15.86532 | 0.00299  |0.04000  |    -     | 0.03987  |</t>
  </si>
  <si>
    <t>| 47   | 0.00215  | 25.72171 | 0.00302  |0.03959  |    -     | 0.03980  |</t>
  </si>
  <si>
    <t>| 48   | 0.00196  | 41.19545 | 0.00291  |0.04014  |    -     | 0.03997  |</t>
  </si>
  <si>
    <t>| 49   | 0.00202  |    -     | 0.00293  |0.03989  |    -     | 0.03982  |</t>
  </si>
  <si>
    <t>| 50   | 0.00206  |    -     | 0.00199  |0.03961  |    -     | 0.03994  |</t>
  </si>
  <si>
    <t>| 51   | 0.00223  |    -     | 0.00205  |0.03914  |    -     | 0.03983  |</t>
  </si>
  <si>
    <t>| 52   | 0.00212  |    -     | 0.00182  |0.04129  |    -     | 0.04004  |</t>
  </si>
  <si>
    <t>| 53   | 0.00215  |    -     | 0.00198  |0.03974  |    -     | 0.03989  |</t>
  </si>
  <si>
    <t>| 54   | 0.00221  |    -     | 0.00198  |0.03971  |    -     | 0.03901  |</t>
  </si>
  <si>
    <t>| 55   | 0.00206  |    -     | 0.00199  |0.03978  |    -     | 0.03984  |</t>
  </si>
  <si>
    <t>| 56   | 0.00214  |    -     | 0.00201  |0.03958  |    -     | 0.03935  |</t>
  </si>
  <si>
    <t>| 57   | 0.00216  |    -     | 0.00206  |0.03978  |    -     | 0.03979  |</t>
  </si>
  <si>
    <t>| 58   | 0.00208  |    -     | 0.00201  |0.03969  |    -     | 0.03918  |</t>
  </si>
  <si>
    <t>| 59   | 0.00197  |    -     | 0.00204  |0.03574  |    -     | 0.03986  |</t>
  </si>
  <si>
    <t>| 60   | 0.00216  |    -     | 0.00203  |0.03976  |    -     | 0.03985  |</t>
  </si>
  <si>
    <t>| 61   | 0.00216  |    -     | 0.00202  |0.03571  |    -     | 0.03982  |</t>
  </si>
  <si>
    <t>| 62   | 0.00208  |    -     | 0.00198  |0.03975  |    -     | 0.04068  |</t>
  </si>
  <si>
    <t>| 63   | 0.00210  |    -     | 0.00197  |0.03802  |    -     | 0.03996  |</t>
  </si>
  <si>
    <t>| 64   | 0.00209  |    -     | 0.00197  |0.03973  |    -     | 0.03986  |</t>
  </si>
  <si>
    <t>| 65   | 0.00229  |    -     | 0.00200  |0.03972  |    -     | 0.04002  |</t>
  </si>
  <si>
    <t>| 66   | 0.00210  |    -     | 0.00188  |0.03978  |    -     | 0.04049  |</t>
  </si>
  <si>
    <t>| 67   | 0.00217  |    -     | 0.00198  |0.03973  |    -     | 0.04021  |</t>
  </si>
  <si>
    <t>| 68   | 0.00217  |    -     | 0.00204  |0.03969  |    -     | 0.03765  |</t>
  </si>
  <si>
    <t>| 69   | 0.00216  |    -     | 0.00197  |0.04113  |    -     | 0.04006  |</t>
  </si>
  <si>
    <t>| 70   | 0.00215  |    -     | 0.00198  |0.03963  |    -     | 0.04035  |</t>
  </si>
  <si>
    <t>| 71   | 0.00216  |    -     | 0.00207  |0.03976  |    -     | 0.03985  |</t>
  </si>
  <si>
    <t>| 72   | 0.00207  |    -     | 0.00200  |0.03970  |    -     | 0.03988  |</t>
  </si>
  <si>
    <t>| 73   | 0.00209  |    -     | 0.00189  |0.03860  |    -     | 0.03984  |</t>
  </si>
  <si>
    <t>| 74   | 0.00205  |    -     | 0.00198  |0.03909  |    -     | 0.03622  |</t>
  </si>
  <si>
    <t>| 75   | 0.00219  |    -     | 0.00206  |0.03906  |    -     | 0.03971  |</t>
  </si>
  <si>
    <t>| 76   | 0.00222  |    -     | 0.00204  |0.03449  |    -     | 0.04002  |</t>
  </si>
  <si>
    <t>| 77   | 0.00215  |    -     | 0.00202  |0.03967  |    -     | 0.04014  |</t>
  </si>
  <si>
    <t>| 78   | 0.00222  |    -     | 0.00191  |0.03813  |    -     | 0.04021  |</t>
  </si>
  <si>
    <t>| 79   | 0.00224  |    -     | 0.00200  |0.03970  |    -     | 0.04006  |</t>
  </si>
  <si>
    <t>| 80   | 0.00221  |    -     | 0.00201  |0.03971  |    -     | 0.04002  |</t>
  </si>
  <si>
    <t>| 81   | 0.00215  |    -     | 0.00200  |0.03781  |    -     | 0.04070  |</t>
  </si>
  <si>
    <t>| 82   | 0.00222  |    -     | 0.00206  |0.03728  |    -     | 0.03729  |</t>
  </si>
  <si>
    <t>| 83   | 0.00221  |    -     | 0.00180  |0.03881  |    -     | 0.03620  |</t>
  </si>
  <si>
    <t>| 84   | 0.00213  |    -     | 0.00189  |0.03815  |    -     | 0.03692  |</t>
  </si>
  <si>
    <t>| 85   | 0.00219  |    -     | 0.00205  |0.03803  |    -     | 0.04001  |</t>
  </si>
  <si>
    <t>| 86   | 0.00270  |    -     | 0.00219  |0.03848  |    -     | 0.04037  |</t>
  </si>
  <si>
    <t>| 87   | 0.00223  |    -     | 0.00204  |0.03791  |    -     | 0.04031  |</t>
  </si>
  <si>
    <t>| 88   | 0.00214  |    -     | 0.00187  |0.03969  |    -     | 0.03626  |</t>
  </si>
  <si>
    <t>| 89   | 0.00228  |    -     | 0.00206  |0.03724  |    -     | 0.04050  |</t>
  </si>
  <si>
    <t>| 90   | 0.00207  |    -     | 0.00188  |0.03970  |    -     | 0.03978  |</t>
  </si>
  <si>
    <t>| 91   | 0.00211  |    -     | 0.00200  |0.03968  |    -     | 0.03973  |</t>
  </si>
  <si>
    <t>| 92   | 0.00221  |    -     | 0.00208  |0.03964  |    -     | 0.04035  |</t>
  </si>
  <si>
    <t>| 93   | 0.00215  |    -     | 0.00200  |0.03965  |    -     | 0.03927  |</t>
  </si>
  <si>
    <t>| 94   | 0.00217  |    -     | 0.00185  |0.04033  |    -     | 0.03481  |</t>
  </si>
  <si>
    <t>| 95   | 0.00219  |    -     | 0.00198  |0.03970  |    -     | 0.04045  |</t>
  </si>
  <si>
    <t>| 96   | 0.00230  |    -     | 0.00220  |0.03983  |    -     | 0.03708  |</t>
  </si>
  <si>
    <t>| 97   | 0.00217  |    -     | 0.00208  |0.03973  |    -     | 0.03863  |</t>
  </si>
  <si>
    <t>| 98   | 0.00225  |    -     | 0.00204  |0.03955  |    -     | 0.03974  |</t>
  </si>
  <si>
    <t>| 99   | 0.00230  |    -     | 0.00203  |0.03615  |    -     | 0.04180  |</t>
  </si>
  <si>
    <t>| 100  | 0.00255  |    -     | 0.00288  |0.03717  |    -     | 0.04004  |</t>
  </si>
  <si>
    <t>| 101  | 0.00219  |    -     | 0.00205  |0.03973  |    -     | 0.03760  |</t>
  </si>
  <si>
    <t>| 102  | 0.00236  |    -     | 0.00215  |0.03982  |    -     | 0.04035  |</t>
  </si>
  <si>
    <t>| 103  | 0.00210  |    -     | 0.00203  |0.03594  |    -     | 0.03989  |</t>
  </si>
  <si>
    <t>| 104  | 0.00213  |    -     | 0.00196  |0.03973  |    -     | 0.03977  |</t>
  </si>
  <si>
    <t>| 105  | 0.00202  |    -     | 0.00205  |0.03863  |    -     | 0.03991  |</t>
  </si>
  <si>
    <t>| 106  | 0.00214  |    -     | 0.00195  |0.03966  |    -     | 0.03978  |</t>
  </si>
  <si>
    <t>| 107  | 0.00217  |    -     | 0.00201  |0.03969  |    -     | 0.03986  |</t>
  </si>
  <si>
    <t>| 108  | 0.00217  |    -     | 0.00200  |0.03972  |    -     | 0.03982  |</t>
  </si>
  <si>
    <t>| 109  | 0.00213  |    -     | 0.00202  |0.03891  |    -     | 0.03983  |</t>
  </si>
  <si>
    <t>| 110  | 0.00204  |    -     | 0.00203  |0.03974  |    -     | 0.03966  |</t>
  </si>
  <si>
    <t>| 111  | 0.00262  |    -     | 0.00213  |0.03634  |    -     | 0.03994  |</t>
  </si>
  <si>
    <t>| 112  | 0.00211  |    -     | 0.00201  |0.03973  |    -     | 0.03983  |</t>
  </si>
  <si>
    <t>| 113  | 0.00212  |    -     | 0.00198  |0.03966  |    -     | 0.03994  |</t>
  </si>
  <si>
    <t>| 114  | 0.00231  |    -     | 0.00211  |0.03978  |    -     | 0.03982  |</t>
  </si>
  <si>
    <t>| 115  | 0.00209  |    -     | 0.00201  |0.03971  |    -     | 0.03957  |</t>
  </si>
  <si>
    <t>| 116  | 0.00209  |    -     | 0.00196  |0.03962  |    -     | 0.03988  |</t>
  </si>
  <si>
    <t>| 117  | 0.00215  |    -     | 0.00200  |0.03786  |    -     | 0.03838  |</t>
  </si>
  <si>
    <t>| 118  | 0.00212  |    -     | 0.00201  |0.03966  |    -     | 0.03973  |</t>
  </si>
  <si>
    <t>| 119  | 0.00222  |    -     | 0.00251  |0.04023  |    -     | 0.03998  |</t>
  </si>
  <si>
    <t>| 120  | 0.00218  |    -     | 0.00206  |0.03906  |    -     | 0.04002  |</t>
  </si>
  <si>
    <t>| 121  | 0.00209  |    -     | 0.00200  |0.03970  |    -     | 0.03979  |</t>
  </si>
  <si>
    <t>| 122  | 0.00212  |    -     | 0.00201  |0.04020  |    -     | 0.03888  |</t>
  </si>
  <si>
    <t>| 123  | 0.00234  |    -     | 0.00170  |0.03716  |    -     | 0.04012  |</t>
  </si>
  <si>
    <t>| 124  | 0.00213  |    -     | 0.00196  |0.03972  |    -     | 0.03983  |</t>
  </si>
  <si>
    <t>| 125  | 0.00220  |    -     | 0.00209  |0.03981  |    -     | 0.03998  |</t>
  </si>
  <si>
    <t>| 126  | 0.00213  |    -     | 0.00199  |0.03970  |    -     | 0.03980  |</t>
  </si>
  <si>
    <t>| 127  | 0.00218  |    -     | 0.00204  |0.03973  |    -     | 0.03980  |</t>
  </si>
  <si>
    <t>| 128  | 0.00211  |    -     | 0.00187  |0.03807  |    -     | 0.03988  |</t>
  </si>
  <si>
    <t>| 129  | 0.00213  |    -     | 0.00203  |0.03907  |    -     | 0.03981  |</t>
  </si>
  <si>
    <t>| 130  | 0.00213  |    -     | 0.00197  |0.03964  |    -     | 0.03961  |</t>
  </si>
  <si>
    <t>| 131  | 0.00211  |    -     | 0.00200  |0.03970  |    -     | 0.03975  |</t>
  </si>
  <si>
    <t>| 132  | 0.00220  |    -     | 0.00200  |0.03969  |    -     | 0.03991  |</t>
  </si>
  <si>
    <t>| 133  | 0.00216  |    -     | 0.00206  |0.03971  |    -     | 0.03940  |</t>
  </si>
  <si>
    <t>| 134  | 0.00212  |    -     | 0.00197  |0.03970  |    -     | 0.03938  |</t>
  </si>
  <si>
    <t>| 135  | 0.00222  |    -     | 0.00191  |0.03758  |    -     | 0.03998  |</t>
  </si>
  <si>
    <t>| 136  | 0.00212  |    -     | 0.00203  |0.03961  |    -     | 0.03989  |</t>
  </si>
  <si>
    <t>| 137  | 0.00215  |    -     | 0.00201  |0.03904  |    -     | 0.04027  |</t>
  </si>
  <si>
    <t>| 138  | 0.00229  |    -     | 0.00201  |0.03937  |    -     | 0.03991  |</t>
  </si>
  <si>
    <t>| 139  | 0.00208  |    -     | 0.00189  |0.03843  |    -     | 0.03953  |</t>
  </si>
  <si>
    <t>| 140  | 0.00210  |    -     | 0.00193  |0.03968  |    -     | 0.03729  |</t>
  </si>
  <si>
    <t>| 141  | 0.00219  |    -     | 0.00192  |0.03974  |    -     | 0.03981  |</t>
  </si>
  <si>
    <t>| 142  | 0.00202  |    -     | 0.00190  |0.03703  |    -     | 0.03991  |</t>
  </si>
  <si>
    <t>| 143  | 0.00209  |    -     | 0.00192  |0.04008  |    -     | 0.03946  |</t>
  </si>
  <si>
    <t>| 144  | 0.00212  |    -     | 0.00199  |0.03974  |    -     | 0.03980  |</t>
  </si>
  <si>
    <t>| 145  | 0.00206  |    -     | 0.00195  |0.03968  |    -     | 0.03974  |</t>
  </si>
  <si>
    <t>| 146  | 0.00202  |    -     | 0.00191  |0.03706  |    -     | 0.03845  |</t>
  </si>
  <si>
    <t>| 147  | 0.00227  |    -     | 0.00212  |0.03969  |    -     | 0.03973  |</t>
  </si>
  <si>
    <t>| 148  | 0.00196  |    -     | 0.00187  |0.04063  |    -     | 0.03802  |</t>
  </si>
  <si>
    <t>| 149  | 0.00200  |    -     | 0.00227  |0.03964  |    -     | 0.03986  |</t>
  </si>
  <si>
    <t>| 150  | 0.00240  |    -     | 0.00212  |0.03599  |    -     | 0.04006  |</t>
  </si>
  <si>
    <t>| 151  | 0.00234  |    -     | 0.00198  |0.03608  |    -     | 0.03661  |</t>
  </si>
  <si>
    <t>| 152  | 0.00229  |    -     | 0.00208  |0.04029  |    -     | 0.04039  |</t>
  </si>
  <si>
    <t>| 153  | 0.00268  |    -     | 0.00218  |0.03878  |    -     | 0.03878  |</t>
  </si>
  <si>
    <t>| 154  | 0.00210  |    -     | 0.00192  |0.03896  |    -     | 0.04030  |</t>
  </si>
  <si>
    <t>| 155  | 0.00233  |    -     | 0.00207  |0.04012  |    -     | 0.03761  |</t>
  </si>
  <si>
    <t>| 156  | 0.00240  |    -     | 0.00244  |0.03935  |    -     | 0.03967  |</t>
  </si>
  <si>
    <t>| 157  | 0.00219  |    -     | 0.00206  |0.03598  |    -     | 0.04000  |</t>
  </si>
  <si>
    <t>| 158  | 0.00267  |    -     | 0.00210  |0.03970  |    -     | 0.03989  |</t>
  </si>
  <si>
    <t>| 159  | 0.00213  |    -     | 0.00206  |0.03796  |    -     | 0.03984  |</t>
  </si>
  <si>
    <t>| 160  | 0.00211  |    -     | 0.00199  |0.03559  |    -     | 0.03726  |</t>
  </si>
  <si>
    <t>| 161  | 0.00219  |    -     | 0.00186  |0.03758  |    -     | 0.04002  |</t>
  </si>
  <si>
    <t>| 162  | 0.00223  |    -     | 0.00214  |0.03977  |    -     | 0.04007  |</t>
  </si>
  <si>
    <t>| 163  | 0.00225  |    -     | 0.00217  |0.03802  |    -     | 0.03995  |</t>
  </si>
  <si>
    <t>| 164  | 0.00218  |    -     | 0.00195  |0.03972  |    -     | 0.03424  |</t>
  </si>
  <si>
    <t>| 165  | 0.00257  |    -     | 0.00214  |0.03849  |    -     | 0.03802  |</t>
  </si>
  <si>
    <t>| 166  | 0.00231  |    -     | 0.00191  |0.03697  |    -     | 0.03796  |</t>
  </si>
  <si>
    <t>| 167  | 0.00225  |    -     | 0.00204  |0.03976  |    -     | 0.04012  |</t>
  </si>
  <si>
    <t>| 168  | 0.00243  |    -     | 0.00258  |0.04005  |    -     | 0.03653  |</t>
  </si>
  <si>
    <t>| 169  | 0.00215  |    -     | 0.00209  |0.03975  |    -     | 0.03994  |</t>
  </si>
  <si>
    <t>| 170  | 0.00216  |    -     | 0.00200  |0.03803  |    -     | 0.04016  |</t>
  </si>
  <si>
    <t>| 171  | 0.00214  |    -     | 0.00200  |0.03967  |    -     | 0.04045  |</t>
  </si>
  <si>
    <t>| 172  | 0.00226  |    -     | 0.00200  |0.03657  |    -     | 0.04040  |</t>
  </si>
  <si>
    <t>| 173  | 0.00211  |    -     | 0.00199  |0.03968  |    -     | 0.03982  |</t>
  </si>
  <si>
    <t>| 174  | 0.00206  |    -     | 0.00182  |0.03959  |    -     | 0.03975  |</t>
  </si>
  <si>
    <t>| 175  | 0.00209  |    -     | 0.00196  |0.03927  |    -     | 0.03992  |</t>
  </si>
  <si>
    <t>| 176  | 0.00216  |    -     | 0.00200  |0.03968  |    -     | 0.03937  |</t>
  </si>
  <si>
    <t>| 177  | 0.00212  |    -     | 0.00194  |0.03959  |    -     | 0.03748  |</t>
  </si>
  <si>
    <t>| 178  | 0.00216  |    -     | 0.00201  |0.03973  |    -     | 0.03985  |</t>
  </si>
  <si>
    <t>| 179  | 0.00219  |    -     | 0.00201  |0.03657  |    -     | 0.03979  |</t>
  </si>
  <si>
    <t>| 180  | 0.00210  |    -     | 0.00199  |0.03828  |    -     | 0.04015  |</t>
  </si>
  <si>
    <t>| 181  | 0.00216  |    -     | 0.00189  |0.03968  |    -     | 0.04001  |</t>
  </si>
  <si>
    <t>| 182  | 0.00215  |    -     | 0.00200  |0.03976  |    -     | 0.03975  |</t>
  </si>
  <si>
    <t>| 183  | 0.00210  |    -     | 0.00199  |0.03969  |    -     | 0.03986  |</t>
  </si>
  <si>
    <t>| 184  | 0.00218  |    -     | 0.00207  |0.03970  |    -     | 0.03983  |</t>
  </si>
  <si>
    <t>| 185  | 0.00212  |    -     | 0.00198  |0.03971  |    -     | 0.04001  |</t>
  </si>
  <si>
    <t>| 186  | 0.00218  |    -     | 0.00199  |0.03972  |    -     | 0.04017  |</t>
  </si>
  <si>
    <t>| 187  | 0.00213  |    -     | 0.00198  |0.03971  |    -     | 0.03973  |</t>
  </si>
  <si>
    <t>| 188  | 0.00215  |    -     | 0.00202  |0.03970  |    -     | 0.03979  |</t>
  </si>
  <si>
    <t>| 189  | 0.00212  |    -     | 0.00201  |0.03975  |    -     | 0.03972  |</t>
  </si>
  <si>
    <t>| 190  | 0.00215  |    -     | 0.00196  |0.03808  |    -     | 0.03985  |</t>
  </si>
  <si>
    <t>| 191  | 0.00215  |    -     | 0.00202  |0.03787  |    -     | 0.03980  |</t>
  </si>
  <si>
    <t>| 192  | 0.00209  |    -     | 0.00199  |0.03661  |    -     | 0.03991  |</t>
  </si>
  <si>
    <t>| 193  | 0.00213  |    -     | 0.00200  |0.03968  |    -     | 0.03982  |</t>
  </si>
  <si>
    <t>| 194  | 0.00212  |    -     | 0.00200  |0.04014  |    -     | 0.03630  |</t>
  </si>
  <si>
    <t>| 195  | 0.00209  |    -     | 0.00197  |0.03960  |    -     | 0.03554  |</t>
  </si>
  <si>
    <t>| 196  | 0.00232  |    -     | 0.00203  |0.03753  |    -     | 0.03981  |</t>
  </si>
  <si>
    <t>| 197  | 0.00211  |    -     | 0.00200  |0.03893  |    -     | 0.03994  |</t>
  </si>
  <si>
    <t>| 198  | 0.00213  |    -     | 0.00199  |0.03960  |    -     | 0.03992  |</t>
  </si>
  <si>
    <t>| 199  | 0.00202  |    -     | 0.00194  |0.03963  |    -     | 0.03643  |</t>
  </si>
  <si>
    <t>| 200  | 0.00211  |    -     | 0.00199  |0.03869  |    -     | 0.03993  |</t>
  </si>
  <si>
    <t>| 201  | 0.00223  |    -     | 0.00200  |0.03972  |    -     | 0.03990  |</t>
  </si>
  <si>
    <t>| 202  | 0.00204  |    -     | 0.00184  |0.03776  |    -     | 0.03980  |</t>
  </si>
  <si>
    <t>| 203  | 0.00213  |    -     | 0.00190  |0.03946  |    -     | 0.03992  |</t>
  </si>
  <si>
    <t>| 204  | 0.00209  |    -     | 0.00198  |0.03974  |    -     | 0.03988  |</t>
  </si>
  <si>
    <t>| 205  | 0.00216  |    -     | 0.00200  |0.03978  |    -     | 0.03952  |</t>
  </si>
  <si>
    <t>| 206  | 0.00214  |    -     | 0.00198  |0.03967  |    -     | 0.04020  |</t>
  </si>
  <si>
    <t>| 207  | 0.00215  |    -     | 0.00194  |0.03967  |    -     | 0.03537  |</t>
  </si>
  <si>
    <t>| 208  | 0.00219  |    -     | 0.00203  |0.03796  |    -     | 0.03734  |</t>
  </si>
  <si>
    <t>| 209  | 0.00200  |    -     | 0.00185  |0.03960  |    -     | 0.03802  |</t>
  </si>
  <si>
    <t>| 210  | 0.00203  |    -     | 0.00199  |0.03969  |    -     | 0.03620  |</t>
  </si>
  <si>
    <t>| 211  | 0.00213  |    -     | 0.00186  |0.04022  |    -     | 0.03763  |</t>
  </si>
  <si>
    <t>| 212  | 0.00208  |    -     | 0.00204  |0.03810  |    -     | 0.03990  |</t>
  </si>
  <si>
    <t>| 213  | 0.00216  |    -     | 0.00200  |0.03939  |    -     | 0.03946  |</t>
  </si>
  <si>
    <t>| 214  | 0.00217  |    -     | 0.00214  |0.03979  |    -     | 0.04004  |</t>
  </si>
  <si>
    <t>| 215  | 0.00221  |    -     | 0.00195  |0.03979  |    -     | 0.03700  |</t>
  </si>
  <si>
    <t>| 216  | 0.00217  |    -     | 0.00228  |0.03986  |    -     | 0.04009  |</t>
  </si>
  <si>
    <t>| 217  | 0.00265  |    -     | 0.00196  |0.03615  |    -     | 0.03976  |</t>
  </si>
  <si>
    <t>| 218  | 0.00214  |    -     | 0.00203  |0.03977  |    -     | 0.03989  |</t>
  </si>
  <si>
    <t>| 219  | 0.00212  |    -     | 0.00198  |0.03734  |    -     | 0.03866  |</t>
  </si>
  <si>
    <t>| 220  | 0.00216  |    -     | 0.00203  |0.03774  |    -     | 0.03975  |</t>
  </si>
  <si>
    <t>| 221  | 0.00220  |    -     | 0.00197  |0.03968  |    -     | 0.03978  |</t>
  </si>
  <si>
    <t>| 222  | 0.00202  |    -     | 0.00191  |0.03967  |    -     | 0.03986  |</t>
  </si>
  <si>
    <t>| 223  | 0.00214  |    -     | 0.00194  |0.03971  |    -     | 0.03984  |</t>
  </si>
  <si>
    <t>| 224  | 0.00214  |    -     | 0.00194  |0.03968  |    -     | 0.03985  |</t>
  </si>
  <si>
    <t>| 225  | 0.00212  |    -     | 0.00202  |0.03971  |    -     | 0.03976  |</t>
  </si>
  <si>
    <t>| 226  | 0.00203  |    -     | 0.00184  |0.03981  |    -     | 0.03979  |</t>
  </si>
  <si>
    <t>| 227  | 0.00216  |    -     | 0.00193  |0.03945  |    -     | 0.03956  |</t>
  </si>
  <si>
    <t>| 228  | 0.00220  |    -     | 0.00204  |0.03971  |    -     | 0.03989  |</t>
  </si>
  <si>
    <t>| 229  | 0.00213  |    -     | 0.00193  |0.03965  |    -     | 0.03981  |</t>
  </si>
  <si>
    <t>| 230  | 0.00213  |    -     | 0.00199  |0.03966  |    -     | 0.03989  |</t>
  </si>
  <si>
    <t>| 231  | 0.00207  |    -     | 0.00193  |0.03963  |    -     | 0.03736  |</t>
  </si>
  <si>
    <t>| 232  | 0.00221  |    -     | 0.00198  |0.03825  |    -     | 0.03997  |</t>
  </si>
  <si>
    <t>| 233  | 0.00218  |    -     | 0.00197  |0.03958  |    -     | 0.03986  |</t>
  </si>
  <si>
    <t>| 234  | 0.00212  |    -     | 0.00196  |0.03971  |    -     | 0.03977  |</t>
  </si>
  <si>
    <t>| 235  | 0.00202  |    -     | 0.00189  |0.03975  |    -     | 0.03666  |</t>
  </si>
  <si>
    <t>| 236  | 0.00212  |    -     | 0.00196  |0.03972  |    -     | 0.03988  |</t>
  </si>
  <si>
    <t>| 237  | 0.00211  |    -     | 0.00200  |0.03552  |    -     | 0.03978  |</t>
  </si>
  <si>
    <t>| 238  | 0.00203  |    -     | 0.00190  |0.03592  |    -     | 0.04017  |</t>
  </si>
  <si>
    <t>| 239  | 0.00213  |    -     | 0.00201  |0.03965  |    -     | 0.03974  |</t>
  </si>
  <si>
    <t>| 240  | 0.00204  |    -     | 0.00189  |0.03964  |    -     | 0.04032  |</t>
  </si>
  <si>
    <t>| 241  | 0.00210  |    -     | 0.00190  |0.03964  |    -     | 0.03983  |</t>
  </si>
  <si>
    <t>| 242  | 0.00209  |    -     | 0.00184  |0.03970  |    -     | 0.03981  |</t>
  </si>
  <si>
    <t>| 243  | 0.00207  |    -     | 0.00198  |0.03969  |    -     | 0.03984  |</t>
  </si>
  <si>
    <t>| 244  | 0.00254  |    -     | 0.00204  |0.03651  |    -     | 0.04037  |</t>
  </si>
  <si>
    <t>| 245  | 0.00218  |    -     | 0.00199  |0.03972  |    -     | 0.03982  |</t>
  </si>
  <si>
    <t>| 246  | 0.00205  |    -     | 0.00198  |0.03972  |    -     | 0.03986  |</t>
  </si>
  <si>
    <t>| 247  | 0.00211  |    -     | 0.00195  |0.03970  |    -     | 0.03990  |</t>
  </si>
  <si>
    <t>| 248  | 0.00205  |    -     | 0.00196  |0.03974  |    -     | 0.03984  |</t>
  </si>
  <si>
    <t>| 249  | 0.00204  |    -     | 0.00199  |0.03964  |    -     | 0.03986  |</t>
  </si>
  <si>
    <t>| 250  | 0.00207  |    -     | 0.00199  |0.03577  |    -     | 0.03991  |</t>
  </si>
  <si>
    <t>| 251  | 0.00215  |    -     | 0.00194  |0.03971  |    -     | 0.03984  |</t>
  </si>
  <si>
    <t>| 252  | 0.00214  |    -     | 0.00194  |0.03968  |    -     | 0.03968  |</t>
  </si>
  <si>
    <t>| 253  | 0.00210  |    -     | 0.00197  |0.03971  |    -     | 0.03984  |</t>
  </si>
  <si>
    <t>| 254  | 0.00211  |    -     | 0.00193  |0.03971  |    -     | 0.03979  |</t>
  </si>
  <si>
    <t>| 255  | 0.00205  |    -     | 0.00202  |0.03970  |    -     | 0.03983  |</t>
  </si>
  <si>
    <t>| 256  | 0.00235  |    -     | 0.00215  |0.04026  |    -     | 0.03743  |</t>
  </si>
  <si>
    <t>| 257  | 0.00221  |    -     | 0.00196  |0.03955  |    -     | 0.03979  |</t>
  </si>
  <si>
    <t>| 258  | 0.00212  |    -     | 0.00194  |0.03979  |    -     | 0.03988  |</t>
  </si>
  <si>
    <t>| 259  | 0.00217  |    -     | 0.00201  |0.03969  |    -     | 0.03994  |</t>
  </si>
  <si>
    <t>| 260  | 0.00220  |    -     | 0.00200  |0.03880  |    -     | 0.03988  |</t>
  </si>
  <si>
    <t>| 261  | 0.00218  |    -     | 0.00200  |0.03596  |    -     | 0.03986  |</t>
  </si>
  <si>
    <t>| 262  | 0.00206  |    -     | 0.00197  |0.03970  |    -     | 0.03994  |</t>
  </si>
  <si>
    <t>| 263  | 0.00212  |    -     | 0.00202  |0.03975  |    -     | 0.03983  |</t>
  </si>
  <si>
    <t>| 264  | 0.00228  |    -     | 0.00194  |0.03967  |    -     | 0.03983  |</t>
  </si>
  <si>
    <t>| 265  | 0.00213  |    -     | 0.00196  |0.03973  |    -     | 0.03985  |</t>
  </si>
  <si>
    <t>| 266  | 0.00214  |    -     | 0.00200  |0.03975  |    -     | 0.04035  |</t>
  </si>
  <si>
    <t>| 267  | 0.00214  |    -     | 0.00199  |0.03973  |    -     | 0.03795  |</t>
  </si>
  <si>
    <t>| 268  | 0.00204  |    -     | 0.00189  |0.03810  |    -     | 0.03994  |</t>
  </si>
  <si>
    <t>| 269  | 0.00196  |    -     | 0.00183  |0.03958  |    -     | 0.03979  |</t>
  </si>
  <si>
    <t>| 270  | 0.00211  |    -     | 0.00198  |0.03966  |    -     | 0.03979  |</t>
  </si>
  <si>
    <t>| 271  | 0.00216  |    -     | 0.00188  |0.03934  |    -     | 0.04038  |</t>
  </si>
  <si>
    <t>| 272  | 0.00219  |    -     | 0.00212  |0.03907  |    -     | 0.04059  |</t>
  </si>
  <si>
    <t>| 273  | 0.00219  |    -     | 0.00202  |0.04022  |    -     | 0.03980  |</t>
  </si>
  <si>
    <t>| 274  | 0.00210  |    -     | 0.00197  |0.03835  |    -     | 0.03988  |</t>
  </si>
  <si>
    <t>| 275  | 0.00209  |    -     | 0.00200  |0.03972  |    -     | 0.04030  |</t>
  </si>
  <si>
    <t>| 276  | 0.00217  |    -     | 0.00202  |0.03964  |    -     | 0.03992  |</t>
  </si>
  <si>
    <t>| 277  | 0.00218  |    -     | 0.00195  |0.03706  |    -     | 0.03977  |</t>
  </si>
  <si>
    <t>| 278  | 0.00216  |    -     | 0.00196  |0.03841  |    -     | 0.04040  |</t>
  </si>
  <si>
    <t>| 279  | 0.00212  |    -     | 0.00199  |0.03887  |    -     | 0.03412  |</t>
  </si>
  <si>
    <t>| 280  | 0.00229  |    -     | 0.00221  |0.03663  |    -     | 0.04032  |</t>
  </si>
  <si>
    <t>| 281  | 0.00216  |    -     | 0.00195  |0.03947  |    -     | 0.03655  |</t>
  </si>
  <si>
    <t>| 282  | 0.00230  |    -     | 0.00208  |0.03932  |    -     | 0.03960  |</t>
  </si>
  <si>
    <t>| 283  | 0.00215  |    -     | 0.00218  |0.03926  |    -     | 0.03584  |</t>
  </si>
  <si>
    <t>| 284  | 0.00220  |    -     | 0.00219  |0.03712  |    -     | 0.03973  |</t>
  </si>
  <si>
    <t>| 285  | 0.00222  |    -     | 0.00205  |0.03695  |    -     | 0.04003  |</t>
  </si>
  <si>
    <t>| 286  | 0.00219  |    -     | 0.00198  |0.03963  |    -     | 0.03987  |</t>
  </si>
  <si>
    <t>| 287  | 0.00222  |    -     | 0.00198  |0.03937  |    -     | 0.04013  |</t>
  </si>
  <si>
    <t>| 288  | 0.00213  |    -     | 0.00198  |0.03972  |    -     | 0.03774  |</t>
  </si>
  <si>
    <t>| 289  | 0.00218  |    -     | 0.00194  |0.03946  |    -     | 0.03925  |</t>
  </si>
  <si>
    <t>| 290  | 0.00226  |    -     | 0.00204  |0.03976  |    -     | 0.03988  |</t>
  </si>
  <si>
    <t>| 291  | 0.00201  |    -     | 0.00188  |0.03975  |    -     | 0.03888  |</t>
  </si>
  <si>
    <t>| 292  | 0.00198  |    -     | 0.00182  |0.03947  |    -     | 0.03853  |</t>
  </si>
  <si>
    <t>| 293  | 0.00215  |    -     | 0.00198  |0.03976  |    -     | 0.03994  |</t>
  </si>
  <si>
    <t>| 294  | 0.00211  |    -     | 0.00198  |0.03969  |    -     | 0.03974  |</t>
  </si>
  <si>
    <t>| 295  | 0.00216  |    -     | 0.00203  |0.03973  |    -     | 0.03979  |</t>
  </si>
  <si>
    <t>| 296  | 0.00212  |    -     | 0.00202  |0.03965  |    -     | 0.04026  |</t>
  </si>
  <si>
    <t>| 297  | 0.00224  |    -     | 0.00195  |0.03969  |    -     | 0.04015  |</t>
  </si>
  <si>
    <t>| 298  | 0.00218  |    -     | 0.00210  |0.03979  |    -     | 0.03990  |</t>
  </si>
  <si>
    <t>| 299  | 0.00209  |    -     | 0.00200  |0.03971  |    -     | 0.03985  |</t>
  </si>
  <si>
    <t>| 300  | 0.00216  |    -     | 0.00193  |0.03975  |    -     | 0.03988  |</t>
  </si>
  <si>
    <t>| 301  | 0.00216  |    -     | 0.00194  |0.03900  |    -     | 0.04014  |</t>
  </si>
  <si>
    <t>| 302  | 0.00221  |    -     | 0.00213  |0.03978  |    -     | 0.03904  |</t>
  </si>
  <si>
    <t>| 303  | 0.00258  |    -     | 0.00203  |0.03770  |    -     | 0.03745  |</t>
  </si>
  <si>
    <t>| 304  | 0.00216  |    -     | 0.00182  |0.04075  |    -     | 0.03426  |</t>
  </si>
  <si>
    <t>| 305  | 0.00266  |    -     | 0.00220  |0.03722  |    -     | 0.04007  |</t>
  </si>
  <si>
    <t>| 306  | 0.00221  |    -     | 0.00191  |0.03972  |    -     | 0.04004  |</t>
  </si>
  <si>
    <t>| 307  | 0.00218  |    -     | 0.00206  |0.03799  |    -     | 0.03711  |</t>
  </si>
  <si>
    <t>| 308  | 0.00226  |    -     | 0.00207  |0.04009  |    -     | 0.03993  |</t>
  </si>
  <si>
    <t>| 309  | 0.00217  |    -     | 0.00200  |0.03972  |    -     | 0.04012  |</t>
  </si>
  <si>
    <t>| 310  | 0.00220  |    -     | 0.00196  |0.03975  |    -     | 0.03999  |</t>
  </si>
  <si>
    <t>| 311  | 0.00203  |    -     | 0.00197  |0.03970  |    -     | 0.03829  |</t>
  </si>
  <si>
    <t>| 312  | 0.00207  |    -     | 0.00194  |0.03964  |    -     | 0.03988  |</t>
  </si>
  <si>
    <t>| 313  | 0.00209  |    -     | 0.00198  |0.03967  |    -     | 0.03976  |</t>
  </si>
  <si>
    <t>| 314  | 0.00216  |    -     | 0.00201  |0.03966  |    -     | 0.03987  |</t>
  </si>
  <si>
    <t>| 315  | 0.00203  |    -     | 0.00211  |0.03472  |    -     | 0.03778  |</t>
  </si>
  <si>
    <t>| 316  | 0.00241  |    -     | 0.00223  |0.03689  |    -     | 0.04070  |</t>
  </si>
  <si>
    <t>| 317  | 0.00227  |    -     | 0.00192  |0.03971  |    -     | 0.03987  |</t>
  </si>
  <si>
    <t>| 318  | 0.00217  |    -     | 0.00202  |0.03741  |    -     | 0.03995  |</t>
  </si>
  <si>
    <t>| 319  | 0.00217  |    -     | 0.00197  |0.03617  |    -     | 0.04002  |</t>
  </si>
  <si>
    <t>| 320  | 0.00230  |    -     | 0.00221  |0.03984  |    -     | 0.04001  |</t>
  </si>
  <si>
    <t>| 321  | 0.00210  |    -     | 0.00200  |0.04018  |    -     | 0.03991  |</t>
  </si>
  <si>
    <t>| 322  | 0.00213  |    -     | 0.00199  |0.03972  |    -     | 0.03984  |</t>
  </si>
  <si>
    <t>| 323  | 0.00210  |    -     | 0.00198  |0.03974  |    -     | 0.03836  |</t>
  </si>
  <si>
    <t>| 324  | 0.00213  |    -     | 0.00196  |0.03971  |    -     | 0.03982  |</t>
  </si>
  <si>
    <t>| 325  | 0.00212  |    -     | 0.00207  |0.03980  |    -     | 0.03968  |</t>
  </si>
  <si>
    <t>| 326  | 0.00217  |    -     | 0.00202  |0.03973  |    -     | 0.03914  |</t>
  </si>
  <si>
    <t>| 327  | 0.00215  |    -     | 0.00200  |0.03990  |    -     | 0.03992  |</t>
  </si>
  <si>
    <t>| 328  | 0.00212  |    -     | 0.00203  |0.03678  |    -     | 0.03989  |</t>
  </si>
  <si>
    <t>| 329  | 0.00220  |    -     | 0.00185  |0.04004  |    -     | 0.04024  |</t>
  </si>
  <si>
    <t>| 330  | 0.00215  |    -     | 0.00191  |0.03962  |    -     | 0.03883  |</t>
  </si>
  <si>
    <t>| 331  | 0.00206  |    -     | 0.00189  |0.03974  |    -     | 0.03764  |</t>
  </si>
  <si>
    <t>| 332  | 0.00209  |    -     | 0.00202  |0.03977  |    -     | 0.03662  |</t>
  </si>
  <si>
    <t>| 333  | 0.00208  |    -     | 0.00184  |0.03702  |    -     | 0.04032  |</t>
  </si>
  <si>
    <t>| 334  | 0.00211  |    -     | 0.00190  |0.03997  |    -     | 0.03589  |</t>
  </si>
  <si>
    <t>| 335  | 0.00212  |    -     | 0.00203  |0.03975  |    -     | 0.03979  |</t>
  </si>
  <si>
    <t>| 336  | 0.00216  |    -     | 0.00192  |0.03969  |    -     | 0.03921  |</t>
  </si>
  <si>
    <t>| 337  | 0.00210  |    -     | 0.00199  |0.03969  |    -     | 0.03992  |</t>
  </si>
  <si>
    <t>| 338  | 0.00210  |    -     | 0.00203  |0.03808  |    -     | 0.03688  |</t>
  </si>
  <si>
    <t>| 339  | 0.00193  |    -     | 0.00206  |0.03980  |    -     | 0.03898  |</t>
  </si>
  <si>
    <t>| 340  | 0.00225  |    -     | 0.00202  |0.03767  |    -     | 0.03984  |</t>
  </si>
  <si>
    <t>| 341  | 0.00194  |    -     | 0.00215  |0.03961  |    -     | 0.03986  |</t>
  </si>
  <si>
    <t>| 342  | 0.00215  |    -     | 0.00200  |0.03973  |    -     | 0.03986  |</t>
  </si>
  <si>
    <t>| 343  | 0.00214  |    -     | 0.00203  |0.03974  |    -     | 0.03990  |</t>
  </si>
  <si>
    <t>| 344  | 0.00207  |    -     | 0.00201  |0.03975  |    -     | 0.03972  |</t>
  </si>
  <si>
    <t>| 345  | 0.00205  |    -     | 0.00189  |0.03960  |    -     | 0.03969  |</t>
  </si>
  <si>
    <t>| 346  | 0.00210  |    -     | 0.00201  |0.03778  |    -     | 0.04010  |</t>
  </si>
  <si>
    <t>| 347  | 0.00216  |    -     | 0.00185  |0.03924  |    -     | 0.04002  |</t>
  </si>
  <si>
    <t>| 348  | 0.00215  |    -     | 0.00209  |0.03888  |    -     | 0.03674  |</t>
  </si>
  <si>
    <t>| 349  | 0.00201  |    -     | 0.00212  |0.03786  |    -     | 0.03989  |</t>
  </si>
  <si>
    <t>| 350  | 0.00216  |    -     | 0.00210  |0.03881  |    -     | 0.03990  |</t>
  </si>
  <si>
    <t>| 351  | 0.00214  |    -     | 0.00187  |0.03962  |    -     | 0.04019  |</t>
  </si>
  <si>
    <t>| 352  | 0.00215  |    -     | 0.00200  |0.03975  |    -     | 0.03833  |</t>
  </si>
  <si>
    <t>| 353  | 0.00227  |    -     | 0.00193  |0.03971  |    -     | 0.04026  |</t>
  </si>
  <si>
    <t>| 354  | 0.00214  |    -     | 0.00201  |0.04021  |    -     | 0.03699  |</t>
  </si>
  <si>
    <t>| 355  | 0.00220  |    -     | 0.00201  |0.03858  |    -     | 0.03974  |</t>
  </si>
  <si>
    <t>| 356  | 0.00206  |    -     | 0.00199  |0.03855  |    -     | 0.03987  |</t>
  </si>
  <si>
    <t>| 357  | 0.00209  |    -     | 0.00199  |0.03974  |    -     | 0.03982  |</t>
  </si>
  <si>
    <t>| 358  | 0.00211  |    -     | 0.00198  |0.03968  |    -     | 0.03965  |</t>
  </si>
  <si>
    <t>| 359  | 0.00202  |    -     | 0.00201  |0.03976  |    -     | 0.03986  |</t>
  </si>
  <si>
    <t>| 360  | 0.00205  |    -     | 0.00195  |0.03933  |    -     | 0.03978  |</t>
  </si>
  <si>
    <t>| 361  | 0.00205  |    -     | 0.00198  |0.03935  |    -     | 0.03974  |</t>
  </si>
  <si>
    <t>| 362  | 0.00210  |    -     | 0.00198  |0.03924  |    -     | 0.04022  |</t>
  </si>
  <si>
    <t>| 363  | 0.00210  |    -     | 0.00200  |0.03973  |    -     | 0.03987  |</t>
  </si>
  <si>
    <t>| 364  | 0.00213  |    -     | 0.00201  |0.03974  |    -     | 0.03653  |</t>
  </si>
  <si>
    <t>| 365  | 0.00220  |    -     | 0.00197  |0.03846  |    -     | 0.03971  |</t>
  </si>
  <si>
    <t>| 366  | 0.00211  |    -     | 0.00181  |0.03969  |    -     | 0.03975  |</t>
  </si>
  <si>
    <t>| 367  | 0.00214  |    -     | 0.00200  |0.03972  |    -     | 0.04000  |</t>
  </si>
  <si>
    <t>| 368  | 0.00212  |    -     | 0.00198  |0.03981  |    -     | 0.03981  |</t>
  </si>
  <si>
    <t>| 369  | 0.00203  |    -     | 0.00193  |0.03965  |    -     | 0.03879  |</t>
  </si>
  <si>
    <t>| 370  | 0.00216  |    -     | 0.00197  |0.03973  |    -     | 0.03987  |</t>
  </si>
  <si>
    <t>| 371  | 0.00206  |    -     | 0.00199  |0.04014  |    -     | 0.03990  |</t>
  </si>
  <si>
    <t>| 372  | 0.00207  |    -     | 0.00199  |0.03966  |    -     | 0.03994  |</t>
  </si>
  <si>
    <t>| 373  | 0.00213  |    -     | 0.00200  |0.03973  |    -     | 0.03990  |</t>
  </si>
  <si>
    <t>| 374  | 0.00208  |    -     | 0.00195  |0.03816  |    -     | 0.04001  |</t>
  </si>
  <si>
    <t>| 375  | 0.00220  |    -     | 0.00202  |0.03975  |    -     | 0.03989  |</t>
  </si>
  <si>
    <t>| 376  | 0.00213  |    -     | 0.00201  |0.03967  |    -     | 0.03983  |</t>
  </si>
  <si>
    <t>| 377  | 0.00225  |    -     | 0.00200  |0.03974  |    -     | 0.04036  |</t>
  </si>
  <si>
    <t>| 378  | 0.00219  |    -     | 0.00194  |0.03968  |    -     | 0.03991  |</t>
  </si>
  <si>
    <t>| 379  | 0.00206  |    -     | 0.00198  |0.03734  |    -     | 0.04016  |</t>
  </si>
  <si>
    <t>| 380  | 0.00213  |    -     | 0.00199  |0.03972  |    -     | 0.03977  |</t>
  </si>
  <si>
    <t>| 381  | 0.00207  |    -     | 0.00200  |0.03973  |    -     | 0.03980  |</t>
  </si>
  <si>
    <t>| 382  | 0.00198  |    -     | 0.00187  |0.03980  |    -     | 0.03975  |</t>
  </si>
  <si>
    <t>| 383  | 0.00208  |    -     | 0.00196  |0.03970  |    -     | 0.03988  |</t>
  </si>
  <si>
    <t>| 384  | 0.00211  |    -     | 0.00199  |0.03781  |    -     | 0.04020  |</t>
  </si>
  <si>
    <t>| 385  | 0.00211  |    -     | 0.00200  |0.03964  |    -     | 0.03989  |</t>
  </si>
  <si>
    <t>| 386  | 0.00214  |    -     | 0.00201  |0.03818  |    -     | 0.03984  |</t>
  </si>
  <si>
    <t>| 387  | 0.00211  |    -     | 0.00197  |0.03965  |    -     | 0.03985  |</t>
  </si>
  <si>
    <t>| 388  | 0.00217  |    -     | 0.00198  |0.03973  |    -     | 0.03989  |</t>
  </si>
  <si>
    <t>| 389  | 0.00221  |    -     | 0.00190  |0.03973  |    -     | 0.03957  |</t>
  </si>
  <si>
    <t>| 390  | 0.00200  |    -     | 0.00201  |0.03957  |    -     | 0.03773  |</t>
  </si>
  <si>
    <t>| 391  | 0.00210  |    -     | 0.00196  |0.03755  |    -     | 0.03980  |</t>
  </si>
  <si>
    <t>| 392  | 0.00217  |    -     | 0.00203  |0.03906  |    -     | 0.03729  |</t>
  </si>
  <si>
    <t>| 393  | 0.00209  |    -     | 0.00206  |0.03409  |    -     | 0.03993  |</t>
  </si>
  <si>
    <t>| 394  | 0.00217  |    -     | 0.00191  |0.03973  |    -     | 0.03998  |</t>
  </si>
  <si>
    <t>| 395  | 0.00214  |    -     | 0.00201  |0.03973  |    -     | 0.03962  |</t>
  </si>
  <si>
    <t>| 396  | 0.00209  |    -     | 0.00198  |0.03967  |    -     | 0.03977  |</t>
  </si>
  <si>
    <t>| 397  | 0.00202  |    -     | 0.00201  |0.03969  |    -     | 0.03988  |</t>
  </si>
  <si>
    <t>| 398  | 0.00218  |    -     | 0.00203  |0.03976  |    -     | 0.03984  |</t>
  </si>
  <si>
    <t>| 399  | 0.00211  |    -     | 0.00199  |0.03971  |    -     | 0.03843  |</t>
  </si>
  <si>
    <t>| 400  | 0.00206  |    -     | 0.00202  |0.03977  |    -     | 0.03981  |</t>
  </si>
  <si>
    <t>| 401  | 0.00206  |    -     | 0.00200  |0.03971  |    -     | 0.03911  |</t>
  </si>
  <si>
    <t>| 402  | 0.00212  |    -     | 0.00207  |0.03972  |    -     | 0.03658  |</t>
  </si>
  <si>
    <t>| 403  | 0.00210  |    -     | 0.00199  |0.03972  |    -     | 0.03985  |</t>
  </si>
  <si>
    <t>| 404  | 0.00214  |    -     | 0.00200  |0.03969  |    -     | 0.03992  |</t>
  </si>
  <si>
    <t>| 405  | 0.00207  |    -     | 0.00199  |0.03964  |    -     | 0.03989  |</t>
  </si>
  <si>
    <t>| 406  | 0.00211  |    -     | 0.00198  |0.03973  |    -     | 0.03985  |</t>
  </si>
  <si>
    <t>| 407  | 0.00218  |    -     | 0.00199  |0.03967  |    -     | 0.03984  |</t>
  </si>
  <si>
    <t>| 408  | 0.00209  |    -     | 0.00199  |0.03925  |    -     | 0.03983  |</t>
  </si>
  <si>
    <t>| 409  | 0.00213  |    -     | 0.00200  |0.03931  |    -     | 0.03979  |</t>
  </si>
  <si>
    <t>| 410  | 0.00206  |    -     | 0.00197  |0.03967  |    -     | 0.03878  |</t>
  </si>
  <si>
    <t>| 411  | 0.00210  |    -     | 0.00200  |0.03967  |    -     | 0.03978  |</t>
  </si>
  <si>
    <t>| 412  | 0.00212  |    -     | 0.00199  |0.03972  |    -     | 0.03980  |</t>
  </si>
  <si>
    <t>| 413  | 0.00204  |    -     | 0.00198  |0.03981  |    -     | 0.03991  |</t>
  </si>
  <si>
    <t>| 414  | 0.00216  |    -     | 0.00196  |0.03616  |    -     | 0.03920  |</t>
  </si>
  <si>
    <t>| 415  | 0.00229  |    -     | 0.00208  |0.03976  |    -     | 0.03965  |</t>
  </si>
  <si>
    <t>| 416  | 0.00209  |    -     | 0.00203  |0.03889  |    -     | 0.03989  |</t>
  </si>
  <si>
    <t>| 417  | 0.00221  |    -     | 0.00201  |0.03968  |    -     | 0.03695  |</t>
  </si>
  <si>
    <t>| 418  | 0.00205  |    -     | 0.00200  |0.03974  |    -     | 0.04016  |</t>
  </si>
  <si>
    <t>| 419  | 0.00208  |    -     | 0.00200  |0.03881  |    -     | 0.03982  |</t>
  </si>
  <si>
    <t>| 420  | 0.00209  |    -     | 0.00199  |0.03972  |    -     | 0.03917  |</t>
  </si>
  <si>
    <t>| 421  | 0.00212  |    -     | 0.00198  |0.03972  |    -     | 0.03981  |</t>
  </si>
  <si>
    <t>| 422  | 0.00204  |    -     | 0.00197  |0.03972  |    -     | 0.03971  |</t>
  </si>
  <si>
    <t>| 423  | 0.00197  |    -     | 0.00185  |0.03950  |    -     | 0.03981  |</t>
  </si>
  <si>
    <t>| 424  | 0.00204  |    -     | 0.00188  |0.04008  |    -     | 0.03972  |</t>
  </si>
  <si>
    <t>| 425  | 0.00211  |    -     | 0.00188  |0.03966  |    -     | 0.03984  |</t>
  </si>
  <si>
    <t>| 426  | 0.00213  |    -     | 0.00202  |0.03968  |    -     | 0.04029  |</t>
  </si>
  <si>
    <t>| 427  | 0.00220  |    -     | 0.00199  |0.03973  |    -     | 0.03992  |</t>
  </si>
  <si>
    <t>| 428  | 0.00216  |    -     | 0.00195  |0.03974  |    -     | 0.03981  |</t>
  </si>
  <si>
    <t>| 429  | 0.00210  |    -     | 0.00187  |0.03962  |    -     | 0.03984  |</t>
  </si>
  <si>
    <t>| 430  | 0.00211  |    -     | 0.00206  |0.03971  |    -     | 0.03981  |</t>
  </si>
  <si>
    <t>| 431  | 0.00210  |    -     | 0.00200  |0.03974  |    -     | 0.03985  |</t>
  </si>
  <si>
    <t>| 432  | 0.00201  |    -     | 0.00187  |0.03970  |    -     | 0.03977  |</t>
  </si>
  <si>
    <t>| 433  | 0.00218  |    -     | 0.00192  |0.03975  |    -     | 0.03977  |</t>
  </si>
  <si>
    <t>| 434  | 0.00208  |    -     | 0.00197  |0.03970  |    -     | 0.03983  |</t>
  </si>
  <si>
    <t>| 435  | 0.00212  |    -     | 0.00199  |0.03966  |    -     | 0.03976  |</t>
  </si>
  <si>
    <t>| 436  | 0.00211  |    -     | 0.00197  |0.03961  |    -     | 0.03973  |</t>
  </si>
  <si>
    <t>| 437  | 0.00203  |    -     | 0.00191  |0.03970  |    -     | 0.04046  |</t>
  </si>
  <si>
    <t>| 438  | 0.00212  |    -     | 0.00199  |0.03970  |    -     | 0.03989  |</t>
  </si>
  <si>
    <t>| 439  | 0.00212  |    -     | 0.00202  |0.03981  |    -     | 0.04023  |</t>
  </si>
  <si>
    <t>| 440  | 0.00200  |    -     | 0.00187  |0.03970  |    -     | 0.03981  |</t>
  </si>
  <si>
    <t>| 441  | 0.00226  |    -     | 0.00195  |0.03977  |    -     | 0.03990  |</t>
  </si>
  <si>
    <t>| 442  | 0.00210  |    -     | 0.00187  |0.03966  |    -     | 0.03884  |</t>
  </si>
  <si>
    <t>| 443  | 0.00212  |    -     | 0.00201  |0.03600  |    -     | 0.03985  |</t>
  </si>
  <si>
    <t>| 444  | 0.00214  |    -     | 0.00200  |0.03971  |    -     | 0.03983  |</t>
  </si>
  <si>
    <t>| 445  | 0.00211  |    -     | 0.00198  |0.03973  |    -     | 0.03890  |</t>
  </si>
  <si>
    <t>| 446  | 0.00210  |    -     | 0.00197  |0.03966  |    -     | 0.03989  |</t>
  </si>
  <si>
    <t>| 447  | 0.00209  |    -     | 0.00195  |0.03948  |    -     | 0.03895  |</t>
  </si>
  <si>
    <t>| 448  | 0.00205  |    -     | 0.00203  |0.03976  |    -     | 0.03982  |</t>
  </si>
  <si>
    <t>| 449  | 0.00204  |    -     | 0.00189  |0.03954  |    -     | 0.03984  |</t>
  </si>
  <si>
    <t>| 450  | 0.00233  |    -     | 0.00216  |0.03948  |    -     | 0.03918  |</t>
  </si>
  <si>
    <t>| 451  | 0.00209  |    -     | 0.00203  |0.03613  |    -     | 0.03784  |</t>
  </si>
  <si>
    <t>| 452  | 0.00221  |    -     | 0.00180  |0.03990  |    -     | 0.03928  |</t>
  </si>
  <si>
    <t>| 453  | 0.00223  |    -     | 0.00191  |0.04012  |    -     | 0.03805  |</t>
  </si>
  <si>
    <t>| 454  | 0.00210  |    -     | 0.00206  |0.03817  |    -     | 0.03739  |</t>
  </si>
  <si>
    <t>| 455  | 0.00232  |    -     | 0.00262  |0.03776  |    -     | 0.03989  |</t>
  </si>
  <si>
    <t>| 456  | 0.00225  |    -     | 0.00194  |0.03813  |    -     | 0.04007  |</t>
  </si>
  <si>
    <t>| 457  | 0.00242  |    -     | 0.00208  |0.03825  |    -     | 0.03997  |</t>
  </si>
  <si>
    <t>| 458  | 0.00222  |    -     | 0.00198  |0.03969  |    -     | 0.03989  |</t>
  </si>
  <si>
    <t>| 459  | 0.00214  |    -     | 0.00200  |0.03970  |    -     | 0.03980  |</t>
  </si>
  <si>
    <t>| 460  | 0.00218  |    -     | 0.00205  |0.03971  |    -     | 0.04022  |</t>
  </si>
  <si>
    <t>| 461  | 0.00210  |    -     | 0.00199  |0.03956  |    -     | 0.03981  |</t>
  </si>
  <si>
    <t>| 462  | 0.00207  |    -     | 0.00200  |0.03975  |    -     | 0.03985  |</t>
  </si>
  <si>
    <t>| 463  | 0.00208  |    -     | 0.00195  |0.03974  |    -     | 0.03978  |</t>
  </si>
  <si>
    <t>| 464  | 0.00203  |    -     | 0.00203  |0.03903  |    -     | 0.03876  |</t>
  </si>
  <si>
    <t>| 465  | 0.00210  |    -     | 0.00196  |0.03965  |    -     | 0.03983  |</t>
  </si>
  <si>
    <t>| 466  | 0.00214  |    -     | 0.00197  |0.03973  |    -     | 0.03983  |</t>
  </si>
  <si>
    <t>| 467  | 0.00209  |    -     | 0.00200  |0.03969  |    -     | 0.03960  |</t>
  </si>
  <si>
    <t>| 468  | 0.00225  |    -     | 0.00227  |0.04005  |    -     | 0.03721  |</t>
  </si>
  <si>
    <t>| 469  | 0.00203  |    -     | 0.00202  |0.03978  |    -     | 0.04025  |</t>
  </si>
  <si>
    <t>| 470  | 0.00207  |    -     | 0.00198  |0.03964  |    -     | 0.03990  |</t>
  </si>
  <si>
    <t>| 471  | 0.00209  |    -     | 0.00203  |0.04013  |    -     | 0.03940  |</t>
  </si>
  <si>
    <t>| 472  | 0.00211  |    -     | 0.00198  |0.03969  |    -     | 0.03976  |</t>
  </si>
  <si>
    <t>| 473  | 0.00209  |    -     | 0.00193  |0.03964  |    -     | 0.03856  |</t>
  </si>
  <si>
    <t>| 474  | 0.00215  |    -     | 0.00197  |0.03970  |    -     | 0.03933  |</t>
  </si>
  <si>
    <t>| 475  | 0.00216  |    -     | 0.00199  |0.04021  |    -     | 0.03982  |</t>
  </si>
  <si>
    <t>| 476  | 0.00196  |    -     | 0.00204  |0.03959  |    -     | 0.03983  |</t>
  </si>
  <si>
    <t>| 477  | 0.00215  |    -     | 0.00202  |0.03969  |    -     | 0.03934  |</t>
  </si>
  <si>
    <t>| 478  | 0.00221  |    -     | 0.00200  |0.03973  |    -     | 0.03977  |</t>
  </si>
  <si>
    <t>| 479  | 0.00213  |    -     | 0.00200  |0.03988  |    -     | 0.03958  |</t>
  </si>
  <si>
    <t>| 480  | 0.00209  |    -     | 0.00196  |0.03950  |    -     | 0.03738  |</t>
  </si>
  <si>
    <t>| 481  | 0.00214  |    -     | 0.00199  |0.03961  |    -     | 0.03976  |</t>
  </si>
  <si>
    <t>| 482  | 0.00199  |    -     | 0.00211  |0.03992  |    -     | 0.03996  |</t>
  </si>
  <si>
    <t>| 483  | 0.00218  |    -     | 0.00214  |0.03974  |    -     | 0.03904  |</t>
  </si>
  <si>
    <t>| 484  | 0.00219  |    -     | 0.00205  |0.03969  |    -     | 0.03989  |</t>
  </si>
  <si>
    <t>| 485  | 0.00205  |    -     | 0.00190  |0.03969  |    -     | 0.04001  |</t>
  </si>
  <si>
    <t>| 486  | 0.00209  |    -     | 0.00188  |0.03972  |    -     | 0.03976  |</t>
  </si>
  <si>
    <t>| 487  | 0.00217  |    -     | 0.00200  |0.04022  |    -     | 0.04003  |</t>
  </si>
  <si>
    <t>| 488  | 0.00213  |    -     | 0.00201  |0.03966  |    -     | 0.04003  |</t>
  </si>
  <si>
    <t>| 489  | 0.00208  |    -     | 0.00198  |0.03968  |    -     | 0.03647  |</t>
  </si>
  <si>
    <t>| 490  | 0.00204  |    -     | 0.00186  |0.03737  |    -     | 0.04031  |</t>
  </si>
  <si>
    <t>| 491  | 0.00208  |    -     | 0.00200  |0.03968  |    -     | 0.03982  |</t>
  </si>
  <si>
    <t>| 492  | 0.00208  |    -     | 0.00205  |0.03964  |    -     | 0.03702  |</t>
  </si>
  <si>
    <t>| 493  | 0.00204  |    -     | 0.00189  |0.03972  |    -     | 0.03466  |</t>
  </si>
  <si>
    <t>| 494  | 0.00225  |    -     | 0.00203  |0.03979  |    -     | 0.04027  |</t>
  </si>
  <si>
    <t>| 495  | 0.00212  |    -     | 0.00199  |0.03972  |    -     | 0.03988  |</t>
  </si>
  <si>
    <t>| 496  | 0.00214  |    -     | 0.00191  |0.03968  |    -     | 0.03987  |</t>
  </si>
  <si>
    <t>| 497  | 0.00215  |    -     | 0.00184  |0.03957  |    -     | 0.04000  |</t>
  </si>
  <si>
    <t>| 498  | 0.00215  |    -     | 0.00196  |0.03953  |    -     | 0.04007  |</t>
  </si>
  <si>
    <t>| 499  | 0.00210  |    -     | 0.00197  |0.03975  |    -     | 0.03996  |</t>
  </si>
  <si>
    <t>| 500  | 0.00220  |    -     | 0.00202  |0.03965  |    -     | 0.03990  |</t>
  </si>
  <si>
    <t>| 501  | 0.00213  |    -     | 0.00197  |0.03971  |    -     | 0.03979  |</t>
  </si>
  <si>
    <t>| 502  | 0.00210  |    -     | 0.00197  |0.03978  |    -     | 0.03666  |</t>
  </si>
  <si>
    <t>| 503  | 0.00215  |    -     | 0.00203  |0.03737  |    -     | 0.04032  |</t>
  </si>
  <si>
    <t>| 504  | 0.00212  |    -     | 0.00198  |0.03971  |    -     | 0.03980  |</t>
  </si>
  <si>
    <t>| 505  | 0.00202  |    -     | 0.00203  |0.03971  |    -     | 0.03979  |</t>
  </si>
  <si>
    <t>| 506  | 0.00215  |    -     | 0.00199  |0.03978  |    -     | 0.03797  |</t>
  </si>
  <si>
    <t>| 507  | 0.00222  |    -     | 0.00200  |0.03916  |    -     | 0.04030  |</t>
  </si>
  <si>
    <t>| 508  | 0.00218  |    -     | 0.00202  |0.03976  |    -     | 0.03987  |</t>
  </si>
  <si>
    <t>| 509  | 0.00218  |    -     | 0.00200  |0.03974  |    -     | 0.04035  |</t>
  </si>
  <si>
    <t>| 510  | 0.00208  |    -     | 0.00191  |0.03682  |    -     | 0.03999  |</t>
  </si>
  <si>
    <t>| 511  | 0.00217  |    -     | 0.00207  |0.03724  |    -     | 0.04003  |</t>
  </si>
  <si>
    <t>| 512  | 0.00211  |    -     | 0.00211  |0.03889  |    -     | 0.04008  |</t>
  </si>
  <si>
    <t>| 513  | 0.00219  |    -     | 0.00202  |0.03971  |    -     | 0.03991  |</t>
  </si>
  <si>
    <t>| 514  | 0.00222  |    -     | 0.00201  |0.03983  |    -     | 0.03991  |</t>
  </si>
  <si>
    <t>| 515  | 0.00218  |    -     | 0.00199  |0.03953  |    -     | 0.03905  |</t>
  </si>
  <si>
    <t>| 516  | 0.00214  |    -     | 0.00200  |0.03750  |    -     | 0.04019  |</t>
  </si>
  <si>
    <t>| 517  | 0.00204  |    -     | 0.00192  |0.03952  |    -     | 0.03979  |</t>
  </si>
  <si>
    <t>| 518  | 0.00223  |    -     | 0.00202  |0.03937  |    -     | 0.03670  |</t>
  </si>
  <si>
    <t>| 519  | 0.00220  |    -     | 0.00209  |0.03983  |    -     | 0.04037  |</t>
  </si>
  <si>
    <t>| 520  | 0.00218  |    -     | 0.00212  |0.03795  |    -     | 0.04023  |</t>
  </si>
  <si>
    <t>| 521  | 0.00223  |    -     | 0.00198  |0.03972  |    -     | 0.03463  |</t>
  </si>
  <si>
    <t>| 522  | 0.00234  |    -     | 0.00201  |0.03969  |    -     | 0.04007  |</t>
  </si>
  <si>
    <t>| 523  | 0.00240  |    -     | 0.00211  |0.03661  |    -     | 0.04019  |</t>
  </si>
  <si>
    <t>| 524  | 0.00231  |    -     | 0.00195  |0.03672  |    -     | 0.03890  |</t>
  </si>
  <si>
    <t>| 525  | 0.00224  |    -     | 0.00194  |0.04021  |    -     | 0.04008  |</t>
  </si>
  <si>
    <t>| 526  | 0.00315  |    -     | 0.00203  |0.03986  |    -     | 0.04023  |</t>
  </si>
  <si>
    <t>| 527  | 0.00232  |    -     | 0.00198  |0.03972  |    -     | 0.03987  |</t>
  </si>
  <si>
    <t>| 528  | 0.00222  |    -     | 0.00192  |0.03666  |    -     | 0.04006  |</t>
  </si>
  <si>
    <t>| 529  | 0.00207  |    -     | 0.00213  |0.04009  |    -     | 0.03716  |</t>
  </si>
  <si>
    <t>| 530  | 0.00226  |    -     | 0.00227  |0.03666  |    -     | 0.04049  |</t>
  </si>
  <si>
    <t>| 531  | 0.00224  |    -     | 0.00199  |0.03911  |    -     | 0.04002  |</t>
  </si>
  <si>
    <t>| 532  | 0.00252  |    -     | 0.00187  |0.04038  |    -     | 0.04009  |</t>
  </si>
  <si>
    <t>| 533  | 0.00210  |    -     | 0.00196  |0.03801  |    -     | 0.04015  |</t>
  </si>
  <si>
    <t>| 534  | 0.00229  |    -     | 0.00212  |0.03758  |    -     | 0.04011  |</t>
  </si>
  <si>
    <t>| 535  | 0.00219  |    -     | 0.00194  |0.03869  |    -     | 0.03783  |</t>
  </si>
  <si>
    <t>| 536  | 0.00214  |    -     | 0.00204  |0.03591  |    -     | 0.04054  |</t>
  </si>
  <si>
    <t>| 537  | 0.00222  |    -     | 0.00201  |0.03723  |    -     | 0.03927  |</t>
  </si>
  <si>
    <t>| 538  | 0.00200  |    -     | 0.00247  |0.04028  |    -     | 0.04020  |</t>
  </si>
  <si>
    <t>| 539  | 0.00231  |    -     | 0.00195  |0.03586  |    -     | 0.03800  |</t>
  </si>
  <si>
    <t>| 540  | 0.00233  |    -     | 0.00206  |0.03985  |    -     | 0.04022  |</t>
  </si>
  <si>
    <t>| 541  | 0.00226  |    -     | 0.00209  |0.04005  |    -     | 0.03986  |</t>
  </si>
  <si>
    <t>| 542  | 0.00198  |    -     | 0.00191  |0.03963  |    -     | 0.03781  |</t>
  </si>
  <si>
    <t>| 543  | 0.00229  |    -     | 0.00207  |0.03814  |    -     | 0.03743  |</t>
  </si>
  <si>
    <t>| 544  | 0.00212  |    -     | 0.00223  |0.03985  |    -     | 0.04042  |</t>
  </si>
  <si>
    <t>| 545  | 0.00218  |    -     | 0.00202  |0.03769  |    -     | 0.04010  |</t>
  </si>
  <si>
    <t>| 546  | 0.00215  |    -     | 0.00209  |0.03790  |    -     | 0.04008  |</t>
  </si>
  <si>
    <t>| 547  | 0.00220  |    -     | 0.00192  |0.03709  |    -     | 0.03742  |</t>
  </si>
  <si>
    <t>| 548  | 0.00263  |    -     | 0.00206  |0.04009  |    -     | 0.03698  |</t>
  </si>
  <si>
    <t>| 549  | 0.00220  |    -     | 0.00203  |0.03961  |    -     | 0.03617  |</t>
  </si>
  <si>
    <t>| 550  | 0.00213  |    -     | 0.00212  |0.03605  |    -     | 0.03872  |</t>
  </si>
  <si>
    <t>| 551  | 0.00217  |    -     | 0.00192  |0.03763  |    -     | 0.04020  |</t>
  </si>
  <si>
    <t>| 552  | 0.00209  |    -     | 0.00197  |0.03973  |    -     | 0.03969  |</t>
  </si>
  <si>
    <t>| 553  | 0.00207  |    -     | 0.00198  |0.03976  |    -     | 0.03952  |</t>
  </si>
  <si>
    <t>| 554  | 0.00199  |    -     | 0.00202  |0.04014  |    -     | 0.03634  |</t>
  </si>
  <si>
    <t>| 555  | 0.00219  |    -     | 0.00194  |0.04008  |    -     | 0.04002  |</t>
  </si>
  <si>
    <t>| 556  | 0.00208  |    -     | 0.00195  |0.03866  |    -     | 0.03815  |</t>
  </si>
  <si>
    <t>| 557  | 0.00210  |    -     | 0.00193  |0.03963  |    -     | 0.03953  |</t>
  </si>
  <si>
    <t>| 558  | 0.00212  |    -     | 0.00199  |0.03943  |    -     | 0.03990  |</t>
  </si>
  <si>
    <t>| 559  | 0.00211  |    -     | 0.00209  |0.03981  |    -     | 0.03929  |</t>
  </si>
  <si>
    <t>| 560  | 0.00214  |    -     | 0.00192  |0.03995  |    -     | 0.03979  |</t>
  </si>
  <si>
    <t>| 561  | 0.00203  |    -     | 0.00189  |0.03953  |    -     | 0.03969  |</t>
  </si>
  <si>
    <t>| 562  | 0.00204  |    -     | 0.00189  |0.03761  |    -     | 0.03984  |</t>
  </si>
  <si>
    <t>| 563  | 0.00216  |    -     | 0.00192  |0.03638  |    -     | 0.03981  |</t>
  </si>
  <si>
    <t>| 564  | 0.00233  |    -     | 0.00218  |0.03942  |    -     | 0.04003  |</t>
  </si>
  <si>
    <t>| 565  | 0.00213  |    -     | 0.00191  |0.03962  |    -     | 0.03836  |</t>
  </si>
  <si>
    <t>| 566  | 0.00203  |    -     | 0.00190  |0.03958  |    -     | 0.03936  |</t>
  </si>
  <si>
    <t>| 567  | 0.00204  |    -     | 0.00188  |0.03994  |    -     | 0.03993  |</t>
  </si>
  <si>
    <t>| 568  | 0.00204  |    -     | 0.00191  |0.03729  |    -     | 0.03867  |</t>
  </si>
  <si>
    <t>| 569  | 0.00209  |    -     | 0.00190  |0.03957  |    -     | 0.04043  |</t>
  </si>
  <si>
    <t>| 570  | 0.00210  |    -     | 0.00195  |0.04008  |    -     | 0.03448  |</t>
  </si>
  <si>
    <t>| 571  | 0.00215  |    -     | 0.00200  |0.03765  |    -     | 0.03996  |</t>
  </si>
  <si>
    <t>| 572  | 0.00219  |    -     | 0.00196  |0.04068  |    -     | 0.03976  |</t>
  </si>
  <si>
    <t>| 573  | 0.00198  |    -     | 0.00187  |0.03992  |    -     | 0.03824  |</t>
  </si>
  <si>
    <t>| 574  | 0.00204  |    -     | 0.00191  |0.03959  |    -     | 0.04020  |</t>
  </si>
  <si>
    <t>| 575  | 0.00206  |    -     | 0.00188  |0.03991  |    -     | 0.03981  |</t>
  </si>
  <si>
    <t>| 576  | 0.00218  |    -     | 0.00190  |0.03960  |    -     | 0.03618  |</t>
  </si>
  <si>
    <t>| 577  | 0.00206  |    -     | 0.00189  |0.03957  |    -     | 0.03988  |</t>
  </si>
  <si>
    <t>| 578  | 0.00209  |    -     | 0.00189  |0.03853  |    -     | 0.03900  |</t>
  </si>
  <si>
    <t>| 579  | 0.00205  |    -     | 0.00178  |0.04015  |    -     | 0.04000  |</t>
  </si>
  <si>
    <t>| 580  | 0.00223  |    -     | 0.00207  |0.04022  |    -     | 0.04005  |</t>
  </si>
  <si>
    <t>| 581  | 0.00211  |    -     | 0.00188  |0.03674  |    -     | 0.03959  |</t>
  </si>
  <si>
    <t>| 582  | 0.00217  |    -     | 0.00187  |0.03648  |    -     | 0.04036  |</t>
  </si>
  <si>
    <t>| 583  | 0.00205  |    -     | 0.00203  |0.04012  |    -     | 0.03975  |</t>
  </si>
  <si>
    <t>| 584  | 0.00206  |    -     | 0.00188  |0.03960  |    -     | 0.04019  |</t>
  </si>
  <si>
    <t>| 585  | 0.00214  |    -     | 0.00194  |0.03968  |    -     | 0.03970  |</t>
  </si>
  <si>
    <t>| 586  | 0.00203  |    -     | 0.00187  |0.03999  |    -     | 0.03894  |</t>
  </si>
  <si>
    <t>| 587  | 0.00202  |    -     | 0.00188  |0.03960  |    -     | 0.04005  |</t>
  </si>
  <si>
    <t>| 588  | 0.00205  |    -     | 0.00188  |0.03828  |    -     | 0.04006  |</t>
  </si>
  <si>
    <t>| 589  | 0.00206  |    -     | 0.00189  |0.03956  |    -     | 0.03968  |</t>
  </si>
  <si>
    <t>| 590  | 0.00201  |    -     | 0.00186  |0.03986  |    -     | 0.04014  |</t>
  </si>
  <si>
    <t>| 591  | 0.00206  |    -     | 0.00188  |0.03985  |    -     | 0.03974  |</t>
  </si>
  <si>
    <t>| 592  | 0.00203  |    -     | 0.00187  |0.03994  |    -     | 0.03917  |</t>
  </si>
  <si>
    <t>| 593  | 0.00208  |    -     | 0.00190  |0.03995  |    -     | 0.04015  |</t>
  </si>
  <si>
    <t>| 594  | 0.00202  |    -     | 0.00188  |0.04012  |    -     | 0.03991  |</t>
  </si>
  <si>
    <t>| 595  | 0.00224  |    -     | 0.00208  |0.03824  |    -     | 0.03907  |</t>
  </si>
  <si>
    <t>| 596  | 0.00218  |    -     | 0.00189  |0.03609  |    -     | 0.04002  |</t>
  </si>
  <si>
    <t>| 597  | 0.00225  |    -     | 0.00195  |0.03568  |    -     | 0.03983  |</t>
  </si>
  <si>
    <t>| 598  | 0.00210  |    -     | 0.00190  |0.03683  |    -     | 0.03975  |</t>
  </si>
  <si>
    <t>| 599  | 0.00212  |    -     | 0.00197  |0.04001  |    -     | 0.03967  |</t>
  </si>
  <si>
    <t>| 600  | 0.00204  |    -     | 0.00191  |0.03959  |    -     | 0.03954  |</t>
  </si>
  <si>
    <t>| 601  | 0.00214  |    -     | 0.00212  |0.03793  |    -     | 0.03984  |</t>
  </si>
  <si>
    <t>| 602  | 0.00202  |    -     | 0.00188  |0.03969  |    -     | 0.03974  |</t>
  </si>
  <si>
    <t>| 603  | 0.00199  |    -     | 0.00190  |0.03957  |    -     | 0.03978  |</t>
  </si>
  <si>
    <t>| 604  | 0.00203  |    -     | 0.00189  |0.03959  |    -     | 0.03975  |</t>
  </si>
  <si>
    <t>| 605  | 0.00254  |    -     | 0.00197  |0.03966  |    -     | 0.03982  |</t>
  </si>
  <si>
    <t>| 606  | 0.00202  |    -     | 0.00187  |0.03957  |    -     | 0.03997  |</t>
  </si>
  <si>
    <t>| 607  | 0.00216  |    -     | 0.00192  |0.03966  |    -     | 0.04021  |</t>
  </si>
  <si>
    <t>| 608  | 0.00214  |    -     | 0.00189  |0.04007  |    -     | 0.04011  |</t>
  </si>
  <si>
    <t>| 609  | 0.00210  |    -     | 0.00190  |0.03953  |    -     | 0.03989  |</t>
  </si>
  <si>
    <t>| 610  | 0.00206  |    -     | 0.00189  |0.04674  |    -     | 0.04014  |</t>
  </si>
  <si>
    <t>| 611  | 0.00211  |    -     | 0.00190  |0.03961  |    -     | 0.03978  |</t>
  </si>
  <si>
    <t>| 612  | 0.00204  |    -     | 0.00180  |0.03996  |    -     | 0.04010  |</t>
  </si>
  <si>
    <t>| 613  | 0.00210  |    -     | 0.00191  |0.03990  |    -     | 0.03964  |</t>
  </si>
  <si>
    <t>| 614  | 0.00204  |    -     | 0.00188  |0.03953  |    -     | 0.03964  |</t>
  </si>
  <si>
    <t>| 615  | 0.00211  |    -     | 0.00189  |0.03935  |    -     | 0.03969  |</t>
  </si>
  <si>
    <t>| 616  | 0.00202  |    -     | 0.00189  |0.04000  |    -     | 0.03754  |</t>
  </si>
  <si>
    <t>| 617  | 0.00213  |    -     | 0.00192  |0.03954  |    -     | 0.03627  |</t>
  </si>
  <si>
    <t>| 618  | 0.00205  |    -     | 0.00189  |0.04001  |    -     | 0.03943  |</t>
  </si>
  <si>
    <t>| 619  | 0.00223  |    -     | 0.00201  |0.03579  |    -     | 0.03986  |</t>
  </si>
  <si>
    <t>| 620  | 0.00205  |    -     | 0.00188  |0.04005  |    -     | 0.04015  |</t>
  </si>
  <si>
    <t>| 621  | 0.00202  |    -     | 0.00187  |0.04013  |    -     | 0.03883  |</t>
  </si>
  <si>
    <t>| 622  | 0.00206  |    -     | 0.00190  |0.03959  |    -     | 0.03970  |</t>
  </si>
  <si>
    <t>| 623  | 0.00203  |    -     | 0.00187  |0.03999  |    -     | 0.03740  |</t>
  </si>
  <si>
    <t>| 624  | 0.00216  |    -     | 0.00195  |0.03975  |    -     | 0.03994  |</t>
  </si>
  <si>
    <t>| 625  | 0.00228  |    -     | 0.00189  |0.03714  |    -     | 0.03849  |</t>
  </si>
  <si>
    <t>| 626  | 0.00213  |    -     | 0.00203  |0.04007  |    -     | 0.04014  |</t>
  </si>
  <si>
    <t>| 627  | 0.00206  |    -     | 0.00189  |0.03881  |    -     | 0.03938  |</t>
  </si>
  <si>
    <t>| 628  | 0.00213  |    -     | 0.00194  |0.03992  |    -     | 0.03678  |</t>
  </si>
  <si>
    <t>| 629  | 0.00207  |    -     | 0.00189  |0.04010  |    -     | 0.03892  |</t>
  </si>
  <si>
    <t>| 630  | 0.00214  |    -     | 0.00211  |0.03972  |    -     | 0.03951  |</t>
  </si>
  <si>
    <t>| 631  | 0.00241  |    -     | 0.00209  |0.03975  |    -     | 0.03477  |</t>
  </si>
  <si>
    <t>| 632  | 0.00208  |    -     | 0.00212  |0.03738  |    -     | 0.03745  |</t>
  </si>
  <si>
    <t>| 633  | 0.00225  |    -     | 0.00198  |0.03734  |    -     | 0.03974  |</t>
  </si>
  <si>
    <t>| 634  | 0.00205  |    -     | 0.00188  |0.03995  |    -     | 0.03954  |</t>
  </si>
  <si>
    <t>| 635  | 0.00207  |    -     | 0.00204  |0.03503  |    -     | 0.04018  |</t>
  </si>
  <si>
    <t>| 636  | 0.00212  |    -     | 0.00211  |0.03935  |    -     | 0.03998  |</t>
  </si>
  <si>
    <t>| 637  | 0.00226  |    -     | 0.00220  |0.03820  |    -     | 0.03743  |</t>
  </si>
  <si>
    <t>| 638  | 0.00209  |    -     | 0.00190  |0.04008  |    -     | 0.03978  |</t>
  </si>
  <si>
    <t>| 639  | 0.00218  |    -     | 0.00200  |0.03980  |    -     | 0.03970  |</t>
  </si>
  <si>
    <t>| 640  | 0.00205  |    -     | 0.00185  |0.03965  |    -     | 0.03934  |</t>
  </si>
  <si>
    <t>| 641  | 0.00203  |    -     | 0.00193  |0.03995  |    -     | 0.03988  |</t>
  </si>
  <si>
    <t>| 642  | 0.00206  |    -     | 0.00187  |0.03957  |    -     | 0.03968  |</t>
  </si>
  <si>
    <t>| 643  | 0.00214  |    -     | 0.00192  |0.03972  |    -     | 0.03970  |</t>
  </si>
  <si>
    <t>| 644  | 0.00205  |    -     | 0.00189  |0.04011  |    -     | 0.04037  |</t>
  </si>
  <si>
    <t>| 645  | 0.00212  |    -     | 0.00193  |0.04000  |    -     | 0.04018  |</t>
  </si>
  <si>
    <t>| 646  | 0.00210  |    -     | 0.00192  |0.03970  |    -     | 0.03973  |</t>
  </si>
  <si>
    <t>| 647  | 0.00205  |    -     | 0.00191  |0.03958  |    -     | 0.04010  |</t>
  </si>
  <si>
    <t>| 648  | 0.00202  |    -     | 0.00188  |0.03995  |    -     | 0.03668  |</t>
  </si>
  <si>
    <t>| 649  | 0.00204  |    -     | 0.00189  |0.03993  |    -     | 0.04028  |</t>
  </si>
  <si>
    <t>| 650  | 0.00206  |    -     | 0.00193  |0.03706  |    -     | 0.04028  |</t>
  </si>
  <si>
    <t>| 651  | 0.00206  |    -     | 0.00193  |0.04003  |    -     | 0.04005  |</t>
  </si>
  <si>
    <t>| 652  | 0.00213  |    -     | 0.00186  |0.04005  |    -     | 0.03928  |</t>
  </si>
  <si>
    <t>| 653  | 0.00213  |    -     | 0.00195  |0.03591  |    -     | 0.03972  |</t>
  </si>
  <si>
    <t>| 654  | 0.00206  |    -     | 0.00192  |0.03665  |    -     | 0.04018  |</t>
  </si>
  <si>
    <t>| 655  | 0.00223  |    -     | 0.00192  |0.03797  |    -     | 0.04025  |</t>
  </si>
  <si>
    <t>| 656  | 0.00229  |    -     | 0.00198  |0.03955  |    -     | 0.03619  |</t>
  </si>
  <si>
    <t>| 657  | 0.00215  |    -     | 0.00194  |0.03747  |    -     | 0.04010  |</t>
  </si>
  <si>
    <t>| 658  | 0.00204  |    -     | 0.00188  |0.03642  |    -     | 0.03610  |</t>
  </si>
  <si>
    <t>| 659  | 0.00217  |    -     | 0.00196  |0.03830  |    -     | 0.04006  |</t>
  </si>
  <si>
    <t>| 660  | 0.00212  |    -     | 0.00195  |0.03954  |    -     | 0.03976  |</t>
  </si>
  <si>
    <t>| 661  | 0.00206  |    -     | 0.00192  |0.03703  |    -     | 0.03986  |</t>
  </si>
  <si>
    <t>| 662  | 0.00216  |    -     | 0.00192  |0.04004  |    -     | 0.03959  |</t>
  </si>
  <si>
    <t>| 663  | 0.00206  |    -     | 0.00190  |0.04001  |    -     | 0.03972  |</t>
  </si>
  <si>
    <t>| 664  | 0.00207  |    -     | 0.00192  |0.03966  |    -     | 0.03976  |</t>
  </si>
  <si>
    <t>| 665  | 0.00208  |    -     | 0.00192  |0.03786  |    -     | 0.03837  |</t>
  </si>
  <si>
    <t>| 666  | 0.00213  |    -     | 0.00192  |0.03881  |    -     | 0.04010  |</t>
  </si>
  <si>
    <t>| 667  | 0.00211  |    -     | 0.00193  |0.03998  |    -     | 0.03923  |</t>
  </si>
  <si>
    <t>| 668  | 0.00208  |    -     | 0.00190  |0.04000  |    -     | 0.03809  |</t>
  </si>
  <si>
    <t>| 669  | 0.00209  |    -     | 0.00191  |0.03999  |    -     | 0.03975  |</t>
  </si>
  <si>
    <t>| 670  | 0.00202  |    -     | 0.00193  |0.03959  |    -     | 0.03973  |</t>
  </si>
  <si>
    <t>| 671  | 0.00205  |    -     | 0.00191  |0.03954  |    -     | 0.03971  |</t>
  </si>
  <si>
    <t>| 672  | 0.00226  |    -     | 0.00200  |0.03961  |    -     | 0.04012  |</t>
  </si>
  <si>
    <t>| 673  | 0.00219  |    -     | 0.00210  |0.04001  |    -     | 0.03993  |</t>
  </si>
  <si>
    <t>| 674  | 0.00202  |    -     | 0.00190  |0.03991  |    -     | 0.04011  |</t>
  </si>
  <si>
    <t>| 675  | 0.00208  |    -     | 0.00190  |0.04000  |    -     | 0.04011  |</t>
  </si>
  <si>
    <t>| 676  | 0.00205  |    -     | 0.00193  |0.03997  |    -     | 0.04043  |</t>
  </si>
  <si>
    <t>| 677  | 0.00207  |    -     | 0.00193  |0.03989  |    -     | 0.04012  |</t>
  </si>
  <si>
    <t>| 678  | 0.00226  |    -     | 0.00210  |0.03401  |    -     | 0.03918  |</t>
  </si>
  <si>
    <t>| 679  | 0.00215  |    -     | 0.00204  |0.03952  |    -     | 0.04031  |</t>
  </si>
  <si>
    <t>| 680  | 0.00214  |    -     | 0.00194  |0.03909  |    -     | 0.03712  |</t>
  </si>
  <si>
    <t>| 681  | 0.00217  |    -     | 0.00207  |0.03988  |    -     | 0.03906  |</t>
  </si>
  <si>
    <t>| 682  | 0.00211  |    -     | 0.00199  |0.03751  |    -     | 0.03746  |</t>
  </si>
  <si>
    <t>| 683  | 0.00208  |    -     | 0.00191  |0.03760  |    -     | 0.03747  |</t>
  </si>
  <si>
    <t>| 684  | 0.00209  |    -     | 0.00190  |0.03981  |    -     | 0.04039  |</t>
  </si>
  <si>
    <t>| 685  | 0.00211  |    -     | 0.00208  |0.04004  |    -     | 0.04025  |</t>
  </si>
  <si>
    <t>| 686  | 0.00215  |    -     | 0.00236  |0.03974  |    -     | 0.03995  |</t>
  </si>
  <si>
    <t>| 687  | 0.00206  |    -     | 0.00190  |0.03962  |    -     | 0.04022  |</t>
  </si>
  <si>
    <t>| 688  | 0.00200  |    -     | 0.00190  |0.03958  |    -     | 0.04008  |</t>
  </si>
  <si>
    <t>| 689  | 0.00206  |    -     | 0.00192  |0.03954  |    -     | 0.03789  |</t>
  </si>
  <si>
    <t>| 690  | 0.00202  |    -     | 0.00205  |0.03987  |    -     | 0.03970  |</t>
  </si>
  <si>
    <t>| 691  | 0.00202  |    -     | 0.00188  |0.03997  |    -     | 0.03586  |</t>
  </si>
  <si>
    <t>| 692  | 0.00218  |    -     | 0.00192  |0.04013  |    -     | 0.04021  |</t>
  </si>
  <si>
    <t>| 693  | 0.00210  |    -     | 0.00190  |0.03652  |    -     | 0.03987  |</t>
  </si>
  <si>
    <t>| 694  | 0.00205  |    -     | 0.00193  |0.04012  |    -     | 0.04032  |</t>
  </si>
  <si>
    <t>| 695  | 0.00212  |    -     | 0.00191  |0.03999  |    -     | 0.03853  |</t>
  </si>
  <si>
    <t>| 696  | 0.00209  |    -     | 0.00189  |0.03994  |    -     | 0.03782  |</t>
  </si>
  <si>
    <t>| 697  | 0.00209  |    -     | 0.00190  |0.03952  |    -     | 0.03959  |</t>
  </si>
  <si>
    <t>| 698  | 0.00211  |    -     | 0.00190  |0.03986  |    -     | 0.03964  |</t>
  </si>
  <si>
    <t>| 699  | 0.00211  |    -     | 0.00192  |0.03962  |    -     | 0.03990  |</t>
  </si>
  <si>
    <t>| 700  | 0.00214  |    -     | 0.00191  |0.03814  |    -     | 0.03825  |</t>
  </si>
  <si>
    <t>| 701  | 0.00208  |    -     | 0.00189  |0.03966  |    -     | 0.03981  |</t>
  </si>
  <si>
    <t>| 702  | 0.00205  |    -     | 0.00192  |0.03958  |    -     | 0.03976  |</t>
  </si>
  <si>
    <t>| 703  | 0.00207  |    -     | 0.00212  |0.03925  |    -     | 0.03937  |</t>
  </si>
  <si>
    <t>| 704  | 0.00210  |    -     | 0.00191  |0.03955  |    -     | 0.04010  |</t>
  </si>
  <si>
    <t>| 705  | 0.00206  |    -     | 0.00188  |0.03959  |    -     | 0.03985  |</t>
  </si>
  <si>
    <t>| 706  | 0.00212  |    -     | 0.00193  |0.03890  |    -     | 0.03978  |</t>
  </si>
  <si>
    <t>| 707  | 0.00207  |    -     | 0.00189  |0.03955  |    -     | 0.04022  |</t>
  </si>
  <si>
    <t>| 708  | 0.00210  |    -     | 0.00190  |0.03959  |    -     | 0.04012  |</t>
  </si>
  <si>
    <t>| 709  | 0.00208  |    -     | 0.00190  |0.03957  |    -     | 0.04009  |</t>
  </si>
  <si>
    <t>| 710  | 0.00207  |    -     | 0.00189  |0.03958  |    -     | 0.04003  |</t>
  </si>
  <si>
    <t>| 711  | 0.00202  |    -     | 0.00189  |0.03790  |    -     | 0.04020  |</t>
  </si>
  <si>
    <t>| 712  | 0.00220  |    -     | 0.00194  |0.04010  |    -     | 0.03973  |</t>
  </si>
  <si>
    <t>| 713  | 0.00204  |    -     | 0.00189  |0.03960  |    -     | 0.03981  |</t>
  </si>
  <si>
    <t>| 714  | 0.00205  |    -     | 0.00188  |0.03955  |    -     | 0.03971  |</t>
  </si>
  <si>
    <t>| 715  | 0.00217  |    -     | 0.00198  |0.03971  |    -     | 0.03981  |</t>
  </si>
  <si>
    <t>| 716  | 0.00239  |    -     | 0.00231  |0.03976  |    -     | 0.03984  |</t>
  </si>
  <si>
    <t>| 717  | 0.00212  |    -     | 0.00194  |0.03995  |    -     | 0.03965  |</t>
  </si>
  <si>
    <t>| 718  | 0.00207  |    -     | 0.00192  |0.03959  |    -     | 0.03979  |</t>
  </si>
  <si>
    <t>| 719  | 0.00204  |    -     | 0.00190  |0.03961  |    -     | 0.03979  |</t>
  </si>
  <si>
    <t>| 720  | 0.00204  |    -     | 0.00190  |0.03958  |    -     | 0.03973  |</t>
  </si>
  <si>
    <t>| 721  | 0.00202  |    -     | 0.00190  |0.03996  |    -     | 0.03831  |</t>
  </si>
  <si>
    <t>| 722  | 0.00211  |    -     | 0.00177  |0.04019  |    -     | 0.04020  |</t>
  </si>
  <si>
    <t>| 723  | 0.00208  |    -     | 0.00193  |0.03997  |    -     | 0.03983  |</t>
  </si>
  <si>
    <t>| 724  | 0.00210  |    -     | 0.00195  |0.03956  |    -     | 0.04012  |</t>
  </si>
  <si>
    <t>| 725  | 0.00214  |    -     | 0.00191  |0.03957  |    -     | 0.03977  |</t>
  </si>
  <si>
    <t>| 726  | 0.00207  |    -     | 0.00201  |0.04006  |    -     | 0.03977  |</t>
  </si>
  <si>
    <t>| 727  | 0.00204  |    -     | 0.00191  |0.03856  |    -     | 0.03621  |</t>
  </si>
  <si>
    <t>| 728  | 0.00226  |    -     | 0.00194  |0.03991  |    -     | 0.04019  |</t>
  </si>
  <si>
    <t>| 729  | 0.00206  |    -     | 0.00191  |0.03997  |    -     | 0.04008  |</t>
  </si>
  <si>
    <t>| 730  | 0.00205  |    -     | 0.00192  |0.04000  |    -     | 0.04003  |</t>
  </si>
  <si>
    <t>| 731  | 0.00207  |    -     | 0.00189  |0.03874  |    -     | 0.03980  |</t>
  </si>
  <si>
    <t>| 732  | 0.00204  |    -     | 0.00189  |0.03957  |    -     | 0.04007  |</t>
  </si>
  <si>
    <t>| 733  | 0.00207  |    -     | 0.00190  |0.03951  |    -     | 0.03981  |</t>
  </si>
  <si>
    <t>| 734  | 0.00202  |    -     | 0.00187  |0.03917  |    -     | 0.04013  |</t>
  </si>
  <si>
    <t>| 735  | 0.00207  |    -     | 0.00191  |0.03958  |    -     | 0.04045  |</t>
  </si>
  <si>
    <t>| 736  | 0.00207  |    -     | 0.00189  |0.03958  |    -     | 0.03944  |</t>
  </si>
  <si>
    <t>| 737  | 0.00204  |    -     | 0.00189  |0.03997  |    -     | 0.03822  |</t>
  </si>
  <si>
    <t>| 738  | 0.00209  |    -     | 0.00187  |0.03984  |    -     | 0.04014  |</t>
  </si>
  <si>
    <t>| 739  | 0.00206  |    -     | 0.00192  |0.03651  |    -     | 0.03694  |</t>
  </si>
  <si>
    <t>| 740  | 0.00212  |    -     | 0.00195  |0.03718  |    -     | 0.04008  |</t>
  </si>
  <si>
    <t>| 741  | 0.00207  |    -     | 0.00191  |0.04001  |    -     | 0.04002  |</t>
  </si>
  <si>
    <t>| 742  | 0.00202  |    -     | 0.00189  |0.03605  |    -     | 0.03975  |</t>
  </si>
  <si>
    <t>| 743  | 0.00209  |    -     | 0.00190  |0.03965  |    -     | 0.03979  |</t>
  </si>
  <si>
    <t>| 744  | 0.00217  |    -     | 0.00193  |0.03901  |    -     | 0.03587  |</t>
  </si>
  <si>
    <t>| 745  | 0.00217  |    -     | 0.00193  |0.03872  |    -     | 0.03674  |</t>
  </si>
  <si>
    <t>| 746  | 0.00220  |    -     | 0.00201  |0.03871  |    -     | 0.04015  |</t>
  </si>
  <si>
    <t>| 747  | 0.00212  |    -     | 0.00198  |0.03808  |    -     | 0.03981  |</t>
  </si>
  <si>
    <t>| 748  | 0.00211  |    -     | 0.00199  |0.03891  |    -     | 0.03916  |</t>
  </si>
  <si>
    <t>| 749  | 0.00211  |    -     | 0.00192  |0.03919  |    -     | 0.03657  |</t>
  </si>
  <si>
    <t>| 750  | 0.00215  |    -     | 0.00186  |0.03934  |    -     | 0.03895  |</t>
  </si>
  <si>
    <t>| 751  | 0.00217  |    -     | 0.00195  |0.03593  |    -     | 0.03920  |</t>
  </si>
  <si>
    <t>| 752  | 0.00223  |    -     | 0.00205  |0.03957  |    -     | 0.03950  |</t>
  </si>
  <si>
    <t>| 753  | 0.00215  |    -     | 0.00189  |0.03888  |    -     | 0.03793  |</t>
  </si>
  <si>
    <t>| 754  | 0.00207  |    -     | 0.00186  |0.03999  |    -     | 0.03749  |</t>
  </si>
  <si>
    <t>| 755  | 0.00207  |    -     | 0.00191  |0.04005  |    -     | 0.04372  |</t>
  </si>
  <si>
    <t>| 756  | 0.00312  |    -     | 0.00269  |0.04079  |    -     | 0.03990  |</t>
  </si>
  <si>
    <t>| 757  | 0.00206  |    -     | 0.00189  |0.03996  |    -     | 0.03978  |</t>
  </si>
  <si>
    <t>| 758  | 0.00206  |    -     | 0.00190  |0.03934  |    -     | 0.03975  |</t>
  </si>
  <si>
    <t>| 759  | 0.00208  |    -     | 0.00191  |0.03961  |    -     | 0.03969  |</t>
  </si>
  <si>
    <t>| 760  | 0.00204  |    -     | 0.00192  |0.03915  |    -     | 0.04007  |</t>
  </si>
  <si>
    <t>| 761  | 0.00201  |    -     | 0.00189  |0.03964  |    -     | 0.04023  |</t>
  </si>
  <si>
    <t>| 762  | 0.00204  |    -     | 0.00189  |0.03965  |    -     | 0.03887  |</t>
  </si>
  <si>
    <t>| 763  | 0.00249  |    -     | 0.00220  |0.04019  |    -     | 0.03581  |</t>
  </si>
  <si>
    <t>| 764  | 0.00215  |    -     | 0.00214  |0.03913  |    -     | 0.04054  |</t>
  </si>
  <si>
    <t>| 765  | 0.00224  |    -     | 0.00217  |0.03965  |    -     | 0.04024  |</t>
  </si>
  <si>
    <t>| 766  | 0.00230  |    -     | 0.00206  |0.04006  |    -     | 0.03991  |</t>
  </si>
  <si>
    <t>| 767  | 0.00216  |    -     | 0.00193  |0.03944  |    -     | 0.04048  |</t>
  </si>
  <si>
    <t>| 768  | 0.00227  |    -     | 0.00194  |0.03900  |    -     | 0.03992  |</t>
  </si>
  <si>
    <t>| 769  | 0.00213  |    -     | 0.00187  |0.03959  |    -     | 0.03963  |</t>
  </si>
  <si>
    <t>| 770  | 0.00217  |    -     | 0.00192  |0.03996  |    -     | 0.03629  |</t>
  </si>
  <si>
    <t>| 771  | 0.00210  |    -     | 0.00189  |0.04007  |    -     | 0.04026  |</t>
  </si>
  <si>
    <t>| 772  | 0.00205  |    -     | 0.00212  |0.04004  |    -     | 0.03994  |</t>
  </si>
  <si>
    <t>| 773  | 0.00213  |    -     | 0.00285  |0.03977  |    -     | 0.04042  |</t>
  </si>
  <si>
    <t>| 774  | 0.00230  |    -     | 0.00198  |0.07464  |    -     | 0.04044  |</t>
  </si>
  <si>
    <t>| 775  | 0.00212  |    -     | 0.00193  |0.03983  |    -     | 0.03985  |</t>
  </si>
  <si>
    <t>| 776  | 0.00219  |    -     | 0.00211  |0.03981  |    -     | 0.04036  |</t>
  </si>
  <si>
    <t>| 777  | 0.00211  |    -     | 0.00194  |0.03999  |    -     | 0.03842  |</t>
  </si>
  <si>
    <t>| 778  | 0.00212  |    -     | 0.00190  |0.03696  |    -     | 0.03760  |</t>
  </si>
  <si>
    <t>| 779  | 0.00206  |    -     | 0.00192  |0.03942  |    -     | 0.04018  |</t>
  </si>
  <si>
    <t>| 780  | 0.00205  |    -     | 0.00193  |0.04002  |    -     | 0.03998  |</t>
  </si>
  <si>
    <t>| 781  | 0.00226  |    -     | 0.00194  |0.04018  |    -     | 0.03974  |</t>
  </si>
  <si>
    <t>| 782  | 0.00215  |    -     | 0.00192  |0.03664  |    -     | 0.03931  |</t>
  </si>
  <si>
    <t>| 783  | 0.00229  |    -     | 0.00192  |0.03549  |    -     | 0.03990  |</t>
  </si>
  <si>
    <t>| 784  | 0.00213  |    -     | 0.00192  |0.03961  |    -     | 0.04011  |</t>
  </si>
  <si>
    <t>| 785  | 0.00201  |    -     | 0.00189  |0.03960  |    -     | 0.04020  |</t>
  </si>
  <si>
    <t>| 786  | 0.00209  |    -     | 0.00195  |0.03954  |    -     | 0.03924  |</t>
  </si>
  <si>
    <t>| 787  | 0.00211  |    -     | 0.00187  |0.04018  |    -     | 0.04001  |</t>
  </si>
  <si>
    <t>| 788  | 0.00209  |    -     | 0.00188  |0.03978  |    -     | 0.03700  |</t>
  </si>
  <si>
    <t>| 789  | 0.00224  |    -     | 0.00199  |0.03822  |    -     | 0.04022  |</t>
  </si>
  <si>
    <t>| 790  | 0.00207  |    -     | 0.00189  |0.03688  |    -     | 0.03780  |</t>
  </si>
  <si>
    <t>| 791  | 0.00225  |    -     | 0.00232  |0.04097  |    -     | 0.03823  |</t>
  </si>
  <si>
    <t>| 792  | 0.00222  |    -     | 0.00215  |0.04050  |    -     | 0.03947  |</t>
  </si>
  <si>
    <t>| 793  | 0.00212  |    -     | 0.00200  |0.03739  |    -     | 0.03999  |</t>
  </si>
  <si>
    <t>| 794  | 0.00224  |    -     | 0.00174  |0.04065  |    -     | 0.03876  |</t>
  </si>
  <si>
    <t>| 795  | 0.00237  |    -     | 0.00216  |0.03744  |    -     | 0.04037  |</t>
  </si>
  <si>
    <t>| 796  | 0.00212  |    -     | 0.00187  |0.03810  |    -     | 0.03695  |</t>
  </si>
  <si>
    <t>| 797  | 0.00216  |    -     | 0.00190  |0.03997  |    -     | 0.04004  |</t>
  </si>
  <si>
    <t>| 798  | 0.00206  |    -     | 0.00189  |0.03988  |    -     | 0.03980  |</t>
  </si>
  <si>
    <t>| 799  | 0.00217  |    -     | 0.00219  |0.03991  |    -     | 0.03829  |</t>
  </si>
  <si>
    <t>| 800  | 0.00218  |    -     | 0.00196  |0.04019  |    -     | 0.03909  |</t>
  </si>
  <si>
    <t>| 801  | 0.00214  |    -     | 0.00195  |0.03917  |    -     | 0.03990  |</t>
  </si>
  <si>
    <t>| 802  | 0.00218  |    -     | 0.00192  |0.03781  |    -     | 0.03758  |</t>
  </si>
  <si>
    <t>| 803  | 0.00201  |    -     | 0.00192  |0.03926  |    -     | 0.03820  |</t>
  </si>
  <si>
    <t>| 804  | 0.00217  |    -     | 0.00194  |0.03884  |    -     | 0.04042  |</t>
  </si>
  <si>
    <t>| 805  | 0.00209  |    -     | 0.00208  |0.04001  |    -     | 0.04004  |</t>
  </si>
  <si>
    <t>| 806  | 0.00213  |    -     | 0.00208  |0.04012  |    -     | 0.04008  |</t>
  </si>
  <si>
    <t>| 807  | 0.00223  |    -     | 0.00218  |0.03984  |    -     | 0.03745  |</t>
  </si>
  <si>
    <t>| 808  | 0.00241  |    -     | 0.00211  |0.03725  |    -     | 0.04029  |</t>
  </si>
  <si>
    <t>| 809  | 0.00232  |    -     | 0.00320  |0.04807  |    -     | 0.04107  |</t>
  </si>
  <si>
    <t>| 810  | 0.00224  |    -     | 0.00199  |0.03668  |    -     | 0.03776  |</t>
  </si>
  <si>
    <t>| 811  | 0.00215  |    -     | 0.00208  |0.03956  |    -     | 0.04001  |</t>
  </si>
  <si>
    <t>| 812  | 0.00220  |    -     | 0.00208  |0.03809  |    -     | 0.04012  |</t>
  </si>
  <si>
    <t>| 813  | 0.00219  |    -     | 0.00218  |0.03532  |    -     | 0.03985  |</t>
  </si>
  <si>
    <t>| 814  | 0.00208  |    -     | 0.00187  |0.03784  |    -     | 0.04478  |</t>
  </si>
  <si>
    <t>| 815  | 0.00261  |    -     | 0.00209  |0.03955  |    -     | 0.03817  |</t>
  </si>
  <si>
    <t>| 816  | 0.00215  |    -     | 0.00190  |0.04009  |    -     | 0.03828  |</t>
  </si>
  <si>
    <t>| 817  | 0.00228  |    -     | 0.00194  |0.04015  |    -     | 0.03860  |</t>
  </si>
  <si>
    <t>| 818  | 0.00213  |    -     | 0.00226  |0.04305  |    -     | 0.03939  |</t>
  </si>
  <si>
    <t>| 819  | 0.00223  |    -     | 0.00201  |0.03902  |    -     | 0.03993  |</t>
  </si>
  <si>
    <t>| 820  | 0.00206  |    -     | 0.00207  |0.03904  |    -     | 0.03999  |</t>
  </si>
  <si>
    <t>| 821  | 0.00241  |    -     | 0.00218  |0.03987  |    -     | 0.03992  |</t>
  </si>
  <si>
    <t>| 822  | 0.00213  |    -     | 0.00190  |0.03996  |    -     | 0.03927  |</t>
  </si>
  <si>
    <t>| 823  | 0.00204  |    -     | 0.00202  |0.03959  |    -     | 0.04024  |</t>
  </si>
  <si>
    <t>| 824  | 0.00209  |    -     | 0.00194  |0.03977  |    -     | 0.03688  |</t>
  </si>
  <si>
    <t>| 825  | 0.00241  |    -     | 0.00211  |0.03835  |    -     | 0.03892  |</t>
  </si>
  <si>
    <t>| 826  | 0.00217  |    -     | 0.00220  |0.03878  |    -     | 0.04024  |</t>
  </si>
  <si>
    <t>| 827  | 0.00226  |    -     | 0.00198  |0.03983  |    -     | 0.04044  |</t>
  </si>
  <si>
    <t>| 828  | 0.00233  |    -     | 0.00206  |0.04005  |    -     | 0.04010  |</t>
  </si>
  <si>
    <t>| 829  | 0.00214  |    -     | 0.00210  |0.03853  |    -     | 0.03634  |</t>
  </si>
  <si>
    <t>| 830  | 0.00224  |    -     | 0.00199  |0.03740  |    -     | 0.03748  |</t>
  </si>
  <si>
    <t>| 831  | 0.00218  |    -     | 0.00238  |0.03750  |    -     | 0.03932  |</t>
  </si>
  <si>
    <t>| 832  | 0.00221  |    -     | 0.00207  |0.03832  |    -     | 0.03823  |</t>
  </si>
  <si>
    <t>| 833  | 0.00203  |    -     | 0.00193  |0.03767  |    -     | 0.03791  |</t>
  </si>
  <si>
    <t>| 834  | 0.00213  |    -     | 0.00191  |0.03763  |    -     | 0.04030  |</t>
  </si>
  <si>
    <t>| 835  | 0.00212  |    -     | 0.00199  |0.03910  |    -     | 0.04014  |</t>
  </si>
  <si>
    <t>| 836  | 0.00210  |    -     | 0.00186  |0.03951  |    -     | 0.03997  |</t>
  </si>
  <si>
    <t>| 837  | 0.00215  |    -     | 0.00195  |0.03918  |    -     | 0.04001  |</t>
  </si>
  <si>
    <t>| 838  | 0.00216  |    -     | 0.00193  |0.03668  |    -     | 0.03977  |</t>
  </si>
  <si>
    <t>| 839  | 0.00206  |    -     | 0.00189  |0.03958  |    -     | 0.03859  |</t>
  </si>
  <si>
    <t>| 840  | 0.00204  |    -     | 0.00191  |0.04001  |    -     | 0.03768  |</t>
  </si>
  <si>
    <t>| 841  | 0.00205  |    -     | 0.00188  |0.03962  |    -     | 0.03983  |</t>
  </si>
  <si>
    <t>| 842  | 0.00206  |    -     | 0.00215  |0.03907  |    -     | 0.03988  |</t>
  </si>
  <si>
    <t>| 843  | 0.00214  |    -     | 0.00215  |0.04339  |    -     | 0.04168  |</t>
  </si>
  <si>
    <t>| 844  | 0.00228  |    -     | 0.00199  |0.03931  |    -     | 0.04040  |</t>
  </si>
  <si>
    <t>| 845  | 0.00738  |    -     | 0.00318  |0.04041  |    -     | 0.04027  |</t>
  </si>
  <si>
    <t>| 846  | 0.00206  |    -     | 0.00191  |0.03830  |    -     | 0.03988  |</t>
  </si>
  <si>
    <t>| 847  | 0.00204  |    -     | 0.00207  |0.03986  |    -     | 0.03625  |</t>
  </si>
  <si>
    <t>| 848  | 0.00208  |    -     | 0.00189  |0.03982  |    -     | 0.07539  |</t>
  </si>
  <si>
    <t>| 849  | 0.00224  |    -     | 0.00206  |0.03917  |    -     | 0.04006  |</t>
  </si>
  <si>
    <t>| 850  | 0.00212  |    -     | 0.00183  |0.03965  |    -     | 0.04048  |</t>
  </si>
  <si>
    <t>| 851  | 0.00249  |    -     | 0.00200  |0.03679  |    -     | 0.04023  |</t>
  </si>
  <si>
    <t>| 852  | 0.00186  |    -     | 0.00225  |0.03916  |    -     | 0.04027  |</t>
  </si>
  <si>
    <t>| 853  | 0.00226  |    -     | 0.00195  |0.03877  |    -     | 0.04027  |</t>
  </si>
  <si>
    <t>| 854  | 0.00225  |    -     | 0.00228  |0.03966  |    -     | 0.03963  |</t>
  </si>
  <si>
    <t>| 855  | 0.00223  |    -     | 0.00212  |0.03979  |    -     | 0.04019  |</t>
  </si>
  <si>
    <t>| 856  | 0.00210  |    -     | 0.00185  |0.04006  |    -     | 0.03891  |</t>
  </si>
  <si>
    <t>| 857  | 0.00234  |    -     | 0.00241  |0.03980  |    -     | 0.03978  |</t>
  </si>
  <si>
    <t>| 858  | 0.00204  |    -     | 0.00190  |0.03996  |    -     | 0.03923  |</t>
  </si>
  <si>
    <t>| 859  | 0.00203  |    -     | 0.00185  |0.03726  |    -     | 0.03853  |</t>
  </si>
  <si>
    <t>| 860  | 0.00203  |    -     | 0.00189  |0.04001  |    -     | 0.04006  |</t>
  </si>
  <si>
    <t>| 861  | 0.00205  |    -     | 0.00188  |0.03599  |    -     | 0.04006  |</t>
  </si>
  <si>
    <t>| 862  | 0.00204  |    -     | 0.00187  |0.04002  |    -     | 0.04010  |</t>
  </si>
  <si>
    <t>| 863  | 0.00203  |    -     | 0.00191  |0.03959  |    -     | 0.04015  |</t>
  </si>
  <si>
    <t>| 864  | 0.00204  |    -     | 0.00188  |0.04092  |    -     | 0.03770  |</t>
  </si>
  <si>
    <t>| 865  | 0.00204  |    -     | 0.00190  |0.03956  |    -     | 0.03968  |</t>
  </si>
  <si>
    <t>| 866  | 0.00204  |    -     | 0.00188  |0.03962  |    -     | 0.04012  |</t>
  </si>
  <si>
    <t>| 867  | 0.00206  |    -     | 0.00189  |0.03905  |    -     | 0.03975  |</t>
  </si>
  <si>
    <t>| 868  | 0.00200  |    -     | 0.00188  |0.03934  |    -     | 0.04019  |</t>
  </si>
  <si>
    <t>| 869  | 0.00235  |    -     | 0.00210  |0.03975  |    -     | 0.04019  |</t>
  </si>
  <si>
    <t>| 870  | 0.00221  |    -     | 0.00189  |0.04064  |    -     | 0.04081  |</t>
  </si>
  <si>
    <t>| 871  | 0.00207  |    -     | 0.00191  |0.03993  |    -     | 0.04036  |</t>
  </si>
  <si>
    <t>| 872  | 0.00204  |    -     | 0.00191  |0.04056  |    -     | 0.03977  |</t>
  </si>
  <si>
    <t>| 873  | 0.00202  |    -     | 0.00188  |0.03976  |    -     | 0.04025  |</t>
  </si>
  <si>
    <t>| 874  | 0.00208  |    -     | 0.00190  |0.03996  |    -     | 0.03971  |</t>
  </si>
  <si>
    <t>| 875  | 0.00205  |    -     | 0.00190  |0.03960  |    -     | 0.04015  |</t>
  </si>
  <si>
    <t>| 876  | 0.00206  |    -     | 0.00188  |0.03958  |    -     | 0.04011  |</t>
  </si>
  <si>
    <t>| 877  | 0.00201  |    -     | 0.00188  |0.03951  |    -     | 0.03830  |</t>
  </si>
  <si>
    <t>| 878  | 0.00202  |    -     | 0.00192  |0.03972  |    -     | 0.04023  |</t>
  </si>
  <si>
    <t>| 879  | 0.00215  |    -     | 0.00190  |0.03958  |    -     | 0.03900  |</t>
  </si>
  <si>
    <t>| 880  | 0.00211  |    -     | 0.00191  |0.03959  |    -     | 0.04006  |</t>
  </si>
  <si>
    <t>| 881  | 0.00213  |    -     | 0.00197  |0.03999  |    -     | 0.03972  |</t>
  </si>
  <si>
    <t>| 882  | 0.00202  |    -     | 0.00197  |0.03979  |    -     | 0.03973  |</t>
  </si>
  <si>
    <t>| 883  | 0.00199  |    -     | 0.00187  |0.04067  |    -     | 0.04025  |</t>
  </si>
  <si>
    <t>| 884  | 0.00204  |    -     | 0.00192  |0.03982  |    -     | 0.04015  |</t>
  </si>
  <si>
    <t>| 885  | 0.00199  |    -     | 0.00186  |0.03920  |    -     | 0.03972  |</t>
  </si>
  <si>
    <t>| 886  | 0.00201  |    -     | 0.00189  |0.03999  |    -     | 0.03970  |</t>
  </si>
  <si>
    <t>| 887  | 0.00202  |    -     | 0.00192  |0.03959  |    -     | 0.04008  |</t>
  </si>
  <si>
    <t>| 888  | 0.00203  |    -     | 0.00187  |0.03955  |    -     | 0.04013  |</t>
  </si>
  <si>
    <t>| 889  | 0.00204  |    -     | 0.00188  |0.03701  |    -     | 0.03984  |</t>
  </si>
  <si>
    <t>| 890  | 0.00211  |    -     | 0.00191  |0.03967  |    -     | 0.04016  |</t>
  </si>
  <si>
    <t>| 891  | 0.00205  |    -     | 0.00189  |0.03994  |    -     | 0.03977  |</t>
  </si>
  <si>
    <t>| 892  | 0.00210  |    -     | 0.00190  |0.03968  |    -     | 0.03972  |</t>
  </si>
  <si>
    <t>| 893  | 0.00207  |    -     | 0.00189  |0.03958  |    -     | 0.03909  |</t>
  </si>
  <si>
    <t>| 894  | 0.00206  |    -     | 0.00187  |0.04003  |    -     | 0.04024  |</t>
  </si>
  <si>
    <t>| 895  | 0.00210  |    -     | 0.00189  |0.03916  |    -     | 0.03430  |</t>
  </si>
  <si>
    <t>| 896  | 0.00208  |    -     | 0.00209  |0.03968  |    -     | 0.03795  |</t>
  </si>
  <si>
    <t>| 897  | 0.00202  |    -     | 0.00189  |0.03951  |    -     | 0.04004  |</t>
  </si>
  <si>
    <t>| 898  | 0.00199  |    -     | 0.00189  |0.04002  |    -     | 0.04012  |</t>
  </si>
  <si>
    <t>| 899  | 0.00211  |    -     | 0.00192  |0.03995  |    -     | 0.04017  |</t>
  </si>
  <si>
    <t>| 900  | 0.00203  |    -     | 0.00188  |0.04002  |    -     | 0.03980  |</t>
  </si>
  <si>
    <t>| 1    | 0.00263  | 0.00201  | 0.00195  |0.03796  | 0.03915  | 0.03996  |</t>
  </si>
  <si>
    <t>| 2    | 0.00217  | 0.00206  | 0.00211  |0.03930  | 0.03994  | 0.03989  |</t>
  </si>
  <si>
    <t>| 3    | 0.00201  | 0.00199  | 0.00197  |0.03839  | 0.03990  | 0.03819  |</t>
  </si>
  <si>
    <t>| 4    | 0.00204  | 0.00195  | 0.00199  |0.03968  | 0.03973  | 0.03967  |</t>
  </si>
  <si>
    <t>| 5    | 0.00202  | 0.00230  | 0.00189  |0.04009  | 0.03981  | 0.03981  |</t>
  </si>
  <si>
    <t>| 6    | 0.00207  | 0.00206  | 0.00187  |0.03965  | 0.03985  | 0.03987  |</t>
  </si>
  <si>
    <t>| 7    | 0.00206  | 0.00186  | 0.00183  |0.03959  | 0.03963  | 0.03972  |</t>
  </si>
  <si>
    <t>| 8    | 0.00265  | 0.00210  | 0.00196  |0.03646  | 0.03965  | 0.04013  |</t>
  </si>
  <si>
    <t>| 9    | 0.00209  | 0.00206  | 0.00204  |0.03969  | 0.03993  | 0.03970  |</t>
  </si>
  <si>
    <t>| 10   | 0.00205  | 0.00190  | 0.00197  |0.03960  | 0.03546  | 0.03751  |</t>
  </si>
  <si>
    <t>| 11   | 0.00234  | 0.00198  | 0.00193  |0.03526  | 0.03750  | 0.03749  |</t>
  </si>
  <si>
    <t>| 12   | 0.00212  | 0.00187  | 0.00185  |0.03574  | 0.03746  | 0.03986  |</t>
  </si>
  <si>
    <t>| 13   | 0.00214  | 0.00186  | 0.00189  |0.04005  | 0.03618  | 0.04040  |</t>
  </si>
  <si>
    <t>| 14   | 0.00213  | 0.00198  | 0.00192  |0.03964  | 0.03974  | 0.03614  |</t>
  </si>
  <si>
    <t>| 15   | 0.00212  | 0.00197  | 0.00194  |0.03974  | 0.03986  | 0.03976  |</t>
  </si>
  <si>
    <t>| 16   | 0.00209  | 0.00200  | 0.00200  |0.03925  | 0.03981  | 0.03979  |</t>
  </si>
  <si>
    <t>| 17   | 0.00210  | 0.00196  | 0.00196  |0.03975  | 0.07900  | 0.04002  |</t>
  </si>
  <si>
    <t>| 18   | 0.00235  | 0.00190  | 0.00192  |0.03831  | 0.03994  | 0.03998  |</t>
  </si>
  <si>
    <t>| 19   | 0.00217  | 0.00193  | 0.00188  |0.03974  | 0.03634  | 0.04057  |</t>
  </si>
  <si>
    <t>| 20   | 0.00222  | 0.00201  | 0.00189  |0.03822  | 0.03990  | 0.03734  |</t>
  </si>
  <si>
    <t>| 21   | 0.00217  | 0.00241  | 0.00200  |0.03723  | 0.04006  | 0.03826  |</t>
  </si>
  <si>
    <t>| 22   | 0.00214  | 0.00200  | 0.00197  |0.04001  | 0.03846  | 0.04026  |</t>
  </si>
  <si>
    <t>| 23   | 0.00223  | 0.00198  | 0.00211  |0.03992  | 0.07706  | 0.04040  |</t>
  </si>
  <si>
    <t>| 24   | 0.00210  | 0.00203  | 0.00193  |0.04010  | 0.07500  | 0.03999  |</t>
  </si>
  <si>
    <t>| 25   | 0.00206  | 0.00190  | 0.00186  |0.03967  | 0.07680  | 0.03896  |</t>
  </si>
  <si>
    <t>| 26   | 0.00212  | 0.00447  | 0.00194  |0.03969  | 0.07701  | 0.03959  |</t>
  </si>
  <si>
    <t>| 27   | 0.00212  | 0.00446  | 0.00189  |0.03967  | 0.13188  | 0.04009  |</t>
  </si>
  <si>
    <t>| 28   | 0.00207  | 0.00436  | 0.00196  |0.04003  | 0.13192  | 0.04058  |</t>
  </si>
  <si>
    <t>| 29   | 0.00249  | 0.00965  | 0.00225  |0.03970  | 0.18693  | 0.03835  |</t>
  </si>
  <si>
    <t>| 30   | 0.00233  | 0.00983  | 0.00268  |0.03841  | 0.28962  | 0.03960  |</t>
  </si>
  <si>
    <t>| 31   | 0.00234  | 0.01980  | 0.00216  |0.03724  | 0.45670  | 0.03731  |</t>
  </si>
  <si>
    <t>| 32   | 0.00216  | 0.03818  | 0.00227  |0.03982  | 0.73031  | 0.04006  |</t>
  </si>
  <si>
    <t>| 33   | 0.00211  | 0.03947  | 0.00230  |0.03985  | 1.15588  | 0.03726  |</t>
  </si>
  <si>
    <t>| 34   | 0.00221  | 0.07548  | 0.00194  |0.03984  | 1.76549  | 0.03985  |</t>
  </si>
  <si>
    <t>| 35   | 0.00279  | 0.13169  | 0.00236  |0.03984  | 2.89567  | 0.04025  |</t>
  </si>
  <si>
    <t>| 36   | 0.00216  | 0.18132  | 0.00278  |0.04012  | 4.57847  | 0.04017  |</t>
  </si>
  <si>
    <t>| 37   | 0.00222  | 0.23536  | 0.00293  |0.04003  | 7.45008  | 0.04060  |</t>
  </si>
  <si>
    <t>| 38   | 0.00232  | 0.34604  | 0.00235  |0.03968  | 12.05533 | 0.04008  |</t>
  </si>
  <si>
    <t>| 39   | 0.00217  | 0.56660  | 0.00271  |0.03994  | 19.32580 | 0.04014  |</t>
  </si>
  <si>
    <t>| 40   | 0.00207  | 0.89191  | 0.00310  |0.04027  | 31.22657 | 0.04017  |</t>
  </si>
  <si>
    <t>| 41   | 0.00196  | 1.49249  | 0.00234  |0.03965  | 50.59375 | 0.04002  |</t>
  </si>
  <si>
    <t>| 42   | 0.00220  | 2.37670  | 0.00316  |0.04023  |    -     | 0.07822  |</t>
  </si>
  <si>
    <t>| 43   | 0.00277  | 3.85114  | 0.00229  |0.03973  |    -     | 0.04026  |</t>
  </si>
  <si>
    <t>| 44   | 0.00223  | 6.21001  | 0.00219  |0.04009  |    -     | 0.04028  |</t>
  </si>
  <si>
    <t>| 45   | 0.00213  | 10.01968 | 0.00231  |0.04011  |    -     | 0.03832  |</t>
  </si>
  <si>
    <t>| 46   | 0.00217  | 16.22310 | 0.00230  |0.03602  |    -     | 0.04008  |</t>
  </si>
  <si>
    <t>| 47   | 0.00218  | 26.20632 | 0.00233  |0.07678  |    -     | 0.04019  |</t>
  </si>
  <si>
    <t>| 48   | 0.00231  | 42.35375 | 0.00244  |0.07693  |    -     | 0.03712  |</t>
  </si>
  <si>
    <t>| 49   | 0.00233  |    -     | 0.00334  |0.07762  |    -     | 0.04012  |</t>
  </si>
  <si>
    <t>| 50   | 0.00242  |    -     | 0.00199  |0.07311  |    -     | 0.03902  |</t>
  </si>
  <si>
    <t>| 51   | 0.00222  |    -     | 0.00324  |0.03767  |    -     | 0.03999  |</t>
  </si>
  <si>
    <t>| 52   | 0.00235  |    -     | 0.00219  |0.03958  |    -     | 0.03993  |</t>
  </si>
  <si>
    <t>| 53   | 0.00307  |    -     | 0.00227  |0.03953  |    -     | 0.03995  |</t>
  </si>
  <si>
    <t>| 54   | 0.00537  |    -     | 0.00209  |0.07512  |    -     | 0.03951  |</t>
  </si>
  <si>
    <t>| 55   | 0.00357  |    -     | 0.00219  |0.08361  |    -     | 0.07765  |</t>
  </si>
  <si>
    <t>| 56   | 0.00252  |    -     | 0.00264  |0.03760  |    -     | 0.07573  |</t>
  </si>
  <si>
    <t>| 57   | 0.00229  |    -     | 0.00204  |0.03738  |    -     | 0.03997  |</t>
  </si>
  <si>
    <t>| 58   | 0.00235  |    -     | 0.00207  |0.03727  |    -     | 0.04124  |</t>
  </si>
  <si>
    <t>| 59   | 0.00233  |    -     | 0.00242  |0.03850  |    -     | 0.04015  |</t>
  </si>
  <si>
    <t>| 60   | 0.00226  |    -     | 0.00197  |0.03947  |    -     | 0.03992  |</t>
  </si>
  <si>
    <t>| 61   | 0.00227  |    -     | 0.00204  |0.04009  |    -     | 0.04011  |</t>
  </si>
  <si>
    <t>| 62   | 0.00251  |    -     | 0.00217  |0.03701  |    -     | 0.03866  |</t>
  </si>
  <si>
    <t>| 63   | 0.00223  |    -     | 0.00192  |0.04007  |    -     | 0.03621  |</t>
  </si>
  <si>
    <t>| 64   | 0.00229  |    -     | 0.00212  |0.04003  |    -     | 0.03952  |</t>
  </si>
  <si>
    <t>| 65   | 0.00216  |    -     | 0.00215  |0.03931  |    -     | 0.03504  |</t>
  </si>
  <si>
    <t>| 66   | 0.00215  |    -     | 0.00219  |0.03811  |    -     | 0.03997  |</t>
  </si>
  <si>
    <t>| 67   | 0.00229  |    -     | 0.00200  |0.03760  |    -     | 0.03809  |</t>
  </si>
  <si>
    <t>| 68   | 0.00230  |    -     | 0.00193  |0.03366  |    -     | 0.03950  |</t>
  </si>
  <si>
    <t>| 69   | 0.00223  |    -     | 0.00203  |0.03959  |    -     | 0.04041  |</t>
  </si>
  <si>
    <t>| 70   | 0.00230  |    -     | 0.00213  |0.03848  |    -     | 0.04014  |</t>
  </si>
  <si>
    <t>| 71   | 0.00328  |    -     | 0.00197  |0.03971  |    -     | 0.04003  |</t>
  </si>
  <si>
    <t>| 72   | 0.00219  |    -     | 0.00214  |0.03703  |    -     | 0.04003  |</t>
  </si>
  <si>
    <t>| 73   | 0.00228  |    -     | 0.00194  |0.03851  |    -     | 0.03980  |</t>
  </si>
  <si>
    <t>| 74   | 0.00217  |    -     | 0.00204  |0.03879  |    -     | 0.04073  |</t>
  </si>
  <si>
    <t>| 75   | 0.00232  |    -     | 0.00209  |0.03900  |    -     | 0.04058  |</t>
  </si>
  <si>
    <t>| 76   | 0.00218  |    -     | 0.00196  |0.03768  |    -     | 0.04011  |</t>
  </si>
  <si>
    <t>| 77   | 0.00233  |    -     | 0.00201  |0.04023  |    -     | 0.04016  |</t>
  </si>
  <si>
    <t>| 78   | 0.00230  |    -     | 0.00206  |0.03743  |    -     | 0.04014  |</t>
  </si>
  <si>
    <t>| 79   | 0.00321  |    -     | 0.00220  |0.03744  |    -     | 0.04009  |</t>
  </si>
  <si>
    <t>| 80   | 0.00225  |    -     | 0.00225  |0.03857  |    -     | 0.04007  |</t>
  </si>
  <si>
    <t>| 81   | 0.00250  |    -     | 0.00211  |0.03900  |    -     | 0.03853  |</t>
  </si>
  <si>
    <t>| 82   | 0.00213  |    -     | 0.00205  |0.04029  |    -     | 0.03853  |</t>
  </si>
  <si>
    <t>| 83   | 0.00227  |    -     | 0.00196  |0.03968  |    -     | 0.03796  |</t>
  </si>
  <si>
    <t>| 84   | 0.00213  |    -     | 0.00225  |0.04001  |    -     | 0.04025  |</t>
  </si>
  <si>
    <t>| 85   | 0.00216  |    -     | 0.00201  |0.03702  |    -     | 0.03669  |</t>
  </si>
  <si>
    <t>| 86   | 0.00217  |    -     | 0.00203  |0.03721  |    -     | 0.03853  |</t>
  </si>
  <si>
    <t>| 87   | 0.00234  |    -     | 0.00220  |0.03997  |    -     | 0.04009  |</t>
  </si>
  <si>
    <t>| 88   | 0.00223  |    -     | 0.00199  |0.03950  |    -     | 0.04023  |</t>
  </si>
  <si>
    <t>| 89   | 0.00248  |    -     | 0.00220  |0.03797  |    -     | 0.04010  |</t>
  </si>
  <si>
    <t>| 90   | 0.00230  |    -     | 0.00232  |0.07489  |    -     | 0.03816  |</t>
  </si>
  <si>
    <t>| 91   | 0.00228  |    -     | 0.00194  |0.03741  |    -     | 0.03971  |</t>
  </si>
  <si>
    <t>| 92   | 0.00225  |    -     | 0.00208  |0.03976  |    -     | 0.04039  |</t>
  </si>
  <si>
    <t>| 93   | 0.00219  |    -     | 0.00201  |0.03977  |    -     | 0.04001  |</t>
  </si>
  <si>
    <t>| 94   | 0.00248  |    -     | 0.00285  |0.03608  |    -     | 0.03843  |</t>
  </si>
  <si>
    <t>| 95   | 0.00248  |    -     | 0.00214  |0.03993  |    -     | 0.03918  |</t>
  </si>
  <si>
    <t>| 96   | 0.00245  |    -     | 0.00217  |0.03907  |    -     | 0.04047  |</t>
  </si>
  <si>
    <t>| 97   | 0.00228  |    -     | 0.00219  |0.04059  |    -     | 0.04000  |</t>
  </si>
  <si>
    <t>| 98   | 0.00231  |    -     | 0.00226  |0.03600  |    -     | 0.03941  |</t>
  </si>
  <si>
    <t>| 99   | 0.00217  |    -     | 0.00188  |0.03764  |    -     | 0.03591  |</t>
  </si>
  <si>
    <t>| 100  | 0.00226  |    -     | 0.00227  |0.03735  |    -     | 0.03664  |</t>
  </si>
  <si>
    <t>| 101  | 0.00232  |    -     | 0.00172  |0.03983  |    -     | 0.04898  |</t>
  </si>
  <si>
    <t>| 102  | 0.00232  |    -     | 0.00211  |0.04010  |    -     | 0.03992  |</t>
  </si>
  <si>
    <t>| 103  | 0.00236  |    -     | 0.00204  |0.04040  |    -     | 0.04026  |</t>
  </si>
  <si>
    <t>| 104  | 0.00216  |    -     | 0.00249  |0.04004  |    -     | 0.03883  |</t>
  </si>
  <si>
    <t>| 105  | 0.00222  |    -     | 0.00230  |0.03705  |    -     | 0.04035  |</t>
  </si>
  <si>
    <t>| 106  | 0.00220  |    -     | 0.00206  |0.03985  |    -     | 0.04016  |</t>
  </si>
  <si>
    <t>| 107  | 0.00216  |    -     | 0.00220  |0.03847  |    -     | 0.04029  |</t>
  </si>
  <si>
    <t>| 108  | 0.00223  |    -     | 0.00320  |0.03580  |    -     | 0.04091  |</t>
  </si>
  <si>
    <t>| 109  | 0.00225  |    -     | 0.00197  |0.03847  |    -     | 0.04024  |</t>
  </si>
  <si>
    <t>| 110  | 0.00225  |    -     | 0.00197  |0.03953  |    -     | 0.03979  |</t>
  </si>
  <si>
    <t>| 111  | 0.00238  |    -     | 0.00205  |0.03838  |    -     | 0.04005  |</t>
  </si>
  <si>
    <t>| 112  | 0.00217  |    -     | 0.00204  |0.03873  |    -     | 0.04038  |</t>
  </si>
  <si>
    <t>| 113  | 0.00211  |    -     | 0.00202  |0.03927  |    -     | 0.03946  |</t>
  </si>
  <si>
    <t>| 114  | 0.00224  |    -     | 0.00213  |0.03586  |    -     | 0.03987  |</t>
  </si>
  <si>
    <t>| 115  | 0.00227  |    -     | 0.00194  |0.03987  |    -     | 0.03559  |</t>
  </si>
  <si>
    <t>| 116  | 0.00223  |    -     | 0.00198  |0.03964  |    -     | 0.03997  |</t>
  </si>
  <si>
    <t>| 117  | 0.00234  |    -     | 0.00199  |0.04027  |    -     | 0.04032  |</t>
  </si>
  <si>
    <t>| 118  | 0.00223  |    -     | 0.00193  |0.03893  |    -     | 0.03856  |</t>
  </si>
  <si>
    <t>| 119  | 0.00232  |    -     | 0.00197  |0.03752  |    -     | 0.04021  |</t>
  </si>
  <si>
    <t>| 120  | 0.00215  |    -     | 0.00197  |0.03829  |    -     | 0.04011  |</t>
  </si>
  <si>
    <t>| 121  | 0.00218  |    -     | 0.00217  |0.03928  |    -     | 0.04032  |</t>
  </si>
  <si>
    <t>| 122  | 0.00219  |    -     | 0.00216  |0.03781  |    -     | 0.04003  |</t>
  </si>
  <si>
    <t>| 123  | 0.00211  |    -     | 0.00216  |0.03935  |    -     | 0.03953  |</t>
  </si>
  <si>
    <t>| 124  | 0.00229  |    -     | 0.00244  |0.03792  |    -     | 0.04021  |</t>
  </si>
  <si>
    <t>| 125  | 0.00227  |    -     | 0.00244  |0.04003  |    -     | 0.04008  |</t>
  </si>
  <si>
    <t>| 126  | 0.00213  |    -     | 0.00223  |0.07495  |    -     | 0.04012  |</t>
  </si>
  <si>
    <t>| 127  | 0.00235  |    -     | 0.00193  |0.03479  |    -     | 0.04001  |</t>
  </si>
  <si>
    <t>| 128  | 0.00226  |    -     | 0.00205  |0.03979  |    -     | 0.04000  |</t>
  </si>
  <si>
    <t>| 129  | 0.00220  |    -     | 0.00197  |0.03820  |    -     | 0.04016  |</t>
  </si>
  <si>
    <t>| 130  | 0.00225  |    -     | 0.00196  |0.03921  |    -     | 0.04047  |</t>
  </si>
  <si>
    <t>| 131  | 0.00226  |    -     | 0.00194  |0.03837  |    -     | 0.04009  |</t>
  </si>
  <si>
    <t>| 132  | 0.00223  |    -     | 0.00217  |0.03866  |    -     | 0.03715  |</t>
  </si>
  <si>
    <t>| 133  | 0.00222  |    -     | 0.00188  |0.03739  |    -     | 0.03745  |</t>
  </si>
  <si>
    <t>| 134  | 0.00217  |    -     | 0.00213  |0.03988  |    -     | 0.04008  |</t>
  </si>
  <si>
    <t>| 135  | 0.00226  |    -     | 0.00196  |0.03737  |    -     | 0.03824  |</t>
  </si>
  <si>
    <t>| 136  | 0.00228  |    -     | 0.00196  |0.03953  |    -     | 0.03908  |</t>
  </si>
  <si>
    <t>| 137  | 0.00225  |    -     | 0.00194  |0.03847  |    -     | 0.03550  |</t>
  </si>
  <si>
    <t>| 138  | 0.00242  |    -     | 0.00220  |0.03763  |    -     | 0.04003  |</t>
  </si>
  <si>
    <t>| 139  | 0.00216  |    -     | 0.00199  |0.04010  |    -     | 0.04003  |</t>
  </si>
  <si>
    <t>| 140  | 0.00221  |    -     | 0.00199  |0.03873  |    -     | 0.04007  |</t>
  </si>
  <si>
    <t>| 141  | 0.00224  |    -     | 0.00196  |0.03719  |    -     | 0.04006  |</t>
  </si>
  <si>
    <t>| 142  | 0.00232  |    -     | 0.00203  |0.03796  |    -     | 0.04021  |</t>
  </si>
  <si>
    <t>| 143  | 0.00222  |    -     | 0.00213  |0.03958  |    -     | 0.03976  |</t>
  </si>
  <si>
    <t>| 144  | 0.00231  |    -     | 0.00200  |0.03883  |    -     | 0.03816  |</t>
  </si>
  <si>
    <t>| 145  | 0.00218  |    -     | 0.00194  |0.03586  |    -     | 0.03856  |</t>
  </si>
  <si>
    <t>| 146  | 0.00219  |    -     | 0.00202  |0.07102  |    -     | 0.04029  |</t>
  </si>
  <si>
    <t>| 147  | 0.00224  |    -     | 0.00202  |0.03969  |    -     | 0.03672  |</t>
  </si>
  <si>
    <t>| 148  | 0.00202  |    -     | 0.00201  |0.03977  |    -     | 0.03978  |</t>
  </si>
  <si>
    <t>| 149  | 0.00209  |    -     | 0.00196  |0.03983  |    -     | 0.03971  |</t>
  </si>
  <si>
    <t>| 150  | 0.00233  |    -     | 0.00190  |0.03959  |    -     | 0.03986  |</t>
  </si>
  <si>
    <t>| 151  | 0.00209  |    -     | 0.00185  |0.03955  |    -     | 0.04074  |</t>
  </si>
  <si>
    <t>| 152  | 0.00198  |    -     | 0.00181  |0.03965  |    -     | 0.03990  |</t>
  </si>
  <si>
    <t>| 153  | 0.00229  |    -     | 0.00217  |0.03829  |    -     | 0.04086  |</t>
  </si>
  <si>
    <t>| 154  | 0.00197  |    -     | 0.00197  |0.03962  |    -     | 0.04057  |</t>
  </si>
  <si>
    <t>| 155  | 0.00210  |    -     | 0.00180  |0.03956  |    -     | 0.03966  |</t>
  </si>
  <si>
    <t>| 156  | 0.00213  |    -     | 0.00183  |0.03781  |    -     | 0.03996  |</t>
  </si>
  <si>
    <t>| 157  | 0.00212  |    -     | 0.00197  |0.03954  |    -     | 0.03979  |</t>
  </si>
  <si>
    <t>| 158  | 0.00204  |    -     | 0.00199  |0.03977  |    -     | 0.03984  |</t>
  </si>
  <si>
    <t>| 159  | 0.00208  |    -     | 0.00198  |0.03961  |    -     | 0.03983  |</t>
  </si>
  <si>
    <t>| 160  | 0.00199  |    -     | 0.00187  |0.03971  |    -     | 0.03988  |</t>
  </si>
  <si>
    <t>| 161  | 0.00207  |    -     | 0.00201  |0.03964  |    -     | 0.03984  |</t>
  </si>
  <si>
    <t>| 162  | 0.00207  |    -     | 0.00181  |0.03835  |    -     | 0.03979  |</t>
  </si>
  <si>
    <t>| 163  | 0.00218  |    -     | 0.00185  |0.03619  |    -     | 0.03790  |</t>
  </si>
  <si>
    <t>| 164  | 0.00210  |    -     | 0.00193  |0.03965  |    -     | 0.03684  |</t>
  </si>
  <si>
    <t>| 165  | 0.00201  |    -     | 0.00187  |0.03954  |    -     | 0.03975  |</t>
  </si>
  <si>
    <t>| 166  | 0.00218  |    -     | 0.00178  |0.03983  |    -     | 0.03988  |</t>
  </si>
  <si>
    <t>| 167  | 0.00206  |    -     | 0.00192  |0.04439  |    -     | 0.04969  |</t>
  </si>
  <si>
    <t>| 168  | 0.00227  |    -     | 0.00207  |0.03988  |    -     | 0.03921  |</t>
  </si>
  <si>
    <t>| 169  | 0.00220  |    -     | 0.00193  |0.03635  |    -     | 0.04073  |</t>
  </si>
  <si>
    <t>| 170  | 0.00232  |    -     | 0.00246  |0.07374  |    -     | 0.03804  |</t>
  </si>
  <si>
    <t>| 171  | 0.00222  |    -     | 0.00201  |0.03961  |    -     | 0.03919  |</t>
  </si>
  <si>
    <t>| 172  | 0.00216  |    -     | 0.00217  |0.04012  |    -     | 0.03891  |</t>
  </si>
  <si>
    <t>| 173  | 0.00212  |    -     | 0.00213  |0.03975  |    -     | 0.03926  |</t>
  </si>
  <si>
    <t>| 174  | 0.00223  |    -     | 0.00193  |0.03936  |    -     | 0.04016  |</t>
  </si>
  <si>
    <t>| 175  | 0.00241  |    -     | 0.00222  |0.03986  |    -     | 0.04038  |</t>
  </si>
  <si>
    <t>| 176  | 0.00220  |    -     | 0.00193  |0.03935  |    -     | 0.03737  |</t>
  </si>
  <si>
    <t>| 177  | 0.00218  |    -     | 0.00207  |0.04036  |    -     | 0.03695  |</t>
  </si>
  <si>
    <t>| 178  | 0.00211  |    -     | 0.00188  |0.03972  |    -     | 0.04036  |</t>
  </si>
  <si>
    <t>| 179  | 0.00218  |    -     | 0.00194  |0.03949  |    -     | 0.03977  |</t>
  </si>
  <si>
    <t>| 180  | 0.00209  |    -     | 0.00202  |0.03700  |    -     | 0.03992  |</t>
  </si>
  <si>
    <t>| 181  | 0.00202  |    -     | 0.00191  |0.04018  |    -     | 0.03691  |</t>
  </si>
  <si>
    <t>| 182  | 0.00206  |    -     | 0.00188  |0.03966  |    -     | 0.03997  |</t>
  </si>
  <si>
    <t>| 183  | 0.00214  |    -     | 0.00185  |0.03970  |    -     | 0.03620  |</t>
  </si>
  <si>
    <t>| 184  | 0.00227  |    -     | 0.00194  |0.04005  |    -     | 0.03942  |</t>
  </si>
  <si>
    <t>| 185  | 0.00229  |    -     | 0.00207  |0.03821  |    -     | 0.03859  |</t>
  </si>
  <si>
    <t>| 186  | 0.00240  |    -     | 0.00209  |0.03740  |    -     | 0.04015  |</t>
  </si>
  <si>
    <t>| 187  | 0.00224  |    -     | 0.00201  |0.03869  |    -     | 0.04040  |</t>
  </si>
  <si>
    <t>| 188  | 0.00254  |    -     | 0.00224  |0.03753  |    -     | 0.03981  |</t>
  </si>
  <si>
    <t>| 189  | 0.00216  |    -     | 0.00193  |0.03970  |    -     | 0.04057  |</t>
  </si>
  <si>
    <t>| 190  | 0.00230  |    -     | 0.00222  |0.03808  |    -     | 0.04012  |</t>
  </si>
  <si>
    <t>| 191  | 0.00235  |    -     | 0.00217  |0.03431  |    -     | 0.04042  |</t>
  </si>
  <si>
    <t>| 192  | 0.00215  |    -     | 0.00195  |0.03787  |    -     | 0.03974  |</t>
  </si>
  <si>
    <t>| 193  | 0.00210  |    -     | 0.00198  |0.03870  |    -     | 0.04034  |</t>
  </si>
  <si>
    <t>| 194  | 0.00207  |    -     | 0.00194  |0.03967  |    -     | 0.03984  |</t>
  </si>
  <si>
    <t>| 195  | 0.00192  |    -     | 0.00187  |0.03960  |    -     | 0.04032  |</t>
  </si>
  <si>
    <t>| 196  | 0.00208  |    -     | 0.00190  |0.03971  |    -     | 0.03987  |</t>
  </si>
  <si>
    <t>| 197  | 0.00207  |    -     | 0.00194  |0.03968  |    -     | 0.04006  |</t>
  </si>
  <si>
    <t>| 198  | 0.00225  |    -     | 0.00204  |0.03570  |    -     | 0.03972  |</t>
  </si>
  <si>
    <t>| 199  | 0.00221  |    -     | 0.00187  |0.03987  |    -     | 0.03996  |</t>
  </si>
  <si>
    <t>| 200  | 0.00208  |    -     | 0.00196  |0.03927  |    -     | 0.03983  |</t>
  </si>
  <si>
    <t>| 201  | 0.00203  |    -     | 0.00198  |0.03956  |    -     | 0.03968  |</t>
  </si>
  <si>
    <t>| 202  | 0.00200  |    -     | 0.00185  |0.03986  |    -     | 0.04005  |</t>
  </si>
  <si>
    <t>| 203  | 0.00235  |    -     | 0.00200  |0.04027  |    -     | 0.03881  |</t>
  </si>
  <si>
    <t>| 204  | 0.00248  |    -     | 0.00237  |0.03990  |    -     | 0.04038  |</t>
  </si>
  <si>
    <t>| 205  | 0.00215  |    -     | 0.00191  |0.03972  |    -     | 0.04022  |</t>
  </si>
  <si>
    <t>| 206  | 0.00206  |    -     | 0.00194  |0.03960  |    -     | 0.04060  |</t>
  </si>
  <si>
    <t>| 207  | 0.00218  |    -     | 0.00203  |0.04028  |    -     | 0.03982  |</t>
  </si>
  <si>
    <t>| 208  | 0.00219  |    -     | 0.00186  |0.03959  |    -     | 0.03980  |</t>
  </si>
  <si>
    <t>| 209  | 0.00221  |    -     | 0.00198  |0.03973  |    -     | 0.03740  |</t>
  </si>
  <si>
    <t>| 210  | 0.00214  |    -     | 0.00186  |0.03995  |    -     | 0.03855  |</t>
  </si>
  <si>
    <t>| 211  | 0.00200  |    -     | 0.00201  |0.03959  |    -     | 0.03871  |</t>
  </si>
  <si>
    <t>| 212  | 0.00215  |    -     | 0.00199  |0.03780  |    -     | 0.03977  |</t>
  </si>
  <si>
    <t>| 213  | 0.00213  |    -     | 0.00201  |0.03980  |    -     | 0.03980  |</t>
  </si>
  <si>
    <t>| 214  | 0.00203  |    -     | 0.00183  |0.03968  |    -     | 0.04008  |</t>
  </si>
  <si>
    <t>| 215  | 0.00207  |    -     | 0.00195  |0.03971  |    -     | 0.03977  |</t>
  </si>
  <si>
    <t>| 216  | 0.00211  |    -     | 0.00197  |0.03507  |    -     | 0.03936  |</t>
  </si>
  <si>
    <t>| 217  | 0.00202  |    -     | 0.00189  |0.03957  |    -     | 0.03793  |</t>
  </si>
  <si>
    <t>| 218  | 0.00210  |    -     | 0.00199  |0.03962  |    -     | 0.03922  |</t>
  </si>
  <si>
    <t>| 219  | 0.00212  |    -     | 0.00198  |0.03972  |    -     | 0.03876  |</t>
  </si>
  <si>
    <t>| 220  | 0.00227  |    -     | 0.00195  |0.04021  |    -     | 0.03994  |</t>
  </si>
  <si>
    <t>| 221  | 0.00268  |    -     | 0.00228  |0.03969  |    -     | 0.04022  |</t>
  </si>
  <si>
    <t>| 222  | 0.00244  |    -     | 0.00224  |0.03513  |    -     | 0.03733  |</t>
  </si>
  <si>
    <t>| 223  | 0.00231  |    -     | 0.00225  |0.04031  |    -     | 0.04019  |</t>
  </si>
  <si>
    <t>| 224  | 0.00227  |    -     | 0.00192  |0.03858  |    -     | 0.04073  |</t>
  </si>
  <si>
    <t>| 225  | 0.00226  |    -     | 0.00188  |0.03519  |    -     | 0.03777  |</t>
  </si>
  <si>
    <t>| 226  | 0.00241  |    -     | 0.00221  |0.03688  |    -     | 0.04029  |</t>
  </si>
  <si>
    <t>| 227  | 0.00236  |    -     | 0.00192  |0.04002  |    -     | 0.03958  |</t>
  </si>
  <si>
    <t>| 228  | 0.00274  |    -     | 0.00221  |0.03709  |    -     | 0.03662  |</t>
  </si>
  <si>
    <t>| 229  | 0.00228  |    -     | 0.00209  |0.03847  |    -     | 0.04042  |</t>
  </si>
  <si>
    <t>| 230  | 0.00274  |    -     | 0.00205  |0.03991  |    -     | 0.03970  |</t>
  </si>
  <si>
    <t>| 231  | 0.00210  |    -     | 0.00219  |0.04007  |    -     | 0.03968  |</t>
  </si>
  <si>
    <t>| 232  | 0.00224  |    -     | 0.00210  |0.06871  |    -     | 0.03997  |</t>
  </si>
  <si>
    <t>| 233  | 0.00221  |    -     | 0.00197  |0.03969  |    -     | 0.03959  |</t>
  </si>
  <si>
    <t>| 234  | 0.00217  |    -     | 0.00193  |0.03985  |    -     | 0.03832  |</t>
  </si>
  <si>
    <t>| 235  | 0.00221  |    -     | 0.00205  |0.03546  |    -     | 0.03662  |</t>
  </si>
  <si>
    <t>| 236  | 0.00216  |    -     | 0.00196  |0.03976  |    -     | 0.03975  |</t>
  </si>
  <si>
    <t>| 237  | 0.00201  |    -     | 0.00186  |0.03971  |    -     | 0.04035  |</t>
  </si>
  <si>
    <t>| 238  | 0.00223  |    -     | 0.00199  |0.03633  |    -     | 0.03992  |</t>
  </si>
  <si>
    <t>| 239  | 0.00211  |    -     | 0.00197  |0.03966  |    -     | 0.03995  |</t>
  </si>
  <si>
    <t>| 240  | 0.00215  |    -     | 0.00200  |0.03975  |    -     | 0.03976  |</t>
  </si>
  <si>
    <t>| 241  | 0.00210  |    -     | 0.00193  |0.04005  |    -     | 0.03976  |</t>
  </si>
  <si>
    <t>| 242  | 0.00211  |    -     | 0.00212  |0.03796  |    -     | 0.03949  |</t>
  </si>
  <si>
    <t>| 243  | 0.00277  |    -     | 0.00212  |0.03890  |    -     | 0.03993  |</t>
  </si>
  <si>
    <t>| 244  | 0.00226  |    -     | 0.00195  |0.03976  |    -     | 0.04004  |</t>
  </si>
  <si>
    <t>| 245  | 0.00243  |    -     | 0.00202  |0.03987  |    -     | 0.03629  |</t>
  </si>
  <si>
    <t>| 246  | 0.00270  |    -     | 0.00203  |0.03981  |    -     | 0.03865  |</t>
  </si>
  <si>
    <t>| 247  | 0.00263  |    -     | 0.00197  |0.03698  |    -     | 0.03893  |</t>
  </si>
  <si>
    <t>| 248  | 0.00206  |    -     | 0.00199  |0.03740  |    -     | 0.03607  |</t>
  </si>
  <si>
    <t>| 249  | 0.00230  |    -     | 0.00199  |0.03979  |    -     | 0.04000  |</t>
  </si>
  <si>
    <t>| 250  | 0.00238  |    -     | 0.00198  |0.03982  |    -     | 0.03815  |</t>
  </si>
  <si>
    <t>| 251  | 0.00219  |    -     | 0.00197  |0.03966  |    -     | 0.03988  |</t>
  </si>
  <si>
    <t>| 252  | 0.00198  |    -     | 0.00186  |0.03722  |    -     | 0.03879  |</t>
  </si>
  <si>
    <t>| 253  | 0.00220  |    -     | 0.00199  |0.03963  |    -     | 0.03989  |</t>
  </si>
  <si>
    <t>| 254  | 0.00215  |    -     | 0.00180  |0.03867  |    -     | 0.04000  |</t>
  </si>
  <si>
    <t>| 255  | 0.00207  |    -     | 0.00195  |0.04029  |    -     | 0.03852  |</t>
  </si>
  <si>
    <t>| 256  | 0.00213  |    -     | 0.00193  |0.03613  |    -     | 0.03992  |</t>
  </si>
  <si>
    <t>| 257  | 0.00228  |    -     | 0.00201  |0.03643  |    -     | 0.04028  |</t>
  </si>
  <si>
    <t>| 258  | 0.00204  |    -     | 0.00182  |0.03957  |    -     | 0.04007  |</t>
  </si>
  <si>
    <t>| 259  | 0.00206  |    -     | 0.00199  |0.03964  |    -     | 0.03991  |</t>
  </si>
  <si>
    <t>| 260  | 0.00220  |    -     | 0.00194  |0.03887  |    -     | 0.03990  |</t>
  </si>
  <si>
    <t>| 261  | 0.00209  |    -     | 0.00195  |0.03961  |    -     | 0.03982  |</t>
  </si>
  <si>
    <t>| 262  | 0.00213  |    -     | 0.00198  |0.03976  |    -     | 0.03994  |</t>
  </si>
  <si>
    <t>| 263  | 0.00213  |    -     | 0.00191  |0.03963  |    -     | 0.03962  |</t>
  </si>
  <si>
    <t>| 264  | 0.00199  |    -     | 0.00197  |0.03968  |    -     | 0.03818  |</t>
  </si>
  <si>
    <t>| 265  | 0.00205  |    -     | 0.00190  |0.03965  |    -     | 0.03979  |</t>
  </si>
  <si>
    <t>| 266  | 0.00207  |    -     | 0.00189  |0.03798  |    -     | 0.03818  |</t>
  </si>
  <si>
    <t>| 267  | 0.00236  |    -     | 0.00218  |0.03979  |    -     | 0.03994  |</t>
  </si>
  <si>
    <t>| 268  | 0.00214  |    -     | 0.00192  |0.03979  |    -     | 0.03982  |</t>
  </si>
  <si>
    <t>| 269  | 0.00208  |    -     | 0.00191  |0.03971  |    -     | 0.03982  |</t>
  </si>
  <si>
    <t>| 270  | 0.00207  |    -     | 0.00216  |0.03988  |    -     | 0.03982  |</t>
  </si>
  <si>
    <t>| 271  | 0.00214  |    -     | 0.00195  |0.03706  |    -     | 0.03979  |</t>
  </si>
  <si>
    <t>| 272  | 0.00211  |    -     | 0.00202  |0.03962  |    -     | 0.03969  |</t>
  </si>
  <si>
    <t>| 273  | 0.00207  |    -     | 0.00194  |0.04018  |    -     | 0.03983  |</t>
  </si>
  <si>
    <t>| 274  | 0.00201  |    -     | 0.00195  |0.03557  |    -     | 0.04007  |</t>
  </si>
  <si>
    <t>| 275  | 0.00211  |    -     | 0.00201  |0.03902  |    -     | 0.03982  |</t>
  </si>
  <si>
    <t>| 276  | 0.00208  |    -     | 0.00194  |0.03947  |    -     | 0.03956  |</t>
  </si>
  <si>
    <t>| 277  | 0.00206  |    -     | 0.00184  |0.03965  |    -     | 0.03974  |</t>
  </si>
  <si>
    <t>| 278  | 0.00225  |    -     | 0.00244  |0.03868  |    -     | 0.04021  |</t>
  </si>
  <si>
    <t>| 279  | 0.00225  |    -     | 0.00220  |0.03821  |    -     | 0.04014  |</t>
  </si>
  <si>
    <t>| 280  | 0.00202  |    -     | 0.00208  |0.03983  |    -     | 0.04028  |</t>
  </si>
  <si>
    <t>| 281  | 0.00228  |    -     | 0.00199  |0.03820  |    -     | 0.03997  |</t>
  </si>
  <si>
    <t>| 282  | 0.00225  |    -     | 0.00207  |0.03783  |    -     | 0.04062  |</t>
  </si>
  <si>
    <t>| 283  | 0.00230  |    -     | 0.00186  |0.03907  |    -     | 0.03931  |</t>
  </si>
  <si>
    <t>| 284  | 0.00225  |    -     | 0.00206  |0.03959  |    -     | 0.03931  |</t>
  </si>
  <si>
    <t>| 285  | 0.00210  |    -     | 0.00194  |0.03914  |    -     | 0.03974  |</t>
  </si>
  <si>
    <t>| 286  | 0.00204  |    -     | 0.00188  |0.04005  |    -     | 0.03951  |</t>
  </si>
  <si>
    <t>| 287  | 0.00216  |    -     | 0.00185  |0.03992  |    -     | 0.04092  |</t>
  </si>
  <si>
    <t>| 288  | 0.00207  |    -     | 0.00184  |0.03957  |    -     | 0.03793  |</t>
  </si>
  <si>
    <t>| 289  | 0.00198  |    -     | 0.00185  |0.03972  |    -     | 0.04034  |</t>
  </si>
  <si>
    <t>| 290  | 0.00198  |    -     | 0.00191  |0.03968  |    -     | 0.03977  |</t>
  </si>
  <si>
    <t>| 291  | 0.00194  |    -     | 0.00185  |0.03974  |    -     | 0.03977  |</t>
  </si>
  <si>
    <t>| 292  | 0.00221  |    -     | 0.00191  |0.03971  |    -     | 0.03971  |</t>
  </si>
  <si>
    <t>| 293  | 0.00204  |    -     | 0.00188  |0.03974  |    -     | 0.03520  |</t>
  </si>
  <si>
    <t>| 294  | 0.00205  |    -     | 0.00190  |0.03833  |    -     | 0.03968  |</t>
  </si>
  <si>
    <t>| 295  | 0.00213  |    -     | 0.00193  |0.03884  |    -     | 0.04008  |</t>
  </si>
  <si>
    <t>| 296  | 0.00216  |    -     | 0.00200  |0.03967  |    -     | 0.04035  |</t>
  </si>
  <si>
    <t>| 297  | 0.00209  |    -     | 0.00200  |0.03965  |    -     | 0.04040  |</t>
  </si>
  <si>
    <t>| 298  | 0.00210  |    -     | 0.00192  |0.03964  |    -     | 0.04057  |</t>
  </si>
  <si>
    <t>| 299  | 0.00221  |    -     | 0.00192  |0.04013  |    -     | 0.03998  |</t>
  </si>
  <si>
    <t>| 300  | 0.00210  |    -     | 0.00195  |0.04062  |    -     | 0.03751  |</t>
  </si>
  <si>
    <t>| 301  | 0.00222  |    -     | 0.00185  |0.03966  |    -     | 0.04215  |</t>
  </si>
  <si>
    <t>| 302  | 0.00240  |    -     | 0.00222  |0.03779  |    -     | 0.04005  |</t>
  </si>
  <si>
    <t>| 303  | 0.00219  |    -     | 0.00204  |0.04019  |    -     | 0.04034  |</t>
  </si>
  <si>
    <t>| 304  | 0.00203  |    -     | 0.00185  |0.03794  |    -     | 0.04015  |</t>
  </si>
  <si>
    <t>| 305  | 0.00206  |    -     | 0.00199  |0.03972  |    -     | 0.04039  |</t>
  </si>
  <si>
    <t>| 306  | 0.00211  |    -     | 0.00199  |0.03892  |    -     | 0.03977  |</t>
  </si>
  <si>
    <t>| 307  | 0.00202  |    -     | 0.00199  |0.03941  |    -     | 0.03987  |</t>
  </si>
  <si>
    <t>| 308  | 0.00223  |    -     | 0.00196  |0.03975  |    -     | 0.03974  |</t>
  </si>
  <si>
    <t>| 309  | 0.00209  |    -     | 0.00196  |0.03967  |    -     | 0.03972  |</t>
  </si>
  <si>
    <t>| 310  | 0.00207  |    -     | 0.00195  |0.03959  |    -     | 0.03986  |</t>
  </si>
  <si>
    <t>| 311  | 0.00227  |    -     | 0.00202  |0.03667  |    -     | 0.04017  |</t>
  </si>
  <si>
    <t>| 312  | 0.00223  |    -     | 0.00211  |0.03836  |    -     | 0.04010  |</t>
  </si>
  <si>
    <t>| 313  | 0.00206  |    -     | 0.00185  |0.03911  |    -     | 0.03827  |</t>
  </si>
  <si>
    <t>| 314  | 0.00209  |    -     | 0.00185  |0.03946  |    -     | 0.03989  |</t>
  </si>
  <si>
    <t>| 315  | 0.00205  |    -     | 0.00181  |0.03684  |    -     | 0.03742  |</t>
  </si>
  <si>
    <t>| 316  | 0.00219  |    -     | 0.00193  |0.03745  |    -     | 0.03754  |</t>
  </si>
  <si>
    <t>| 317  | 0.00213  |    -     | 0.00190  |0.03901  |    -     | 0.03931  |</t>
  </si>
  <si>
    <t>| 318  | 0.00228  |    -     | 0.00211  |0.03908  |    -     | 0.04009  |</t>
  </si>
  <si>
    <t>| 319  | 0.00268  |    -     | 0.00205  |0.03894  |    -     | 0.04000  |</t>
  </si>
  <si>
    <t>| 320  | 0.00209  |    -     | 0.00199  |0.04007  |    -     | 0.03848  |</t>
  </si>
  <si>
    <t>| 321  | 0.00234  |    -     | 0.00215  |0.03840  |    -     | 0.03996  |</t>
  </si>
  <si>
    <t>| 322  | 0.00230  |    -     | 0.00216  |0.03996  |    -     | 0.04043  |</t>
  </si>
  <si>
    <t>| 323  | 0.00249  |    -     | 0.00223  |0.03639  |    -     | 0.04022  |</t>
  </si>
  <si>
    <t>| 324  | 0.00261  |    -     | 0.00207  |0.04010  |    -     | 0.04049  |</t>
  </si>
  <si>
    <t>| 325  | 0.00257  |    -     | 0.00213  |0.03740  |    -     | 0.04019  |</t>
  </si>
  <si>
    <t>| 326  | 0.00216  |    -     | 0.00200  |0.03862  |    -     | 0.04011  |</t>
  </si>
  <si>
    <t>| 327  | 0.00237  |    -     | 0.00218  |0.03733  |    -     | 0.03695  |</t>
  </si>
  <si>
    <t>| 328  | 0.00226  |    -     | 0.00208  |0.04040  |    -     | 0.03987  |</t>
  </si>
  <si>
    <t>| 329  | 0.00258  |    -     | 0.00225  |0.03995  |    -     | 0.04061  |</t>
  </si>
  <si>
    <t>| 330  | 0.00226  |    -     | 0.00219  |0.03911  |    -     | 0.04009  |</t>
  </si>
  <si>
    <t>| 331  | 0.00230  |    -     | 0.00208  |0.03967  |    -     | 0.03878  |</t>
  </si>
  <si>
    <t>| 332  | 0.00253  |    -     | 0.00215  |0.03679  |    -     | 0.04013  |</t>
  </si>
  <si>
    <t>| 333  | 0.00224  |    -     | 0.00228  |0.03981  |    -     | 0.03940  |</t>
  </si>
  <si>
    <t>| 334  | 0.00230  |    -     | 0.00192  |0.03976  |    -     | 0.04011  |</t>
  </si>
  <si>
    <t>| 335  | 0.00229  |    -     | 0.00210  |0.03840  |    -     | 0.03937  |</t>
  </si>
  <si>
    <t>| 336  | 0.00212  |    -     | 0.00190  |0.03974  |    -     | 0.04048  |</t>
  </si>
  <si>
    <t>| 337  | 0.00252  |    -     | 0.00209  |0.03789  |    -     | 0.03813  |</t>
  </si>
  <si>
    <t>| 338  | 0.00226  |    -     | 0.00195  |0.03982  |    -     | 0.03977  |</t>
  </si>
  <si>
    <t>| 339  | 0.00206  |    -     | 0.00201  |0.03970  |    -     | 0.03985  |</t>
  </si>
  <si>
    <t>| 340  | 0.00228  |    -     | 0.00192  |0.03977  |    -     | 0.03981  |</t>
  </si>
  <si>
    <t>| 341  | 0.00229  |    -     | 0.00197  |0.03996  |    -     | 0.04010  |</t>
  </si>
  <si>
    <t>| 342  | 0.00211  |    -     | 0.00202  |0.03491  |    -     | 0.03789  |</t>
  </si>
  <si>
    <t>| 343  | 0.00214  |    -     | 0.00175  |0.03778  |    -     | 0.03999  |</t>
  </si>
  <si>
    <t>| 344  | 0.00236  |    -     | 0.00199  |0.04009  |    -     | 0.04001  |</t>
  </si>
  <si>
    <t>| 345  | 0.00213  |    -     | 0.00205  |0.03928  |    -     | 0.03996  |</t>
  </si>
  <si>
    <t>| 346  | 0.00226  |    -     | 0.00196  |0.03661  |    -     | 0.03985  |</t>
  </si>
  <si>
    <t>| 347  | 0.00239  |    -     | 0.00211  |0.04252  |    -     | 0.08189  |</t>
  </si>
  <si>
    <t>| 348  | 0.00229  |    -     | 0.00207  |0.03882  |    -     | 0.04044  |</t>
  </si>
  <si>
    <t>| 349  | 0.00255  |    -     | 0.00228  |0.04004  |    -     | 0.04004  |</t>
  </si>
  <si>
    <t>| 350  | 0.00269  |    -     | 0.00201  |0.04004  |    -     | 0.04008  |</t>
  </si>
  <si>
    <t>| 351  | 0.00234  |    -     | 0.00217  |0.03996  |    -     | 0.04008  |</t>
  </si>
  <si>
    <t>| 352  | 0.00218  |    -     | 0.00214  |0.03838  |    -     | 0.04013  |</t>
  </si>
  <si>
    <t>| 353  | 0.00240  |    -     | 0.00265  |0.03995  |    -     | 0.03957  |</t>
  </si>
  <si>
    <t>| 354  | 0.00217  |    -     | 0.00218  |0.04035  |    -     | 0.04026  |</t>
  </si>
  <si>
    <t>| 355  | 0.00233  |    -     | 0.00199  |0.03978  |    -     | 0.03754  |</t>
  </si>
  <si>
    <t>| 356  | 0.00217  |    -     | 0.00197  |0.03969  |    -     | 0.03819  |</t>
  </si>
  <si>
    <t>| 357  | 0.00206  |    -     | 0.00184  |0.03708  |    -     | 0.03989  |</t>
  </si>
  <si>
    <t>| 358  | 0.00214  |    -     | 0.00213  |0.03690  |    -     | 0.03999  |</t>
  </si>
  <si>
    <t>| 359  | 0.00221  |    -     | 0.00198  |0.03987  |    -     | 0.04043  |</t>
  </si>
  <si>
    <t>| 360  | 0.00213  |    -     | 0.00197  |0.03975  |    -     | 0.03985  |</t>
  </si>
  <si>
    <t>| 361  | 0.00216  |    -     | 0.00202  |0.03965  |    -     | 0.03744  |</t>
  </si>
  <si>
    <t>| 362  | 0.00230  |    -     | 0.00192  |0.04018  |    -     | 0.03919  |</t>
  </si>
  <si>
    <t>| 363  | 0.00220  |    -     | 0.00206  |0.03997  |    -     | 0.04010  |</t>
  </si>
  <si>
    <t>| 364  | 0.00217  |    -     | 0.00188  |0.04001  |    -     | 0.03855  |</t>
  </si>
  <si>
    <t>| 365  | 0.00203  |    -     | 0.00190  |0.03714  |    -     | 0.03993  |</t>
  </si>
  <si>
    <t>| 366  | 0.00218  |    -     | 0.00201  |0.03969  |    -     | 0.03981  |</t>
  </si>
  <si>
    <t>| 367  | 0.00218  |    -     | 0.00197  |0.03969  |    -     | 0.03994  |</t>
  </si>
  <si>
    <t>| 368  | 0.00203  |    -     | 0.00207  |0.03974  |    -     | 0.03953  |</t>
  </si>
  <si>
    <t>| 369  | 0.00220  |    -     | 0.00195  |0.03901  |    -     | 0.03974  |</t>
  </si>
  <si>
    <t>| 370  | 0.00206  |    -     | 0.00197  |0.04045  |    -     | 0.03950  |</t>
  </si>
  <si>
    <t>| 371  | 0.00232  |    -     | 0.00186  |0.03961  |    -     | 0.04017  |</t>
  </si>
  <si>
    <t>| 372  | 0.00221  |    -     | 0.00202  |0.03960  |    -     | 0.03796  |</t>
  </si>
  <si>
    <t>| 373  | 0.00215  |    -     | 0.00212  |0.03981  |    -     | 0.03974  |</t>
  </si>
  <si>
    <t>| 374  | 0.00196  |    -     | 0.00193  |0.03965  |    -     | 0.03588  |</t>
  </si>
  <si>
    <t>| 375  | 0.00206  |    -     | 0.00186  |0.03968  |    -     | 0.04005  |</t>
  </si>
  <si>
    <t>| 376  | 0.00210  |    -     | 0.00186  |0.03962  |    -     | 0.04019  |</t>
  </si>
  <si>
    <t>| 377  | 0.00221  |    -     | 0.00201  |0.03971  |    -     | 0.04038  |</t>
  </si>
  <si>
    <t>| 378  | 0.00210  |    -     | 0.00191  |0.03961  |    -     | 0.03982  |</t>
  </si>
  <si>
    <t>| 379  | 0.00193  |    -     | 0.00192  |0.03962  |    -     | 0.03618  |</t>
  </si>
  <si>
    <t>| 380  | 0.00207  |    -     | 0.00191  |0.04025  |    -     | 0.03975  |</t>
  </si>
  <si>
    <t>| 381  | 0.00199  |    -     | 0.00183  |0.03964  |    -     | 0.03980  |</t>
  </si>
  <si>
    <t>| 382  | 0.00221  |    -     | 0.00187  |0.03974  |    -     | 0.03856  |</t>
  </si>
  <si>
    <t>| 383  | 0.00216  |    -     | 0.00185  |0.03957  |    -     | 0.03996  |</t>
  </si>
  <si>
    <t>| 384  | 0.00203  |    -     | 0.00198  |0.03965  |    -     | 0.03972  |</t>
  </si>
  <si>
    <t>| 385  | 0.00211  |    -     | 0.00186  |0.03958  |    -     | 0.04062  |</t>
  </si>
  <si>
    <t>| 386  | 0.00219  |    -     | 0.00196  |0.03993  |    -     | 0.03823  |</t>
  </si>
  <si>
    <t>| 387  | 0.00227  |    -     | 0.00211  |0.03972  |    -     | 0.04027  |</t>
  </si>
  <si>
    <t>| 388  | 0.00221  |    -     | 0.00202  |0.04036  |    -     | 0.04001  |</t>
  </si>
  <si>
    <t>| 389  | 0.00201  |    -     | 0.00237  |0.03885  |    -     | 0.04049  |</t>
  </si>
  <si>
    <t>| 390  | 0.00218  |    -     | 0.00191  |0.03964  |    -     | 0.03980  |</t>
  </si>
  <si>
    <t>| 391  | 0.00216  |    -     | 0.00182  |0.03976  |    -     | 0.03991  |</t>
  </si>
  <si>
    <t>| 392  | 0.00218  |    -     | 0.00199  |0.03957  |    -     | 0.03990  |</t>
  </si>
  <si>
    <t>| 393  | 0.00203  |    -     | 0.00185  |0.03874  |    -     | 0.03987  |</t>
  </si>
  <si>
    <t>| 394  | 0.00212  |    -     | 0.00201  |0.03978  |    -     | 0.03985  |</t>
  </si>
  <si>
    <t>| 395  | 0.00217  |    -     | 0.00189  |0.04006  |    -     | 0.03977  |</t>
  </si>
  <si>
    <t>| 396  | 0.00207  |    -     | 0.00197  |0.03963  |    -     | 0.03999  |</t>
  </si>
  <si>
    <t>| 397  | 0.00209  |    -     | 0.00185  |0.03979  |    -     | 0.03989  |</t>
  </si>
  <si>
    <t>| 398  | 0.00222  |    -     | 0.00202  |0.03979  |    -     | 0.03792  |</t>
  </si>
  <si>
    <t>| 399  | 0.00218  |    -     | 0.00208  |0.03951  |    -     | 0.03995  |</t>
  </si>
  <si>
    <t>| 400  | 0.00208  |    -     | 0.00185  |0.03967  |    -     | 0.03997  |</t>
  </si>
  <si>
    <t>| 401  | 0.00221  |    -     | 0.00195  |0.03983  |    -     | 0.04007  |</t>
  </si>
  <si>
    <t>| 402  | 0.00220  |    -     | 0.00231  |0.04014  |    -     | 0.04072  |</t>
  </si>
  <si>
    <t>| 403  | 0.00242  |    -     | 0.00221  |0.03699  |    -     | 0.04026  |</t>
  </si>
  <si>
    <t>| 404  | 0.00248  |    -     | 0.00317  |0.03671  |    -     | 0.03997  |</t>
  </si>
  <si>
    <t>| 405  | 0.00224  |    -     | 0.00212  |0.04001  |    -     | 0.03942  |</t>
  </si>
  <si>
    <t>| 406  | 0.00212  |    -     | 0.00208  |0.04009  |    -     | 0.04014  |</t>
  </si>
  <si>
    <t>| 407  | 0.00288  |    -     | 0.00213  |0.04041  |    -     | 0.04061  |</t>
  </si>
  <si>
    <t>| 408  | 0.00226  |    -     | 0.00195  |0.03961  |    -     | 0.04039  |</t>
  </si>
  <si>
    <t>| 409  | 0.00225  |    -     | 0.00201  |0.03968  |    -     | 0.04008  |</t>
  </si>
  <si>
    <t>| 410  | 0.00226  |    -     | 0.00216  |0.03649  |    -     | 0.03755  |</t>
  </si>
  <si>
    <t>| 411  | 0.00211  |    -     | 0.00190  |0.03755  |    -     | 0.03744  |</t>
  </si>
  <si>
    <t>| 412  | 0.00217  |    -     | 0.00213  |0.03727  |    -     | 0.04037  |</t>
  </si>
  <si>
    <t>| 413  | 0.00219  |    -     | 0.00203  |0.03785  |    -     | 0.04000  |</t>
  </si>
  <si>
    <t>| 414  | 0.00233  |    -     | 0.00219  |0.03974  |    -     | 0.03989  |</t>
  </si>
  <si>
    <t>| 415  | 0.00217  |    -     | 0.00192  |0.03897  |    -     | 0.03914  |</t>
  </si>
  <si>
    <t>| 416  | 0.00217  |    -     | 0.00212  |0.03973  |    -     | 0.03994  |</t>
  </si>
  <si>
    <t>| 417  | 0.00208  |    -     | 0.00194  |0.04012  |    -     | 0.03647  |</t>
  </si>
  <si>
    <t>| 418  | 0.00213  |    -     | 0.00195  |0.03762  |    -     | 0.03796  |</t>
  </si>
  <si>
    <t>| 419  | 0.00225  |    -     | 0.00202  |0.03978  |    -     | 0.03852  |</t>
  </si>
  <si>
    <t>| 420  | 0.00218  |    -     | 0.00188  |0.03944  |    -     | 0.03556  |</t>
  </si>
  <si>
    <t>| 421  | 0.00208  |    -     | 0.00195  |0.03757  |    -     | 0.03744  |</t>
  </si>
  <si>
    <t>| 422  | 0.00213  |    -     | 0.00195  |0.03754  |    -     | 0.03751  |</t>
  </si>
  <si>
    <t>| 423  | 0.00220  |    -     | 0.00208  |0.04034  |    -     | 0.04007  |</t>
  </si>
  <si>
    <t>| 424  | 0.00212  |    -     | 0.00203  |0.03590  |    -     | 0.03745  |</t>
  </si>
  <si>
    <t>| 425  | 0.00224  |    -     | 0.00175  |0.03754  |    -     | 0.03966  |</t>
  </si>
  <si>
    <t>| 426  | 0.00221  |    -     | 0.00189  |0.03962  |    -     | 0.03728  |</t>
  </si>
  <si>
    <t>| 427  | 0.00216  |    -     | 0.00197  |0.04011  |    -     | 0.04084  |</t>
  </si>
  <si>
    <t>| 428  | 0.00213  |    -     | 0.00190  |0.03957  |    -     | 0.03933  |</t>
  </si>
  <si>
    <t>| 429  | 0.00236  |    -     | 0.00208  |0.03983  |    -     | 0.03991  |</t>
  </si>
  <si>
    <t>| 430  | 0.00214  |    -     | 0.00199  |0.03985  |    -     | 0.03990  |</t>
  </si>
  <si>
    <t>| 431  | 0.00205  |    -     | 0.00194  |0.03970  |    -     | 0.04006  |</t>
  </si>
  <si>
    <t>| 432  | 0.00211  |    -     | 0.00194  |0.03974  |    -     | 0.03993  |</t>
  </si>
  <si>
    <t>| 433  | 0.00207  |    -     | 0.00198  |0.03970  |    -     | 0.03983  |</t>
  </si>
  <si>
    <t>| 434  | 0.00207  |    -     | 0.00198  |0.04024  |    -     | 0.03990  |</t>
  </si>
  <si>
    <t>| 435  | 0.00213  |    -     | 0.00186  |0.03964  |    -     | 0.03951  |</t>
  </si>
  <si>
    <t>| 436  | 0.00215  |    -     | 0.00202  |0.03976  |    -     | 0.03978  |</t>
  </si>
  <si>
    <t>| 437  | 0.00208  |    -     | 0.00199  |0.03973  |    -     | 0.03837  |</t>
  </si>
  <si>
    <t>| 438  | 0.00210  |    -     | 0.00201  |0.03966  |    -     | 0.04022  |</t>
  </si>
  <si>
    <t>| 439  | 0.00205  |    -     | 0.00190  |0.03961  |    -     | 0.03979  |</t>
  </si>
  <si>
    <t>| 440  | 0.00209  |    -     | 0.00198  |0.03954  |    -     | 0.03978  |</t>
  </si>
  <si>
    <t>| 441  | 0.00214  |    -     | 0.00198  |0.03969  |    -     | 0.03988  |</t>
  </si>
  <si>
    <t>| 442  | 0.00208  |    -     | 0.00201  |0.03981  |    -     | 0.03982  |</t>
  </si>
  <si>
    <t>| 443  | 0.00207  |    -     | 0.00182  |0.03967  |    -     | 0.03990  |</t>
  </si>
  <si>
    <t>| 444  | 0.00209  |    -     | 0.00199  |0.03975  |    -     | 0.03983  |</t>
  </si>
  <si>
    <t>| 445  | 0.00226  |    -     | 0.00197  |0.08331  |    -     | 0.03956  |</t>
  </si>
  <si>
    <t>| 446  | 0.00237  |    -     | 0.00223  |0.03988  |    -     | 0.03955  |</t>
  </si>
  <si>
    <t>| 447  | 0.00208  |    -     | 0.00198  |0.03964  |    -     | 0.03978  |</t>
  </si>
  <si>
    <t>| 448  | 0.00215  |    -     | 0.00193  |0.03573  |    -     | 0.03750  |</t>
  </si>
  <si>
    <t>| 449  | 0.00227  |    -     | 0.00192  |0.03973  |    -     | 0.03518  |</t>
  </si>
  <si>
    <t>| 450  | 0.00221  |    -     | 0.00210  |0.04089  |    -     | 0.03824  |</t>
  </si>
  <si>
    <t>| 451  | 0.00213  |    -     | 0.00203  |0.03960  |    -     | 0.03816  |</t>
  </si>
  <si>
    <t>| 452  | 0.00216  |    -     | 0.00204  |0.03846  |    -     | 0.03991  |</t>
  </si>
  <si>
    <t>| 453  | 0.00199  |    -     | 0.00335  |0.03812  |    -     | 0.04107  |</t>
  </si>
  <si>
    <t>| 454  | 0.00229  |    -     | 0.00223  |0.03689  |    -     | 0.04075  |</t>
  </si>
  <si>
    <t>| 455  | 0.00243  |    -     | 0.00225  |0.03684  |    -     | 0.03922  |</t>
  </si>
  <si>
    <t>| 456  | 0.00213  |    -     | 0.00182  |0.03969  |    -     | 0.03980  |</t>
  </si>
  <si>
    <t>| 457  | 0.00224  |    -     | 0.00203  |0.03965  |    -     | 0.03984  |</t>
  </si>
  <si>
    <t>| 458  | 0.00206  |    -     | 0.00201  |0.03977  |    -     | 0.04037  |</t>
  </si>
  <si>
    <t>| 459  | 0.00209  |    -     | 0.00186  |0.03971  |    -     | 0.03900  |</t>
  </si>
  <si>
    <t>| 460  | 0.00236  |    -     | 0.00229  |0.07218  |    -     | 0.03998  |</t>
  </si>
  <si>
    <t>| 461  | 0.00215  |    -     | 0.00199  |0.03967  |    -     | 0.03810  |</t>
  </si>
  <si>
    <t>| 462  | 0.00223  |    -     | 0.00188  |0.03962  |    -     | 0.03990  |</t>
  </si>
  <si>
    <t>| 463  | 0.00222  |    -     | 0.00195  |0.03982  |    -     | 0.03992  |</t>
  </si>
  <si>
    <t>| 464  | 0.00211  |    -     | 0.00201  |0.03895  |    -     | 0.03945  |</t>
  </si>
  <si>
    <t>| 465  | 0.00216  |    -     | 0.00201  |0.03980  |    -     | 0.03975  |</t>
  </si>
  <si>
    <t>| 466  | 0.00209  |    -     | 0.00199  |0.03970  |    -     | 0.03987  |</t>
  </si>
  <si>
    <t>| 467  | 0.00225  |    -     | 0.00202  |0.03976  |    -     | 0.03973  |</t>
  </si>
  <si>
    <t>| 468  | 0.00202  |    -     | 0.00200  |0.03840  |    -     | 0.03786  |</t>
  </si>
  <si>
    <t>| 469  | 0.00216  |    -     | 0.00201  |0.03976  |    -     | 0.03562  |</t>
  </si>
  <si>
    <t>| 470  | 0.00228  |    -     | 0.00208  |0.03978  |    -     | 0.04033  |</t>
  </si>
  <si>
    <t>| 471  | 0.00195  |    -     | 0.00192  |0.03960  |    -     | 0.03860  |</t>
  </si>
  <si>
    <t>| 472  | 0.00214  |    -     | 0.00197  |0.03941  |    -     | 0.04017  |</t>
  </si>
  <si>
    <t>| 473  | 0.00222  |    -     | 0.00205  |0.03927  |    -     | 0.04042  |</t>
  </si>
  <si>
    <t>| 474  | 0.00236  |    -     | 0.00192  |0.03965  |    -     | 0.04065  |</t>
  </si>
  <si>
    <t>| 475  | 0.00199  |    -     | 0.00202  |0.03966  |    -     | 0.03995  |</t>
  </si>
  <si>
    <t>| 476  | 0.00242  |    -     | 0.00239  |0.04027  |    -     | 0.03994  |</t>
  </si>
  <si>
    <t>| 477  | 0.00225  |    -     | 0.00190  |0.03972  |    -     | 0.04079  |</t>
  </si>
  <si>
    <t>| 478  | 0.00212  |    -     | 0.00197  |0.03818  |    -     | 0.03954  |</t>
  </si>
  <si>
    <t>| 479  | 0.00205  |    -     | 0.00207  |0.03968  |    -     | 0.03713  |</t>
  </si>
  <si>
    <t>| 480  | 0.00211  |    -     | 0.00196  |0.03957  |    -     | 0.04085  |</t>
  </si>
  <si>
    <t>| 481  | 0.00221  |    -     | 0.00197  |0.03976  |    -     | 0.04029  |</t>
  </si>
  <si>
    <t>| 482  | 0.00207  |    -     | 0.00186  |0.03969  |    -     | 0.03989  |</t>
  </si>
  <si>
    <t>| 483  | 0.00222  |    -     | 0.00202  |0.03971  |    -     | 0.03989  |</t>
  </si>
  <si>
    <t>| 484  | 0.00228  |    -     | 0.00224  |0.03984  |    -     | 0.03876  |</t>
  </si>
  <si>
    <t>| 485  | 0.00221  |    -     | 0.00206  |0.03994  |    -     | 0.04042  |</t>
  </si>
  <si>
    <t>| 486  | 0.00220  |    -     | 0.00189  |0.03985  |    -     | 0.04002  |</t>
  </si>
  <si>
    <t>| 487  | 0.00211  |    -     | 0.00197  |0.04053  |    -     | 0.03858  |</t>
  </si>
  <si>
    <t>| 488  | 0.00208  |    -     | 0.00190  |0.04032  |    -     | 0.03986  |</t>
  </si>
  <si>
    <t>| 489  | 0.00216  |    -     | 0.00196  |0.03991  |    -     | 0.04067  |</t>
  </si>
  <si>
    <t>| 490  | 0.00213  |    -     | 0.00205  |0.04028  |    -     | 0.04029  |</t>
  </si>
  <si>
    <t>| 491  | 0.00219  |    -     | 0.00240  |0.04013  |    -     | 0.03995  |</t>
  </si>
  <si>
    <t>| 492  | 0.00224  |    -     | 0.00189  |0.03995  |    -     | 0.03985  |</t>
  </si>
  <si>
    <t>| 493  | 0.00266  |    -     | 0.00179  |0.03957  |    -     | 0.03544  |</t>
  </si>
  <si>
    <t>| 494  | 0.00227  |    -     | 0.00209  |0.03999  |    -     | 0.03883  |</t>
  </si>
  <si>
    <t>| 495  | 0.00220  |    -     | 0.00209  |0.04073  |    -     | 0.04012  |</t>
  </si>
  <si>
    <t>| 496  | 0.00229  |    -     | 0.00187  |0.03881  |    -     | 0.04014  |</t>
  </si>
  <si>
    <t>| 497  | 0.00232  |    -     | 0.00190  |0.03963  |    -     | 0.04013  |</t>
  </si>
  <si>
    <t>| 498  | 0.00212  |    -     | 0.00188  |0.04018  |    -     | 0.04094  |</t>
  </si>
  <si>
    <t>| 499  | 0.00216  |    -     | 0.00186  |0.03959  |    -     | 0.04084  |</t>
  </si>
  <si>
    <t>| 500  | 0.00201  |    -     | 0.00190  |0.03957  |    -     | 0.03724  |</t>
  </si>
  <si>
    <t>| 501  | 0.00228  |    -     | 0.00182  |0.03919  |    -     | 0.03983  |</t>
  </si>
  <si>
    <t>| 502  | 0.00225  |    -     | 0.00185  |0.04024  |    -     | 0.04008  |</t>
  </si>
  <si>
    <t>| 503  | 0.00213  |    -     | 0.00200  |0.03973  |    -     | 0.04059  |</t>
  </si>
  <si>
    <t>| 504  | 0.00215  |    -     | 0.00203  |0.04014  |    -     | 0.03988  |</t>
  </si>
  <si>
    <t>| 505  | 0.00224  |    -     | 0.00213  |0.03973  |    -     | 0.03979  |</t>
  </si>
  <si>
    <t>| 506  | 0.00208  |    -     | 0.00195  |0.03659  |    -     | 0.04084  |</t>
  </si>
  <si>
    <t>| 507  | 0.00212  |    -     | 0.00186  |0.04008  |    -     | 0.03974  |</t>
  </si>
  <si>
    <t>| 508  | 0.00208  |    -     | 0.00200  |0.03989  |    -     | 0.03832  |</t>
  </si>
  <si>
    <t>| 509  | 0.00211  |    -     | 0.00213  |0.03971  |    -     | 0.04007  |</t>
  </si>
  <si>
    <t>| 510  | 0.00209  |    -     | 0.00197  |0.03975  |    -     | 0.04046  |</t>
  </si>
  <si>
    <t>| 511  | 0.00225  |    -     | 0.00201  |0.03985  |    -     | 0.03991  |</t>
  </si>
  <si>
    <t>| 512  | 0.00213  |    -     | 0.00205  |0.03968  |    -     | 0.03650  |</t>
  </si>
  <si>
    <t>| 513  | 0.00214  |    -     | 0.00193  |0.04014  |    -     | 0.03969  |</t>
  </si>
  <si>
    <t>| 514  | 0.00209  |    -     | 0.00197  |0.03975  |    -     | 0.04012  |</t>
  </si>
  <si>
    <t>| 515  | 0.00212  |    -     | 0.00208  |0.04010  |    -     | 0.04046  |</t>
  </si>
  <si>
    <t>| 516  | 0.00223  |    -     | 0.00208  |0.03977  |    -     | 0.04000  |</t>
  </si>
  <si>
    <t>| 517  | 0.00219  |    -     | 0.00192  |0.03914  |    -     | 0.03838  |</t>
  </si>
  <si>
    <t>| 518  | 0.00213  |    -     | 0.00197  |0.03708  |    -     | 0.04076  |</t>
  </si>
  <si>
    <t>| 519  | 0.00220  |    -     | 0.00208  |0.03982  |    -     | 0.04042  |</t>
  </si>
  <si>
    <t>| 520  | 0.00232  |    -     | 0.00197  |0.03842  |    -     | 0.03996  |</t>
  </si>
  <si>
    <t>| 521  | 0.00211  |    -     | 0.00196  |0.04013  |    -     | 0.03665  |</t>
  </si>
  <si>
    <t>| 522  | 0.00206  |    -     | 0.00199  |0.04003  |    -     | 0.03912  |</t>
  </si>
  <si>
    <t>| 523  | 0.00207  |    -     | 0.00186  |0.03957  |    -     | 0.03742  |</t>
  </si>
  <si>
    <t>| 524  | 0.00225  |    -     | 0.00186  |0.03958  |    -     | 0.04101  |</t>
  </si>
  <si>
    <t>| 525  | 0.00222  |    -     | 0.00191  |0.04017  |    -     | 0.03976  |</t>
  </si>
  <si>
    <t>| 526  | 0.00200  |    -     | 0.00184  |0.03962  |    -     | 0.03975  |</t>
  </si>
  <si>
    <t>| 527  | 0.00184  |    -     | 0.00226  |0.03965  |    -     | 0.03614  |</t>
  </si>
  <si>
    <t>| 528  | 0.00271  |    -     | 0.00251  |0.04644  |    -     | 0.08161  |</t>
  </si>
  <si>
    <t>| 529  | 0.00304  |    -     | 0.00195  |0.03963  |    -     | 0.04054  |</t>
  </si>
  <si>
    <t>| 530  | 0.00225  |    -     | 0.00217  |0.04000  |    -     | 0.04003  |</t>
  </si>
  <si>
    <t>| 531  | 0.00208  |    -     | 0.00204  |0.03979  |    -     | 0.03990  |</t>
  </si>
  <si>
    <t>| 532  | 0.00217  |    -     | 0.00200  |0.03973  |    -     | 0.03982  |</t>
  </si>
  <si>
    <t>| 533  | 0.00216  |    -     | 0.00203  |0.03960  |    -     | 0.03996  |</t>
  </si>
  <si>
    <t>| 534  | 0.00209  |    -     | 0.00201  |0.03966  |    -     | 0.03987  |</t>
  </si>
  <si>
    <t>| 535  | 0.00207  |    -     | 0.00201  |0.03970  |    -     | 0.03983  |</t>
  </si>
  <si>
    <t>| 536  | 0.00211  |    -     | 0.00197  |0.03770  |    -     | 0.03765  |</t>
  </si>
  <si>
    <t>| 537  | 0.00215  |    -     | 0.00210  |0.03974  |    -     | 0.03974  |</t>
  </si>
  <si>
    <t>| 538  | 0.00213  |    -     | 0.00204  |0.03968  |    -     | 0.03971  |</t>
  </si>
  <si>
    <t>| 539  | 0.00221  |    -     | 0.00188  |0.03961  |    -     | 0.04041  |</t>
  </si>
  <si>
    <t>| 540  | 0.00204  |    -     | 0.00188  |0.04020  |    -     | 0.03969  |</t>
  </si>
  <si>
    <t>| 541  | 0.00199  |    -     | 0.00203  |0.03955  |    -     | 0.03981  |</t>
  </si>
  <si>
    <t>| 542  | 0.00205  |    -     | 0.00204  |0.03980  |    -     | 0.03982  |</t>
  </si>
  <si>
    <t>| 543  | 0.00212  |    -     | 0.00200  |0.03963  |    -     | 0.03969  |</t>
  </si>
  <si>
    <t>| 544  | 0.00213  |    -     | 0.00207  |0.03978  |    -     | 0.03971  |</t>
  </si>
  <si>
    <t>| 545  | 0.00200  |    -     | 0.00187  |0.03993  |    -     | 0.03998  |</t>
  </si>
  <si>
    <t>| 546  | 0.00288  |    -     | 0.00203  |0.04057  |    -     | 0.04064  |</t>
  </si>
  <si>
    <t>| 547  | 0.00216  |    -     | 0.00204  |0.03974  |    -     | 0.03987  |</t>
  </si>
  <si>
    <t>| 548  | 0.00206  |    -     | 0.00192  |0.03885  |    -     | 0.03764  |</t>
  </si>
  <si>
    <t>| 549  | 0.00215  |    -     | 0.00201  |0.03970  |    -     | 0.03606  |</t>
  </si>
  <si>
    <t>| 550  | 0.00208  |    -     | 0.00199  |0.03875  |    -     | 0.03969  |</t>
  </si>
  <si>
    <t>| 551  | 0.00201  |    -     | 0.00244  |0.04002  |    -     | 0.03678  |</t>
  </si>
  <si>
    <t>| 552  | 0.00202  |    -     | 0.00189  |0.03976  |    -     | 0.04012  |</t>
  </si>
  <si>
    <t>| 553  | 0.00219  |    -     | 0.00195  |0.03964  |    -     | 0.04025  |</t>
  </si>
  <si>
    <t>| 554  | 0.00211  |    -     | 0.00189  |0.03971  |    -     | 0.03987  |</t>
  </si>
  <si>
    <t>| 555  | 0.00217  |    -     | 0.00220  |0.04000  |    -     | 0.03930  |</t>
  </si>
  <si>
    <t>| 556  | 0.00238  |    -     | 0.00215  |0.04018  |    -     | 0.03942  |</t>
  </si>
  <si>
    <t>| 557  | 0.00224  |    -     | 0.00191  |0.04016  |    -     | 0.04005  |</t>
  </si>
  <si>
    <t>| 558  | 0.00210  |    -     | 0.00202  |0.03966  |    -     | 0.04038  |</t>
  </si>
  <si>
    <t>| 559  | 0.00206  |    -     | 0.00201  |0.03982  |    -     | 0.04039  |</t>
  </si>
  <si>
    <t>| 560  | 0.00223  |    -     | 0.00190  |0.03975  |    -     | 0.03851  |</t>
  </si>
  <si>
    <t>| 561  | 0.00239  |    -     | 0.00221  |0.03683  |    -     | 0.03887  |</t>
  </si>
  <si>
    <t>| 562  | 0.00220  |    -     | 0.00208  |0.03927  |    -     | 0.03989  |</t>
  </si>
  <si>
    <t>| 563  | 0.00223  |    -     | 0.00199  |0.03979  |    -     | 0.04006  |</t>
  </si>
  <si>
    <t>| 564  | 0.00223  |    -     | 0.00194  |0.03989  |    -     | 0.04011  |</t>
  </si>
  <si>
    <t>| 565  | 0.00210  |    -     | 0.00192  |0.03980  |    -     | 0.03991  |</t>
  </si>
  <si>
    <t>| 566  | 0.00215  |    -     | 0.00203  |0.03987  |    -     | 0.03770  |</t>
  </si>
  <si>
    <t>| 567  | 0.00223  |    -     | 0.00206  |0.03981  |    -     | 0.03995  |</t>
  </si>
  <si>
    <t>| 568  | 0.00214  |    -     | 0.00195  |0.03400  |    -     | 0.04015  |</t>
  </si>
  <si>
    <t>| 569  | 0.00215  |    -     | 0.00227  |0.03987  |    -     | 0.03995  |</t>
  </si>
  <si>
    <t>| 570  | 0.00233  |    -     | 0.00205  |0.03772  |    -     | 0.03733  |</t>
  </si>
  <si>
    <t>| 571  | 0.00205  |    -     | 0.00189  |0.03770  |    -     | 0.03989  |</t>
  </si>
  <si>
    <t>| 572  | 0.00230  |    -     | 0.00203  |0.03912  |    -     | 0.03730  |</t>
  </si>
  <si>
    <t>| 573  | 0.00225  |    -     | 0.00204  |0.04023  |    -     | 0.04004  |</t>
  </si>
  <si>
    <t>| 574  | 0.00230  |    -     | 0.00204  |0.03583  |    -     | 0.03750  |</t>
  </si>
  <si>
    <t>| 575  | 0.00213  |    -     | 0.00189  |0.04025  |    -     | 0.03551  |</t>
  </si>
  <si>
    <t>| 576  | 0.00225  |    -     | 0.00195  |0.03944  |    -     | 0.03817  |</t>
  </si>
  <si>
    <t>| 577  | 0.00217  |    -     | 0.00208  |0.03976  |    -     | 0.03982  |</t>
  </si>
  <si>
    <t>| 578  | 0.00213  |    -     | 0.00197  |0.03986  |    -     | 0.03511  |</t>
  </si>
  <si>
    <t>| 579  | 0.00214  |    -     | 0.00189  |0.03925  |    -     | 0.03577  |</t>
  </si>
  <si>
    <t>| 580  | 0.00198  |    -     | 0.00199  |0.03349  |    -     | 0.04034  |</t>
  </si>
  <si>
    <t>| 581  | 0.00264  |    -     | 0.00218  |0.03953  |    -     | 0.03983  |</t>
  </si>
  <si>
    <t>| 582  | 0.00223  |    -     | 0.00199  |0.03931  |    -     | 0.03987  |</t>
  </si>
  <si>
    <t>| 583  | 0.00217  |    -     | 0.00204  |0.03960  |    -     | 0.04028  |</t>
  </si>
  <si>
    <t>| 584  | 0.00219  |    -     | 0.00216  |0.04009  |    -     | 0.04016  |</t>
  </si>
  <si>
    <t>| 585  | 0.00220  |    -     | 0.00194  |0.03999  |    -     | 0.04009  |</t>
  </si>
  <si>
    <t>| 586  | 0.00208  |    -     | 0.00194  |0.03857  |    -     | 0.03915  |</t>
  </si>
  <si>
    <t>| 587  | 0.00220  |    -     | 0.00198  |0.03970  |    -     | 0.04009  |</t>
  </si>
  <si>
    <t>| 588  | 0.00231  |    -     | 0.00212  |0.03905  |    -     | 0.03706  |</t>
  </si>
  <si>
    <t>| 589  | 0.00222  |    -     | 0.00200  |0.04086  |    -     | 0.03983  |</t>
  </si>
  <si>
    <t>| 590  | 0.00229  |    -     | 0.00219  |0.03762  |    -     | 0.03911  |</t>
  </si>
  <si>
    <t>| 591  | 0.00230  |    -     | 0.00226  |0.03722  |    -     | 0.04010  |</t>
  </si>
  <si>
    <t>| 592  | 0.00229  |    -     | 0.00214  |0.03995  |    -     | 0.03676  |</t>
  </si>
  <si>
    <t>| 593  | 0.00229  |    -     | 0.00204  |0.04000  |    -     | 0.03880  |</t>
  </si>
  <si>
    <t>| 594  | 0.00250  |    -     | 0.00201  |0.03775  |    -     | 0.04053  |</t>
  </si>
  <si>
    <t>| 595  | 0.00235  |    -     | 0.00214  |0.03780  |    -     | 0.04034  |</t>
  </si>
  <si>
    <t>| 596  | 0.00228  |    -     | 0.00210  |0.03902  |    -     | 0.04030  |</t>
  </si>
  <si>
    <t>| 597  | 0.00212  |    -     | 0.00196  |0.04011  |    -     | 0.03975  |</t>
  </si>
  <si>
    <t>| 598  | 0.00202  |    -     | 0.00196  |0.03991  |    -     | 0.03997  |</t>
  </si>
  <si>
    <t>| 599  | 0.00216  |    -     | 0.00199  |0.03963  |    -     | 0.03869  |</t>
  </si>
  <si>
    <t>| 600  | 0.00222  |    -     | 0.00232  |0.04084  |    -     | 0.03829  |</t>
  </si>
  <si>
    <t>| 601  | 0.00214  |    -     | 0.00197  |0.03689  |    -     | 0.04002  |</t>
  </si>
  <si>
    <t>| 602  | 0.00223  |    -     | 0.00209  |0.03986  |    -     | 0.03998  |</t>
  </si>
  <si>
    <t>| 603  | 0.00219  |    -     | 0.00204  |0.03974  |    -     | 0.03967  |</t>
  </si>
  <si>
    <t>| 604  | 0.00220  |    -     | 0.00191  |0.03908  |    -     | 0.04004  |</t>
  </si>
  <si>
    <t>| 605  | 0.00242  |    -     | 0.00239  |0.03675  |    -     | 0.04031  |</t>
  </si>
  <si>
    <t>| 606  | 0.00226  |    -     | 0.00226  |0.03867  |    -     | 0.04038  |</t>
  </si>
  <si>
    <t>| 607  | 0.00214  |    -     | 0.00203  |0.03957  |    -     | 0.04082  |</t>
  </si>
  <si>
    <t>| 608  | 0.00208  |    -     | 0.00194  |0.03963  |    -     | 0.03920  |</t>
  </si>
  <si>
    <t>| 609  | 0.00207  |    -     | 0.00197  |0.03970  |    -     | 0.03991  |</t>
  </si>
  <si>
    <t>| 610  | 0.00245  |    -     | 0.00239  |0.03560  |    -     | 0.04018  |</t>
  </si>
  <si>
    <t>| 611  | 0.00235  |    -     | 0.00208  |0.04018  |    -     | 0.04012  |</t>
  </si>
  <si>
    <t>| 612  | 0.00256  |    -     | 0.00207  |0.03727  |    -     | 0.04026  |</t>
  </si>
  <si>
    <t>| 613  | 0.00228  |    -     | 0.00212  |0.04010  |    -     | 0.04051  |</t>
  </si>
  <si>
    <t>| 614  | 0.00233  |    -     | 0.00206  |0.03688  |    -     | 0.04027  |</t>
  </si>
  <si>
    <t>| 615  | 0.00234  |    -     | 0.00218  |0.03831  |    -     | 0.04049  |</t>
  </si>
  <si>
    <t>| 616  | 0.00231  |    -     | 0.00206  |0.03901  |    -     | 0.03987  |</t>
  </si>
  <si>
    <t>| 617  | 0.00216  |    -     | 0.00209  |0.03803  |    -     | 0.03952  |</t>
  </si>
  <si>
    <t>| 618  | 0.00215  |    -     | 0.00187  |0.03889  |    -     | 0.04052  |</t>
  </si>
  <si>
    <t>| 619  | 0.00211  |    -     | 0.00195  |0.03973  |    -     | 0.03998  |</t>
  </si>
  <si>
    <t>| 620  | 0.00202  |    -     | 0.00194  |0.03960  |    -     | 0.03989  |</t>
  </si>
  <si>
    <t>| 621  | 0.00221  |    -     | 0.00204  |0.03977  |    -     | 0.03962  |</t>
  </si>
  <si>
    <t>| 622  | 0.00214  |    -     | 0.00202  |0.03824  |    -     | 0.04063  |</t>
  </si>
  <si>
    <t>| 623  | 0.00213  |    -     | 0.00204  |0.03975  |    -     | 0.04030  |</t>
  </si>
  <si>
    <t>| 624  | 0.00203  |    -     | 0.00202  |0.03972  |    -     | 0.03984  |</t>
  </si>
  <si>
    <t>| 625  | 0.00228  |    -     | 0.00211  |0.04146  |    -     | 0.04010  |</t>
  </si>
  <si>
    <t>| 626  | 0.00232  |    -     | 0.00219  |0.03751  |    -     | 0.04001  |</t>
  </si>
  <si>
    <t>| 627  | 0.00214  |    -     | 0.00203  |0.03582  |    -     | 0.03646  |</t>
  </si>
  <si>
    <t>| 628  | 0.00219  |    -     | 0.00229  |0.03713  |    -     | 0.03741  |</t>
  </si>
  <si>
    <t>| 629  | 0.00230  |    -     | 0.00215  |0.03823  |    -     | 0.03636  |</t>
  </si>
  <si>
    <t>| 630  | 0.00218  |    -     | 0.00193  |0.03749  |    -     | 0.03827  |</t>
  </si>
  <si>
    <t>| 631  | 0.00217  |    -     | 0.00220  |0.03970  |    -     | 0.03914  |</t>
  </si>
  <si>
    <t>| 632  | 0.00215  |    -     | 0.00200  |0.04017  |    -     | 0.04051  |</t>
  </si>
  <si>
    <t>| 633  | 0.00230  |    -     | 0.00209  |0.03797  |    -     | 0.03952  |</t>
  </si>
  <si>
    <t>| 634  | 0.00233  |    -     | 0.00256  |0.03598  |    -     | 0.03706  |</t>
  </si>
  <si>
    <t>| 635  | 0.00249  |    -     | 0.00218  |0.03671  |    -     | 0.03803  |</t>
  </si>
  <si>
    <t>| 636  | 0.00215  |    -     | 0.00192  |0.03750  |    -     | 0.03693  |</t>
  </si>
  <si>
    <t>| 637  | 0.00221  |    -     | 0.00214  |0.04489  |    -     | 0.07173  |</t>
  </si>
  <si>
    <t>| 638  | 0.00229  |    -     | 0.00216  |0.03863  |    -     | 0.03994  |</t>
  </si>
  <si>
    <t>| 639  | 0.00215  |    -     | 0.00202  |0.03964  |    -     | 0.03984  |</t>
  </si>
  <si>
    <t>| 640  | 0.00202  |    -     | 0.00206  |0.03760  |    -     | 0.04015  |</t>
  </si>
  <si>
    <t>| 641  | 0.00232  |    -     | 0.00213  |0.03776  |    -     | 0.03985  |</t>
  </si>
  <si>
    <t>| 642  | 0.00228  |    -     | 0.00222  |0.03917  |    -     | 0.03999  |</t>
  </si>
  <si>
    <t>| 643  | 0.00209  |    -     | 0.00193  |0.03968  |    -     | 0.04032  |</t>
  </si>
  <si>
    <t>| 644  | 0.00211  |    -     | 0.00195  |0.03967  |    -     | 0.03673  |</t>
  </si>
  <si>
    <t>| 645  | 0.00222  |    -     | 0.00194  |0.04086  |    -     | 0.04051  |</t>
  </si>
  <si>
    <t>| 646  | 0.00230  |    -     | 0.00194  |0.04077  |    -     | 0.03995  |</t>
  </si>
  <si>
    <t>| 647  | 0.00307  |    -     | 0.00189  |0.03968  |    -     | 0.03988  |</t>
  </si>
  <si>
    <t>| 648  | 0.00219  |    -     | 0.00191  |0.03981  |    -     | 0.03953  |</t>
  </si>
  <si>
    <t>| 649  | 0.00220  |    -     | 0.00205  |0.04035  |    -     | 0.04014  |</t>
  </si>
  <si>
    <t>| 650  | 0.00229  |    -     | 0.00202  |0.03927  |    -     | 0.03994  |</t>
  </si>
  <si>
    <t>| 651  | 0.00225  |    -     | 0.00207  |0.03992  |    -     | 0.03982  |</t>
  </si>
  <si>
    <t>| 652  | 0.00241  |    -     | 0.00206  |0.04026  |    -     | 0.04045  |</t>
  </si>
  <si>
    <t>| 653  | 0.00235  |    -     | 0.00227  |0.03902  |    -     | 0.04053  |</t>
  </si>
  <si>
    <t>| 654  | 0.00235  |    -     | 0.00238  |0.03971  |    -     | 0.03896  |</t>
  </si>
  <si>
    <t>| 655  | 0.00236  |    -     | 0.00209  |0.03704  |    -     | 0.04039  |</t>
  </si>
  <si>
    <t>| 656  | 0.00222  |    -     | 0.00209  |0.03982  |    -     | 0.03785  |</t>
  </si>
  <si>
    <t>| 657  | 0.00210  |    -     | 0.00196  |0.03451  |    -     | 0.04029  |</t>
  </si>
  <si>
    <t>| 658  | 0.00209  |    -     | 0.00190  |0.03975  |    -     | 0.03995  |</t>
  </si>
  <si>
    <t>| 659  | 0.00253  |    -     | 0.00219  |0.03726  |    -     | 0.03826  |</t>
  </si>
  <si>
    <t>| 660  | 0.00221  |    -     | 0.00212  |0.03979  |    -     | 0.03919  |</t>
  </si>
  <si>
    <t>| 661  | 0.00209  |    -     | 0.00192  |0.03956  |    -     | 0.03911  |</t>
  </si>
  <si>
    <t>| 662  | 0.00216  |    -     | 0.00195  |0.03577  |    -     | 0.03616  |</t>
  </si>
  <si>
    <t>| 663  | 0.00218  |    -     | 0.00185  |0.03759  |    -     | 0.03744  |</t>
  </si>
  <si>
    <t>| 664  | 0.00207  |    -     | 0.00192  |0.03339  |    -     | 0.04019  |</t>
  </si>
  <si>
    <t>| 665  | 0.00206  |    -     | 0.00204  |0.03979  |    -     | 0.04014  |</t>
  </si>
  <si>
    <t>| 666  | 0.00212  |    -     | 0.00191  |0.03870  |    -     | 0.04036  |</t>
  </si>
  <si>
    <t>| 667  | 0.00217  |    -     | 0.00194  |0.03924  |    -     | 0.04047  |</t>
  </si>
  <si>
    <t>| 668  | 0.00213  |    -     | 0.00206  |0.03965  |    -     | 0.03980  |</t>
  </si>
  <si>
    <t>| 669  | 0.00216  |    -     | 0.00200  |0.03981  |    -     | 0.03990  |</t>
  </si>
  <si>
    <t>| 670  | 0.00213  |    -     | 0.00199  |0.03972  |    -     | 0.03987  |</t>
  </si>
  <si>
    <t>| 671  | 0.00213  |    -     | 0.00201  |0.03968  |    -     | 0.03987  |</t>
  </si>
  <si>
    <t>| 672  | 0.00220  |    -     | 0.00203  |0.03964  |    -     | 0.04027  |</t>
  </si>
  <si>
    <t>| 673  | 0.00212  |    -     | 0.00199  |0.03978  |    -     | 0.04030  |</t>
  </si>
  <si>
    <t>| 674  | 0.00194  |    -     | 0.00182  |0.03970  |    -     | 0.03698  |</t>
  </si>
  <si>
    <t>| 675  | 0.00217  |    -     | 0.00199  |0.03976  |    -     | 0.03886  |</t>
  </si>
  <si>
    <t>| 676  | 0.00205  |    -     | 0.00205  |0.03983  |    -     | 0.03986  |</t>
  </si>
  <si>
    <t>| 677  | 0.00196  |    -     | 0.00184  |0.03954  |    -     | 0.03832  |</t>
  </si>
  <si>
    <t>| 678  | 0.00213  |    -     | 0.00209  |0.03972  |    -     | 0.04031  |</t>
  </si>
  <si>
    <t>| 679  | 0.00230  |    -     | 0.00208  |0.03993  |    -     | 0.03891  |</t>
  </si>
  <si>
    <t>| 680  | 0.00239  |    -     | 0.00222  |0.03752  |    -     | 0.04013  |</t>
  </si>
  <si>
    <t>| 681  | 0.00253  |    -     | 0.00155  |0.03796  |    -     | 0.03982  |</t>
  </si>
  <si>
    <t>| 682  | 0.00225  |    -     | 0.00201  |0.03980  |    -     | 0.03934  |</t>
  </si>
  <si>
    <t>| 683  | 0.00239  |    -     | 0.00232  |0.03869  |    -     | 0.04044  |</t>
  </si>
  <si>
    <t>| 684  | 0.00285  |    -     | 0.00267  |0.04170  |    -     | 0.03967  |</t>
  </si>
  <si>
    <t>| 685  | 0.00275  |    -     | 0.00243  |0.04099  |    -     | 0.03618  |</t>
  </si>
  <si>
    <t>| 686  | 0.00228  |    -     | 0.00249  |0.03925  |    -     | 0.04032  |</t>
  </si>
  <si>
    <t>| 687  | 0.00249  |    -     | 0.00241  |0.07213  |    -     | 0.04069  |</t>
  </si>
  <si>
    <t>| 688  | 0.00331  |    -     | 0.00257  |0.04041  |    -     | 0.03923  |</t>
  </si>
  <si>
    <t>| 689  | 0.00256  |    -     | 0.00240  |0.04034  |    -     | 0.04434  |</t>
  </si>
  <si>
    <t>| 690  | 0.00225  |    -     | 0.00221  |0.04056  |    -     | 0.03963  |</t>
  </si>
  <si>
    <t>| 691  | 0.00162  |    -     | 0.00207  |0.03719  |    -     | 0.03584  |</t>
  </si>
  <si>
    <t>| 692  | 0.00233  |    -     | 0.00228  |0.04033  |    -     | 0.03847  |</t>
  </si>
  <si>
    <t>| 693  | 0.00234  |    -     | 0.00217  |0.03850  |    -     | 0.04010  |</t>
  </si>
  <si>
    <t>| 694  | 0.00209  |    -     | 0.00197  |0.03982  |    -     | 0.04004  |</t>
  </si>
  <si>
    <t>| 695  | 0.00231  |    -     | 0.00224  |0.03984  |    -     | 0.04034  |</t>
  </si>
  <si>
    <t>| 696  | 0.00212  |    -     | 0.00200  |0.03671  |    -     | 0.04007  |</t>
  </si>
  <si>
    <t>| 697  | 0.00219  |    -     | 0.00195  |0.03853  |    -     | 0.03910  |</t>
  </si>
  <si>
    <t>| 698  | 0.00225  |    -     | 0.00207  |0.03952  |    -     | 0.04036  |</t>
  </si>
  <si>
    <t>| 699  | 0.00244  |    -     | 0.00205  |0.03968  |    -     | 0.03989  |</t>
  </si>
  <si>
    <t>| 700  | 0.00206  |    -     | 0.00193  |0.03970  |    -     | 0.03998  |</t>
  </si>
  <si>
    <t>| 701  | 0.00219  |    -     | 0.00201  |0.03974  |    -     | 0.03996  |</t>
  </si>
  <si>
    <t>| 702  | 0.00210  |    -     | 0.00201  |0.03958  |    -     | 0.03988  |</t>
  </si>
  <si>
    <t>| 703  | 0.00214  |    -     | 0.00186  |0.03980  |    -     | 0.03864  |</t>
  </si>
  <si>
    <t>| 704  | 0.00208  |    -     | 0.00191  |0.03805  |    -     | 0.04006  |</t>
  </si>
  <si>
    <t>| 705  | 0.00204  |    -     | 0.00189  |0.03967  |    -     | 0.03968  |</t>
  </si>
  <si>
    <t>| 706  | 0.00245  |    -     | 0.00214  |0.03969  |    -     | 0.03938  |</t>
  </si>
  <si>
    <t>| 707  | 0.00218  |    -     | 0.00197  |0.03951  |    -     | 0.04016  |</t>
  </si>
  <si>
    <t>| 708  | 0.00208  |    -     | 0.00196  |0.03973  |    -     | 0.04008  |</t>
  </si>
  <si>
    <t>| 709  | 0.00216  |    -     | 0.00190  |0.03984  |    -     | 0.03991  |</t>
  </si>
  <si>
    <t>| 710  | 0.00216  |    -     | 0.00196  |0.03973  |    -     | 0.03835  |</t>
  </si>
  <si>
    <t>| 711  | 0.00208  |    -     | 0.00185  |0.03970  |    -     | 0.03987  |</t>
  </si>
  <si>
    <t>| 712  | 0.00223  |    -     | 0.00206  |0.04023  |    -     | 0.03992  |</t>
  </si>
  <si>
    <t>| 713  | 0.00208  |    -     | 0.00192  |0.03961  |    -     | 0.04042  |</t>
  </si>
  <si>
    <t>| 714  | 0.00205  |    -     | 0.00187  |0.03965  |    -     | 0.04026  |</t>
  </si>
  <si>
    <t>| 715  | 0.00206  |    -     | 0.00188  |0.03947  |    -     | 0.03974  |</t>
  </si>
  <si>
    <t>| 716  | 0.00220  |    -     | 0.00208  |0.03980  |    -     | 0.03911  |</t>
  </si>
  <si>
    <t>| 717  | 0.00222  |    -     | 0.00198  |0.03974  |    -     | 0.03983  |</t>
  </si>
  <si>
    <t>| 718  | 0.00201  |    -     | 0.00191  |0.03962  |    -     | 0.03942  |</t>
  </si>
  <si>
    <t>| 719  | 0.00230  |    -     | 0.00228  |0.03975  |    -     | 0.03537  |</t>
  </si>
  <si>
    <t>| 720  | 0.00223  |    -     | 0.00207  |0.03573  |    -     | 0.04051  |</t>
  </si>
  <si>
    <t>| 721  | 0.00232  |    -     | 0.00206  |0.03915  |    -     | 0.03976  |</t>
  </si>
  <si>
    <t>| 722  | 0.00219  |    -     | 0.00201  |0.03969  |    -     | 0.04008  |</t>
  </si>
  <si>
    <t>| 723  | 0.00223  |    -     | 0.00206  |0.03852  |    -     | 0.04059  |</t>
  </si>
  <si>
    <t>| 724  | 0.00239  |    -     | 0.00230  |0.03991  |    -     | 0.03998  |</t>
  </si>
  <si>
    <t>| 725  | 0.00212  |    -     | 0.00191  |0.03970  |    -     | 0.04010  |</t>
  </si>
  <si>
    <t>| 726  | 0.00224  |    -     | 0.00199  |0.03977  |    -     | 0.03997  |</t>
  </si>
  <si>
    <t>| 727  | 0.00217  |    -     | 0.00193  |0.03971  |    -     | 0.03989  |</t>
  </si>
  <si>
    <t>| 728  | 0.00214  |    -     | 0.00187  |0.03970  |    -     | 0.03987  |</t>
  </si>
  <si>
    <t>| 729  | 0.00210  |    -     | 0.00198  |0.03965  |    -     | 0.03712  |</t>
  </si>
  <si>
    <t>| 730  | 0.00214  |    -     | 0.00206  |0.03977  |    -     | 0.04003  |</t>
  </si>
  <si>
    <t>| 731  | 0.00206  |    -     | 0.00219  |0.03995  |    -     | 0.03985  |</t>
  </si>
  <si>
    <t>| 732  | 0.00202  |    -     | 0.00193  |0.03967  |    -     | 0.04044  |</t>
  </si>
  <si>
    <t>| 733  | 0.00210  |    -     | 0.00182  |0.03913  |    -     | 0.04054  |</t>
  </si>
  <si>
    <t>| 734  | 0.00210  |    -     | 0.00199  |0.03963  |    -     | 0.03489  |</t>
  </si>
  <si>
    <t>| 735  | 0.00210  |    -     | 0.00187  |0.03996  |    -     | 0.03986  |</t>
  </si>
  <si>
    <t>| 736  | 0.00204  |    -     | 0.00181  |0.03956  |    -     | 0.03993  |</t>
  </si>
  <si>
    <t>| 737  | 0.00230  |    -     | 0.00201  |0.03976  |    -     | 0.04021  |</t>
  </si>
  <si>
    <t>| 738  | 0.00224  |    -     | 0.00208  |0.03977  |    -     | 0.03834  |</t>
  </si>
  <si>
    <t>| 739  | 0.00221  |    -     | 0.00198  |0.03991  |    -     | 0.03982  |</t>
  </si>
  <si>
    <t>| 740  | 0.00214  |    -     | 0.00188  |0.03968  |    -     | 0.03996  |</t>
  </si>
  <si>
    <t>| 741  | 0.00214  |    -     | 0.00196  |0.03975  |    -     | 0.03981  |</t>
  </si>
  <si>
    <t>| 742  | 0.00205  |    -     | 0.00202  |0.03470  |    -     | 0.03989  |</t>
  </si>
  <si>
    <t>| 743  | 0.00232  |    -     | 0.00205  |0.03893  |    -     | 0.04040  |</t>
  </si>
  <si>
    <t>| 744  | 0.00215  |    -     | 0.00197  |0.03803  |    -     | 0.04057  |</t>
  </si>
  <si>
    <t>| 745  | 0.00216  |    -     | 0.00191  |0.03965  |    -     | 0.04008  |</t>
  </si>
  <si>
    <t>| 746  | 0.00215  |    -     | 0.00196  |0.03972  |    -     | 0.03995  |</t>
  </si>
  <si>
    <t>| 747  | 0.00212  |    -     | 0.00196  |0.03972  |    -     | 0.03985  |</t>
  </si>
  <si>
    <t>| 748  | 0.00205  |    -     | 0.00191  |0.03978  |    -     | 0.03981  |</t>
  </si>
  <si>
    <t>| 749  | 0.00231  |    -     | 0.00196  |0.03982  |    -     | 0.04002  |</t>
  </si>
  <si>
    <t>| 750  | 0.00207  |    -     | 0.00196  |0.03763  |    -     | 0.03985  |</t>
  </si>
  <si>
    <t>| 751  | 0.00209  |    -     | 0.00197  |0.03977  |    -     | 0.04086  |</t>
  </si>
  <si>
    <t>| 752  | 0.00204  |    -     | 0.00196  |0.03967  |    -     | 0.04018  |</t>
  </si>
  <si>
    <t>| 753  | 0.00222  |    -     | 0.00215  |0.03984  |    -     | 0.03997  |</t>
  </si>
  <si>
    <t>| 754  | 0.00212  |    -     | 0.00193  |0.04036  |    -     | 0.03948  |</t>
  </si>
  <si>
    <t>| 755  | 0.00211  |    -     | 0.00201  |0.03963  |    -     | 0.03648  |</t>
  </si>
  <si>
    <t>| 756  | 0.00225  |    -     | 0.00220  |0.03949  |    -     | 0.03989  |</t>
  </si>
  <si>
    <t>| 757  | 0.00211  |    -     | 0.00198  |0.04048  |    -     | 0.03820  |</t>
  </si>
  <si>
    <t>| 758  | 0.00249  |    -     | 0.00227  |0.04036  |    -     | 0.03994  |</t>
  </si>
  <si>
    <t>| 759  | 0.00218  |    -     | 0.00201  |0.03974  |    -     | 0.03985  |</t>
  </si>
  <si>
    <t>| 760  | 0.00216  |    -     | 0.00201  |0.03976  |    -     | 0.03977  |</t>
  </si>
  <si>
    <t>| 761  | 0.00209  |    -     | 0.00187  |0.03967  |    -     | 0.04031  |</t>
  </si>
  <si>
    <t>| 762  | 0.00213  |    -     | 0.00200  |0.03973  |    -     | 0.03992  |</t>
  </si>
  <si>
    <t>| 763  | 0.00203  |    -     | 0.00187  |0.03970  |    -     | 0.03696  |</t>
  </si>
  <si>
    <t>| 764  | 0.00214  |    -     | 0.00191  |0.03976  |    -     | 0.03980  |</t>
  </si>
  <si>
    <t>| 765  | 0.00207  |    -     | 0.00184  |0.03619  |    -     | 0.03987  |</t>
  </si>
  <si>
    <t>| 766  | 0.00209  |    -     | 0.00183  |0.03952  |    -     | 0.03986  |</t>
  </si>
  <si>
    <t>| 767  | 0.00221  |    -     | 0.00201  |0.03686  |    -     | 0.04002  |</t>
  </si>
  <si>
    <t>| 768  | 0.00214  |    -     | 0.00200  |0.03978  |    -     | 0.03995  |</t>
  </si>
  <si>
    <t>| 769  | 0.00208  |    -     | 0.00196  |0.03963  |    -     | 0.03984  |</t>
  </si>
  <si>
    <t>| 770  | 0.00206  |    -     | 0.00196  |0.03967  |    -     | 0.03984  |</t>
  </si>
  <si>
    <t>| 771  | 0.00208  |    -     | 0.00193  |0.03969  |    -     | 0.03977  |</t>
  </si>
  <si>
    <t>| 772  | 0.00211  |    -     | 0.00186  |0.03974  |    -     | 0.03989  |</t>
  </si>
  <si>
    <t>| 773  | 0.00313  |    -     | 0.01021  |0.07865  |    -     | 0.03997  |</t>
  </si>
  <si>
    <t>| 774  | 0.00212  |    -     | 0.00197  |0.03968  |    -     | 0.03982  |</t>
  </si>
  <si>
    <t>| 775  | 0.00208  |    -     | 0.00206  |0.03975  |    -     | 0.03992  |</t>
  </si>
  <si>
    <t>| 776  | 0.00225  |    -     | 0.00200  |0.03972  |    -     | 0.04001  |</t>
  </si>
  <si>
    <t>| 777  | 0.00187  |    -     | 0.00201  |0.03977  |    -     | 0.03990  |</t>
  </si>
  <si>
    <t>| 778  | 0.00217  |    -     | 0.00201  |0.03970  |    -     | 0.03976  |</t>
  </si>
  <si>
    <t>| 779  | 0.00203  |    -     | 0.00192  |0.03967  |    -     | 0.03980  |</t>
  </si>
  <si>
    <t>| 780  | 0.00191  |    -     | 0.00181  |0.03975  |    -     | 0.04001  |</t>
  </si>
  <si>
    <t>| 781  | 0.00216  |    -     | 0.00197  |0.03966  |    -     | 0.03984  |</t>
  </si>
  <si>
    <t>| 782  | 0.00212  |    -     | 0.00195  |0.03965  |    -     | 0.03938  |</t>
  </si>
  <si>
    <t>| 783  | 0.00225  |    -     | 0.00203  |0.03784  |    -     | 0.03984  |</t>
  </si>
  <si>
    <t>| 784  | 0.00217  |    -     | 0.00196  |0.03972  |    -     | 0.03985  |</t>
  </si>
  <si>
    <t>| 785  | 0.00199  |    -     | 0.00200  |0.03981  |    -     | 0.03979  |</t>
  </si>
  <si>
    <t>| 786  | 0.00211  |    -     | 0.00197  |0.03918  |    -     | 0.03988  |</t>
  </si>
  <si>
    <t>| 787  | 0.00213  |    -     | 0.00197  |0.03966  |    -     | 0.03883  |</t>
  </si>
  <si>
    <t>| 788  | 0.00212  |    -     | 0.00196  |0.03978  |    -     | 0.04001  |</t>
  </si>
  <si>
    <t>| 789  | 0.00218  |    -     | 0.00197  |0.03983  |    -     | 0.03989  |</t>
  </si>
  <si>
    <t>| 790  | 0.00210  |    -     | 0.00216  |0.04037  |    -     | 0.03739  |</t>
  </si>
  <si>
    <t>| 791  | 0.00223  |    -     | 0.00188  |0.03751  |    -     | 0.04056  |</t>
  </si>
  <si>
    <t>| 792  | 0.00237  |    -     | 0.00226  |0.04002  |    -     | 0.03909  |</t>
  </si>
  <si>
    <t>| 793  | 0.00203  |    -     | 0.00208  |0.03749  |    -     | 0.04009  |</t>
  </si>
  <si>
    <t>| 794  | 0.00215  |    -     | 0.00217  |0.03983  |    -     | 0.03665  |</t>
  </si>
  <si>
    <t>| 795  | 0.00221  |    -     | 0.00207  |0.04027  |    -     | 0.03767  |</t>
  </si>
  <si>
    <t>| 796  | 0.00205  |    -     | 0.00192  |0.04027  |    -     | 0.04028  |</t>
  </si>
  <si>
    <t>| 797  | 0.00236  |    -     | 0.00212  |0.03784  |    -     | 0.03666  |</t>
  </si>
  <si>
    <t>| 798  | 0.00243  |    -     | 0.00267  |0.03996  |    -     | 0.03787  |</t>
  </si>
  <si>
    <t>| 799  | 0.00226  |    -     | 0.00219  |0.03647  |    -     | 0.03481  |</t>
  </si>
  <si>
    <t>| 800  | 0.00216  |    -     | 0.00206  |0.03637  |    -     | 0.04011  |</t>
  </si>
  <si>
    <t>| 801  | 0.00224  |    -     | 0.00218  |0.04041  |    -     | 0.03983  |</t>
  </si>
  <si>
    <t>| 802  | 0.00211  |    -     | 0.00197  |0.03911  |    -     | 0.03947  |</t>
  </si>
  <si>
    <t>| 803  | 0.00223  |    -     | 0.00177  |0.03932  |    -     | 0.03985  |</t>
  </si>
  <si>
    <t>| 804  | 0.00200  |    -     | 0.00195  |0.03958  |    -     | 0.03557  |</t>
  </si>
  <si>
    <t>| 805  | 0.00217  |    -     | 0.00178  |0.03929  |    -     | 0.03983  |</t>
  </si>
  <si>
    <t>| 806  | 0.00208  |    -     | 0.00186  |0.03945  |    -     | 0.03982  |</t>
  </si>
  <si>
    <t>| 807  | 0.00213  |    -     | 0.00202  |0.03969  |    -     | 0.03526  |</t>
  </si>
  <si>
    <t>| 808  | 0.00204  |    -     | 0.00188  |0.03986  |    -     | 0.04089  |</t>
  </si>
  <si>
    <t>| 809  | 0.00229  |    -     | 0.00192  |0.03988  |    -     | 0.04005  |</t>
  </si>
  <si>
    <t>| 810  | 0.00220  |    -     | 0.00197  |0.03764  |    -     | 0.03995  |</t>
  </si>
  <si>
    <t>| 811  | 0.00214  |    -     | 0.00193  |0.03965  |    -     | 0.04014  |</t>
  </si>
  <si>
    <t>| 812  | 0.00212  |    -     | 0.00196  |0.03973  |    -     | 0.03963  |</t>
  </si>
  <si>
    <t>| 813  | 0.00201  |    -     | 0.00191  |0.03969  |    -     | 0.03972  |</t>
  </si>
  <si>
    <t>| 814  | 0.00204  |    -     | 0.00188  |0.03969  |    -     | 0.03993  |</t>
  </si>
  <si>
    <t>| 815  | 0.00212  |    -     | 0.00191  |0.03967  |    -     | 0.03985  |</t>
  </si>
  <si>
    <t>| 816  | 0.00197  |    -     | 0.00185  |0.03968  |    -     | 0.04039  |</t>
  </si>
  <si>
    <t>| 817  | 0.00209  |    -     | 0.00190  |0.03840  |    -     | 0.04097  |</t>
  </si>
  <si>
    <t>| 818  | 0.00222  |    -     | 0.00208  |0.03793  |    -     | 0.03985  |</t>
  </si>
  <si>
    <t>| 819  | 0.00208  |    -     | 0.00195  |0.03963  |    -     | 0.03984  |</t>
  </si>
  <si>
    <t>| 820  | 0.00215  |    -     | 0.00198  |0.03966  |    -     | 0.03991  |</t>
  </si>
  <si>
    <t>| 821  | 0.00221  |    -     | 0.00204  |0.03962  |    -     | 0.03983  |</t>
  </si>
  <si>
    <t>| 822  | 0.00203  |    -     | 0.00190  |0.03961  |    -     | 0.03981  |</t>
  </si>
  <si>
    <t>| 823  | 0.00222  |    -     | 0.00194  |0.04054  |    -     | 0.03651  |</t>
  </si>
  <si>
    <t>| 824  | 0.00206  |    -     | 0.00187  |0.04008  |    -     | 0.04059  |</t>
  </si>
  <si>
    <t>| 825  | 0.00212  |    -     | 0.00199  |0.03968  |    -     | 0.04018  |</t>
  </si>
  <si>
    <t>| 826  | 0.00217  |    -     | 0.00193  |0.03975  |    -     | 0.03999  |</t>
  </si>
  <si>
    <t>| 827  | 0.00218  |    -     | 0.00197  |0.04017  |    -     | 0.03978  |</t>
  </si>
  <si>
    <t>| 828  | 0.00205  |    -     | 0.00194  |0.03968  |    -     | 0.03987  |</t>
  </si>
  <si>
    <t>| 829  | 0.00212  |    -     | 0.00203  |0.03974  |    -     | 0.03983  |</t>
  </si>
  <si>
    <t>| 830  | 0.00205  |    -     | 0.00203  |0.03972  |    -     | 0.03987  |</t>
  </si>
  <si>
    <t>| 831  | 0.00211  |    -     | 0.00200  |0.03965  |    -     | 0.03993  |</t>
  </si>
  <si>
    <t>| 832  | 0.00220  |    -     | 0.00197  |0.03979  |    -     | 0.03990  |</t>
  </si>
  <si>
    <t>| 833  | 0.00214  |    -     | 0.00193  |0.03955  |    -     | 0.03988  |</t>
  </si>
  <si>
    <t>| 834  | 0.00218  |    -     | 0.00197  |0.03971  |    -     | 0.03986  |</t>
  </si>
  <si>
    <t>| 835  | 0.00214  |    -     | 0.00188  |0.04018  |    -     | 0.03749  |</t>
  </si>
  <si>
    <t>| 836  | 0.00223  |    -     | 0.00198  |0.03971  |    -     | 0.03990  |</t>
  </si>
  <si>
    <t>| 837  | 0.00214  |    -     | 0.00208  |0.03957  |    -     | 0.03974  |</t>
  </si>
  <si>
    <t>| 838  | 0.00217  |    -     | 0.00196  |0.03971  |    -     | 0.03988  |</t>
  </si>
  <si>
    <t>| 839  | 0.00201  |    -     | 0.00189  |0.03960  |    -     | 0.04041  |</t>
  </si>
  <si>
    <t>| 840  | 0.00216  |    -     | 0.00189  |0.03959  |    -     | 0.03915  |</t>
  </si>
  <si>
    <t>| 841  | 0.00215  |    -     | 0.00201  |0.03978  |    -     | 0.03997  |</t>
  </si>
  <si>
    <t>| 842  | 0.00304  |    -     | 0.00192  |0.03976  |    -     | 0.03994  |</t>
  </si>
  <si>
    <t>| 843  | 0.00217  |    -     | 0.00216  |0.03959  |    -     | 0.03969  |</t>
  </si>
  <si>
    <t>| 844  | 0.00203  |    -     | 0.00193  |0.03972  |    -     | 0.03709  |</t>
  </si>
  <si>
    <t>| 845  | 0.00218  |    -     | 0.00197  |0.03980  |    -     | 0.03952  |</t>
  </si>
  <si>
    <t>| 846  | 0.00202  |    -     | 0.00181  |0.03953  |    -     | 0.03963  |</t>
  </si>
  <si>
    <t>| 847  | 0.00200  |    -     | 0.00201  |0.03974  |    -     | 0.03986  |</t>
  </si>
  <si>
    <t>| 848  | 0.00251  |    -     | 0.00226  |0.07740  |    -     | 0.04032  |</t>
  </si>
  <si>
    <t>| 849  | 0.00230  |    -     | 0.00215  |0.04003  |    -     | 0.04010  |</t>
  </si>
  <si>
    <t>| 850  | 0.00214  |    -     | 0.00200  |0.03973  |    -     | 0.03947  |</t>
  </si>
  <si>
    <t>| 851  | 0.00208  |    -     | 0.00199  |0.03975  |    -     | 0.03736  |</t>
  </si>
  <si>
    <t>| 852  | 0.00214  |    -     | 0.00203  |0.03976  |    -     | 0.03973  |</t>
  </si>
  <si>
    <t>| 853  | 0.00208  |    -     | 0.00195  |0.03967  |    -     | 0.04036  |</t>
  </si>
  <si>
    <t>| 854  | 0.00215  |    -     | 0.00204  |0.03967  |    -     | 0.04055  |</t>
  </si>
  <si>
    <t>| 855  | 0.00213  |    -     | 0.00196  |0.04017  |    -     | 0.03971  |</t>
  </si>
  <si>
    <t>| 856  | 0.00218  |    -     | 0.00194  |0.03967  |    -     | 0.03975  |</t>
  </si>
  <si>
    <t>| 857  | 0.00204  |    -     | 0.00190  |0.03956  |    -     | 0.04018  |</t>
  </si>
  <si>
    <t>| 858  | 0.00210  |    -     | 0.00198  |0.03967  |    -     | 0.03976  |</t>
  </si>
  <si>
    <t>| 859  | 0.00207  |    -     | 0.00186  |0.03969  |    -     | 0.03674  |</t>
  </si>
  <si>
    <t>| 860  | 0.00247  |    -     | 0.00202  |0.03967  |    -     | 0.03868  |</t>
  </si>
  <si>
    <t>| 861  | 0.00244  |    -     | 0.00232  |0.03746  |    -     | 0.04010  |</t>
  </si>
  <si>
    <t>| 862  | 0.00228  |    -     | 0.00195  |0.03851  |    -     | 0.03930  |</t>
  </si>
  <si>
    <t>| 863  | 0.00214  |    -     | 0.00199  |0.03953  |    -     | 0.04029  |</t>
  </si>
  <si>
    <t>| 864  | 0.00208  |    -     | 0.00197  |0.03966  |    -     | 0.03977  |</t>
  </si>
  <si>
    <t>| 865  | 0.00258  |    -     | 0.00224  |0.03893  |    -     | 0.04017  |</t>
  </si>
  <si>
    <t>| 866  | 0.00269  |    -     | 0.00248  |0.03765  |    -     | 0.04014  |</t>
  </si>
  <si>
    <t>| 867  | 0.00224  |    -     | 0.00214  |0.04012  |    -     | 0.03981  |</t>
  </si>
  <si>
    <t>| 868  | 0.00207  |    -     | 0.00198  |0.04015  |    -     | 0.03987  |</t>
  </si>
  <si>
    <t>| 869  | 0.00219  |    -     | 0.00192  |0.03971  |    -     | 0.04000  |</t>
  </si>
  <si>
    <t>| 870  | 0.00212  |    -     | 0.00199  |0.03834  |    -     | 0.03986  |</t>
  </si>
  <si>
    <t>| 871  | 0.00206  |    -     | 0.00188  |0.03961  |    -     | 0.03854  |</t>
  </si>
  <si>
    <t>| 872  | 0.00202  |    -     | 0.00183  |0.03949  |    -     | 0.03988  |</t>
  </si>
  <si>
    <t>| 873  | 0.00197  |    -     | 0.00182  |0.03769  |    -     | 0.03979  |</t>
  </si>
  <si>
    <t>| 874  | 0.00215  |    -     | 0.00197  |0.03964  |    -     | 0.03985  |</t>
  </si>
  <si>
    <t>| 875  | 0.00207  |    -     | 0.00193  |0.03973  |    -     | 0.03992  |</t>
  </si>
  <si>
    <t>| 876  | 0.00217  |    -     | 0.00196  |0.03958  |    -     | 0.03660  |</t>
  </si>
  <si>
    <t>| 877  | 0.00213  |    -     | 0.00198  |0.03968  |    -     | 0.03956  |</t>
  </si>
  <si>
    <t>| 878  | 0.00214  |    -     | 0.00198  |0.03607  |    -     | 0.04002  |</t>
  </si>
  <si>
    <t>| 879  | 0.00205  |    -     | 0.00185  |0.03933  |    -     | 0.04013  |</t>
  </si>
  <si>
    <t>| 880  | 0.00219  |    -     | 0.00206  |0.03978  |    -     | 0.03996  |</t>
  </si>
  <si>
    <t>| 881  | 0.00210  |    -     | 0.00199  |0.03989  |    -     | 0.03890  |</t>
  </si>
  <si>
    <t>| 882  | 0.00253  |    -     | 0.00219  |0.03739  |    -     | 0.03958  |</t>
  </si>
  <si>
    <t>| 883  | 0.00204  |    -     | 0.00187  |0.03630  |    -     | 0.03746  |</t>
  </si>
  <si>
    <t>| 884  | 0.00208  |    -     | 0.00197  |0.03842  |    -     | 0.03965  |</t>
  </si>
  <si>
    <t>| 885  | 0.00206  |    -     | 0.00192  |0.07495  |    -     | 0.03995  |</t>
  </si>
  <si>
    <t>| 886  | 0.00212  |    -     | 0.00199  |0.03964  |    -     | 0.03872  |</t>
  </si>
  <si>
    <t>| 887  | 0.00224  |    -     | 0.00190  |0.04094  |    -     | 0.03991  |</t>
  </si>
  <si>
    <t>| 888  | 0.00203  |    -     | 0.00187  |0.03961  |    -     | 0.03746  |</t>
  </si>
  <si>
    <t>| 889  | 0.00209  |    -     | 0.00191  |0.03838  |    -     | 0.03994  |</t>
  </si>
  <si>
    <t>| 890  | 0.00217  |    -     | 0.00200  |0.03410  |    -     | 0.03981  |</t>
  </si>
  <si>
    <t>| 891  | 0.00212  |    -     | 0.00191  |0.03523  |    -     | 0.03806  |</t>
  </si>
  <si>
    <t>| 892  | 0.00238  |    -     | 0.00217  |0.03751  |    -     | 0.03819  |</t>
  </si>
  <si>
    <t>| 893  | 0.00224  |    -     | 0.00207  |0.03924  |    -     | 0.04036  |</t>
  </si>
  <si>
    <t>| 894  | 0.00207  |    -     | 0.00207  |0.03976  |    -     | 0.04047  |</t>
  </si>
  <si>
    <t>| 895  | 0.00216  |    -     | 0.00202  |0.03967  |    -     | 0.04048  |</t>
  </si>
  <si>
    <t>| 896  | 0.00204  |    -     | 0.00193  |0.04004  |    -     | 0.04002  |</t>
  </si>
  <si>
    <t>| 897  | 0.00228  |    -     | 0.00200  |0.03981  |    -     | 0.03932  |</t>
  </si>
  <si>
    <t>| 898  | 0.00229  |    -     | 0.00208  |0.03975  |    -     | 0.04058  |</t>
  </si>
  <si>
    <t>| 899  | 0.00231  |    -     | 0.00203  |0.03811  |    -     | 0.04060  |</t>
  </si>
  <si>
    <t>| 900  | 0.00222  |    -     | 0.00205  |0.03594  |    -     | 0.03996  |</t>
  </si>
  <si>
    <t>| 1    | 0.00241  | 0.00213  | 0.00214  |0.03958  | 0.03593  | 0.03826  |</t>
  </si>
  <si>
    <t>| 2    | 0.00206  | 0.00187  | 0.00183  |0.03958  | 0.03967  | 0.03968  |</t>
  </si>
  <si>
    <t>| 3    | 0.00198  | 0.00180  | 0.00179  |0.03949  | 0.03977  | 0.03979  |</t>
  </si>
  <si>
    <t>| 4    | 0.00206  | 0.00189  | 0.00183  |0.03886  | 0.03980  | 0.03732  |</t>
  </si>
  <si>
    <t>| 5    | 0.00201  | 0.00186  | 0.00181  |0.03951  | 0.03967  | 0.03969  |</t>
  </si>
  <si>
    <t>| 6    | 0.00201  | 0.00179  | 0.00181  |0.03952  | 0.03928  | 0.03970  |</t>
  </si>
  <si>
    <t>| 7    | 0.00199  | 0.00181  | 0.00180  |0.03951  | 0.03868  | 0.03914  |</t>
  </si>
  <si>
    <t>| 8    | 0.00203  | 0.00181  | 0.00181  |0.03949  | 0.03966  | 0.03725  |</t>
  </si>
  <si>
    <t>| 9    | 0.00208  | 0.00186  | 0.00182  |0.04004  | 0.03972  | 0.03982  |</t>
  </si>
  <si>
    <t>| 10   | 0.00208  | 0.00200  | 0.00198  |0.03962  | 0.03944  | 0.03983  |</t>
  </si>
  <si>
    <t>| 11   | 0.00214  | 0.00191  | 0.00189  |0.03967  | 0.03971  | 0.03991  |</t>
  </si>
  <si>
    <t>| 12   | 0.00213  | 0.00197  | 0.00188  |0.03969  | 0.03984  | 0.03984  |</t>
  </si>
  <si>
    <t>| 13   | 0.00219  | 0.00202  | 0.00199  |0.03920  | 0.03983  | 0.03986  |</t>
  </si>
  <si>
    <t>| 14   | 0.00209  | 0.00197  | 0.00197  |0.03968  | 0.03984  | 0.03991  |</t>
  </si>
  <si>
    <t>| 15   | 0.00207  | 0.00195  | 0.00198  |0.03962  | 0.03981  | 0.03987  |</t>
  </si>
  <si>
    <t>| 16   | 0.00217  | 0.00198  | 0.00188  |0.03944  | 0.03981  | 0.03986  |</t>
  </si>
  <si>
    <t>| 17   | 0.00216  | 0.00200  | 0.00192  |0.03813  | 0.03984  | 0.04011  |</t>
  </si>
  <si>
    <t>| 18   | 0.00221  | 0.00200  | 0.00214  |0.03664  | 0.04085  | 0.03581  |</t>
  </si>
  <si>
    <t>| 19   | 0.00219  | 0.00209  | 0.00193  |0.03451  | 0.03833  | 0.04052  |</t>
  </si>
  <si>
    <t>| 20   | 0.00211  | 0.00199  | 0.00196  |0.03965  | 0.03857  | 0.03983  |</t>
  </si>
  <si>
    <t>| 21   | 0.00207  | 0.00192  | 0.00187  |0.03966  | 0.04014  | 0.03680  |</t>
  </si>
  <si>
    <t>| 22   | 0.00220  | 0.00202  | 0.00205  |0.03523  | 0.03988  | 0.04048  |</t>
  </si>
  <si>
    <t>| 23   | 0.00215  | 0.00197  | 0.00198  |0.03966  | 0.03979  | 0.04002  |</t>
  </si>
  <si>
    <t>| 24   | 0.00230  | 0.00195  | 0.00197  |0.03978  | 0.07702  | 0.03986  |</t>
  </si>
  <si>
    <t>| 25   | 0.00197  | 0.00183  | 0.00209  |0.03977  | 0.07690  | 0.03984  |</t>
  </si>
  <si>
    <t>| 26   | 0.00215  | 0.00451  | 0.00197  |0.03961  | 0.07688  | 0.03989  |</t>
  </si>
  <si>
    <t>| 27   | 0.00212  | 0.00454  | 0.00200  |0.03975  | 0.13189  | 0.04000  |</t>
  </si>
  <si>
    <t>| 28   | 0.00214  | 0.00451  | 0.00188  |0.03963  | 0.12959  | 0.03981  |</t>
  </si>
  <si>
    <t>| 29   | 0.00214  | 0.00955  | 0.00202  |0.03975  | 0.23528  | 0.04011  |</t>
  </si>
  <si>
    <t>| 30   | 0.00201  | 0.00954  | 0.00198  |0.03944  | 0.29603  | 0.04005  |</t>
  </si>
  <si>
    <t>| 31   | 0.00209  | 0.01957  | 0.00195  |0.03941  | 0.46201  | 0.03997  |</t>
  </si>
  <si>
    <t>| 32   | 0.00199  | 0.03945  | 0.00207  |0.03979  | 0.68195  | 0.04002  |</t>
  </si>
  <si>
    <t>| 33   | 0.00211  | 0.03947  | 0.00193  |0.03960  | 1.12088  | 0.03989  |</t>
  </si>
  <si>
    <t>| 34   | 0.00228  | 0.07654  | 0.00200  |0.03978  | 1.77436  | 0.03794  |</t>
  </si>
  <si>
    <t>| 35   | 0.00214  | 0.12974  | 0.00219  |0.03990  | 2.80348  | 0.03994  |</t>
  </si>
  <si>
    <t>| 36   | 0.00213  | 0.18335  | 0.00223  |0.03844  | 4.51063  | 0.03992  |</t>
  </si>
  <si>
    <t>| 37   | 0.00226  | 0.23959  | 0.00246  |0.04001  | 7.27336  | 0.04035  |</t>
  </si>
  <si>
    <t>| 38   | 0.00202  | 0.35153  | 0.00229  |0.04006  | 11.78068 | 0.04020  |</t>
  </si>
  <si>
    <t>| 39   | 0.00210  | 0.56913  | 0.00291  |0.04007  | 19.31912 | 0.03467  |</t>
  </si>
  <si>
    <t>| 40   | 0.00228  | 0.93276  | 0.00277  |0.04020  | 31.24497 | 0.04053  |</t>
  </si>
  <si>
    <t>| 41   | 0.00211  | 1.48884  | 0.00287  |0.04039  | 50.07652 | 0.03992  |</t>
  </si>
  <si>
    <t>| 42   | 0.00198  | 2.32484  | 0.00297  |0.04001  |    -     | 0.03932  |</t>
  </si>
  <si>
    <t>| 43   | 0.00223  | 3.82179  | 0.00250  |0.03829  |    -     | 0.04014  |</t>
  </si>
  <si>
    <t>| 44   | 0.00235  | 6.18741  | 0.00235  |0.03935  |    -     | 0.04004  |</t>
  </si>
  <si>
    <t>| 45   | 0.00223  | 9.89309  | 0.00201  |0.03968  |    -     | 0.04019  |</t>
  </si>
  <si>
    <t>| 46   | 0.00230  | 15.82282 | 0.00315  |0.03935  |    -     | 0.03992  |</t>
  </si>
  <si>
    <t>| 47   | 0.00224  | 25.47745 | 0.00249  |0.04033  |    -     | 0.03990  |</t>
  </si>
  <si>
    <t>| 48   | 0.00205  | 41.58196 | 0.00316  |0.03992  |    -     | 0.03976  |</t>
  </si>
  <si>
    <t>| 49   | 0.00208  |    -     | 0.00312  |0.04031  |    -     | 0.03974  |</t>
  </si>
  <si>
    <t>| 50   | 0.00211  |    -     | 0.00196  |0.03958  |    -     | 0.03986  |</t>
  </si>
  <si>
    <t>| 51   | 0.00212  |    -     | 0.00195  |0.03969  |    -     | 0.03977  |</t>
  </si>
  <si>
    <t>| 52   | 0.00206  |    -     | 0.00184  |0.03884  |    -     | 0.03990  |</t>
  </si>
  <si>
    <t>| 53   | 0.00204  |    -     | 0.00184  |0.03960  |    -     | 0.03981  |</t>
  </si>
  <si>
    <t>| 54   | 0.00497  |    -     | 0.00232  |0.04523  |    -     | 0.04486  |</t>
  </si>
  <si>
    <t>| 55   | 0.00222  |    -     | 0.00193  |0.03978  |    -     | 0.03966  |</t>
  </si>
  <si>
    <t>| 56   | 0.00212  |    -     | 0.00197  |0.03963  |    -     | 0.03981  |</t>
  </si>
  <si>
    <t>| 57   | 0.00209  |    -     | 0.00187  |0.03977  |    -     | 0.03982  |</t>
  </si>
  <si>
    <t>| 58   | 0.00203  |    -     | 0.00191  |0.04000  |    -     | 0.04011  |</t>
  </si>
  <si>
    <t>| 59   | 0.00239  |    -     | 0.00196  |0.03958  |    -     | 0.04033  |</t>
  </si>
  <si>
    <t>| 60   | 0.00198  |    -     | 0.00186  |0.03957  |    -     | 0.03978  |</t>
  </si>
  <si>
    <t>| 61   | 0.00213  |    -     | 0.00194  |0.03964  |    -     | 0.03631  |</t>
  </si>
  <si>
    <t>| 62   | 0.00216  |    -     | 0.00184  |0.03931  |    -     | 0.03976  |</t>
  </si>
  <si>
    <t>| 63   | 0.00210  |    -     | 0.00191  |0.03968  |    -     | 0.03984  |</t>
  </si>
  <si>
    <t>| 64   | 0.00202  |    -     | 0.00192  |0.03745  |    -     | 0.03750  |</t>
  </si>
  <si>
    <t>| 65   | 0.00209  |    -     | 0.00194  |0.03957  |    -     | 0.03542  |</t>
  </si>
  <si>
    <t>| 66   | 0.00210  |    -     | 0.00184  |0.03758  |    -     | 0.03903  |</t>
  </si>
  <si>
    <t>| 67   | 0.00199  |    -     | 0.00196  |0.03609  |    -     | 0.03963  |</t>
  </si>
  <si>
    <t>| 68   | 0.00183  |    -     | 0.00199  |0.03960  |    -     | 0.03905  |</t>
  </si>
  <si>
    <t>| 69   | 0.00217  |    -     | 0.00201  |0.03970  |    -     | 0.03980  |</t>
  </si>
  <si>
    <t>| 70   | 0.00209  |    -     | 0.00198  |0.03965  |    -     | 0.03997  |</t>
  </si>
  <si>
    <t>| 71   | 0.00228  |    -     | 0.00200  |0.03969  |    -     | 0.03983  |</t>
  </si>
  <si>
    <t>| 72   | 0.00209  |    -     | 0.00195  |0.03920  |    -     | 0.03976  |</t>
  </si>
  <si>
    <t>| 73   | 0.00201  |    -     | 0.00184  |0.03963  |    -     | 0.03986  |</t>
  </si>
  <si>
    <t>| 74   | 0.00202  |    -     | 0.00198  |0.03970  |    -     | 0.03994  |</t>
  </si>
  <si>
    <t>| 75   | 0.00205  |    -     | 0.00201  |0.03962  |    -     | 0.03992  |</t>
  </si>
  <si>
    <t>| 76   | 0.00221  |    -     | 0.00199  |0.03972  |    -     | 0.03987  |</t>
  </si>
  <si>
    <t>| 77   | 0.00212  |    -     | 0.00195  |0.03970  |    -     | 0.03978  |</t>
  </si>
  <si>
    <t>| 78   | 0.00208  |    -     | 0.00193  |0.03966  |    -     | 0.03983  |</t>
  </si>
  <si>
    <t>| 79   | 0.00199  |    -     | 0.00195  |0.03965  |    -     | 0.03982  |</t>
  </si>
  <si>
    <t>| 80   | 0.00210  |    -     | 0.00196  |0.03958  |    -     | 0.03983  |</t>
  </si>
  <si>
    <t>| 81   | 0.00219  |    -     | 0.00197  |0.03976  |    -     | 0.03983  |</t>
  </si>
  <si>
    <t>| 82   | 0.00208  |    -     | 0.00193  |0.03971  |    -     | 0.03738  |</t>
  </si>
  <si>
    <t>| 83   | 0.00210  |    -     | 0.00186  |0.03616  |    -     | 0.03988  |</t>
  </si>
  <si>
    <t>| 84   | 0.00198  |    -     | 0.00183  |0.03953  |    -     | 0.03935  |</t>
  </si>
  <si>
    <t>| 85   | 0.00217  |    -     | 0.00200  |0.03973  |    -     | 0.03983  |</t>
  </si>
  <si>
    <t>| 86   | 0.00211  |    -     | 0.00189  |0.03964  |    -     | 0.03984  |</t>
  </si>
  <si>
    <t>| 87   | 0.00210  |    -     | 0.00179  |0.03974  |    -     | 0.03878  |</t>
  </si>
  <si>
    <t>| 88   | 0.00209  |    -     | 0.00194  |0.03973  |    -     | 0.03997  |</t>
  </si>
  <si>
    <t>| 89   | 0.00213  |    -     | 0.00193  |0.03969  |    -     | 0.03798  |</t>
  </si>
  <si>
    <t>| 90   | 0.00213  |    -     | 0.00197  |0.03961  |    -     | 0.03980  |</t>
  </si>
  <si>
    <t>| 91   | 0.00217  |    -     | 0.00195  |0.03953  |    -     | 0.03990  |</t>
  </si>
  <si>
    <t>| 92   | 0.00208  |    -     | 0.00195  |0.03653  |    -     | 0.04023  |</t>
  </si>
  <si>
    <t>| 93   | 0.00211  |    -     | 0.00194  |0.03976  |    -     | 0.03993  |</t>
  </si>
  <si>
    <t>| 94   | 0.00210  |    -     | 0.00196  |0.03970  |    -     | 0.03991  |</t>
  </si>
  <si>
    <t>| 95   | 0.00211  |    -     | 0.00194  |0.03974  |    -     | 0.03982  |</t>
  </si>
  <si>
    <t>| 96   | 0.00216  |    -     | 0.00205  |0.03982  |    -     | 0.03996  |</t>
  </si>
  <si>
    <t>| 97   | 0.00214  |    -     | 0.00192  |0.03972  |    -     | 0.03992  |</t>
  </si>
  <si>
    <t>| 98   | 0.00200  |    -     | 0.00184  |0.03955  |    -     | 0.03984  |</t>
  </si>
  <si>
    <t>| 99   | 0.00207  |    -     | 0.00195  |0.03971  |    -     | 0.03972  |</t>
  </si>
  <si>
    <t>| 100  | 0.00207  |    -     | 0.00192  |0.03964  |    -     | 0.04018  |</t>
  </si>
  <si>
    <t>| 101  | 0.00196  |    -     | 0.00200  |0.03686  |    -     | 0.04035  |</t>
  </si>
  <si>
    <t>| 102  | 0.00217  |    -     | 0.00195  |0.03969  |    -     | 0.03993  |</t>
  </si>
  <si>
    <t>| 103  | 0.00217  |    -     | 0.00195  |0.03970  |    -     | 0.03981  |</t>
  </si>
  <si>
    <t>| 104  | 0.00213  |    -     | 0.00200  |0.03964  |    -     | 0.03980  |</t>
  </si>
  <si>
    <t>| 105  | 0.00215  |    -     | 0.00200  |0.03967  |    -     | 0.03977  |</t>
  </si>
  <si>
    <t>| 106  | 0.00217  |    -     | 0.00198  |0.03964  |    -     | 0.03985  |</t>
  </si>
  <si>
    <t>| 107  | 0.00212  |    -     | 0.00190  |0.03968  |    -     | 0.03958  |</t>
  </si>
  <si>
    <t>| 108  | 0.00210  |    -     | 0.00186  |0.03965  |    -     | 0.03975  |</t>
  </si>
  <si>
    <t>| 109  | 0.00263  |    -     | 0.00237  |0.03962  |    -     | 0.03808  |</t>
  </si>
  <si>
    <t>| 110  | 0.00232  |    -     | 0.00215  |0.03992  |    -     | 0.03975  |</t>
  </si>
  <si>
    <t>| 111  | 0.00223  |    -     | 0.00248  |0.03832  |    -     | 0.04050  |</t>
  </si>
  <si>
    <t>| 112  | 0.00231  |    -     | 0.00236  |0.04009  |    -     | 0.03802  |</t>
  </si>
  <si>
    <t>| 113  | 0.00228  |    -     | 0.00208  |0.04013  |    -     | 0.04060  |</t>
  </si>
  <si>
    <t>| 114  | 0.00222  |    -     | 0.00200  |0.03917  |    -     | 0.04040  |</t>
  </si>
  <si>
    <t>| 115  | 0.00228  |    -     | 0.00202  |0.04028  |    -     | 0.07459  |</t>
  </si>
  <si>
    <t>| 116  | 0.00220  |    -     | 0.00203  |0.04288  |    -     | 0.07777  |</t>
  </si>
  <si>
    <t>| 117  | 0.00225  |    -     | 0.00171  |0.03988  |    -     | 0.04006  |</t>
  </si>
  <si>
    <t>| 118  | 0.00230  |    -     | 0.00190  |0.03861  |    -     | 0.03586  |</t>
  </si>
  <si>
    <t>| 119  | 0.00217  |    -     | 0.00188  |0.03820  |    -     | 0.03829  |</t>
  </si>
  <si>
    <t>| 120  | 0.00232  |    -     | 0.00202  |0.03721  |    -     | 0.04014  |</t>
  </si>
  <si>
    <t>| 121  | 0.00217  |    -     | 0.00192  |0.03984  |    -     | 0.03499  |</t>
  </si>
  <si>
    <t>| 122  | 0.00220  |    -     | 0.00197  |0.03962  |    -     | 0.03787  |</t>
  </si>
  <si>
    <t>| 123  | 0.00244  |    -     | 0.00210  |0.03883  |    -     | 0.03870  |</t>
  </si>
  <si>
    <t>| 124  | 0.00224  |    -     | 0.00186  |0.03736  |    -     | 0.03966  |</t>
  </si>
  <si>
    <t>| 125  | 0.00209  |    -     | 0.00193  |0.03961  |    -     | 0.03585  |</t>
  </si>
  <si>
    <t>| 126  | 0.00215  |    -     | 0.00186  |0.03752  |    -     | 0.04000  |</t>
  </si>
  <si>
    <t>| 127  | 0.00224  |    -     | 0.00182  |0.03905  |    -     | 0.04032  |</t>
  </si>
  <si>
    <t>| 128  | 0.00223  |    -     | 0.00203  |0.03981  |    -     | 0.03993  |</t>
  </si>
  <si>
    <t>| 129  | 0.00219  |    -     | 0.00193  |0.03967  |    -     | 0.03984  |</t>
  </si>
  <si>
    <t>| 130  | 0.00222  |    -     | 0.00196  |0.03947  |    -     | 0.03973  |</t>
  </si>
  <si>
    <t>| 131  | 0.00210  |    -     | 0.00196  |0.03960  |    -     | 0.03974  |</t>
  </si>
  <si>
    <t>| 132  | 0.00214  |    -     | 0.00190  |0.03959  |    -     | 0.03983  |</t>
  </si>
  <si>
    <t>| 133  | 0.00217  |    -     | 0.00195  |0.03967  |    -     | 0.03980  |</t>
  </si>
  <si>
    <t>| 134  | 0.00210  |    -     | 0.00200  |0.03966  |    -     | 0.03988  |</t>
  </si>
  <si>
    <t>| 135  | 0.00212  |    -     | 0.00197  |0.03973  |    -     | 0.03986  |</t>
  </si>
  <si>
    <t>| 136  | 0.00210  |    -     | 0.00194  |0.03973  |    -     | 0.03982  |</t>
  </si>
  <si>
    <t>| 137  | 0.00212  |    -     | 0.00194  |0.03878  |    -     | 0.03981  |</t>
  </si>
  <si>
    <t>| 138  | 0.00222  |    -     | 0.00220  |0.03980  |    -     | 0.03983  |</t>
  </si>
  <si>
    <t>| 139  | 0.00214  |    -     | 0.00196  |0.03963  |    -     | 0.03974  |</t>
  </si>
  <si>
    <t>| 140  | 0.00215  |    -     | 0.00200  |0.03959  |    -     | 0.03990  |</t>
  </si>
  <si>
    <t>| 141  | 0.00214  |    -     | 0.00198  |0.03966  |    -     | 0.03990  |</t>
  </si>
  <si>
    <t>| 142  | 0.00214  |    -     | 0.00188  |0.03884  |    -     | 0.03979  |</t>
  </si>
  <si>
    <t>| 143  | 0.00196  |    -     | 0.00182  |0.03965  |    -     | 0.04007  |</t>
  </si>
  <si>
    <t>| 144  | 0.00211  |    -     | 0.00202  |0.03967  |    -     | 0.03982  |</t>
  </si>
  <si>
    <t>| 145  | 0.00214  |    -     | 0.00200  |0.03961  |    -     | 0.03578  |</t>
  </si>
  <si>
    <t>| 146  | 0.00215  |    -     | 0.00191  |0.03964  |    -     | 0.03976  |</t>
  </si>
  <si>
    <t>| 147  | 0.00208  |    -     | 0.00197  |0.03968  |    -     | 0.03980  |</t>
  </si>
  <si>
    <t>| 148  | 0.00211  |    -     | 0.00198  |0.03969  |    -     | 0.03695  |</t>
  </si>
  <si>
    <t>| 149  | 0.00211  |    -     | 0.00192  |0.03958  |    -     | 0.04025  |</t>
  </si>
  <si>
    <t>| 150  | 0.00216  |    -     | 0.00201  |0.03950  |    -     | 0.04025  |</t>
  </si>
  <si>
    <t>| 151  | 0.00213  |    -     | 0.00199  |0.03960  |    -     | 0.03663  |</t>
  </si>
  <si>
    <t>| 152  | 0.00205  |    -     | 0.00194  |0.03930  |    -     | 0.03972  |</t>
  </si>
  <si>
    <t>| 153  | 0.00214  |    -     | 0.00199  |0.03842  |    -     | 0.03992  |</t>
  </si>
  <si>
    <t>| 154  | 0.00231  |    -     | 0.00186  |0.03954  |    -     | 0.03987  |</t>
  </si>
  <si>
    <t>| 155  | 0.00213  |    -     | 0.00195  |0.03960  |    -     | 0.03993  |</t>
  </si>
  <si>
    <t>| 156  | 0.00212  |    -     | 0.00195  |0.03970  |    -     | 0.03984  |</t>
  </si>
  <si>
    <t>| 157  | 0.00208  |    -     | 0.00197  |0.03966  |    -     | 0.03982  |</t>
  </si>
  <si>
    <t>| 158  | 0.00216  |    -     | 0.00198  |0.03965  |    -     | 0.03982  |</t>
  </si>
  <si>
    <t>| 159  | 0.00209  |    -     | 0.00199  |0.03967  |    -     | 0.03982  |</t>
  </si>
  <si>
    <t>| 160  | 0.00213  |    -     | 0.00185  |0.03953  |    -     | 0.03976  |</t>
  </si>
  <si>
    <t>| 161  | 0.00208  |    -     | 0.00195  |0.03965  |    -     | 0.03730  |</t>
  </si>
  <si>
    <t>| 162  | 0.00211  |    -     | 0.00198  |0.03970  |    -     | 0.03986  |</t>
  </si>
  <si>
    <t>| 163  | 0.00214  |    -     | 0.00195  |0.03971  |    -     | 0.03987  |</t>
  </si>
  <si>
    <t>| 164  | 0.00207  |    -     | 0.00194  |0.03972  |    -     | 0.03982  |</t>
  </si>
  <si>
    <t>| 165  | 0.00207  |    -     | 0.00195  |0.03715  |    -     | 0.03985  |</t>
  </si>
  <si>
    <t>| 166  | 0.00217  |    -     | 0.00189  |0.03702  |    -     | 0.03981  |</t>
  </si>
  <si>
    <t>| 167  | 0.00200  |    -     | 0.00199  |0.03964  |    -     | 0.03982  |</t>
  </si>
  <si>
    <t>| 168  | 0.00215  |    -     | 0.00196  |0.03964  |    -     | 0.03977  |</t>
  </si>
  <si>
    <t>| 169  | 0.00209  |    -     | 0.00196  |0.03969  |    -     | 0.03984  |</t>
  </si>
  <si>
    <t>| 170  | 0.00210  |    -     | 0.00197  |0.03971  |    -     | 0.03982  |</t>
  </si>
  <si>
    <t>| 171  | 0.00211  |    -     | 0.00194  |0.03961  |    -     | 0.03986  |</t>
  </si>
  <si>
    <t>| 172  | 0.00208  |    -     | 0.00194  |0.03967  |    -     | 0.03978  |</t>
  </si>
  <si>
    <t>| 173  | 0.00208  |    -     | 0.00195  |0.03972  |    -     | 0.03983  |</t>
  </si>
  <si>
    <t>| 174  | 0.00209  |    -     | 0.00195  |0.03967  |    -     | 0.03980  |</t>
  </si>
  <si>
    <t>| 175  | 0.00193  |    -     | 0.00182  |0.03947  |    -     | 0.03970  |</t>
  </si>
  <si>
    <t>| 176  | 0.00198  |    -     | 0.00184  |0.03949  |    -     | 0.03981  |</t>
  </si>
  <si>
    <t>| 177  | 0.00213  |    -     | 0.00193  |0.03734  |    -     | 0.03984  |</t>
  </si>
  <si>
    <t>| 178  | 0.00206  |    -     | 0.00195  |0.03955  |    -     | 0.03686  |</t>
  </si>
  <si>
    <t>| 179  | 0.00210  |    -     | 0.00200  |0.03971  |    -     | 0.03926  |</t>
  </si>
  <si>
    <t>| 180  | 0.00200  |    -     | 0.00185  |0.03954  |    -     | 0.04022  |</t>
  </si>
  <si>
    <t>| 181  | 0.00224  |    -     | 0.00198  |0.04018  |    -     | 0.03976  |</t>
  </si>
  <si>
    <t>| 182  | 0.00213  |    -     | 0.00196  |0.03954  |    -     | 0.03968  |</t>
  </si>
  <si>
    <t>| 183  | 0.00213  |    -     | 0.00199  |0.03971  |    -     | 0.03982  |</t>
  </si>
  <si>
    <t>| 184  | 0.00208  |    -     | 0.00197  |0.03967  |    -     | 0.03979  |</t>
  </si>
  <si>
    <t>| 185  | 0.00220  |    -     | 0.00197  |0.03728  |    -     | 0.03984  |</t>
  </si>
  <si>
    <t>| 186  | 0.00216  |    -     | 0.00198  |0.03879  |    -     | 0.03994  |</t>
  </si>
  <si>
    <t>| 187  | 0.00216  |    -     | 0.00201  |0.03973  |    -     | 0.03989  |</t>
  </si>
  <si>
    <t>| 188  | 0.00219  |    -     | 0.00199  |0.03974  |    -     | 0.03992  |</t>
  </si>
  <si>
    <t>| 189  | 0.00217  |    -     | 0.00192  |0.03969  |    -     | 0.03989  |</t>
  </si>
  <si>
    <t>| 190  | 0.00212  |    -     | 0.00197  |0.03965  |    -     | 0.04043  |</t>
  </si>
  <si>
    <t>| 191  | 0.00214  |    -     | 0.00190  |0.03961  |    -     | 0.04037  |</t>
  </si>
  <si>
    <t>| 192  | 0.00219  |    -     | 0.00203  |0.03977  |    -     | 0.03996  |</t>
  </si>
  <si>
    <t>| 193  | 0.00211  |    -     | 0.00194  |0.03966  |    -     | 0.03690  |</t>
  </si>
  <si>
    <t>| 194  | 0.00220  |    -     | 0.00192  |0.03970  |    -     | 0.03987  |</t>
  </si>
  <si>
    <t>| 195  | 0.00214  |    -     | 0.00196  |0.03967  |    -     | 0.03996  |</t>
  </si>
  <si>
    <t>| 196  | 0.00206  |    -     | 0.00195  |0.03799  |    -     | 0.04012  |</t>
  </si>
  <si>
    <t>| 197  | 0.00213  |    -     | 0.00188  |0.03956  |    -     | 0.04053  |</t>
  </si>
  <si>
    <t>| 198  | 0.00207  |    -     | 0.00201  |0.03973  |    -     | 0.03979  |</t>
  </si>
  <si>
    <t>| 199  | 0.00208  |    -     | 0.00202  |0.03968  |    -     | 0.03981  |</t>
  </si>
  <si>
    <t>| 200  | 0.00217  |    -     | 0.00196  |0.03929  |    -     | 0.03973  |</t>
  </si>
  <si>
    <t>| 201  | 0.00211  |    -     | 0.00202  |0.03968  |    -     | 0.03967  |</t>
  </si>
  <si>
    <t>| 202  | 0.00217  |    -     | 0.00201  |0.03974  |    -     | 0.04049  |</t>
  </si>
  <si>
    <t>| 203  | 0.00218  |    -     | 0.00192  |0.03949  |    -     | 0.03968  |</t>
  </si>
  <si>
    <t>| 204  | 0.00311  |    -     | 0.00195  |0.03957  |    -     | 0.04015  |</t>
  </si>
  <si>
    <t>| 205  | 0.00222  |    -     | 0.00190  |0.03976  |    -     | 0.04028  |</t>
  </si>
  <si>
    <t>| 206  | 0.00212  |    -     | 0.00199  |0.03976  |    -     | 0.03747  |</t>
  </si>
  <si>
    <t>| 207  | 0.00215  |    -     | 0.00198  |0.03965  |    -     | 0.03988  |</t>
  </si>
  <si>
    <t>| 208  | 0.00212  |    -     | 0.00196  |0.03968  |    -     | 0.03983  |</t>
  </si>
  <si>
    <t>| 209  | 0.00209  |    -     | 0.00198  |0.03965  |    -     | 0.03982  |</t>
  </si>
  <si>
    <t>| 210  | 0.00212  |    -     | 0.00200  |0.03977  |    -     | 0.03989  |</t>
  </si>
  <si>
    <t>| 211  | 0.00207  |    -     | 0.00196  |0.03968  |    -     | 0.03984  |</t>
  </si>
  <si>
    <t>| 212  | 0.00205  |    -     | 0.00197  |0.03969  |    -     | 0.03958  |</t>
  </si>
  <si>
    <t>| 213  | 0.00212  |    -     | 0.00199  |0.03967  |    -     | 0.03615  |</t>
  </si>
  <si>
    <t>| 214  | 0.00213  |    -     | 0.00187  |0.03963  |    -     | 0.03744  |</t>
  </si>
  <si>
    <t>| 215  | 0.00214  |    -     | 0.00203  |0.03971  |    -     | 0.04044  |</t>
  </si>
  <si>
    <t>| 216  | 0.00205  |    -     | 0.00194  |0.03963  |    -     | 0.03994  |</t>
  </si>
  <si>
    <t>| 217  | 0.00229  |    -     | 0.00188  |0.03973  |    -     | 0.03986  |</t>
  </si>
  <si>
    <t>| 218  | 0.00214  |    -     | 0.00202  |0.03962  |    -     | 0.03978  |</t>
  </si>
  <si>
    <t>| 219  | 0.00213  |    -     | 0.00197  |0.03957  |    -     | 0.03996  |</t>
  </si>
  <si>
    <t>| 220  | 0.00209  |    -     | 0.00201  |0.03779  |    -     | 0.03985  |</t>
  </si>
  <si>
    <t>| 221  | 0.00219  |    -     | 0.00198  |0.03960  |    -     | 0.03985  |</t>
  </si>
  <si>
    <t>| 222  | 0.00216  |    -     | 0.00198  |0.03973  |    -     | 0.03983  |</t>
  </si>
  <si>
    <t>| 223  | 0.00210  |    -     | 0.00197  |0.03965  |    -     | 0.03987  |</t>
  </si>
  <si>
    <t>| 224  | 0.00218  |    -     | 0.00197  |0.03848  |    -     | 0.03988  |</t>
  </si>
  <si>
    <t>| 225  | 0.00211  |    -     | 0.00192  |0.03969  |    -     | 0.03983  |</t>
  </si>
  <si>
    <t>| 226  | 0.00209  |    -     | 0.00200  |0.03980  |    -     | 0.03991  |</t>
  </si>
  <si>
    <t>| 227  | 0.00209  |    -     | 0.00197  |0.03965  |    -     | 0.03830  |</t>
  </si>
  <si>
    <t>| 228  | 0.00201  |    -     | 0.00198  |0.03954  |    -     | 0.03977  |</t>
  </si>
  <si>
    <t>| 229  | 0.00211  |    -     | 0.00192  |0.03957  |    -     | 0.03986  |</t>
  </si>
  <si>
    <t>| 230  | 0.00214  |    -     | 0.00195  |0.03973  |    -     | 0.03972  |</t>
  </si>
  <si>
    <t>| 231  | 0.00202  |    -     | 0.00189  |0.03971  |    -     | 0.03983  |</t>
  </si>
  <si>
    <t>| 232  | 0.00209  |    -     | 0.00197  |0.03968  |    -     | 0.03981  |</t>
  </si>
  <si>
    <t>| 233  | 0.00209  |    -     | 0.00195  |0.03967  |    -     | 0.03641  |</t>
  </si>
  <si>
    <t>| 234  | 0.00213  |    -     | 0.00191  |0.03966  |    -     | 0.03981  |</t>
  </si>
  <si>
    <t>| 235  | 0.00192  |    -     | 0.00182  |0.03952  |    -     | 0.03754  |</t>
  </si>
  <si>
    <t>| 236  | 0.00216  |    -     | 0.00190  |0.03960  |    -     | 0.03881  |</t>
  </si>
  <si>
    <t>| 237  | 0.00214  |    -     | 0.00201  |0.03956  |    -     | 0.03977  |</t>
  </si>
  <si>
    <t>| 238  | 0.00207  |    -     | 0.00197  |0.03963  |    -     | 0.03976  |</t>
  </si>
  <si>
    <t>| 239  | 0.00201  |    -     | 0.00200  |0.03962  |    -     | 0.03983  |</t>
  </si>
  <si>
    <t>| 240  | 0.00214  |    -     | 0.00199  |0.03956  |    -     | 0.03980  |</t>
  </si>
  <si>
    <t>| 241  | 0.00208  |    -     | 0.00187  |0.03970  |    -     | 0.03988  |</t>
  </si>
  <si>
    <t>| 242  | 0.00211  |    -     | 0.00196  |0.03803  |    -     | 0.03976  |</t>
  </si>
  <si>
    <t>| 243  | 0.00215  |    -     | 0.00194  |0.03969  |    -     | 0.03982  |</t>
  </si>
  <si>
    <t>| 244  | 0.00206  |    -     | 0.00196  |0.03979  |    -     | 0.03989  |</t>
  </si>
  <si>
    <t>| 245  | 0.00217  |    -     | 0.00197  |0.03964  |    -     | 0.03981  |</t>
  </si>
  <si>
    <t>| 246  | 0.00204  |    -     | 0.00181  |0.03957  |    -     | 0.03987  |</t>
  </si>
  <si>
    <t>| 247  | 0.00210  |    -     | 0.00199  |0.03967  |    -     | 0.03984  |</t>
  </si>
  <si>
    <t>| 248  | 0.00209  |    -     | 0.00196  |0.03971  |    -     | 0.03974  |</t>
  </si>
  <si>
    <t>| 249  | 0.00214  |    -     | 0.00200  |0.03717  |    -     | 0.03989  |</t>
  </si>
  <si>
    <t>| 250  | 0.00208  |    -     | 0.00196  |0.03971  |    -     | 0.03995  |</t>
  </si>
  <si>
    <t>| 251  | 0.00209  |    -     | 0.00204  |0.03971  |    -     | 0.03991  |</t>
  </si>
  <si>
    <t>| 252  | 0.00208  |    -     | 0.00194  |0.03967  |    -     | 0.03982  |</t>
  </si>
  <si>
    <t>| 253  | 0.00210  |    -     | 0.00185  |0.03963  |    -     | 0.03986  |</t>
  </si>
  <si>
    <t>| 254  | 0.00207  |    -     | 0.00195  |0.03973  |    -     | 0.03985  |</t>
  </si>
  <si>
    <t>| 255  | 0.00208  |    -     | 0.00195  |0.03972  |    -     | 0.03987  |</t>
  </si>
  <si>
    <t>| 256  | 0.00209  |    -     | 0.00194  |0.03962  |    -     | 0.03994  |</t>
  </si>
  <si>
    <t>| 257  | 0.00212  |    -     | 0.00192  |0.03970  |    -     | 0.03976  |</t>
  </si>
  <si>
    <t>| 258  | 0.00220  |    -     | 0.00198  |0.03968  |    -     | 0.03983  |</t>
  </si>
  <si>
    <t>| 259  | 0.00207  |    -     | 0.00182  |0.03955  |    -     | 0.03976  |</t>
  </si>
  <si>
    <t>| 260  | 0.00207  |    -     | 0.00185  |0.03954  |    -     | 0.03966  |</t>
  </si>
  <si>
    <t>| 261  | 0.00200  |    -     | 0.00185  |0.03955  |    -     | 0.03969  |</t>
  </si>
  <si>
    <t>| 262  | 0.00203  |    -     | 0.00184  |0.03952  |    -     | 0.03978  |</t>
  </si>
  <si>
    <t>| 263  | 0.00199  |    -     | 0.00185  |0.04173  |    -     | 0.05349  |</t>
  </si>
  <si>
    <t>| 264  | 0.00205  |    -     | 0.00185  |0.03950  |    -     | 0.03976  |</t>
  </si>
  <si>
    <t>| 265  | 0.00198  |    -     | 0.00185  |0.03957  |    -     | 0.03964  |</t>
  </si>
  <si>
    <t>| 266  | 0.00195  |    -     | 0.00182  |0.03953  |    -     | 0.03977  |</t>
  </si>
  <si>
    <t>| 267  | 0.00219  |    -     | 0.00199  |0.03965  |    -     | 0.03990  |</t>
  </si>
  <si>
    <t>| 268  | 0.00206  |    -     | 0.00197  |0.03969  |    -     | 0.03984  |</t>
  </si>
  <si>
    <t>| 269  | 0.00212  |    -     | 0.00195  |0.03967  |    -     | 0.03985  |</t>
  </si>
  <si>
    <t>| 270  | 0.00214  |    -     | 0.00195  |0.03970  |    -     | 0.03960  |</t>
  </si>
  <si>
    <t>| 271  | 0.00214  |    -     | 0.00194  |0.03973  |    -     | 0.03975  |</t>
  </si>
  <si>
    <t>| 272  | 0.00198  |    -     | 0.00189  |0.03969  |    -     | 0.03989  |</t>
  </si>
  <si>
    <t>| 273  | 0.00211  |    -     | 0.00191  |0.03969  |    -     | 0.03974  |</t>
  </si>
  <si>
    <t>| 274  | 0.00212  |    -     | 0.00199  |0.03961  |    -     | 0.03640  |</t>
  </si>
  <si>
    <t>| 275  | 0.00202  |    -     | 0.00197  |0.03958  |    -     | 0.03985  |</t>
  </si>
  <si>
    <t>| 276  | 0.00209  |    -     | 0.00197  |0.03872  |    -     | 0.03904  |</t>
  </si>
  <si>
    <t>| 277  | 0.00208  |    -     | 0.00197  |0.03971  |    -     | 0.03985  |</t>
  </si>
  <si>
    <t>| 278  | 0.00208  |    -     | 0.00193  |0.03820  |    -     | 0.03685  |</t>
  </si>
  <si>
    <t>| 279  | 0.00204  |    -     | 0.00196  |0.03969  |    -     | 0.03990  |</t>
  </si>
  <si>
    <t>| 280  | 0.00206  |    -     | 0.00195  |0.03880  |    -     | 0.03981  |</t>
  </si>
  <si>
    <t>| 281  | 0.00211  |    -     | 0.00195  |0.03966  |    -     | 0.03979  |</t>
  </si>
  <si>
    <t>| 282  | 0.00209  |    -     | 0.00198  |0.03946  |    -     | 0.03995  |</t>
  </si>
  <si>
    <t>| 283  | 0.00208  |    -     | 0.00192  |0.03967  |    -     | 0.03595  |</t>
  </si>
  <si>
    <t>| 284  | 0.00207  |    -     | 0.00202  |0.03969  |    -     | 0.03983  |</t>
  </si>
  <si>
    <t>| 285  | 0.00207  |    -     | 0.00195  |0.03968  |    -     | 0.03987  |</t>
  </si>
  <si>
    <t>| 286  | 0.00211  |    -     | 0.00194  |0.03969  |    -     | 0.04015  |</t>
  </si>
  <si>
    <t>| 287  | 0.00220  |    -     | 0.00195  |0.03963  |    -     | 0.03980  |</t>
  </si>
  <si>
    <t>| 288  | 0.00212  |    -     | 0.00198  |0.03962  |    -     | 0.03963  |</t>
  </si>
  <si>
    <t>| 289  | 0.00205  |    -     | 0.00194  |0.03972  |    -     | 0.03990  |</t>
  </si>
  <si>
    <t>| 290  | 0.00212  |    -     | 0.00192  |0.03864  |    -     | 0.03978  |</t>
  </si>
  <si>
    <t>| 291  | 0.00220  |    -     | 0.00211  |0.03978  |    -     | 0.04004  |</t>
  </si>
  <si>
    <t>| 292  | 0.00227  |    -     | 0.00201  |0.03972  |    -     | 0.03996  |</t>
  </si>
  <si>
    <t>| 293  | 0.00214  |    -     | 0.00199  |0.03962  |    -     | 0.04018  |</t>
  </si>
  <si>
    <t>| 294  | 0.00204  |    -     | 0.00184  |0.03955  |    -     | 0.03979  |</t>
  </si>
  <si>
    <t>| 295  | 0.00195  |    -     | 0.00196  |0.03970  |    -     | 0.03986  |</t>
  </si>
  <si>
    <t>| 296  | 0.00208  |    -     | 0.00187  |0.03962  |    -     | 0.03961  |</t>
  </si>
  <si>
    <t>| 297  | 0.00197  |    -     | 0.00190  |0.03958  |    -     | 0.03612  |</t>
  </si>
  <si>
    <t>| 298  | 0.00197  |    -     | 0.00186  |0.03963  |    -     | 0.03919  |</t>
  </si>
  <si>
    <t>| 299  | 0.00209  |    -     | 0.00200  |0.03981  |    -     | 0.03663  |</t>
  </si>
  <si>
    <t>| 300  | 0.00218  |    -     | 0.00181  |0.03845  |    -     | 0.04022  |</t>
  </si>
  <si>
    <t>| 301  | 0.00198  |    -     | 0.00185  |0.03967  |    -     | 0.03992  |</t>
  </si>
  <si>
    <t>| 302  | 0.00209  |    -     | 0.00196  |0.03795  |    -     | 0.03982  |</t>
  </si>
  <si>
    <t>| 303  | 0.00208  |    -     | 0.00188  |0.03970  |    -     | 0.03976  |</t>
  </si>
  <si>
    <t>| 304  | 0.00211  |    -     | 0.00189  |0.03965  |    -     | 0.04003  |</t>
  </si>
  <si>
    <t>| 305  | 0.00228  |    -     | 0.00196  |0.03824  |    -     | 0.03732  |</t>
  </si>
  <si>
    <t>| 306  | 0.00212  |    -     | 0.00202  |0.03967  |    -     | 0.04005  |</t>
  </si>
  <si>
    <t>| 307  | 0.00203  |    -     | 0.00184  |0.04020  |    -     | 0.03978  |</t>
  </si>
  <si>
    <t>| 308  | 0.00204  |    -     | 0.00198  |0.03966  |    -     | 0.04025  |</t>
  </si>
  <si>
    <t>| 309  | 0.00206  |    -     | 0.00195  |0.03959  |    -     | 0.03592  |</t>
  </si>
  <si>
    <t>| 310  | 0.00206  |    -     | 0.00185  |0.03571  |    -     | 0.03999  |</t>
  </si>
  <si>
    <t>| 311  | 0.00208  |    -     | 0.00205  |0.03956  |    -     | 0.04015  |</t>
  </si>
  <si>
    <t>| 312  | 0.00204  |    -     | 0.00187  |0.03889  |    -     | 0.03984  |</t>
  </si>
  <si>
    <t>| 313  | 0.00210  |    -     | 0.00181  |0.03963  |    -     | 0.03806  |</t>
  </si>
  <si>
    <t>| 314  | 0.00220  |    -     | 0.00187  |0.03657  |    -     | 0.04012  |</t>
  </si>
  <si>
    <t>| 315  | 0.00218  |    -     | 0.00198  |0.03642  |    -     | 0.03982  |</t>
  </si>
  <si>
    <t>| 316  | 0.00205  |    -     | 0.00200  |0.03971  |    -     | 0.03980  |</t>
  </si>
  <si>
    <t>| 317  | 0.00213  |    -     | 0.00197  |0.03961  |    -     | 0.03981  |</t>
  </si>
  <si>
    <t>| 318  | 0.00216  |    -     | 0.00199  |0.03742  |    -     | 0.03983  |</t>
  </si>
  <si>
    <t>| 319  | 0.00210  |    -     | 0.00194  |0.03976  |    -     | 0.03983  |</t>
  </si>
  <si>
    <t>| 320  | 0.00209  |    -     | 0.00189  |0.03976  |    -     | 0.03884  |</t>
  </si>
  <si>
    <t>| 321  | 0.00207  |    -     | 0.00194  |0.03966  |    -     | 0.03987  |</t>
  </si>
  <si>
    <t>| 322  | 0.00213  |    -     | 0.00185  |0.03975  |    -     | 0.03997  |</t>
  </si>
  <si>
    <t>| 323  | 0.00219  |    -     | 0.00199  |0.03670  |    -     | 0.03994  |</t>
  </si>
  <si>
    <t>| 324  | 0.00219  |    -     | 0.00202  |0.03968  |    -     | 0.03972  |</t>
  </si>
  <si>
    <t>| 325  | 0.00205  |    -     | 0.00195  |0.03967  |    -     | 0.03988  |</t>
  </si>
  <si>
    <t>| 326  | 0.00213  |    -     | 0.00191  |0.04015  |    -     | 0.03990  |</t>
  </si>
  <si>
    <t>| 327  | 0.00204  |    -     | 0.00194  |0.03967  |    -     | 0.03988  |</t>
  </si>
  <si>
    <t>| 328  | 0.00211  |    -     | 0.00194  |0.03700  |    -     | 0.03983  |</t>
  </si>
  <si>
    <t>| 329  | 0.00215  |    -     | 0.00185  |0.03966  |    -     | 0.03980  |</t>
  </si>
  <si>
    <t>| 330  | 0.00206  |    -     | 0.00193  |0.03966  |    -     | 0.03982  |</t>
  </si>
  <si>
    <t>| 331  | 0.00216  |    -     | 0.00187  |0.03971  |    -     | 0.03984  |</t>
  </si>
  <si>
    <t>| 332  | 0.00214  |    -     | 0.00198  |0.03793  |    -     | 0.03701  |</t>
  </si>
  <si>
    <t>| 333  | 0.00212  |    -     | 0.00194  |0.03930  |    -     | 0.03990  |</t>
  </si>
  <si>
    <t>| 334  | 0.00208  |    -     | 0.00190  |0.03970  |    -     | 0.03690  |</t>
  </si>
  <si>
    <t>| 335  | 0.00221  |    -     | 0.00199  |0.03971  |    -     | 0.03982  |</t>
  </si>
  <si>
    <t>| 336  | 0.00211  |    -     | 0.00197  |0.03978  |    -     | 0.03982  |</t>
  </si>
  <si>
    <t>| 337  | 0.00212  |    -     | 0.00196  |0.03963  |    -     | 0.03983  |</t>
  </si>
  <si>
    <t>| 338  | 0.00207  |    -     | 0.00199  |0.03972  |    -     | 0.03982  |</t>
  </si>
  <si>
    <t>| 339  | 0.00210  |    -     | 0.00192  |0.03974  |    -     | 0.03982  |</t>
  </si>
  <si>
    <t>| 340  | 0.00211  |    -     | 0.00196  |0.03957  |    -     | 0.03981  |</t>
  </si>
  <si>
    <t>| 341  | 0.00209  |    -     | 0.00183  |0.03958  |    -     | 0.03971  |</t>
  </si>
  <si>
    <t>| 342  | 0.00229  |    -     | 0.00195  |0.03969  |    -     | 0.03874  |</t>
  </si>
  <si>
    <t>| 343  | 0.00220  |    -     | 0.00194  |0.03967  |    -     | 0.03987  |</t>
  </si>
  <si>
    <t>| 344  | 0.00207  |    -     | 0.00196  |0.03974  |    -     | 0.03978  |</t>
  </si>
  <si>
    <t>| 345  | 0.00210  |    -     | 0.00195  |0.03961  |    -     | 0.03979  |</t>
  </si>
  <si>
    <t>| 346  | 0.00207  |    -     | 0.00194  |0.03918  |    -     | 0.03977  |</t>
  </si>
  <si>
    <t>| 347  | 0.00206  |    -     | 0.00194  |0.03402  |    -     | 0.03898  |</t>
  </si>
  <si>
    <t>| 348  | 0.00206  |    -     | 0.00189  |0.03966  |    -     | 0.03921  |</t>
  </si>
  <si>
    <t>| 349  | 0.00208  |    -     | 0.00201  |0.03966  |    -     | 0.03981  |</t>
  </si>
  <si>
    <t>| 350  | 0.00210  |    -     | 0.00199  |0.03971  |    -     | 0.03923  |</t>
  </si>
  <si>
    <t>| 351  | 0.00213  |    -     | 0.00185  |0.03953  |    -     | 0.03978  |</t>
  </si>
  <si>
    <t>| 352  | 0.00205  |    -     | 0.00195  |0.03970  |    -     | 0.03981  |</t>
  </si>
  <si>
    <t>| 353  | 0.00216  |    -     | 0.00202  |0.03963  |    -     | 0.03985  |</t>
  </si>
  <si>
    <t>| 354  | 0.00214  |    -     | 0.00198  |0.03970  |    -     | 0.03974  |</t>
  </si>
  <si>
    <t>| 355  | 0.00216  |    -     | 0.00198  |0.03967  |    -     | 0.03982  |</t>
  </si>
  <si>
    <t>| 356  | 0.00209  |    -     | 0.00200  |0.03963  |    -     | 0.04024  |</t>
  </si>
  <si>
    <t>| 357  | 0.00208  |    -     | 0.00196  |0.03966  |    -     | 0.03974  |</t>
  </si>
  <si>
    <t>| 358  | 0.00205  |    -     | 0.00194  |0.03972  |    -     | 0.03983  |</t>
  </si>
  <si>
    <t>| 359  | 0.00225  |    -     | 0.00199  |0.03962  |    -     | 0.03987  |</t>
  </si>
  <si>
    <t>| 360  | 0.00198  |    -     | 0.00185  |0.03968  |    -     | 0.03971  |</t>
  </si>
  <si>
    <t>| 361  | 0.00196  |    -     | 0.00188  |0.03962  |    -     | 0.03977  |</t>
  </si>
  <si>
    <t>| 362  | 0.00207  |    -     | 0.00182  |0.03974  |    -     | 0.03986  |</t>
  </si>
  <si>
    <t>| 363  | 0.00207  |    -     | 0.00191  |0.03972  |    -     | 0.03988  |</t>
  </si>
  <si>
    <t>| 364  | 0.00204  |    -     | 0.00196  |0.03648  |    -     | 0.03957  |</t>
  </si>
  <si>
    <t>| 365  | 0.00224  |    -     | 0.00196  |0.03724  |    -     | 0.04052  |</t>
  </si>
  <si>
    <t>| 366  | 0.00224  |    -     | 0.00198  |0.03971  |    -     | 0.03993  |</t>
  </si>
  <si>
    <t>| 367  | 0.00214  |    -     | 0.00197  |0.03970  |    -     | 0.03803  |</t>
  </si>
  <si>
    <t>| 368  | 0.00201  |    -     | 0.00185  |0.03966  |    -     | 0.03985  |</t>
  </si>
  <si>
    <t>| 369  | 0.00198  |    -     | 0.00238  |0.03723  |    -     | 0.03993  |</t>
  </si>
  <si>
    <t>| 370  | 0.00213  |    -     | 0.00192  |0.03966  |    -     | 0.03979  |</t>
  </si>
  <si>
    <t>| 371  | 0.00202  |    -     | 0.00189  |0.03993  |    -     | 0.03940  |</t>
  </si>
  <si>
    <t>| 372  | 0.00214  |    -     | 0.00189  |0.03966  |    -     | 0.03984  |</t>
  </si>
  <si>
    <t>| 373  | 0.00205  |    -     | 0.00184  |0.03957  |    -     | 0.03977  |</t>
  </si>
  <si>
    <t>| 374  | 0.00207  |    -     | 0.00192  |0.03979  |    -     | 0.03988  |</t>
  </si>
  <si>
    <t>| 375  | 0.00212  |    -     | 0.00198  |0.03974  |    -     | 0.03984  |</t>
  </si>
  <si>
    <t>| 376  | 0.00207  |    -     | 0.00195  |0.03966  |    -     | 0.03977  |</t>
  </si>
  <si>
    <t>| 377  | 0.00212  |    -     | 0.00196  |0.03895  |    -     | 0.03966  |</t>
  </si>
  <si>
    <t>| 378  | 0.00205  |    -     | 0.00184  |0.03948  |    -     | 0.04038  |</t>
  </si>
  <si>
    <t>| 379  | 0.00219  |    -     | 0.00200  |0.03832  |    -     | 0.04034  |</t>
  </si>
  <si>
    <t>| 380  | 0.00217  |    -     | 0.00200  |0.03976  |    -     | 0.03993  |</t>
  </si>
  <si>
    <t>| 381  | 0.00213  |    -     | 0.00187  |0.03963  |    -     | 0.03973  |</t>
  </si>
  <si>
    <t>| 382  | 0.00206  |    -     | 0.00196  |0.03961  |    -     | 0.03986  |</t>
  </si>
  <si>
    <t>| 383  | 0.00226  |    -     | 0.00188  |0.03582  |    -     | 0.04173  |</t>
  </si>
  <si>
    <t>| 384  | 0.00222  |    -     | 0.00185  |0.03998  |    -     | 0.04007  |</t>
  </si>
  <si>
    <t>| 385  | 0.00226  |    -     | 0.00202  |0.03972  |    -     | 0.04054  |</t>
  </si>
  <si>
    <t>| 386  | 0.00210  |    -     | 0.00191  |0.03945  |    -     | 0.03708  |</t>
  </si>
  <si>
    <t>| 387  | 0.00255  |    -     | 0.00253  |0.04017  |    -     | 0.04012  |</t>
  </si>
  <si>
    <t>| 388  | 0.00227  |    -     | 0.00208  |0.03943  |    -     | 0.04014  |</t>
  </si>
  <si>
    <t>| 389  | 0.00239  |    -     | 0.00191  |0.04020  |    -     | 0.04001  |</t>
  </si>
  <si>
    <t>| 390  | 0.00233  |    -     | 0.00205  |0.03757  |    -     | 0.03710  |</t>
  </si>
  <si>
    <t>| 391  | 0.00219  |    -     | 0.00204  |0.03970  |    -     | 0.04011  |</t>
  </si>
  <si>
    <t>| 392  | 0.00227  |    -     | 0.00203  |0.03692  |    -     | 0.03775  |</t>
  </si>
  <si>
    <t>| 393  | 0.00269  |    -     | 0.00224  |0.03743  |    -     | 0.03579  |</t>
  </si>
  <si>
    <t>| 394  | 0.00235  |    -     | 0.00194  |0.03997  |    -     | 0.03888  |</t>
  </si>
  <si>
    <t>| 395  | 0.00231  |    -     | 0.00216  |0.03744  |    -     | 0.04023  |</t>
  </si>
  <si>
    <t>| 396  | 0.00225  |    -     | 0.00201  |0.03957  |    -     | 0.03978  |</t>
  </si>
  <si>
    <t>| 397  | 0.00202  |    -     | 0.00207  |0.03987  |    -     | 0.03974  |</t>
  </si>
  <si>
    <t>| 398  | 0.00197  |    -     | 0.00198  |0.03956  |    -     | 0.03664  |</t>
  </si>
  <si>
    <t>| 399  | 0.00213  |    -     | 0.00197  |0.03728  |    -     | 0.04041  |</t>
  </si>
  <si>
    <t>| 400  | 0.00216  |    -     | 0.00184  |0.03870  |    -     | 0.03986  |</t>
  </si>
  <si>
    <t>| 401  | 0.00211  |    -     | 0.00195  |0.03973  |    -     | 0.03982  |</t>
  </si>
  <si>
    <t>| 402  | 0.00210  |    -     | 0.00187  |0.03941  |    -     | 0.03978  |</t>
  </si>
  <si>
    <t>| 403  | 0.00215  |    -     | 0.00196  |0.03972  |    -     | 0.03779  |</t>
  </si>
  <si>
    <t>| 404  | 0.00233  |    -     | 0.00190  |0.03667  |    -     | 0.03685  |</t>
  </si>
  <si>
    <t>| 405  | 0.00235  |    -     | 0.00206  |0.03988  |    -     | 0.04011  |</t>
  </si>
  <si>
    <t>| 406  | 0.00217  |    -     | 0.00247  |0.04423  |    -     | 0.04002  |</t>
  </si>
  <si>
    <t>| 407  | 0.00263  |    -     | 0.00238  |0.04014  |    -     | 0.04042  |</t>
  </si>
  <si>
    <t>| 408  | 0.00221  |    -     | 0.00235  |0.03938  |    -     | 0.03845  |</t>
  </si>
  <si>
    <t>| 409  | 0.00219  |    -     | 0.00210  |0.03988  |    -     | 0.03902  |</t>
  </si>
  <si>
    <t>| 410  | 0.00239  |    -     | 0.00227  |0.03987  |    -     | 0.03841  |</t>
  </si>
  <si>
    <t>| 411  | 0.00220  |    -     | 0.00193  |0.04024  |    -     | 0.03902  |</t>
  </si>
  <si>
    <t>| 412  | 0.00210  |    -     | 0.00198  |0.03723  |    -     | 0.03338  |</t>
  </si>
  <si>
    <t>| 413  | 0.00215  |    -     | 0.00199  |0.04011  |    -     | 0.03969  |</t>
  </si>
  <si>
    <t>| 414  | 0.00196  |    -     | 0.00196  |0.03992  |    -     | 0.03904  |</t>
  </si>
  <si>
    <t>| 415  | 0.00211  |    -     | 0.00188  |0.03956  |    -     | 0.03969  |</t>
  </si>
  <si>
    <t>| 416  | 0.00213  |    -     | 0.00195  |0.03584  |    -     | 0.03514  |</t>
  </si>
  <si>
    <t>| 417  | 0.00230  |    -     | 0.00214  |0.04005  |    -     | 0.03993  |</t>
  </si>
  <si>
    <t>| 418  | 0.00211  |    -     | 0.00195  |0.03962  |    -     | 0.03759  |</t>
  </si>
  <si>
    <t>| 419  | 0.00218  |    -     | 0.00186  |0.04004  |    -     | 0.03866  |</t>
  </si>
  <si>
    <t>| 420  | 0.00206  |    -     | 0.00186  |0.03969  |    -     | 0.03984  |</t>
  </si>
  <si>
    <t>| 421  | 0.00208  |    -     | 0.00201  |0.03961  |    -     | 0.03989  |</t>
  </si>
  <si>
    <t>| 422  | 0.00204  |    -     | 0.00194  |0.03961  |    -     | 0.03996  |</t>
  </si>
  <si>
    <t>| 423  | 0.00220  |    -     | 0.00191  |0.04017  |    -     | 0.03978  |</t>
  </si>
  <si>
    <t>| 424  | 0.00204  |    -     | 0.00187  |0.03961  |    -     | 0.03973  |</t>
  </si>
  <si>
    <t>| 425  | 0.00227  |    -     | 0.00188  |0.03969  |    -     | 0.03984  |</t>
  </si>
  <si>
    <t>| 426  | 0.00210  |    -     | 0.00196  |0.03969  |    -     | 0.03969  |</t>
  </si>
  <si>
    <t>| 427  | 0.00213  |    -     | 0.00195  |0.03993  |    -     | 0.03991  |</t>
  </si>
  <si>
    <t>| 428  | 0.00219  |    -     | 0.00194  |0.03961  |    -     | 0.03988  |</t>
  </si>
  <si>
    <t>| 429  | 0.00208  |    -     | 0.00186  |0.03962  |    -     | 0.03970  |</t>
  </si>
  <si>
    <t>| 430  | 0.00203  |    -     | 0.00197  |0.03971  |    -     | 0.03996  |</t>
  </si>
  <si>
    <t>| 431  | 0.00208  |    -     | 0.00198  |0.03953  |    -     | 0.03983  |</t>
  </si>
  <si>
    <t>| 432  | 0.00214  |    -     | 0.00194  |0.03968  |    -     | 0.03983  |</t>
  </si>
  <si>
    <t>| 433  | 0.00208  |    -     | 0.00183  |0.03972  |    -     | 0.04019  |</t>
  </si>
  <si>
    <t>| 434  | 0.00194  |    -     | 0.00182  |0.03960  |    -     | 0.04001  |</t>
  </si>
  <si>
    <t>| 435  | 0.00203  |    -     | 0.00192  |0.03971  |    -     | 0.03986  |</t>
  </si>
  <si>
    <t>| 436  | 0.00217  |    -     | 0.00199  |0.03971  |    -     | 0.03983  |</t>
  </si>
  <si>
    <t>| 437  | 0.00212  |    -     | 0.00200  |0.03958  |    -     | 0.04015  |</t>
  </si>
  <si>
    <t>| 438  | 0.00211  |    -     | 0.00194  |0.03661  |    -     | 0.04037  |</t>
  </si>
  <si>
    <t>| 439  | 0.00216  |    -     | 0.00206  |0.03961  |    -     | 0.03972  |</t>
  </si>
  <si>
    <t>| 440  | 0.00208  |    -     | 0.00194  |0.03830  |    -     | 0.03990  |</t>
  </si>
  <si>
    <t>| 441  | 0.00209  |    -     | 0.00194  |0.03946  |    -     | 0.03686  |</t>
  </si>
  <si>
    <t>| 442  | 0.00212  |    -     | 0.00192  |0.03656  |    -     | 0.03982  |</t>
  </si>
  <si>
    <t>| 443  | 0.00200  |    -     | 0.00187  |0.03960  |    -     | 0.03820  |</t>
  </si>
  <si>
    <t>| 444  | 0.00207  |    -     | 0.00184  |0.03939  |    -     | 0.03976  |</t>
  </si>
  <si>
    <t>| 445  | 0.00198  |    -     | 0.00184  |0.03954  |    -     | 0.03981  |</t>
  </si>
  <si>
    <t>| 446  | 0.00200  |    -     | 0.00185  |0.03774  |    -     | 0.03988  |</t>
  </si>
  <si>
    <t>| 447  | 0.00209  |    -     | 0.00194  |0.03969  |    -     | 0.03920  |</t>
  </si>
  <si>
    <t>| 448  | 0.00196  |    -     | 0.00185  |0.03771  |    -     | 0.04039  |</t>
  </si>
  <si>
    <t>| 449  | 0.00229  |    -     | 0.00210  |0.03942  |    -     | 0.03771  |</t>
  </si>
  <si>
    <t>| 450  | 0.00215  |    -     | 0.00200  |0.03973  |    -     | 0.03953  |</t>
  </si>
  <si>
    <t>| 451  | 0.00199  |    -     | 0.00200  |0.03955  |    -     | 0.03977  |</t>
  </si>
  <si>
    <t>| 452  | 0.00201  |    -     | 0.00191  |0.03970  |    -     | 0.03981  |</t>
  </si>
  <si>
    <t>| 453  | 0.00213  |    -     | 0.00195  |0.03684  |    -     | 0.03682  |</t>
  </si>
  <si>
    <t>| 454  | 0.00221  |    -     | 0.00199  |0.03965  |    -     | 0.03628  |</t>
  </si>
  <si>
    <t>| 455  | 0.00224  |    -     | 0.00199  |0.03622  |    -     | 0.04032  |</t>
  </si>
  <si>
    <t>| 456  | 0.00226  |    -     | 0.00206  |0.03976  |    -     | 0.03993  |</t>
  </si>
  <si>
    <t>| 457  | 0.00215  |    -     | 0.00214  |0.03817  |    -     | 0.04042  |</t>
  </si>
  <si>
    <t>| 458  | 0.00218  |    -     | 0.00200  |0.03887  |    -     | 0.03982  |</t>
  </si>
  <si>
    <t>| 459  | 0.00235  |    -     | 0.00213  |0.03972  |    -     | 0.03993  |</t>
  </si>
  <si>
    <t>| 460  | 0.00208  |    -     | 0.00193  |0.04009  |    -     | 0.04024  |</t>
  </si>
  <si>
    <t>| 461  | 0.00216  |    -     | 0.00207  |0.03984  |    -     | 0.04024  |</t>
  </si>
  <si>
    <t>| 462  | 0.00223  |    -     | 0.00191  |0.03958  |    -     | 0.03977  |</t>
  </si>
  <si>
    <t>| 463  | 0.00211  |    -     | 0.00195  |0.03975  |    -     | 0.03875  |</t>
  </si>
  <si>
    <t>| 464  | 0.00211  |    -     | 0.00194  |0.03961  |    -     | 0.04026  |</t>
  </si>
  <si>
    <t>| 465  | 0.00208  |    -     | 0.00194  |0.03964  |    -     | 0.03976  |</t>
  </si>
  <si>
    <t>| 466  | 0.00190  |    -     | 0.00186  |0.04024  |    -     | 0.03975  |</t>
  </si>
  <si>
    <t>| 467  | 0.00207  |    -     | 0.00197  |0.03970  |    -     | 0.03621  |</t>
  </si>
  <si>
    <t>| 468  | 0.00219  |    -     | 0.00196  |0.04087  |    -     | 0.03973  |</t>
  </si>
  <si>
    <t>| 469  | 0.00203  |    -     | 0.00191  |0.03956  |    -     | 0.03865  |</t>
  </si>
  <si>
    <t>| 470  | 0.00212  |    -     | 0.00198  |0.03975  |    -     | 0.04011  |</t>
  </si>
  <si>
    <t>| 471  | 0.00204  |    -     | 0.00184  |0.03983  |    -     | 0.03987  |</t>
  </si>
  <si>
    <t>| 472  | 0.00222  |    -     | 0.00203  |0.03972  |    -     | 0.04022  |</t>
  </si>
  <si>
    <t>| 473  | 0.00207  |    -     | 0.00201  |0.03978  |    -     | 0.04004  |</t>
  </si>
  <si>
    <t>| 474  | 0.00214  |    -     | 0.00200  |0.03969  |    -     | 0.03917  |</t>
  </si>
  <si>
    <t>| 475  | 0.00215  |    -     | 0.00195  |0.03649  |    -     | 0.03974  |</t>
  </si>
  <si>
    <t>| 476  | 0.00204  |    -     | 0.00190  |0.03964  |    -     | 0.03994  |</t>
  </si>
  <si>
    <t>| 477  | 0.00217  |    -     | 0.00211  |0.03712  |    -     | 0.04077  |</t>
  </si>
  <si>
    <t>| 478  | 0.00226  |    -     | 0.00211  |0.03923  |    -     | 0.03529  |</t>
  </si>
  <si>
    <t>| 479  | 0.00220  |    -     | 0.00182  |0.03889  |    -     | 0.04009  |</t>
  </si>
  <si>
    <t>| 480  | 0.00207  |    -     | 0.00189  |0.03969  |    -     | 0.03985  |</t>
  </si>
  <si>
    <t>| 481  | 0.00205  |    -     | 0.00202  |0.03962  |    -     | 0.03617  |</t>
  </si>
  <si>
    <t>| 482  | 0.00208  |    -     | 0.00186  |0.03951  |    -     | 0.03968  |</t>
  </si>
  <si>
    <t>| 483  | 0.00206  |    -     | 0.00184  |0.03953  |    -     | 0.03822  |</t>
  </si>
  <si>
    <t>| 484  | 0.00204  |    -     | 0.00198  |0.03967  |    -     | 0.03990  |</t>
  </si>
  <si>
    <t>| 485  | 0.00211  |    -     | 0.00196  |0.03974  |    -     | 0.03980  |</t>
  </si>
  <si>
    <t>| 486  | 0.00216  |    -     | 0.00202  |0.03972  |    -     | 0.03980  |</t>
  </si>
  <si>
    <t>| 487  | 0.00197  |    -     | 0.00185  |0.03960  |    -     | 0.03977  |</t>
  </si>
  <si>
    <t>| 488  | 0.00218  |    -     | 0.00218  |0.03990  |    -     | 0.03984  |</t>
  </si>
  <si>
    <t>| 489  | 0.00232  |    -     | 0.00206  |0.03638  |    -     | 0.04043  |</t>
  </si>
  <si>
    <t>| 490  | 0.00232  |    -     | 0.00228  |0.03990  |    -     | 0.04003  |</t>
  </si>
  <si>
    <t>| 491  | 0.00245  |    -     | 0.00203  |0.03968  |    -     | 0.03874  |</t>
  </si>
  <si>
    <t>| 492  | 0.00212  |    -     | 0.00188  |0.03974  |    -     | 0.03994  |</t>
  </si>
  <si>
    <t>| 493  | 0.00210  |    -     | 0.00190  |0.03966  |    -     | 0.03961  |</t>
  </si>
  <si>
    <t>| 494  | 0.00209  |    -     | 0.00195  |0.03978  |    -     | 0.03980  |</t>
  </si>
  <si>
    <t>| 495  | 0.00207  |    -     | 0.00198  |0.03965  |    -     | 0.03985  |</t>
  </si>
  <si>
    <t>| 496  | 0.00214  |    -     | 0.00203  |0.03966  |    -     | 0.03984  |</t>
  </si>
  <si>
    <t>| 497  | 0.00215  |    -     | 0.00198  |0.03969  |    -     | 0.03762  |</t>
  </si>
  <si>
    <t>| 498  | 0.00218  |    -     | 0.00199  |0.03742  |    -     | 0.04021  |</t>
  </si>
  <si>
    <t>| 499  | 0.00229  |    -     | 0.00223  |0.03997  |    -     | 0.03994  |</t>
  </si>
  <si>
    <t>| 500  | 0.00228  |    -     | 0.00203  |0.04019  |    -     | 0.04037  |</t>
  </si>
  <si>
    <t>| 501  | 0.00218  |    -     | 0.00193  |0.03693  |    -     | 0.04030  |</t>
  </si>
  <si>
    <t>| 502  | 0.00195  |    -     | 0.00188  |0.03961  |    -     | 0.04030  |</t>
  </si>
  <si>
    <t>| 503  | 0.00213  |    -     | 0.00208  |0.03773  |    -     | 0.04039  |</t>
  </si>
  <si>
    <t>| 504  | 0.00214  |    -     | 0.00187  |0.03982  |    -     | 0.03830  |</t>
  </si>
  <si>
    <t>| 505  | 0.00215  |    -     | 0.00204  |0.04031  |    -     | 0.04008  |</t>
  </si>
  <si>
    <t>| 506  | 0.00222  |    -     | 0.00191  |0.03728  |    -     | 0.04023  |</t>
  </si>
  <si>
    <t>| 507  | 0.00221  |    -     | 0.00226  |0.03846  |    -     | 0.04010  |</t>
  </si>
  <si>
    <t>| 508  | 0.00226  |    -     | 0.00204  |0.03874  |    -     | 0.03995  |</t>
  </si>
  <si>
    <t>| 509  | 0.00222  |    -     | 0.00257  |0.03986  |    -     | 0.04056  |</t>
  </si>
  <si>
    <t>| 510  | 0.00213  |    -     | 0.00189  |0.03961  |    -     | 0.04010  |</t>
  </si>
  <si>
    <t>| 511  | 0.00194  |    -     | 0.00181  |0.03947  |    -     | 0.03914  |</t>
  </si>
  <si>
    <t>| 512  | 0.00211  |    -     | 0.00193  |0.03618  |    -     | 0.04011  |</t>
  </si>
  <si>
    <t>| 513  | 0.00222  |    -     | 0.00185  |0.03964  |    -     | 0.03934  |</t>
  </si>
  <si>
    <t>| 514  | 0.00223  |    -     | 0.00197  |0.03989  |    -     | 0.03983  |</t>
  </si>
  <si>
    <t>| 515  | 0.00224  |    -     | 0.00192  |0.04006  |    -     | 0.03988  |</t>
  </si>
  <si>
    <t>| 516  | 0.00216  |    -     | 0.00189  |0.03976  |    -     | 0.03993  |</t>
  </si>
  <si>
    <t>| 517  | 0.00215  |    -     | 0.00192  |0.03968  |    -     | 0.04033  |</t>
  </si>
  <si>
    <t>| 518  | 0.00208  |    -     | 0.00192  |0.03956  |    -     | 0.04035  |</t>
  </si>
  <si>
    <t>| 519  | 0.00198  |    -     | 0.00184  |0.03958  |    -     | 0.04028  |</t>
  </si>
  <si>
    <t>| 520  | 0.00210  |    -     | 0.00186  |0.03848  |    -     | 0.04022  |</t>
  </si>
  <si>
    <t>| 521  | 0.00214  |    -     | 0.00235  |0.03988  |    -     | 0.03988  |</t>
  </si>
  <si>
    <t>| 522  | 0.00207  |    -     | 0.00203  |0.03950  |    -     | 0.03720  |</t>
  </si>
  <si>
    <t>| 523  | 0.00215  |    -     | 0.00189  |0.03757  |    -     | 0.04007  |</t>
  </si>
  <si>
    <t>| 524  | 0.00233  |    -     | 0.00201  |0.03994  |    -     | 0.04018  |</t>
  </si>
  <si>
    <t>| 525  | 0.00217  |    -     | 0.00206  |0.03763  |    -     | 0.04029  |</t>
  </si>
  <si>
    <t>| 526  | 0.00228  |    -     | 0.00203  |0.03952  |    -     | 0.04023  |</t>
  </si>
  <si>
    <t>| 527  | 0.00217  |    -     | 0.00197  |0.04005  |    -     | 0.03987  |</t>
  </si>
  <si>
    <t>| 528  | 0.00204  |    -     | 0.00184  |0.03942  |    -     | 0.03978  |</t>
  </si>
  <si>
    <t>| 529  | 0.00216  |    -     | 0.00191  |0.03584  |    -     | 0.03986  |</t>
  </si>
  <si>
    <t>| 530  | 0.00211  |    -     | 0.00197  |0.03979  |    -     | 0.04011  |</t>
  </si>
  <si>
    <t>| 531  | 0.00227  |    -     | 0.00222  |0.03776  |    -     | 0.03540  |</t>
  </si>
  <si>
    <t>| 532  | 0.00224  |    -     | 0.00198  |0.03799  |    -     | 0.03987  |</t>
  </si>
  <si>
    <t>| 533  | 0.00217  |    -     | 0.00202  |0.03972  |    -     | 0.03995  |</t>
  </si>
  <si>
    <t>| 534  | 0.00220  |    -     | 0.00199  |0.03972  |    -     | 0.03994  |</t>
  </si>
  <si>
    <t>| 535  | 0.00227  |    -     | 0.00198  |0.03700  |    -     | 0.03993  |</t>
  </si>
  <si>
    <t>| 536  | 0.00183  |    -     | 0.00190  |0.04060  |    -     | 0.03972  |</t>
  </si>
  <si>
    <t>| 537  | 0.00202  |    -     | 0.00183  |0.03955  |    -     | 0.03974  |</t>
  </si>
  <si>
    <t>| 538  | 0.00201  |    -     | 0.00194  |0.03673  |    -     | 0.03984  |</t>
  </si>
  <si>
    <t>| 539  | 0.00206  |    -     | 0.00191  |0.03957  |    -     | 0.03799  |</t>
  </si>
  <si>
    <t>| 540  | 0.00207  |    -     | 0.00193  |0.03956  |    -     | 0.04067  |</t>
  </si>
  <si>
    <t>| 541  | 0.00217  |    -     | 0.00187  |0.03698  |    -     | 0.04048  |</t>
  </si>
  <si>
    <t>| 542  | 0.00211  |    -     | 0.00289  |0.03976  |    -     | 0.03997  |</t>
  </si>
  <si>
    <t>| 543  | 0.00215  |    -     | 0.00208  |0.04023  |    -     | 0.04012  |</t>
  </si>
  <si>
    <t>| 544  | 0.00217  |    -     | 0.00251  |0.03992  |    -     | 0.04033  |</t>
  </si>
  <si>
    <t>| 545  | 0.00211  |    -     | 0.00236  |0.04005  |    -     | 0.03991  |</t>
  </si>
  <si>
    <t>| 546  | 0.00243  |    -     | 0.00204  |0.03960  |    -     | 0.03985  |</t>
  </si>
  <si>
    <t>| 547  | 0.00219  |    -     | 0.00213  |0.03673  |    -     | 0.04010  |</t>
  </si>
  <si>
    <t>| 548  | 0.00245  |    -     | 0.00206  |0.03973  |    -     | 0.03975  |</t>
  </si>
  <si>
    <t>| 549  | 0.00218  |    -     | 0.00232  |0.03958  |    -     | 0.03444  |</t>
  </si>
  <si>
    <t>| 550  | 0.00232  |    -     | 0.00229  |0.03685  |    -     | 0.03820  |</t>
  </si>
  <si>
    <t>| 551  | 0.00218  |    -     | 0.00196  |0.03960  |    -     | 0.03922  |</t>
  </si>
  <si>
    <t>| 552  | 0.00200  |    -     | 0.00196  |0.03966  |    -     | 0.03993  |</t>
  </si>
  <si>
    <t>| 553  | 0.00208  |    -     | 0.00199  |0.03958  |    -     | 0.03978  |</t>
  </si>
  <si>
    <t>| 554  | 0.00206  |    -     | 0.00196  |0.03965  |    -     | 0.03979  |</t>
  </si>
  <si>
    <t>| 555  | 0.00217  |    -     | 0.00195  |0.03976  |    -     | 0.03922  |</t>
  </si>
  <si>
    <t>| 556  | 0.00243  |    -     | 0.00222  |0.03989  |    -     | 0.03981  |</t>
  </si>
  <si>
    <t>| 557  | 0.00221  |    -     | 0.00196  |0.03973  |    -     | 0.03826  |</t>
  </si>
  <si>
    <t>| 558  | 0.00215  |    -     | 0.00197  |0.03972  |    -     | 0.03993  |</t>
  </si>
  <si>
    <t>| 559  | 0.00211  |    -     | 0.00198  |0.03983  |    -     | 0.03964  |</t>
  </si>
  <si>
    <t>| 560  | 0.00201  |    -     | 0.00192  |0.03846  |    -     | 0.03986  |</t>
  </si>
  <si>
    <t>| 561  | 0.00216  |    -     | 0.00197  |0.03972  |    -     | 0.03978  |</t>
  </si>
  <si>
    <t>| 562  | 0.00221  |    -     | 0.00190  |0.03965  |    -     | 0.03973  |</t>
  </si>
  <si>
    <t>| 563  | 0.00212  |    -     | 0.00190  |0.03971  |    -     | 0.03992  |</t>
  </si>
  <si>
    <t>| 564  | 0.00219  |    -     | 0.00216  |0.03985  |    -     | 0.04000  |</t>
  </si>
  <si>
    <t>| 565  | 0.00223  |    -     | 0.00209  |0.04009  |    -     | 0.03934  |</t>
  </si>
  <si>
    <t>| 566  | 0.00318  |    -     | 0.00213  |0.04001  |    -     | 0.04022  |</t>
  </si>
  <si>
    <t>| 567  | 0.00237  |    -     | 0.00209  |0.03970  |    -     | 0.04019  |</t>
  </si>
  <si>
    <t>| 568  | 0.00266  |    -     | 0.00204  |0.03963  |    -     | 0.04029  |</t>
  </si>
  <si>
    <t>| 569  | 0.00197  |    -     | 0.00182  |0.03965  |    -     | 0.03995  |</t>
  </si>
  <si>
    <t>| 570  | 0.00209  |    -     | 0.00198  |0.03968  |    -     | 0.04065  |</t>
  </si>
  <si>
    <t>| 571  | 0.00198  |    -     | 0.00188  |0.03971  |    -     | 0.03970  |</t>
  </si>
  <si>
    <t>| 572  | 0.00222  |    -     | 0.00191  |0.03954  |    -     | 0.03706  |</t>
  </si>
  <si>
    <t>| 573  | 0.00235  |    -     | 0.00205  |0.03705  |    -     | 0.03748  |</t>
  </si>
  <si>
    <t>| 574  | 0.00212  |    -     | 0.00188  |0.03592  |    -     | 0.03486  |</t>
  </si>
  <si>
    <t>| 575  | 0.00214  |    -     | 0.00195  |0.03340  |    -     | 0.03746  |</t>
  </si>
  <si>
    <t>| 576  | 0.00215  |    -     | 0.00199  |0.03965  |    -     | 0.03848  |</t>
  </si>
  <si>
    <t>| 577  | 0.00207  |    -     | 0.00180  |0.03948  |    -     | 0.03993  |</t>
  </si>
  <si>
    <t>| 578  | 0.00208  |    -     | 0.00195  |0.03971  |    -     | 0.03989  |</t>
  </si>
  <si>
    <t>| 579  | 0.00209  |    -     | 0.00185  |0.03888  |    -     | 0.03759  |</t>
  </si>
  <si>
    <t>| 580  | 0.00276  |    -     | 0.00222  |0.03977  |    -     | 0.03830  |</t>
  </si>
  <si>
    <t>| 581  | 0.00220  |    -     | 0.00199  |0.03820  |    -     | 0.04003  |</t>
  </si>
  <si>
    <t>| 582  | 0.00228  |    -     | 0.00202  |0.03790  |    -     | 0.04058  |</t>
  </si>
  <si>
    <t>| 583  | 0.00233  |    -     | 0.00207  |0.03978  |    -     | 0.03912  |</t>
  </si>
  <si>
    <t>| 584  | 0.00220  |    -     | 0.00194  |0.04040  |    -     | 0.03450  |</t>
  </si>
  <si>
    <t>| 585  | 0.00219  |    -     | 0.00235  |0.03893  |    -     | 0.03907  |</t>
  </si>
  <si>
    <t>| 586  | 0.00204  |    -     | 0.00202  |0.03970  |    -     | 0.03986  |</t>
  </si>
  <si>
    <t>| 587  | 0.00214  |    -     | 0.00200  |0.03938  |    -     | 0.03984  |</t>
  </si>
  <si>
    <t>| 588  | 0.00210  |    -     | 0.00196  |0.03929  |    -     | 0.03967  |</t>
  </si>
  <si>
    <t>| 589  | 0.00202  |    -     | 0.00200  |0.03913  |    -     | 0.03987  |</t>
  </si>
  <si>
    <t>| 590  | 0.00244  |    -     | 0.00230  |0.03976  |    -     | 0.03956  |</t>
  </si>
  <si>
    <t>| 591  | 0.00223  |    -     | 0.00198  |0.03676  |    -     | 0.04042  |</t>
  </si>
  <si>
    <t>| 592  | 0.00221  |    -     | 0.00187  |0.03965  |    -     | 0.04051  |</t>
  </si>
  <si>
    <t>| 593  | 0.00395  |    -     | 0.00435  |0.04262  |    -     | 0.07138  |</t>
  </si>
  <si>
    <t>| 594  | 0.00222  |    -     | 0.00206  |0.03692  |    -     | 0.04024  |</t>
  </si>
  <si>
    <t>| 595  | 0.00224  |    -     | 0.00199  |0.03925  |    -     | 0.04005  |</t>
  </si>
  <si>
    <t>| 596  | 0.00216  |    -     | 0.00205  |0.03953  |    -     | 0.03962  |</t>
  </si>
  <si>
    <t>| 597  | 0.00234  |    -     | 0.00210  |0.03818  |    -     | 0.03968  |</t>
  </si>
  <si>
    <t>| 598  | 0.00228  |    -     | 0.00201  |0.03881  |    -     | 0.03656  |</t>
  </si>
  <si>
    <t>| 599  | 0.00217  |    -     | 0.00181  |0.03772  |    -     | 0.03725  |</t>
  </si>
  <si>
    <t>| 600  | 0.00205  |    -     | 0.00193  |0.04028  |    -     | 0.03895  |</t>
  </si>
  <si>
    <t>| 601  | 0.00221  |    -     | 0.00193  |0.03950  |    -     | 0.03598  |</t>
  </si>
  <si>
    <t>| 602  | 0.00205  |    -     | 0.00192  |0.03997  |    -     | 0.03983  |</t>
  </si>
  <si>
    <t>| 603  | 0.00214  |    -     | 0.00202  |0.03976  |    -     | 0.04027  |</t>
  </si>
  <si>
    <t>| 604  | 0.00202  |    -     | 0.00191  |0.03961  |    -     | 0.04048  |</t>
  </si>
  <si>
    <t>| 605  | 0.00217  |    -     | 0.00196  |0.03958  |    -     | 0.03928  |</t>
  </si>
  <si>
    <t>| 606  | 0.00206  |    -     | 0.00191  |0.03963  |    -     | 0.03999  |</t>
  </si>
  <si>
    <t>| 607  | 0.00219  |    -     | 0.00203  |0.03973  |    -     | 0.04029  |</t>
  </si>
  <si>
    <t>| 608  | 0.00205  |    -     | 0.00198  |0.03965  |    -     | 0.03989  |</t>
  </si>
  <si>
    <t>| 609  | 0.00206  |    -     | 0.00202  |0.03862  |    -     | 0.04048  |</t>
  </si>
  <si>
    <t>| 610  | 0.00208  |    -     | 0.00196  |0.03839  |    -     | 0.04024  |</t>
  </si>
  <si>
    <t>| 611  | 0.00220  |    -     | 0.00202  |0.03957  |    -     | 0.03996  |</t>
  </si>
  <si>
    <t>| 612  | 0.00204  |    -     | 0.00200  |0.03984  |    -     | 0.03996  |</t>
  </si>
  <si>
    <t>| 613  | 0.00213  |    -     | 0.00195  |0.03961  |    -     | 0.03945  |</t>
  </si>
  <si>
    <t>| 614  | 0.00210  |    -     | 0.00186  |0.03760  |    -     | 0.03996  |</t>
  </si>
  <si>
    <t>| 615  | 0.00218  |    -     | 0.00207  |0.03847  |    -     | 0.04015  |</t>
  </si>
  <si>
    <t>| 616  | 0.00231  |    -     | 0.00218  |0.03913  |    -     | 0.03945  |</t>
  </si>
  <si>
    <t>| 617  | 0.00212  |    -     | 0.00196  |0.03972  |    -     | 0.03987  |</t>
  </si>
  <si>
    <t>| 618  | 0.00208  |    -     | 0.00192  |0.03966  |    -     | 0.03977  |</t>
  </si>
  <si>
    <t>| 619  | 0.00209  |    -     | 0.00205  |0.03783  |    -     | 0.04021  |</t>
  </si>
  <si>
    <t>| 620  | 0.00210  |    -     | 0.00188  |0.03967  |    -     | 0.03982  |</t>
  </si>
  <si>
    <t>| 621  | 0.00212  |    -     | 0.00186  |0.03972  |    -     | 0.03953  |</t>
  </si>
  <si>
    <t>| 622  | 0.00221  |    -     | 0.00199  |0.03859  |    -     | 0.04009  |</t>
  </si>
  <si>
    <t>| 623  | 0.00224  |    -     | 0.00200  |0.03967  |    -     | 0.03977  |</t>
  </si>
  <si>
    <t>| 624  | 0.00206  |    -     | 0.00196  |0.03960  |    -     | 0.03943  |</t>
  </si>
  <si>
    <t>| 625  | 0.00221  |    -     | 0.00198  |0.03832  |    -     | 0.04039  |</t>
  </si>
  <si>
    <t>| 626  | 0.00209  |    -     | 0.00195  |0.03968  |    -     | 0.03985  |</t>
  </si>
  <si>
    <t>| 627  | 0.00208  |    -     | 0.00195  |0.03973  |    -     | 0.03980  |</t>
  </si>
  <si>
    <t>| 628  | 0.00210  |    -     | 0.00194  |0.03973  |    -     | 0.03982  |</t>
  </si>
  <si>
    <t>| 629  | 0.00207  |    -     | 0.00195  |0.03966  |    -     | 0.03982  |</t>
  </si>
  <si>
    <t>| 630  | 0.00211  |    -     | 0.00195  |0.03973  |    -     | 0.03993  |</t>
  </si>
  <si>
    <t>| 631  | 0.00222  |    -     | 0.00199  |0.03968  |    -     | 0.03983  |</t>
  </si>
  <si>
    <t>| 632  | 0.00209  |    -     | 0.00195  |0.03969  |    -     | 0.03982  |</t>
  </si>
  <si>
    <t>| 633  | 0.00211  |    -     | 0.00195  |0.03968  |    -     | 0.03981  |</t>
  </si>
  <si>
    <t>| 634  | 0.00211  |    -     | 0.00184  |0.03972  |    -     | 0.03988  |</t>
  </si>
  <si>
    <t>| 635  | 0.00214  |    -     | 0.00195  |0.03974  |    -     | 0.03989  |</t>
  </si>
  <si>
    <t>| 636  | 0.00204  |    -     | 0.00198  |0.03971  |    -     | 0.04007  |</t>
  </si>
  <si>
    <t>| 637  | 0.00226  |    -     | 0.00200  |0.04024  |    -     | 0.04045  |</t>
  </si>
  <si>
    <t>| 638  | 0.00215  |    -     | 0.00202  |0.03894  |    -     | 0.03984  |</t>
  </si>
  <si>
    <t>| 639  | 0.00216  |    -     | 0.00197  |0.03782  |    -     | 0.03995  |</t>
  </si>
  <si>
    <t>| 640  | 0.00206  |    -     | 0.00195  |0.03782  |    -     | 0.03993  |</t>
  </si>
  <si>
    <t>| 641  | 0.00206  |    -     | 0.00196  |0.03796  |    -     | 0.03982  |</t>
  </si>
  <si>
    <t>| 642  | 0.00210  |    -     | 0.00186  |0.03959  |    -     | 0.03977  |</t>
  </si>
  <si>
    <t>| 643  | 0.00205  |    -     | 0.00198  |0.03957  |    -     | 0.03984  |</t>
  </si>
  <si>
    <t>| 644  | 0.00207  |    -     | 0.00193  |0.03966  |    -     | 0.03985  |</t>
  </si>
  <si>
    <t>| 645  | 0.00208  |    -     | 0.00197  |0.03967  |    -     | 0.03998  |</t>
  </si>
  <si>
    <t>| 646  | 0.00214  |    -     | 0.00196  |0.03974  |    -     | 0.03986  |</t>
  </si>
  <si>
    <t>| 647  | 0.00204  |    -     | 0.00196  |0.03975  |    -     | 0.03990  |</t>
  </si>
  <si>
    <t>| 648  | 0.00219  |    -     | 0.00195  |0.03970  |    -     | 0.03994  |</t>
  </si>
  <si>
    <t>| 649  | 0.00209  |    -     | 0.00201  |0.03955  |    -     | 0.03967  |</t>
  </si>
  <si>
    <t>| 650  | 0.00204  |    -     | 0.00196  |0.03974  |    -     | 0.03988  |</t>
  </si>
  <si>
    <t>| 651  | 0.00193  |    -     | 0.00184  |0.03971  |    -     | 0.04023  |</t>
  </si>
  <si>
    <t>| 652  | 0.00214  |    -     | 0.00196  |0.03967  |    -     | 0.03853  |</t>
  </si>
  <si>
    <t>| 653  | 0.00206  |    -     | 0.00198  |0.03966  |    -     | 0.03987  |</t>
  </si>
  <si>
    <t>| 654  | 0.00231  |    -     | 0.00206  |0.03972  |    -     | 0.03990  |</t>
  </si>
  <si>
    <t>| 655  | 0.00214  |    -     | 0.00199  |0.03973  |    -     | 0.03972  |</t>
  </si>
  <si>
    <t>| 656  | 0.00200  |    -     | 0.00184  |0.03979  |    -     | 0.03981  |</t>
  </si>
  <si>
    <t>| 657  | 0.00209  |    -     | 0.00195  |0.03975  |    -     | 0.03979  |</t>
  </si>
  <si>
    <t>| 658  | 0.00211  |    -     | 0.00191  |0.03966  |    -     | 0.04051  |</t>
  </si>
  <si>
    <t>| 659  | 0.00213  |    -     | 0.00203  |0.03975  |    -     | 0.03968  |</t>
  </si>
  <si>
    <t>| 660  | 0.00208  |    -     | 0.00199  |0.03968  |    -     | 0.03986  |</t>
  </si>
  <si>
    <t>| 661  | 0.00220  |    -     | 0.00205  |0.03724  |    -     | 0.03913  |</t>
  </si>
  <si>
    <t>| 662  | 0.00215  |    -     | 0.00198  |0.03929  |    -     | 0.03989  |</t>
  </si>
  <si>
    <t>| 663  | 0.00212  |    -     | 0.00199  |0.03955  |    -     | 0.03985  |</t>
  </si>
  <si>
    <t>| 664  | 0.00213  |    -     | 0.00204  |0.03982  |    -     | 0.03987  |</t>
  </si>
  <si>
    <t>| 665  | 0.00218  |    -     | 0.00200  |0.03974  |    -     | 0.03989  |</t>
  </si>
  <si>
    <t>| 666  | 0.00217  |    -     | 0.00198  |0.03976  |    -     | 0.03982  |</t>
  </si>
  <si>
    <t>| 667  | 0.00209  |    -     | 0.00199  |0.03973  |    -     | 0.03987  |</t>
  </si>
  <si>
    <t>| 668  | 0.00217  |    -     | 0.00196  |0.03799  |    -     | 0.03624  |</t>
  </si>
  <si>
    <t>| 669  | 0.00219  |    -     | 0.00199  |0.03975  |    -     | 0.03990  |</t>
  </si>
  <si>
    <t>| 670  | 0.00222  |    -     | 0.00199  |0.03965  |    -     | 0.03990  |</t>
  </si>
  <si>
    <t>| 671  | 0.00222  |    -     | 0.00198  |0.03856  |    -     | 0.03983  |</t>
  </si>
  <si>
    <t>| 672  | 0.00208  |    -     | 0.00200  |0.03966  |    -     | 0.03986  |</t>
  </si>
  <si>
    <t>| 673  | 0.00224  |    -     | 0.00206  |0.03587  |    -     | 0.04021  |</t>
  </si>
  <si>
    <t>| 674  | 0.00213  |    -     | 0.00200  |0.03967  |    -     | 0.03854  |</t>
  </si>
  <si>
    <t>| 675  | 0.00227  |    -     | 0.00203  |0.04015  |    -     | 0.04040  |</t>
  </si>
  <si>
    <t>| 676  | 0.00218  |    -     | 0.00202  |0.03965  |    -     | 0.04041  |</t>
  </si>
  <si>
    <t>| 677  | 0.00211  |    -     | 0.00202  |0.03970  |    -     | 0.03983  |</t>
  </si>
  <si>
    <t>| 678  | 0.00209  |    -     | 0.00199  |0.03969  |    -     | 0.03984  |</t>
  </si>
  <si>
    <t>| 679  | 0.00212  |    -     | 0.00198  |0.03967  |    -     | 0.03986  |</t>
  </si>
  <si>
    <t>| 680  | 0.00209  |    -     | 0.00202  |0.03967  |    -     | 0.03669  |</t>
  </si>
  <si>
    <t>| 681  | 0.00214  |    -     | 0.00200  |0.03964  |    -     | 0.03989  |</t>
  </si>
  <si>
    <t>| 682  | 0.00212  |    -     | 0.00199  |0.03970  |    -     | 0.03897  |</t>
  </si>
  <si>
    <t>| 683  | 0.00219  |    -     | 0.00203  |0.03972  |    -     | 0.03983  |</t>
  </si>
  <si>
    <t>| 684  | 0.00215  |    -     | 0.00198  |0.03967  |    -     | 0.03968  |</t>
  </si>
  <si>
    <t>| 685  | 0.00213  |    -     | 0.00188  |0.03967  |    -     | 0.03978  |</t>
  </si>
  <si>
    <t>| 686  | 0.00211  |    -     | 0.00203  |0.03971  |    -     | 0.03984  |</t>
  </si>
  <si>
    <t>| 687  | 0.00214  |    -     | 0.00201  |0.03589  |    -     | 0.03797  |</t>
  </si>
  <si>
    <t>| 688  | 0.00218  |    -     | 0.00207  |0.03931  |    -     | 0.04022  |</t>
  </si>
  <si>
    <t>| 689  | 0.00214  |    -     | 0.00192  |0.03945  |    -     | 0.03845  |</t>
  </si>
  <si>
    <t>| 690  | 0.00212  |    -     | 0.00199  |0.03967  |    -     | 0.04017  |</t>
  </si>
  <si>
    <t>| 691  | 0.00205  |    -     | 0.00195  |0.03951  |    -     | 0.03804  |</t>
  </si>
  <si>
    <t>| 692  | 0.00217  |    -     | 0.00200  |0.03863  |    -     | 0.04031  |</t>
  </si>
  <si>
    <t>| 693  | 0.00215  |    -     | 0.00204  |0.03975  |    -     | 0.04027  |</t>
  </si>
  <si>
    <t>| 694  | 0.00210  |    -     | 0.00199  |0.03978  |    -     | 0.03984  |</t>
  </si>
  <si>
    <t>| 695  | 0.00210  |    -     | 0.00199  |0.03850  |    -     | 0.03980  |</t>
  </si>
  <si>
    <t>| 696  | 0.00207  |    -     | 0.00196  |0.03958  |    -     | 0.03986  |</t>
  </si>
  <si>
    <t>| 697  | 0.00209  |    -     | 0.00184  |0.03761  |    -     | 0.03990  |</t>
  </si>
  <si>
    <t>| 698  | 0.00211  |    -     | 0.00202  |0.03973  |    -     | 0.04023  |</t>
  </si>
  <si>
    <t>| 699  | 0.00207  |    -     | 0.00197  |0.03967  |    -     | 0.03977  |</t>
  </si>
  <si>
    <t>| 700  | 0.00212  |    -     | 0.00193  |0.03965  |    -     | 0.03978  |</t>
  </si>
  <si>
    <t>| 701  | 0.00207  |    -     | 0.00197  |0.03967  |    -     | 0.03981  |</t>
  </si>
  <si>
    <t>| 702  | 0.00212  |    -     | 0.00198  |0.03948  |    -     | 0.03974  |</t>
  </si>
  <si>
    <t>| 703  | 0.00211  |    -     | 0.00201  |0.03975  |    -     | 0.03986  |</t>
  </si>
  <si>
    <t>| 704  | 0.00219  |    -     | 0.00200  |0.03972  |    -     | 0.03978  |</t>
  </si>
  <si>
    <t>| 705  | 0.00207  |    -     | 0.00202  |0.03977  |    -     | 0.03980  |</t>
  </si>
  <si>
    <t>| 706  | 0.00210  |    -     | 0.00196  |0.03974  |    -     | 0.03978  |</t>
  </si>
  <si>
    <t>| 707  | 0.00198  |    -     | 0.00184  |0.03954  |    -     | 0.03968  |</t>
  </si>
  <si>
    <t>| 708  | 0.00216  |    -     | 0.00201  |0.03971  |    -     | 0.03976  |</t>
  </si>
  <si>
    <t>| 709  | 0.00203  |    -     | 0.00193  |0.03964  |    -     | 0.03801  |</t>
  </si>
  <si>
    <t>| 710  | 0.00213  |    -     | 0.00186  |0.03966  |    -     | 0.03984  |</t>
  </si>
  <si>
    <t>| 711  | 0.00211  |    -     | 0.00204  |0.03975  |    -     | 0.03985  |</t>
  </si>
  <si>
    <t>| 712  | 0.00208  |    -     | 0.00199  |0.03974  |    -     | 0.03988  |</t>
  </si>
  <si>
    <t>| 713  | 0.00214  |    -     | 0.00198  |0.03968  |    -     | 0.03959  |</t>
  </si>
  <si>
    <t>| 714  | 0.00211  |    -     | 0.00197  |0.03972  |    -     | 0.03982  |</t>
  </si>
  <si>
    <t>| 715  | 0.00206  |    -     | 0.00197  |0.03975  |    -     | 0.03984  |</t>
  </si>
  <si>
    <t>| 716  | 0.00196  |    -     | 0.00183  |0.03957  |    -     | 0.03983  |</t>
  </si>
  <si>
    <t>| 717  | 0.00210  |    -     | 0.00193  |0.03968  |    -     | 0.03980  |</t>
  </si>
  <si>
    <t>| 718  | 0.00213  |    -     | 0.00198  |0.03636  |    -     | 0.03972  |</t>
  </si>
  <si>
    <t>| 719  | 0.00197  |    -     | 0.00197  |0.03957  |    -     | 0.03968  |</t>
  </si>
  <si>
    <t>| 720  | 0.00207  |    -     | 0.00196  |0.03966  |    -     | 0.03940  |</t>
  </si>
  <si>
    <t>| 721  | 0.00209  |    -     | 0.00202  |0.04010  |    -     | 0.03909  |</t>
  </si>
  <si>
    <t>| 722  | 0.00194  |    -     | 0.00186  |0.03965  |    -     | 0.03863  |</t>
  </si>
  <si>
    <t>| 723  | 0.00234  |    -     | 0.00251  |0.04000  |    -     | 0.04027  |</t>
  </si>
  <si>
    <t>| 724  | 0.00247  |    -     | 0.00236  |0.03698  |    -     | 0.07210  |</t>
  </si>
  <si>
    <t>| 725  | 0.00232  |    -     | 0.00210  |0.03988  |    -     | 0.03693  |</t>
  </si>
  <si>
    <t>| 726  | 0.00281  |    -     | 0.00222  |0.04008  |    -     | 0.03581  |</t>
  </si>
  <si>
    <t>| 727  | 0.00275  |    -     | 0.00202  |0.03989  |    -     | 0.03888  |</t>
  </si>
  <si>
    <t>| 728  | 0.00244  |    -     | 0.00214  |0.03647  |    -     | 0.03996  |</t>
  </si>
  <si>
    <t>| 729  | 0.00236  |    -     | 0.00254  |0.03880  |    -     | 0.04018  |</t>
  </si>
  <si>
    <t>| 730  | 0.00239  |    -     | 0.00257  |0.03927  |    -     | 0.03865  |</t>
  </si>
  <si>
    <t>| 731  | 0.00235  |    -     | 0.00215  |0.04035  |    -     | 0.04025  |</t>
  </si>
  <si>
    <t>| 732  | 0.00254  |    -     | 0.00225  |0.03652  |    -     | 0.03515  |</t>
  </si>
  <si>
    <t>| 733  | 0.00223  |    -     | 0.00205  |0.03668  |    -     | 0.04562  |</t>
  </si>
  <si>
    <t>| 734  | 0.00567  |    -     | 0.00235  |0.09362  |    -     | 0.04030  |</t>
  </si>
  <si>
    <t>| 735  | 0.00237  |    -     | 0.00209  |0.03790  |    -     | 0.04052  |</t>
  </si>
  <si>
    <t>| 736  | 0.00227  |    -     | 0.00193  |0.03944  |    -     | 0.04015  |</t>
  </si>
  <si>
    <t>| 737  | 0.00224  |    -     | 0.00209  |0.03963  |    -     | 0.03838  |</t>
  </si>
  <si>
    <t>| 738  | 0.00238  |    -     | 0.00203  |0.03965  |    -     | 0.03916  |</t>
  </si>
  <si>
    <t>| 739  | 0.00227  |    -     | 0.00206  |0.03869  |    -     | 0.03993  |</t>
  </si>
  <si>
    <t>| 740  | 0.00220  |    -     | 0.00204  |0.04020  |    -     | 0.03872  |</t>
  </si>
  <si>
    <t>| 741  | 0.00229  |    -     | 0.00203  |0.03966  |    -     | 0.03990  |</t>
  </si>
  <si>
    <t>| 742  | 0.00224  |    -     | 0.00207  |0.03953  |    -     | 0.03995  |</t>
  </si>
  <si>
    <t>| 743  | 0.00218  |    -     | 0.00213  |0.03918  |    -     | 0.03831  |</t>
  </si>
  <si>
    <t>| 744  | 0.00233  |    -     | 0.00196  |0.04005  |    -     | 0.04043  |</t>
  </si>
  <si>
    <t>| 745  | 0.00210  |    -     | 0.00200  |0.04011  |    -     | 0.04048  |</t>
  </si>
  <si>
    <t>| 746  | 0.00218  |    -     | 0.00195  |0.03968  |    -     | 0.03984  |</t>
  </si>
  <si>
    <t>| 747  | 0.00222  |    -     | 0.00197  |0.04005  |    -     | 0.03813  |</t>
  </si>
  <si>
    <t>| 748  | 0.00428  |    -     | 0.00352  |0.05660  |    -     | 0.04231  |</t>
  </si>
  <si>
    <t>| 749  | 0.00231  |    -     | 0.00205  |0.03974  |    -     | 0.03904  |</t>
  </si>
  <si>
    <t>| 750  | 0.00234  |    -     | 0.00206  |0.03719  |    -     | 0.04022  |</t>
  </si>
  <si>
    <t>| 751  | 0.00240  |    -     | 0.00216  |0.03954  |    -     | 0.03834  |</t>
  </si>
  <si>
    <t>| 752  | 0.00228  |    -     | 0.00206  |0.03977  |    -     | 0.03900  |</t>
  </si>
  <si>
    <t>| 753  | 0.00194  |    -     | 0.00190  |0.03896  |    -     | 0.04067  |</t>
  </si>
  <si>
    <t>| 754  | 0.00220  |    -     | 0.00202  |0.03691  |    -     | 0.03996  |</t>
  </si>
  <si>
    <t>| 755  | 0.00219  |    -     | 0.00192  |0.03923  |    -     | 0.03751  |</t>
  </si>
  <si>
    <t>| 756  | 0.00223  |    -     | 0.00204  |0.03505  |    -     | 0.03811  |</t>
  </si>
  <si>
    <t>| 757  | 0.00219  |    -     | 0.00203  |0.03876  |    -     | 0.03994  |</t>
  </si>
  <si>
    <t>| 758  | 0.00208  |    -     | 0.00187  |0.03953  |    -     | 0.03977  |</t>
  </si>
  <si>
    <t>| 759  | 0.00227  |    -     | 0.00201  |0.03487  |    -     | 0.03889  |</t>
  </si>
  <si>
    <t>| 760  | 0.00245  |    -     | 0.00217  |0.03816  |    -     | 0.03809  |</t>
  </si>
  <si>
    <t>| 761  | 0.00221  |    -     | 0.00220  |0.04008  |    -     | 0.03931  |</t>
  </si>
  <si>
    <t>| 762  | 0.00222  |    -     | 0.00193  |0.03972  |    -     | 0.03674  |</t>
  </si>
  <si>
    <t>| 763  | 0.00217  |    -     | 0.00186  |0.03661  |    -     | 0.03904  |</t>
  </si>
  <si>
    <t>| 764  | 0.00272  |    -     | 0.00225  |0.03713  |    -     | 0.04040  |</t>
  </si>
  <si>
    <t>| 765  | 0.00231  |    -     | 0.00218  |0.03810  |    -     | 0.04016  |</t>
  </si>
  <si>
    <t>| 766  | 0.00235  |    -     | 0.00230  |0.03986  |    -     | 0.03995  |</t>
  </si>
  <si>
    <t>| 767  | 0.00227  |    -     | 0.00219  |0.03974  |    -     | 0.03853  |</t>
  </si>
  <si>
    <t>| 768  | 0.00220  |    -     | 0.00206  |0.03977  |    -     | 0.04005  |</t>
  </si>
  <si>
    <t>| 769  | 0.00231  |    -     | 0.00205  |0.03981  |    -     | 0.03973  |</t>
  </si>
  <si>
    <t>| 770  | 0.00207  |    -     | 0.00197  |0.03967  |    -     | 0.03991  |</t>
  </si>
  <si>
    <t>| 771  | 0.00216  |    -     | 0.00199  |0.03951  |    -     | 0.03967  |</t>
  </si>
  <si>
    <t>| 772  | 0.00201  |    -     | 0.00186  |0.03953  |    -     | 0.03981  |</t>
  </si>
  <si>
    <t>| 773  | 0.00215  |    -     | 0.00200  |0.03930  |    -     | 0.04032  |</t>
  </si>
  <si>
    <t>| 774  | 0.00211  |    -     | 0.00186  |0.03645  |    -     | 0.03926  |</t>
  </si>
  <si>
    <t>| 775  | 0.00235  |    -     | 0.00216  |0.03742  |    -     | 0.04019  |</t>
  </si>
  <si>
    <t>| 776  | 0.00220  |    -     | 0.00191  |0.04059  |    -     | 0.03986  |</t>
  </si>
  <si>
    <t>| 777  | 0.00208  |    -     | 0.00190  |0.03829  |    -     | 0.03985  |</t>
  </si>
  <si>
    <t>| 778  | 0.00220  |    -     | 0.00185  |0.03819  |    -     | 0.04033  |</t>
  </si>
  <si>
    <t>| 779  | 0.00261  |    -     | 0.00201  |0.03977  |    -     | 0.04034  |</t>
  </si>
  <si>
    <t>| 780  | 0.00211  |    -     | 0.00189  |0.03971  |    -     | 0.04034  |</t>
  </si>
  <si>
    <t>| 781  | 0.00208  |    -     | 0.00193  |0.03973  |    -     | 0.03987  |</t>
  </si>
  <si>
    <t>| 782  | 0.00204  |    -     | 0.00183  |0.03957  |    -     | 0.03990  |</t>
  </si>
  <si>
    <t>| 783  | 0.00212  |    -     | 0.00186  |0.03953  |    -     | 0.04026  |</t>
  </si>
  <si>
    <t>| 784  | 0.00213  |    -     | 0.00199  |0.03971  |    -     | 0.03982  |</t>
  </si>
  <si>
    <t>| 785  | 0.00212  |    -     | 0.00195  |0.03965  |    -     | 0.04027  |</t>
  </si>
  <si>
    <t>| 786  | 0.00197  |    -     | 0.00182  |0.03881  |    -     | 0.03993  |</t>
  </si>
  <si>
    <t>| 787  | 0.00222  |    -     | 0.00199  |0.03971  |    -     | 0.03988  |</t>
  </si>
  <si>
    <t>| 788  | 0.00208  |    -     | 0.00203  |0.03975  |    -     | 0.03981  |</t>
  </si>
  <si>
    <t>| 789  | 0.00207  |    -     | 0.00187  |0.03973  |    -     | 0.03991  |</t>
  </si>
  <si>
    <t>| 790  | 0.00215  |    -     | 0.00196  |0.03967  |    -     | 0.03975  |</t>
  </si>
  <si>
    <t>| 791  | 0.00195  |    -     | 0.00198  |0.03967  |    -     | 0.03984  |</t>
  </si>
  <si>
    <t>| 792  | 0.00206  |    -     | 0.00189  |0.03985  |    -     | 0.04000  |</t>
  </si>
  <si>
    <t>| 793  | 0.00209  |    -     | 0.00198  |0.03968  |    -     | 0.03984  |</t>
  </si>
  <si>
    <t>| 794  | 0.00214  |    -     | 0.00189  |0.04033  |    -     | 0.03982  |</t>
  </si>
  <si>
    <t>| 795  | 0.00210  |    -     | 0.00197  |0.03928  |    -     | 0.03954  |</t>
  </si>
  <si>
    <t>| 796  | 0.00207  |    -     | 0.00200  |0.03970  |    -     | 0.03977  |</t>
  </si>
  <si>
    <t>| 797  | 0.00208  |    -     | 0.00197  |0.03972  |    -     | 0.03984  |</t>
  </si>
  <si>
    <t>| 798  | 0.00211  |    -     | 0.00194  |0.03948  |    -     | 0.03978  |</t>
  </si>
  <si>
    <t>| 799  | 0.00209  |    -     | 0.00196  |0.03772  |    -     | 0.03984  |</t>
  </si>
  <si>
    <t>| 800  | 0.00208  |    -     | 0.00199  |0.03961  |    -     | 0.03969  |</t>
  </si>
  <si>
    <t>| 801  | 0.00213  |    -     | 0.00196  |0.03970  |    -     | 0.03853  |</t>
  </si>
  <si>
    <t>| 802  | 0.00212  |    -     | 0.00199  |0.03789  |    -     | 0.03976  |</t>
  </si>
  <si>
    <t>| 803  | 0.00206  |    -     | 0.00194  |0.03966  |    -     | 0.03968  |</t>
  </si>
  <si>
    <t>| 804  | 0.00235  |    -     | 0.00199  |0.03751  |    -     | 0.03737  |</t>
  </si>
  <si>
    <t>| 805  | 0.00208  |    -     | 0.00197  |0.03841  |    -     | 0.04023  |</t>
  </si>
  <si>
    <t>| 806  | 0.00211  |    -     | 0.00198  |0.03883  |    -     | 0.04031  |</t>
  </si>
  <si>
    <t>| 807  | 0.00207  |    -     | 0.00198  |0.03818  |    -     | 0.03815  |</t>
  </si>
  <si>
    <t>| 808  | 0.00213  |    -     | 0.00193  |0.03968  |    -     | 0.03978  |</t>
  </si>
  <si>
    <t>| 809  | 0.00211  |    -     | 0.00200  |0.03971  |    -     | 0.03981  |</t>
  </si>
  <si>
    <t>| 810  | 0.00210  |    -     | 0.00198  |0.03973  |    -     | 0.03988  |</t>
  </si>
  <si>
    <t>| 811  | 0.00219  |    -     | 0.00200  |0.03974  |    -     | 0.03977  |</t>
  </si>
  <si>
    <t>| 812  | 0.00207  |    -     | 0.00187  |0.03750  |    -     | 0.03969  |</t>
  </si>
  <si>
    <t>| 813  | 0.00217  |    -     | 0.00199  |0.03974  |    -     | 0.03983  |</t>
  </si>
  <si>
    <t>| 814  | 0.00218  |    -     | 0.00199  |0.03947  |    -     | 0.03980  |</t>
  </si>
  <si>
    <t>| 815  | 0.00214  |    -     | 0.00196  |0.03971  |    -     | 0.03996  |</t>
  </si>
  <si>
    <t>| 816  | 0.00214  |    -     | 0.00200  |0.03967  |    -     | 0.03752  |</t>
  </si>
  <si>
    <t>| 817  | 0.00220  |    -     | 0.00177  |0.03927  |    -     | 0.03992  |</t>
  </si>
  <si>
    <t>| 818  | 0.00214  |    -     | 0.00201  |0.03967  |    -     | 0.03971  |</t>
  </si>
  <si>
    <t>| 819  | 0.00207  |    -     | 0.00195  |0.03973  |    -     | 0.03985  |</t>
  </si>
  <si>
    <t>| 820  | 0.00206  |    -     | 0.00199  |0.03964  |    -     | 0.04030  |</t>
  </si>
  <si>
    <t>| 821  | 0.00208  |    -     | 0.00200  |0.03970  |    -     | 0.03984  |</t>
  </si>
  <si>
    <t>| 822  | 0.00208  |    -     | 0.00199  |0.03978  |    -     | 0.03934  |</t>
  </si>
  <si>
    <t>| 823  | 0.00208  |    -     | 0.00185  |0.03965  |    -     | 0.03985  |</t>
  </si>
  <si>
    <t>| 824  | 0.00220  |    -     | 0.00200  |0.03951  |    -     | 0.03826  |</t>
  </si>
  <si>
    <t>| 825  | 0.00214  |    -     | 0.00195  |0.03970  |    -     | 0.03974  |</t>
  </si>
  <si>
    <t>| 826  | 0.00207  |    -     | 0.00199  |0.03973  |    -     | 0.03990  |</t>
  </si>
  <si>
    <t>| 827  | 0.00211  |    -     | 0.00194  |0.03966  |    -     | 0.03985  |</t>
  </si>
  <si>
    <t>| 828  | 0.00207  |    -     | 0.00198  |0.03967  |    -     | 0.03993  |</t>
  </si>
  <si>
    <t>| 829  | 0.00222  |    -     | 0.00202  |0.03972  |    -     | 0.03992  |</t>
  </si>
  <si>
    <t>| 830  | 0.00209  |    -     | 0.00202  |0.03969  |    -     | 0.03976  |</t>
  </si>
  <si>
    <t>| 831  | 0.00212  |    -     | 0.00200  |0.03973  |    -     | 0.03989  |</t>
  </si>
  <si>
    <t>| 832  | 0.00218  |    -     | 0.00202  |0.03976  |    -     | 0.03986  |</t>
  </si>
  <si>
    <t>| 833  | 0.00210  |    -     | 0.00195  |0.03958  |    -     | 0.03972  |</t>
  </si>
  <si>
    <t>| 834  | 0.00212  |    -     | 0.00194  |0.03736  |    -     | 0.03988  |</t>
  </si>
  <si>
    <t>| 835  | 0.00199  |    -     | 0.00185  |0.03959  |    -     | 0.03987  |</t>
  </si>
  <si>
    <t>| 836  | 0.00217  |    -     | 0.00199  |0.03855  |    -     | 0.03986  |</t>
  </si>
  <si>
    <t>| 837  | 0.00212  |    -     | 0.00196  |0.03964  |    -     | 0.03967  |</t>
  </si>
  <si>
    <t>| 838  | 0.00199  |    -     | 0.00186  |0.03957  |    -     | 0.03972  |</t>
  </si>
  <si>
    <t>| 839  | 0.00213  |    -     | 0.00196  |0.03972  |    -     | 0.03768  |</t>
  </si>
  <si>
    <t>| 840  | 0.00208  |    -     | 0.00188  |0.03960  |    -     | 0.03985  |</t>
  </si>
  <si>
    <t>| 841  | 0.00218  |    -     | 0.00197  |0.03974  |    -     | 0.03962  |</t>
  </si>
  <si>
    <t>| 842  | 0.00220  |    -     | 0.00201  |0.03987  |    -     | 0.03960  |</t>
  </si>
  <si>
    <t>| 843  | 0.00208  |    -     | 0.00201  |0.03966  |    -     | 0.03979  |</t>
  </si>
  <si>
    <t>| 844  | 0.00210  |    -     | 0.00200  |0.03964  |    -     | 0.03975  |</t>
  </si>
  <si>
    <t>| 845  | 0.00207  |    -     | 0.00198  |0.03969  |    -     | 0.03982  |</t>
  </si>
  <si>
    <t>| 846  | 0.00207  |    -     | 0.00198  |0.03974  |    -     | 0.03983  |</t>
  </si>
  <si>
    <t>| 847  | 0.00215  |    -     | 0.00193  |0.03826  |    -     | 0.03988  |</t>
  </si>
  <si>
    <t>| 848  | 0.00205  |    -     | 0.00189  |0.03966  |    -     | 0.03587  |</t>
  </si>
  <si>
    <t>| 849  | 0.00212  |    -     | 0.00197  |0.03967  |    -     | 0.04013  |</t>
  </si>
  <si>
    <t>| 850  | 0.00205  |    -     | 0.00191  |0.03974  |    -     | 0.03987  |</t>
  </si>
  <si>
    <t>| 851  | 0.00212  |    -     | 0.00198  |0.03966  |    -     | 0.03980  |</t>
  </si>
  <si>
    <t>| 852  | 0.00206  |    -     | 0.00197  |0.03959  |    -     | 0.03980  |</t>
  </si>
  <si>
    <t>| 853  | 0.00234  |    -     | 0.00198  |0.03974  |    -     | 0.03990  |</t>
  </si>
  <si>
    <t>| 854  | 0.00210  |    -     | 0.00196  |0.03971  |    -     | 0.03970  |</t>
  </si>
  <si>
    <t>| 855  | 0.00193  |    -     | 0.00181  |0.08353  |    -     | 0.04016  |</t>
  </si>
  <si>
    <t>| 856  | 0.00223  |    -     | 0.00193  |0.03985  |    -     | 0.03990  |</t>
  </si>
  <si>
    <t>| 857  | 0.00205  |    -     | 0.00194  |0.03741  |    -     | 0.04098  |</t>
  </si>
  <si>
    <t>| 858  | 0.00211  |    -     | 0.00197  |0.03990  |    -     | 0.03505  |</t>
  </si>
  <si>
    <t>| 859  | 0.00228  |    -     | 0.00180  |0.04039  |    -     | 0.03998  |</t>
  </si>
  <si>
    <t>| 860  | 0.00211  |    -     | 0.00198  |0.03970  |    -     | 0.03983  |</t>
  </si>
  <si>
    <t>| 861  | 0.00203  |    -     | 0.00203  |0.03925  |    -     | 0.03997  |</t>
  </si>
  <si>
    <t>| 862  | 0.00204  |    -     | 0.00309  |0.03471  |    -     | 0.03744  |</t>
  </si>
  <si>
    <t>| 863  | 0.00221  |    -     | 0.00201  |0.03865  |    -     | 0.04000  |</t>
  </si>
  <si>
    <t>| 864  | 0.00217  |    -     | 0.00193  |0.03962  |    -     | 0.04007  |</t>
  </si>
  <si>
    <t>| 865  | 0.00228  |    -     | 0.00205  |0.03977  |    -     | 0.04003  |</t>
  </si>
  <si>
    <t>| 866  | 0.00227  |    -     | 0.00198  |0.03920  |    -     | 0.04003  |</t>
  </si>
  <si>
    <t>| 867  | 0.00215  |    -     | 0.00192  |0.03992  |    -     | 0.04125  |</t>
  </si>
  <si>
    <t>| 868  | 0.00233  |    -     | 0.00208  |0.03772  |    -     | 0.03783  |</t>
  </si>
  <si>
    <t>| 869  | 0.00225  |    -     | 0.00199  |0.03974  |    -     | 0.03884  |</t>
  </si>
  <si>
    <t>| 870  | 0.00218  |    -     | 0.00177  |0.03758  |    -     | 0.03830  |</t>
  </si>
  <si>
    <t>| 871  | 0.00217  |    -     | 0.00217  |0.04033  |    -     | 0.04036  |</t>
  </si>
  <si>
    <t>| 872  | 0.00224  |    -     | 0.00189  |0.03993  |    -     | 0.03985  |</t>
  </si>
  <si>
    <t>| 873  | 0.00201  |    -     | 0.00201  |0.03611  |    -     | 0.04018  |</t>
  </si>
  <si>
    <t>| 874  | 0.00198  |    -     | 0.00193  |0.03970  |    -     | 0.04006  |</t>
  </si>
  <si>
    <t>| 875  | 0.00225  |    -     | 0.00199  |0.03978  |    -     | 0.03988  |</t>
  </si>
  <si>
    <t>| 876  | 0.00217  |    -     | 0.00202  |0.03960  |    -     | 0.04046  |</t>
  </si>
  <si>
    <t>| 877  | 0.00218  |    -     | 0.00206  |0.03965  |    -     | 0.03974  |</t>
  </si>
  <si>
    <t>| 878  | 0.00205  |    -     | 0.00186  |0.03900  |    -     | 0.04071  |</t>
  </si>
  <si>
    <t>| 879  | 0.00231  |    -     | 0.00233  |0.03969  |    -     | 0.03996  |</t>
  </si>
  <si>
    <t>| 880  | 0.00217  |    -     | 0.00201  |0.03988  |    -     | 0.03978  |</t>
  </si>
  <si>
    <t>| 881  | 0.00210  |    -     | 0.00194  |0.04006  |    -     | 0.03990  |</t>
  </si>
  <si>
    <t>| 882  | 0.00208  |    -     | 0.00199  |0.03966  |    -     | 0.03763  |</t>
  </si>
  <si>
    <t>| 883  | 0.00201  |    -     | 0.00188  |0.03818  |    -     | 0.03970  |</t>
  </si>
  <si>
    <t>| 884  | 0.00207  |    -     | 0.00188  |0.03965  |    -     | 0.04002  |</t>
  </si>
  <si>
    <t>| 885  | 0.00245  |    -     | 0.00216  |0.04012  |    -     | 0.03488  |</t>
  </si>
  <si>
    <t>| 886  | 0.00240  |    -     | 0.00198  |0.03711  |    -     | 0.03957  |</t>
  </si>
  <si>
    <t>| 887  | 0.00216  |    -     | 0.00207  |0.03906  |    -     | 0.04001  |</t>
  </si>
  <si>
    <t>| 888  | 0.00219  |    -     | 0.00208  |0.03547  |    -     | 0.03699  |</t>
  </si>
  <si>
    <t>| 889  | 0.00241  |    -     | 0.00192  |0.03713  |    -     | 0.04017  |</t>
  </si>
  <si>
    <t>| 890  | 0.00229  |    -     | 0.00207  |0.03869  |    -     | 0.03967  |</t>
  </si>
  <si>
    <t>| 891  | 0.00231  |    -     | 0.00188  |0.03966  |    -     | 0.03986  |</t>
  </si>
  <si>
    <t>| 892  | 0.00223  |    -     | 0.00206  |0.03987  |    -     | 0.04000  |</t>
  </si>
  <si>
    <t>| 893  | 0.00215  |    -     | 0.00196  |0.03784  |    -     | 0.03962  |</t>
  </si>
  <si>
    <t>| 894  | 0.00220  |    -     | 0.00193  |0.03976  |    -     | 0.04035  |</t>
  </si>
  <si>
    <t>| 895  | 0.00246  |    -     | 0.00260  |0.04019  |    -     | 0.03983  |</t>
  </si>
  <si>
    <t>| 896  | 0.00211  |    -     | 0.00191  |0.04039  |    -     | 0.04002  |</t>
  </si>
  <si>
    <t>| 897  | 0.00227  |    -     | 0.00226  |0.03985  |    -     | 0.03995  |</t>
  </si>
  <si>
    <t>| 898  | 0.00218  |    -     | 0.00222  |0.04029  |    -     | 0.04004  |</t>
  </si>
  <si>
    <t>| 899  | 0.00238  |    -     | 0.00202  |0.03986  |    -     | 0.03998  |</t>
  </si>
  <si>
    <t>| 900  | 0.00216  |    -     | 0.00202  |0.03842  |    -     | 0.04019  |</t>
  </si>
  <si>
    <t>| 1    | 0.00245  | 0.00209  | 0.00202  |0.03996  | 0.04002  | 0.03993  |</t>
  </si>
  <si>
    <t>| 501  | 0.00212  |    -     | 0.00318  |0.03821  |    -     | 0.04003  |</t>
  </si>
  <si>
    <t>| 1001 | 0.00208  |    -     | 0.00206  |0.04017  |    -     |    -     |</t>
  </si>
  <si>
    <t>| 1501 | 0.00408  |    -     | 0.00212  |0.07680  |    -     |    -     |</t>
  </si>
  <si>
    <t>| 2001 | 0.00245  |    -     | 0.00184  |0.03952  |    -     |    -     |</t>
  </si>
  <si>
    <t>| 2501 | 0.00209  |    -     | 0.00186  |0.03954  |    -     |    -     |</t>
  </si>
  <si>
    <t>| 3001 | 0.00220  |    -     | 0.00190  |0.03924  |    -     |    -     |</t>
  </si>
  <si>
    <t>| 3501 | 0.00245  |    -     | 0.00187  |0.03950  |    -     |    -     |</t>
  </si>
  <si>
    <t>| 4001 | 0.00206  |    -     | 0.00188  |0.03935  |    -     |    -     |</t>
  </si>
  <si>
    <t>| 4501 | 0.00203  |    -     | 0.00190  |0.03950  |    -     |    -     |</t>
  </si>
  <si>
    <t>| 5001 | 0.00210  |    -     | 0.00189  |0.03967  |    -     |    -     |</t>
  </si>
  <si>
    <t>| 5501 | 0.00203  |    -     | 0.00185  |0.03763  |    -     |    -     |</t>
  </si>
  <si>
    <t>| 6001 | 0.00199  |    -     | 0.00185  |0.03607  |    -     |    -     |</t>
  </si>
  <si>
    <t>| 6501 | 0.00212  |    -     | 0.00187  |0.03960  |    -     |    -     |</t>
  </si>
  <si>
    <t>| 7001 | 0.00302  |    -     | 0.00186  |0.03958  |    -     |    -     |</t>
  </si>
  <si>
    <t>| 7501 | 0.00207  |    -     | 0.00189  |0.03903  |    -     |    -     |</t>
  </si>
  <si>
    <t>| 8001 | 0.00227  |    -     | 0.00188  |0.03956  |    -     |    -     |</t>
  </si>
  <si>
    <t>| 8501 | 0.00210  |    -     | 0.00185  |0.03997  |    -     |    -     |</t>
  </si>
  <si>
    <t>| 9001 | 0.00209  |    -     | 0.00163  |0.03948  |    -     |    -     |</t>
  </si>
  <si>
    <t>| 9501 | 0.00197  |    -     | 0.00184  |0.03883  |    -     |    -     |</t>
  </si>
  <si>
    <t>| 10001 | 0.00202  |    -     | 0.00196  |0.03700  |    -     |    -     |</t>
  </si>
  <si>
    <t>| 10501 | 0.00210  |    -     | 0.00185  |0.03953  |    -     |    -     |</t>
  </si>
  <si>
    <t>| 11001 | 0.00208  |    -     | 0.00185  |0.03562  |    -     |    -     |</t>
  </si>
  <si>
    <t>| 11501 | 0.00209  |    -     | 0.00188  |0.04007  |    -     |    -     |</t>
  </si>
  <si>
    <t>| 12001 | 0.00213  |    -     | 0.00193  |0.03951  |    -     |    -     |</t>
  </si>
  <si>
    <t>| 12501 | 0.00204  |    -     | 0.00185  |0.03833  |    -     |    -     |</t>
  </si>
  <si>
    <t>| 13001 | 0.00221  |    -     | 0.00204  |0.03957  |    -     |    -     |</t>
  </si>
  <si>
    <t>| 13501 | 0.00205  |    -     | 0.00186  |0.03957  |    -     |    -     |</t>
  </si>
  <si>
    <t>| 14001 | 0.00202  |    -     | 0.00186  |0.03957  |    -     |    -     |</t>
  </si>
  <si>
    <t>| 14501 | 0.00206  |    -     | 0.00184  |0.03953  |    -     |    -     |</t>
  </si>
  <si>
    <t>| 15001 | 0.00202  |    -     | 0.00192  |0.03985  |    -     |    -     |</t>
  </si>
  <si>
    <t>| 15501 | 0.00209  |    -     | 0.00223  |0.03965  |    -     |    -     |</t>
  </si>
  <si>
    <t>| 16001 | 0.00221  |    -     | 0.00225  |0.03968  |    -     |    -     |</t>
  </si>
  <si>
    <t>| 16501 | 0.00212  |    -     | 0.00190  |0.04013  |    -     |    -     |</t>
  </si>
  <si>
    <t>| 17001 | 0.00209  |    -     | 0.00190  |0.04019  |    -     |    -     |</t>
  </si>
  <si>
    <t>| 17501 | 0.00207  |    -     | 0.00185  |0.03962  |    -     |    -     |</t>
  </si>
  <si>
    <t>| 18001 | 0.00213  |    -     | 0.00200  |0.07682  |    -     |    -     |</t>
  </si>
  <si>
    <t>| 18501 | 0.00230  |    -     | 0.00391  |0.07309  |    -     |    -     |</t>
  </si>
  <si>
    <t>| 19001 | 0.00211  |    -     | 0.00194  |0.07577  |    -     |    -     |</t>
  </si>
  <si>
    <t>| 19501 | 0.00250  |    -     | 0.00487  |0.03972  |    -     |    -     |</t>
  </si>
  <si>
    <t>| 20001 | 0.00217  |    -     | 0.00189  |0.07497  |    -     |    -     |</t>
  </si>
  <si>
    <t>| 20501 | 0.00208  |    -     | 0.00192  |0.07669  |    -     |    -     |</t>
  </si>
  <si>
    <t>| 21001 | 0.00209  |    -     | 0.00188  |0.07651  |    -     |    -     |</t>
  </si>
  <si>
    <t>| 21501 | 0.00208  |    -     | 0.00187  |0.07662  |    -     |    -     |</t>
  </si>
  <si>
    <t>| 22001 | 0.00210  |    -     | 0.00190  |0.07665  |    -     |    -     |</t>
  </si>
  <si>
    <t>| 22501 | 0.00211  |    -     | 0.00188  |0.07660  |    -     |    -     |</t>
  </si>
  <si>
    <t>| 23001 | 0.00209  |    -     | 0.00190  |0.07675  |    -     |    -     |</t>
  </si>
  <si>
    <t>| 23501 | 0.00219  |    -     | 0.00190  |0.07661  |    -     |    -     |</t>
  </si>
  <si>
    <t>| 24001 | 0.00216  |    -     | 0.00191  |0.07655  |    -     |    -     |</t>
  </si>
  <si>
    <t>| 24501 | 0.00221  |    -     | 0.00220  |0.07525  |    -     |    -     |</t>
  </si>
  <si>
    <t>| 25001 | 0.00213  |    -     | 0.00188  |0.07639  |    -     |    -     |</t>
  </si>
  <si>
    <t>| 25501 | 0.00211  |    -     | 0.00189  |0.07661  |    -     |    -     |</t>
  </si>
  <si>
    <t>| 26001 | 0.00209  |    -     | 0.00189  |0.07673  |    -     |    -     |</t>
  </si>
  <si>
    <t>| 26501 | 0.00225  |    -     | 0.00207  |0.07603  |    -     |    -     |</t>
  </si>
  <si>
    <t>| 27001 | 0.00224  |    -     | 0.00201  |0.07026  |    -     |    -     |</t>
  </si>
  <si>
    <t>| 27501 | 0.00211  |    -     | 0.00195  |0.07075  |    -     |    -     |</t>
  </si>
  <si>
    <t>| 28001 | 0.00230  |    -     | 0.00193  |0.07692  |    -     |    -     |</t>
  </si>
  <si>
    <t>| 28501 | 0.00219  |    -     | 0.00190  |0.07557  |    -     |    -     |</t>
  </si>
  <si>
    <t>| 29001 | 0.00222  |    -     | 0.00202  |0.07167  |    -     |    -     |</t>
  </si>
  <si>
    <t>| 29501 | 0.00227  |    -     | 0.00203  |0.07678  |    -     |    -     |</t>
  </si>
  <si>
    <t>| 30001 | 0.00232  |    -     | 0.00197  |0.07680  |    -     |    -     |</t>
  </si>
  <si>
    <t>| 30501 | 0.00219  |    -     | 0.00201  |0.07628  |    -     |    -     |</t>
  </si>
  <si>
    <t>| 31001 | 0.00215  |    -     | 0.00186  |0.07210  |    -     |    -     |</t>
  </si>
  <si>
    <t>| 31501 | 0.00221  |    -     | 0.00203  |0.07216  |    -     |    -     |</t>
  </si>
  <si>
    <t>| 32001 | 0.00227  |    -     | 0.00191  |0.07480  |    -     |    -     |</t>
  </si>
  <si>
    <t>| 32501 | 0.00220  |    -     | 0.00201  |0.07628  |    -     |    -     |</t>
  </si>
  <si>
    <t>| 33001 | 0.00216  |    -     | 0.00204  |0.07682  |    -     |    -     |</t>
  </si>
  <si>
    <t>| 33501 | 0.00218  |    -     | 0.00207  |0.07667  |    -     |    -     |</t>
  </si>
  <si>
    <t>| 34001 | 0.00227  |    -     | 0.00198  |0.06988  |    -     |    -     |</t>
  </si>
  <si>
    <t>| 34501 | 0.00218  |    -     | 0.00209  |0.07676  |    -     |    -     |</t>
  </si>
  <si>
    <t>| 35001 | 0.00225  |    -     | 0.00204  |0.07676  |    -     |    -     |</t>
  </si>
  <si>
    <t>| 35501 | 0.00211  |    -     | 0.00203  |0.07503  |    -     |    -     |</t>
  </si>
  <si>
    <t>| 36001 | 0.00215  |    -     | 0.00296  |0.07506  |    -     |    -     |</t>
  </si>
  <si>
    <t>| 36501 | 0.00227  |    -     | 0.00208  |0.07673  |    -     |    -     |</t>
  </si>
  <si>
    <t>| 37001 | 0.00226  |    -     | 0.00206  |0.07685  |    -     |    -     |</t>
  </si>
  <si>
    <t>| 37501 | 0.00210  |    -     | 0.00201  |0.07683  |    -     |    -     |</t>
  </si>
  <si>
    <t>| 38001 | 0.00224  |    -     | 0.00200  |0.07589  |    -     |    -     |</t>
  </si>
  <si>
    <t>| 38501 | 0.00221  |    -     | 0.00166  |0.07465  |    -     |    -     |</t>
  </si>
  <si>
    <t>| 39001 | 0.00228  |    -     | 0.00205  |0.07271  |    -     |    -     |</t>
  </si>
  <si>
    <t>| 39501 | 0.00219  |    -     | 0.00196  |0.07081  |    -     |    -     |</t>
  </si>
  <si>
    <t>| 40001 | 0.00229  |    -     | 0.00197  |0.07402  |    -     |    -     |</t>
  </si>
  <si>
    <t>| 40501 | 0.00223  |    -     | 0.00202  |0.07457  |    -     |    -     |</t>
  </si>
  <si>
    <t>| 41001 | 0.00232  |    -     | 0.00191  |0.07662  |    -     |    -     |</t>
  </si>
  <si>
    <t>| 41501 | 0.00217  |    -     | 0.00191  |0.07669  |    -     |    -     |</t>
  </si>
  <si>
    <t>| 42001 | 0.00225  |    -     | 0.00203  |0.07660  |    -     |    -     |</t>
  </si>
  <si>
    <t>| 42501 | 0.00209  |    -     | 0.00189  |0.07680  |    -     |    -     |</t>
  </si>
  <si>
    <t>| 43001 | 0.00223  |    -     | 0.00189  |0.07679  |    -     |    -     |</t>
  </si>
  <si>
    <t>| 43501 | 0.00217  |    -     | 0.00202  |0.07372  |    -     |    -     |</t>
  </si>
  <si>
    <t>| 44001 | 0.00217  |    -     | 0.00203  |0.07723  |    -     |    -     |</t>
  </si>
  <si>
    <t>| 44501 | 0.00222  |    -     | 0.00189  |0.07611  |    -     |    -     |</t>
  </si>
  <si>
    <t>| 45001 | 0.00223  |    -     | 0.00206  |0.07668  |    -     |    -     |</t>
  </si>
  <si>
    <t>| 45501 | 0.00229  |    -     | 0.00206  |0.07672  |    -     |    -     |</t>
  </si>
  <si>
    <t>| 46001 | 0.00228  |    -     | 0.00203  |0.12935  |    -     |    -     |</t>
  </si>
  <si>
    <t>| 46501 | 0.00228  |    -     | 0.00201  |0.12855  |    -     |    -     |</t>
  </si>
  <si>
    <t>| 47001 | 0.00228  |    -     | 0.00201  |0.12968  |    -     |    -     |</t>
  </si>
  <si>
    <t>| 47501 | 0.00225  |    -     | 0.00203  |0.12633  |    -     |    -     |</t>
  </si>
  <si>
    <t>| 48001 | 0.00231  |    -     | 0.00196  |0.13126  |    -     |    -     |</t>
  </si>
  <si>
    <t>| 48501 | 0.00247  |    -     | 0.00224  |0.13204  |    -     |    -     |</t>
  </si>
  <si>
    <t>| 49001 | 0.00232  |    -     | 0.00210  |0.12511  |    -     |    -     |</t>
  </si>
  <si>
    <t>| 49501 | 0.00246  |    -     | 0.00215  |0.12370  |    -     |    -     |</t>
  </si>
  <si>
    <t>| 50001 | 0.00230  |    -     | 0.00198  |0.12892  |    -     |    -     |</t>
  </si>
  <si>
    <t>| 50501 | 0.00215  |    -     | 0.00186  |0.12965  |    -     |    -     |</t>
  </si>
  <si>
    <t>| 51001 | 0.00240  |    -     | 0.00215  |0.13082  |    -     |    -     |</t>
  </si>
  <si>
    <t>| 51501 | 0.00228  |    -     | 0.07577  |0.13146  |    -     |    -     |</t>
  </si>
  <si>
    <t>| 52001 | 0.00217  |    -     | 0.01955  |0.12402  |    -     |    -     |</t>
  </si>
  <si>
    <t>| 52501 | 0.00233  |    -     | 0.01967  |0.12730  |    -     |    -     |</t>
  </si>
  <si>
    <t>| 53001 | 0.00226  |    -     | 0.01908  |0.12583  |    -     |    -     |</t>
  </si>
  <si>
    <t>| 53501 | 0.00246  |    -     | 0.01964  |0.12342  |    -     |    -     |</t>
  </si>
  <si>
    <t>| 54001 | 0.00221  |    -     | 0.01756  |0.12974  |    -     |    -     |</t>
  </si>
  <si>
    <t>| 54501 | 0.00239  |    -     | 0.01966  |0.12648  |    -     |    -     |</t>
  </si>
  <si>
    <t>| 55001 | 0.00232  |    -     | 0.01966  |0.12767  |    -     |    -     |</t>
  </si>
  <si>
    <t>| 55501 | 0.00229  |    -     | 0.01963  |0.12540  |    -     |    -     |</t>
  </si>
  <si>
    <t>| 56001 | 0.00219  |    -     | 0.01956  |0.11994  |    -     |    -     |</t>
  </si>
  <si>
    <t>| 56501 | 0.00224  |    -     | 0.01955  |0.12823  |    -     |    -     |</t>
  </si>
  <si>
    <t>| 57001 | 0.00221  |    -     | 0.01961  |0.12462  |    -     |    -     |</t>
  </si>
  <si>
    <t>| 57501 | 0.00220  |    -     | 0.01756  |0.13133  |    -     |    -     |</t>
  </si>
  <si>
    <t>| 58001 | 0.00235  |    -     | 0.01962  |0.12897  |    -     |    -     |</t>
  </si>
  <si>
    <t>| 58501 | 0.00222  |    -     | 0.01983  |0.12896  |    -     |    -     |</t>
  </si>
  <si>
    <t>| 59001 | 0.00222  |    -     | 0.01950  |0.13130  |    -     |    -     |</t>
  </si>
  <si>
    <t>| 59501 | 0.00220  |    -     | 0.01946  |0.13066  |    -     |    -     |</t>
  </si>
  <si>
    <t>| 60001 | 0.00227  |    -     | 0.01951  |0.13026  |    -     |    -     |</t>
  </si>
  <si>
    <t>| 60501 | 0.00225  |    -     | 0.01778  |0.12226  |    -     |    -     |</t>
  </si>
  <si>
    <t>| 61001 | 0.00242  |    -     | 0.01979  |0.13128  |    -     |    -     |</t>
  </si>
  <si>
    <t>| 61501 | 0.00233  |    -     | 0.01844  |0.12669  |    -     |    -     |</t>
  </si>
  <si>
    <t>| 62001 | 0.00230  |    -     | 0.01956  |0.12115  |    -     |    -     |</t>
  </si>
  <si>
    <t>| 62501 | 0.00226  |    -     | 0.01830  |0.12505  |    -     |    -     |</t>
  </si>
  <si>
    <t>| 63001 | 0.00220  |    -     | 0.01936  |0.12904  |    -     |    -     |</t>
  </si>
  <si>
    <t>| 63501 | 0.00235  |    -     | 0.01962  |0.12898  |    -     |    -     |</t>
  </si>
  <si>
    <t>| 64001 | 0.00240  |    -     | 0.01976  |0.13141  |    -     |    -     |</t>
  </si>
  <si>
    <t>| 64501 | 0.00230  |    -     | 0.01954  |0.13208  |    -     |    -     |</t>
  </si>
  <si>
    <t>| 65001 | 0.00226  |    -     | 0.01875  |0.12756  |    -     |    -     |</t>
  </si>
  <si>
    <t>| 65501 | 0.00259  |    -     | 0.01803  |0.12952  |    -     |    -     |</t>
  </si>
  <si>
    <t>| 66001 | 0.00222  |    -     | 0.01955  |0.12830  |    -     |    -     |</t>
  </si>
  <si>
    <t>| 66501 | 0.00249  |    -     | 0.01968  |0.12811  |    -     |    -     |</t>
  </si>
  <si>
    <t>| 67001 | 0.00231  |    -     | 0.01963  |0.12794  |    -     |    -     |</t>
  </si>
  <si>
    <t>| 67501 | 0.00248  |    -     | 0.01703  |0.12731  |    -     |    -     |</t>
  </si>
  <si>
    <t>| 68001 | 0.00238  |    -     | 0.01961  |0.12381  |    -     |    -     |</t>
  </si>
  <si>
    <t>| 68501 | 0.00280  |    -     | 0.01981  |0.13137  |    -     |    -     |</t>
  </si>
  <si>
    <t>| 69001 | 0.00333  |    -     | 0.03587  |0.13230  |    -     |    -     |</t>
  </si>
  <si>
    <t>| 69501 | 0.00233  |    -     | 0.01960  |0.13208  |    -     |    -     |</t>
  </si>
  <si>
    <t>| 70001 | 0.00214  |    -     | 0.01959  |0.13248  |    -     |    -     |</t>
  </si>
  <si>
    <t>| 70501 | 0.00222  |    -     | 0.01951  |0.13225  |    -     |    -     |</t>
  </si>
  <si>
    <t>| 71001 | 0.00232  |    -     | 0.01969  |0.13068  |    -     |    -     |</t>
  </si>
  <si>
    <t>| 71501 | 0.00228  |    -     | 0.01972  |0.13229  |    -     |    -     |</t>
  </si>
  <si>
    <t>| 72001 | 0.00239  |    -     | 0.01970  |0.12757  |    -     |    -     |</t>
  </si>
  <si>
    <t>| 72501 | 0.00245  |    -     | 0.01963  |0.13221  |    -     |    -     |</t>
  </si>
  <si>
    <t>| 73001 | 0.00229  |    -     | 0.01961  |0.13200  |    -     |    -     |</t>
  </si>
  <si>
    <t>| 73501 | 0.00226  |    -     | 0.01803  |0.12807  |    -     |    -     |</t>
  </si>
  <si>
    <t>| 74001 | 0.00234  |    -     | 0.01968  |0.13150  |    -     |    -     |</t>
  </si>
  <si>
    <t>| 74501 | 0.00249  |    -     | 0.01965  |0.12319  |    -     |    -     |</t>
  </si>
  <si>
    <t>| 75001 | 0.00233  |    -     | 0.01819  |0.12861  |    -     |    -     |</t>
  </si>
  <si>
    <t>| 75501 | 0.00241  |    -     | 0.01986  |0.12570  |    -     |    -     |</t>
  </si>
  <si>
    <t>| 76001 | 0.00259  |    -     | 0.01983  |0.13204  |    -     |    -     |</t>
  </si>
  <si>
    <t>| 76501 | 0.00223  |    -     | 0.01963  |0.12641  |    -     |    -     |</t>
  </si>
  <si>
    <t>| 77001 | 0.00222  |    -     | 0.01955  |0.13194  |    -     |    -     |</t>
  </si>
  <si>
    <t>| 77501 | 0.00213  |    -     | 0.01956  |0.13200  |    -     |    -     |</t>
  </si>
  <si>
    <t>| 78001 | 0.00233  |    -     | 0.01959  |0.13199  |    -     |    -     |</t>
  </si>
  <si>
    <t>| 78501 | 0.00233  |    -     | 0.01953  |0.12877  |    -     |    -     |</t>
  </si>
  <si>
    <t>| 79001 | 0.00225  |    -     | 0.01919  |0.12427  |    -     |    -     |</t>
  </si>
  <si>
    <t>| 79501 | 0.00226  |    -     | 0.01950  |0.12904  |    -     |    -     |</t>
  </si>
  <si>
    <t>| 80001 | 0.00227  |    -     | 0.01949  |0.13169  |    -     |    -     |</t>
  </si>
  <si>
    <t>| 80501 | 0.00232  |    -     | 0.01968  |0.13145  |    -     |    -     |</t>
  </si>
  <si>
    <t>| 81001 | 0.00229  |    -     | 0.01951  |0.12126  |    -     |    -     |</t>
  </si>
  <si>
    <t>| 81501 | 0.00236  |    -     | 0.01956  |0.13163  |    -     |    -     |</t>
  </si>
  <si>
    <t>| 82001 | 0.00209  |    -     | 0.01959  |0.13163  |    -     |    -     |</t>
  </si>
  <si>
    <t>| 82501 | 0.00231  |    -     | 0.01953  |0.12757  |    -     |    -     |</t>
  </si>
  <si>
    <t>| 83001 | 0.00227  |    -     | 0.01950  |0.13185  |    -     |    -     |</t>
  </si>
  <si>
    <t>| 83501 | 0.00225  |    -     | 0.01954  |0.12829  |    -     |    -     |</t>
  </si>
  <si>
    <t>| 84001 | 0.00235  |    -     | 0.01942  |0.13165  |    -     |    -     |</t>
  </si>
  <si>
    <t>| 84501 | 0.00241  |    -     | 0.01947  |0.13164  |    -     |    -     |</t>
  </si>
  <si>
    <t>| 85001 | 0.00211  |    -     | 0.07643  |0.12718  |    -     |    -     |</t>
  </si>
  <si>
    <t>| 85501 | 0.00236  |    -     | 0.02018  |0.12877  |    -     |    -     |</t>
  </si>
  <si>
    <t>| 86001 | 0.00218  |    -     | 0.01959  |0.12104  |    -     |    -     |</t>
  </si>
  <si>
    <t>| 86501 | 0.00243  |    -     | 0.01812  |0.13180  |    -     |    -     |</t>
  </si>
  <si>
    <t>| 87001 | 0.00227  |    -     | 0.01954  |0.13186  |    -     |    -     |</t>
  </si>
  <si>
    <t>| 87501 | 0.00223  |    -     | 0.01950  |0.13171  |    -     |    -     |</t>
  </si>
  <si>
    <t>| 88001 | 0.00218  |    -     | 0.01964  |0.13082  |    -     |    -     |</t>
  </si>
  <si>
    <t>| 88501 | 0.00228  |    -     | 0.01954  |0.13131  |    -     |    -     |</t>
  </si>
  <si>
    <t>| 89001 | 0.00219  |    -     | 0.01959  |0.12699  |    -     |    -     |</t>
  </si>
  <si>
    <t>| 89501 | 0.00211  |    -     | 0.01859  |0.12971  |    -     |    -     |</t>
  </si>
  <si>
    <t>| 90001 | 0.00232  |    -     | 0.01952  |0.13177  |    -     |    -     |</t>
  </si>
  <si>
    <t>| 90501 | 0.00248  |    -     | 0.01956  |0.12270  |    -     |    -     |</t>
  </si>
  <si>
    <t>| 91001 | 0.00219  |    -     | 0.01843  |0.12572  |    -     |    -     |</t>
  </si>
  <si>
    <t>| 91501 | 0.00230  |    -     | 0.01983  |0.12741  |    -     |    -     |</t>
  </si>
  <si>
    <t>| 92001 | 0.00226  |    -     | 0.01961  |0.13132  |    -     |    -     |</t>
  </si>
  <si>
    <t>| 92501 | 0.00252  |    -     | 0.01782  |0.12897  |    -     |    -     |</t>
  </si>
  <si>
    <t>| 93001 | 0.00240  |    -     | 0.01875  |0.12594  |    -     |    -     |</t>
  </si>
  <si>
    <t>| 93501 | 0.00242  |    -     | 0.01967  |0.12740  |    -     |    -     |</t>
  </si>
  <si>
    <t>| 94001 | 0.00234  |    -     | 0.01925  |0.12557  |    -     |    -     |</t>
  </si>
  <si>
    <t>| 94501 | 0.00231  |    -     | 0.01948  |0.12984  |    -     |    -     |</t>
  </si>
  <si>
    <t>| 95001 | 0.00243  |    -     | 0.01983  |0.12711  |    -     |    -     |</t>
  </si>
  <si>
    <t>| 95501 | 0.00232  |    -     | 0.01891  |0.12771  |    -     |    -     |</t>
  </si>
  <si>
    <t>| 96001 | 0.00239  |    -     | 0.01975  |0.12765  |    -     |    -     |</t>
  </si>
  <si>
    <t>| 96501 | 0.00221  |    -     | 0.01885  |0.12750  |    -     |    -     |</t>
  </si>
  <si>
    <t>| 97001 | 0.00228  |    -     | 0.01953  |0.13150  |    -     |    -     |</t>
  </si>
  <si>
    <t>| 97501 | 0.00225  |    -     | 0.01955  |0.13045  |    -     |    -     |</t>
  </si>
  <si>
    <t>| 98001 | 0.00234  |    -     | 0.01764  |0.12824  |    -     |    -     |</t>
  </si>
  <si>
    <t>| 98501 | 0.00241  |    -     | 0.01961  |0.12783  |    -     |    -     |</t>
  </si>
  <si>
    <t>| 99001 | 0.00238  |    -     | 0.01963  |0.12729  |    -     |    -     |</t>
  </si>
  <si>
    <t>| 99501 | 0.00229  |    -     | 0.01950  |0.13166  |    -     |    -     |</t>
  </si>
  <si>
    <t>| 100001 | 0.00355  |    -     | 0.03967  |0.12688  |    -     |    -     |</t>
  </si>
  <si>
    <t>| 100501 | 0.00221  |    -     | 0.01955  |0.13112  |    -     |    -     |</t>
  </si>
  <si>
    <t>| 101001 | 0.00218  |    -     | 0.01994  |0.12779  |    -     |    -     |</t>
  </si>
  <si>
    <t>| 101501 | 0.00228  |    -     | 0.01965  |0.13183  |    -     |    -     |</t>
  </si>
  <si>
    <t>| 102001 | 0.00229  |    -     | 0.01955  |0.13175  |    -     |    -     |</t>
  </si>
  <si>
    <t>| 102501 | 0.00259  |    -     | 0.02004  |0.12790  |    -     |    -     |</t>
  </si>
  <si>
    <t>| 103001 | 0.00224  |    -     | 0.01953  |0.13072  |    -     |    -     |</t>
  </si>
  <si>
    <t>| 103501 | 0.00216  |    -     | 0.01951  |0.13178  |    -     |    -     |</t>
  </si>
  <si>
    <t>| 104001 | 0.00227  |    -     | 0.01957  |0.12859  |    -     |    -     |</t>
  </si>
  <si>
    <t>| 104501 | 0.00228  |    -     | 0.02154  |0.12953  |    -     |    -     |</t>
  </si>
  <si>
    <t>| 105001 | 0.00212  |    -     | 0.01854  |0.12790  |    -     |    -     |</t>
  </si>
  <si>
    <t>| 105501 | 0.00216  |    -     | 0.01944  |0.12767  |    -     |    -     |</t>
  </si>
  <si>
    <t>| 106001 | 0.00217  |    -     | 0.01963  |0.12864  |    -     |    -     |</t>
  </si>
  <si>
    <t>| 106501 | 0.00222  |    -     | 0.01951  |0.13066  |    -     |    -     |</t>
  </si>
  <si>
    <t>| 107001 | 0.00229  |    -     | 0.01949  |0.13181  |    -     |    -     |</t>
  </si>
  <si>
    <t>| 107501 | 0.00224  |    -     | 0.01959  |0.12381  |    -     |    -     |</t>
  </si>
  <si>
    <t>| 108001 | 0.00244  |    -     | 0.01958  |0.13152  |    -     |    -     |</t>
  </si>
  <si>
    <t>| 108501 | 0.00221  |    -     | 0.01950  |0.13175  |    -     |    -     |</t>
  </si>
  <si>
    <t>| 109001 | 0.00232  |    -     | 0.01958  |0.13060  |    -     |    -     |</t>
  </si>
  <si>
    <t>| 109501 | 0.00229  |    -     | 0.01956  |0.12579  |    -     |    -     |</t>
  </si>
  <si>
    <t>| 110001 | 0.00262  |    -     | 0.01972  |0.13214  |    -     |    -     |</t>
  </si>
  <si>
    <t>| 110501 | 0.00236  |    -     | 0.01947  |0.12859  |    -     |    -     |</t>
  </si>
  <si>
    <t>| 111001 | 0.00233  |    -     | 0.01955  |0.13186  |    -     |    -     |</t>
  </si>
  <si>
    <t>| 111501 | 0.00230  |    -     | 0.01947  |0.13171  |    -     |    -     |</t>
  </si>
  <si>
    <t>| 112001 | 0.00235  |    -     | 0.01954  |0.13060  |    -     |    -     |</t>
  </si>
  <si>
    <t>| 112501 | 0.00233  |    -     | 0.01963  |0.13186  |    -     |    -     |</t>
  </si>
  <si>
    <t>| 113001 | 0.00229  |    -     | 0.01955  |0.13189  |    -     |    -     |</t>
  </si>
  <si>
    <t>| 113501 | 0.00239  |    -     | 0.01956  |0.13171  |    -     |    -     |</t>
  </si>
  <si>
    <t>| 114001 | 0.00230  |    -     | 0.01961  |0.13191  |    -     |    -     |</t>
  </si>
  <si>
    <t>| 114501 | 0.00226  |    -     | 0.01956  |0.13181  |    -     |    -     |</t>
  </si>
  <si>
    <t>| 115001 | 0.00229  |    -     | 0.01951  |0.12928  |    -     |    -     |</t>
  </si>
  <si>
    <t>| 115501 | 0.00223  |    -     | 0.01958  |0.13171  |    -     |    -     |</t>
  </si>
  <si>
    <t>| 116001 | 0.00243  |    -     | 0.01837  |0.13193  |    -     |    -     |</t>
  </si>
  <si>
    <t>| 116501 | 0.00241  |    -     | 0.01961  |0.13188  |    -     |    -     |</t>
  </si>
  <si>
    <t>| 117001 | 0.00233  |    -     | 0.01737  |0.13079  |    -     |    -     |</t>
  </si>
  <si>
    <t>| 117501 | 0.00223  |    -     | 0.01958  |0.13192  |    -     |    -     |</t>
  </si>
  <si>
    <t>| 118001 | 0.00228  |    -     | 0.01957  |0.13186  |    -     |    -     |</t>
  </si>
  <si>
    <t>| 118501 | 0.00240  |    -     | 0.01956  |0.12820  |    -     |    -     |</t>
  </si>
  <si>
    <t>| 119001 | 0.00224  |    -     | 0.01954  |0.12852  |    -     |    -     |</t>
  </si>
  <si>
    <t>| 119501 | 0.00226  |    -     | 0.01949  |0.12781  |    -     |    -     |</t>
  </si>
  <si>
    <t>| 120001 | 0.00231  |    -     | 0.01957  |0.13158  |    -     |    -     |</t>
  </si>
  <si>
    <t>| 120501 | 0.00239  |    -     | 0.01966  |0.13188  |    -     |    -     |</t>
  </si>
  <si>
    <t>| 121001 | 0.00217  |    -     | 0.01945  |0.13038  |    -     |    -     |</t>
  </si>
  <si>
    <t>| 121501 | 0.00238  |    -     | 0.01963  |0.13201  |    -     |    -     |</t>
  </si>
  <si>
    <t>| 122001 | 0.00241  |    -     | 0.01954  |0.13048  |    -     |    -     |</t>
  </si>
  <si>
    <t>| 122501 | 0.00233  |    -     | 0.01951  |0.13031  |    -     |    -     |</t>
  </si>
  <si>
    <t>| 123001 | 0.00225  |    -     | 0.01951  |0.12540  |    -     |    -     |</t>
  </si>
  <si>
    <t>| 123501 | 0.00223  |    -     | 0.01676  |0.12323  |    -     |    -     |</t>
  </si>
  <si>
    <t>| 124001 | 0.00228  |    -     | 0.01958  |0.12890  |    -     |    -     |</t>
  </si>
  <si>
    <t>| 124501 | 0.00226  |    -     | 0.01887  |0.12492  |    -     |    -     |</t>
  </si>
  <si>
    <t>| 125001 | 0.00218  |    -     | 0.01911  |0.13181  |    -     |    -     |</t>
  </si>
  <si>
    <t>| 125501 | 0.00223  |    -     | 0.01958  |0.13154  |    -     |    -     |</t>
  </si>
  <si>
    <t>| 126001 | 0.00221  |    -     | 0.01948  |0.12859  |    -     |    -     |</t>
  </si>
  <si>
    <t>| 126501 | 0.00226  |    -     | 0.01952  |0.13178  |    -     |    -     |</t>
  </si>
  <si>
    <t>| 127001 | 0.00216  |    -     | 0.01949  |0.13055  |    -     |    -     |</t>
  </si>
  <si>
    <t>| 127501 | 0.00219  |    -     | 0.01959  |0.12921  |    -     |    -     |</t>
  </si>
  <si>
    <t>| 128001 | 0.00214  |    -     | 0.01959  |0.13148  |    -     |    -     |</t>
  </si>
  <si>
    <t>| 128501 | 0.00224  |    -     | 0.01957  |0.12982  |    -     |    -     |</t>
  </si>
  <si>
    <t>| 129001 | 0.00225  |    -     | 0.01954  |0.12868  |    -     |    -     |</t>
  </si>
  <si>
    <t>| 129501 | 0.00220  |    -     | 0.01954  |0.13188  |    -     |    -     |</t>
  </si>
  <si>
    <t>| 130001 | 0.00231  |    -     | 0.01953  |0.13183  |    -     |    -     |</t>
  </si>
  <si>
    <t>| 130501 | 0.00235  |    -     | 0.01958  |0.12778  |    -     |    -     |</t>
  </si>
  <si>
    <t>| 131001 | 0.00224  |    -     | 0.01951  |0.13189  |    -     |    -     |</t>
  </si>
  <si>
    <t>| 131501 | 0.00217  |    -     | 0.01958  |0.12497  |    -     |    -     |</t>
  </si>
  <si>
    <t>| 132001 | 0.00230  |    -     | 0.01958  |0.13190  |    -     |    -     |</t>
  </si>
  <si>
    <t>| 132501 | 0.00226  |    -     | 0.01953  |0.13202  |    -     |    -     |</t>
  </si>
  <si>
    <t>| 133001 | 0.00225  |    -     | 0.01847  |0.12915  |    -     |    -     |</t>
  </si>
  <si>
    <t>| 133501 | 0.00228  |    -     | 0.01959  |0.12801  |    -     |    -     |</t>
  </si>
  <si>
    <t>| 134001 | 0.00232  |    -     | 0.01955  |0.12812  |    -     |    -     |</t>
  </si>
  <si>
    <t>| 134501 | 0.00230  |    -     | 0.01883  |0.12307  |    -     |    -     |</t>
  </si>
  <si>
    <t>| 135001 | 0.00229  |    -     | 0.01843  |0.13196  |    -     |    -     |</t>
  </si>
  <si>
    <t>| 135501 | 0.00625  |    -     | 0.01991  |0.13202  |    -     |    -     |</t>
  </si>
  <si>
    <t>| 136001 | 0.00238  |    -     | 0.02023  |0.12860  |    -     |    -     |</t>
  </si>
  <si>
    <t>| 136501 | 0.00213  |    -     | 0.01977  |0.12827  |    -     |    -     |</t>
  </si>
  <si>
    <t>| 137001 | 0.00213  |    -     | 0.01957  |0.13195  |    -     |    -     |</t>
  </si>
  <si>
    <t>| 137501 | 0.00227  |    -     | 0.01953  |0.12425  |    -     |    -     |</t>
  </si>
  <si>
    <t>| 138001 | 0.00233  |    -     | 0.01908  |0.12965  |    -     |    -     |</t>
  </si>
  <si>
    <t>| 138501 | 0.00236  |    -     | 0.01959  |0.13192  |    -     |    -     |</t>
  </si>
  <si>
    <t>| 139001 | 0.00228  |    -     | 0.01963  |0.13202  |    -     |    -     |</t>
  </si>
  <si>
    <t>| 139501 | 0.00220  |    -     | 0.01962  |0.12704  |    -     |    -     |</t>
  </si>
  <si>
    <t>| 140001 | 0.00231  |    -     | 0.01959  |0.12728  |    -     |    -     |</t>
  </si>
  <si>
    <t>| 140501 | 0.00242  |    -     | 0.01953  |0.12865  |    -     |    -     |</t>
  </si>
  <si>
    <t>| 141001 | 0.00227  |    -     | 0.01953  |0.13186  |    -     |    -     |</t>
  </si>
  <si>
    <t>| 141501 | 0.00235  |    -     | 0.01952  |0.12317  |    -     |    -     |</t>
  </si>
  <si>
    <t>| 142001 | 0.00223  |    -     | 0.01963  |0.13051  |    -     |    -     |</t>
  </si>
  <si>
    <t>| 142501 | 0.00236  |    -     | 0.01956  |0.13188  |    -     |    -     |</t>
  </si>
  <si>
    <t>| 143001 | 0.00230  |    -     | 0.01959  |0.13013  |    -     |    -     |</t>
  </si>
  <si>
    <t>| 143501 | 0.00229  |    -     | 0.01960  |0.12703  |    -     |    -     |</t>
  </si>
  <si>
    <t>| 144001 | 0.00226  |    -     | 0.01953  |0.12746  |    -     |    -     |</t>
  </si>
  <si>
    <t>| 144501 | 0.00248  |    -     | 0.01768  |0.12997  |    -     |    -     |</t>
  </si>
  <si>
    <t>| 145001 | 0.00251  |    -     | 0.01964  |0.12412  |    -     |    -     |</t>
  </si>
  <si>
    <t>| 145501 | 0.00230  |    -     | 0.01765  |0.12739  |    -     |    -     |</t>
  </si>
  <si>
    <t>| 146001 | 0.00240  |    -     | 0.01975  |0.13227  |    -     |    -     |</t>
  </si>
  <si>
    <t>| 146501 | 0.00240  |    -     | 0.01957  |0.13184  |    -     |    -     |</t>
  </si>
  <si>
    <t>| 147001 | 0.00227  |    -     | 0.01956  |0.13055  |    -     |    -     |</t>
  </si>
  <si>
    <t>| 147501 | 0.00228  |    -     | 0.01960  |0.13184  |    -     |    -     |</t>
  </si>
  <si>
    <t>| 148001 | 0.00230  |    -     | 0.01958  |0.13197  |    -     |    -     |</t>
  </si>
  <si>
    <t>| 148501 | 0.00234  |    -     | 0.01773  |0.12525  |    -     |    -     |</t>
  </si>
  <si>
    <t>| 149001 | 0.00235  |    -     | 0.01957  |0.13107  |    -     |    -     |</t>
  </si>
  <si>
    <t>| 149501 | 0.00222  |    -     | 0.01949  |0.12925  |    -     |    -     |</t>
  </si>
  <si>
    <t>| 150001 | 0.00228  |    -     | 0.01956  |0.12747  |    -     |    -     |</t>
  </si>
  <si>
    <t>| 150501 | 0.00238  |    -     | 0.01966  |0.13210  |    -     |    -     |</t>
  </si>
  <si>
    <t>| 151001 | 0.00229  |    -     | 0.01955  |0.12736  |    -     |    -     |</t>
  </si>
  <si>
    <t>| 151501 | 0.00231  |    -     | 0.01957  |0.12825  |    -     |    -     |</t>
  </si>
  <si>
    <t>| 152001 | 0.00240  |    -     | 0.01959  |0.12709  |    -     |    -     |</t>
  </si>
  <si>
    <t>| 152501 | 0.00239  |    -     | 0.01948  |0.12832  |    -     |    -     |</t>
  </si>
  <si>
    <t>| 153001 | 0.00212  |    -     | 0.01951  |0.12774  |    -     |    -     |</t>
  </si>
  <si>
    <t>| 153501 | 0.00226  |    -     | 0.01726  |0.13126  |    -     |    -     |</t>
  </si>
  <si>
    <t>| 154001 | 0.00224  |    -     | 0.01961  |0.12664  |    -     |    -     |</t>
  </si>
  <si>
    <t>| 154501 | 0.00231  |    -     | 0.01954  |0.12782  |    -     |    -     |</t>
  </si>
  <si>
    <t>| 155001 | 0.00237  |    -     | 0.01954  |0.13128  |    -     |    -     |</t>
  </si>
  <si>
    <t>| 155501 | 0.00226  |    -     | 0.01957  |0.13048  |    -     |    -     |</t>
  </si>
  <si>
    <t>| 156001 | 0.00233  |    -     | 0.01959  |0.12522  |    -     |    -     |</t>
  </si>
  <si>
    <t>| 156501 | 0.00232  |    -     | 0.01948  |0.13179  |    -     |    -     |</t>
  </si>
  <si>
    <t>| 157001 | 0.00227  |    -     | 0.01962  |0.13190  |    -     |    -     |</t>
  </si>
  <si>
    <t>| 157501 | 0.00233  |    -     | 0.01958  |0.12990  |    -     |    -     |</t>
  </si>
  <si>
    <t>| 158001 | 0.00221  |    -     | 0.01953  |0.13192  |    -     |    -     |</t>
  </si>
  <si>
    <t>| 158501 | 0.00229  |    -     | 0.01956  |0.13207  |    -     |    -     |</t>
  </si>
  <si>
    <t>| 159001 | 0.00228  |    -     | 0.01821  |0.12821  |    -     |    -     |</t>
  </si>
  <si>
    <t>| 159501 | 0.00228  |    -     | 0.01950  |0.13180  |    -     |    -     |</t>
  </si>
  <si>
    <t>| 160001 | 0.00219  |    -     | 0.01957  |0.13167  |    -     |    -     |</t>
  </si>
  <si>
    <t>| 160501 | 0.00250  |    -     | 0.01917  |0.12966  |    -     |    -     |</t>
  </si>
  <si>
    <t>| 161001 | 0.00219  |    -     | 0.01845  |0.12501  |    -     |    -     |</t>
  </si>
  <si>
    <t>| 161501 | 0.00212  |    -     | 0.01858  |0.13199  |    -     |    -     |</t>
  </si>
  <si>
    <t>| 162001 | 0.00223  |    -     | 0.02302  |0.13211  |    -     |    -     |</t>
  </si>
  <si>
    <t>| 162501 | 0.00473  |    -     | 0.01873  |0.13005  |    -     |    -     |</t>
  </si>
  <si>
    <t>| 163001 | 0.00499  |    -     | 0.01983  |0.12762  |    -     |    -     |</t>
  </si>
  <si>
    <t>| 163501 | 0.00226  |    -     | 0.01956  |0.13225  |    -     |    -     |</t>
  </si>
  <si>
    <t>| 164001 | 0.00228  |    -     | 0.01954  |0.12835  |    -     |    -     |</t>
  </si>
  <si>
    <t>| 164501 | 0.00228  |    -     | 0.01963  |0.13216  |    -     |    -     |</t>
  </si>
  <si>
    <t>| 165001 | 0.00228  |    -     | 0.01960  |0.12684  |    -     |    -     |</t>
  </si>
  <si>
    <t>| 165501 | 0.00235  |    -     | 0.01978  |0.13102  |    -     |    -     |</t>
  </si>
  <si>
    <t>| 166001 | 0.00229  |    -     | 0.01951  |0.13195  |    -     |    -     |</t>
  </si>
  <si>
    <t>| 166501 | 0.00223  |    -     | 0.01959  |0.13174  |    -     |    -     |</t>
  </si>
  <si>
    <t>| 167001 | 0.00233  |    -     | 0.01964  |0.13190  |    -     |    -     |</t>
  </si>
  <si>
    <t>| 167501 | 0.00484  |    -     | 0.01966  |0.13186  |    -     |    -     |</t>
  </si>
  <si>
    <t>| 168001 | 0.00230  |    -     | 0.01959  |0.13177  |    -     |    -     |</t>
  </si>
  <si>
    <t>| 168501 | 0.00220  |    -     | 0.01953  |0.12994  |    -     |    -     |</t>
  </si>
  <si>
    <t>| 169001 | 0.00217  |    -     | 0.01954  |0.13184  |    -     |    -     |</t>
  </si>
  <si>
    <t>| 169501 | 0.00228  |    -     | 0.01961  |0.12769  |    -     |    -     |</t>
  </si>
  <si>
    <t>| 170001 | 0.00213  |    -     | 0.01949  |0.13185  |    -     |    -     |</t>
  </si>
  <si>
    <t>| 170501 | 0.00232  |    -     | 0.01961  |0.13191  |    -     |    -     |</t>
  </si>
  <si>
    <t>| 171001 | 0.00227  |    -     | 0.01961  |0.13184  |    -     |    -     |</t>
  </si>
  <si>
    <t>| 171501 | 0.00479  |    -     | 0.01969  |0.13191  |    -     |    -     |</t>
  </si>
  <si>
    <t>| 172001 | 0.00219  |    -     | 0.01957  |0.13190  |    -     |    -     |</t>
  </si>
  <si>
    <t>| 172501 | 0.00473  |    -     | 0.01968  |0.12977  |    -     |    -     |</t>
  </si>
  <si>
    <t>| 173001 | 0.00225  |    -     | 0.01952  |0.13161  |    -     |    -     |</t>
  </si>
  <si>
    <t>| 173501 | 0.00478  |    -     | 0.01972  |0.13200  |    -     |    -     |</t>
  </si>
  <si>
    <t>| 174001 | 0.00477  |    -     | 0.01960  |0.13187  |    -     |    -     |</t>
  </si>
  <si>
    <t>| 174501 | 0.00488  |    -     | 0.01970  |0.13013  |    -     |    -     |</t>
  </si>
  <si>
    <t>| 175001 | 0.00229  |    -     | 0.01954  |0.13028  |    -     |    -     |</t>
  </si>
  <si>
    <t>| 175501 | 0.00485  |    -     | 0.01972  |0.13185  |    -     |    -     |</t>
  </si>
  <si>
    <t>| 176001 | 0.00478  |    -     | 0.01965  |0.12686  |    -     |    -     |</t>
  </si>
  <si>
    <t>| 176501 | 0.00231  |    -     | 0.01952  |0.13198  |    -     |    -     |</t>
  </si>
  <si>
    <t>| 177001 | 0.00489  |    -     | 0.01964  |0.13192  |    -     |    -     |</t>
  </si>
  <si>
    <t>| 177501 | 0.00486  |    -     | 0.01970  |0.12945  |    -     |    -     |</t>
  </si>
  <si>
    <t>| 178001 | 0.00227  |    -     | 0.01954  |0.13178  |    -     |    -     |</t>
  </si>
  <si>
    <t>| 178501 | 0.00474  |    -     | 0.01973  |0.12984  |    -     |    -     |</t>
  </si>
  <si>
    <t>| 179001 | 0.00485  |    -     | 0.01960  |0.13075  |    -     |    -     |</t>
  </si>
  <si>
    <t>| 179501 | 0.00494  |    -     | 0.01975  |0.12778  |    -     |    -     |</t>
  </si>
  <si>
    <t>| 180001 | 0.00230  |    -     | 0.01961  |0.13185  |    -     |    -     |</t>
  </si>
  <si>
    <t>| 180501 | 0.00214  |    -     | 0.01950  |0.12791  |    -     |    -     |</t>
  </si>
  <si>
    <t>| 181001 | 0.00238  |    -     | 0.01980  |0.13057  |    -     |    -     |</t>
  </si>
  <si>
    <t>| 181501 | 0.00234  |    -     | 0.01964  |0.13091  |    -     |    -     |</t>
  </si>
  <si>
    <t>| 182001 | 0.00487  |    -     | 0.01967  |0.13228  |    -     |    -     |</t>
  </si>
  <si>
    <t>| 182501 | 0.00232  |    -     | 0.01963  |0.13142  |    -     |    -     |</t>
  </si>
  <si>
    <t>| 183001 | 0.00227  |    -     | 0.01953  |0.13191  |    -     |    -     |</t>
  </si>
  <si>
    <t>| 183501 | 0.00472  |    -     | 0.01968  |0.13175  |    -     |    -     |</t>
  </si>
  <si>
    <t>| 184001 | 0.00479  |    -     | 0.01968  |0.13190  |    -     |    -     |</t>
  </si>
  <si>
    <t>| 184501 | 0.00478  |    -     | 0.01957  |0.13013  |    -     |    -     |</t>
  </si>
  <si>
    <t>| 185001 | 0.00232  |    -     | 0.01953  |0.13192  |    -     |    -     |</t>
  </si>
  <si>
    <t>| 185501 | 0.00216  |    -     | 0.01948  |0.13171  |    -     |    -     |</t>
  </si>
  <si>
    <t>| 186001 | 0.00466  |    -     | 0.01960  |0.13171  |    -     |    -     |</t>
  </si>
  <si>
    <t>| 186501 | 0.00467  |    -     | 0.01976  |0.13204  |    -     |    -     |</t>
  </si>
  <si>
    <t>| 187001 | 0.00481  |    -     | 0.01963  |0.13182  |    -     |    -     |</t>
  </si>
  <si>
    <t>| 187501 | 0.00211  |    -     | 0.01958  |0.12928  |    -     |    -     |</t>
  </si>
  <si>
    <t>| 188001 | 0.00241  |    -     | 0.01972  |0.12737  |    -     |    -     |</t>
  </si>
  <si>
    <t>| 188501 | 0.00484  |    -     | 0.01982  |0.12529  |    -     |    -     |</t>
  </si>
  <si>
    <t>| 189001 | 0.00489  |    -     | 0.01974  |0.13098  |    -     |    -     |</t>
  </si>
  <si>
    <t>| 189501 | 0.00224  |    -     | 0.01962  |0.12483  |    -     |    -     |</t>
  </si>
  <si>
    <t>| 190001 | 0.00234  |    -     | 0.01958  |0.12759  |    -     |    -     |</t>
  </si>
  <si>
    <t>| 190501 | 0.00223  |    -     | 0.01965  |0.13020  |    -     |    -     |</t>
  </si>
  <si>
    <t>| 191001 | 0.00232  |    -     | 0.01958  |0.12919  |    -     |    -     |</t>
  </si>
  <si>
    <t>| 191501 | 0.00234  |    -     | 0.01951  |0.13186  |    -     |    -     |</t>
  </si>
  <si>
    <t>| 192001 | 0.00482  |    -     | 0.01970  |0.13183  |    -     |    -     |</t>
  </si>
  <si>
    <t>| 192501 | 0.00493  |    -     | 0.01964  |0.13190  |    -     |    -     |</t>
  </si>
  <si>
    <t>| 193001 | 0.00211  |    -     | 0.01952  |0.13196  |    -     |    -     |</t>
  </si>
  <si>
    <t>| 193501 | 0.00482  |    -     | 0.01974  |0.12750  |    -     |    -     |</t>
  </si>
  <si>
    <t>| 194001 | 0.00228  |    -     | 0.01954  |0.12853  |    -     |    -     |</t>
  </si>
  <si>
    <t>| 194501 | 0.00223  |    -     | 0.01957  |0.13182  |    -     |    -     |</t>
  </si>
  <si>
    <t>| 195001 | 0.00212  |    -     | 0.01954  |0.12951  |    -     |    -     |</t>
  </si>
  <si>
    <t>| 195501 | 0.00459  |    -     | 0.01968  |0.12922  |    -     |    -     |</t>
  </si>
  <si>
    <t>| 196001 | 0.00485  |    -     | 0.01958  |0.13076  |    -     |    -     |</t>
  </si>
  <si>
    <t>| 196501 | 0.00214  |    -     | 0.01967  |0.12857  |    -     |    -     |</t>
  </si>
  <si>
    <t>| 197001 | 0.00473  |    -     | 0.01974  |0.13189  |    -     |    -     |</t>
  </si>
  <si>
    <t>| 197501 | 0.00483  |    -     | 0.01970  |0.12932  |    -     |    -     |</t>
  </si>
  <si>
    <t>| 198001 | 0.00481  |    -     | 0.01965  |0.13193  |    -     |    -     |</t>
  </si>
  <si>
    <t>| 198501 | 0.00474  |    -     | 0.01966  |0.12727  |    -     |    -     |</t>
  </si>
  <si>
    <t>| 199001 | 0.00242  |    -     | 0.01964  |0.13185  |    -     |    -     |</t>
  </si>
  <si>
    <t>| 199501 | 0.00479  |    -     | 0.01966  |0.13188  |    -     |    -     |</t>
  </si>
  <si>
    <t>| 200001 | 0.00490  |    -     | 0.01972  |0.13180  |    -     |    -     |</t>
  </si>
  <si>
    <t>| 200501 | 0.00515  |    -     | 0.01676  |0.13219  |    -     |    -     |</t>
  </si>
  <si>
    <t>| 201001 | 0.00493  |    -     | 0.01975  |0.12290  |    -     |    -     |</t>
  </si>
  <si>
    <t>| 201501 | 0.00210  |    -     | 0.01953  |0.13193  |    -     |    -     |</t>
  </si>
  <si>
    <t>| 202001 | 0.00481  |    -     | 0.01967  |0.13182  |    -     |    -     |</t>
  </si>
  <si>
    <t>| 202501 | 0.00494  |    -     | 0.02005  |0.13347  |    -     |    -     |</t>
  </si>
  <si>
    <t>| 203001 | 0.00515  |    -     | 0.03812  |0.12936  |    -     |    -     |</t>
  </si>
  <si>
    <t>| 203501 | 0.00539  |    -     | 0.01948  |0.12956  |    -     |    -     |</t>
  </si>
  <si>
    <t>| 204001 | 0.00245  |    -     | 0.01966  |0.12351  |    -     |    -     |</t>
  </si>
  <si>
    <t>| 204501 | 0.00231  |    -     | 0.01981  |0.13158  |    -     |    -     |</t>
  </si>
  <si>
    <t>| 205001 | 0.00238  |    -     | 0.01831  |0.12403  |    -     |    -     |</t>
  </si>
  <si>
    <t>| 205501 | 0.00491  |    -     | 0.02007  |0.13236  |    -     |    -     |</t>
  </si>
  <si>
    <t>| 206001 | 0.00495  |    -     | 0.01992  |0.12992  |    -     |    -     |</t>
  </si>
  <si>
    <t>| 206501 | 0.00498  |    -     | 0.01975  |0.12907  |    -     |    -     |</t>
  </si>
  <si>
    <t>| 207001 | 0.00245  |    -     | 0.01980  |0.12890  |    -     |    -     |</t>
  </si>
  <si>
    <t>| 207501 | 0.00480  |    -     | 0.01954  |0.12846  |    -     |    -     |</t>
  </si>
  <si>
    <t>| 208001 | 0.00482  |    -     | 0.01970  |0.12669  |    -     |    -     |</t>
  </si>
  <si>
    <t>| 208501 | 0.00487  |    -     | 0.01808  |0.13218  |    -     |    -     |</t>
  </si>
  <si>
    <t>| 209001 | 0.00493  |    -     | 0.01939  |0.13125  |    -     |    -     |</t>
  </si>
  <si>
    <t>| 209501 | 0.00471  |    -     | 0.01971  |0.13197  |    -     |    -     |</t>
  </si>
  <si>
    <t>| 210001 | 0.00480  |    -     | 0.01970  |0.13183  |    -     |    -     |</t>
  </si>
  <si>
    <t>| 210501 | 0.00500  |    -     | 0.02003  |0.12821  |    -     |    -     |</t>
  </si>
  <si>
    <t>| 211001 | 0.00231  |    -     | 0.01981  |0.13201  |    -     |    -     |</t>
  </si>
  <si>
    <t>| 211501 | 0.00486  |    -     | 0.01973  |0.12909  |    -     |    -     |</t>
  </si>
  <si>
    <t>| 212001 | 0.00467  |    -     | 0.01958  |0.12695  |    -     |    -     |</t>
  </si>
  <si>
    <t>| 212501 | 0.00464  |    -     | 0.01901  |0.13190  |    -     |    -     |</t>
  </si>
  <si>
    <t>| 213001 | 0.00485  |    -     | 0.01980  |0.13215  |    -     |    -     |</t>
  </si>
  <si>
    <t>| 213501 | 0.00491  |    -     | 0.01959  |0.13191  |    -     |    -     |</t>
  </si>
  <si>
    <t>| 214001 | 0.00475  |    -     | 0.01971  |0.13178  |    -     |    -     |</t>
  </si>
  <si>
    <t>| 214501 | 0.00472  |    -     | 0.01924  |0.12915  |    -     |    -     |</t>
  </si>
  <si>
    <t>| 215001 | 0.00485  |    -     | 0.01970  |0.13198  |    -     |    -     |</t>
  </si>
  <si>
    <t>| 215501 | 0.00481  |    -     | 0.01970  |0.13202  |    -     |    -     |</t>
  </si>
  <si>
    <t>| 216001 | 0.00499  |    -     | 0.01988  |0.13183  |    -     |    -     |</t>
  </si>
  <si>
    <t>| 216501 | 0.00473  |    -     | 0.01966  |0.13154  |    -     |    -     |</t>
  </si>
  <si>
    <t>| 217001 | 0.00476  |    -     | 0.01954  |0.12752  |    -     |    -     |</t>
  </si>
  <si>
    <t>| 217501 | 0.00477  |    -     | 0.01952  |0.13199  |    -     |    -     |</t>
  </si>
  <si>
    <t>| 218001 | 0.00485  |    -     | 0.01973  |0.13173  |    -     |    -     |</t>
  </si>
  <si>
    <t>| 218501 | 0.00483  |    -     | 0.01953  |0.13191  |    -     |    -     |</t>
  </si>
  <si>
    <t>| 219001 | 0.00472  |    -     | 0.01952  |0.13186  |    -     |    -     |</t>
  </si>
  <si>
    <t>| 219501 | 0.00500  |    -     | 0.01883  |0.12918  |    -     |    -     |</t>
  </si>
  <si>
    <t>| 220001 | 0.00490  |    -     | 0.01984  |0.12888  |    -     |    -     |</t>
  </si>
  <si>
    <t>| 220501 | 0.00225  |    -     | 0.01989  |0.12799  |    -     |    -     |</t>
  </si>
  <si>
    <t>| 221001 | 0.00485  |    -     | 0.01958  |0.12993  |    -     |    -     |</t>
  </si>
  <si>
    <t>| 221501 | 0.00503  |    -     | 0.01887  |0.13005  |    -     |    -     |</t>
  </si>
  <si>
    <t>| 222001 | 0.00487  |    -     | 0.01971  |0.12797  |    -     |    -     |</t>
  </si>
  <si>
    <t>| 222501 | 0.00456  |    -     | 0.01982  |0.13212  |    -     |    -     |</t>
  </si>
  <si>
    <t>| 223001 | 0.00485  |    -     | 0.01964  |0.13174  |    -     |    -     |</t>
  </si>
  <si>
    <t>| 223501 | 0.00488  |    -     | 0.01991  |0.13070  |    -     |    -     |</t>
  </si>
  <si>
    <t>| 224001 | 0.00527  |    -     | 0.01985  |0.12909  |    -     |    -     |</t>
  </si>
  <si>
    <t>| 224501 | 0.00481  |    -     | 0.01971  |0.13191  |    -     |    -     |</t>
  </si>
  <si>
    <t>| 225001 | 0.00479  |    -     | 0.01968  |0.12724  |    -     |    -     |</t>
  </si>
  <si>
    <t>| 225501 | 0.00483  |    -     | 0.01971  |0.13211  |    -     |    -     |</t>
  </si>
  <si>
    <t>| 226001 | 0.00482  |    -     | 0.01969  |0.13284  |    -     |    -     |</t>
  </si>
  <si>
    <t>| 226501 | 0.00489  |    -     | 0.01968  |0.13022  |    -     |    -     |</t>
  </si>
  <si>
    <t>| 227001 | 0.00491  |    -     | 0.01965  |0.13082  |    -     |    -     |</t>
  </si>
  <si>
    <t>| 227501 | 0.00482  |    -     | 0.01967  |0.13183  |    -     |    -     |</t>
  </si>
  <si>
    <t>| 228001 | 0.00482  |    -     | 0.01970  |0.12890  |    -     |    -     |</t>
  </si>
  <si>
    <t>| 228501 | 0.00475  |    -     | 0.01968  |0.12753  |    -     |    -     |</t>
  </si>
  <si>
    <t>| 229001 | 0.00480  |    -     | 0.01916  |0.13135  |    -     |    -     |</t>
  </si>
  <si>
    <t>| 229501 | 0.00488  |    -     | 0.01967  |0.13177  |    -     |    -     |</t>
  </si>
  <si>
    <t>| 230001 | 0.00479  |    -     | 0.01967  |0.13186  |    -     |    -     |</t>
  </si>
  <si>
    <t>| 230501 | 0.00469  |    -     | 0.01959  |0.13201  |    -     |    -     |</t>
  </si>
  <si>
    <t>| 231001 | 0.00482  |    -     | 0.01968  |0.13147  |    -     |    -     |</t>
  </si>
  <si>
    <t>| 231501 | 0.00478  |    -     | 0.01968  |0.12873  |    -     |    -     |</t>
  </si>
  <si>
    <t>| 232001 | 0.00481  |    -     | 0.01966  |0.13204  |    -     |    -     |</t>
  </si>
  <si>
    <t>| 232501 | 0.00480  |    -     | 0.01972  |0.12847  |    -     |    -     |</t>
  </si>
  <si>
    <t>| 233001 | 0.00481  |    -     | 0.01969  |0.13194  |    -     |    -     |</t>
  </si>
  <si>
    <t>| 233501 | 0.00470  |    -     | 0.01967  |0.13199  |    -     |    -     |</t>
  </si>
  <si>
    <t>| 234001 | 0.00491  |    -     | 0.01984  |0.13200  |    -     |    -     |</t>
  </si>
  <si>
    <t>| 234501 | 0.00479  |    -     | 0.01973  |0.12834  |    -     |    -     |</t>
  </si>
  <si>
    <t>| 235001 | 0.00484  |    -     | 0.01974  |0.13203  |    -     |    -     |</t>
  </si>
  <si>
    <t>| 235501 | 0.00486  |    -     | 0.02005  |0.13177  |    -     |    -     |</t>
  </si>
  <si>
    <t>| 236001 | 0.00493  |    -     | 0.01974  |0.12969  |    -     |    -     |</t>
  </si>
  <si>
    <t>| 236501 | 0.00459  |    -     | 0.01936  |0.12921  |    -     |    -     |</t>
  </si>
  <si>
    <t>| 237001 | 0.00481  |    -     | 0.01972  |0.13061  |    -     |    -     |</t>
  </si>
  <si>
    <t>| 237501 | 0.00492  |    -     | 0.01872  |0.12494  |    -     |    -     |</t>
  </si>
  <si>
    <t>| 238001 | 0.00479  |    -     | 0.01969  |0.12612  |    -     |    -     |</t>
  </si>
  <si>
    <t>| 238501 | 0.00475  |    -     | 0.01924  |0.12911  |    -     |    -     |</t>
  </si>
  <si>
    <t>| 239001 | 0.00461  |    -     | 0.01953  |0.12425  |    -     |    -     |</t>
  </si>
  <si>
    <t>| 239501 | 0.00470  |    -     | 0.01965  |0.12952  |    -     |    -     |</t>
  </si>
  <si>
    <t>| 240001 | 0.00470  |    -     | 0.01757  |0.13063  |    -     |    -     |</t>
  </si>
  <si>
    <t>| 240501 | 0.00492  |    -     | 0.01787  |0.12756  |    -     |    -     |</t>
  </si>
  <si>
    <t>| 241001 | 0.00488  |    -     | 0.01966  |0.13178  |    -     |    -     |</t>
  </si>
  <si>
    <t>| 241501 | 0.00506  |    -     | 0.01956  |0.12584  |    -     |    -     |</t>
  </si>
  <si>
    <t>| 242001 | 0.00467  |    -     | 0.01966  |0.12536  |    -     |    -     |</t>
  </si>
  <si>
    <t>| 242501 | 0.00492  |    -     | 0.01918  |0.12950  |    -     |    -     |</t>
  </si>
  <si>
    <t>| 243001 | 0.00487  |    -     | 0.01968  |0.12801  |    -     |    -     |</t>
  </si>
  <si>
    <t>| 243501 | 0.00480  |    -     | 0.01972  |0.13162  |    -     |    -     |</t>
  </si>
  <si>
    <t>| 244001 | 0.00491  |    -     | 0.01963  |0.13194  |    -     |    -     |</t>
  </si>
  <si>
    <t>| 244501 | 0.00472  |    -     | 0.01944  |0.12362  |    -     |    -     |</t>
  </si>
  <si>
    <t>| 245001 | 0.00488  |    -     | 0.01966  |0.13107  |    -     |    -     |</t>
  </si>
  <si>
    <t>| 245501 | 0.00484  |    -     | 0.01970  |0.13198  |    -     |    -     |</t>
  </si>
  <si>
    <t>| 246001 | 0.00467  |    -     | 0.01958  |0.12823  |    -     |    -     |</t>
  </si>
  <si>
    <t>| 246501 | 0.00490  |    -     | 0.01982  |0.13186  |    -     |    -     |</t>
  </si>
  <si>
    <t>| 247001 | 0.00464  |    -     | 0.01978  |0.12987  |    -     |    -     |</t>
  </si>
  <si>
    <t>| 247501 | 0.00479  |    -     | 0.01973  |0.13197  |    -     |    -     |</t>
  </si>
  <si>
    <t>| 248001 | 0.00476  |    -     | 0.01975  |0.13138  |    -     |    -     |</t>
  </si>
  <si>
    <t>| 248501 | 0.00494  |    -     | 0.01964  |0.12849  |    -     |    -     |</t>
  </si>
  <si>
    <t>| 249001 | 0.00471  |    -     | 0.01969  |0.13199  |    -     |    -     |</t>
  </si>
  <si>
    <t>| 249501 | 0.00477  |    -     | 0.01970  |0.13189  |    -     |    -     |</t>
  </si>
  <si>
    <t>| 250001 | 0.00461  |    -     | 0.01962  |0.13190  |    -     |    -     |</t>
  </si>
  <si>
    <t>| 250501 | 0.00465  |    -     | 0.01957  |0.12654  |    -     |    -     |</t>
  </si>
  <si>
    <t>| 251001 | 0.00469  |    -     | 0.01964  |0.13182  |    -     |    -     |</t>
  </si>
  <si>
    <t>| 251501 | 0.00470  |    -     | 0.01951  |0.13177  |    -     |    -     |</t>
  </si>
  <si>
    <t>| 252001 | 0.00478  |    -     | 0.02308  |0.13445  |    -     |    -     |</t>
  </si>
  <si>
    <t>| 252501 | 0.00481  |    -     | 0.01966  |0.13203  |    -     |    -     |</t>
  </si>
  <si>
    <t>| 253001 | 0.00476  |    -     | 0.01965  |0.12663  |    -     |    -     |</t>
  </si>
  <si>
    <t>| 253501 | 0.00476  |    -     | 0.01955  |0.12790  |    -     |    -     |</t>
  </si>
  <si>
    <t>| 254001 | 0.00470  |    -     | 0.01859  |0.13189  |    -     |    -     |</t>
  </si>
  <si>
    <t>| 254501 | 0.00480  |    -     | 0.01957  |0.13200  |    -     |    -     |</t>
  </si>
  <si>
    <t>| 255001 | 0.00484  |    -     | 0.01977  |0.12730  |    -     |    -     |</t>
  </si>
  <si>
    <t>| 255501 | 0.00477  |    -     | 0.01955  |0.13038  |    -     |    -     |</t>
  </si>
  <si>
    <t>| 256001 | 0.00475  |    -     | 0.01966  |0.13181  |    -     |    -     |</t>
  </si>
  <si>
    <t>| 256501 | 0.00478  |    -     | 0.01967  |0.13115  |    -     |    -     |</t>
  </si>
  <si>
    <t>| 257001 | 0.00475  |    -     | 0.01830  |0.13194  |    -     |    -     |</t>
  </si>
  <si>
    <t>| 257501 | 0.00466  |    -     | 0.01969  |0.13196  |    -     |    -     |</t>
  </si>
  <si>
    <t>| 258001 | 0.00474  |    -     | 0.01964  |0.13214  |    -     |    -     |</t>
  </si>
  <si>
    <t>| 258501 | 0.00487  |    -     | 0.01962  |0.12344  |    -     |    -     |</t>
  </si>
  <si>
    <t>| 259001 | 0.00480  |    -     | 0.01986  |0.12872  |    -     |    -     |</t>
  </si>
  <si>
    <t>| 259501 | 0.00472  |    -     | 0.01979  |0.13197  |    -     |    -     |</t>
  </si>
  <si>
    <t>| 260001 | 0.00475  |    -     | 0.01955  |0.12767  |    -     |    -     |</t>
  </si>
  <si>
    <t>| 260501 | 0.00470  |    -     | 0.01964  |0.13191  |    -     |    -     |</t>
  </si>
  <si>
    <t>| 261001 | 0.00473  |    -     | 0.01884  |0.12780  |    -     |    -     |</t>
  </si>
  <si>
    <t>| 261501 | 0.00473  |    -     | 0.01972  |0.12449  |    -     |    -     |</t>
  </si>
  <si>
    <t>| 262001 | 0.00480  |    -     | 0.01997  |0.13206  |    -     |    -     |</t>
  </si>
  <si>
    <t>| 262501 | 0.00494  |    -     | 0.01977  |0.13200  |    -     |    -     |</t>
  </si>
  <si>
    <t>| 263001 | 0.00483  |    -     | 0.01990  |0.13170  |    -     |    -     |</t>
  </si>
  <si>
    <t>| 263501 | 0.00477  |    -     | 0.01982  |0.13007  |    -     |    -     |</t>
  </si>
  <si>
    <t>| 264001 | 0.00497  |    -     | 0.01969  |0.12513  |    -     |    -     |</t>
  </si>
  <si>
    <t>| 264501 | 0.00487  |    -     | 0.01976  |0.12443  |    -     |    -     |</t>
  </si>
  <si>
    <t>| 265001 | 0.00474  |    -     | 0.01964  |0.13194  |    -     |    -     |</t>
  </si>
  <si>
    <t>| 265501 | 0.00479  |    -     | 0.01976  |0.12732  |    -     |    -     |</t>
  </si>
  <si>
    <t>| 266001 | 0.00486  |    -     | 0.01964  |0.12570  |    -     |    -     |</t>
  </si>
  <si>
    <t>| 266501 | 0.00479  |    -     | 0.01966  |0.13222  |    -     |    -     |</t>
  </si>
  <si>
    <t>| 267001 | 0.00502  |    -     | 0.01978  |0.12926  |    -     |    -     |</t>
  </si>
  <si>
    <t>| 267501 | 0.00473  |    -     | 0.01775  |0.12835  |    -     |    -     |</t>
  </si>
  <si>
    <t>| 268001 | 0.00483  |    -     | 0.01960  |0.13068  |    -     |    -     |</t>
  </si>
  <si>
    <t>| 268501 | 0.00480  |    -     | 0.01977  |0.13181  |    -     |    -     |</t>
  </si>
  <si>
    <t>| 269001 | 0.00475  |    -     | 0.01965  |0.13192  |    -     |    -     |</t>
  </si>
  <si>
    <t>| 269501 | 0.00485  |    -     | 0.03824  |0.13202  |    -     |    -     |</t>
  </si>
  <si>
    <t>| 270001 | 0.00492  |    -     | 0.01972  |0.13199  |    -     |    -     |</t>
  </si>
  <si>
    <t>| 270501 | 0.00485  |    -     | 0.01777  |0.12854  |    -     |    -     |</t>
  </si>
  <si>
    <t>| 271001 | 0.00465  |    -     | 0.01986  |0.13140  |    -     |    -     |</t>
  </si>
  <si>
    <t>| 271501 | 0.00477  |    -     | 0.01974  |0.12750  |    -     |    -     |</t>
  </si>
  <si>
    <t>| 272001 | 0.00462  |    -     | 0.01968  |0.12835  |    -     |    -     |</t>
  </si>
  <si>
    <t>| 272501 | 0.00501  |    -     | 0.01975  |0.13188  |    -     |    -     |</t>
  </si>
  <si>
    <t>| 273001 | 0.00523  |    -     | 0.01859  |0.12870  |    -     |    -     |</t>
  </si>
  <si>
    <t>| 273501 | 0.00466  |    -     | 0.01942  |0.12814  |    -     |    -     |</t>
  </si>
  <si>
    <t>| 274001 | 0.00481  |    -     | 0.01787  |0.12768  |    -     |    -     |</t>
  </si>
  <si>
    <t>| 274501 | 0.00463  |    -     | 0.01945  |0.12943  |    -     |    -     |</t>
  </si>
  <si>
    <t>| 275001 | 0.00469  |    -     | 0.01870  |0.12623  |    -     |    -     |</t>
  </si>
  <si>
    <t>| 275501 | 0.00473  |    -     | 0.01959  |0.13191  |    -     |    -     |</t>
  </si>
  <si>
    <t>| 276001 | 0.00482  |    -     | 0.01964  |0.13018  |    -     |    -     |</t>
  </si>
  <si>
    <t>| 276501 | 0.00467  |    -     | 0.01948  |0.13185  |    -     |    -     |</t>
  </si>
  <si>
    <t>| 277001 | 0.00475  |    -     | 0.01973  |0.12824  |    -     |    -     |</t>
  </si>
  <si>
    <t>| 277501 | 0.00479  |    -     | 0.01958  |0.13189  |    -     |    -     |</t>
  </si>
  <si>
    <t>| 278001 | 0.00480  |    -     | 0.01964  |0.12831  |    -     |    -     |</t>
  </si>
  <si>
    <t>| 278501 | 0.00454  |    -     | 0.01967  |0.12989  |    -     |    -     |</t>
  </si>
  <si>
    <t>| 279001 | 0.00479  |    -     | 0.01957  |0.13203  |    -     |    -     |</t>
  </si>
  <si>
    <t>| 279501 | 0.00483  |    -     | 0.01962  |0.13194  |    -     |    -     |</t>
  </si>
  <si>
    <t>| 280001 | 0.00491  |    -     | 0.01865  |0.13203  |    -     |    -     |</t>
  </si>
  <si>
    <t>| 280501 | 0.00498  |    -     | 0.01844  |0.13182  |    -     |    -     |</t>
  </si>
  <si>
    <t>| 281001 | 0.00485  |    -     | 0.01977  |0.13153  |    -     |    -     |</t>
  </si>
  <si>
    <t>| 281501 | 0.00481  |    -     | 0.01990  |0.13206  |    -     |    -     |</t>
  </si>
  <si>
    <t>| 282001 | 0.00480  |    -     | 0.01989  |0.12592  |    -     |    -     |</t>
  </si>
  <si>
    <t>| 282501 | 0.00491  |    -     | 0.01982  |0.13053  |    -     |    -     |</t>
  </si>
  <si>
    <t>| 283001 | 0.00480  |    -     | 0.01909  |0.12832  |    -     |    -     |</t>
  </si>
  <si>
    <t>| 283501 | 0.00490  |    -     | 0.01965  |0.13194  |    -     |    -     |</t>
  </si>
  <si>
    <t>| 284001 | 0.00477  |    -     | 0.01971  |0.13099  |    -     |    -     |</t>
  </si>
  <si>
    <t>| 284501 | 0.00487  |    -     | 0.04048  |0.12087  |    -     |    -     |</t>
  </si>
  <si>
    <t>| 285001 | 0.00482  |    -     | 0.01943  |0.12550  |    -     |    -     |</t>
  </si>
  <si>
    <t>| 285501 | 0.00474  |    -     | 0.01961  |0.12951  |    -     |    -     |</t>
  </si>
  <si>
    <t>| 286001 | 0.00487  |    -     | 0.01960  |0.13202  |    -     |    -     |</t>
  </si>
  <si>
    <t>| 286501 | 0.00476  |    -     | 0.01979  |0.12826  |    -     |    -     |</t>
  </si>
  <si>
    <t>| 287001 | 0.00477  |    -     | 0.01840  |0.12995  |    -     |    -     |</t>
  </si>
  <si>
    <t>| 287501 | 0.00488  |    -     | 0.01963  |0.12592  |    -     |    -     |</t>
  </si>
  <si>
    <t>| 288001 | 0.00473  |    -     | 0.01983  |0.12990  |    -     |    -     |</t>
  </si>
  <si>
    <t>| 288501 | 0.00484  |    -     | 0.01968  |0.13196  |    -     |    -     |</t>
  </si>
  <si>
    <t>| 289001 | 0.00474  |    -     | 0.01967  |0.13142  |    -     |    -     |</t>
  </si>
  <si>
    <t>| 289501 | 0.00470  |    -     | 0.01971  |0.12914  |    -     |    -     |</t>
  </si>
  <si>
    <t>| 290001 | 0.00484  |    -     | 0.07293  |0.13065  |    -     |    -     |</t>
  </si>
  <si>
    <t>| 290501 | 0.00537  |    -     | 0.01926  |0.13168  |    -     |    -     |</t>
  </si>
  <si>
    <t>| 291001 | 0.00464  |    -     | 0.01725  |0.12788  |    -     |    -     |</t>
  </si>
  <si>
    <t>| 291501 | 0.00488  |    -     | 0.01982  |0.13029  |    -     |    -     |</t>
  </si>
  <si>
    <t>| 292001 | 0.00483  |    -     | 0.01971  |0.13192  |    -     |    -     |</t>
  </si>
  <si>
    <t>| 292501 | 0.00483  |    -     | 0.01960  |0.12695  |    -     |    -     |</t>
  </si>
  <si>
    <t>| 293001 | 0.00476  |    -     | 0.01966  |0.12768  |    -     |    -     |</t>
  </si>
  <si>
    <t>| 293501 | 0.00468  |    -     | 0.01971  |0.12291  |    -     |    -     |</t>
  </si>
  <si>
    <t>| 294001 | 0.00482  |    -     | 0.01907  |0.13158  |    -     |    -     |</t>
  </si>
  <si>
    <t>| 294501 | 0.00478  |    -     | 0.01954  |0.13193  |    -     |    -     |</t>
  </si>
  <si>
    <t>| 295001 | 0.00480  |    -     | 0.01951  |0.13194  |    -     |    -     |</t>
  </si>
  <si>
    <t>| 295501 | 0.00473  |    -     | 0.01963  |0.12964  |    -     |    -     |</t>
  </si>
  <si>
    <t>| 296001 | 0.00476  |    -     | 0.01956  |0.13124  |    -     |    -     |</t>
  </si>
  <si>
    <t>| 296501 | 0.00450  |    -     | 0.01875  |0.12846  |    -     |    -     |</t>
  </si>
  <si>
    <t>| 297001 | 0.00479  |    -     | 0.01960  |0.13204  |    -     |    -     |</t>
  </si>
  <si>
    <t>| 297501 | 0.00483  |    -     | 0.01972  |0.13197  |    -     |    -     |</t>
  </si>
  <si>
    <t>| 298001 | 0.00488  |    -     | 0.01968  |0.13016  |    -     |    -     |</t>
  </si>
  <si>
    <t>| 298501 | 0.00490  |    -     | 0.01976  |0.12685  |    -     |    -     |</t>
  </si>
  <si>
    <t>| 299001 | 0.00480  |    -     | 0.01964  |0.13189  |    -     |    -     |</t>
  </si>
  <si>
    <t>| 299501 | 0.00483  |    -     | 0.01963  |0.12459  |    -     |    -     |</t>
  </si>
  <si>
    <t>| 300001 | 0.00472  |    -     | 0.01971  |0.13112  |    -     |    -     |</t>
  </si>
  <si>
    <t>| 300501 | 0.00480  |    -     | 0.01960  |0.13192  |    -     |    -     |</t>
  </si>
  <si>
    <t>| 301001 | 0.00489  |    -     | 0.01962  |0.13179  |    -     |    -     |</t>
  </si>
  <si>
    <t>| 301501 | 0.00480  |    -     | 0.01973  |0.13193  |    -     |    -     |</t>
  </si>
  <si>
    <t>| 302001 | 0.00482  |    -     | 0.01968  |0.12706  |    -     |    -     |</t>
  </si>
  <si>
    <t>| 302501 | 0.00474  |    -     | 0.01966  |0.13182  |    -     |    -     |</t>
  </si>
  <si>
    <t>| 303001 | 0.00479  |    -     | 0.03692  |0.13191  |    -     |    -     |</t>
  </si>
  <si>
    <t>| 303501 | 0.00489  |    -     | 0.02054  |0.12714  |    -     |    -     |</t>
  </si>
  <si>
    <t>| 304001 | 0.00476  |    -     | 0.01964  |0.13199  |    -     |    -     |</t>
  </si>
  <si>
    <t>| 304501 | 0.00477  |    -     | 0.01965  |0.13184  |    -     |    -     |</t>
  </si>
  <si>
    <t>| 305001 | 0.00476  |    -     | 0.01969  |0.13194  |    -     |    -     |</t>
  </si>
  <si>
    <t>| 305501 | 0.00479  |    -     | 0.01987  |0.13207  |    -     |    -     |</t>
  </si>
  <si>
    <t>| 306001 | 0.00543  |    -     | 0.01975  |0.13206  |    -     |    -     |</t>
  </si>
  <si>
    <t>| 306501 | 0.00482  |    -     | 0.01951  |0.13103  |    -     |    -     |</t>
  </si>
  <si>
    <t>| 307001 | 0.00484  |    -     | 0.01986  |0.13212  |    -     |    -     |</t>
  </si>
  <si>
    <t>| 307501 | 0.00490  |    -     | 0.01993  |0.12845  |    -     |    -     |</t>
  </si>
  <si>
    <t>| 308001 | 0.00504  |    -     | 0.01980  |0.13238  |    -     |    -     |</t>
  </si>
  <si>
    <t>| 308501 | 0.00505  |    -     | 0.01972  |0.12992  |    -     |    -     |</t>
  </si>
  <si>
    <t>| 309001 | 0.00484  |    -     | 0.01959  |0.13190  |    -     |    -     |</t>
  </si>
  <si>
    <t>| 309501 | 0.00490  |    -     | 0.01965  |0.13203  |    -     |    -     |</t>
  </si>
  <si>
    <t>| 310001 | 0.00499  |    -     | 0.01985  |0.13207  |    -     |    -     |</t>
  </si>
  <si>
    <t>| 310501 | 0.00468  |    -     | 0.01956  |0.13198  |    -     |    -     |</t>
  </si>
  <si>
    <t>| 311001 | 0.00477  |    -     | 0.01958  |0.12823  |    -     |    -     |</t>
  </si>
  <si>
    <t>| 311501 | 0.00562  |    -     | 0.01917  |0.13069  |    -     |    -     |</t>
  </si>
  <si>
    <t>| 312001 | 0.00479  |    -     | 0.01970  |0.12519  |    -     |    -     |</t>
  </si>
  <si>
    <t>| 312501 | 0.00488  |    -     | 0.01959  |0.12895  |    -     |    -     |</t>
  </si>
  <si>
    <t>| 313001 | 0.00470  |    -     | 0.01960  |0.13211  |    -     |    -     |</t>
  </si>
  <si>
    <t>| 313501 | 0.00477  |    -     | 0.01971  |0.13212  |    -     |    -     |</t>
  </si>
  <si>
    <t>| 314001 | 0.00481  |    -     | 0.01958  |0.12823  |    -     |    -     |</t>
  </si>
  <si>
    <t>| 314501 | 0.00487  |    -     | 0.01993  |0.13198  |    -     |    -     |</t>
  </si>
  <si>
    <t>| 315001 | 0.00486  |    -     | 0.01962  |0.13186  |    -     |    -     |</t>
  </si>
  <si>
    <t>| 315501 | 0.00465  |    -     | 0.01968  |0.13194  |    -     |    -     |</t>
  </si>
  <si>
    <t>| 316001 | 0.00473  |    -     | 0.01955  |0.13156  |    -     |    -     |</t>
  </si>
  <si>
    <t>| 316501 | 0.00484  |    -     | 0.01964  |0.13201  |    -     |    -     |</t>
  </si>
  <si>
    <t>| 317001 | 0.00481  |    -     | 0.01972  |0.13178  |    -     |    -     |</t>
  </si>
  <si>
    <t>| 317501 | 0.00481  |    -     | 0.01960  |0.13194  |    -     |    -     |</t>
  </si>
  <si>
    <t>| 318001 | 0.01431  |    -     | 0.02017  |0.12882  |    -     |    -     |</t>
  </si>
  <si>
    <t>| 318501 | 0.00481  |    -     | 0.01974  |0.12895  |    -     |    -     |</t>
  </si>
  <si>
    <t>| 319001 | 0.00491  |    -     | 0.01977  |0.13122  |    -     |    -     |</t>
  </si>
  <si>
    <t>| 319501 | 0.00491  |    -     | 0.03417  |0.12869  |    -     |    -     |</t>
  </si>
  <si>
    <t>| 320001 | 0.00447  |    -     | 0.01943  |0.12879  |    -     |    -     |</t>
  </si>
  <si>
    <t>| 320501 | 0.00479  |    -     | 0.01956  |0.12848  |    -     |    -     |</t>
  </si>
  <si>
    <t>| 321001 | 0.00470  |    -     | 0.01949  |0.12717  |    -     |    -     |</t>
  </si>
  <si>
    <t>| 321501 | 0.00474  |    -     | 0.01974  |0.13185  |    -     |    -     |</t>
  </si>
  <si>
    <t>| 322001 | 0.00467  |    -     | 0.01964  |0.13020  |    -     |    -     |</t>
  </si>
  <si>
    <t>| 322501 | 0.00468  |    -     | 0.01950  |0.12741  |    -     |    -     |</t>
  </si>
  <si>
    <t>| 323001 | 0.00470  |    -     | 0.01956  |0.13113  |    -     |    -     |</t>
  </si>
  <si>
    <t>| 323501 | 0.00469  |    -     | 0.01951  |0.12987  |    -     |    -     |</t>
  </si>
  <si>
    <t>| 324001 | 0.00465  |    -     | 0.01958  |0.12656  |    -     |    -     |</t>
  </si>
  <si>
    <t>| 324501 | 0.00461  |    -     | 0.01947  |0.13227  |    -     |    -     |</t>
  </si>
  <si>
    <t>| 325001 | 0.00469  |    -     | 0.01978  |0.13138  |    -     |    -     |</t>
  </si>
  <si>
    <t>| 325501 | 0.00486  |    -     | 0.01999  |0.12906  |    -     |    -     |</t>
  </si>
  <si>
    <t>| 326001 | 0.00484  |    -     | 0.01982  |0.12967  |    -     |    -     |</t>
  </si>
  <si>
    <t>| 326501 | 0.00479  |    -     | 0.01777  |0.13207  |    -     |    -     |</t>
  </si>
  <si>
    <t>| 327001 | 0.00477  |    -     | 0.01967  |0.12661  |    -     |    -     |</t>
  </si>
  <si>
    <t>| 327501 | 0.00454  |    -     | 0.01963  |0.12930  |    -     |    -     |</t>
  </si>
  <si>
    <t>| 328001 | 0.00479  |    -     | 0.01960  |0.13053  |    -     |    -     |</t>
  </si>
  <si>
    <t>| 328501 | 0.00479  |    -     | 0.01999  |0.13058  |    -     |    -     |</t>
  </si>
  <si>
    <t>| 329001 | 0.00471  |    -     | 0.01970  |0.12375  |    -     |    -     |</t>
  </si>
  <si>
    <t>| 329501 | 0.00480  |    -     | 0.01961  |0.12955  |    -     |    -     |</t>
  </si>
  <si>
    <t>| 330001 | 0.00469  |    -     | 0.01963  |0.12873  |    -     |    -     |</t>
  </si>
  <si>
    <t>| 330501 | 0.00489  |    -     | 0.01971  |0.12754  |    -     |    -     |</t>
  </si>
  <si>
    <t>| 331001 | 0.00489  |    -     | 0.01962  |0.13197  |    -     |    -     |</t>
  </si>
  <si>
    <t>| 331501 | 0.00482  |    -     | 0.01981  |0.13196  |    -     |    -     |</t>
  </si>
  <si>
    <t>| 332001 | 0.00481  |    -     | 0.01968  |0.13186  |    -     |    -     |</t>
  </si>
  <si>
    <t>| 332501 | 0.00481  |    -     | 0.01963  |0.13126  |    -     |    -     |</t>
  </si>
  <si>
    <t>| 333001 | 0.00470  |    -     | 0.01974  |0.13189  |    -     |    -     |</t>
  </si>
  <si>
    <t>| 333501 | 0.00477  |    -     | 0.01964  |0.13201  |    -     |    -     |</t>
  </si>
  <si>
    <t>| 334001 | 0.00482  |    -     | 0.01705  |0.13070  |    -     |    -     |</t>
  </si>
  <si>
    <t>| 334501 | 0.00483  |    -     | 0.01955  |0.13186  |    -     |    -     |</t>
  </si>
  <si>
    <t>| 335001 | 0.00487  |    -     | 0.01988  |0.12383  |    -     |    -     |</t>
  </si>
  <si>
    <t>| 335501 | 0.00466  |    -     | 0.01967  |0.12801  |    -     |    -     |</t>
  </si>
  <si>
    <t>| 336001 | 0.00564  |    -     | 0.01957  |0.13186  |    -     |    -     |</t>
  </si>
  <si>
    <t>| 336501 | 0.00454  |    -     | 0.01946  |0.12778  |    -     |    -     |</t>
  </si>
  <si>
    <t>| 337001 | 0.00469  |    -     | 0.01975  |0.13111  |    -     |    -     |</t>
  </si>
  <si>
    <t>| 337501 | 0.00471  |    -     | 0.01842  |0.12866  |    -     |    -     |</t>
  </si>
  <si>
    <t>| 338001 | 0.00460  |    -     | 0.01943  |0.12910  |    -     |    -     |</t>
  </si>
  <si>
    <t>| 338501 | 0.00480  |    -     | 0.01961  |0.13176  |    -     |    -     |</t>
  </si>
  <si>
    <t>| 339001 | 0.00465  |    -     | 0.01950  |0.13175  |    -     |    -     |</t>
  </si>
  <si>
    <t>| 339501 | 0.00460  |    -     | 0.01914  |0.13000  |    -     |    -     |</t>
  </si>
  <si>
    <t>| 340001 | 0.00486  |    -     | 0.01974  |0.13184  |    -     |    -     |</t>
  </si>
  <si>
    <t>| 340501 | 0.00480  |    -     | 0.01958  |0.13180  |    -     |    -     |</t>
  </si>
  <si>
    <t>| 341001 | 0.00482  |    -     | 0.01974  |0.13046  |    -     |    -     |</t>
  </si>
  <si>
    <t>| 341501 | 0.00464  |    -     | 0.01950  |0.13179  |    -     |    -     |</t>
  </si>
  <si>
    <t>| 342001 | 0.00463  |    -     | 0.01950  |0.13156  |    -     |    -     |</t>
  </si>
  <si>
    <t>| 342501 | 0.00465  |    -     | 0.01950  |0.13182  |    -     |    -     |</t>
  </si>
  <si>
    <t>| 343001 | 0.00465  |    -     | 0.01950  |0.13167  |    -     |    -     |</t>
  </si>
  <si>
    <t>| 343501 | 0.00468  |    -     | 0.01988  |0.12509  |    -     |    -     |</t>
  </si>
  <si>
    <t>| 344001 | 0.00464  |    -     | 0.01903  |0.12996  |    -     |    -     |</t>
  </si>
  <si>
    <t>| 344501 | 0.00465  |    -     | 0.01952  |0.12782  |    -     |    -     |</t>
  </si>
  <si>
    <t>| 345001 | 0.00461  |    -     | 0.01945  |0.12998  |    -     |    -     |</t>
  </si>
  <si>
    <t>| 345501 | 0.00463  |    -     | 0.01950  |0.12189  |    -     |    -     |</t>
  </si>
  <si>
    <t>| 346001 | 0.00460  |    -     | 0.01944  |0.12982  |    -     |    -     |</t>
  </si>
  <si>
    <t>| 346501 | 0.00469  |    -     | 0.01950  |0.13089  |    -     |    -     |</t>
  </si>
  <si>
    <t>| 347001 | 0.00460  |    -     | 0.01861  |0.13032  |    -     |    -     |</t>
  </si>
  <si>
    <t>| 347501 | 0.00488  |    -     | 0.02002  |0.12757  |    -     |    -     |</t>
  </si>
  <si>
    <t>| 348001 | 0.00459  |    -     | 0.01779  |0.12780  |    -     |    -     |</t>
  </si>
  <si>
    <t>| 348501 | 0.00474  |    -     | 0.01932  |0.12513  |    -     |    -     |</t>
  </si>
  <si>
    <t>| 349001 | 0.00468  |    -     | 0.01966  |0.13193  |    -     |    -     |</t>
  </si>
  <si>
    <t>| 349501 | 0.00471  |    -     | 0.01963  |0.13191  |    -     |    -     |</t>
  </si>
  <si>
    <t>| 350001 | 0.00477  |    -     | 0.01959  |0.13063  |    -     |    -     |</t>
  </si>
  <si>
    <t>| 350501 | 0.00484  |    -     | 0.01854  |0.13095  |    -     |    -     |</t>
  </si>
  <si>
    <t>| 351001 | 0.00474  |    -     | 0.01965  |0.12766  |    -     |    -     |</t>
  </si>
  <si>
    <t>| 351501 | 0.00492  |    -     | 0.01990  |0.12580  |    -     |    -     |</t>
  </si>
  <si>
    <t>| 352001 | 0.00491  |    -     | 0.01981  |0.13090  |    -     |    -     |</t>
  </si>
  <si>
    <t>| 352501 | 0.00481  |    -     | 0.01977  |0.12786  |    -     |    -     |</t>
  </si>
  <si>
    <t>| 353001 | 0.00476  |    -     | 0.01886  |0.12687  |    -     |    -     |</t>
  </si>
  <si>
    <t>| 353501 | 0.00479  |    -     | 0.01989  |0.13197  |    -     |    -     |</t>
  </si>
  <si>
    <t>| 354001 | 0.00480  |    -     | 0.01969  |0.13159  |    -     |    -     |</t>
  </si>
  <si>
    <t>| 354501 | 0.00479  |    -     | 0.01949  |0.12801  |    -     |    -     |</t>
  </si>
  <si>
    <t>| 355001 | 0.00495  |    -     | 0.01985  |0.12382  |    -     |    -     |</t>
  </si>
  <si>
    <t>| 355501 | 0.00490  |    -     | 0.01970  |0.13217  |    -     |    -     |</t>
  </si>
  <si>
    <t>| 356001 | 0.00488  |    -     | 0.01974  |0.12762  |    -     |    -     |</t>
  </si>
  <si>
    <t>| 356501 | 0.00525  |    -     | 0.01993  |0.13096  |    -     |    -     |</t>
  </si>
  <si>
    <t>| 357001 | 0.00482  |    -     | 0.01971  |0.13028  |    -     |    -     |</t>
  </si>
  <si>
    <t>| 357501 | 0.00487  |    -     | 0.01930  |0.12343  |    -     |    -     |</t>
  </si>
  <si>
    <t>| 358001 | 0.00470  |    -     | 0.01956  |0.12843  |    -     |    -     |</t>
  </si>
  <si>
    <t>| 358501 | 0.00470  |    -     | 0.01965  |0.13038  |    -     |    -     |</t>
  </si>
  <si>
    <t>| 359001 | 0.00491  |    -     | 0.01986  |0.12857  |    -     |    -     |</t>
  </si>
  <si>
    <t>| 359501 | 0.00487  |    -     | 0.03667  |0.13092  |    -     |    -     |</t>
  </si>
  <si>
    <t>| 360001 | 0.00479  |    -     | 0.02007  |0.12998  |    -     |    -     |</t>
  </si>
  <si>
    <t>| 360501 | 0.00499  |    -     | 0.01713  |0.13010  |    -     |    -     |</t>
  </si>
  <si>
    <t>| 361001 | 0.00480  |    -     | 0.02026  |0.12825  |    -     |    -     |</t>
  </si>
  <si>
    <t>| 361501 | 0.00476  |    -     | 0.01952  |0.13192  |    -     |    -     |</t>
  </si>
  <si>
    <t>| 362001 | 0.00483  |    -     | 0.01964  |0.13170  |    -     |    -     |</t>
  </si>
  <si>
    <t>| 362501 | 0.00474  |    -     | 0.01972  |0.13190  |    -     |    -     |</t>
  </si>
  <si>
    <t>| 363001 | 0.00454  |    -     | 0.01967  |0.13024  |    -     |    -     |</t>
  </si>
  <si>
    <t>| 363501 | 0.00462  |    -     | 0.01949  |0.13115  |    -     |    -     |</t>
  </si>
  <si>
    <t>| 364001 | 0.00484  |    -     | 0.01986  |0.12542  |    -     |    -     |</t>
  </si>
  <si>
    <t>| 364501 | 0.00500  |    -     | 0.01991  |0.12533  |    -     |    -     |</t>
  </si>
  <si>
    <t>| 365001 | 0.00481  |    -     | 0.01906  |0.13178  |    -     |    -     |</t>
  </si>
  <si>
    <t>| 365501 | 0.00475  |    -     | 0.01983  |0.11948  |    -     |    -     |</t>
  </si>
  <si>
    <t>| 366001 | 0.00477  |    -     | 0.01976  |0.12579  |    -     |    -     |</t>
  </si>
  <si>
    <t>| 366501 | 0.00486  |    -     | 0.01948  |0.12824  |    -     |    -     |</t>
  </si>
  <si>
    <t>| 367001 | 0.00469  |    -     | 0.01969  |0.12725  |    -     |    -     |</t>
  </si>
  <si>
    <t>| 367501 | 0.00482  |    -     | 0.01972  |0.12825  |    -     |    -     |</t>
  </si>
  <si>
    <t>| 368001 | 0.00483  |    -     | 0.01987  |0.13042  |    -     |    -     |</t>
  </si>
  <si>
    <t>| 368501 | 0.00490  |    -     | 0.01818  |0.12975  |    -     |    -     |</t>
  </si>
  <si>
    <t>| 369001 | 0.00491  |    -     | 0.01986  |0.12906  |    -     |    -     |</t>
  </si>
  <si>
    <t>| 369501 | 0.00479  |    -     | 0.01945  |0.13200  |    -     |    -     |</t>
  </si>
  <si>
    <t>| 370001 | 0.00494  |    -     | 0.01767  |0.12063  |    -     |    -     |</t>
  </si>
  <si>
    <t>| 370501 | 0.00465  |    -     | 0.01948  |0.13192  |    -     |    -     |</t>
  </si>
  <si>
    <t>| 371001 | 0.00479  |    -     | 0.01964  |0.13193  |    -     |    -     |</t>
  </si>
  <si>
    <t>| 371501 | 0.00487  |    -     | 0.01963  |0.13187  |    -     |    -     |</t>
  </si>
  <si>
    <t>| 372001 | 0.00461  |    -     | 0.01964  |0.13188  |    -     |    -     |</t>
  </si>
  <si>
    <t>| 372501 | 0.00476  |    -     | 0.01958  |0.13181  |    -     |    -     |</t>
  </si>
  <si>
    <t>| 373001 | 0.00525  |    -     | 0.01968  |0.12798  |    -     |    -     |</t>
  </si>
  <si>
    <t>| 373501 | 0.00477  |    -     | 0.01957  |0.12872  |    -     |    -     |</t>
  </si>
  <si>
    <t>| 374001 | 0.00475  |    -     | 0.01959  |0.12652  |    -     |    -     |</t>
  </si>
  <si>
    <t>| 374501 | 0.00466  |    -     | 0.01945  |0.12967  |    -     |    -     |</t>
  </si>
  <si>
    <t>| 375001 | 0.00483  |    -     | 0.01986  |0.13191  |    -     |    -     |</t>
  </si>
  <si>
    <t>| 375501 | 0.00477  |    -     | 0.01796  |0.13196  |    -     |    -     |</t>
  </si>
  <si>
    <t>| 376001 | 0.00482  |    -     | 0.01964  |0.13178  |    -     |    -     |</t>
  </si>
  <si>
    <t>| 376501 | 0.00475  |    -     | 0.01861  |0.12520  |    -     |    -     |</t>
  </si>
  <si>
    <t>| 377001 | 0.00475  |    -     | 0.01922  |0.12789  |    -     |    -     |</t>
  </si>
  <si>
    <t>| 377501 | 0.00487  |    -     | 0.01977  |0.13206  |    -     |    -     |</t>
  </si>
  <si>
    <t>| 378001 | 0.00483  |    -     | 0.01966  |0.12998  |    -     |    -     |</t>
  </si>
  <si>
    <t>| 378501 | 0.00468  |    -     | 0.02056  |0.12912  |    -     |    -     |</t>
  </si>
  <si>
    <t>| 379001 | 0.00476  |    -     | 0.01951  |0.13182  |    -     |    -     |</t>
  </si>
  <si>
    <t>| 379501 | 0.00467  |    -     | 0.01956  |0.12642  |    -     |    -     |</t>
  </si>
  <si>
    <t>| 380001 | 0.00470  |    -     | 0.01951  |0.12846  |    -     |    -     |</t>
  </si>
  <si>
    <t>| 380501 | 0.00468  |    -     | 0.01960  |0.13156  |    -     |    -     |</t>
  </si>
  <si>
    <t>| 381001 | 0.00462  |    -     | 0.01956  |0.13171  |    -     |    -     |</t>
  </si>
  <si>
    <t>| 381501 | 0.00470  |    -     | 0.01958  |0.13192  |    -     |    -     |</t>
  </si>
  <si>
    <t>| 382001 | 0.00463  |    -     | 0.01954  |0.12364  |    -     |    -     |</t>
  </si>
  <si>
    <t>| 382501 | 0.00471  |    -     | 0.01916  |0.13042  |    -     |    -     |</t>
  </si>
  <si>
    <t>| 383001 | 0.00471  |    -     | 0.01953  |0.12946  |    -     |    -     |</t>
  </si>
  <si>
    <t>| 383501 | 0.00447  |    -     | 0.01984  |0.13060  |    -     |    -     |</t>
  </si>
  <si>
    <t>| 384001 | 0.00459  |    -     | 0.01948  |0.13186  |    -     |    -     |</t>
  </si>
  <si>
    <t>| 384501 | 0.00496  |    -     | 0.01966  |0.12612  |    -     |    -     |</t>
  </si>
  <si>
    <t>| 385001 | 0.00443  |    -     | 0.01948  |0.12592  |    -     |    -     |</t>
  </si>
  <si>
    <t>| 385501 | 0.00483  |    -     | 0.01931  |0.12561  |    -     |    -     |</t>
  </si>
  <si>
    <t>| 386001 | 0.00461  |    -     | 0.01865  |0.13115  |    -     |    -     |</t>
  </si>
  <si>
    <t>| 386501 | 0.00473  |    -     | 0.01971  |0.13195  |    -     |    -     |</t>
  </si>
  <si>
    <t>| 387001 | 0.00485  |    -     | 0.01970  |0.12731  |    -     |    -     |</t>
  </si>
  <si>
    <t>| 387501 | 0.00276  |    -     | 0.02216  |0.13208  |    -     |    -     |</t>
  </si>
  <si>
    <t>| 388001 | 0.00470  |    -     | 0.01959  |0.13192  |    -     |    -     |</t>
  </si>
  <si>
    <t>| 388501 | 0.00475  |    -     | 0.01957  |0.13199  |    -     |    -     |</t>
  </si>
  <si>
    <t>| 389001 | 0.00476  |    -     | 0.01968  |0.13191  |    -     |    -     |</t>
  </si>
  <si>
    <t>| 389501 | 0.00467  |    -     | 0.01961  |0.13182  |    -     |    -     |</t>
  </si>
  <si>
    <t>| 390001 | 0.00479  |    -     | 0.01954  |0.13192  |    -     |    -     |</t>
  </si>
  <si>
    <t>| 390501 | 0.00481  |    -     | 0.01979  |0.12573  |    -     |    -     |</t>
  </si>
  <si>
    <t>| 391001 | 0.00475  |    -     | 0.01957  |0.13178  |    -     |    -     |</t>
  </si>
  <si>
    <t>| 391501 | 0.00486  |    -     | 0.01969  |0.13183  |    -     |    -     |</t>
  </si>
  <si>
    <t>| 392001 | 0.00468  |    -     | 0.01972  |0.13147  |    -     |    -     |</t>
  </si>
  <si>
    <t>| 392501 | 0.00467  |    -     | 0.01963  |0.13126  |    -     |    -     |</t>
  </si>
  <si>
    <t>| 393001 | 0.00478  |    -     | 0.01940  |0.12900  |    -     |    -     |</t>
  </si>
  <si>
    <t>| 393501 | 0.00466  |    -     | 0.01963  |0.13189  |    -     |    -     |</t>
  </si>
  <si>
    <t>| 394001 | 0.00482  |    -     | 0.01967  |0.13196  |    -     |    -     |</t>
  </si>
  <si>
    <t>| 394501 | 0.00466  |    -     | 0.01964  |0.13191  |    -     |    -     |</t>
  </si>
  <si>
    <t>| 395001 | 0.00485  |    -     | 0.01971  |0.13188  |    -     |    -     |</t>
  </si>
  <si>
    <t>| 395501 | 0.00481  |    -     | 0.01964  |0.13209  |    -     |    -     |</t>
  </si>
  <si>
    <t>| 396001 | 0.00473  |    -     | 0.01968  |0.13195  |    -     |    -     |</t>
  </si>
  <si>
    <t>| 396501 | 0.00472  |    -     | 0.01963  |0.13195  |    -     |    -     |</t>
  </si>
  <si>
    <t>| 397001 | 0.00479  |    -     | 0.01957  |0.13188  |    -     |    -     |</t>
  </si>
  <si>
    <t>| 397501 | 0.00463  |    -     | 0.01950  |0.13179  |    -     |    -     |</t>
  </si>
  <si>
    <t>| 398001 | 0.00476  |    -     | 0.01959  |0.12719  |    -     |    -     |</t>
  </si>
  <si>
    <t>| 398501 | 0.00458  |    -     | 0.01949  |0.13177  |    -     |    -     |</t>
  </si>
  <si>
    <t>| 399001 | 0.00499  |    -     | 0.01967  |0.12702  |    -     |    -     |</t>
  </si>
  <si>
    <t>| 399501 | 0.00482  |    -     | 0.01956  |0.13152  |    -     |    -     |</t>
  </si>
  <si>
    <t>| 400001 | 0.00480  |    -     | 0.01962  |0.13195  |    -     |    -     |</t>
  </si>
  <si>
    <t>| 400501 | 0.00481  |    -     | 0.01968  |0.12698  |    -     |    -     |</t>
  </si>
  <si>
    <t>| 401001 | 0.00483  |    -     | 0.01964  |0.13149  |    -     |    -     |</t>
  </si>
  <si>
    <t>| 401501 | 0.00478  |    -     | 0.01971  |0.13187  |    -     |    -     |</t>
  </si>
  <si>
    <t>| 402001 | 0.00478  |    -     | 0.01964  |0.13158  |    -     |    -     |</t>
  </si>
  <si>
    <t>| 402501 | 0.00479  |    -     | 0.01966  |0.13190  |    -     |    -     |</t>
  </si>
  <si>
    <t>| 403001 | 0.00476  |    -     | 0.01968  |0.13101  |    -     |    -     |</t>
  </si>
  <si>
    <t>| 403501 | 0.00480  |    -     | 0.01965  |0.12888  |    -     |    -     |</t>
  </si>
  <si>
    <t>| 404001 | 0.00482  |    -     | 0.01967  |0.13200  |    -     |    -     |</t>
  </si>
  <si>
    <t>| 404501 | 0.00486  |    -     | 0.01968  |0.13196  |    -     |    -     |</t>
  </si>
  <si>
    <t>| 405001 | 0.00478  |    -     | 0.01967  |0.13192  |    -     |    -     |</t>
  </si>
  <si>
    <t>| 405501 | 0.00462  |    -     | 0.01949  |0.12975  |    -     |    -     |</t>
  </si>
  <si>
    <t>| 406001 | 0.00476  |    -     | 0.01964  |0.12661  |    -     |    -     |</t>
  </si>
  <si>
    <t>| 406501 | 0.00464  |    -     | 0.01975  |0.13184  |    -     |    -     |</t>
  </si>
  <si>
    <t>| 407001 | 0.00489  |    -     | 0.01974  |0.12862  |    -     |    -     |</t>
  </si>
  <si>
    <t>| 407501 | 0.00477  |    -     | 0.01985  |0.12905  |    -     |    -     |</t>
  </si>
  <si>
    <t>| 408001 | 0.00474  |    -     | 0.01963  |0.13098  |    -     |    -     |</t>
  </si>
  <si>
    <t>| 408501 | 0.00480  |    -     | 0.01957  |0.13199  |    -     |    -     |</t>
  </si>
  <si>
    <t>| 409001 | 0.00485  |    -     | 0.01964  |0.13183  |    -     |    -     |</t>
  </si>
  <si>
    <t>| 409501 | 0.00481  |    -     | 0.01969  |0.12825  |    -     |    -     |</t>
  </si>
  <si>
    <t>| 410001 | 0.00479  |    -     | 0.01951  |0.13191  |    -     |    -     |</t>
  </si>
  <si>
    <t>| 410501 | 0.00489  |    -     | 0.01983  |0.12827  |    -     |    -     |</t>
  </si>
  <si>
    <t>| 411001 | 0.00475  |    -     | 0.01992  |0.13194  |    -     |    -     |</t>
  </si>
  <si>
    <t>| 411501 | 0.00480  |    -     | 0.01967  |0.13190  |    -     |    -     |</t>
  </si>
  <si>
    <t>| 412001 | 0.00476  |    -     | 0.01967  |0.13181  |    -     |    -     |</t>
  </si>
  <si>
    <t>| 412501 | 0.00466  |    -     | 0.01947  |0.12827  |    -     |    -     |</t>
  </si>
  <si>
    <t>| 413001 | 0.00477  |    -     | 0.01965  |0.12986  |    -     |    -     |</t>
  </si>
  <si>
    <t>| 413501 | 0.00474  |    -     | 0.01968  |0.13158  |    -     |    -     |</t>
  </si>
  <si>
    <t>| 414001 | 0.00476  |    -     | 0.03959  |0.12970  |    -     |    -     |</t>
  </si>
  <si>
    <t>| 414501 | 0.00468  |    -     | 0.01958  |0.13118  |    -     |    -     |</t>
  </si>
  <si>
    <t>| 415001 | 0.00499  |    -     | 0.01976  |0.13193  |    -     |    -     |</t>
  </si>
  <si>
    <t>| 415501 | 0.00473  |    -     | 0.01965  |0.13055  |    -     |    -     |</t>
  </si>
  <si>
    <t>| 416001 | 0.00478  |    -     | 0.01963  |0.12714  |    -     |    -     |</t>
  </si>
  <si>
    <t>| 416501 | 0.00467  |    -     | 0.01961  |0.12812  |    -     |    -     |</t>
  </si>
  <si>
    <t>| 417001 | 0.00473  |    -     | 0.01968  |0.13188  |    -     |    -     |</t>
  </si>
  <si>
    <t>| 417501 | 0.00486  |    -     | 0.01978  |0.12829  |    -     |    -     |</t>
  </si>
  <si>
    <t>| 418001 | 0.00475  |    -     | 0.01974  |0.12774  |    -     |    -     |</t>
  </si>
  <si>
    <t>| 418501 | 0.00561  |    -     | 0.01985  |0.12858  |    -     |    -     |</t>
  </si>
  <si>
    <t>| 419001 | 0.00472  |    -     | 0.01956  |0.12743  |    -     |    -     |</t>
  </si>
  <si>
    <t>| 419501 | 0.00471  |    -     | 0.01950  |0.13181  |    -     |    -     |</t>
  </si>
  <si>
    <t>| 420001 | 0.00485  |    -     | 0.01979  |0.13203  |    -     |    -     |</t>
  </si>
  <si>
    <t>| 420501 | 0.00479  |    -     | 0.01969  |0.12779  |    -     |    -     |</t>
  </si>
  <si>
    <t>| 421001 | 0.00475  |    -     | 0.01979  |0.12880  |    -     |    -     |</t>
  </si>
  <si>
    <t>| 421501 | 0.00479  |    -     | 0.01972  |0.13014  |    -     |    -     |</t>
  </si>
  <si>
    <t>| 422001 | 0.00476  |    -     | 0.01971  |0.13076  |    -     |    -     |</t>
  </si>
  <si>
    <t>| 422501 | 0.00480  |    -     | 0.03966  |0.13120  |    -     |    -     |</t>
  </si>
  <si>
    <t>| 423001 | 0.00482  |    -     | 0.01974  |0.12835  |    -     |    -     |</t>
  </si>
  <si>
    <t>| 423501 | 0.00497  |    -     | 0.01902  |0.13204  |    -     |    -     |</t>
  </si>
  <si>
    <t>| 424001 | 0.00498  |    -     | 0.01938  |0.12771  |    -     |    -     |</t>
  </si>
  <si>
    <t>| 424501 | 0.00478  |    -     | 0.01902  |0.13204  |    -     |    -     |</t>
  </si>
  <si>
    <t>| 425001 | 0.00486  |    -     | 0.01984  |0.13015  |    -     |    -     |</t>
  </si>
  <si>
    <t>| 425501 | 0.00483  |    -     | 0.01972  |0.13185  |    -     |    -     |</t>
  </si>
  <si>
    <t>| 426001 | 0.00481  |    -     | 0.01979  |0.13182  |    -     |    -     |</t>
  </si>
  <si>
    <t>| 426501 | 0.00466  |    -     | 0.01955  |0.13192  |    -     |    -     |</t>
  </si>
  <si>
    <t>| 427001 | 0.00473  |    -     | 0.01966  |0.13181  |    -     |    -     |</t>
  </si>
  <si>
    <t>| 427501 | 0.00470  |    -     | 0.01964  |0.12916  |    -     |    -     |</t>
  </si>
  <si>
    <t>| 428001 | 0.00474  |    -     | 0.01838  |0.12732  |    -     |    -     |</t>
  </si>
  <si>
    <t>| 428501 | 0.00487  |    -     | 0.01965  |0.13197  |    -     |    -     |</t>
  </si>
  <si>
    <t>| 429001 | 0.00489  |    -     | 0.01979  |0.13139  |    -     |    -     |</t>
  </si>
  <si>
    <t>| 429501 | 0.00485  |    -     | 0.01970  |0.13189  |    -     |    -     |</t>
  </si>
  <si>
    <t>| 430001 | 0.00479  |    -     | 0.01972  |0.12490  |    -     |    -     |</t>
  </si>
  <si>
    <t>| 430501 | 0.00483  |    -     | 0.01983  |0.12512  |    -     |    -     |</t>
  </si>
  <si>
    <t>| 431001 | 0.00456  |    -     | 0.01952  |0.13081  |    -     |    -     |</t>
  </si>
  <si>
    <t>| 431501 | 0.00472  |    -     | 0.01930  |0.12286  |    -     |    -     |</t>
  </si>
  <si>
    <t>| 432001 | 0.00481  |    -     | 0.03817  |0.12724  |    -     |    -     |</t>
  </si>
  <si>
    <t>| 432501 | 0.00473  |    -     | 0.01947  |0.13078  |    -     |    -     |</t>
  </si>
  <si>
    <t>| 433001 | 0.00478  |    -     | 0.01970  |0.12802  |    -     |    -     |</t>
  </si>
  <si>
    <t>| 433501 | 0.00475  |    -     | 0.01975  |0.13191  |    -     |    -     |</t>
  </si>
  <si>
    <t>| 434001 | 0.00469  |    -     | 0.01952  |0.12928  |    -     |    -     |</t>
  </si>
  <si>
    <t>| 434501 | 0.00471  |    -     | 0.01955  |0.13186  |    -     |    -     |</t>
  </si>
  <si>
    <t>| 435001 | 0.00495  |    -     | 0.01971  |0.13196  |    -     |    -     |</t>
  </si>
  <si>
    <t>| 435501 | 0.00490  |    -     | 0.01969  |0.12704  |    -     |    -     |</t>
  </si>
  <si>
    <t>| 436001 | 0.00476  |    -     | 0.01973  |0.13047  |    -     |    -     |</t>
  </si>
  <si>
    <t>| 436501 | 0.00470  |    -     | 0.01972  |0.13181  |    -     |    -     |</t>
  </si>
  <si>
    <t>| 437001 | 0.00469  |    -     | 0.01891  |0.12774  |    -     |    -     |</t>
  </si>
  <si>
    <t>| 437501 | 0.00484  |    -     | 0.01976  |0.12547  |    -     |    -     |</t>
  </si>
  <si>
    <t>| 438001 | 0.00480  |    -     | 0.01977  |0.12819  |    -     |    -     |</t>
  </si>
  <si>
    <t>| 438501 | 0.00474  |    -     | 0.01969  |0.13172  |    -     |    -     |</t>
  </si>
  <si>
    <t>| 439001 | 0.00478  |    -     | 0.01877  |0.12955  |    -     |    -     |</t>
  </si>
  <si>
    <t>| 439501 | 0.00468  |    -     | 0.01946  |0.12818  |    -     |    -     |</t>
  </si>
  <si>
    <t>| 440001 | 0.00479  |    -     | 0.01957  |0.13195  |    -     |    -     |</t>
  </si>
  <si>
    <t>| 440501 | 0.00468  |    -     | 0.01963  |0.13526  |    -     |    -     |</t>
  </si>
  <si>
    <t>| 441001 | 0.00484  |    -     | 0.01966  |0.12758  |    -     |    -     |</t>
  </si>
  <si>
    <t>| 441501 | 0.00470  |    -     | 0.01964  |0.13180  |    -     |    -     |</t>
  </si>
  <si>
    <t>| 442001 | 0.00473  |    -     | 0.01957  |0.13149  |    -     |    -     |</t>
  </si>
  <si>
    <t>| 442501 | 0.00534  |    -     | 0.01981  |0.13187  |    -     |    -     |</t>
  </si>
  <si>
    <t>| 443001 | 0.00468  |    -     | 0.01964  |0.13192  |    -     |    -     |</t>
  </si>
  <si>
    <t>| 443501 | 0.00485  |    -     | 0.03951  |0.13191  |    -     |    -     |</t>
  </si>
  <si>
    <t>| 444001 | 0.00468  |    -     | 0.01964  |0.13197  |    -     |    -     |</t>
  </si>
  <si>
    <t>| 444501 | 0.00472  |    -     | 0.01958  |0.13185  |    -     |    -     |</t>
  </si>
  <si>
    <t>| 445001 | 0.00466  |    -     | 0.01980  |0.13190  |    -     |    -     |</t>
  </si>
  <si>
    <t>| 445501 | 0.00462  |    -     | 0.01952  |0.13178  |    -     |    -     |</t>
  </si>
  <si>
    <t>| 446001 | 0.00486  |    -     | 0.01901  |0.13191  |    -     |    -     |</t>
  </si>
  <si>
    <t>| 446501 | 0.00477  |    -     | 0.01965  |0.13191  |    -     |    -     |</t>
  </si>
  <si>
    <t>| 447001 | 0.00466  |    -     | 0.01951  |0.13185  |    -     |    -     |</t>
  </si>
  <si>
    <t>| 447501 | 0.00468  |    -     | 0.01969  |0.13196  |    -     |    -     |</t>
  </si>
  <si>
    <t>| 448001 | 0.00436  |    -     | 0.01992  |0.13208  |    -     |    -     |</t>
  </si>
  <si>
    <t>| 448501 | 0.00478  |    -     | 0.01955  |0.13083  |    -     |    -     |</t>
  </si>
  <si>
    <t>| 449001 | 0.00473  |    -     | 0.01954  |0.12964  |    -     |    -     |</t>
  </si>
  <si>
    <t>| 449501 | 0.00477  |    -     | 0.01987  |0.13193  |    -     |    -     |</t>
  </si>
  <si>
    <t>| 450001 | 0.00479  |    -     | 0.01973  |0.13194  |    -     |    -     |</t>
  </si>
  <si>
    <t>| 450501 | 0.00487  |    -     | 0.01965  |0.13199  |    -     |    -     |</t>
  </si>
  <si>
    <t>| 451001 | 0.00470  |    -     | 0.01946  |0.12902  |    -     |    -     |</t>
  </si>
  <si>
    <t>| 451501 | 0.00466  |    -     | 0.01956  |0.13174  |    -     |    -     |</t>
  </si>
  <si>
    <t>| 452001 | 0.00470  |    -     | 0.01857  |0.13182  |    -     |    -     |</t>
  </si>
  <si>
    <t>| 452501 | 0.00470  |    -     | 0.01975  |0.13175  |    -     |    -     |</t>
  </si>
  <si>
    <t>| 453001 | 0.00472  |    -     | 0.01948  |0.12708  |    -     |    -     |</t>
  </si>
  <si>
    <t>| 453501 | 0.00463  |    -     | 0.01959  |0.12902  |    -     |    -     |</t>
  </si>
  <si>
    <t>| 454001 | 0.00476  |    -     | 0.01964  |0.13043  |    -     |    -     |</t>
  </si>
  <si>
    <t>| 454501 | 0.00466  |    -     | 0.01917  |0.13102  |    -     |    -     |</t>
  </si>
  <si>
    <t>| 455001 | 0.00486  |    -     | 0.01947  |0.12936  |    -     |    -     |</t>
  </si>
  <si>
    <t>| 455501 | 0.00473  |    -     | 0.01949  |0.13177  |    -     |    -     |</t>
  </si>
  <si>
    <t>| 456001 | 0.00476  |    -     | 0.01963  |0.13188  |    -     |    -     |</t>
  </si>
  <si>
    <t>| 456501 | 0.00480  |    -     | 0.01960  |0.13090  |    -     |    -     |</t>
  </si>
  <si>
    <t>| 457001 | 0.00478  |    -     | 0.01969  |0.13196  |    -     |    -     |</t>
  </si>
  <si>
    <t>| 457501 | 0.00464  |    -     | 0.01972  |0.13190  |    -     |    -     |</t>
  </si>
  <si>
    <t>| 458001 | 0.00484  |    -     | 0.01968  |0.12725  |    -     |    -     |</t>
  </si>
  <si>
    <t>| 458501 | 0.00480  |    -     | 0.01975  |0.13034  |    -     |    -     |</t>
  </si>
  <si>
    <t>| 459001 | 0.00484  |    -     | 0.01967  |0.12847  |    -     |    -     |</t>
  </si>
  <si>
    <t>| 459501 | 0.00468  |    -     | 0.01970  |0.13198  |    -     |    -     |</t>
  </si>
  <si>
    <t>| 460001 | 0.00481  |    -     | 0.01941  |0.13208  |    -     |    -     |</t>
  </si>
  <si>
    <t>| 460501 | 0.00480  |    -     | 0.01960  |0.13016  |    -     |    -     |</t>
  </si>
  <si>
    <t>| 461001 | 0.00466  |    -     | 0.01890  |0.13200  |    -     |    -     |</t>
  </si>
  <si>
    <t>| 461501 | 0.00476  |    -     | 0.01963  |0.13190  |    -     |    -     |</t>
  </si>
  <si>
    <t>| 462001 | 0.00478  |    -     | 0.01959  |0.13202  |    -     |    -     |</t>
  </si>
  <si>
    <t>| 462501 | 0.00481  |    -     | 0.01956  |0.13179  |    -     |    -     |</t>
  </si>
  <si>
    <t>| 463001 | 0.00474  |    -     | 0.01974  |0.13215  |    -     |    -     |</t>
  </si>
  <si>
    <t>| 463501 | 0.00470  |    -     | 0.01969  |0.13186  |    -     |    -     |</t>
  </si>
  <si>
    <t>| 464001 | 0.00483  |    -     | 0.01795  |0.12775  |    -     |    -     |</t>
  </si>
  <si>
    <t>| 464501 | 0.00479  |    -     | 0.01967  |0.12992  |    -     |    -     |</t>
  </si>
  <si>
    <t>| 465001 | 0.00463  |    -     | 0.01968  |0.13109  |    -     |    -     |</t>
  </si>
  <si>
    <t>| 465501 | 0.00469  |    -     | 0.01962  |0.12975  |    -     |    -     |</t>
  </si>
  <si>
    <t>| 466001 | 0.00480  |    -     | 0.01966  |0.13001  |    -     |    -     |</t>
  </si>
  <si>
    <t>| 466501 | 0.00477  |    -     | 0.01953  |0.12439  |    -     |    -     |</t>
  </si>
  <si>
    <t>| 467001 | 0.00468  |    -     | 0.01804  |0.13188  |    -     |    -     |</t>
  </si>
  <si>
    <t>| 467501 | 0.00474  |    -     | 0.01950  |0.13183  |    -     |    -     |</t>
  </si>
  <si>
    <t>| 468001 | 0.00478  |    -     | 0.01960  |0.13188  |    -     |    -     |</t>
  </si>
  <si>
    <t>| 468501 | 0.00488  |    -     | 0.01961  |0.13187  |    -     |    -     |</t>
  </si>
  <si>
    <t>| 469001 | 0.00475  |    -     | 0.01957  |0.13082  |    -     |    -     |</t>
  </si>
  <si>
    <t>| 469501 | 0.00483  |    -     | 0.01969  |0.12871  |    -     |    -     |</t>
  </si>
  <si>
    <t>| 470001 | 0.00476  |    -     | 0.01974  |0.13122  |    -     |    -     |</t>
  </si>
  <si>
    <t>| 470501 | 0.00481  |    -     | 0.01964  |0.13012  |    -     |    -     |</t>
  </si>
  <si>
    <t>| 471001 | 0.00469  |    -     | 0.01964  |0.13179  |    -     |    -     |</t>
  </si>
  <si>
    <t>| 471501 | 0.00477  |    -     | 0.01952  |0.13180  |    -     |    -     |</t>
  </si>
  <si>
    <t>| 472001 | 0.00475  |    -     | 0.01962  |0.13213  |    -     |    -     |</t>
  </si>
  <si>
    <t>| 472501 | 0.00476  |    -     | 0.01953  |0.13204  |    -     |    -     |</t>
  </si>
  <si>
    <t>| 473001 | 0.00487  |    -     | 0.01975  |0.12863  |    -     |    -     |</t>
  </si>
  <si>
    <t>| 473501 | 0.00462  |    -     | 0.01945  |0.12767  |    -     |    -     |</t>
  </si>
  <si>
    <t>| 474001 | 0.00474  |    -     | 0.01895  |0.13186  |    -     |    -     |</t>
  </si>
  <si>
    <t>| 474501 | 0.00466  |    -     | 0.01838  |0.12853  |    -     |    -     |</t>
  </si>
  <si>
    <t>| 475001 | 0.00485  |    -     | 0.01967  |0.12675  |    -     |    -     |</t>
  </si>
  <si>
    <t>| 475501 | 0.00473  |    -     | 0.01971  |0.12856  |    -     |    -     |</t>
  </si>
  <si>
    <t>| 476001 | 0.00474  |    -     | 0.01938  |0.13005  |    -     |    -     |</t>
  </si>
  <si>
    <t>| 476501 | 0.00471  |    -     | 0.01982  |0.12764  |    -     |    -     |</t>
  </si>
  <si>
    <t>| 477001 | 0.00479  |    -     | 0.01965  |0.13184  |    -     |    -     |</t>
  </si>
  <si>
    <t>| 477501 | 0.00464  |    -     | 0.01970  |0.13148  |    -     |    -     |</t>
  </si>
  <si>
    <t>| 478001 | 0.00465  |    -     | 0.01956  |0.12743  |    -     |    -     |</t>
  </si>
  <si>
    <t>| 478501 | 0.00470  |    -     | 0.01952  |0.12857  |    -     |    -     |</t>
  </si>
  <si>
    <t>| 479001 | 0.00471  |    -     | 0.01952  |0.12880  |    -     |    -     |</t>
  </si>
  <si>
    <t>| 479501 | 0.00472  |    -     | 0.01971  |0.13184  |    -     |    -     |</t>
  </si>
  <si>
    <t>| 480001 | 0.00489  |    -     | 0.01964  |0.13114  |    -     |    -     |</t>
  </si>
  <si>
    <t>| 480501 | 0.00474  |    -     | 0.01862  |0.13186  |    -     |    -     |</t>
  </si>
  <si>
    <t>| 481001 | 0.00470  |    -     | 0.01940  |0.13143  |    -     |    -     |</t>
  </si>
  <si>
    <t>| 481501 | 0.00476  |    -     | 0.01957  |0.13055  |    -     |    -     |</t>
  </si>
  <si>
    <t>| 482001 | 0.00477  |    -     | 0.01972  |0.12804  |    -     |    -     |</t>
  </si>
  <si>
    <t>| 482501 | 0.00456  |    -     | 0.01964  |0.12724  |    -     |    -     |</t>
  </si>
  <si>
    <t>| 483001 | 0.00463  |    -     | 0.01888  |0.13181  |    -     |    -     |</t>
  </si>
  <si>
    <t>| 483501 | 0.00482  |    -     | 0.01972  |0.13194  |    -     |    -     |</t>
  </si>
  <si>
    <t>| 484001 | 0.00478  |    -     | 0.01971  |0.12447  |    -     |    -     |</t>
  </si>
  <si>
    <t>| 484501 | 0.00474  |    -     | 0.03913  |0.12681  |    -     |    -     |</t>
  </si>
  <si>
    <t>| 485001 | 0.00472  |    -     | 0.01750  |0.12802  |    -     |    -     |</t>
  </si>
  <si>
    <t>| 485501 | 0.00470  |    -     | 0.01960  |0.13197  |    -     |    -     |</t>
  </si>
  <si>
    <t>| 486001 | 0.00473  |    -     | 0.01979  |0.13193  |    -     |    -     |</t>
  </si>
  <si>
    <t>| 486501 | 0.00470  |    -     | 0.01975  |0.13189  |    -     |    -     |</t>
  </si>
  <si>
    <t>| 487001 | 0.00462  |    -     | 0.01947  |0.12692  |    -     |    -     |</t>
  </si>
  <si>
    <t>| 487501 | 0.00461  |    -     | 0.01964  |0.12906  |    -     |    -     |</t>
  </si>
  <si>
    <t>| 488001 | 0.00482  |    -     | 0.01955  |0.13149  |    -     |    -     |</t>
  </si>
  <si>
    <t>| 488501 | 0.00468  |    -     | 0.01970  |0.12736  |    -     |    -     |</t>
  </si>
  <si>
    <t>| 489001 | 0.00475  |    -     | 0.01951  |0.13123  |    -     |    -     |</t>
  </si>
  <si>
    <t>| 489501 | 0.00478  |    -     | 0.01968  |0.12963  |    -     |    -     |</t>
  </si>
  <si>
    <t>| 490001 | 0.00481  |    -     | 0.01963  |0.12648  |    -     |    -     |</t>
  </si>
  <si>
    <t>| 490501 | 0.00483  |    -     | 0.01966  |0.12889  |    -     |    -     |</t>
  </si>
  <si>
    <t>| 491001 | 0.00481  |    -     | 0.01960  |0.13189  |    -     |    -     |</t>
  </si>
  <si>
    <t>| 491501 | 0.00488  |    -     | 0.01977  |0.12994  |    -     |    -     |</t>
  </si>
  <si>
    <t>| 492001 | 0.00481  |    -     | 0.01972  |0.13056  |    -     |    -     |</t>
  </si>
  <si>
    <t>| 492501 | 0.00482  |    -     | 0.01938  |0.13102  |    -     |    -     |</t>
  </si>
  <si>
    <t>| 493001 | 0.00460  |    -     | 0.01978  |0.13200  |    -     |    -     |</t>
  </si>
  <si>
    <t>| 493501 | 0.00463  |    -     | 0.01866  |0.13191  |    -     |    -     |</t>
  </si>
  <si>
    <t>| 494001 | 0.00482  |    -     | 0.01970  |0.12656  |    -     |    -     |</t>
  </si>
  <si>
    <t>| 494501 | 0.00462  |    -     | 0.01964  |0.13200  |    -     |    -     |</t>
  </si>
  <si>
    <t>| 495001 | 0.00483  |    -     | 0.01904  |0.13183  |    -     |    -     |</t>
  </si>
  <si>
    <t>| 495501 | 0.00473  |    -     | 0.01981  |0.12927  |    -     |    -     |</t>
  </si>
  <si>
    <t>| 496001 | 0.00452  |    -     | 0.01971  |0.12700  |    -     |    -     |</t>
  </si>
  <si>
    <t>| 496501 | 0.00469  |    -     | 0.01972  |0.12589  |    -     |    -     |</t>
  </si>
  <si>
    <t>| 497001 | 0.00466  |    -     | 0.01956  |0.12942  |    -     |    -     |</t>
  </si>
  <si>
    <t>| 497501 | 0.00477  |    -     | 0.01968  |0.12832  |    -     |    -     |</t>
  </si>
  <si>
    <t>| 498001 | 0.00473  |    -     | 0.01958  |0.12691  |    -     |    -     |</t>
  </si>
  <si>
    <t>| 498501 | 0.00461  |    -     | 0.01977  |0.12519  |    -     |    -     |</t>
  </si>
  <si>
    <t>| 499001 | 0.00484  |    -     | 0.01963  |0.12973  |    -     |    -     |</t>
  </si>
  <si>
    <t>| 499501 | 0.00485  |    -     | 0.01980  |0.12987  |    -     |    -   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</si>
</sst>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b/>
      <sz val="14.0"/>
      <color theme="1"/>
      <name val="Arial"/>
      <scheme val="minor"/>
    </font>
    <font>
      <sz val="11.0"/>
      <color rgb="FF000000"/>
      <name val="Inherit"/>
    </font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CECEC"/>
        <bgColor rgb="FFECECEC"/>
      </patternFill>
    </fill>
    <fill>
      <patternFill patternType="solid">
        <fgColor rgb="FFF4CCCC"/>
        <bgColor rgb="FFF4CCCC"/>
      </patternFill>
    </fill>
  </fills>
  <borders count="5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readingOrder="0"/>
    </xf>
    <xf borderId="3" fillId="0" fontId="1" numFmtId="0" xfId="0" applyAlignment="1" applyBorder="1" applyFont="1">
      <alignment horizontal="center"/>
    </xf>
    <xf borderId="3" fillId="0" fontId="2" numFmtId="0" xfId="0" applyAlignment="1" applyBorder="1" applyFont="1">
      <alignment readingOrder="0"/>
    </xf>
    <xf borderId="3" fillId="0" fontId="1" numFmtId="0" xfId="0" applyBorder="1" applyFont="1"/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3" fillId="3" fontId="2" numFmtId="0" xfId="0" applyAlignment="1" applyBorder="1" applyFill="1" applyFont="1">
      <alignment readingOrder="0" shrinkToFit="0" wrapText="1"/>
    </xf>
    <xf borderId="3" fillId="4" fontId="2" numFmtId="10" xfId="0" applyAlignment="1" applyBorder="1" applyFill="1" applyFont="1" applyNumberForma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5" fontId="3" numFmtId="0" xfId="0" applyAlignment="1" applyFill="1" applyFont="1">
      <alignment horizontal="right" readingOrder="0"/>
    </xf>
    <xf borderId="0" fillId="4" fontId="1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5" fontId="3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readingOrder="0"/>
    </xf>
    <xf borderId="0" fillId="7" fontId="5" numFmtId="0" xfId="0" applyFill="1" applyFont="1"/>
    <xf borderId="0" fillId="0" fontId="2" numFmtId="0" xfId="0" applyFont="1"/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8" fontId="1" numFmtId="0" xfId="0" applyFill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Large Number Comparison (N = 500,000) </a:t>
            </a:r>
          </a:p>
        </c:rich>
      </c:tx>
      <c:overlay val="0"/>
    </c:title>
    <c:plotArea>
      <c:layout/>
      <c:lineChart>
        <c:ser>
          <c:idx val="0"/>
          <c:order val="0"/>
          <c:tx>
            <c:v>Iterative C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'500k_iterations'!$H$2:$H$904</c:f>
              <c:numCache/>
            </c:numRef>
          </c:val>
          <c:smooth val="1"/>
        </c:ser>
        <c:ser>
          <c:idx val="1"/>
          <c:order val="1"/>
          <c:tx>
            <c:v>Dynamic Programming C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'500k_iterations'!$J$2:$J$904</c:f>
              <c:numCache/>
            </c:numRef>
          </c:val>
          <c:smooth val="1"/>
        </c:ser>
        <c:ser>
          <c:idx val="2"/>
          <c:order val="2"/>
          <c:tx>
            <c:v>Iterative Python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'500k_iterations'!$K$2:$K$904</c:f>
              <c:numCache/>
            </c:numRef>
          </c:val>
          <c:smooth val="1"/>
        </c:ser>
        <c:axId val="235503444"/>
        <c:axId val="159202777"/>
      </c:lineChart>
      <c:catAx>
        <c:axId val="2355034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Fibonacci Number (nth iteration)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9202777"/>
      </c:catAx>
      <c:valAx>
        <c:axId val="1592027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550344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Recursive Python (Timed out at n = 41)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'50 Iterations'!$F$4:$F$53</c:f>
            </c:strRef>
          </c:cat>
          <c:val>
            <c:numRef>
              <c:f>'50 Iterations'!$K$4:$K$53</c:f>
              <c:numCache/>
            </c:numRef>
          </c:val>
          <c:smooth val="0"/>
        </c:ser>
        <c:axId val="480034099"/>
        <c:axId val="1545848892"/>
      </c:lineChart>
      <c:catAx>
        <c:axId val="4800340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Fibonacci Sequence (nth iteration)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45848892"/>
      </c:catAx>
      <c:valAx>
        <c:axId val="1545848892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800340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Recursive C (Timed out at n = 48)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'50 Iterations'!$F$4:$F$53</c:f>
            </c:strRef>
          </c:cat>
          <c:val>
            <c:numRef>
              <c:f>'50 Iterations'!$H$4:$H$53</c:f>
              <c:numCache/>
            </c:numRef>
          </c:val>
          <c:smooth val="0"/>
        </c:ser>
        <c:axId val="2064174478"/>
        <c:axId val="264980452"/>
      </c:lineChart>
      <c:catAx>
        <c:axId val="20641744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Fibonacci Sequence (nth iteration)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264980452"/>
      </c:catAx>
      <c:valAx>
        <c:axId val="264980452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41744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C Iterative vs Dynamic Programming Comparison (N=6000)</a:t>
            </a:r>
          </a:p>
        </c:rich>
      </c:tx>
      <c:layout>
        <c:manualLayout>
          <c:xMode val="edge"/>
          <c:yMode val="edge"/>
          <c:x val="0.07986896447493416"/>
          <c:y val="0.03213507625272331"/>
        </c:manualLayout>
      </c:layout>
      <c:overlay val="0"/>
    </c:title>
    <c:plotArea>
      <c:layout/>
      <c:lineChart>
        <c:ser>
          <c:idx val="0"/>
          <c:order val="0"/>
          <c:tx>
            <c:v>Iterative C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'6000_iterations'!$G$6:$G$6006</c:f>
              <c:numCache/>
            </c:numRef>
          </c:val>
          <c:smooth val="1"/>
        </c:ser>
        <c:ser>
          <c:idx val="1"/>
          <c:order val="1"/>
          <c:tx>
            <c:v>Dynamic Programming C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'6000_iterations'!$I$6:$I$6006</c:f>
              <c:numCache/>
            </c:numRef>
          </c:val>
          <c:smooth val="1"/>
        </c:ser>
        <c:axId val="1477208089"/>
        <c:axId val="1547305324"/>
      </c:lineChart>
      <c:catAx>
        <c:axId val="14772080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47305324"/>
      </c:catAx>
      <c:valAx>
        <c:axId val="1547305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7208089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Python Iterative vs Dynamic Programming Comparison (N=6000)</a:t>
            </a:r>
          </a:p>
        </c:rich>
      </c:tx>
      <c:layout>
        <c:manualLayout>
          <c:xMode val="edge"/>
          <c:yMode val="edge"/>
          <c:x val="0.07986896447493416"/>
          <c:y val="0.03213507625272331"/>
        </c:manualLayout>
      </c:layout>
      <c:overlay val="0"/>
    </c:title>
    <c:plotArea>
      <c:layout/>
      <c:lineChart>
        <c:ser>
          <c:idx val="0"/>
          <c:order val="0"/>
          <c:tx>
            <c:v>Iterative Py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'6000_iterations'!$J$5:$J$6006</c:f>
              <c:numCache/>
            </c:numRef>
          </c:val>
          <c:smooth val="1"/>
        </c:ser>
        <c:ser>
          <c:idx val="1"/>
          <c:order val="1"/>
          <c:tx>
            <c:v>Dynamic Programming Py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'6000_iterations'!$L$5:$L$6006</c:f>
              <c:numCache/>
            </c:numRef>
          </c:val>
          <c:smooth val="1"/>
        </c:ser>
        <c:axId val="1957891251"/>
        <c:axId val="1196873657"/>
      </c:lineChart>
      <c:catAx>
        <c:axId val="19578912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96873657"/>
      </c:catAx>
      <c:valAx>
        <c:axId val="1196873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7891251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Large Number Comparison (N = 500,000) </a:t>
            </a:r>
          </a:p>
        </c:rich>
      </c:tx>
      <c:overlay val="0"/>
    </c:title>
    <c:plotArea>
      <c:layout/>
      <c:lineChart>
        <c:ser>
          <c:idx val="0"/>
          <c:order val="0"/>
          <c:tx>
            <c:v>Iterative C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'500k_iterations'!$H$2:$H$904</c:f>
              <c:numCache/>
            </c:numRef>
          </c:val>
          <c:smooth val="1"/>
        </c:ser>
        <c:ser>
          <c:idx val="1"/>
          <c:order val="1"/>
          <c:tx>
            <c:v>Dynamic Programming C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'500k_iterations'!$J$2:$J$904</c:f>
              <c:numCache/>
            </c:numRef>
          </c:val>
          <c:smooth val="1"/>
        </c:ser>
        <c:ser>
          <c:idx val="2"/>
          <c:order val="2"/>
          <c:tx>
            <c:v>Iterative Python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'500k_iterations'!$K$2:$K$904</c:f>
              <c:numCache/>
            </c:numRef>
          </c:val>
          <c:smooth val="1"/>
        </c:ser>
        <c:axId val="943847866"/>
        <c:axId val="867216542"/>
      </c:lineChart>
      <c:catAx>
        <c:axId val="9438478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Fibonacci Number (nth iteration)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7216542"/>
      </c:catAx>
      <c:valAx>
        <c:axId val="8672165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4384786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Recursive Python (Timed out at n = 41)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'50 Iterations'!$F$4:$F$53</c:f>
            </c:strRef>
          </c:cat>
          <c:val>
            <c:numRef>
              <c:f>'50 Iterations'!$K$4:$K$53</c:f>
              <c:numCache/>
            </c:numRef>
          </c:val>
          <c:smooth val="0"/>
        </c:ser>
        <c:axId val="1457699006"/>
        <c:axId val="1587345544"/>
      </c:lineChart>
      <c:catAx>
        <c:axId val="14576990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Fibonacci Sequence (nth iteration)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587345544"/>
      </c:catAx>
      <c:valAx>
        <c:axId val="1587345544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769900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Recursive C (Timed out at n = 48)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'50 Iterations'!$F$4:$F$53</c:f>
            </c:strRef>
          </c:cat>
          <c:val>
            <c:numRef>
              <c:f>'50 Iterations'!$H$4:$H$53</c:f>
              <c:numCache/>
            </c:numRef>
          </c:val>
          <c:smooth val="0"/>
        </c:ser>
        <c:axId val="237160669"/>
        <c:axId val="1328370181"/>
      </c:lineChart>
      <c:catAx>
        <c:axId val="2371606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Fibonacci Sequence (nth iteration)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 sz="1000">
                <a:solidFill>
                  <a:srgbClr val="000000"/>
                </a:solidFill>
                <a:latin typeface="+mn-lt"/>
              </a:defRPr>
            </a:pPr>
          </a:p>
        </c:txPr>
        <c:crossAx val="1328370181"/>
      </c:catAx>
      <c:valAx>
        <c:axId val="1328370181"/>
        <c:scaling>
          <c:orientation val="minMax"/>
          <c:max val="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60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71606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C Iterative vs Dynamic Programming Comparison (N=6000)</a:t>
            </a:r>
          </a:p>
        </c:rich>
      </c:tx>
      <c:layout>
        <c:manualLayout>
          <c:xMode val="edge"/>
          <c:yMode val="edge"/>
          <c:x val="0.07986896447493416"/>
          <c:y val="0.03213507625272331"/>
        </c:manualLayout>
      </c:layout>
      <c:overlay val="0"/>
    </c:title>
    <c:plotArea>
      <c:layout/>
      <c:lineChart>
        <c:ser>
          <c:idx val="0"/>
          <c:order val="0"/>
          <c:tx>
            <c:v>Iterative C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'6000_iterations'!$G$6:$G$6006</c:f>
              <c:numCache/>
            </c:numRef>
          </c:val>
          <c:smooth val="1"/>
        </c:ser>
        <c:ser>
          <c:idx val="1"/>
          <c:order val="1"/>
          <c:tx>
            <c:v>Dynamic Programming C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'6000_iterations'!$I$6:$I$6006</c:f>
              <c:numCache/>
            </c:numRef>
          </c:val>
          <c:smooth val="1"/>
        </c:ser>
        <c:axId val="331481981"/>
        <c:axId val="1729343250"/>
      </c:lineChart>
      <c:catAx>
        <c:axId val="3314819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29343250"/>
      </c:catAx>
      <c:valAx>
        <c:axId val="1729343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1481981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Python Iterative vs Dynamic Programming Comparison (N=6000)</a:t>
            </a:r>
          </a:p>
        </c:rich>
      </c:tx>
      <c:layout>
        <c:manualLayout>
          <c:xMode val="edge"/>
          <c:yMode val="edge"/>
          <c:x val="0.07986896447493416"/>
          <c:y val="0.03213507625272331"/>
        </c:manualLayout>
      </c:layout>
      <c:overlay val="0"/>
    </c:title>
    <c:plotArea>
      <c:layout/>
      <c:lineChart>
        <c:ser>
          <c:idx val="0"/>
          <c:order val="0"/>
          <c:tx>
            <c:v>Iterative Py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'6000_iterations'!$J$5:$J$6006</c:f>
              <c:numCache/>
            </c:numRef>
          </c:val>
          <c:smooth val="1"/>
        </c:ser>
        <c:ser>
          <c:idx val="1"/>
          <c:order val="1"/>
          <c:tx>
            <c:v>Dynamic Programming Py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'6000_iterations'!$L$5:$L$6006</c:f>
              <c:numCache/>
            </c:numRef>
          </c:val>
          <c:smooth val="1"/>
        </c:ser>
        <c:axId val="1475391976"/>
        <c:axId val="1860517585"/>
      </c:lineChart>
      <c:catAx>
        <c:axId val="1475391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0517585"/>
      </c:catAx>
      <c:valAx>
        <c:axId val="1860517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75391976"/>
      </c:valAx>
    </c:plotArea>
    <c:legend>
      <c:legendPos val="b"/>
      <c:overlay val="0"/>
      <c:txPr>
        <a:bodyPr/>
        <a:lstStyle/>
        <a:p>
          <a:pPr lvl="0">
            <a:defRPr b="0" i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Sheet3!$C$1:$C$8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Sheet3!$B$9:$B$1005</c:f>
            </c:numRef>
          </c:xVal>
          <c:yVal>
            <c:numRef>
              <c:f>Sheet3!$C$9:$C$6008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0631638"/>
        <c:axId val="821883128"/>
      </c:scatterChart>
      <c:valAx>
        <c:axId val="80063163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1883128"/>
      </c:valAx>
      <c:valAx>
        <c:axId val="821883128"/>
        <c:scaling>
          <c:orientation val="minMax"/>
          <c:min val="0.03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06316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Large Number Comparison (N = 500,000) </a:t>
            </a:r>
          </a:p>
        </c:rich>
      </c:tx>
      <c:overlay val="0"/>
    </c:title>
    <c:plotArea>
      <c:layout/>
      <c:lineChart>
        <c:ser>
          <c:idx val="0"/>
          <c:order val="0"/>
          <c:tx>
            <c:v>Iterative C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'500k_iterations'!$H$2:$H$904</c:f>
              <c:numCache/>
            </c:numRef>
          </c:val>
          <c:smooth val="1"/>
        </c:ser>
        <c:ser>
          <c:idx val="1"/>
          <c:order val="1"/>
          <c:tx>
            <c:v>Dynamic Programming C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'500k_iterations'!$J$2:$J$904</c:f>
              <c:numCache/>
            </c:numRef>
          </c:val>
          <c:smooth val="1"/>
        </c:ser>
        <c:ser>
          <c:idx val="2"/>
          <c:order val="2"/>
          <c:tx>
            <c:v>Iterative Python</c:v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'500k_iterations'!$G$2:$G$904</c:f>
            </c:strRef>
          </c:cat>
          <c:val>
            <c:numRef>
              <c:f>'500k_iterations'!$K$2:$K$904</c:f>
              <c:numCache/>
            </c:numRef>
          </c:val>
          <c:smooth val="1"/>
        </c:ser>
        <c:axId val="1315639383"/>
        <c:axId val="1448852130"/>
      </c:lineChart>
      <c:catAx>
        <c:axId val="13156393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Fibonacci Number (nth iteration)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8852130"/>
      </c:catAx>
      <c:valAx>
        <c:axId val="14488521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(seconds)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15639383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3</xdr:row>
      <xdr:rowOff>66675</xdr:rowOff>
    </xdr:from>
    <xdr:ext cx="7429500" cy="4933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781050</xdr:colOff>
      <xdr:row>1</xdr:row>
      <xdr:rowOff>152400</xdr:rowOff>
    </xdr:from>
    <xdr:ext cx="6296025" cy="442912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14</xdr:col>
      <xdr:colOff>685800</xdr:colOff>
      <xdr:row>25</xdr:row>
      <xdr:rowOff>85725</xdr:rowOff>
    </xdr:from>
    <xdr:ext cx="6353175" cy="44672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476250</xdr:colOff>
      <xdr:row>31</xdr:row>
      <xdr:rowOff>0</xdr:rowOff>
    </xdr:from>
    <xdr:ext cx="7115175" cy="466725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247650</xdr:colOff>
      <xdr:row>57</xdr:row>
      <xdr:rowOff>142875</xdr:rowOff>
    </xdr:from>
    <xdr:ext cx="7562850" cy="46101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0</xdr:col>
      <xdr:colOff>0</xdr:colOff>
      <xdr:row>82</xdr:row>
      <xdr:rowOff>0</xdr:rowOff>
    </xdr:from>
    <xdr:ext cx="6048375" cy="401955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685800</xdr:colOff>
      <xdr:row>3</xdr:row>
      <xdr:rowOff>200025</xdr:rowOff>
    </xdr:from>
    <xdr:ext cx="8486775" cy="59721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12</xdr:col>
      <xdr:colOff>685800</xdr:colOff>
      <xdr:row>34</xdr:row>
      <xdr:rowOff>180975</xdr:rowOff>
    </xdr:from>
    <xdr:ext cx="8486775" cy="59721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000625" cy="3276600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15</xdr:row>
      <xdr:rowOff>66675</xdr:rowOff>
    </xdr:from>
    <xdr:ext cx="5067300" cy="3086100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390525</xdr:colOff>
      <xdr:row>2</xdr:row>
      <xdr:rowOff>133350</xdr:rowOff>
    </xdr:from>
    <xdr:ext cx="8067675" cy="4991100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11</xdr:row>
      <xdr:rowOff>0</xdr:rowOff>
    </xdr:from>
    <xdr:ext cx="6048375" cy="4019550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63"/>
    <col customWidth="1" min="12" max="12" width="27.5"/>
    <col customWidth="1" min="13" max="13" width="24.75"/>
  </cols>
  <sheetData>
    <row r="4">
      <c r="K4" s="1"/>
      <c r="L4" s="2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</row>
    <row r="5">
      <c r="K5" s="4" t="s">
        <v>6</v>
      </c>
      <c r="L5" s="5">
        <v>0.00231</v>
      </c>
      <c r="M5" s="5">
        <v>0.00194</v>
      </c>
      <c r="N5" s="5">
        <v>0.00217</v>
      </c>
      <c r="O5" s="5">
        <v>0.04723</v>
      </c>
      <c r="P5" s="5">
        <v>0.039737499999999995</v>
      </c>
      <c r="Q5" s="5">
        <v>0.046655</v>
      </c>
    </row>
    <row r="6">
      <c r="K6" s="6" t="s">
        <v>7</v>
      </c>
      <c r="L6" s="5">
        <v>0.00239</v>
      </c>
      <c r="M6" s="5">
        <v>0.1173225</v>
      </c>
      <c r="N6" s="5">
        <v>0.00223</v>
      </c>
      <c r="O6" s="5">
        <v>0.04746</v>
      </c>
      <c r="P6" s="5">
        <v>0.33228500000000005</v>
      </c>
      <c r="Q6" s="5">
        <v>0.04763</v>
      </c>
    </row>
    <row r="7">
      <c r="K7" s="6" t="s">
        <v>8</v>
      </c>
      <c r="L7" s="5">
        <v>8.000000000000021E-5</v>
      </c>
      <c r="M7" s="5">
        <v>0.1153825</v>
      </c>
      <c r="N7" s="5">
        <v>6.000000000000016E-5</v>
      </c>
      <c r="O7" s="5">
        <v>2.3000000000000104E-4</v>
      </c>
      <c r="P7" s="5">
        <v>0.29254750000000007</v>
      </c>
      <c r="Q7" s="5">
        <v>9.749999999999967E-4</v>
      </c>
    </row>
    <row r="8">
      <c r="K8" s="7"/>
      <c r="L8" s="5"/>
      <c r="M8" s="5"/>
      <c r="N8" s="5"/>
      <c r="O8" s="5"/>
      <c r="P8" s="5"/>
      <c r="Q8" s="5"/>
    </row>
    <row r="9">
      <c r="K9" s="8" t="s">
        <v>9</v>
      </c>
      <c r="L9" s="5">
        <v>0.0021899999999999997</v>
      </c>
      <c r="M9" s="5">
        <v>-0.17113375</v>
      </c>
      <c r="N9" s="5">
        <v>0.00208</v>
      </c>
      <c r="O9" s="5">
        <v>0.046884999999999996</v>
      </c>
      <c r="P9" s="5">
        <v>-0.3990837500000001</v>
      </c>
      <c r="Q9" s="5">
        <v>0.04519250000000001</v>
      </c>
    </row>
    <row r="10">
      <c r="K10" s="8" t="s">
        <v>10</v>
      </c>
      <c r="L10" s="5">
        <v>0.0025100000000000005</v>
      </c>
      <c r="M10" s="5">
        <v>0.29039625</v>
      </c>
      <c r="N10" s="5">
        <v>0.0023200000000000004</v>
      </c>
      <c r="O10" s="5">
        <v>0.047805</v>
      </c>
      <c r="P10" s="5">
        <v>0.7711062500000001</v>
      </c>
      <c r="Q10" s="5">
        <v>0.0490925</v>
      </c>
    </row>
    <row r="11">
      <c r="K11" s="7"/>
      <c r="L11" s="5"/>
      <c r="M11" s="5"/>
      <c r="N11" s="5"/>
      <c r="O11" s="5"/>
      <c r="P11" s="5"/>
      <c r="Q11" s="5"/>
    </row>
    <row r="12">
      <c r="K12" s="8" t="s">
        <v>11</v>
      </c>
      <c r="L12" s="9">
        <v>188.0</v>
      </c>
      <c r="M12" s="9">
        <v>9.0</v>
      </c>
      <c r="N12" s="9">
        <v>380.0</v>
      </c>
      <c r="O12" s="9">
        <v>1364.0</v>
      </c>
      <c r="P12" s="9">
        <v>8.0</v>
      </c>
      <c r="Q12" s="9">
        <v>196.0</v>
      </c>
    </row>
    <row r="13">
      <c r="K13" s="10" t="s">
        <v>12</v>
      </c>
      <c r="L13" s="11">
        <f>188/449501</f>
        <v>0.0004182415612</v>
      </c>
      <c r="M13" s="11">
        <f>M12/48</f>
        <v>0.1875</v>
      </c>
      <c r="N13" s="11">
        <f t="shared" ref="N13:O13" si="1">N12/449501</f>
        <v>0.000845381879</v>
      </c>
      <c r="O13" s="11">
        <f t="shared" si="1"/>
        <v>0.003034476008</v>
      </c>
      <c r="P13" s="11">
        <f>P12/41</f>
        <v>0.1951219512</v>
      </c>
      <c r="Q13" s="11">
        <f>188/1000</f>
        <v>0.188</v>
      </c>
    </row>
    <row r="52">
      <c r="K52" s="12" t="s">
        <v>13</v>
      </c>
      <c r="L52" s="12" t="s">
        <v>14</v>
      </c>
      <c r="M52" s="12" t="s">
        <v>15</v>
      </c>
    </row>
    <row r="53">
      <c r="K53" s="12" t="s">
        <v>16</v>
      </c>
      <c r="L53" s="13" t="s">
        <v>17</v>
      </c>
      <c r="M53" s="14">
        <v>0.00477</v>
      </c>
    </row>
    <row r="54">
      <c r="K54" s="12" t="s">
        <v>18</v>
      </c>
      <c r="L54" s="13">
        <v>48.0</v>
      </c>
      <c r="M54" s="15">
        <v>41.15231</v>
      </c>
    </row>
    <row r="55">
      <c r="K55" s="12" t="s">
        <v>19</v>
      </c>
      <c r="L55" s="13" t="s">
        <v>17</v>
      </c>
      <c r="M55" s="14">
        <v>0.01987</v>
      </c>
    </row>
    <row r="56">
      <c r="K56" s="12" t="s">
        <v>20</v>
      </c>
      <c r="L56" s="13" t="s">
        <v>17</v>
      </c>
      <c r="M56" s="14">
        <v>0.13193</v>
      </c>
    </row>
    <row r="57">
      <c r="K57" s="12" t="s">
        <v>21</v>
      </c>
      <c r="L57" s="13">
        <v>41.0</v>
      </c>
      <c r="M57" s="14">
        <v>49.6663</v>
      </c>
    </row>
    <row r="58">
      <c r="K58" s="12" t="s">
        <v>22</v>
      </c>
      <c r="L58" s="13">
        <v>1000.0</v>
      </c>
      <c r="M58" s="14">
        <v>0.04771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23</v>
      </c>
      <c r="G1" s="16" t="s">
        <v>24</v>
      </c>
      <c r="J1" s="17" t="s">
        <v>25</v>
      </c>
    </row>
    <row r="2">
      <c r="G2" s="18" t="s">
        <v>26</v>
      </c>
      <c r="H2" s="18" t="s">
        <v>27</v>
      </c>
      <c r="I2" s="18" t="s">
        <v>28</v>
      </c>
      <c r="J2" s="18" t="s">
        <v>29</v>
      </c>
      <c r="K2" s="18" t="s">
        <v>30</v>
      </c>
      <c r="L2" s="18" t="s">
        <v>28</v>
      </c>
    </row>
    <row r="4">
      <c r="A4" s="12" t="s">
        <v>31</v>
      </c>
      <c r="F4" s="19">
        <f>IFERROR(__xludf.DUMMYFUNCTION("SPLIT(A4, "" |"")"),1.0)</f>
        <v>1</v>
      </c>
      <c r="G4" s="19">
        <f>IFERROR(__xludf.DUMMYFUNCTION("""COMPUTED_VALUE"""),0.00223)</f>
        <v>0.00223</v>
      </c>
      <c r="H4" s="19">
        <f>IFERROR(__xludf.DUMMYFUNCTION("""COMPUTED_VALUE"""),0.002)</f>
        <v>0.002</v>
      </c>
      <c r="I4" s="19">
        <f>IFERROR(__xludf.DUMMYFUNCTION("""COMPUTED_VALUE"""),0.00224)</f>
        <v>0.00224</v>
      </c>
      <c r="J4" s="19">
        <f>IFERROR(__xludf.DUMMYFUNCTION("""COMPUTED_VALUE"""),0.04004)</f>
        <v>0.04004</v>
      </c>
      <c r="K4" s="19">
        <f>IFERROR(__xludf.DUMMYFUNCTION("""COMPUTED_VALUE"""),0.04071)</f>
        <v>0.04071</v>
      </c>
      <c r="L4" s="19">
        <f>IFERROR(__xludf.DUMMYFUNCTION("""COMPUTED_VALUE"""),0.03975)</f>
        <v>0.03975</v>
      </c>
    </row>
    <row r="5">
      <c r="A5" s="12" t="s">
        <v>32</v>
      </c>
      <c r="F5" s="19">
        <f>IFERROR(__xludf.DUMMYFUNCTION("SPLIT(A5, "" |"")"),2.0)</f>
        <v>2</v>
      </c>
      <c r="G5" s="19">
        <f>IFERROR(__xludf.DUMMYFUNCTION("""COMPUTED_VALUE"""),0.00216)</f>
        <v>0.00216</v>
      </c>
      <c r="H5" s="19">
        <f>IFERROR(__xludf.DUMMYFUNCTION("""COMPUTED_VALUE"""),0.00182)</f>
        <v>0.00182</v>
      </c>
      <c r="I5" s="19">
        <f>IFERROR(__xludf.DUMMYFUNCTION("""COMPUTED_VALUE"""),0.00237)</f>
        <v>0.00237</v>
      </c>
      <c r="J5" s="19">
        <f>IFERROR(__xludf.DUMMYFUNCTION("""COMPUTED_VALUE"""),0.0399)</f>
        <v>0.0399</v>
      </c>
      <c r="K5" s="19">
        <f>IFERROR(__xludf.DUMMYFUNCTION("""COMPUTED_VALUE"""),0.03637)</f>
        <v>0.03637</v>
      </c>
      <c r="L5" s="19">
        <f>IFERROR(__xludf.DUMMYFUNCTION("""COMPUTED_VALUE"""),0.03983)</f>
        <v>0.03983</v>
      </c>
    </row>
    <row r="6">
      <c r="A6" s="12" t="s">
        <v>33</v>
      </c>
      <c r="F6" s="19">
        <f>IFERROR(__xludf.DUMMYFUNCTION("SPLIT(A6, "" |"")"),3.0)</f>
        <v>3</v>
      </c>
      <c r="G6" s="19">
        <f>IFERROR(__xludf.DUMMYFUNCTION("""COMPUTED_VALUE"""),0.00217)</f>
        <v>0.00217</v>
      </c>
      <c r="H6" s="19">
        <f>IFERROR(__xludf.DUMMYFUNCTION("""COMPUTED_VALUE"""),0.00203)</f>
        <v>0.00203</v>
      </c>
      <c r="I6" s="19">
        <f>IFERROR(__xludf.DUMMYFUNCTION("""COMPUTED_VALUE"""),0.00244)</f>
        <v>0.00244</v>
      </c>
      <c r="J6" s="19">
        <f>IFERROR(__xludf.DUMMYFUNCTION("""COMPUTED_VALUE"""),0.0401)</f>
        <v>0.0401</v>
      </c>
      <c r="K6" s="19">
        <f>IFERROR(__xludf.DUMMYFUNCTION("""COMPUTED_VALUE"""),0.03695)</f>
        <v>0.03695</v>
      </c>
      <c r="L6" s="19">
        <f>IFERROR(__xludf.DUMMYFUNCTION("""COMPUTED_VALUE"""),0.03977)</f>
        <v>0.03977</v>
      </c>
    </row>
    <row r="7">
      <c r="A7" s="12" t="s">
        <v>34</v>
      </c>
      <c r="F7" s="19">
        <f>IFERROR(__xludf.DUMMYFUNCTION("SPLIT(A7, "" |"")"),4.0)</f>
        <v>4</v>
      </c>
      <c r="G7" s="19">
        <f>IFERROR(__xludf.DUMMYFUNCTION("""COMPUTED_VALUE"""),0.00242)</f>
        <v>0.00242</v>
      </c>
      <c r="H7" s="19">
        <f>IFERROR(__xludf.DUMMYFUNCTION("""COMPUTED_VALUE"""),0.00201)</f>
        <v>0.00201</v>
      </c>
      <c r="I7" s="19">
        <f>IFERROR(__xludf.DUMMYFUNCTION("""COMPUTED_VALUE"""),0.00204)</f>
        <v>0.00204</v>
      </c>
      <c r="J7" s="19">
        <f>IFERROR(__xludf.DUMMYFUNCTION("""COMPUTED_VALUE"""),0.03914)</f>
        <v>0.03914</v>
      </c>
      <c r="K7" s="19">
        <f>IFERROR(__xludf.DUMMYFUNCTION("""COMPUTED_VALUE"""),0.03765)</f>
        <v>0.03765</v>
      </c>
      <c r="L7" s="19">
        <f>IFERROR(__xludf.DUMMYFUNCTION("""COMPUTED_VALUE"""),0.03968)</f>
        <v>0.03968</v>
      </c>
    </row>
    <row r="8">
      <c r="A8" s="12" t="s">
        <v>35</v>
      </c>
      <c r="F8" s="19">
        <f>IFERROR(__xludf.DUMMYFUNCTION("SPLIT(A8, "" |"")"),5.0)</f>
        <v>5</v>
      </c>
      <c r="G8" s="19">
        <f>IFERROR(__xludf.DUMMYFUNCTION("""COMPUTED_VALUE"""),0.00219)</f>
        <v>0.00219</v>
      </c>
      <c r="H8" s="19">
        <f>IFERROR(__xludf.DUMMYFUNCTION("""COMPUTED_VALUE"""),0.00204)</f>
        <v>0.00204</v>
      </c>
      <c r="I8" s="19">
        <f>IFERROR(__xludf.DUMMYFUNCTION("""COMPUTED_VALUE"""),0.00212)</f>
        <v>0.00212</v>
      </c>
      <c r="J8" s="19">
        <f>IFERROR(__xludf.DUMMYFUNCTION("""COMPUTED_VALUE"""),0.03951)</f>
        <v>0.03951</v>
      </c>
      <c r="K8" s="19">
        <f>IFERROR(__xludf.DUMMYFUNCTION("""COMPUTED_VALUE"""),0.03828)</f>
        <v>0.03828</v>
      </c>
      <c r="L8" s="19">
        <f>IFERROR(__xludf.DUMMYFUNCTION("""COMPUTED_VALUE"""),0.036)</f>
        <v>0.036</v>
      </c>
    </row>
    <row r="9">
      <c r="A9" s="12" t="s">
        <v>36</v>
      </c>
      <c r="F9" s="19">
        <f>IFERROR(__xludf.DUMMYFUNCTION("SPLIT(A9, "" |"")"),6.0)</f>
        <v>6</v>
      </c>
      <c r="G9" s="19">
        <f>IFERROR(__xludf.DUMMYFUNCTION("""COMPUTED_VALUE"""),0.00261)</f>
        <v>0.00261</v>
      </c>
      <c r="H9" s="19">
        <f>IFERROR(__xludf.DUMMYFUNCTION("""COMPUTED_VALUE"""),0.00206)</f>
        <v>0.00206</v>
      </c>
      <c r="I9" s="19">
        <f>IFERROR(__xludf.DUMMYFUNCTION("""COMPUTED_VALUE"""),0.00209)</f>
        <v>0.00209</v>
      </c>
      <c r="J9" s="19">
        <f>IFERROR(__xludf.DUMMYFUNCTION("""COMPUTED_VALUE"""),0.03746)</f>
        <v>0.03746</v>
      </c>
      <c r="K9" s="19">
        <f>IFERROR(__xludf.DUMMYFUNCTION("""COMPUTED_VALUE"""),0.03978)</f>
        <v>0.03978</v>
      </c>
      <c r="L9" s="19">
        <f>IFERROR(__xludf.DUMMYFUNCTION("""COMPUTED_VALUE"""),0.0388)</f>
        <v>0.0388</v>
      </c>
    </row>
    <row r="10">
      <c r="A10" s="12" t="s">
        <v>37</v>
      </c>
      <c r="F10" s="19">
        <f>IFERROR(__xludf.DUMMYFUNCTION("SPLIT(A10, "" |"")"),7.0)</f>
        <v>7</v>
      </c>
      <c r="G10" s="19">
        <f>IFERROR(__xludf.DUMMYFUNCTION("""COMPUTED_VALUE"""),0.00225)</f>
        <v>0.00225</v>
      </c>
      <c r="H10" s="19">
        <f>IFERROR(__xludf.DUMMYFUNCTION("""COMPUTED_VALUE"""),0.002)</f>
        <v>0.002</v>
      </c>
      <c r="I10" s="19">
        <f>IFERROR(__xludf.DUMMYFUNCTION("""COMPUTED_VALUE"""),0.00204)</f>
        <v>0.00204</v>
      </c>
      <c r="J10" s="19">
        <f>IFERROR(__xludf.DUMMYFUNCTION("""COMPUTED_VALUE"""),0.04)</f>
        <v>0.04</v>
      </c>
      <c r="K10" s="19">
        <f>IFERROR(__xludf.DUMMYFUNCTION("""COMPUTED_VALUE"""),0.04011)</f>
        <v>0.04011</v>
      </c>
      <c r="L10" s="19">
        <f>IFERROR(__xludf.DUMMYFUNCTION("""COMPUTED_VALUE"""),0.03774)</f>
        <v>0.03774</v>
      </c>
    </row>
    <row r="11">
      <c r="A11" s="12" t="s">
        <v>38</v>
      </c>
      <c r="F11" s="19">
        <f>IFERROR(__xludf.DUMMYFUNCTION("SPLIT(A11, "" |"")"),8.0)</f>
        <v>8</v>
      </c>
      <c r="G11" s="19">
        <f>IFERROR(__xludf.DUMMYFUNCTION("""COMPUTED_VALUE"""),0.00214)</f>
        <v>0.00214</v>
      </c>
      <c r="H11" s="19">
        <f>IFERROR(__xludf.DUMMYFUNCTION("""COMPUTED_VALUE"""),0.00204)</f>
        <v>0.00204</v>
      </c>
      <c r="I11" s="19">
        <f>IFERROR(__xludf.DUMMYFUNCTION("""COMPUTED_VALUE"""),0.00232)</f>
        <v>0.00232</v>
      </c>
      <c r="J11" s="19">
        <f>IFERROR(__xludf.DUMMYFUNCTION("""COMPUTED_VALUE"""),0.03549)</f>
        <v>0.03549</v>
      </c>
      <c r="K11" s="19">
        <f>IFERROR(__xludf.DUMMYFUNCTION("""COMPUTED_VALUE"""),0.03746)</f>
        <v>0.03746</v>
      </c>
      <c r="L11" s="19">
        <f>IFERROR(__xludf.DUMMYFUNCTION("""COMPUTED_VALUE"""),0.03944)</f>
        <v>0.03944</v>
      </c>
    </row>
    <row r="12">
      <c r="A12" s="12" t="s">
        <v>39</v>
      </c>
      <c r="F12" s="19">
        <f>IFERROR(__xludf.DUMMYFUNCTION("SPLIT(A12, "" |"")"),9.0)</f>
        <v>9</v>
      </c>
      <c r="G12" s="19">
        <f>IFERROR(__xludf.DUMMYFUNCTION("""COMPUTED_VALUE"""),0.00222)</f>
        <v>0.00222</v>
      </c>
      <c r="H12" s="19">
        <f>IFERROR(__xludf.DUMMYFUNCTION("""COMPUTED_VALUE"""),0.00221)</f>
        <v>0.00221</v>
      </c>
      <c r="I12" s="19">
        <f>IFERROR(__xludf.DUMMYFUNCTION("""COMPUTED_VALUE"""),0.00225)</f>
        <v>0.00225</v>
      </c>
      <c r="J12" s="19">
        <f>IFERROR(__xludf.DUMMYFUNCTION("""COMPUTED_VALUE"""),0.04029)</f>
        <v>0.04029</v>
      </c>
      <c r="K12" s="19">
        <f>IFERROR(__xludf.DUMMYFUNCTION("""COMPUTED_VALUE"""),0.03625)</f>
        <v>0.03625</v>
      </c>
      <c r="L12" s="19">
        <f>IFERROR(__xludf.DUMMYFUNCTION("""COMPUTED_VALUE"""),0.04014)</f>
        <v>0.04014</v>
      </c>
    </row>
    <row r="13">
      <c r="A13" s="12" t="s">
        <v>40</v>
      </c>
      <c r="F13" s="19">
        <f>IFERROR(__xludf.DUMMYFUNCTION("SPLIT(A13, "" |"")"),10.0)</f>
        <v>10</v>
      </c>
      <c r="G13" s="19">
        <f>IFERROR(__xludf.DUMMYFUNCTION("""COMPUTED_VALUE"""),0.00233)</f>
        <v>0.00233</v>
      </c>
      <c r="H13" s="19">
        <f>IFERROR(__xludf.DUMMYFUNCTION("""COMPUTED_VALUE"""),0.00208)</f>
        <v>0.00208</v>
      </c>
      <c r="I13" s="19">
        <f>IFERROR(__xludf.DUMMYFUNCTION("""COMPUTED_VALUE"""),0.00211)</f>
        <v>0.00211</v>
      </c>
      <c r="J13" s="19">
        <f>IFERROR(__xludf.DUMMYFUNCTION("""COMPUTED_VALUE"""),0.03705)</f>
        <v>0.03705</v>
      </c>
      <c r="K13" s="19">
        <f>IFERROR(__xludf.DUMMYFUNCTION("""COMPUTED_VALUE"""),0.03764)</f>
        <v>0.03764</v>
      </c>
      <c r="L13" s="19">
        <f>IFERROR(__xludf.DUMMYFUNCTION("""COMPUTED_VALUE"""),0.04026)</f>
        <v>0.04026</v>
      </c>
    </row>
    <row r="14">
      <c r="A14" s="12" t="s">
        <v>41</v>
      </c>
      <c r="F14" s="19">
        <f>IFERROR(__xludf.DUMMYFUNCTION("SPLIT(A14, "" |"")"),11.0)</f>
        <v>11</v>
      </c>
      <c r="G14" s="19">
        <f>IFERROR(__xludf.DUMMYFUNCTION("""COMPUTED_VALUE"""),0.00223)</f>
        <v>0.00223</v>
      </c>
      <c r="H14" s="19">
        <f>IFERROR(__xludf.DUMMYFUNCTION("""COMPUTED_VALUE"""),0.0021)</f>
        <v>0.0021</v>
      </c>
      <c r="I14" s="19">
        <f>IFERROR(__xludf.DUMMYFUNCTION("""COMPUTED_VALUE"""),0.00209)</f>
        <v>0.00209</v>
      </c>
      <c r="J14" s="19">
        <f>IFERROR(__xludf.DUMMYFUNCTION("""COMPUTED_VALUE"""),0.03818)</f>
        <v>0.03818</v>
      </c>
      <c r="K14" s="19">
        <f>IFERROR(__xludf.DUMMYFUNCTION("""COMPUTED_VALUE"""),0.03943)</f>
        <v>0.03943</v>
      </c>
      <c r="L14" s="19">
        <f>IFERROR(__xludf.DUMMYFUNCTION("""COMPUTED_VALUE"""),0.0401)</f>
        <v>0.0401</v>
      </c>
    </row>
    <row r="15">
      <c r="A15" s="12" t="s">
        <v>42</v>
      </c>
      <c r="F15" s="19">
        <f>IFERROR(__xludf.DUMMYFUNCTION("SPLIT(A15, "" |"")"),12.0)</f>
        <v>12</v>
      </c>
      <c r="G15" s="19">
        <f>IFERROR(__xludf.DUMMYFUNCTION("""COMPUTED_VALUE"""),0.00249)</f>
        <v>0.00249</v>
      </c>
      <c r="H15" s="19">
        <f>IFERROR(__xludf.DUMMYFUNCTION("""COMPUTED_VALUE"""),0.00219)</f>
        <v>0.00219</v>
      </c>
      <c r="I15" s="19">
        <f>IFERROR(__xludf.DUMMYFUNCTION("""COMPUTED_VALUE"""),0.00221)</f>
        <v>0.00221</v>
      </c>
      <c r="J15" s="19">
        <f>IFERROR(__xludf.DUMMYFUNCTION("""COMPUTED_VALUE"""),0.03811)</f>
        <v>0.03811</v>
      </c>
      <c r="K15" s="19">
        <f>IFERROR(__xludf.DUMMYFUNCTION("""COMPUTED_VALUE"""),0.04027)</f>
        <v>0.04027</v>
      </c>
      <c r="L15" s="19">
        <f>IFERROR(__xludf.DUMMYFUNCTION("""COMPUTED_VALUE"""),0.04013)</f>
        <v>0.04013</v>
      </c>
    </row>
    <row r="16">
      <c r="A16" s="12" t="s">
        <v>43</v>
      </c>
      <c r="F16" s="19">
        <f>IFERROR(__xludf.DUMMYFUNCTION("SPLIT(A16, "" |"")"),13.0)</f>
        <v>13</v>
      </c>
      <c r="G16" s="19">
        <f>IFERROR(__xludf.DUMMYFUNCTION("""COMPUTED_VALUE"""),0.00214)</f>
        <v>0.00214</v>
      </c>
      <c r="H16" s="19">
        <f>IFERROR(__xludf.DUMMYFUNCTION("""COMPUTED_VALUE"""),0.00216)</f>
        <v>0.00216</v>
      </c>
      <c r="I16" s="19">
        <f>IFERROR(__xludf.DUMMYFUNCTION("""COMPUTED_VALUE"""),0.00206)</f>
        <v>0.00206</v>
      </c>
      <c r="J16" s="19">
        <f>IFERROR(__xludf.DUMMYFUNCTION("""COMPUTED_VALUE"""),0.03847)</f>
        <v>0.03847</v>
      </c>
      <c r="K16" s="19">
        <f>IFERROR(__xludf.DUMMYFUNCTION("""COMPUTED_VALUE"""),0.03969)</f>
        <v>0.03969</v>
      </c>
      <c r="L16" s="19">
        <f>IFERROR(__xludf.DUMMYFUNCTION("""COMPUTED_VALUE"""),0.03846)</f>
        <v>0.03846</v>
      </c>
    </row>
    <row r="17">
      <c r="A17" s="12" t="s">
        <v>44</v>
      </c>
      <c r="F17" s="19">
        <f>IFERROR(__xludf.DUMMYFUNCTION("SPLIT(A17, "" |"")"),14.0)</f>
        <v>14</v>
      </c>
      <c r="G17" s="19">
        <f>IFERROR(__xludf.DUMMYFUNCTION("""COMPUTED_VALUE"""),0.00194)</f>
        <v>0.00194</v>
      </c>
      <c r="H17" s="19">
        <f>IFERROR(__xludf.DUMMYFUNCTION("""COMPUTED_VALUE"""),0.00179)</f>
        <v>0.00179</v>
      </c>
      <c r="I17" s="19">
        <f>IFERROR(__xludf.DUMMYFUNCTION("""COMPUTED_VALUE"""),0.00208)</f>
        <v>0.00208</v>
      </c>
      <c r="J17" s="19">
        <f>IFERROR(__xludf.DUMMYFUNCTION("""COMPUTED_VALUE"""),0.03965)</f>
        <v>0.03965</v>
      </c>
      <c r="K17" s="19">
        <f>IFERROR(__xludf.DUMMYFUNCTION("""COMPUTED_VALUE"""),0.04017)</f>
        <v>0.04017</v>
      </c>
      <c r="L17" s="19">
        <f>IFERROR(__xludf.DUMMYFUNCTION("""COMPUTED_VALUE"""),0.03788)</f>
        <v>0.03788</v>
      </c>
    </row>
    <row r="18">
      <c r="A18" s="12" t="s">
        <v>45</v>
      </c>
      <c r="F18" s="19">
        <f>IFERROR(__xludf.DUMMYFUNCTION("SPLIT(A18, "" |"")"),15.0)</f>
        <v>15</v>
      </c>
      <c r="G18" s="19">
        <f>IFERROR(__xludf.DUMMYFUNCTION("""COMPUTED_VALUE"""),0.00216)</f>
        <v>0.00216</v>
      </c>
      <c r="H18" s="19">
        <f>IFERROR(__xludf.DUMMYFUNCTION("""COMPUTED_VALUE"""),0.00204)</f>
        <v>0.00204</v>
      </c>
      <c r="I18" s="19">
        <f>IFERROR(__xludf.DUMMYFUNCTION("""COMPUTED_VALUE"""),0.00207)</f>
        <v>0.00207</v>
      </c>
      <c r="J18" s="19">
        <f>IFERROR(__xludf.DUMMYFUNCTION("""COMPUTED_VALUE"""),0.04003)</f>
        <v>0.04003</v>
      </c>
      <c r="K18" s="19">
        <f>IFERROR(__xludf.DUMMYFUNCTION("""COMPUTED_VALUE"""),0.03818)</f>
        <v>0.03818</v>
      </c>
      <c r="L18" s="19">
        <f>IFERROR(__xludf.DUMMYFUNCTION("""COMPUTED_VALUE"""),0.04004)</f>
        <v>0.04004</v>
      </c>
    </row>
    <row r="19">
      <c r="A19" s="12" t="s">
        <v>46</v>
      </c>
      <c r="F19" s="19">
        <f>IFERROR(__xludf.DUMMYFUNCTION("SPLIT(A19, "" |"")"),16.0)</f>
        <v>16</v>
      </c>
      <c r="G19" s="19">
        <f>IFERROR(__xludf.DUMMYFUNCTION("""COMPUTED_VALUE"""),0.0022)</f>
        <v>0.0022</v>
      </c>
      <c r="H19" s="19">
        <f>IFERROR(__xludf.DUMMYFUNCTION("""COMPUTED_VALUE"""),0.00218)</f>
        <v>0.00218</v>
      </c>
      <c r="I19" s="19">
        <f>IFERROR(__xludf.DUMMYFUNCTION("""COMPUTED_VALUE"""),0.00218)</f>
        <v>0.00218</v>
      </c>
      <c r="J19" s="19">
        <f>IFERROR(__xludf.DUMMYFUNCTION("""COMPUTED_VALUE"""),0.03996)</f>
        <v>0.03996</v>
      </c>
      <c r="K19" s="19">
        <f>IFERROR(__xludf.DUMMYFUNCTION("""COMPUTED_VALUE"""),0.03835)</f>
        <v>0.03835</v>
      </c>
      <c r="L19" s="19">
        <f>IFERROR(__xludf.DUMMYFUNCTION("""COMPUTED_VALUE"""),0.03981)</f>
        <v>0.03981</v>
      </c>
    </row>
    <row r="20">
      <c r="A20" s="12" t="s">
        <v>47</v>
      </c>
      <c r="F20" s="19">
        <f>IFERROR(__xludf.DUMMYFUNCTION("SPLIT(A20, "" |"")"),17.0)</f>
        <v>17</v>
      </c>
      <c r="G20" s="19">
        <f>IFERROR(__xludf.DUMMYFUNCTION("""COMPUTED_VALUE"""),0.00223)</f>
        <v>0.00223</v>
      </c>
      <c r="H20" s="19">
        <f>IFERROR(__xludf.DUMMYFUNCTION("""COMPUTED_VALUE"""),0.00218)</f>
        <v>0.00218</v>
      </c>
      <c r="I20" s="19">
        <f>IFERROR(__xludf.DUMMYFUNCTION("""COMPUTED_VALUE"""),0.00212)</f>
        <v>0.00212</v>
      </c>
      <c r="J20" s="19">
        <f>IFERROR(__xludf.DUMMYFUNCTION("""COMPUTED_VALUE"""),0.03583)</f>
        <v>0.03583</v>
      </c>
      <c r="K20" s="19">
        <f>IFERROR(__xludf.DUMMYFUNCTION("""COMPUTED_VALUE"""),0.03801)</f>
        <v>0.03801</v>
      </c>
      <c r="L20" s="19">
        <f>IFERROR(__xludf.DUMMYFUNCTION("""COMPUTED_VALUE"""),0.03922)</f>
        <v>0.03922</v>
      </c>
    </row>
    <row r="21">
      <c r="A21" s="12" t="s">
        <v>48</v>
      </c>
      <c r="F21" s="19">
        <f>IFERROR(__xludf.DUMMYFUNCTION("SPLIT(A21, "" |"")"),18.0)</f>
        <v>18</v>
      </c>
      <c r="G21" s="19">
        <f>IFERROR(__xludf.DUMMYFUNCTION("""COMPUTED_VALUE"""),0.00256)</f>
        <v>0.00256</v>
      </c>
      <c r="H21" s="19">
        <f>IFERROR(__xludf.DUMMYFUNCTION("""COMPUTED_VALUE"""),0.00206)</f>
        <v>0.00206</v>
      </c>
      <c r="I21" s="19">
        <f>IFERROR(__xludf.DUMMYFUNCTION("""COMPUTED_VALUE"""),0.00216)</f>
        <v>0.00216</v>
      </c>
      <c r="J21" s="19">
        <f>IFERROR(__xludf.DUMMYFUNCTION("""COMPUTED_VALUE"""),0.04003)</f>
        <v>0.04003</v>
      </c>
      <c r="K21" s="19">
        <f>IFERROR(__xludf.DUMMYFUNCTION("""COMPUTED_VALUE"""),0.03448)</f>
        <v>0.03448</v>
      </c>
      <c r="L21" s="19">
        <f>IFERROR(__xludf.DUMMYFUNCTION("""COMPUTED_VALUE"""),0.03819)</f>
        <v>0.03819</v>
      </c>
    </row>
    <row r="22">
      <c r="A22" s="12" t="s">
        <v>49</v>
      </c>
      <c r="F22" s="19">
        <f>IFERROR(__xludf.DUMMYFUNCTION("SPLIT(A22, "" |"")"),19.0)</f>
        <v>19</v>
      </c>
      <c r="G22" s="19">
        <f>IFERROR(__xludf.DUMMYFUNCTION("""COMPUTED_VALUE"""),0.00227)</f>
        <v>0.00227</v>
      </c>
      <c r="H22" s="19">
        <f>IFERROR(__xludf.DUMMYFUNCTION("""COMPUTED_VALUE"""),0.00208)</f>
        <v>0.00208</v>
      </c>
      <c r="I22" s="19">
        <f>IFERROR(__xludf.DUMMYFUNCTION("""COMPUTED_VALUE"""),0.00213)</f>
        <v>0.00213</v>
      </c>
      <c r="J22" s="19">
        <f>IFERROR(__xludf.DUMMYFUNCTION("""COMPUTED_VALUE"""),0.0401)</f>
        <v>0.0401</v>
      </c>
      <c r="K22" s="19">
        <f>IFERROR(__xludf.DUMMYFUNCTION("""COMPUTED_VALUE"""),0.0391)</f>
        <v>0.0391</v>
      </c>
      <c r="L22" s="19">
        <f>IFERROR(__xludf.DUMMYFUNCTION("""COMPUTED_VALUE"""),0.04008)</f>
        <v>0.04008</v>
      </c>
    </row>
    <row r="23">
      <c r="A23" s="12" t="s">
        <v>50</v>
      </c>
      <c r="F23" s="19">
        <f>IFERROR(__xludf.DUMMYFUNCTION("SPLIT(A23, "" |"")"),20.0)</f>
        <v>20</v>
      </c>
      <c r="G23" s="19">
        <f>IFERROR(__xludf.DUMMYFUNCTION("""COMPUTED_VALUE"""),0.0023)</f>
        <v>0.0023</v>
      </c>
      <c r="H23" s="19">
        <f>IFERROR(__xludf.DUMMYFUNCTION("""COMPUTED_VALUE"""),0.00207)</f>
        <v>0.00207</v>
      </c>
      <c r="I23" s="19">
        <f>IFERROR(__xludf.DUMMYFUNCTION("""COMPUTED_VALUE"""),0.00203)</f>
        <v>0.00203</v>
      </c>
      <c r="J23" s="19">
        <f>IFERROR(__xludf.DUMMYFUNCTION("""COMPUTED_VALUE"""),0.03991)</f>
        <v>0.03991</v>
      </c>
      <c r="K23" s="19">
        <f>IFERROR(__xludf.DUMMYFUNCTION("""COMPUTED_VALUE"""),0.04018)</f>
        <v>0.04018</v>
      </c>
      <c r="L23" s="19">
        <f>IFERROR(__xludf.DUMMYFUNCTION("""COMPUTED_VALUE"""),0.04018)</f>
        <v>0.04018</v>
      </c>
    </row>
    <row r="24">
      <c r="A24" s="12" t="s">
        <v>51</v>
      </c>
      <c r="F24" s="19">
        <f>IFERROR(__xludf.DUMMYFUNCTION("SPLIT(A24, "" |"")"),21.0)</f>
        <v>21</v>
      </c>
      <c r="G24" s="19">
        <f>IFERROR(__xludf.DUMMYFUNCTION("""COMPUTED_VALUE"""),0.00216)</f>
        <v>0.00216</v>
      </c>
      <c r="H24" s="19">
        <f>IFERROR(__xludf.DUMMYFUNCTION("""COMPUTED_VALUE"""),0.00203)</f>
        <v>0.00203</v>
      </c>
      <c r="I24" s="19">
        <f>IFERROR(__xludf.DUMMYFUNCTION("""COMPUTED_VALUE"""),0.0021)</f>
        <v>0.0021</v>
      </c>
      <c r="J24" s="19">
        <f>IFERROR(__xludf.DUMMYFUNCTION("""COMPUTED_VALUE"""),0.03616)</f>
        <v>0.03616</v>
      </c>
      <c r="K24" s="19">
        <f>IFERROR(__xludf.DUMMYFUNCTION("""COMPUTED_VALUE"""),0.03977)</f>
        <v>0.03977</v>
      </c>
      <c r="L24" s="19">
        <f>IFERROR(__xludf.DUMMYFUNCTION("""COMPUTED_VALUE"""),0.04014)</f>
        <v>0.04014</v>
      </c>
    </row>
    <row r="25">
      <c r="A25" s="12" t="s">
        <v>52</v>
      </c>
      <c r="F25" s="19">
        <f>IFERROR(__xludf.DUMMYFUNCTION("SPLIT(A25, "" |"")"),22.0)</f>
        <v>22</v>
      </c>
      <c r="G25" s="19">
        <f>IFERROR(__xludf.DUMMYFUNCTION("""COMPUTED_VALUE"""),0.00231)</f>
        <v>0.00231</v>
      </c>
      <c r="H25" s="19">
        <f>IFERROR(__xludf.DUMMYFUNCTION("""COMPUTED_VALUE"""),0.0021)</f>
        <v>0.0021</v>
      </c>
      <c r="I25" s="19">
        <f>IFERROR(__xludf.DUMMYFUNCTION("""COMPUTED_VALUE"""),0.00225)</f>
        <v>0.00225</v>
      </c>
      <c r="J25" s="19">
        <f>IFERROR(__xludf.DUMMYFUNCTION("""COMPUTED_VALUE"""),0.03769)</f>
        <v>0.03769</v>
      </c>
      <c r="K25" s="19">
        <f>IFERROR(__xludf.DUMMYFUNCTION("""COMPUTED_VALUE"""),0.0374)</f>
        <v>0.0374</v>
      </c>
      <c r="L25" s="19">
        <f>IFERROR(__xludf.DUMMYFUNCTION("""COMPUTED_VALUE"""),0.04003)</f>
        <v>0.04003</v>
      </c>
    </row>
    <row r="26">
      <c r="A26" s="12" t="s">
        <v>53</v>
      </c>
      <c r="F26" s="19">
        <f>IFERROR(__xludf.DUMMYFUNCTION("SPLIT(A26, "" |"")"),23.0)</f>
        <v>23</v>
      </c>
      <c r="G26" s="19">
        <f>IFERROR(__xludf.DUMMYFUNCTION("""COMPUTED_VALUE"""),0.00197)</f>
        <v>0.00197</v>
      </c>
      <c r="H26" s="19">
        <f>IFERROR(__xludf.DUMMYFUNCTION("""COMPUTED_VALUE"""),0.00221)</f>
        <v>0.00221</v>
      </c>
      <c r="I26" s="19">
        <f>IFERROR(__xludf.DUMMYFUNCTION("""COMPUTED_VALUE"""),0.00217)</f>
        <v>0.00217</v>
      </c>
      <c r="J26" s="19">
        <f>IFERROR(__xludf.DUMMYFUNCTION("""COMPUTED_VALUE"""),0.03728)</f>
        <v>0.03728</v>
      </c>
      <c r="K26" s="19">
        <f>IFERROR(__xludf.DUMMYFUNCTION("""COMPUTED_VALUE"""),0.04009)</f>
        <v>0.04009</v>
      </c>
      <c r="L26" s="19">
        <f>IFERROR(__xludf.DUMMYFUNCTION("""COMPUTED_VALUE"""),0.03989)</f>
        <v>0.03989</v>
      </c>
    </row>
    <row r="27">
      <c r="A27" s="12" t="s">
        <v>54</v>
      </c>
      <c r="F27" s="19">
        <f>IFERROR(__xludf.DUMMYFUNCTION("SPLIT(A27, "" |"")"),24.0)</f>
        <v>24</v>
      </c>
      <c r="G27" s="19">
        <f>IFERROR(__xludf.DUMMYFUNCTION("""COMPUTED_VALUE"""),0.00228)</f>
        <v>0.00228</v>
      </c>
      <c r="H27" s="19">
        <f>IFERROR(__xludf.DUMMYFUNCTION("""COMPUTED_VALUE"""),0.00202)</f>
        <v>0.00202</v>
      </c>
      <c r="I27" s="19">
        <f>IFERROR(__xludf.DUMMYFUNCTION("""COMPUTED_VALUE"""),0.00246)</f>
        <v>0.00246</v>
      </c>
      <c r="J27" s="19">
        <f>IFERROR(__xludf.DUMMYFUNCTION("""COMPUTED_VALUE"""),0.03954)</f>
        <v>0.03954</v>
      </c>
      <c r="K27" s="19">
        <f>IFERROR(__xludf.DUMMYFUNCTION("""COMPUTED_VALUE"""),0.0754)</f>
        <v>0.0754</v>
      </c>
      <c r="L27" s="19">
        <f>IFERROR(__xludf.DUMMYFUNCTION("""COMPUTED_VALUE"""),0.03992)</f>
        <v>0.03992</v>
      </c>
    </row>
    <row r="28">
      <c r="A28" s="12" t="s">
        <v>55</v>
      </c>
      <c r="F28" s="19">
        <f>IFERROR(__xludf.DUMMYFUNCTION("SPLIT(A28, "" |"")"),25.0)</f>
        <v>25</v>
      </c>
      <c r="G28" s="19">
        <f>IFERROR(__xludf.DUMMYFUNCTION("""COMPUTED_VALUE"""),0.0022)</f>
        <v>0.0022</v>
      </c>
      <c r="H28" s="19">
        <f>IFERROR(__xludf.DUMMYFUNCTION("""COMPUTED_VALUE"""),0.00202)</f>
        <v>0.00202</v>
      </c>
      <c r="I28" s="19">
        <f>IFERROR(__xludf.DUMMYFUNCTION("""COMPUTED_VALUE"""),0.00237)</f>
        <v>0.00237</v>
      </c>
      <c r="J28" s="19">
        <f>IFERROR(__xludf.DUMMYFUNCTION("""COMPUTED_VALUE"""),0.03518)</f>
        <v>0.03518</v>
      </c>
      <c r="K28" s="19">
        <f>IFERROR(__xludf.DUMMYFUNCTION("""COMPUTED_VALUE"""),0.077)</f>
        <v>0.077</v>
      </c>
      <c r="L28" s="19">
        <f>IFERROR(__xludf.DUMMYFUNCTION("""COMPUTED_VALUE"""),0.03983)</f>
        <v>0.03983</v>
      </c>
    </row>
    <row r="29">
      <c r="A29" s="12" t="s">
        <v>56</v>
      </c>
      <c r="F29" s="19">
        <f>IFERROR(__xludf.DUMMYFUNCTION("SPLIT(A29, "" |"")"),26.0)</f>
        <v>26</v>
      </c>
      <c r="G29" s="19">
        <f>IFERROR(__xludf.DUMMYFUNCTION("""COMPUTED_VALUE"""),0.002)</f>
        <v>0.002</v>
      </c>
      <c r="H29" s="19">
        <f>IFERROR(__xludf.DUMMYFUNCTION("""COMPUTED_VALUE"""),0.00482)</f>
        <v>0.00482</v>
      </c>
      <c r="I29" s="19">
        <f>IFERROR(__xludf.DUMMYFUNCTION("""COMPUTED_VALUE"""),0.00216)</f>
        <v>0.00216</v>
      </c>
      <c r="J29" s="19">
        <f>IFERROR(__xludf.DUMMYFUNCTION("""COMPUTED_VALUE"""),0.03999)</f>
        <v>0.03999</v>
      </c>
      <c r="K29" s="19">
        <f>IFERROR(__xludf.DUMMYFUNCTION("""COMPUTED_VALUE"""),0.07702)</f>
        <v>0.07702</v>
      </c>
      <c r="L29" s="19">
        <f>IFERROR(__xludf.DUMMYFUNCTION("""COMPUTED_VALUE"""),0.03582)</f>
        <v>0.03582</v>
      </c>
    </row>
    <row r="30">
      <c r="A30" s="12" t="s">
        <v>57</v>
      </c>
      <c r="F30" s="19">
        <f>IFERROR(__xludf.DUMMYFUNCTION("SPLIT(A30, "" |"")"),27.0)</f>
        <v>27</v>
      </c>
      <c r="G30" s="19">
        <f>IFERROR(__xludf.DUMMYFUNCTION("""COMPUTED_VALUE"""),0.00247)</f>
        <v>0.00247</v>
      </c>
      <c r="H30" s="19">
        <f>IFERROR(__xludf.DUMMYFUNCTION("""COMPUTED_VALUE"""),0.00465)</f>
        <v>0.00465</v>
      </c>
      <c r="I30" s="19">
        <f>IFERROR(__xludf.DUMMYFUNCTION("""COMPUTED_VALUE"""),0.00225)</f>
        <v>0.00225</v>
      </c>
      <c r="J30" s="19">
        <f>IFERROR(__xludf.DUMMYFUNCTION("""COMPUTED_VALUE"""),0.03629)</f>
        <v>0.03629</v>
      </c>
      <c r="K30" s="19">
        <f>IFERROR(__xludf.DUMMYFUNCTION("""COMPUTED_VALUE"""),0.1326)</f>
        <v>0.1326</v>
      </c>
      <c r="L30" s="19">
        <f>IFERROR(__xludf.DUMMYFUNCTION("""COMPUTED_VALUE"""),0.03608)</f>
        <v>0.03608</v>
      </c>
    </row>
    <row r="31">
      <c r="A31" s="12" t="s">
        <v>58</v>
      </c>
      <c r="F31" s="19">
        <f>IFERROR(__xludf.DUMMYFUNCTION("SPLIT(A31, "" |"")"),28.0)</f>
        <v>28</v>
      </c>
      <c r="G31" s="19">
        <f>IFERROR(__xludf.DUMMYFUNCTION("""COMPUTED_VALUE"""),0.00231)</f>
        <v>0.00231</v>
      </c>
      <c r="H31" s="19">
        <f>IFERROR(__xludf.DUMMYFUNCTION("""COMPUTED_VALUE"""),0.00465)</f>
        <v>0.00465</v>
      </c>
      <c r="I31" s="19">
        <f>IFERROR(__xludf.DUMMYFUNCTION("""COMPUTED_VALUE"""),0.00231)</f>
        <v>0.00231</v>
      </c>
      <c r="J31" s="19">
        <f>IFERROR(__xludf.DUMMYFUNCTION("""COMPUTED_VALUE"""),0.03692)</f>
        <v>0.03692</v>
      </c>
      <c r="K31" s="19">
        <f>IFERROR(__xludf.DUMMYFUNCTION("""COMPUTED_VALUE"""),0.13225)</f>
        <v>0.13225</v>
      </c>
      <c r="L31" s="19">
        <f>IFERROR(__xludf.DUMMYFUNCTION("""COMPUTED_VALUE"""),0.03713)</f>
        <v>0.03713</v>
      </c>
    </row>
    <row r="32">
      <c r="A32" s="12" t="s">
        <v>59</v>
      </c>
      <c r="F32" s="19">
        <f>IFERROR(__xludf.DUMMYFUNCTION("SPLIT(A32, "" |"")"),29.0)</f>
        <v>29</v>
      </c>
      <c r="G32" s="19">
        <f>IFERROR(__xludf.DUMMYFUNCTION("""COMPUTED_VALUE"""),0.00189)</f>
        <v>0.00189</v>
      </c>
      <c r="H32" s="19">
        <f>IFERROR(__xludf.DUMMYFUNCTION("""COMPUTED_VALUE"""),0.00955)</f>
        <v>0.00955</v>
      </c>
      <c r="I32" s="19">
        <f>IFERROR(__xludf.DUMMYFUNCTION("""COMPUTED_VALUE"""),0.0022)</f>
        <v>0.0022</v>
      </c>
      <c r="J32" s="19">
        <f>IFERROR(__xludf.DUMMYFUNCTION("""COMPUTED_VALUE"""),0.0402)</f>
        <v>0.0402</v>
      </c>
      <c r="K32" s="19">
        <f>IFERROR(__xludf.DUMMYFUNCTION("""COMPUTED_VALUE"""),0.23568)</f>
        <v>0.23568</v>
      </c>
      <c r="L32" s="19">
        <f>IFERROR(__xludf.DUMMYFUNCTION("""COMPUTED_VALUE"""),0.03984)</f>
        <v>0.03984</v>
      </c>
    </row>
    <row r="33">
      <c r="A33" s="12" t="s">
        <v>60</v>
      </c>
      <c r="F33" s="19">
        <f>IFERROR(__xludf.DUMMYFUNCTION("SPLIT(A33, "" |"")"),30.0)</f>
        <v>30</v>
      </c>
      <c r="G33" s="19">
        <f>IFERROR(__xludf.DUMMYFUNCTION("""COMPUTED_VALUE"""),0.00192)</f>
        <v>0.00192</v>
      </c>
      <c r="H33" s="19">
        <f>IFERROR(__xludf.DUMMYFUNCTION("""COMPUTED_VALUE"""),0.0085)</f>
        <v>0.0085</v>
      </c>
      <c r="I33" s="19">
        <f>IFERROR(__xludf.DUMMYFUNCTION("""COMPUTED_VALUE"""),0.00253)</f>
        <v>0.00253</v>
      </c>
      <c r="J33" s="19">
        <f>IFERROR(__xludf.DUMMYFUNCTION("""COMPUTED_VALUE"""),0.03866)</f>
        <v>0.03866</v>
      </c>
      <c r="K33" s="19">
        <f>IFERROR(__xludf.DUMMYFUNCTION("""COMPUTED_VALUE"""),0.28887)</f>
        <v>0.28887</v>
      </c>
      <c r="L33" s="19">
        <f>IFERROR(__xludf.DUMMYFUNCTION("""COMPUTED_VALUE"""),0.03988)</f>
        <v>0.03988</v>
      </c>
    </row>
    <row r="34">
      <c r="A34" s="12" t="s">
        <v>61</v>
      </c>
      <c r="F34" s="19">
        <f>IFERROR(__xludf.DUMMYFUNCTION("SPLIT(A34, "" |"")"),31.0)</f>
        <v>31</v>
      </c>
      <c r="G34" s="19">
        <f>IFERROR(__xludf.DUMMYFUNCTION("""COMPUTED_VALUE"""),0.0022)</f>
        <v>0.0022</v>
      </c>
      <c r="H34" s="19">
        <f>IFERROR(__xludf.DUMMYFUNCTION("""COMPUTED_VALUE"""),0.01977)</f>
        <v>0.01977</v>
      </c>
      <c r="I34" s="19">
        <f>IFERROR(__xludf.DUMMYFUNCTION("""COMPUTED_VALUE"""),0.00226)</f>
        <v>0.00226</v>
      </c>
      <c r="J34" s="19">
        <f>IFERROR(__xludf.DUMMYFUNCTION("""COMPUTED_VALUE"""),0.03986)</f>
        <v>0.03986</v>
      </c>
      <c r="K34" s="19">
        <f>IFERROR(__xludf.DUMMYFUNCTION("""COMPUTED_VALUE"""),0.45621)</f>
        <v>0.45621</v>
      </c>
      <c r="L34" s="19">
        <f>IFERROR(__xludf.DUMMYFUNCTION("""COMPUTED_VALUE"""),0.03885)</f>
        <v>0.03885</v>
      </c>
    </row>
    <row r="35">
      <c r="A35" s="12" t="s">
        <v>62</v>
      </c>
      <c r="F35" s="19">
        <f>IFERROR(__xludf.DUMMYFUNCTION("SPLIT(A35, "" |"")"),32.0)</f>
        <v>32</v>
      </c>
      <c r="G35" s="19">
        <f>IFERROR(__xludf.DUMMYFUNCTION("""COMPUTED_VALUE"""),0.00226)</f>
        <v>0.00226</v>
      </c>
      <c r="H35" s="19">
        <f>IFERROR(__xludf.DUMMYFUNCTION("""COMPUTED_VALUE"""),0.03442)</f>
        <v>0.03442</v>
      </c>
      <c r="I35" s="19">
        <f>IFERROR(__xludf.DUMMYFUNCTION("""COMPUTED_VALUE"""),0.00216)</f>
        <v>0.00216</v>
      </c>
      <c r="J35" s="19">
        <f>IFERROR(__xludf.DUMMYFUNCTION("""COMPUTED_VALUE"""),0.03966)</f>
        <v>0.03966</v>
      </c>
      <c r="K35" s="19">
        <f>IFERROR(__xludf.DUMMYFUNCTION("""COMPUTED_VALUE"""),0.72182)</f>
        <v>0.72182</v>
      </c>
      <c r="L35" s="19">
        <f>IFERROR(__xludf.DUMMYFUNCTION("""COMPUTED_VALUE"""),0.03636)</f>
        <v>0.03636</v>
      </c>
    </row>
    <row r="36">
      <c r="A36" s="12" t="s">
        <v>63</v>
      </c>
      <c r="F36" s="19">
        <f>IFERROR(__xludf.DUMMYFUNCTION("SPLIT(A36, "" |"")"),33.0)</f>
        <v>33</v>
      </c>
      <c r="G36" s="19">
        <f>IFERROR(__xludf.DUMMYFUNCTION("""COMPUTED_VALUE"""),0.00215)</f>
        <v>0.00215</v>
      </c>
      <c r="H36" s="19">
        <f>IFERROR(__xludf.DUMMYFUNCTION("""COMPUTED_VALUE"""),0.03985)</f>
        <v>0.03985</v>
      </c>
      <c r="I36" s="19">
        <f>IFERROR(__xludf.DUMMYFUNCTION("""COMPUTED_VALUE"""),0.00194)</f>
        <v>0.00194</v>
      </c>
      <c r="J36" s="19">
        <f>IFERROR(__xludf.DUMMYFUNCTION("""COMPUTED_VALUE"""),0.03659)</f>
        <v>0.03659</v>
      </c>
      <c r="K36" s="19">
        <f>IFERROR(__xludf.DUMMYFUNCTION("""COMPUTED_VALUE"""),1.11579)</f>
        <v>1.11579</v>
      </c>
      <c r="L36" s="19">
        <f>IFERROR(__xludf.DUMMYFUNCTION("""COMPUTED_VALUE"""),0.0401)</f>
        <v>0.0401</v>
      </c>
    </row>
    <row r="37">
      <c r="A37" s="12" t="s">
        <v>64</v>
      </c>
      <c r="F37" s="19">
        <f>IFERROR(__xludf.DUMMYFUNCTION("SPLIT(A37, "" |"")"),34.0)</f>
        <v>34</v>
      </c>
      <c r="G37" s="19">
        <f>IFERROR(__xludf.DUMMYFUNCTION("""COMPUTED_VALUE"""),0.00229)</f>
        <v>0.00229</v>
      </c>
      <c r="H37" s="19">
        <f>IFERROR(__xludf.DUMMYFUNCTION("""COMPUTED_VALUE"""),0.07697)</f>
        <v>0.07697</v>
      </c>
      <c r="I37" s="19">
        <f>IFERROR(__xludf.DUMMYFUNCTION("""COMPUTED_VALUE"""),0.00236)</f>
        <v>0.00236</v>
      </c>
      <c r="J37" s="19">
        <f>IFERROR(__xludf.DUMMYFUNCTION("""COMPUTED_VALUE"""),0.03764)</f>
        <v>0.03764</v>
      </c>
      <c r="K37" s="19">
        <f>IFERROR(__xludf.DUMMYFUNCTION("""COMPUTED_VALUE"""),1.80008)</f>
        <v>1.80008</v>
      </c>
      <c r="L37" s="19">
        <f>IFERROR(__xludf.DUMMYFUNCTION("""COMPUTED_VALUE"""),0.0395)</f>
        <v>0.0395</v>
      </c>
    </row>
    <row r="38">
      <c r="A38" s="12" t="s">
        <v>65</v>
      </c>
      <c r="F38" s="19">
        <f>IFERROR(__xludf.DUMMYFUNCTION("SPLIT(A38, "" |"")"),35.0)</f>
        <v>35</v>
      </c>
      <c r="G38" s="19">
        <f>IFERROR(__xludf.DUMMYFUNCTION("""COMPUTED_VALUE"""),0.00203)</f>
        <v>0.00203</v>
      </c>
      <c r="H38" s="19">
        <f>IFERROR(__xludf.DUMMYFUNCTION("""COMPUTED_VALUE"""),0.12613)</f>
        <v>0.12613</v>
      </c>
      <c r="I38" s="19">
        <f>IFERROR(__xludf.DUMMYFUNCTION("""COMPUTED_VALUE"""),0.00199)</f>
        <v>0.00199</v>
      </c>
      <c r="J38" s="19">
        <f>IFERROR(__xludf.DUMMYFUNCTION("""COMPUTED_VALUE"""),0.04002)</f>
        <v>0.04002</v>
      </c>
      <c r="K38" s="19">
        <f>IFERROR(__xludf.DUMMYFUNCTION("""COMPUTED_VALUE"""),2.87887)</f>
        <v>2.87887</v>
      </c>
      <c r="L38" s="19">
        <f>IFERROR(__xludf.DUMMYFUNCTION("""COMPUTED_VALUE"""),0.03944)</f>
        <v>0.03944</v>
      </c>
    </row>
    <row r="39">
      <c r="A39" s="12" t="s">
        <v>66</v>
      </c>
      <c r="F39" s="19">
        <f>IFERROR(__xludf.DUMMYFUNCTION("SPLIT(A39, "" |"")"),36.0)</f>
        <v>36</v>
      </c>
      <c r="G39" s="19">
        <f>IFERROR(__xludf.DUMMYFUNCTION("""COMPUTED_VALUE"""),0.00228)</f>
        <v>0.00228</v>
      </c>
      <c r="H39" s="19">
        <f>IFERROR(__xludf.DUMMYFUNCTION("""COMPUTED_VALUE"""),0.17971)</f>
        <v>0.17971</v>
      </c>
      <c r="I39" s="19">
        <f>IFERROR(__xludf.DUMMYFUNCTION("""COMPUTED_VALUE"""),0.00207)</f>
        <v>0.00207</v>
      </c>
      <c r="J39" s="19">
        <f>IFERROR(__xludf.DUMMYFUNCTION("""COMPUTED_VALUE"""),0.03881)</f>
        <v>0.03881</v>
      </c>
      <c r="K39" s="19">
        <f>IFERROR(__xludf.DUMMYFUNCTION("""COMPUTED_VALUE"""),4.65492)</f>
        <v>4.65492</v>
      </c>
      <c r="L39" s="19">
        <f>IFERROR(__xludf.DUMMYFUNCTION("""COMPUTED_VALUE"""),0.04042)</f>
        <v>0.04042</v>
      </c>
    </row>
    <row r="40">
      <c r="A40" s="12" t="s">
        <v>67</v>
      </c>
      <c r="F40" s="19">
        <f>IFERROR(__xludf.DUMMYFUNCTION("SPLIT(A40, "" |"")"),37.0)</f>
        <v>37</v>
      </c>
      <c r="G40" s="19">
        <f>IFERROR(__xludf.DUMMYFUNCTION("""COMPUTED_VALUE"""),0.00222)</f>
        <v>0.00222</v>
      </c>
      <c r="H40" s="19">
        <f>IFERROR(__xludf.DUMMYFUNCTION("""COMPUTED_VALUE"""),0.23709)</f>
        <v>0.23709</v>
      </c>
      <c r="I40" s="19">
        <f>IFERROR(__xludf.DUMMYFUNCTION("""COMPUTED_VALUE"""),0.00206)</f>
        <v>0.00206</v>
      </c>
      <c r="J40" s="19">
        <f>IFERROR(__xludf.DUMMYFUNCTION("""COMPUTED_VALUE"""),0.03957)</f>
        <v>0.03957</v>
      </c>
      <c r="K40" s="19">
        <f>IFERROR(__xludf.DUMMYFUNCTION("""COMPUTED_VALUE"""),7.58661)</f>
        <v>7.58661</v>
      </c>
      <c r="L40" s="19">
        <f>IFERROR(__xludf.DUMMYFUNCTION("""COMPUTED_VALUE"""),0.03882)</f>
        <v>0.03882</v>
      </c>
    </row>
    <row r="41">
      <c r="A41" s="12" t="s">
        <v>68</v>
      </c>
      <c r="F41" s="19">
        <f>IFERROR(__xludf.DUMMYFUNCTION("SPLIT(A41, "" |"")"),38.0)</f>
        <v>38</v>
      </c>
      <c r="G41" s="19">
        <f>IFERROR(__xludf.DUMMYFUNCTION("""COMPUTED_VALUE"""),0.00262)</f>
        <v>0.00262</v>
      </c>
      <c r="H41" s="19">
        <f>IFERROR(__xludf.DUMMYFUNCTION("""COMPUTED_VALUE"""),0.40367)</f>
        <v>0.40367</v>
      </c>
      <c r="I41" s="19">
        <f>IFERROR(__xludf.DUMMYFUNCTION("""COMPUTED_VALUE"""),0.00224)</f>
        <v>0.00224</v>
      </c>
      <c r="J41" s="19">
        <f>IFERROR(__xludf.DUMMYFUNCTION("""COMPUTED_VALUE"""),0.0399)</f>
        <v>0.0399</v>
      </c>
      <c r="K41" s="19">
        <f>IFERROR(__xludf.DUMMYFUNCTION("""COMPUTED_VALUE"""),12.06017)</f>
        <v>12.06017</v>
      </c>
      <c r="L41" s="19">
        <f>IFERROR(__xludf.DUMMYFUNCTION("""COMPUTED_VALUE"""),0.03996)</f>
        <v>0.03996</v>
      </c>
    </row>
    <row r="42">
      <c r="A42" s="12" t="s">
        <v>69</v>
      </c>
      <c r="F42" s="19">
        <f>IFERROR(__xludf.DUMMYFUNCTION("SPLIT(A42, "" |"")"),39.0)</f>
        <v>39</v>
      </c>
      <c r="G42" s="19">
        <f>IFERROR(__xludf.DUMMYFUNCTION("""COMPUTED_VALUE"""),0.00257)</f>
        <v>0.00257</v>
      </c>
      <c r="H42" s="19">
        <f>IFERROR(__xludf.DUMMYFUNCTION("""COMPUTED_VALUE"""),0.56582)</f>
        <v>0.56582</v>
      </c>
      <c r="I42" s="19">
        <f>IFERROR(__xludf.DUMMYFUNCTION("""COMPUTED_VALUE"""),0.0022)</f>
        <v>0.0022</v>
      </c>
      <c r="J42" s="19">
        <f>IFERROR(__xludf.DUMMYFUNCTION("""COMPUTED_VALUE"""),0.0395)</f>
        <v>0.0395</v>
      </c>
      <c r="K42" s="19">
        <f>IFERROR(__xludf.DUMMYFUNCTION("""COMPUTED_VALUE"""),19.04057)</f>
        <v>19.04057</v>
      </c>
      <c r="L42" s="19">
        <f>IFERROR(__xludf.DUMMYFUNCTION("""COMPUTED_VALUE"""),0.03906)</f>
        <v>0.03906</v>
      </c>
    </row>
    <row r="43">
      <c r="A43" s="12" t="s">
        <v>70</v>
      </c>
      <c r="F43" s="19">
        <f>IFERROR(__xludf.DUMMYFUNCTION("SPLIT(A43, "" |"")"),40.0)</f>
        <v>40</v>
      </c>
      <c r="G43" s="19">
        <f>IFERROR(__xludf.DUMMYFUNCTION("""COMPUTED_VALUE"""),0.00218)</f>
        <v>0.00218</v>
      </c>
      <c r="H43" s="19">
        <f>IFERROR(__xludf.DUMMYFUNCTION("""COMPUTED_VALUE"""),0.89076)</f>
        <v>0.89076</v>
      </c>
      <c r="I43" s="19">
        <f>IFERROR(__xludf.DUMMYFUNCTION("""COMPUTED_VALUE"""),0.00287)</f>
        <v>0.00287</v>
      </c>
      <c r="J43" s="19">
        <f>IFERROR(__xludf.DUMMYFUNCTION("""COMPUTED_VALUE"""),0.04011)</f>
        <v>0.04011</v>
      </c>
      <c r="K43" s="19">
        <f>IFERROR(__xludf.DUMMYFUNCTION("""COMPUTED_VALUE"""),30.71528)</f>
        <v>30.71528</v>
      </c>
      <c r="L43" s="19">
        <f>IFERROR(__xludf.DUMMYFUNCTION("""COMPUTED_VALUE"""),0.04019)</f>
        <v>0.04019</v>
      </c>
    </row>
    <row r="44">
      <c r="A44" s="12" t="s">
        <v>71</v>
      </c>
      <c r="F44" s="19">
        <f>IFERROR(__xludf.DUMMYFUNCTION("SPLIT(A44, "" |"")"),41.0)</f>
        <v>41</v>
      </c>
      <c r="G44" s="19">
        <f>IFERROR(__xludf.DUMMYFUNCTION("""COMPUTED_VALUE"""),0.00217)</f>
        <v>0.00217</v>
      </c>
      <c r="H44" s="19">
        <f>IFERROR(__xludf.DUMMYFUNCTION("""COMPUTED_VALUE"""),1.43641)</f>
        <v>1.43641</v>
      </c>
      <c r="I44" s="19">
        <f>IFERROR(__xludf.DUMMYFUNCTION("""COMPUTED_VALUE"""),0.00302)</f>
        <v>0.00302</v>
      </c>
      <c r="J44" s="19">
        <f>IFERROR(__xludf.DUMMYFUNCTION("""COMPUTED_VALUE"""),0.04031)</f>
        <v>0.04031</v>
      </c>
      <c r="K44" s="19">
        <f>IFERROR(__xludf.DUMMYFUNCTION("""COMPUTED_VALUE"""),50.16782)</f>
        <v>50.16782</v>
      </c>
      <c r="L44" s="19">
        <f>IFERROR(__xludf.DUMMYFUNCTION("""COMPUTED_VALUE"""),0.03985)</f>
        <v>0.03985</v>
      </c>
    </row>
    <row r="45">
      <c r="A45" s="12" t="s">
        <v>72</v>
      </c>
      <c r="F45" s="19">
        <f>IFERROR(__xludf.DUMMYFUNCTION("SPLIT(A45, "" |"")"),42.0)</f>
        <v>42</v>
      </c>
      <c r="G45" s="19">
        <f>IFERROR(__xludf.DUMMYFUNCTION("""COMPUTED_VALUE"""),0.00217)</f>
        <v>0.00217</v>
      </c>
      <c r="H45" s="19">
        <f>IFERROR(__xludf.DUMMYFUNCTION("""COMPUTED_VALUE"""),2.36027)</f>
        <v>2.36027</v>
      </c>
      <c r="I45" s="19">
        <f>IFERROR(__xludf.DUMMYFUNCTION("""COMPUTED_VALUE"""),0.00232)</f>
        <v>0.00232</v>
      </c>
      <c r="J45" s="19">
        <f>IFERROR(__xludf.DUMMYFUNCTION("""COMPUTED_VALUE"""),0.03815)</f>
        <v>0.03815</v>
      </c>
      <c r="K45" s="19" t="str">
        <f>IFERROR(__xludf.DUMMYFUNCTION("""COMPUTED_VALUE"""),"-")</f>
        <v>-</v>
      </c>
      <c r="L45" s="19">
        <f>IFERROR(__xludf.DUMMYFUNCTION("""COMPUTED_VALUE"""),0.04318)</f>
        <v>0.04318</v>
      </c>
    </row>
    <row r="46">
      <c r="A46" s="12" t="s">
        <v>73</v>
      </c>
      <c r="F46" s="19">
        <f>IFERROR(__xludf.DUMMYFUNCTION("SPLIT(A46, "" |"")"),43.0)</f>
        <v>43</v>
      </c>
      <c r="G46" s="19">
        <f>IFERROR(__xludf.DUMMYFUNCTION("""COMPUTED_VALUE"""),0.00214)</f>
        <v>0.00214</v>
      </c>
      <c r="H46" s="19">
        <f>IFERROR(__xludf.DUMMYFUNCTION("""COMPUTED_VALUE"""),3.78674)</f>
        <v>3.78674</v>
      </c>
      <c r="I46" s="19">
        <f>IFERROR(__xludf.DUMMYFUNCTION("""COMPUTED_VALUE"""),0.0023)</f>
        <v>0.0023</v>
      </c>
      <c r="J46" s="19">
        <f>IFERROR(__xludf.DUMMYFUNCTION("""COMPUTED_VALUE"""),0.03749)</f>
        <v>0.03749</v>
      </c>
      <c r="K46" s="19" t="str">
        <f>IFERROR(__xludf.DUMMYFUNCTION("""COMPUTED_VALUE"""),"-")</f>
        <v>-</v>
      </c>
      <c r="L46" s="19">
        <f>IFERROR(__xludf.DUMMYFUNCTION("""COMPUTED_VALUE"""),0.03993)</f>
        <v>0.03993</v>
      </c>
    </row>
    <row r="47">
      <c r="A47" s="12" t="s">
        <v>74</v>
      </c>
      <c r="F47" s="19">
        <f>IFERROR(__xludf.DUMMYFUNCTION("SPLIT(A47, "" |"")"),44.0)</f>
        <v>44</v>
      </c>
      <c r="G47" s="19">
        <f>IFERROR(__xludf.DUMMYFUNCTION("""COMPUTED_VALUE"""),0.00225)</f>
        <v>0.00225</v>
      </c>
      <c r="H47" s="19">
        <f>IFERROR(__xludf.DUMMYFUNCTION("""COMPUTED_VALUE"""),6.09004)</f>
        <v>6.09004</v>
      </c>
      <c r="I47" s="19">
        <f>IFERROR(__xludf.DUMMYFUNCTION("""COMPUTED_VALUE"""),0.00225)</f>
        <v>0.00225</v>
      </c>
      <c r="J47" s="19">
        <f>IFERROR(__xludf.DUMMYFUNCTION("""COMPUTED_VALUE"""),0.03752)</f>
        <v>0.03752</v>
      </c>
      <c r="K47" s="19" t="str">
        <f>IFERROR(__xludf.DUMMYFUNCTION("""COMPUTED_VALUE"""),"-")</f>
        <v>-</v>
      </c>
      <c r="L47" s="19">
        <f>IFERROR(__xludf.DUMMYFUNCTION("""COMPUTED_VALUE"""),0.03898)</f>
        <v>0.03898</v>
      </c>
    </row>
    <row r="48">
      <c r="A48" s="12" t="s">
        <v>75</v>
      </c>
      <c r="F48" s="19">
        <f>IFERROR(__xludf.DUMMYFUNCTION("SPLIT(A48, "" |"")"),45.0)</f>
        <v>45</v>
      </c>
      <c r="G48" s="19">
        <f>IFERROR(__xludf.DUMMYFUNCTION("""COMPUTED_VALUE"""),0.0023)</f>
        <v>0.0023</v>
      </c>
      <c r="H48" s="19">
        <f>IFERROR(__xludf.DUMMYFUNCTION("""COMPUTED_VALUE"""),9.79067)</f>
        <v>9.79067</v>
      </c>
      <c r="I48" s="19">
        <f>IFERROR(__xludf.DUMMYFUNCTION("""COMPUTED_VALUE"""),0.00214)</f>
        <v>0.00214</v>
      </c>
      <c r="J48" s="19">
        <f>IFERROR(__xludf.DUMMYFUNCTION("""COMPUTED_VALUE"""),0.03539)</f>
        <v>0.03539</v>
      </c>
      <c r="K48" s="19" t="str">
        <f>IFERROR(__xludf.DUMMYFUNCTION("""COMPUTED_VALUE"""),"-")</f>
        <v>-</v>
      </c>
      <c r="L48" s="19">
        <f>IFERROR(__xludf.DUMMYFUNCTION("""COMPUTED_VALUE"""),0.03555)</f>
        <v>0.03555</v>
      </c>
    </row>
    <row r="49">
      <c r="A49" s="12" t="s">
        <v>76</v>
      </c>
      <c r="F49" s="19">
        <f>IFERROR(__xludf.DUMMYFUNCTION("SPLIT(A49, "" |"")"),46.0)</f>
        <v>46</v>
      </c>
      <c r="G49" s="19">
        <f>IFERROR(__xludf.DUMMYFUNCTION("""COMPUTED_VALUE"""),0.00204)</f>
        <v>0.00204</v>
      </c>
      <c r="H49" s="19">
        <f>IFERROR(__xludf.DUMMYFUNCTION("""COMPUTED_VALUE"""),16.11781)</f>
        <v>16.11781</v>
      </c>
      <c r="I49" s="19">
        <f>IFERROR(__xludf.DUMMYFUNCTION("""COMPUTED_VALUE"""),0.00532)</f>
        <v>0.00532</v>
      </c>
      <c r="J49" s="19">
        <f>IFERROR(__xludf.DUMMYFUNCTION("""COMPUTED_VALUE"""),0.03978)</f>
        <v>0.03978</v>
      </c>
      <c r="K49" s="19" t="str">
        <f>IFERROR(__xludf.DUMMYFUNCTION("""COMPUTED_VALUE"""),"-")</f>
        <v>-</v>
      </c>
      <c r="L49" s="19">
        <f>IFERROR(__xludf.DUMMYFUNCTION("""COMPUTED_VALUE"""),0.03982)</f>
        <v>0.03982</v>
      </c>
    </row>
    <row r="50">
      <c r="A50" s="12" t="s">
        <v>77</v>
      </c>
      <c r="F50" s="19">
        <f>IFERROR(__xludf.DUMMYFUNCTION("SPLIT(A50, "" |"")"),47.0)</f>
        <v>47</v>
      </c>
      <c r="G50" s="19">
        <f>IFERROR(__xludf.DUMMYFUNCTION("""COMPUTED_VALUE"""),0.00216)</f>
        <v>0.00216</v>
      </c>
      <c r="H50" s="19">
        <f>IFERROR(__xludf.DUMMYFUNCTION("""COMPUTED_VALUE"""),26.02638)</f>
        <v>26.02638</v>
      </c>
      <c r="I50" s="19">
        <f>IFERROR(__xludf.DUMMYFUNCTION("""COMPUTED_VALUE"""),0.00572)</f>
        <v>0.00572</v>
      </c>
      <c r="J50" s="19">
        <f>IFERROR(__xludf.DUMMYFUNCTION("""COMPUTED_VALUE"""),0.03951)</f>
        <v>0.03951</v>
      </c>
      <c r="K50" s="19" t="str">
        <f>IFERROR(__xludf.DUMMYFUNCTION("""COMPUTED_VALUE"""),"-")</f>
        <v>-</v>
      </c>
      <c r="L50" s="19">
        <f>IFERROR(__xludf.DUMMYFUNCTION("""COMPUTED_VALUE"""),0.03646)</f>
        <v>0.03646</v>
      </c>
    </row>
    <row r="51">
      <c r="A51" s="12" t="s">
        <v>78</v>
      </c>
      <c r="F51" s="19">
        <f>IFERROR(__xludf.DUMMYFUNCTION("SPLIT(A51, "" |"")"),48.0)</f>
        <v>48</v>
      </c>
      <c r="G51" s="19">
        <f>IFERROR(__xludf.DUMMYFUNCTION("""COMPUTED_VALUE"""),0.00234)</f>
        <v>0.00234</v>
      </c>
      <c r="H51" s="19">
        <f>IFERROR(__xludf.DUMMYFUNCTION("""COMPUTED_VALUE"""),42.33373)</f>
        <v>42.33373</v>
      </c>
      <c r="I51" s="19">
        <f>IFERROR(__xludf.DUMMYFUNCTION("""COMPUTED_VALUE"""),0.00595)</f>
        <v>0.00595</v>
      </c>
      <c r="J51" s="19">
        <f>IFERROR(__xludf.DUMMYFUNCTION("""COMPUTED_VALUE"""),0.07692)</f>
        <v>0.07692</v>
      </c>
      <c r="K51" s="19" t="str">
        <f>IFERROR(__xludf.DUMMYFUNCTION("""COMPUTED_VALUE"""),"-")</f>
        <v>-</v>
      </c>
      <c r="L51" s="19">
        <f>IFERROR(__xludf.DUMMYFUNCTION("""COMPUTED_VALUE"""),0.04005)</f>
        <v>0.04005</v>
      </c>
    </row>
    <row r="52">
      <c r="A52" s="12" t="s">
        <v>79</v>
      </c>
      <c r="F52" s="19">
        <f>IFERROR(__xludf.DUMMYFUNCTION("SPLIT(A52, "" |"")"),49.0)</f>
        <v>49</v>
      </c>
      <c r="G52" s="19">
        <f>IFERROR(__xludf.DUMMYFUNCTION("""COMPUTED_VALUE"""),0.00286)</f>
        <v>0.00286</v>
      </c>
      <c r="H52" s="19" t="str">
        <f>IFERROR(__xludf.DUMMYFUNCTION("""COMPUTED_VALUE"""),"-")</f>
        <v>-</v>
      </c>
      <c r="I52" s="19">
        <f>IFERROR(__xludf.DUMMYFUNCTION("""COMPUTED_VALUE"""),0.00312)</f>
        <v>0.00312</v>
      </c>
      <c r="J52" s="19">
        <f>IFERROR(__xludf.DUMMYFUNCTION("""COMPUTED_VALUE"""),0.04024)</f>
        <v>0.04024</v>
      </c>
      <c r="K52" s="19" t="str">
        <f>IFERROR(__xludf.DUMMYFUNCTION("""COMPUTED_VALUE"""),"-")</f>
        <v>-</v>
      </c>
      <c r="L52" s="19">
        <f>IFERROR(__xludf.DUMMYFUNCTION("""COMPUTED_VALUE"""),0.0381)</f>
        <v>0.0381</v>
      </c>
    </row>
    <row r="53">
      <c r="A53" s="12" t="s">
        <v>80</v>
      </c>
      <c r="F53" s="19">
        <f>IFERROR(__xludf.DUMMYFUNCTION("SPLIT(A53, "" |"")"),50.0)</f>
        <v>50</v>
      </c>
      <c r="G53" s="19">
        <f>IFERROR(__xludf.DUMMYFUNCTION("""COMPUTED_VALUE"""),0.0022)</f>
        <v>0.0022</v>
      </c>
      <c r="H53" s="19" t="str">
        <f>IFERROR(__xludf.DUMMYFUNCTION("""COMPUTED_VALUE"""),"-")</f>
        <v>-</v>
      </c>
      <c r="I53" s="19">
        <f>IFERROR(__xludf.DUMMYFUNCTION("""COMPUTED_VALUE"""),0.00204)</f>
        <v>0.00204</v>
      </c>
      <c r="J53" s="19">
        <f>IFERROR(__xludf.DUMMYFUNCTION("""COMPUTED_VALUE"""),0.03979)</f>
        <v>0.03979</v>
      </c>
      <c r="K53" s="19" t="str">
        <f>IFERROR(__xludf.DUMMYFUNCTION("""COMPUTED_VALUE"""),"-")</f>
        <v>-</v>
      </c>
      <c r="L53" s="19">
        <f>IFERROR(__xludf.DUMMYFUNCTION("""COMPUTED_VALUE"""),0.03981)</f>
        <v>0.03981</v>
      </c>
    </row>
  </sheetData>
  <mergeCells count="2">
    <mergeCell ref="G1:I1"/>
    <mergeCell ref="J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19.63"/>
    <col customWidth="1" min="26" max="26" width="14.25"/>
    <col customWidth="1" min="27" max="27" width="14.13"/>
  </cols>
  <sheetData>
    <row r="1">
      <c r="M1" s="20"/>
      <c r="N1" s="20" t="s">
        <v>81</v>
      </c>
      <c r="O1" s="18" t="s">
        <v>0</v>
      </c>
      <c r="P1" s="18" t="s">
        <v>1</v>
      </c>
      <c r="Q1" s="18" t="s">
        <v>2</v>
      </c>
      <c r="R1" s="18" t="s">
        <v>3</v>
      </c>
      <c r="S1" s="18" t="s">
        <v>4</v>
      </c>
      <c r="T1" s="18" t="s">
        <v>5</v>
      </c>
    </row>
    <row r="2">
      <c r="M2" s="20"/>
      <c r="N2" s="20" t="s">
        <v>6</v>
      </c>
      <c r="O2" s="19">
        <f t="shared" ref="O2:T2" si="1">QUARTILE(G6:G6006, 1)</f>
        <v>0.00231</v>
      </c>
      <c r="P2" s="19">
        <f t="shared" si="1"/>
        <v>0.00194</v>
      </c>
      <c r="Q2" s="19">
        <f t="shared" si="1"/>
        <v>0.00217</v>
      </c>
      <c r="R2" s="19">
        <f t="shared" si="1"/>
        <v>0.04723</v>
      </c>
      <c r="S2" s="19">
        <f t="shared" si="1"/>
        <v>0.0397375</v>
      </c>
      <c r="T2" s="19">
        <f t="shared" si="1"/>
        <v>0.046655</v>
      </c>
    </row>
    <row r="3">
      <c r="A3" s="12" t="s">
        <v>82</v>
      </c>
      <c r="M3" s="20"/>
      <c r="N3" s="20" t="s">
        <v>7</v>
      </c>
      <c r="O3" s="19">
        <f t="shared" ref="O3:T3" si="2">QUARTILE(G6:G6007, 3)</f>
        <v>0.00239</v>
      </c>
      <c r="P3" s="19">
        <f t="shared" si="2"/>
        <v>0.1173225</v>
      </c>
      <c r="Q3" s="19">
        <f t="shared" si="2"/>
        <v>0.00223</v>
      </c>
      <c r="R3" s="19">
        <f t="shared" si="2"/>
        <v>0.04746</v>
      </c>
      <c r="S3" s="19">
        <f t="shared" si="2"/>
        <v>0.332285</v>
      </c>
      <c r="T3" s="19">
        <f t="shared" si="2"/>
        <v>0.04763</v>
      </c>
      <c r="V3" s="20" t="s">
        <v>83</v>
      </c>
      <c r="W3" s="12"/>
      <c r="X3" s="20" t="s">
        <v>84</v>
      </c>
      <c r="Y3" s="12" t="s">
        <v>85</v>
      </c>
    </row>
    <row r="4">
      <c r="A4" s="12" t="s">
        <v>86</v>
      </c>
      <c r="M4" s="20"/>
      <c r="N4" s="20" t="s">
        <v>8</v>
      </c>
      <c r="O4" s="19">
        <f t="shared" ref="O4:T4" si="3">O3-O2</f>
        <v>0.00008</v>
      </c>
      <c r="P4" s="19">
        <f t="shared" si="3"/>
        <v>0.1153825</v>
      </c>
      <c r="Q4" s="19">
        <f t="shared" si="3"/>
        <v>0.00006</v>
      </c>
      <c r="R4" s="19">
        <f t="shared" si="3"/>
        <v>0.00023</v>
      </c>
      <c r="S4" s="19">
        <f t="shared" si="3"/>
        <v>0.2925475</v>
      </c>
      <c r="T4" s="19">
        <f t="shared" si="3"/>
        <v>0.000975</v>
      </c>
      <c r="V4" s="21" t="s">
        <v>87</v>
      </c>
      <c r="X4" s="12">
        <v>0.03167</v>
      </c>
      <c r="Y4" s="20" t="s">
        <v>88</v>
      </c>
    </row>
    <row r="5">
      <c r="A5" s="12" t="s">
        <v>89</v>
      </c>
      <c r="G5" s="18" t="s">
        <v>26</v>
      </c>
      <c r="H5" s="18" t="s">
        <v>27</v>
      </c>
      <c r="I5" s="18" t="s">
        <v>28</v>
      </c>
      <c r="J5" s="18" t="s">
        <v>29</v>
      </c>
      <c r="K5" s="18" t="s">
        <v>30</v>
      </c>
      <c r="L5" s="18" t="s">
        <v>28</v>
      </c>
      <c r="O5" s="22"/>
      <c r="P5" s="22"/>
      <c r="Q5" s="23" t="s">
        <v>90</v>
      </c>
      <c r="R5" s="22"/>
      <c r="S5" s="22"/>
      <c r="T5" s="22"/>
      <c r="V5" s="21" t="s">
        <v>91</v>
      </c>
      <c r="X5" s="12">
        <v>0.00459</v>
      </c>
      <c r="Y5" s="20" t="s">
        <v>88</v>
      </c>
    </row>
    <row r="6">
      <c r="A6" s="12" t="s">
        <v>92</v>
      </c>
      <c r="O6" s="12" t="s">
        <v>0</v>
      </c>
      <c r="P6" s="12" t="s">
        <v>1</v>
      </c>
      <c r="Q6" s="12" t="s">
        <v>2</v>
      </c>
      <c r="R6" s="12" t="s">
        <v>3</v>
      </c>
      <c r="S6" s="12" t="s">
        <v>4</v>
      </c>
      <c r="T6" s="12" t="s">
        <v>5</v>
      </c>
      <c r="V6" s="21" t="s">
        <v>93</v>
      </c>
      <c r="X6" s="12">
        <v>0.0048</v>
      </c>
      <c r="Y6" s="20" t="s">
        <v>88</v>
      </c>
    </row>
    <row r="7">
      <c r="A7" s="12" t="s">
        <v>94</v>
      </c>
      <c r="F7" s="19">
        <f>IFERROR(__xludf.DUMMYFUNCTION("SPLIT(A3, "" |"")"),1.0)</f>
        <v>1</v>
      </c>
      <c r="G7" s="19">
        <f>IFERROR(__xludf.DUMMYFUNCTION("""COMPUTED_VALUE"""),0.00267)</f>
        <v>0.00267</v>
      </c>
      <c r="H7" s="19">
        <f>IFERROR(__xludf.DUMMYFUNCTION("""COMPUTED_VALUE"""),0.002)</f>
        <v>0.002</v>
      </c>
      <c r="I7" s="19">
        <f>IFERROR(__xludf.DUMMYFUNCTION("""COMPUTED_VALUE"""),0.00209)</f>
        <v>0.00209</v>
      </c>
      <c r="J7" s="19">
        <f>IFERROR(__xludf.DUMMYFUNCTION("""COMPUTED_VALUE"""),0.03885)</f>
        <v>0.03885</v>
      </c>
      <c r="K7" s="19">
        <f>IFERROR(__xludf.DUMMYFUNCTION("""COMPUTED_VALUE"""),0.03999)</f>
        <v>0.03999</v>
      </c>
      <c r="L7" s="19">
        <f>IFERROR(__xludf.DUMMYFUNCTION("""COMPUTED_VALUE"""),0.03985)</f>
        <v>0.03985</v>
      </c>
      <c r="O7" s="24">
        <f t="shared" ref="O7:O6006" si="4">IF(G7&lt;$O$2-$O$4*10, 1, IF(G7&gt;$O$3+$O$4*10, 1, 0))</f>
        <v>0</v>
      </c>
      <c r="P7" s="24">
        <f t="shared" ref="P7:P54" si="5">IF(H7&lt;$P$2-$P$4*10, 1, IF(H7&gt;$P$3+$P$4*10, 1, 0))</f>
        <v>0</v>
      </c>
      <c r="Q7" s="24">
        <f t="shared" ref="Q7:Q6006" si="6">IF(I7&lt;$Q$2-$Q$4*10, 1, IF(I7&gt;$Q$3+$Q$4*10, 1, 0))</f>
        <v>0</v>
      </c>
      <c r="R7" s="24">
        <f t="shared" ref="R7:R6006" si="7">IF(J7&lt;$R$2-$R$4*10, 1, IF(J7&gt;$R$3+$R$4*10, 1, 0))</f>
        <v>1</v>
      </c>
      <c r="S7" s="24">
        <f t="shared" ref="S7:S47" si="8">IF(K7&lt;$S$2-$S$4*10, 1, IF(K7&gt;$S$3+$S$4*10, 1, 0))</f>
        <v>0</v>
      </c>
      <c r="T7" s="24">
        <f t="shared" ref="T7:T1006" si="9">IF(L7&lt;$T$2-$T$4*10, 1, IF(L7&gt;$T$3+$T$4*10, 1, 0))</f>
        <v>0</v>
      </c>
      <c r="V7" s="21" t="s">
        <v>95</v>
      </c>
      <c r="X7" s="12">
        <v>0.14688</v>
      </c>
      <c r="Y7" s="12" t="s">
        <v>96</v>
      </c>
    </row>
    <row r="8">
      <c r="A8" s="12" t="s">
        <v>97</v>
      </c>
      <c r="F8" s="19">
        <f>IFERROR(__xludf.DUMMYFUNCTION("SPLIT(A4, "" |"")"),2.0)</f>
        <v>2</v>
      </c>
      <c r="G8" s="19">
        <f>IFERROR(__xludf.DUMMYFUNCTION("""COMPUTED_VALUE"""),0.00198)</f>
        <v>0.00198</v>
      </c>
      <c r="H8" s="19">
        <f>IFERROR(__xludf.DUMMYFUNCTION("""COMPUTED_VALUE"""),0.00183)</f>
        <v>0.00183</v>
      </c>
      <c r="I8" s="19">
        <f>IFERROR(__xludf.DUMMYFUNCTION("""COMPUTED_VALUE"""),0.00182)</f>
        <v>0.00182</v>
      </c>
      <c r="J8" s="19">
        <f>IFERROR(__xludf.DUMMYFUNCTION("""COMPUTED_VALUE"""),0.03954)</f>
        <v>0.03954</v>
      </c>
      <c r="K8" s="19">
        <f>IFERROR(__xludf.DUMMYFUNCTION("""COMPUTED_VALUE"""),0.04024)</f>
        <v>0.04024</v>
      </c>
      <c r="L8" s="19">
        <f>IFERROR(__xludf.DUMMYFUNCTION("""COMPUTED_VALUE"""),0.0388)</f>
        <v>0.0388</v>
      </c>
      <c r="O8" s="24">
        <f t="shared" si="4"/>
        <v>0</v>
      </c>
      <c r="P8" s="24">
        <f t="shared" si="5"/>
        <v>0</v>
      </c>
      <c r="Q8" s="24">
        <f t="shared" si="6"/>
        <v>0</v>
      </c>
      <c r="R8" s="24">
        <f t="shared" si="7"/>
        <v>1</v>
      </c>
      <c r="S8" s="24">
        <f t="shared" si="8"/>
        <v>0</v>
      </c>
      <c r="T8" s="24">
        <f t="shared" si="9"/>
        <v>0</v>
      </c>
      <c r="V8" s="21" t="s">
        <v>98</v>
      </c>
      <c r="X8" s="12">
        <v>0.07</v>
      </c>
      <c r="Y8" s="12" t="s">
        <v>99</v>
      </c>
    </row>
    <row r="9">
      <c r="A9" s="12" t="s">
        <v>100</v>
      </c>
      <c r="F9" s="19">
        <f>IFERROR(__xludf.DUMMYFUNCTION("SPLIT(A5, "" |"")"),3.0)</f>
        <v>3</v>
      </c>
      <c r="G9" s="19">
        <f>IFERROR(__xludf.DUMMYFUNCTION("""COMPUTED_VALUE"""),0.00206)</f>
        <v>0.00206</v>
      </c>
      <c r="H9" s="19">
        <f>IFERROR(__xludf.DUMMYFUNCTION("""COMPUTED_VALUE"""),0.00192)</f>
        <v>0.00192</v>
      </c>
      <c r="I9" s="19">
        <f>IFERROR(__xludf.DUMMYFUNCTION("""COMPUTED_VALUE"""),0.00195)</f>
        <v>0.00195</v>
      </c>
      <c r="J9" s="19">
        <f>IFERROR(__xludf.DUMMYFUNCTION("""COMPUTED_VALUE"""),0.0372)</f>
        <v>0.0372</v>
      </c>
      <c r="K9" s="19">
        <f>IFERROR(__xludf.DUMMYFUNCTION("""COMPUTED_VALUE"""),0.03974)</f>
        <v>0.03974</v>
      </c>
      <c r="L9" s="19">
        <f>IFERROR(__xludf.DUMMYFUNCTION("""COMPUTED_VALUE"""),0.0399)</f>
        <v>0.0399</v>
      </c>
      <c r="O9" s="24">
        <f t="shared" si="4"/>
        <v>0</v>
      </c>
      <c r="P9" s="24">
        <f t="shared" si="5"/>
        <v>0</v>
      </c>
      <c r="Q9" s="24">
        <f t="shared" si="6"/>
        <v>0</v>
      </c>
      <c r="R9" s="24">
        <f t="shared" si="7"/>
        <v>1</v>
      </c>
      <c r="S9" s="24">
        <f t="shared" si="8"/>
        <v>0</v>
      </c>
      <c r="T9" s="24">
        <f t="shared" si="9"/>
        <v>0</v>
      </c>
    </row>
    <row r="10">
      <c r="A10" s="12" t="s">
        <v>101</v>
      </c>
      <c r="F10" s="19">
        <f>IFERROR(__xludf.DUMMYFUNCTION("SPLIT(A6, "" |"")"),4.0)</f>
        <v>4</v>
      </c>
      <c r="G10" s="19">
        <f>IFERROR(__xludf.DUMMYFUNCTION("""COMPUTED_VALUE"""),0.00216)</f>
        <v>0.00216</v>
      </c>
      <c r="H10" s="19">
        <f>IFERROR(__xludf.DUMMYFUNCTION("""COMPUTED_VALUE"""),0.00197)</f>
        <v>0.00197</v>
      </c>
      <c r="I10" s="19">
        <f>IFERROR(__xludf.DUMMYFUNCTION("""COMPUTED_VALUE"""),0.00188)</f>
        <v>0.00188</v>
      </c>
      <c r="J10" s="19">
        <f>IFERROR(__xludf.DUMMYFUNCTION("""COMPUTED_VALUE"""),0.03967)</f>
        <v>0.03967</v>
      </c>
      <c r="K10" s="19">
        <f>IFERROR(__xludf.DUMMYFUNCTION("""COMPUTED_VALUE"""),0.0389)</f>
        <v>0.0389</v>
      </c>
      <c r="L10" s="19">
        <f>IFERROR(__xludf.DUMMYFUNCTION("""COMPUTED_VALUE"""),0.03969)</f>
        <v>0.03969</v>
      </c>
      <c r="O10" s="24">
        <f t="shared" si="4"/>
        <v>0</v>
      </c>
      <c r="P10" s="24">
        <f t="shared" si="5"/>
        <v>0</v>
      </c>
      <c r="Q10" s="24">
        <f t="shared" si="6"/>
        <v>0</v>
      </c>
      <c r="R10" s="24">
        <f t="shared" si="7"/>
        <v>1</v>
      </c>
      <c r="S10" s="24">
        <f t="shared" si="8"/>
        <v>0</v>
      </c>
      <c r="T10" s="24">
        <f t="shared" si="9"/>
        <v>0</v>
      </c>
    </row>
    <row r="11">
      <c r="A11" s="12" t="s">
        <v>102</v>
      </c>
      <c r="F11" s="19">
        <f>IFERROR(__xludf.DUMMYFUNCTION("SPLIT(A7, "" |"")"),5.0)</f>
        <v>5</v>
      </c>
      <c r="G11" s="19">
        <f>IFERROR(__xludf.DUMMYFUNCTION("""COMPUTED_VALUE"""),0.00218)</f>
        <v>0.00218</v>
      </c>
      <c r="H11" s="19">
        <f>IFERROR(__xludf.DUMMYFUNCTION("""COMPUTED_VALUE"""),0.00198)</f>
        <v>0.00198</v>
      </c>
      <c r="I11" s="19">
        <f>IFERROR(__xludf.DUMMYFUNCTION("""COMPUTED_VALUE"""),0.00194)</f>
        <v>0.00194</v>
      </c>
      <c r="J11" s="19">
        <f>IFERROR(__xludf.DUMMYFUNCTION("""COMPUTED_VALUE"""),0.03977)</f>
        <v>0.03977</v>
      </c>
      <c r="K11" s="19">
        <f>IFERROR(__xludf.DUMMYFUNCTION("""COMPUTED_VALUE"""),0.03992)</f>
        <v>0.03992</v>
      </c>
      <c r="L11" s="19">
        <f>IFERROR(__xludf.DUMMYFUNCTION("""COMPUTED_VALUE"""),0.03988)</f>
        <v>0.03988</v>
      </c>
      <c r="O11" s="24">
        <f t="shared" si="4"/>
        <v>0</v>
      </c>
      <c r="P11" s="24">
        <f t="shared" si="5"/>
        <v>0</v>
      </c>
      <c r="Q11" s="24">
        <f t="shared" si="6"/>
        <v>0</v>
      </c>
      <c r="R11" s="24">
        <f t="shared" si="7"/>
        <v>1</v>
      </c>
      <c r="S11" s="24">
        <f t="shared" si="8"/>
        <v>0</v>
      </c>
      <c r="T11" s="24">
        <f t="shared" si="9"/>
        <v>0</v>
      </c>
    </row>
    <row r="12">
      <c r="A12" s="12" t="s">
        <v>103</v>
      </c>
      <c r="F12" s="19">
        <f>IFERROR(__xludf.DUMMYFUNCTION("SPLIT(A8, "" |"")"),6.0)</f>
        <v>6</v>
      </c>
      <c r="G12" s="19">
        <f>IFERROR(__xludf.DUMMYFUNCTION("""COMPUTED_VALUE"""),0.0021)</f>
        <v>0.0021</v>
      </c>
      <c r="H12" s="19">
        <f>IFERROR(__xludf.DUMMYFUNCTION("""COMPUTED_VALUE"""),0.002)</f>
        <v>0.002</v>
      </c>
      <c r="I12" s="19">
        <f>IFERROR(__xludf.DUMMYFUNCTION("""COMPUTED_VALUE"""),0.00196)</f>
        <v>0.00196</v>
      </c>
      <c r="J12" s="19">
        <f>IFERROR(__xludf.DUMMYFUNCTION("""COMPUTED_VALUE"""),0.03958)</f>
        <v>0.03958</v>
      </c>
      <c r="K12" s="19">
        <f>IFERROR(__xludf.DUMMYFUNCTION("""COMPUTED_VALUE"""),0.03981)</f>
        <v>0.03981</v>
      </c>
      <c r="L12" s="19">
        <f>IFERROR(__xludf.DUMMYFUNCTION("""COMPUTED_VALUE"""),0.03975)</f>
        <v>0.03975</v>
      </c>
      <c r="O12" s="24">
        <f t="shared" si="4"/>
        <v>0</v>
      </c>
      <c r="P12" s="24">
        <f t="shared" si="5"/>
        <v>0</v>
      </c>
      <c r="Q12" s="24">
        <f t="shared" si="6"/>
        <v>0</v>
      </c>
      <c r="R12" s="24">
        <f t="shared" si="7"/>
        <v>1</v>
      </c>
      <c r="S12" s="24">
        <f t="shared" si="8"/>
        <v>0</v>
      </c>
      <c r="T12" s="24">
        <f t="shared" si="9"/>
        <v>0</v>
      </c>
    </row>
    <row r="13">
      <c r="A13" s="12" t="s">
        <v>104</v>
      </c>
      <c r="F13" s="19">
        <f>IFERROR(__xludf.DUMMYFUNCTION("SPLIT(A9, "" |"")"),7.0)</f>
        <v>7</v>
      </c>
      <c r="G13" s="19">
        <f>IFERROR(__xludf.DUMMYFUNCTION("""COMPUTED_VALUE"""),0.00209)</f>
        <v>0.00209</v>
      </c>
      <c r="H13" s="19">
        <f>IFERROR(__xludf.DUMMYFUNCTION("""COMPUTED_VALUE"""),0.00194)</f>
        <v>0.00194</v>
      </c>
      <c r="I13" s="19">
        <f>IFERROR(__xludf.DUMMYFUNCTION("""COMPUTED_VALUE"""),0.00192)</f>
        <v>0.00192</v>
      </c>
      <c r="J13" s="19">
        <f>IFERROR(__xludf.DUMMYFUNCTION("""COMPUTED_VALUE"""),0.03969)</f>
        <v>0.03969</v>
      </c>
      <c r="K13" s="19">
        <f>IFERROR(__xludf.DUMMYFUNCTION("""COMPUTED_VALUE"""),0.03987)</f>
        <v>0.03987</v>
      </c>
      <c r="L13" s="19">
        <f>IFERROR(__xludf.DUMMYFUNCTION("""COMPUTED_VALUE"""),0.03981)</f>
        <v>0.03981</v>
      </c>
      <c r="O13" s="24">
        <f t="shared" si="4"/>
        <v>0</v>
      </c>
      <c r="P13" s="24">
        <f t="shared" si="5"/>
        <v>0</v>
      </c>
      <c r="Q13" s="24">
        <f t="shared" si="6"/>
        <v>0</v>
      </c>
      <c r="R13" s="24">
        <f t="shared" si="7"/>
        <v>1</v>
      </c>
      <c r="S13" s="24">
        <f t="shared" si="8"/>
        <v>0</v>
      </c>
      <c r="T13" s="24">
        <f t="shared" si="9"/>
        <v>0</v>
      </c>
      <c r="W13" s="12" t="s">
        <v>0</v>
      </c>
      <c r="X13" s="12" t="s">
        <v>1</v>
      </c>
      <c r="Y13" s="12" t="s">
        <v>2</v>
      </c>
      <c r="Z13" s="12" t="s">
        <v>3</v>
      </c>
      <c r="AA13" s="12" t="s">
        <v>4</v>
      </c>
      <c r="AB13" s="12" t="s">
        <v>5</v>
      </c>
      <c r="AC13" s="12"/>
    </row>
    <row r="14">
      <c r="A14" s="12" t="s">
        <v>105</v>
      </c>
      <c r="F14" s="19">
        <f>IFERROR(__xludf.DUMMYFUNCTION("SPLIT(A10, "" |"")"),8.0)</f>
        <v>8</v>
      </c>
      <c r="G14" s="19">
        <f>IFERROR(__xludf.DUMMYFUNCTION("""COMPUTED_VALUE"""),0.00203)</f>
        <v>0.00203</v>
      </c>
      <c r="H14" s="19">
        <f>IFERROR(__xludf.DUMMYFUNCTION("""COMPUTED_VALUE"""),0.00196)</f>
        <v>0.00196</v>
      </c>
      <c r="I14" s="19">
        <f>IFERROR(__xludf.DUMMYFUNCTION("""COMPUTED_VALUE"""),0.00186)</f>
        <v>0.00186</v>
      </c>
      <c r="J14" s="19">
        <f>IFERROR(__xludf.DUMMYFUNCTION("""COMPUTED_VALUE"""),0.03969)</f>
        <v>0.03969</v>
      </c>
      <c r="K14" s="19">
        <f>IFERROR(__xludf.DUMMYFUNCTION("""COMPUTED_VALUE"""),0.03971)</f>
        <v>0.03971</v>
      </c>
      <c r="L14" s="19">
        <f>IFERROR(__xludf.DUMMYFUNCTION("""COMPUTED_VALUE"""),0.03839)</f>
        <v>0.03839</v>
      </c>
      <c r="O14" s="24">
        <f t="shared" si="4"/>
        <v>0</v>
      </c>
      <c r="P14" s="24">
        <f t="shared" si="5"/>
        <v>0</v>
      </c>
      <c r="Q14" s="24">
        <f t="shared" si="6"/>
        <v>0</v>
      </c>
      <c r="R14" s="24">
        <f t="shared" si="7"/>
        <v>1</v>
      </c>
      <c r="S14" s="24">
        <f t="shared" si="8"/>
        <v>0</v>
      </c>
      <c r="T14" s="24">
        <f t="shared" si="9"/>
        <v>0</v>
      </c>
      <c r="V14" s="12" t="s">
        <v>9</v>
      </c>
      <c r="W14" s="19">
        <f t="shared" ref="W14:AB14" si="10">O2-(1.5*O4)</f>
        <v>0.00219</v>
      </c>
      <c r="X14" s="19">
        <f t="shared" si="10"/>
        <v>-0.17113375</v>
      </c>
      <c r="Y14" s="19">
        <f t="shared" si="10"/>
        <v>0.00208</v>
      </c>
      <c r="Z14" s="19">
        <f t="shared" si="10"/>
        <v>0.046885</v>
      </c>
      <c r="AA14" s="19">
        <f t="shared" si="10"/>
        <v>-0.39908375</v>
      </c>
      <c r="AB14" s="19">
        <f t="shared" si="10"/>
        <v>0.0451925</v>
      </c>
    </row>
    <row r="15">
      <c r="A15" s="12" t="s">
        <v>106</v>
      </c>
      <c r="F15" s="19">
        <f>IFERROR(__xludf.DUMMYFUNCTION("SPLIT(A11, "" |"")"),9.0)</f>
        <v>9</v>
      </c>
      <c r="G15" s="19">
        <f>IFERROR(__xludf.DUMMYFUNCTION("""COMPUTED_VALUE"""),0.00227)</f>
        <v>0.00227</v>
      </c>
      <c r="H15" s="19">
        <f>IFERROR(__xludf.DUMMYFUNCTION("""COMPUTED_VALUE"""),0.00198)</f>
        <v>0.00198</v>
      </c>
      <c r="I15" s="19">
        <f>IFERROR(__xludf.DUMMYFUNCTION("""COMPUTED_VALUE"""),0.00194)</f>
        <v>0.00194</v>
      </c>
      <c r="J15" s="19">
        <f>IFERROR(__xludf.DUMMYFUNCTION("""COMPUTED_VALUE"""),0.03964)</f>
        <v>0.03964</v>
      </c>
      <c r="K15" s="19">
        <f>IFERROR(__xludf.DUMMYFUNCTION("""COMPUTED_VALUE"""),0.03983)</f>
        <v>0.03983</v>
      </c>
      <c r="L15" s="19">
        <f>IFERROR(__xludf.DUMMYFUNCTION("""COMPUTED_VALUE"""),0.03988)</f>
        <v>0.03988</v>
      </c>
      <c r="O15" s="24">
        <f t="shared" si="4"/>
        <v>0</v>
      </c>
      <c r="P15" s="24">
        <f t="shared" si="5"/>
        <v>0</v>
      </c>
      <c r="Q15" s="24">
        <f t="shared" si="6"/>
        <v>0</v>
      </c>
      <c r="R15" s="24">
        <f t="shared" si="7"/>
        <v>1</v>
      </c>
      <c r="S15" s="24">
        <f t="shared" si="8"/>
        <v>0</v>
      </c>
      <c r="T15" s="24">
        <f t="shared" si="9"/>
        <v>0</v>
      </c>
      <c r="V15" s="12" t="s">
        <v>10</v>
      </c>
      <c r="W15" s="19">
        <f t="shared" ref="W15:AB15" si="11">O3+(1.5*O4)</f>
        <v>0.00251</v>
      </c>
      <c r="X15" s="19">
        <f t="shared" si="11"/>
        <v>0.29039625</v>
      </c>
      <c r="Y15" s="19">
        <f t="shared" si="11"/>
        <v>0.00232</v>
      </c>
      <c r="Z15" s="19">
        <f t="shared" si="11"/>
        <v>0.047805</v>
      </c>
      <c r="AA15" s="19">
        <f t="shared" si="11"/>
        <v>0.77110625</v>
      </c>
      <c r="AB15" s="19">
        <f t="shared" si="11"/>
        <v>0.0490925</v>
      </c>
    </row>
    <row r="16">
      <c r="A16" s="12" t="s">
        <v>107</v>
      </c>
      <c r="F16" s="19">
        <f>IFERROR(__xludf.DUMMYFUNCTION("SPLIT(A12, "" |"")"),10.0)</f>
        <v>10</v>
      </c>
      <c r="G16" s="19">
        <f>IFERROR(__xludf.DUMMYFUNCTION("""COMPUTED_VALUE"""),0.00197)</f>
        <v>0.00197</v>
      </c>
      <c r="H16" s="19">
        <f>IFERROR(__xludf.DUMMYFUNCTION("""COMPUTED_VALUE"""),0.00184)</f>
        <v>0.00184</v>
      </c>
      <c r="I16" s="19">
        <f>IFERROR(__xludf.DUMMYFUNCTION("""COMPUTED_VALUE"""),0.00182)</f>
        <v>0.00182</v>
      </c>
      <c r="J16" s="19">
        <f>IFERROR(__xludf.DUMMYFUNCTION("""COMPUTED_VALUE"""),0.03981)</f>
        <v>0.03981</v>
      </c>
      <c r="K16" s="19">
        <f>IFERROR(__xludf.DUMMYFUNCTION("""COMPUTED_VALUE"""),0.03473)</f>
        <v>0.03473</v>
      </c>
      <c r="L16" s="19">
        <f>IFERROR(__xludf.DUMMYFUNCTION("""COMPUTED_VALUE"""),0.03977)</f>
        <v>0.03977</v>
      </c>
      <c r="O16" s="24">
        <f t="shared" si="4"/>
        <v>0</v>
      </c>
      <c r="P16" s="24">
        <f t="shared" si="5"/>
        <v>0</v>
      </c>
      <c r="Q16" s="24">
        <f t="shared" si="6"/>
        <v>0</v>
      </c>
      <c r="R16" s="24">
        <f t="shared" si="7"/>
        <v>1</v>
      </c>
      <c r="S16" s="24">
        <f t="shared" si="8"/>
        <v>0</v>
      </c>
      <c r="T16" s="24">
        <f t="shared" si="9"/>
        <v>0</v>
      </c>
    </row>
    <row r="17">
      <c r="A17" s="12" t="s">
        <v>108</v>
      </c>
      <c r="F17" s="19">
        <f>IFERROR(__xludf.DUMMYFUNCTION("SPLIT(A13, "" |"")"),11.0)</f>
        <v>11</v>
      </c>
      <c r="G17" s="19">
        <f>IFERROR(__xludf.DUMMYFUNCTION("""COMPUTED_VALUE"""),0.0022)</f>
        <v>0.0022</v>
      </c>
      <c r="H17" s="19">
        <f>IFERROR(__xludf.DUMMYFUNCTION("""COMPUTED_VALUE"""),0.00193)</f>
        <v>0.00193</v>
      </c>
      <c r="I17" s="19">
        <f>IFERROR(__xludf.DUMMYFUNCTION("""COMPUTED_VALUE"""),0.0018)</f>
        <v>0.0018</v>
      </c>
      <c r="J17" s="19">
        <f>IFERROR(__xludf.DUMMYFUNCTION("""COMPUTED_VALUE"""),0.03831)</f>
        <v>0.03831</v>
      </c>
      <c r="K17" s="19">
        <f>IFERROR(__xludf.DUMMYFUNCTION("""COMPUTED_VALUE"""),0.0399)</f>
        <v>0.0399</v>
      </c>
      <c r="L17" s="19">
        <f>IFERROR(__xludf.DUMMYFUNCTION("""COMPUTED_VALUE"""),0.03982)</f>
        <v>0.03982</v>
      </c>
      <c r="O17" s="24">
        <f t="shared" si="4"/>
        <v>0</v>
      </c>
      <c r="P17" s="24">
        <f t="shared" si="5"/>
        <v>0</v>
      </c>
      <c r="Q17" s="24">
        <f t="shared" si="6"/>
        <v>0</v>
      </c>
      <c r="R17" s="24">
        <f t="shared" si="7"/>
        <v>1</v>
      </c>
      <c r="S17" s="24">
        <f t="shared" si="8"/>
        <v>0</v>
      </c>
      <c r="T17" s="24">
        <f t="shared" si="9"/>
        <v>0</v>
      </c>
      <c r="W17" s="25"/>
    </row>
    <row r="18">
      <c r="A18" s="12" t="s">
        <v>109</v>
      </c>
      <c r="F18" s="19">
        <f>IFERROR(__xludf.DUMMYFUNCTION("SPLIT(A14, "" |"")"),12.0)</f>
        <v>12</v>
      </c>
      <c r="G18" s="19">
        <f>IFERROR(__xludf.DUMMYFUNCTION("""COMPUTED_VALUE"""),0.0021)</f>
        <v>0.0021</v>
      </c>
      <c r="H18" s="19">
        <f>IFERROR(__xludf.DUMMYFUNCTION("""COMPUTED_VALUE"""),0.00188)</f>
        <v>0.00188</v>
      </c>
      <c r="I18" s="19">
        <f>IFERROR(__xludf.DUMMYFUNCTION("""COMPUTED_VALUE"""),0.00187)</f>
        <v>0.00187</v>
      </c>
      <c r="J18" s="19">
        <f>IFERROR(__xludf.DUMMYFUNCTION("""COMPUTED_VALUE"""),0.03924)</f>
        <v>0.03924</v>
      </c>
      <c r="K18" s="19">
        <f>IFERROR(__xludf.DUMMYFUNCTION("""COMPUTED_VALUE"""),0.03974)</f>
        <v>0.03974</v>
      </c>
      <c r="L18" s="19">
        <f>IFERROR(__xludf.DUMMYFUNCTION("""COMPUTED_VALUE"""),0.03986)</f>
        <v>0.03986</v>
      </c>
      <c r="O18" s="24">
        <f t="shared" si="4"/>
        <v>0</v>
      </c>
      <c r="P18" s="24">
        <f t="shared" si="5"/>
        <v>0</v>
      </c>
      <c r="Q18" s="24">
        <f t="shared" si="6"/>
        <v>0</v>
      </c>
      <c r="R18" s="24">
        <f t="shared" si="7"/>
        <v>1</v>
      </c>
      <c r="S18" s="24">
        <f t="shared" si="8"/>
        <v>0</v>
      </c>
      <c r="T18" s="24">
        <f t="shared" si="9"/>
        <v>0</v>
      </c>
      <c r="W18" s="12">
        <v>188.0</v>
      </c>
      <c r="X18" s="12">
        <v>9.0</v>
      </c>
      <c r="Y18" s="12">
        <v>380.0</v>
      </c>
      <c r="Z18" s="12">
        <v>1364.0</v>
      </c>
      <c r="AA18" s="12">
        <v>8.0</v>
      </c>
      <c r="AB18" s="12">
        <v>196.0</v>
      </c>
    </row>
    <row r="19">
      <c r="A19" s="12" t="s">
        <v>110</v>
      </c>
      <c r="F19" s="19">
        <f>IFERROR(__xludf.DUMMYFUNCTION("SPLIT(A15, "" |"")"),13.0)</f>
        <v>13</v>
      </c>
      <c r="G19" s="19">
        <f>IFERROR(__xludf.DUMMYFUNCTION("""COMPUTED_VALUE"""),0.0021)</f>
        <v>0.0021</v>
      </c>
      <c r="H19" s="19">
        <f>IFERROR(__xludf.DUMMYFUNCTION("""COMPUTED_VALUE"""),0.00191)</f>
        <v>0.00191</v>
      </c>
      <c r="I19" s="19">
        <f>IFERROR(__xludf.DUMMYFUNCTION("""COMPUTED_VALUE"""),0.00191)</f>
        <v>0.00191</v>
      </c>
      <c r="J19" s="19">
        <f>IFERROR(__xludf.DUMMYFUNCTION("""COMPUTED_VALUE"""),0.03703)</f>
        <v>0.03703</v>
      </c>
      <c r="K19" s="19">
        <f>IFERROR(__xludf.DUMMYFUNCTION("""COMPUTED_VALUE"""),0.03972)</f>
        <v>0.03972</v>
      </c>
      <c r="L19" s="19">
        <f>IFERROR(__xludf.DUMMYFUNCTION("""COMPUTED_VALUE"""),0.03975)</f>
        <v>0.03975</v>
      </c>
      <c r="O19" s="24">
        <f t="shared" si="4"/>
        <v>0</v>
      </c>
      <c r="P19" s="24">
        <f t="shared" si="5"/>
        <v>0</v>
      </c>
      <c r="Q19" s="24">
        <f t="shared" si="6"/>
        <v>0</v>
      </c>
      <c r="R19" s="24">
        <f t="shared" si="7"/>
        <v>1</v>
      </c>
      <c r="S19" s="24">
        <f t="shared" si="8"/>
        <v>0</v>
      </c>
      <c r="T19" s="24">
        <f t="shared" si="9"/>
        <v>0</v>
      </c>
    </row>
    <row r="20">
      <c r="A20" s="12" t="s">
        <v>111</v>
      </c>
      <c r="F20" s="19">
        <f>IFERROR(__xludf.DUMMYFUNCTION("SPLIT(A16, "" |"")"),14.0)</f>
        <v>14</v>
      </c>
      <c r="G20" s="19">
        <f>IFERROR(__xludf.DUMMYFUNCTION("""COMPUTED_VALUE"""),0.00203)</f>
        <v>0.00203</v>
      </c>
      <c r="H20" s="19">
        <f>IFERROR(__xludf.DUMMYFUNCTION("""COMPUTED_VALUE"""),0.00183)</f>
        <v>0.00183</v>
      </c>
      <c r="I20" s="19">
        <f>IFERROR(__xludf.DUMMYFUNCTION("""COMPUTED_VALUE"""),0.00187)</f>
        <v>0.00187</v>
      </c>
      <c r="J20" s="19">
        <f>IFERROR(__xludf.DUMMYFUNCTION("""COMPUTED_VALUE"""),0.03955)</f>
        <v>0.03955</v>
      </c>
      <c r="K20" s="19">
        <f>IFERROR(__xludf.DUMMYFUNCTION("""COMPUTED_VALUE"""),0.03976)</f>
        <v>0.03976</v>
      </c>
      <c r="L20" s="19">
        <f>IFERROR(__xludf.DUMMYFUNCTION("""COMPUTED_VALUE"""),0.03988)</f>
        <v>0.03988</v>
      </c>
      <c r="O20" s="24">
        <f t="shared" si="4"/>
        <v>0</v>
      </c>
      <c r="P20" s="24">
        <f t="shared" si="5"/>
        <v>0</v>
      </c>
      <c r="Q20" s="24">
        <f t="shared" si="6"/>
        <v>0</v>
      </c>
      <c r="R20" s="24">
        <f t="shared" si="7"/>
        <v>1</v>
      </c>
      <c r="S20" s="24">
        <f t="shared" si="8"/>
        <v>0</v>
      </c>
      <c r="T20" s="24">
        <f t="shared" si="9"/>
        <v>0</v>
      </c>
    </row>
    <row r="21">
      <c r="A21" s="12" t="s">
        <v>112</v>
      </c>
      <c r="F21" s="19">
        <f>IFERROR(__xludf.DUMMYFUNCTION("SPLIT(A17, "" |"")"),15.0)</f>
        <v>15</v>
      </c>
      <c r="G21" s="19">
        <f>IFERROR(__xludf.DUMMYFUNCTION("""COMPUTED_VALUE"""),0.00204)</f>
        <v>0.00204</v>
      </c>
      <c r="H21" s="19">
        <f>IFERROR(__xludf.DUMMYFUNCTION("""COMPUTED_VALUE"""),0.00195)</f>
        <v>0.00195</v>
      </c>
      <c r="I21" s="19">
        <f>IFERROR(__xludf.DUMMYFUNCTION("""COMPUTED_VALUE"""),0.00196)</f>
        <v>0.00196</v>
      </c>
      <c r="J21" s="19">
        <f>IFERROR(__xludf.DUMMYFUNCTION("""COMPUTED_VALUE"""),0.03961)</f>
        <v>0.03961</v>
      </c>
      <c r="K21" s="19">
        <f>IFERROR(__xludf.DUMMYFUNCTION("""COMPUTED_VALUE"""),0.03973)</f>
        <v>0.03973</v>
      </c>
      <c r="L21" s="19">
        <f>IFERROR(__xludf.DUMMYFUNCTION("""COMPUTED_VALUE"""),0.03972)</f>
        <v>0.03972</v>
      </c>
      <c r="O21" s="24">
        <f t="shared" si="4"/>
        <v>0</v>
      </c>
      <c r="P21" s="24">
        <f t="shared" si="5"/>
        <v>0</v>
      </c>
      <c r="Q21" s="24">
        <f t="shared" si="6"/>
        <v>0</v>
      </c>
      <c r="R21" s="24">
        <f t="shared" si="7"/>
        <v>1</v>
      </c>
      <c r="S21" s="24">
        <f t="shared" si="8"/>
        <v>0</v>
      </c>
      <c r="T21" s="24">
        <f t="shared" si="9"/>
        <v>0</v>
      </c>
    </row>
    <row r="22">
      <c r="A22" s="12" t="s">
        <v>113</v>
      </c>
      <c r="F22" s="19">
        <f>IFERROR(__xludf.DUMMYFUNCTION("SPLIT(A18, "" |"")"),16.0)</f>
        <v>16</v>
      </c>
      <c r="G22" s="19">
        <f>IFERROR(__xludf.DUMMYFUNCTION("""COMPUTED_VALUE"""),0.00203)</f>
        <v>0.00203</v>
      </c>
      <c r="H22" s="19">
        <f>IFERROR(__xludf.DUMMYFUNCTION("""COMPUTED_VALUE"""),0.00186)</f>
        <v>0.00186</v>
      </c>
      <c r="I22" s="19">
        <f>IFERROR(__xludf.DUMMYFUNCTION("""COMPUTED_VALUE"""),0.00191)</f>
        <v>0.00191</v>
      </c>
      <c r="J22" s="19">
        <f>IFERROR(__xludf.DUMMYFUNCTION("""COMPUTED_VALUE"""),0.03964)</f>
        <v>0.03964</v>
      </c>
      <c r="K22" s="19">
        <f>IFERROR(__xludf.DUMMYFUNCTION("""COMPUTED_VALUE"""),0.03987)</f>
        <v>0.03987</v>
      </c>
      <c r="L22" s="19">
        <f>IFERROR(__xludf.DUMMYFUNCTION("""COMPUTED_VALUE"""),0.03982)</f>
        <v>0.03982</v>
      </c>
      <c r="O22" s="24">
        <f t="shared" si="4"/>
        <v>0</v>
      </c>
      <c r="P22" s="24">
        <f t="shared" si="5"/>
        <v>0</v>
      </c>
      <c r="Q22" s="24">
        <f t="shared" si="6"/>
        <v>0</v>
      </c>
      <c r="R22" s="24">
        <f t="shared" si="7"/>
        <v>1</v>
      </c>
      <c r="S22" s="24">
        <f t="shared" si="8"/>
        <v>0</v>
      </c>
      <c r="T22" s="24">
        <f t="shared" si="9"/>
        <v>0</v>
      </c>
      <c r="V22" s="7"/>
      <c r="W22" s="26" t="s">
        <v>0</v>
      </c>
      <c r="X22" s="26" t="s">
        <v>1</v>
      </c>
      <c r="Y22" s="26" t="s">
        <v>2</v>
      </c>
      <c r="Z22" s="26" t="s">
        <v>3</v>
      </c>
      <c r="AA22" s="26" t="s">
        <v>4</v>
      </c>
      <c r="AB22" s="26" t="s">
        <v>5</v>
      </c>
    </row>
    <row r="23">
      <c r="A23" s="12" t="s">
        <v>114</v>
      </c>
      <c r="F23" s="19">
        <f>IFERROR(__xludf.DUMMYFUNCTION("SPLIT(A19, "" |"")"),17.0)</f>
        <v>17</v>
      </c>
      <c r="G23" s="19">
        <f>IFERROR(__xludf.DUMMYFUNCTION("""COMPUTED_VALUE"""),0.00208)</f>
        <v>0.00208</v>
      </c>
      <c r="H23" s="19">
        <f>IFERROR(__xludf.DUMMYFUNCTION("""COMPUTED_VALUE"""),0.00199)</f>
        <v>0.00199</v>
      </c>
      <c r="I23" s="19">
        <f>IFERROR(__xludf.DUMMYFUNCTION("""COMPUTED_VALUE"""),0.00196)</f>
        <v>0.00196</v>
      </c>
      <c r="J23" s="19">
        <f>IFERROR(__xludf.DUMMYFUNCTION("""COMPUTED_VALUE"""),0.04005)</f>
        <v>0.04005</v>
      </c>
      <c r="K23" s="19">
        <f>IFERROR(__xludf.DUMMYFUNCTION("""COMPUTED_VALUE"""),0.03973)</f>
        <v>0.03973</v>
      </c>
      <c r="L23" s="19">
        <f>IFERROR(__xludf.DUMMYFUNCTION("""COMPUTED_VALUE"""),0.03979)</f>
        <v>0.03979</v>
      </c>
      <c r="O23" s="24">
        <f t="shared" si="4"/>
        <v>0</v>
      </c>
      <c r="P23" s="24">
        <f t="shared" si="5"/>
        <v>0</v>
      </c>
      <c r="Q23" s="24">
        <f t="shared" si="6"/>
        <v>0</v>
      </c>
      <c r="R23" s="24">
        <f t="shared" si="7"/>
        <v>1</v>
      </c>
      <c r="S23" s="24">
        <f t="shared" si="8"/>
        <v>0</v>
      </c>
      <c r="T23" s="24">
        <f t="shared" si="9"/>
        <v>0</v>
      </c>
      <c r="V23" s="6" t="s">
        <v>6</v>
      </c>
      <c r="W23" s="5">
        <v>0.00231</v>
      </c>
      <c r="X23" s="5">
        <v>0.00194</v>
      </c>
      <c r="Y23" s="5">
        <v>0.00217</v>
      </c>
      <c r="Z23" s="5">
        <v>0.04723</v>
      </c>
      <c r="AA23" s="5">
        <v>0.039737499999999995</v>
      </c>
      <c r="AB23" s="5">
        <v>0.046655</v>
      </c>
    </row>
    <row r="24">
      <c r="A24" s="12" t="s">
        <v>115</v>
      </c>
      <c r="F24" s="19">
        <f>IFERROR(__xludf.DUMMYFUNCTION("SPLIT(A20, "" |"")"),18.0)</f>
        <v>18</v>
      </c>
      <c r="G24" s="19">
        <f>IFERROR(__xludf.DUMMYFUNCTION("""COMPUTED_VALUE"""),0.00215)</f>
        <v>0.00215</v>
      </c>
      <c r="H24" s="19">
        <f>IFERROR(__xludf.DUMMYFUNCTION("""COMPUTED_VALUE"""),0.00199)</f>
        <v>0.00199</v>
      </c>
      <c r="I24" s="19">
        <f>IFERROR(__xludf.DUMMYFUNCTION("""COMPUTED_VALUE"""),0.00187)</f>
        <v>0.00187</v>
      </c>
      <c r="J24" s="19">
        <f>IFERROR(__xludf.DUMMYFUNCTION("""COMPUTED_VALUE"""),0.03969)</f>
        <v>0.03969</v>
      </c>
      <c r="K24" s="19">
        <f>IFERROR(__xludf.DUMMYFUNCTION("""COMPUTED_VALUE"""),0.03948)</f>
        <v>0.03948</v>
      </c>
      <c r="L24" s="19">
        <f>IFERROR(__xludf.DUMMYFUNCTION("""COMPUTED_VALUE"""),0.04007)</f>
        <v>0.04007</v>
      </c>
      <c r="O24" s="24">
        <f t="shared" si="4"/>
        <v>0</v>
      </c>
      <c r="P24" s="24">
        <f t="shared" si="5"/>
        <v>0</v>
      </c>
      <c r="Q24" s="24">
        <f t="shared" si="6"/>
        <v>0</v>
      </c>
      <c r="R24" s="24">
        <f t="shared" si="7"/>
        <v>1</v>
      </c>
      <c r="S24" s="24">
        <f t="shared" si="8"/>
        <v>0</v>
      </c>
      <c r="T24" s="24">
        <f t="shared" si="9"/>
        <v>0</v>
      </c>
      <c r="V24" s="6" t="s">
        <v>7</v>
      </c>
      <c r="W24" s="5">
        <v>0.00239</v>
      </c>
      <c r="X24" s="5">
        <v>0.1173225</v>
      </c>
      <c r="Y24" s="5">
        <v>0.00223</v>
      </c>
      <c r="Z24" s="5">
        <v>0.04746</v>
      </c>
      <c r="AA24" s="5">
        <v>0.33228500000000005</v>
      </c>
      <c r="AB24" s="5">
        <v>0.04763</v>
      </c>
    </row>
    <row r="25">
      <c r="A25" s="12" t="s">
        <v>116</v>
      </c>
      <c r="F25" s="19">
        <f>IFERROR(__xludf.DUMMYFUNCTION("SPLIT(A21, "" |"")"),19.0)</f>
        <v>19</v>
      </c>
      <c r="G25" s="19">
        <f>IFERROR(__xludf.DUMMYFUNCTION("""COMPUTED_VALUE"""),0.00208)</f>
        <v>0.00208</v>
      </c>
      <c r="H25" s="19">
        <f>IFERROR(__xludf.DUMMYFUNCTION("""COMPUTED_VALUE"""),0.00195)</f>
        <v>0.00195</v>
      </c>
      <c r="I25" s="19">
        <f>IFERROR(__xludf.DUMMYFUNCTION("""COMPUTED_VALUE"""),0.00186)</f>
        <v>0.00186</v>
      </c>
      <c r="J25" s="19">
        <f>IFERROR(__xludf.DUMMYFUNCTION("""COMPUTED_VALUE"""),0.03963)</f>
        <v>0.03963</v>
      </c>
      <c r="K25" s="19">
        <f>IFERROR(__xludf.DUMMYFUNCTION("""COMPUTED_VALUE"""),0.03982)</f>
        <v>0.03982</v>
      </c>
      <c r="L25" s="19">
        <f>IFERROR(__xludf.DUMMYFUNCTION("""COMPUTED_VALUE"""),0.04016)</f>
        <v>0.04016</v>
      </c>
      <c r="O25" s="24">
        <f t="shared" si="4"/>
        <v>0</v>
      </c>
      <c r="P25" s="24">
        <f t="shared" si="5"/>
        <v>0</v>
      </c>
      <c r="Q25" s="24">
        <f t="shared" si="6"/>
        <v>0</v>
      </c>
      <c r="R25" s="24">
        <f t="shared" si="7"/>
        <v>1</v>
      </c>
      <c r="S25" s="24">
        <f t="shared" si="8"/>
        <v>0</v>
      </c>
      <c r="T25" s="24">
        <f t="shared" si="9"/>
        <v>0</v>
      </c>
      <c r="V25" s="6" t="s">
        <v>8</v>
      </c>
      <c r="W25" s="5">
        <v>8.000000000000021E-5</v>
      </c>
      <c r="X25" s="5">
        <v>0.1153825</v>
      </c>
      <c r="Y25" s="5">
        <v>6.000000000000016E-5</v>
      </c>
      <c r="Z25" s="5">
        <v>2.3000000000000104E-4</v>
      </c>
      <c r="AA25" s="5">
        <v>0.29254750000000007</v>
      </c>
      <c r="AB25" s="5">
        <v>9.749999999999967E-4</v>
      </c>
    </row>
    <row r="26">
      <c r="A26" s="12" t="s">
        <v>117</v>
      </c>
      <c r="F26" s="19">
        <f>IFERROR(__xludf.DUMMYFUNCTION("SPLIT(A22, "" |"")"),20.0)</f>
        <v>20</v>
      </c>
      <c r="G26" s="19">
        <f>IFERROR(__xludf.DUMMYFUNCTION("""COMPUTED_VALUE"""),0.00214)</f>
        <v>0.00214</v>
      </c>
      <c r="H26" s="19">
        <f>IFERROR(__xludf.DUMMYFUNCTION("""COMPUTED_VALUE"""),0.00191)</f>
        <v>0.00191</v>
      </c>
      <c r="I26" s="19">
        <f>IFERROR(__xludf.DUMMYFUNCTION("""COMPUTED_VALUE"""),0.00193)</f>
        <v>0.00193</v>
      </c>
      <c r="J26" s="19">
        <f>IFERROR(__xludf.DUMMYFUNCTION("""COMPUTED_VALUE"""),0.03966)</f>
        <v>0.03966</v>
      </c>
      <c r="K26" s="19">
        <f>IFERROR(__xludf.DUMMYFUNCTION("""COMPUTED_VALUE"""),0.03864)</f>
        <v>0.03864</v>
      </c>
      <c r="L26" s="19">
        <f>IFERROR(__xludf.DUMMYFUNCTION("""COMPUTED_VALUE"""),0.03931)</f>
        <v>0.03931</v>
      </c>
      <c r="O26" s="24">
        <f t="shared" si="4"/>
        <v>0</v>
      </c>
      <c r="P26" s="24">
        <f t="shared" si="5"/>
        <v>0</v>
      </c>
      <c r="Q26" s="24">
        <f t="shared" si="6"/>
        <v>0</v>
      </c>
      <c r="R26" s="24">
        <f t="shared" si="7"/>
        <v>1</v>
      </c>
      <c r="S26" s="24">
        <f t="shared" si="8"/>
        <v>0</v>
      </c>
      <c r="T26" s="24">
        <f t="shared" si="9"/>
        <v>0</v>
      </c>
      <c r="V26" s="7"/>
      <c r="W26" s="5"/>
      <c r="X26" s="5"/>
      <c r="Y26" s="5"/>
      <c r="Z26" s="5"/>
      <c r="AA26" s="5"/>
      <c r="AB26" s="5"/>
    </row>
    <row r="27">
      <c r="A27" s="12" t="s">
        <v>118</v>
      </c>
      <c r="F27" s="19">
        <f>IFERROR(__xludf.DUMMYFUNCTION("SPLIT(A23, "" |"")"),21.0)</f>
        <v>21</v>
      </c>
      <c r="G27" s="19">
        <f>IFERROR(__xludf.DUMMYFUNCTION("""COMPUTED_VALUE"""),0.00206)</f>
        <v>0.00206</v>
      </c>
      <c r="H27" s="19">
        <f>IFERROR(__xludf.DUMMYFUNCTION("""COMPUTED_VALUE"""),0.00194)</f>
        <v>0.00194</v>
      </c>
      <c r="I27" s="19">
        <f>IFERROR(__xludf.DUMMYFUNCTION("""COMPUTED_VALUE"""),0.00189)</f>
        <v>0.00189</v>
      </c>
      <c r="J27" s="19">
        <f>IFERROR(__xludf.DUMMYFUNCTION("""COMPUTED_VALUE"""),0.03962)</f>
        <v>0.03962</v>
      </c>
      <c r="K27" s="19">
        <f>IFERROR(__xludf.DUMMYFUNCTION("""COMPUTED_VALUE"""),0.03969)</f>
        <v>0.03969</v>
      </c>
      <c r="L27" s="19">
        <f>IFERROR(__xludf.DUMMYFUNCTION("""COMPUTED_VALUE"""),0.04035)</f>
        <v>0.04035</v>
      </c>
      <c r="O27" s="24">
        <f t="shared" si="4"/>
        <v>0</v>
      </c>
      <c r="P27" s="24">
        <f t="shared" si="5"/>
        <v>0</v>
      </c>
      <c r="Q27" s="24">
        <f t="shared" si="6"/>
        <v>0</v>
      </c>
      <c r="R27" s="24">
        <f t="shared" si="7"/>
        <v>1</v>
      </c>
      <c r="S27" s="24">
        <f t="shared" si="8"/>
        <v>0</v>
      </c>
      <c r="T27" s="24">
        <f t="shared" si="9"/>
        <v>0</v>
      </c>
      <c r="V27" s="8" t="s">
        <v>9</v>
      </c>
      <c r="W27" s="5">
        <v>0.0021899999999999997</v>
      </c>
      <c r="X27" s="5">
        <v>-0.17113375</v>
      </c>
      <c r="Y27" s="5">
        <v>0.00208</v>
      </c>
      <c r="Z27" s="5">
        <v>0.046884999999999996</v>
      </c>
      <c r="AA27" s="5">
        <v>-0.3990837500000001</v>
      </c>
      <c r="AB27" s="5">
        <v>0.04519250000000001</v>
      </c>
    </row>
    <row r="28">
      <c r="A28" s="12" t="s">
        <v>119</v>
      </c>
      <c r="F28" s="19">
        <f>IFERROR(__xludf.DUMMYFUNCTION("SPLIT(A24, "" |"")"),22.0)</f>
        <v>22</v>
      </c>
      <c r="G28" s="19">
        <f>IFERROR(__xludf.DUMMYFUNCTION("""COMPUTED_VALUE"""),0.00212)</f>
        <v>0.00212</v>
      </c>
      <c r="H28" s="19">
        <f>IFERROR(__xludf.DUMMYFUNCTION("""COMPUTED_VALUE"""),0.00196)</f>
        <v>0.00196</v>
      </c>
      <c r="I28" s="19">
        <f>IFERROR(__xludf.DUMMYFUNCTION("""COMPUTED_VALUE"""),0.0019)</f>
        <v>0.0019</v>
      </c>
      <c r="J28" s="19">
        <f>IFERROR(__xludf.DUMMYFUNCTION("""COMPUTED_VALUE"""),0.03971)</f>
        <v>0.03971</v>
      </c>
      <c r="K28" s="19">
        <f>IFERROR(__xludf.DUMMYFUNCTION("""COMPUTED_VALUE"""),0.0395)</f>
        <v>0.0395</v>
      </c>
      <c r="L28" s="19">
        <f>IFERROR(__xludf.DUMMYFUNCTION("""COMPUTED_VALUE"""),0.04038)</f>
        <v>0.04038</v>
      </c>
      <c r="O28" s="24">
        <f t="shared" si="4"/>
        <v>0</v>
      </c>
      <c r="P28" s="24">
        <f t="shared" si="5"/>
        <v>0</v>
      </c>
      <c r="Q28" s="24">
        <f t="shared" si="6"/>
        <v>0</v>
      </c>
      <c r="R28" s="24">
        <f t="shared" si="7"/>
        <v>1</v>
      </c>
      <c r="S28" s="24">
        <f t="shared" si="8"/>
        <v>0</v>
      </c>
      <c r="T28" s="24">
        <f t="shared" si="9"/>
        <v>0</v>
      </c>
      <c r="V28" s="8" t="s">
        <v>10</v>
      </c>
      <c r="W28" s="5">
        <v>0.0025100000000000005</v>
      </c>
      <c r="X28" s="5">
        <v>0.29039625</v>
      </c>
      <c r="Y28" s="5">
        <v>0.0023200000000000004</v>
      </c>
      <c r="Z28" s="5">
        <v>0.047805</v>
      </c>
      <c r="AA28" s="5">
        <v>0.7711062500000001</v>
      </c>
      <c r="AB28" s="5">
        <v>0.0490925</v>
      </c>
    </row>
    <row r="29">
      <c r="A29" s="12" t="s">
        <v>120</v>
      </c>
      <c r="F29" s="19">
        <f>IFERROR(__xludf.DUMMYFUNCTION("SPLIT(A25, "" |"")"),23.0)</f>
        <v>23</v>
      </c>
      <c r="G29" s="19">
        <f>IFERROR(__xludf.DUMMYFUNCTION("""COMPUTED_VALUE"""),0.00207)</f>
        <v>0.00207</v>
      </c>
      <c r="H29" s="19">
        <f>IFERROR(__xludf.DUMMYFUNCTION("""COMPUTED_VALUE"""),0.00192)</f>
        <v>0.00192</v>
      </c>
      <c r="I29" s="19">
        <f>IFERROR(__xludf.DUMMYFUNCTION("""COMPUTED_VALUE"""),0.00192)</f>
        <v>0.00192</v>
      </c>
      <c r="J29" s="19">
        <f>IFERROR(__xludf.DUMMYFUNCTION("""COMPUTED_VALUE"""),0.03957)</f>
        <v>0.03957</v>
      </c>
      <c r="K29" s="19">
        <f>IFERROR(__xludf.DUMMYFUNCTION("""COMPUTED_VALUE"""),0.03984)</f>
        <v>0.03984</v>
      </c>
      <c r="L29" s="19">
        <f>IFERROR(__xludf.DUMMYFUNCTION("""COMPUTED_VALUE"""),0.03986)</f>
        <v>0.03986</v>
      </c>
      <c r="O29" s="24">
        <f t="shared" si="4"/>
        <v>0</v>
      </c>
      <c r="P29" s="24">
        <f t="shared" si="5"/>
        <v>0</v>
      </c>
      <c r="Q29" s="24">
        <f t="shared" si="6"/>
        <v>0</v>
      </c>
      <c r="R29" s="24">
        <f t="shared" si="7"/>
        <v>1</v>
      </c>
      <c r="S29" s="24">
        <f t="shared" si="8"/>
        <v>0</v>
      </c>
      <c r="T29" s="24">
        <f t="shared" si="9"/>
        <v>0</v>
      </c>
      <c r="V29" s="7"/>
      <c r="W29" s="5"/>
      <c r="X29" s="5"/>
      <c r="Y29" s="5"/>
      <c r="Z29" s="5"/>
      <c r="AA29" s="5"/>
      <c r="AB29" s="5"/>
    </row>
    <row r="30">
      <c r="A30" s="12" t="s">
        <v>121</v>
      </c>
      <c r="F30" s="19">
        <f>IFERROR(__xludf.DUMMYFUNCTION("SPLIT(A26, "" |"")"),24.0)</f>
        <v>24</v>
      </c>
      <c r="G30" s="19">
        <f>IFERROR(__xludf.DUMMYFUNCTION("""COMPUTED_VALUE"""),0.00208)</f>
        <v>0.00208</v>
      </c>
      <c r="H30" s="19">
        <f>IFERROR(__xludf.DUMMYFUNCTION("""COMPUTED_VALUE"""),0.00192)</f>
        <v>0.00192</v>
      </c>
      <c r="I30" s="19">
        <f>IFERROR(__xludf.DUMMYFUNCTION("""COMPUTED_VALUE"""),0.00191)</f>
        <v>0.00191</v>
      </c>
      <c r="J30" s="19">
        <f>IFERROR(__xludf.DUMMYFUNCTION("""COMPUTED_VALUE"""),0.03957)</f>
        <v>0.03957</v>
      </c>
      <c r="K30" s="19">
        <f>IFERROR(__xludf.DUMMYFUNCTION("""COMPUTED_VALUE"""),0.0768)</f>
        <v>0.0768</v>
      </c>
      <c r="L30" s="19">
        <f>IFERROR(__xludf.DUMMYFUNCTION("""COMPUTED_VALUE"""),0.03939)</f>
        <v>0.03939</v>
      </c>
      <c r="O30" s="24">
        <f t="shared" si="4"/>
        <v>0</v>
      </c>
      <c r="P30" s="24">
        <f t="shared" si="5"/>
        <v>0</v>
      </c>
      <c r="Q30" s="24">
        <f t="shared" si="6"/>
        <v>0</v>
      </c>
      <c r="R30" s="24">
        <f t="shared" si="7"/>
        <v>1</v>
      </c>
      <c r="S30" s="24">
        <f t="shared" si="8"/>
        <v>0</v>
      </c>
      <c r="T30" s="24">
        <f t="shared" si="9"/>
        <v>0</v>
      </c>
      <c r="V30" s="8" t="s">
        <v>11</v>
      </c>
      <c r="W30" s="27">
        <v>188.0</v>
      </c>
      <c r="X30" s="27">
        <v>9.0</v>
      </c>
      <c r="Y30" s="27">
        <v>380.0</v>
      </c>
      <c r="Z30" s="27">
        <v>1364.0</v>
      </c>
      <c r="AA30" s="27">
        <v>8.0</v>
      </c>
      <c r="AB30" s="27">
        <v>196.0</v>
      </c>
    </row>
    <row r="31">
      <c r="A31" s="12" t="s">
        <v>122</v>
      </c>
      <c r="F31" s="19">
        <f>IFERROR(__xludf.DUMMYFUNCTION("SPLIT(A27, "" |"")"),25.0)</f>
        <v>25</v>
      </c>
      <c r="G31" s="19">
        <f>IFERROR(__xludf.DUMMYFUNCTION("""COMPUTED_VALUE"""),0.00212)</f>
        <v>0.00212</v>
      </c>
      <c r="H31" s="19">
        <f>IFERROR(__xludf.DUMMYFUNCTION("""COMPUTED_VALUE"""),0.00423)</f>
        <v>0.00423</v>
      </c>
      <c r="I31" s="19">
        <f>IFERROR(__xludf.DUMMYFUNCTION("""COMPUTED_VALUE"""),0.00188)</f>
        <v>0.00188</v>
      </c>
      <c r="J31" s="19">
        <f>IFERROR(__xludf.DUMMYFUNCTION("""COMPUTED_VALUE"""),0.03959)</f>
        <v>0.03959</v>
      </c>
      <c r="K31" s="19">
        <f>IFERROR(__xludf.DUMMYFUNCTION("""COMPUTED_VALUE"""),0.0768)</f>
        <v>0.0768</v>
      </c>
      <c r="L31" s="19">
        <f>IFERROR(__xludf.DUMMYFUNCTION("""COMPUTED_VALUE"""),0.03721)</f>
        <v>0.03721</v>
      </c>
      <c r="O31" s="24">
        <f t="shared" si="4"/>
        <v>0</v>
      </c>
      <c r="P31" s="24">
        <f t="shared" si="5"/>
        <v>0</v>
      </c>
      <c r="Q31" s="24">
        <f t="shared" si="6"/>
        <v>0</v>
      </c>
      <c r="R31" s="24">
        <f t="shared" si="7"/>
        <v>1</v>
      </c>
      <c r="S31" s="24">
        <f t="shared" si="8"/>
        <v>0</v>
      </c>
      <c r="T31" s="24">
        <f t="shared" si="9"/>
        <v>0</v>
      </c>
    </row>
    <row r="32">
      <c r="A32" s="12" t="s">
        <v>123</v>
      </c>
      <c r="F32" s="19">
        <f>IFERROR(__xludf.DUMMYFUNCTION("SPLIT(A28, "" |"")"),26.0)</f>
        <v>26</v>
      </c>
      <c r="G32" s="19">
        <f>IFERROR(__xludf.DUMMYFUNCTION("""COMPUTED_VALUE"""),0.00232)</f>
        <v>0.00232</v>
      </c>
      <c r="H32" s="19">
        <f>IFERROR(__xludf.DUMMYFUNCTION("""COMPUTED_VALUE"""),0.00444)</f>
        <v>0.00444</v>
      </c>
      <c r="I32" s="19">
        <f>IFERROR(__xludf.DUMMYFUNCTION("""COMPUTED_VALUE"""),0.00186)</f>
        <v>0.00186</v>
      </c>
      <c r="J32" s="19">
        <f>IFERROR(__xludf.DUMMYFUNCTION("""COMPUTED_VALUE"""),0.03962)</f>
        <v>0.03962</v>
      </c>
      <c r="K32" s="19">
        <f>IFERROR(__xludf.DUMMYFUNCTION("""COMPUTED_VALUE"""),0.07681)</f>
        <v>0.07681</v>
      </c>
      <c r="L32" s="19">
        <f>IFERROR(__xludf.DUMMYFUNCTION("""COMPUTED_VALUE"""),0.0399)</f>
        <v>0.0399</v>
      </c>
      <c r="O32" s="24">
        <f t="shared" si="4"/>
        <v>0</v>
      </c>
      <c r="P32" s="24">
        <f t="shared" si="5"/>
        <v>0</v>
      </c>
      <c r="Q32" s="24">
        <f t="shared" si="6"/>
        <v>0</v>
      </c>
      <c r="R32" s="24">
        <f t="shared" si="7"/>
        <v>1</v>
      </c>
      <c r="S32" s="24">
        <f t="shared" si="8"/>
        <v>0</v>
      </c>
      <c r="T32" s="24">
        <f t="shared" si="9"/>
        <v>0</v>
      </c>
    </row>
    <row r="33">
      <c r="A33" s="12" t="s">
        <v>124</v>
      </c>
      <c r="F33" s="19">
        <f>IFERROR(__xludf.DUMMYFUNCTION("SPLIT(A29, "" |"")"),27.0)</f>
        <v>27</v>
      </c>
      <c r="G33" s="19">
        <f>IFERROR(__xludf.DUMMYFUNCTION("""COMPUTED_VALUE"""),0.00208)</f>
        <v>0.00208</v>
      </c>
      <c r="H33" s="19">
        <f>IFERROR(__xludf.DUMMYFUNCTION("""COMPUTED_VALUE"""),0.00446)</f>
        <v>0.00446</v>
      </c>
      <c r="I33" s="19">
        <f>IFERROR(__xludf.DUMMYFUNCTION("""COMPUTED_VALUE"""),0.00179)</f>
        <v>0.00179</v>
      </c>
      <c r="J33" s="19">
        <f>IFERROR(__xludf.DUMMYFUNCTION("""COMPUTED_VALUE"""),0.03753)</f>
        <v>0.03753</v>
      </c>
      <c r="K33" s="19">
        <f>IFERROR(__xludf.DUMMYFUNCTION("""COMPUTED_VALUE"""),0.12999)</f>
        <v>0.12999</v>
      </c>
      <c r="L33" s="19">
        <f>IFERROR(__xludf.DUMMYFUNCTION("""COMPUTED_VALUE"""),0.03976)</f>
        <v>0.03976</v>
      </c>
      <c r="O33" s="24">
        <f t="shared" si="4"/>
        <v>0</v>
      </c>
      <c r="P33" s="24">
        <f t="shared" si="5"/>
        <v>0</v>
      </c>
      <c r="Q33" s="24">
        <f t="shared" si="6"/>
        <v>0</v>
      </c>
      <c r="R33" s="24">
        <f t="shared" si="7"/>
        <v>1</v>
      </c>
      <c r="S33" s="24">
        <f t="shared" si="8"/>
        <v>0</v>
      </c>
      <c r="T33" s="24">
        <f t="shared" si="9"/>
        <v>0</v>
      </c>
    </row>
    <row r="34">
      <c r="A34" s="12" t="s">
        <v>125</v>
      </c>
      <c r="F34" s="19">
        <f>IFERROR(__xludf.DUMMYFUNCTION("SPLIT(A30, "" |"")"),28.0)</f>
        <v>28</v>
      </c>
      <c r="G34" s="19">
        <f>IFERROR(__xludf.DUMMYFUNCTION("""COMPUTED_VALUE"""),0.00194)</f>
        <v>0.00194</v>
      </c>
      <c r="H34" s="19">
        <f>IFERROR(__xludf.DUMMYFUNCTION("""COMPUTED_VALUE"""),0.00432)</f>
        <v>0.00432</v>
      </c>
      <c r="I34" s="19">
        <f>IFERROR(__xludf.DUMMYFUNCTION("""COMPUTED_VALUE"""),0.00178)</f>
        <v>0.00178</v>
      </c>
      <c r="J34" s="19">
        <f>IFERROR(__xludf.DUMMYFUNCTION("""COMPUTED_VALUE"""),0.03948)</f>
        <v>0.03948</v>
      </c>
      <c r="K34" s="19">
        <f>IFERROR(__xludf.DUMMYFUNCTION("""COMPUTED_VALUE"""),0.13168)</f>
        <v>0.13168</v>
      </c>
      <c r="L34" s="19">
        <f>IFERROR(__xludf.DUMMYFUNCTION("""COMPUTED_VALUE"""),0.04021)</f>
        <v>0.04021</v>
      </c>
      <c r="O34" s="24">
        <f t="shared" si="4"/>
        <v>0</v>
      </c>
      <c r="P34" s="24">
        <f t="shared" si="5"/>
        <v>0</v>
      </c>
      <c r="Q34" s="24">
        <f t="shared" si="6"/>
        <v>0</v>
      </c>
      <c r="R34" s="24">
        <f t="shared" si="7"/>
        <v>1</v>
      </c>
      <c r="S34" s="24">
        <f t="shared" si="8"/>
        <v>0</v>
      </c>
      <c r="T34" s="24">
        <f t="shared" si="9"/>
        <v>0</v>
      </c>
    </row>
    <row r="35">
      <c r="A35" s="12" t="s">
        <v>126</v>
      </c>
      <c r="F35" s="19">
        <f>IFERROR(__xludf.DUMMYFUNCTION("SPLIT(A31, "" |"")"),29.0)</f>
        <v>29</v>
      </c>
      <c r="G35" s="19">
        <f>IFERROR(__xludf.DUMMYFUNCTION("""COMPUTED_VALUE"""),0.00196)</f>
        <v>0.00196</v>
      </c>
      <c r="H35" s="19">
        <f>IFERROR(__xludf.DUMMYFUNCTION("""COMPUTED_VALUE"""),0.00938)</f>
        <v>0.00938</v>
      </c>
      <c r="I35" s="19">
        <f>IFERROR(__xludf.DUMMYFUNCTION("""COMPUTED_VALUE"""),0.00191)</f>
        <v>0.00191</v>
      </c>
      <c r="J35" s="19">
        <f>IFERROR(__xludf.DUMMYFUNCTION("""COMPUTED_VALUE"""),0.03897)</f>
        <v>0.03897</v>
      </c>
      <c r="K35" s="19">
        <f>IFERROR(__xludf.DUMMYFUNCTION("""COMPUTED_VALUE"""),0.18667)</f>
        <v>0.18667</v>
      </c>
      <c r="L35" s="19">
        <f>IFERROR(__xludf.DUMMYFUNCTION("""COMPUTED_VALUE"""),0.03981)</f>
        <v>0.03981</v>
      </c>
      <c r="O35" s="24">
        <f t="shared" si="4"/>
        <v>0</v>
      </c>
      <c r="P35" s="24">
        <f t="shared" si="5"/>
        <v>0</v>
      </c>
      <c r="Q35" s="24">
        <f t="shared" si="6"/>
        <v>0</v>
      </c>
      <c r="R35" s="24">
        <f t="shared" si="7"/>
        <v>1</v>
      </c>
      <c r="S35" s="24">
        <f t="shared" si="8"/>
        <v>0</v>
      </c>
      <c r="T35" s="24">
        <f t="shared" si="9"/>
        <v>0</v>
      </c>
    </row>
    <row r="36">
      <c r="A36" s="12" t="s">
        <v>127</v>
      </c>
      <c r="F36" s="19">
        <f>IFERROR(__xludf.DUMMYFUNCTION("SPLIT(A32, "" |"")"),30.0)</f>
        <v>30</v>
      </c>
      <c r="G36" s="19">
        <f>IFERROR(__xludf.DUMMYFUNCTION("""COMPUTED_VALUE"""),0.00196)</f>
        <v>0.00196</v>
      </c>
      <c r="H36" s="19">
        <f>IFERROR(__xludf.DUMMYFUNCTION("""COMPUTED_VALUE"""),0.00932)</f>
        <v>0.00932</v>
      </c>
      <c r="I36" s="19">
        <f>IFERROR(__xludf.DUMMYFUNCTION("""COMPUTED_VALUE"""),0.00176)</f>
        <v>0.00176</v>
      </c>
      <c r="J36" s="19">
        <f>IFERROR(__xludf.DUMMYFUNCTION("""COMPUTED_VALUE"""),0.03948)</f>
        <v>0.03948</v>
      </c>
      <c r="K36" s="19">
        <f>IFERROR(__xludf.DUMMYFUNCTION("""COMPUTED_VALUE"""),0.2906)</f>
        <v>0.2906</v>
      </c>
      <c r="L36" s="19">
        <f>IFERROR(__xludf.DUMMYFUNCTION("""COMPUTED_VALUE"""),0.0398)</f>
        <v>0.0398</v>
      </c>
      <c r="O36" s="24">
        <f t="shared" si="4"/>
        <v>0</v>
      </c>
      <c r="P36" s="24">
        <f t="shared" si="5"/>
        <v>0</v>
      </c>
      <c r="Q36" s="24">
        <f t="shared" si="6"/>
        <v>0</v>
      </c>
      <c r="R36" s="24">
        <f t="shared" si="7"/>
        <v>1</v>
      </c>
      <c r="S36" s="24">
        <f t="shared" si="8"/>
        <v>0</v>
      </c>
      <c r="T36" s="24">
        <f t="shared" si="9"/>
        <v>0</v>
      </c>
    </row>
    <row r="37">
      <c r="A37" s="12" t="s">
        <v>128</v>
      </c>
      <c r="F37" s="19">
        <f>IFERROR(__xludf.DUMMYFUNCTION("SPLIT(A33, "" |"")"),31.0)</f>
        <v>31</v>
      </c>
      <c r="G37" s="19">
        <f>IFERROR(__xludf.DUMMYFUNCTION("""COMPUTED_VALUE"""),0.00203)</f>
        <v>0.00203</v>
      </c>
      <c r="H37" s="19">
        <f>IFERROR(__xludf.DUMMYFUNCTION("""COMPUTED_VALUE"""),0.01939)</f>
        <v>0.01939</v>
      </c>
      <c r="I37" s="19">
        <f>IFERROR(__xludf.DUMMYFUNCTION("""COMPUTED_VALUE"""),0.00183)</f>
        <v>0.00183</v>
      </c>
      <c r="J37" s="19">
        <f>IFERROR(__xludf.DUMMYFUNCTION("""COMPUTED_VALUE"""),0.03957)</f>
        <v>0.03957</v>
      </c>
      <c r="K37" s="19">
        <f>IFERROR(__xludf.DUMMYFUNCTION("""COMPUTED_VALUE"""),0.45734)</f>
        <v>0.45734</v>
      </c>
      <c r="L37" s="19">
        <f>IFERROR(__xludf.DUMMYFUNCTION("""COMPUTED_VALUE"""),0.04008)</f>
        <v>0.04008</v>
      </c>
      <c r="O37" s="24">
        <f t="shared" si="4"/>
        <v>0</v>
      </c>
      <c r="P37" s="24">
        <f t="shared" si="5"/>
        <v>0</v>
      </c>
      <c r="Q37" s="24">
        <f t="shared" si="6"/>
        <v>0</v>
      </c>
      <c r="R37" s="24">
        <f t="shared" si="7"/>
        <v>1</v>
      </c>
      <c r="S37" s="24">
        <f t="shared" si="8"/>
        <v>0</v>
      </c>
      <c r="T37" s="24">
        <f t="shared" si="9"/>
        <v>0</v>
      </c>
    </row>
    <row r="38">
      <c r="A38" s="12" t="s">
        <v>129</v>
      </c>
      <c r="F38" s="19">
        <f>IFERROR(__xludf.DUMMYFUNCTION("SPLIT(A34, "" |"")"),32.0)</f>
        <v>32</v>
      </c>
      <c r="G38" s="19">
        <f>IFERROR(__xludf.DUMMYFUNCTION("""COMPUTED_VALUE"""),0.0021)</f>
        <v>0.0021</v>
      </c>
      <c r="H38" s="19">
        <f>IFERROR(__xludf.DUMMYFUNCTION("""COMPUTED_VALUE"""),0.03956)</f>
        <v>0.03956</v>
      </c>
      <c r="I38" s="19">
        <f>IFERROR(__xludf.DUMMYFUNCTION("""COMPUTED_VALUE"""),0.00182)</f>
        <v>0.00182</v>
      </c>
      <c r="J38" s="19">
        <f>IFERROR(__xludf.DUMMYFUNCTION("""COMPUTED_VALUE"""),0.03952)</f>
        <v>0.03952</v>
      </c>
      <c r="K38" s="19">
        <f>IFERROR(__xludf.DUMMYFUNCTION("""COMPUTED_VALUE"""),0.73006)</f>
        <v>0.73006</v>
      </c>
      <c r="L38" s="19">
        <f>IFERROR(__xludf.DUMMYFUNCTION("""COMPUTED_VALUE"""),0.04005)</f>
        <v>0.04005</v>
      </c>
      <c r="O38" s="24">
        <f t="shared" si="4"/>
        <v>0</v>
      </c>
      <c r="P38" s="24">
        <f t="shared" si="5"/>
        <v>0</v>
      </c>
      <c r="Q38" s="24">
        <f t="shared" si="6"/>
        <v>0</v>
      </c>
      <c r="R38" s="24">
        <f t="shared" si="7"/>
        <v>1</v>
      </c>
      <c r="S38" s="24">
        <f t="shared" si="8"/>
        <v>0</v>
      </c>
      <c r="T38" s="24">
        <f t="shared" si="9"/>
        <v>0</v>
      </c>
    </row>
    <row r="39">
      <c r="A39" s="12" t="s">
        <v>130</v>
      </c>
      <c r="F39" s="19">
        <f>IFERROR(__xludf.DUMMYFUNCTION("SPLIT(A35, "" |"")"),33.0)</f>
        <v>33</v>
      </c>
      <c r="G39" s="19">
        <f>IFERROR(__xludf.DUMMYFUNCTION("""COMPUTED_VALUE"""),0.00207)</f>
        <v>0.00207</v>
      </c>
      <c r="H39" s="19">
        <f>IFERROR(__xludf.DUMMYFUNCTION("""COMPUTED_VALUE"""),0.03955)</f>
        <v>0.03955</v>
      </c>
      <c r="I39" s="19">
        <f>IFERROR(__xludf.DUMMYFUNCTION("""COMPUTED_VALUE"""),0.00195)</f>
        <v>0.00195</v>
      </c>
      <c r="J39" s="19">
        <f>IFERROR(__xludf.DUMMYFUNCTION("""COMPUTED_VALUE"""),0.03953)</f>
        <v>0.03953</v>
      </c>
      <c r="K39" s="19">
        <f>IFERROR(__xludf.DUMMYFUNCTION("""COMPUTED_VALUE"""),1.11973)</f>
        <v>1.11973</v>
      </c>
      <c r="L39" s="19">
        <f>IFERROR(__xludf.DUMMYFUNCTION("""COMPUTED_VALUE"""),0.03999)</f>
        <v>0.03999</v>
      </c>
      <c r="O39" s="24">
        <f t="shared" si="4"/>
        <v>0</v>
      </c>
      <c r="P39" s="24">
        <f t="shared" si="5"/>
        <v>0</v>
      </c>
      <c r="Q39" s="24">
        <f t="shared" si="6"/>
        <v>0</v>
      </c>
      <c r="R39" s="24">
        <f t="shared" si="7"/>
        <v>1</v>
      </c>
      <c r="S39" s="24">
        <f t="shared" si="8"/>
        <v>0</v>
      </c>
      <c r="T39" s="24">
        <f t="shared" si="9"/>
        <v>0</v>
      </c>
    </row>
    <row r="40">
      <c r="A40" s="12" t="s">
        <v>131</v>
      </c>
      <c r="F40" s="19">
        <f>IFERROR(__xludf.DUMMYFUNCTION("SPLIT(A36, "" |"")"),34.0)</f>
        <v>34</v>
      </c>
      <c r="G40" s="19">
        <f>IFERROR(__xludf.DUMMYFUNCTION("""COMPUTED_VALUE"""),0.00215)</f>
        <v>0.00215</v>
      </c>
      <c r="H40" s="19">
        <f>IFERROR(__xludf.DUMMYFUNCTION("""COMPUTED_VALUE"""),0.0765)</f>
        <v>0.0765</v>
      </c>
      <c r="I40" s="19">
        <f>IFERROR(__xludf.DUMMYFUNCTION("""COMPUTED_VALUE"""),0.00198)</f>
        <v>0.00198</v>
      </c>
      <c r="J40" s="19">
        <f>IFERROR(__xludf.DUMMYFUNCTION("""COMPUTED_VALUE"""),0.03974)</f>
        <v>0.03974</v>
      </c>
      <c r="K40" s="19">
        <f>IFERROR(__xludf.DUMMYFUNCTION("""COMPUTED_VALUE"""),1.76591)</f>
        <v>1.76591</v>
      </c>
      <c r="L40" s="19">
        <f>IFERROR(__xludf.DUMMYFUNCTION("""COMPUTED_VALUE"""),0.0385)</f>
        <v>0.0385</v>
      </c>
      <c r="O40" s="24">
        <f t="shared" si="4"/>
        <v>0</v>
      </c>
      <c r="P40" s="24">
        <f t="shared" si="5"/>
        <v>0</v>
      </c>
      <c r="Q40" s="24">
        <f t="shared" si="6"/>
        <v>0</v>
      </c>
      <c r="R40" s="24">
        <f t="shared" si="7"/>
        <v>1</v>
      </c>
      <c r="S40" s="24">
        <f t="shared" si="8"/>
        <v>0</v>
      </c>
      <c r="T40" s="24">
        <f t="shared" si="9"/>
        <v>0</v>
      </c>
    </row>
    <row r="41">
      <c r="A41" s="12" t="s">
        <v>132</v>
      </c>
      <c r="F41" s="19">
        <f>IFERROR(__xludf.DUMMYFUNCTION("SPLIT(A37, "" |"")"),35.0)</f>
        <v>35</v>
      </c>
      <c r="G41" s="19">
        <f>IFERROR(__xludf.DUMMYFUNCTION("""COMPUTED_VALUE"""),0.00214)</f>
        <v>0.00214</v>
      </c>
      <c r="H41" s="19">
        <f>IFERROR(__xludf.DUMMYFUNCTION("""COMPUTED_VALUE"""),0.13149)</f>
        <v>0.13149</v>
      </c>
      <c r="I41" s="19">
        <f>IFERROR(__xludf.DUMMYFUNCTION("""COMPUTED_VALUE"""),0.00207)</f>
        <v>0.00207</v>
      </c>
      <c r="J41" s="19">
        <f>IFERROR(__xludf.DUMMYFUNCTION("""COMPUTED_VALUE"""),0.0364)</f>
        <v>0.0364</v>
      </c>
      <c r="K41" s="19">
        <f>IFERROR(__xludf.DUMMYFUNCTION("""COMPUTED_VALUE"""),2.80955)</f>
        <v>2.80955</v>
      </c>
      <c r="L41" s="19">
        <f>IFERROR(__xludf.DUMMYFUNCTION("""COMPUTED_VALUE"""),0.04042)</f>
        <v>0.04042</v>
      </c>
      <c r="O41" s="24">
        <f t="shared" si="4"/>
        <v>0</v>
      </c>
      <c r="P41" s="24">
        <f t="shared" si="5"/>
        <v>0</v>
      </c>
      <c r="Q41" s="24">
        <f t="shared" si="6"/>
        <v>0</v>
      </c>
      <c r="R41" s="24">
        <f t="shared" si="7"/>
        <v>1</v>
      </c>
      <c r="S41" s="24">
        <f t="shared" si="8"/>
        <v>0</v>
      </c>
      <c r="T41" s="24">
        <f t="shared" si="9"/>
        <v>0</v>
      </c>
    </row>
    <row r="42">
      <c r="A42" s="12"/>
      <c r="F42" s="19">
        <f>IFERROR(__xludf.DUMMYFUNCTION("SPLIT(A38, "" |"")"),36.0)</f>
        <v>36</v>
      </c>
      <c r="G42" s="19">
        <f>IFERROR(__xludf.DUMMYFUNCTION("""COMPUTED_VALUE"""),0.00209)</f>
        <v>0.00209</v>
      </c>
      <c r="H42" s="19">
        <f>IFERROR(__xludf.DUMMYFUNCTION("""COMPUTED_VALUE"""),0.13093)</f>
        <v>0.13093</v>
      </c>
      <c r="I42" s="19">
        <f>IFERROR(__xludf.DUMMYFUNCTION("""COMPUTED_VALUE"""),0.00192)</f>
        <v>0.00192</v>
      </c>
      <c r="J42" s="19">
        <f>IFERROR(__xludf.DUMMYFUNCTION("""COMPUTED_VALUE"""),0.04012)</f>
        <v>0.04012</v>
      </c>
      <c r="K42" s="19">
        <f>IFERROR(__xludf.DUMMYFUNCTION("""COMPUTED_VALUE"""),4.52685)</f>
        <v>4.52685</v>
      </c>
      <c r="L42" s="19">
        <f>IFERROR(__xludf.DUMMYFUNCTION("""COMPUTED_VALUE"""),0.04027)</f>
        <v>0.04027</v>
      </c>
      <c r="O42" s="24">
        <f t="shared" si="4"/>
        <v>0</v>
      </c>
      <c r="P42" s="24">
        <f t="shared" si="5"/>
        <v>0</v>
      </c>
      <c r="Q42" s="24">
        <f t="shared" si="6"/>
        <v>0</v>
      </c>
      <c r="R42" s="24">
        <f t="shared" si="7"/>
        <v>1</v>
      </c>
      <c r="S42" s="24">
        <f t="shared" si="8"/>
        <v>1</v>
      </c>
      <c r="T42" s="24">
        <f t="shared" si="9"/>
        <v>0</v>
      </c>
    </row>
    <row r="43">
      <c r="A43" s="12" t="s">
        <v>133</v>
      </c>
      <c r="F43" s="19">
        <f>IFERROR(__xludf.DUMMYFUNCTION("SPLIT(A39, "" |"")"),37.0)</f>
        <v>37</v>
      </c>
      <c r="G43" s="19">
        <f>IFERROR(__xludf.DUMMYFUNCTION("""COMPUTED_VALUE"""),0.002)</f>
        <v>0.002</v>
      </c>
      <c r="H43" s="19">
        <f>IFERROR(__xludf.DUMMYFUNCTION("""COMPUTED_VALUE"""),0.2415)</f>
        <v>0.2415</v>
      </c>
      <c r="I43" s="19">
        <f>IFERROR(__xludf.DUMMYFUNCTION("""COMPUTED_VALUE"""),0.00219)</f>
        <v>0.00219</v>
      </c>
      <c r="J43" s="19">
        <f>IFERROR(__xludf.DUMMYFUNCTION("""COMPUTED_VALUE"""),0.03994)</f>
        <v>0.03994</v>
      </c>
      <c r="K43" s="19">
        <f>IFERROR(__xludf.DUMMYFUNCTION("""COMPUTED_VALUE"""),7.29834)</f>
        <v>7.29834</v>
      </c>
      <c r="L43" s="19">
        <f>IFERROR(__xludf.DUMMYFUNCTION("""COMPUTED_VALUE"""),0.03895)</f>
        <v>0.03895</v>
      </c>
      <c r="O43" s="24">
        <f t="shared" si="4"/>
        <v>0</v>
      </c>
      <c r="P43" s="24">
        <f t="shared" si="5"/>
        <v>0</v>
      </c>
      <c r="Q43" s="24">
        <f t="shared" si="6"/>
        <v>0</v>
      </c>
      <c r="R43" s="24">
        <f t="shared" si="7"/>
        <v>1</v>
      </c>
      <c r="S43" s="24">
        <f t="shared" si="8"/>
        <v>1</v>
      </c>
      <c r="T43" s="24">
        <f t="shared" si="9"/>
        <v>0</v>
      </c>
    </row>
    <row r="44">
      <c r="A44" s="12" t="s">
        <v>134</v>
      </c>
      <c r="F44" s="19">
        <f>IFERROR(__xludf.DUMMYFUNCTION("SPLIT(A40, "" |"")"),38.0)</f>
        <v>38</v>
      </c>
      <c r="G44" s="19">
        <f>IFERROR(__xludf.DUMMYFUNCTION("""COMPUTED_VALUE"""),0.00197)</f>
        <v>0.00197</v>
      </c>
      <c r="H44" s="19">
        <f>IFERROR(__xludf.DUMMYFUNCTION("""COMPUTED_VALUE"""),0.34921)</f>
        <v>0.34921</v>
      </c>
      <c r="I44" s="19">
        <f>IFERROR(__xludf.DUMMYFUNCTION("""COMPUTED_VALUE"""),0.00218)</f>
        <v>0.00218</v>
      </c>
      <c r="J44" s="19">
        <f>IFERROR(__xludf.DUMMYFUNCTION("""COMPUTED_VALUE"""),0.03963)</f>
        <v>0.03963</v>
      </c>
      <c r="K44" s="19">
        <f>IFERROR(__xludf.DUMMYFUNCTION("""COMPUTED_VALUE"""),11.72737)</f>
        <v>11.72737</v>
      </c>
      <c r="L44" s="19">
        <f>IFERROR(__xludf.DUMMYFUNCTION("""COMPUTED_VALUE"""),0.04)</f>
        <v>0.04</v>
      </c>
      <c r="O44" s="24">
        <f t="shared" si="4"/>
        <v>0</v>
      </c>
      <c r="P44" s="24">
        <f t="shared" si="5"/>
        <v>0</v>
      </c>
      <c r="Q44" s="24">
        <f t="shared" si="6"/>
        <v>0</v>
      </c>
      <c r="R44" s="24">
        <f t="shared" si="7"/>
        <v>1</v>
      </c>
      <c r="S44" s="24">
        <f t="shared" si="8"/>
        <v>1</v>
      </c>
      <c r="T44" s="24">
        <f t="shared" si="9"/>
        <v>0</v>
      </c>
    </row>
    <row r="45">
      <c r="A45" s="12" t="s">
        <v>135</v>
      </c>
      <c r="F45" s="19">
        <f>IFERROR(__xludf.DUMMYFUNCTION("SPLIT(A41, "" |"")"),39.0)</f>
        <v>39</v>
      </c>
      <c r="G45" s="19">
        <f>IFERROR(__xludf.DUMMYFUNCTION("""COMPUTED_VALUE"""),0.0021)</f>
        <v>0.0021</v>
      </c>
      <c r="H45" s="19">
        <f>IFERROR(__xludf.DUMMYFUNCTION("""COMPUTED_VALUE"""),0.56934)</f>
        <v>0.56934</v>
      </c>
      <c r="I45" s="19">
        <f>IFERROR(__xludf.DUMMYFUNCTION("""COMPUTED_VALUE"""),0.00284)</f>
        <v>0.00284</v>
      </c>
      <c r="J45" s="19">
        <f>IFERROR(__xludf.DUMMYFUNCTION("""COMPUTED_VALUE"""),0.04)</f>
        <v>0.04</v>
      </c>
      <c r="K45" s="19">
        <f>IFERROR(__xludf.DUMMYFUNCTION("""COMPUTED_VALUE"""),19.00276)</f>
        <v>19.00276</v>
      </c>
      <c r="L45" s="19">
        <f>IFERROR(__xludf.DUMMYFUNCTION("""COMPUTED_VALUE"""),0.03996)</f>
        <v>0.03996</v>
      </c>
      <c r="O45" s="24">
        <f t="shared" si="4"/>
        <v>0</v>
      </c>
      <c r="P45" s="24">
        <f t="shared" si="5"/>
        <v>0</v>
      </c>
      <c r="Q45" s="24">
        <f t="shared" si="6"/>
        <v>1</v>
      </c>
      <c r="R45" s="24">
        <f t="shared" si="7"/>
        <v>1</v>
      </c>
      <c r="S45" s="24">
        <f t="shared" si="8"/>
        <v>1</v>
      </c>
      <c r="T45" s="24">
        <f t="shared" si="9"/>
        <v>0</v>
      </c>
    </row>
    <row r="46">
      <c r="A46" s="12" t="s">
        <v>136</v>
      </c>
      <c r="F46" s="19" t="str">
        <f>IFERROR(__xludf.DUMMYFUNCTION("SPLIT(A42, "" |"")"),"#VALUE!")</f>
        <v>#VALUE!</v>
      </c>
      <c r="O46" s="24">
        <f t="shared" si="4"/>
        <v>1</v>
      </c>
      <c r="P46" s="24">
        <f t="shared" si="5"/>
        <v>0</v>
      </c>
      <c r="Q46" s="24">
        <f t="shared" si="6"/>
        <v>1</v>
      </c>
      <c r="R46" s="24">
        <f t="shared" si="7"/>
        <v>1</v>
      </c>
      <c r="S46" s="24">
        <f t="shared" si="8"/>
        <v>0</v>
      </c>
      <c r="T46" s="24">
        <f t="shared" si="9"/>
        <v>1</v>
      </c>
    </row>
    <row r="47">
      <c r="A47" s="12" t="s">
        <v>137</v>
      </c>
      <c r="F47" s="19">
        <f>IFERROR(__xludf.DUMMYFUNCTION("SPLIT(A43, "" |"")"),41.0)</f>
        <v>41</v>
      </c>
      <c r="G47" s="19">
        <f>IFERROR(__xludf.DUMMYFUNCTION("""COMPUTED_VALUE"""),0.00272)</f>
        <v>0.00272</v>
      </c>
      <c r="H47" s="19">
        <f>IFERROR(__xludf.DUMMYFUNCTION("""COMPUTED_VALUE"""),1.44264)</f>
        <v>1.44264</v>
      </c>
      <c r="I47" s="19">
        <f>IFERROR(__xludf.DUMMYFUNCTION("""COMPUTED_VALUE"""),0.00291)</f>
        <v>0.00291</v>
      </c>
      <c r="J47" s="19">
        <f>IFERROR(__xludf.DUMMYFUNCTION("""COMPUTED_VALUE"""),0.0401)</f>
        <v>0.0401</v>
      </c>
      <c r="K47" s="19">
        <f>IFERROR(__xludf.DUMMYFUNCTION("""COMPUTED_VALUE"""),49.6663)</f>
        <v>49.6663</v>
      </c>
      <c r="L47" s="19">
        <f>IFERROR(__xludf.DUMMYFUNCTION("""COMPUTED_VALUE"""),0.04006)</f>
        <v>0.04006</v>
      </c>
      <c r="O47" s="24">
        <f t="shared" si="4"/>
        <v>0</v>
      </c>
      <c r="P47" s="24">
        <f t="shared" si="5"/>
        <v>1</v>
      </c>
      <c r="Q47" s="24">
        <f t="shared" si="6"/>
        <v>1</v>
      </c>
      <c r="R47" s="24">
        <f t="shared" si="7"/>
        <v>1</v>
      </c>
      <c r="S47" s="24">
        <f t="shared" si="8"/>
        <v>1</v>
      </c>
      <c r="T47" s="24">
        <f t="shared" si="9"/>
        <v>0</v>
      </c>
    </row>
    <row r="48">
      <c r="A48" s="12" t="s">
        <v>138</v>
      </c>
      <c r="F48" s="19">
        <f>IFERROR(__xludf.DUMMYFUNCTION("SPLIT(A44, "" |"")"),42.0)</f>
        <v>42</v>
      </c>
      <c r="G48" s="19">
        <f>IFERROR(__xludf.DUMMYFUNCTION("""COMPUTED_VALUE"""),0.002)</f>
        <v>0.002</v>
      </c>
      <c r="H48" s="19">
        <f>IFERROR(__xludf.DUMMYFUNCTION("""COMPUTED_VALUE"""),2.3115)</f>
        <v>2.3115</v>
      </c>
      <c r="I48" s="19">
        <f>IFERROR(__xludf.DUMMYFUNCTION("""COMPUTED_VALUE"""),0.0027)</f>
        <v>0.0027</v>
      </c>
      <c r="J48" s="19">
        <f>IFERROR(__xludf.DUMMYFUNCTION("""COMPUTED_VALUE"""),0.03995)</f>
        <v>0.03995</v>
      </c>
      <c r="K48" s="19" t="str">
        <f>IFERROR(__xludf.DUMMYFUNCTION("""COMPUTED_VALUE"""),"-")</f>
        <v>-</v>
      </c>
      <c r="L48" s="19">
        <f>IFERROR(__xludf.DUMMYFUNCTION("""COMPUTED_VALUE"""),0.04058)</f>
        <v>0.04058</v>
      </c>
      <c r="O48" s="24">
        <f t="shared" si="4"/>
        <v>0</v>
      </c>
      <c r="P48" s="24">
        <f t="shared" si="5"/>
        <v>1</v>
      </c>
      <c r="Q48" s="24">
        <f t="shared" si="6"/>
        <v>0</v>
      </c>
      <c r="R48" s="24">
        <f t="shared" si="7"/>
        <v>1</v>
      </c>
      <c r="S48" s="24"/>
      <c r="T48" s="24">
        <f t="shared" si="9"/>
        <v>0</v>
      </c>
    </row>
    <row r="49">
      <c r="A49" s="12" t="s">
        <v>139</v>
      </c>
      <c r="F49" s="19">
        <f>IFERROR(__xludf.DUMMYFUNCTION("SPLIT(A45, "" |"")"),43.0)</f>
        <v>43</v>
      </c>
      <c r="G49" s="19">
        <f>IFERROR(__xludf.DUMMYFUNCTION("""COMPUTED_VALUE"""),0.00214)</f>
        <v>0.00214</v>
      </c>
      <c r="H49" s="19">
        <f>IFERROR(__xludf.DUMMYFUNCTION("""COMPUTED_VALUE"""),3.74675)</f>
        <v>3.74675</v>
      </c>
      <c r="I49" s="19">
        <f>IFERROR(__xludf.DUMMYFUNCTION("""COMPUTED_VALUE"""),0.00256)</f>
        <v>0.00256</v>
      </c>
      <c r="J49" s="19">
        <f>IFERROR(__xludf.DUMMYFUNCTION("""COMPUTED_VALUE"""),0.04014)</f>
        <v>0.04014</v>
      </c>
      <c r="K49" s="19" t="str">
        <f>IFERROR(__xludf.DUMMYFUNCTION("""COMPUTED_VALUE"""),"-")</f>
        <v>-</v>
      </c>
      <c r="L49" s="19">
        <f>IFERROR(__xludf.DUMMYFUNCTION("""COMPUTED_VALUE"""),0.03981)</f>
        <v>0.03981</v>
      </c>
      <c r="O49" s="24">
        <f t="shared" si="4"/>
        <v>0</v>
      </c>
      <c r="P49" s="24">
        <f t="shared" si="5"/>
        <v>1</v>
      </c>
      <c r="Q49" s="24">
        <f t="shared" si="6"/>
        <v>0</v>
      </c>
      <c r="R49" s="24">
        <f t="shared" si="7"/>
        <v>1</v>
      </c>
      <c r="S49" s="24"/>
      <c r="T49" s="24">
        <f t="shared" si="9"/>
        <v>0</v>
      </c>
    </row>
    <row r="50">
      <c r="A50" s="12"/>
      <c r="F50" s="19">
        <f>IFERROR(__xludf.DUMMYFUNCTION("SPLIT(A46, "" |"")"),44.0)</f>
        <v>44</v>
      </c>
      <c r="G50" s="19">
        <f>IFERROR(__xludf.DUMMYFUNCTION("""COMPUTED_VALUE"""),0.00204)</f>
        <v>0.00204</v>
      </c>
      <c r="H50" s="19">
        <f>IFERROR(__xludf.DUMMYFUNCTION("""COMPUTED_VALUE"""),6.03227)</f>
        <v>6.03227</v>
      </c>
      <c r="I50" s="19">
        <f>IFERROR(__xludf.DUMMYFUNCTION("""COMPUTED_VALUE"""),0.00304)</f>
        <v>0.00304</v>
      </c>
      <c r="J50" s="19">
        <f>IFERROR(__xludf.DUMMYFUNCTION("""COMPUTED_VALUE"""),0.04024)</f>
        <v>0.04024</v>
      </c>
      <c r="K50" s="19" t="str">
        <f>IFERROR(__xludf.DUMMYFUNCTION("""COMPUTED_VALUE"""),"-")</f>
        <v>-</v>
      </c>
      <c r="L50" s="19">
        <f>IFERROR(__xludf.DUMMYFUNCTION("""COMPUTED_VALUE"""),0.0399)</f>
        <v>0.0399</v>
      </c>
      <c r="O50" s="24">
        <f t="shared" si="4"/>
        <v>0</v>
      </c>
      <c r="P50" s="24">
        <f t="shared" si="5"/>
        <v>1</v>
      </c>
      <c r="Q50" s="24">
        <f t="shared" si="6"/>
        <v>1</v>
      </c>
      <c r="R50" s="24">
        <f t="shared" si="7"/>
        <v>1</v>
      </c>
      <c r="S50" s="24"/>
      <c r="T50" s="24">
        <f t="shared" si="9"/>
        <v>0</v>
      </c>
    </row>
    <row r="51">
      <c r="A51" s="12" t="s">
        <v>140</v>
      </c>
      <c r="F51" s="19">
        <f>IFERROR(__xludf.DUMMYFUNCTION("SPLIT(A47, "" |"")"),45.0)</f>
        <v>45</v>
      </c>
      <c r="G51" s="19">
        <f>IFERROR(__xludf.DUMMYFUNCTION("""COMPUTED_VALUE"""),0.00216)</f>
        <v>0.00216</v>
      </c>
      <c r="H51" s="19">
        <f>IFERROR(__xludf.DUMMYFUNCTION("""COMPUTED_VALUE"""),9.72372)</f>
        <v>9.72372</v>
      </c>
      <c r="I51" s="19">
        <f>IFERROR(__xludf.DUMMYFUNCTION("""COMPUTED_VALUE"""),0.00251)</f>
        <v>0.00251</v>
      </c>
      <c r="J51" s="19">
        <f>IFERROR(__xludf.DUMMYFUNCTION("""COMPUTED_VALUE"""),0.03987)</f>
        <v>0.03987</v>
      </c>
      <c r="K51" s="19" t="str">
        <f>IFERROR(__xludf.DUMMYFUNCTION("""COMPUTED_VALUE"""),"-")</f>
        <v>-</v>
      </c>
      <c r="L51" s="19">
        <f>IFERROR(__xludf.DUMMYFUNCTION("""COMPUTED_VALUE"""),0.03686)</f>
        <v>0.03686</v>
      </c>
      <c r="O51" s="24">
        <f t="shared" si="4"/>
        <v>0</v>
      </c>
      <c r="P51" s="24">
        <f t="shared" si="5"/>
        <v>1</v>
      </c>
      <c r="Q51" s="24">
        <f t="shared" si="6"/>
        <v>0</v>
      </c>
      <c r="R51" s="24">
        <f t="shared" si="7"/>
        <v>1</v>
      </c>
      <c r="S51" s="24"/>
      <c r="T51" s="24">
        <f t="shared" si="9"/>
        <v>1</v>
      </c>
    </row>
    <row r="52">
      <c r="A52" s="12" t="s">
        <v>141</v>
      </c>
      <c r="F52" s="19">
        <f>IFERROR(__xludf.DUMMYFUNCTION("SPLIT(A48, "" |"")"),46.0)</f>
        <v>46</v>
      </c>
      <c r="G52" s="19">
        <f>IFERROR(__xludf.DUMMYFUNCTION("""COMPUTED_VALUE"""),0.00204)</f>
        <v>0.00204</v>
      </c>
      <c r="H52" s="19">
        <f>IFERROR(__xludf.DUMMYFUNCTION("""COMPUTED_VALUE"""),15.74524)</f>
        <v>15.74524</v>
      </c>
      <c r="I52" s="19">
        <f>IFERROR(__xludf.DUMMYFUNCTION("""COMPUTED_VALUE"""),0.00305)</f>
        <v>0.00305</v>
      </c>
      <c r="J52" s="19">
        <f>IFERROR(__xludf.DUMMYFUNCTION("""COMPUTED_VALUE"""),0.04011)</f>
        <v>0.04011</v>
      </c>
      <c r="K52" s="19" t="str">
        <f>IFERROR(__xludf.DUMMYFUNCTION("""COMPUTED_VALUE"""),"-")</f>
        <v>-</v>
      </c>
      <c r="L52" s="19">
        <f>IFERROR(__xludf.DUMMYFUNCTION("""COMPUTED_VALUE"""),0.03982)</f>
        <v>0.03982</v>
      </c>
      <c r="O52" s="24">
        <f t="shared" si="4"/>
        <v>0</v>
      </c>
      <c r="P52" s="24">
        <f t="shared" si="5"/>
        <v>1</v>
      </c>
      <c r="Q52" s="24">
        <f t="shared" si="6"/>
        <v>1</v>
      </c>
      <c r="R52" s="24">
        <f t="shared" si="7"/>
        <v>1</v>
      </c>
      <c r="S52" s="24"/>
      <c r="T52" s="24">
        <f t="shared" si="9"/>
        <v>0</v>
      </c>
    </row>
    <row r="53">
      <c r="A53" s="12" t="s">
        <v>142</v>
      </c>
      <c r="F53" s="19">
        <f>IFERROR(__xludf.DUMMYFUNCTION("SPLIT(A49, "" |"")"),47.0)</f>
        <v>47</v>
      </c>
      <c r="G53" s="19">
        <f>IFERROR(__xludf.DUMMYFUNCTION("""COMPUTED_VALUE"""),0.00227)</f>
        <v>0.00227</v>
      </c>
      <c r="H53" s="19">
        <f>IFERROR(__xludf.DUMMYFUNCTION("""COMPUTED_VALUE"""),25.4544)</f>
        <v>25.4544</v>
      </c>
      <c r="I53" s="19">
        <f>IFERROR(__xludf.DUMMYFUNCTION("""COMPUTED_VALUE"""),0.0033)</f>
        <v>0.0033</v>
      </c>
      <c r="J53" s="19">
        <f>IFERROR(__xludf.DUMMYFUNCTION("""COMPUTED_VALUE"""),0.03991)</f>
        <v>0.03991</v>
      </c>
      <c r="K53" s="19" t="str">
        <f>IFERROR(__xludf.DUMMYFUNCTION("""COMPUTED_VALUE"""),"-")</f>
        <v>-</v>
      </c>
      <c r="L53" s="19">
        <f>IFERROR(__xludf.DUMMYFUNCTION("""COMPUTED_VALUE"""),0.03988)</f>
        <v>0.03988</v>
      </c>
      <c r="O53" s="24">
        <f t="shared" si="4"/>
        <v>0</v>
      </c>
      <c r="P53" s="24">
        <f t="shared" si="5"/>
        <v>1</v>
      </c>
      <c r="Q53" s="24">
        <f t="shared" si="6"/>
        <v>1</v>
      </c>
      <c r="R53" s="24">
        <f t="shared" si="7"/>
        <v>1</v>
      </c>
      <c r="S53" s="24"/>
      <c r="T53" s="24">
        <f t="shared" si="9"/>
        <v>0</v>
      </c>
    </row>
    <row r="54">
      <c r="A54" s="12" t="s">
        <v>143</v>
      </c>
      <c r="F54" s="19" t="str">
        <f>IFERROR(__xludf.DUMMYFUNCTION("SPLIT(A50, "" |"")"),"#VALUE!")</f>
        <v>#VALUE!</v>
      </c>
      <c r="O54" s="24">
        <f t="shared" si="4"/>
        <v>1</v>
      </c>
      <c r="P54" s="24">
        <f t="shared" si="5"/>
        <v>0</v>
      </c>
      <c r="Q54" s="24">
        <f t="shared" si="6"/>
        <v>1</v>
      </c>
      <c r="R54" s="24">
        <f t="shared" si="7"/>
        <v>1</v>
      </c>
      <c r="S54" s="24"/>
      <c r="T54" s="24">
        <f t="shared" si="9"/>
        <v>1</v>
      </c>
    </row>
    <row r="55">
      <c r="A55" s="12" t="s">
        <v>144</v>
      </c>
      <c r="F55" s="19">
        <f>IFERROR(__xludf.DUMMYFUNCTION("SPLIT(A51, "" |"")"),49.0)</f>
        <v>49</v>
      </c>
      <c r="G55" s="19">
        <f>IFERROR(__xludf.DUMMYFUNCTION("""COMPUTED_VALUE"""),0.00226)</f>
        <v>0.00226</v>
      </c>
      <c r="H55" s="19" t="str">
        <f>IFERROR(__xludf.DUMMYFUNCTION("""COMPUTED_VALUE"""),"-")</f>
        <v>-</v>
      </c>
      <c r="I55" s="19">
        <f>IFERROR(__xludf.DUMMYFUNCTION("""COMPUTED_VALUE"""),0.00319)</f>
        <v>0.00319</v>
      </c>
      <c r="J55" s="19">
        <f>IFERROR(__xludf.DUMMYFUNCTION("""COMPUTED_VALUE"""),0.04452)</f>
        <v>0.04452</v>
      </c>
      <c r="K55" s="19" t="str">
        <f>IFERROR(__xludf.DUMMYFUNCTION("""COMPUTED_VALUE"""),"-")</f>
        <v>-</v>
      </c>
      <c r="L55" s="19">
        <f>IFERROR(__xludf.DUMMYFUNCTION("""COMPUTED_VALUE"""),0.04674)</f>
        <v>0.04674</v>
      </c>
      <c r="O55" s="24">
        <f t="shared" si="4"/>
        <v>0</v>
      </c>
      <c r="P55" s="24"/>
      <c r="Q55" s="24">
        <f t="shared" si="6"/>
        <v>1</v>
      </c>
      <c r="R55" s="24">
        <f t="shared" si="7"/>
        <v>1</v>
      </c>
      <c r="S55" s="24"/>
      <c r="T55" s="24">
        <f t="shared" si="9"/>
        <v>0</v>
      </c>
    </row>
    <row r="56">
      <c r="A56" s="12" t="s">
        <v>145</v>
      </c>
      <c r="F56" s="19">
        <f>IFERROR(__xludf.DUMMYFUNCTION("SPLIT(A52, "" |"")"),50.0)</f>
        <v>50</v>
      </c>
      <c r="G56" s="19">
        <f>IFERROR(__xludf.DUMMYFUNCTION("""COMPUTED_VALUE"""),0.00224)</f>
        <v>0.00224</v>
      </c>
      <c r="H56" s="19" t="str">
        <f>IFERROR(__xludf.DUMMYFUNCTION("""COMPUTED_VALUE"""),"-")</f>
        <v>-</v>
      </c>
      <c r="I56" s="19">
        <f>IFERROR(__xludf.DUMMYFUNCTION("""COMPUTED_VALUE"""),0.00206)</f>
        <v>0.00206</v>
      </c>
      <c r="J56" s="19">
        <f>IFERROR(__xludf.DUMMYFUNCTION("""COMPUTED_VALUE"""),0.04593)</f>
        <v>0.04593</v>
      </c>
      <c r="K56" s="19" t="str">
        <f>IFERROR(__xludf.DUMMYFUNCTION("""COMPUTED_VALUE"""),"-")</f>
        <v>-</v>
      </c>
      <c r="L56" s="19">
        <f>IFERROR(__xludf.DUMMYFUNCTION("""COMPUTED_VALUE"""),0.0474)</f>
        <v>0.0474</v>
      </c>
      <c r="O56" s="24">
        <f t="shared" si="4"/>
        <v>0</v>
      </c>
      <c r="P56" s="24"/>
      <c r="Q56" s="24">
        <f t="shared" si="6"/>
        <v>0</v>
      </c>
      <c r="R56" s="24">
        <f t="shared" si="7"/>
        <v>0</v>
      </c>
      <c r="S56" s="24"/>
      <c r="T56" s="24">
        <f t="shared" si="9"/>
        <v>0</v>
      </c>
    </row>
    <row r="57">
      <c r="A57" s="12" t="s">
        <v>146</v>
      </c>
      <c r="F57" s="19">
        <f>IFERROR(__xludf.DUMMYFUNCTION("SPLIT(A53, "" |"")"),51.0)</f>
        <v>51</v>
      </c>
      <c r="G57" s="19">
        <f>IFERROR(__xludf.DUMMYFUNCTION("""COMPUTED_VALUE"""),0.00229)</f>
        <v>0.00229</v>
      </c>
      <c r="H57" s="19" t="str">
        <f>IFERROR(__xludf.DUMMYFUNCTION("""COMPUTED_VALUE"""),"-")</f>
        <v>-</v>
      </c>
      <c r="I57" s="19">
        <f>IFERROR(__xludf.DUMMYFUNCTION("""COMPUTED_VALUE"""),0.00206)</f>
        <v>0.00206</v>
      </c>
      <c r="J57" s="19">
        <f>IFERROR(__xludf.DUMMYFUNCTION("""COMPUTED_VALUE"""),0.04702)</f>
        <v>0.04702</v>
      </c>
      <c r="K57" s="19" t="str">
        <f>IFERROR(__xludf.DUMMYFUNCTION("""COMPUTED_VALUE"""),"-")</f>
        <v>-</v>
      </c>
      <c r="L57" s="19">
        <f>IFERROR(__xludf.DUMMYFUNCTION("""COMPUTED_VALUE"""),0.04748)</f>
        <v>0.04748</v>
      </c>
      <c r="O57" s="24">
        <f t="shared" si="4"/>
        <v>0</v>
      </c>
      <c r="P57" s="24"/>
      <c r="Q57" s="24">
        <f t="shared" si="6"/>
        <v>0</v>
      </c>
      <c r="R57" s="24">
        <f t="shared" si="7"/>
        <v>0</v>
      </c>
      <c r="S57" s="24"/>
      <c r="T57" s="24">
        <f t="shared" si="9"/>
        <v>0</v>
      </c>
    </row>
    <row r="58">
      <c r="A58" s="12" t="s">
        <v>147</v>
      </c>
      <c r="F58" s="19">
        <f>IFERROR(__xludf.DUMMYFUNCTION("SPLIT(A54, "" |"")"),52.0)</f>
        <v>52</v>
      </c>
      <c r="G58" s="19">
        <f>IFERROR(__xludf.DUMMYFUNCTION("""COMPUTED_VALUE"""),0.00223)</f>
        <v>0.00223</v>
      </c>
      <c r="H58" s="19" t="str">
        <f>IFERROR(__xludf.DUMMYFUNCTION("""COMPUTED_VALUE"""),"-")</f>
        <v>-</v>
      </c>
      <c r="I58" s="19">
        <f>IFERROR(__xludf.DUMMYFUNCTION("""COMPUTED_VALUE"""),0.00206)</f>
        <v>0.00206</v>
      </c>
      <c r="J58" s="19">
        <f>IFERROR(__xludf.DUMMYFUNCTION("""COMPUTED_VALUE"""),0.04729)</f>
        <v>0.04729</v>
      </c>
      <c r="K58" s="19" t="str">
        <f>IFERROR(__xludf.DUMMYFUNCTION("""COMPUTED_VALUE"""),"-")</f>
        <v>-</v>
      </c>
      <c r="L58" s="19">
        <f>IFERROR(__xludf.DUMMYFUNCTION("""COMPUTED_VALUE"""),0.04747)</f>
        <v>0.04747</v>
      </c>
      <c r="O58" s="24">
        <f t="shared" si="4"/>
        <v>0</v>
      </c>
      <c r="P58" s="24"/>
      <c r="Q58" s="24">
        <f t="shared" si="6"/>
        <v>0</v>
      </c>
      <c r="R58" s="24">
        <f t="shared" si="7"/>
        <v>0</v>
      </c>
      <c r="S58" s="24"/>
      <c r="T58" s="24">
        <f t="shared" si="9"/>
        <v>0</v>
      </c>
    </row>
    <row r="59">
      <c r="A59" s="12" t="s">
        <v>148</v>
      </c>
      <c r="F59" s="19">
        <f>IFERROR(__xludf.DUMMYFUNCTION("SPLIT(A55, "" |"")"),53.0)</f>
        <v>53</v>
      </c>
      <c r="G59" s="19">
        <f>IFERROR(__xludf.DUMMYFUNCTION("""COMPUTED_VALUE"""),0.00243)</f>
        <v>0.00243</v>
      </c>
      <c r="H59" s="19" t="str">
        <f>IFERROR(__xludf.DUMMYFUNCTION("""COMPUTED_VALUE"""),"-")</f>
        <v>-</v>
      </c>
      <c r="I59" s="19">
        <f>IFERROR(__xludf.DUMMYFUNCTION("""COMPUTED_VALUE"""),0.00235)</f>
        <v>0.00235</v>
      </c>
      <c r="J59" s="19">
        <f>IFERROR(__xludf.DUMMYFUNCTION("""COMPUTED_VALUE"""),0.0479)</f>
        <v>0.0479</v>
      </c>
      <c r="K59" s="19" t="str">
        <f>IFERROR(__xludf.DUMMYFUNCTION("""COMPUTED_VALUE"""),"-")</f>
        <v>-</v>
      </c>
      <c r="L59" s="19">
        <f>IFERROR(__xludf.DUMMYFUNCTION("""COMPUTED_VALUE"""),0.04752)</f>
        <v>0.04752</v>
      </c>
      <c r="O59" s="24">
        <f t="shared" si="4"/>
        <v>0</v>
      </c>
      <c r="P59" s="24"/>
      <c r="Q59" s="24">
        <f t="shared" si="6"/>
        <v>0</v>
      </c>
      <c r="R59" s="24">
        <f t="shared" si="7"/>
        <v>0</v>
      </c>
      <c r="S59" s="24"/>
      <c r="T59" s="24">
        <f t="shared" si="9"/>
        <v>0</v>
      </c>
    </row>
    <row r="60">
      <c r="A60" s="12" t="s">
        <v>149</v>
      </c>
      <c r="F60" s="19">
        <f>IFERROR(__xludf.DUMMYFUNCTION("SPLIT(A56, "" |"")"),54.0)</f>
        <v>54</v>
      </c>
      <c r="G60" s="19">
        <f>IFERROR(__xludf.DUMMYFUNCTION("""COMPUTED_VALUE"""),0.00226)</f>
        <v>0.00226</v>
      </c>
      <c r="H60" s="19" t="str">
        <f>IFERROR(__xludf.DUMMYFUNCTION("""COMPUTED_VALUE"""),"-")</f>
        <v>-</v>
      </c>
      <c r="I60" s="19">
        <f>IFERROR(__xludf.DUMMYFUNCTION("""COMPUTED_VALUE"""),0.00206)</f>
        <v>0.00206</v>
      </c>
      <c r="J60" s="19">
        <f>IFERROR(__xludf.DUMMYFUNCTION("""COMPUTED_VALUE"""),0.04244)</f>
        <v>0.04244</v>
      </c>
      <c r="K60" s="19" t="str">
        <f>IFERROR(__xludf.DUMMYFUNCTION("""COMPUTED_VALUE"""),"-")</f>
        <v>-</v>
      </c>
      <c r="L60" s="19">
        <f>IFERROR(__xludf.DUMMYFUNCTION("""COMPUTED_VALUE"""),0.04745)</f>
        <v>0.04745</v>
      </c>
      <c r="O60" s="24">
        <f t="shared" si="4"/>
        <v>0</v>
      </c>
      <c r="P60" s="24"/>
      <c r="Q60" s="24">
        <f t="shared" si="6"/>
        <v>0</v>
      </c>
      <c r="R60" s="24">
        <f t="shared" si="7"/>
        <v>1</v>
      </c>
      <c r="S60" s="24"/>
      <c r="T60" s="24">
        <f t="shared" si="9"/>
        <v>0</v>
      </c>
    </row>
    <row r="61">
      <c r="A61" s="12" t="s">
        <v>150</v>
      </c>
      <c r="F61" s="19">
        <f>IFERROR(__xludf.DUMMYFUNCTION("SPLIT(A57, "" |"")"),55.0)</f>
        <v>55</v>
      </c>
      <c r="G61" s="19">
        <f>IFERROR(__xludf.DUMMYFUNCTION("""COMPUTED_VALUE"""),0.00225)</f>
        <v>0.00225</v>
      </c>
      <c r="H61" s="19" t="str">
        <f>IFERROR(__xludf.DUMMYFUNCTION("""COMPUTED_VALUE"""),"-")</f>
        <v>-</v>
      </c>
      <c r="I61" s="19">
        <f>IFERROR(__xludf.DUMMYFUNCTION("""COMPUTED_VALUE"""),0.00208)</f>
        <v>0.00208</v>
      </c>
      <c r="J61" s="19">
        <f>IFERROR(__xludf.DUMMYFUNCTION("""COMPUTED_VALUE"""),0.04731)</f>
        <v>0.04731</v>
      </c>
      <c r="K61" s="19" t="str">
        <f>IFERROR(__xludf.DUMMYFUNCTION("""COMPUTED_VALUE"""),"-")</f>
        <v>-</v>
      </c>
      <c r="L61" s="19">
        <f>IFERROR(__xludf.DUMMYFUNCTION("""COMPUTED_VALUE"""),0.04747)</f>
        <v>0.04747</v>
      </c>
      <c r="O61" s="24">
        <f t="shared" si="4"/>
        <v>0</v>
      </c>
      <c r="P61" s="24"/>
      <c r="Q61" s="24">
        <f t="shared" si="6"/>
        <v>0</v>
      </c>
      <c r="R61" s="24">
        <f t="shared" si="7"/>
        <v>0</v>
      </c>
      <c r="S61" s="24"/>
      <c r="T61" s="24">
        <f t="shared" si="9"/>
        <v>0</v>
      </c>
    </row>
    <row r="62">
      <c r="A62" s="12" t="s">
        <v>151</v>
      </c>
      <c r="F62" s="19">
        <f>IFERROR(__xludf.DUMMYFUNCTION("SPLIT(A58, "" |"")"),56.0)</f>
        <v>56</v>
      </c>
      <c r="G62" s="19">
        <f>IFERROR(__xludf.DUMMYFUNCTION("""COMPUTED_VALUE"""),0.00221)</f>
        <v>0.00221</v>
      </c>
      <c r="H62" s="19" t="str">
        <f>IFERROR(__xludf.DUMMYFUNCTION("""COMPUTED_VALUE"""),"-")</f>
        <v>-</v>
      </c>
      <c r="I62" s="19">
        <f>IFERROR(__xludf.DUMMYFUNCTION("""COMPUTED_VALUE"""),0.00208)</f>
        <v>0.00208</v>
      </c>
      <c r="J62" s="19">
        <f>IFERROR(__xludf.DUMMYFUNCTION("""COMPUTED_VALUE"""),0.03864)</f>
        <v>0.03864</v>
      </c>
      <c r="K62" s="19" t="str">
        <f>IFERROR(__xludf.DUMMYFUNCTION("""COMPUTED_VALUE"""),"-")</f>
        <v>-</v>
      </c>
      <c r="L62" s="19">
        <f>IFERROR(__xludf.DUMMYFUNCTION("""COMPUTED_VALUE"""),0.0478)</f>
        <v>0.0478</v>
      </c>
      <c r="O62" s="24">
        <f t="shared" si="4"/>
        <v>0</v>
      </c>
      <c r="P62" s="24"/>
      <c r="Q62" s="24">
        <f t="shared" si="6"/>
        <v>0</v>
      </c>
      <c r="R62" s="24">
        <f t="shared" si="7"/>
        <v>1</v>
      </c>
      <c r="S62" s="24"/>
      <c r="T62" s="24">
        <f t="shared" si="9"/>
        <v>0</v>
      </c>
    </row>
    <row r="63">
      <c r="A63" s="12" t="s">
        <v>152</v>
      </c>
      <c r="F63" s="19">
        <f>IFERROR(__xludf.DUMMYFUNCTION("SPLIT(A59, "" |"")"),57.0)</f>
        <v>57</v>
      </c>
      <c r="G63" s="19">
        <f>IFERROR(__xludf.DUMMYFUNCTION("""COMPUTED_VALUE"""),0.00239)</f>
        <v>0.00239</v>
      </c>
      <c r="H63" s="19" t="str">
        <f>IFERROR(__xludf.DUMMYFUNCTION("""COMPUTED_VALUE"""),"-")</f>
        <v>-</v>
      </c>
      <c r="I63" s="19">
        <f>IFERROR(__xludf.DUMMYFUNCTION("""COMPUTED_VALUE"""),0.00222)</f>
        <v>0.00222</v>
      </c>
      <c r="J63" s="19">
        <f>IFERROR(__xludf.DUMMYFUNCTION("""COMPUTED_VALUE"""),0.04741)</f>
        <v>0.04741</v>
      </c>
      <c r="K63" s="19" t="str">
        <f>IFERROR(__xludf.DUMMYFUNCTION("""COMPUTED_VALUE"""),"-")</f>
        <v>-</v>
      </c>
      <c r="L63" s="19">
        <f>IFERROR(__xludf.DUMMYFUNCTION("""COMPUTED_VALUE"""),0.04765)</f>
        <v>0.04765</v>
      </c>
      <c r="O63" s="24">
        <f t="shared" si="4"/>
        <v>0</v>
      </c>
      <c r="P63" s="24"/>
      <c r="Q63" s="24">
        <f t="shared" si="6"/>
        <v>0</v>
      </c>
      <c r="R63" s="24">
        <f t="shared" si="7"/>
        <v>0</v>
      </c>
      <c r="S63" s="24"/>
      <c r="T63" s="24">
        <f t="shared" si="9"/>
        <v>0</v>
      </c>
    </row>
    <row r="64">
      <c r="A64" s="12" t="s">
        <v>153</v>
      </c>
      <c r="F64" s="19">
        <f>IFERROR(__xludf.DUMMYFUNCTION("SPLIT(A60, "" |"")"),58.0)</f>
        <v>58</v>
      </c>
      <c r="G64" s="19">
        <f>IFERROR(__xludf.DUMMYFUNCTION("""COMPUTED_VALUE"""),0.00239)</f>
        <v>0.00239</v>
      </c>
      <c r="H64" s="19" t="str">
        <f>IFERROR(__xludf.DUMMYFUNCTION("""COMPUTED_VALUE"""),"-")</f>
        <v>-</v>
      </c>
      <c r="I64" s="19">
        <f>IFERROR(__xludf.DUMMYFUNCTION("""COMPUTED_VALUE"""),0.0022)</f>
        <v>0.0022</v>
      </c>
      <c r="J64" s="19">
        <f>IFERROR(__xludf.DUMMYFUNCTION("""COMPUTED_VALUE"""),0.04167)</f>
        <v>0.04167</v>
      </c>
      <c r="K64" s="19" t="str">
        <f>IFERROR(__xludf.DUMMYFUNCTION("""COMPUTED_VALUE"""),"-")</f>
        <v>-</v>
      </c>
      <c r="L64" s="19">
        <f>IFERROR(__xludf.DUMMYFUNCTION("""COMPUTED_VALUE"""),0.04747)</f>
        <v>0.04747</v>
      </c>
      <c r="O64" s="24">
        <f t="shared" si="4"/>
        <v>0</v>
      </c>
      <c r="P64" s="24"/>
      <c r="Q64" s="24">
        <f t="shared" si="6"/>
        <v>0</v>
      </c>
      <c r="R64" s="24">
        <f t="shared" si="7"/>
        <v>1</v>
      </c>
      <c r="S64" s="24"/>
      <c r="T64" s="24">
        <f t="shared" si="9"/>
        <v>0</v>
      </c>
    </row>
    <row r="65">
      <c r="A65" s="12" t="s">
        <v>154</v>
      </c>
      <c r="F65" s="19">
        <f>IFERROR(__xludf.DUMMYFUNCTION("SPLIT(A61, "" |"")"),59.0)</f>
        <v>59</v>
      </c>
      <c r="G65" s="19">
        <f>IFERROR(__xludf.DUMMYFUNCTION("""COMPUTED_VALUE"""),0.00235)</f>
        <v>0.00235</v>
      </c>
      <c r="H65" s="19" t="str">
        <f>IFERROR(__xludf.DUMMYFUNCTION("""COMPUTED_VALUE"""),"-")</f>
        <v>-</v>
      </c>
      <c r="I65" s="19">
        <f>IFERROR(__xludf.DUMMYFUNCTION("""COMPUTED_VALUE"""),0.00214)</f>
        <v>0.00214</v>
      </c>
      <c r="J65" s="19">
        <f>IFERROR(__xludf.DUMMYFUNCTION("""COMPUTED_VALUE"""),0.04739)</f>
        <v>0.04739</v>
      </c>
      <c r="K65" s="19" t="str">
        <f>IFERROR(__xludf.DUMMYFUNCTION("""COMPUTED_VALUE"""),"-")</f>
        <v>-</v>
      </c>
      <c r="L65" s="19">
        <f>IFERROR(__xludf.DUMMYFUNCTION("""COMPUTED_VALUE"""),0.0477)</f>
        <v>0.0477</v>
      </c>
      <c r="O65" s="24">
        <f t="shared" si="4"/>
        <v>0</v>
      </c>
      <c r="P65" s="24"/>
      <c r="Q65" s="24">
        <f t="shared" si="6"/>
        <v>0</v>
      </c>
      <c r="R65" s="24">
        <f t="shared" si="7"/>
        <v>0</v>
      </c>
      <c r="S65" s="24"/>
      <c r="T65" s="24">
        <f t="shared" si="9"/>
        <v>0</v>
      </c>
    </row>
    <row r="66">
      <c r="A66" s="12" t="s">
        <v>155</v>
      </c>
      <c r="F66" s="19">
        <f>IFERROR(__xludf.DUMMYFUNCTION("SPLIT(A62, "" |"")"),60.0)</f>
        <v>60</v>
      </c>
      <c r="G66" s="19">
        <f>IFERROR(__xludf.DUMMYFUNCTION("""COMPUTED_VALUE"""),0.00239)</f>
        <v>0.00239</v>
      </c>
      <c r="H66" s="19" t="str">
        <f>IFERROR(__xludf.DUMMYFUNCTION("""COMPUTED_VALUE"""),"-")</f>
        <v>-</v>
      </c>
      <c r="I66" s="19">
        <f>IFERROR(__xludf.DUMMYFUNCTION("""COMPUTED_VALUE"""),0.0022)</f>
        <v>0.0022</v>
      </c>
      <c r="J66" s="19">
        <f>IFERROR(__xludf.DUMMYFUNCTION("""COMPUTED_VALUE"""),0.04746)</f>
        <v>0.04746</v>
      </c>
      <c r="K66" s="19" t="str">
        <f>IFERROR(__xludf.DUMMYFUNCTION("""COMPUTED_VALUE"""),"-")</f>
        <v>-</v>
      </c>
      <c r="L66" s="19">
        <f>IFERROR(__xludf.DUMMYFUNCTION("""COMPUTED_VALUE"""),0.04766)</f>
        <v>0.04766</v>
      </c>
      <c r="O66" s="24">
        <f t="shared" si="4"/>
        <v>0</v>
      </c>
      <c r="P66" s="24"/>
      <c r="Q66" s="24">
        <f t="shared" si="6"/>
        <v>0</v>
      </c>
      <c r="R66" s="24">
        <f t="shared" si="7"/>
        <v>0</v>
      </c>
      <c r="S66" s="24"/>
      <c r="T66" s="24">
        <f t="shared" si="9"/>
        <v>0</v>
      </c>
    </row>
    <row r="67">
      <c r="A67" s="12" t="s">
        <v>156</v>
      </c>
      <c r="F67" s="19">
        <f>IFERROR(__xludf.DUMMYFUNCTION("SPLIT(A63, "" |"")"),61.0)</f>
        <v>61</v>
      </c>
      <c r="G67" s="19">
        <f>IFERROR(__xludf.DUMMYFUNCTION("""COMPUTED_VALUE"""),0.00237)</f>
        <v>0.00237</v>
      </c>
      <c r="H67" s="19" t="str">
        <f>IFERROR(__xludf.DUMMYFUNCTION("""COMPUTED_VALUE"""),"-")</f>
        <v>-</v>
      </c>
      <c r="I67" s="19">
        <f>IFERROR(__xludf.DUMMYFUNCTION("""COMPUTED_VALUE"""),0.00222)</f>
        <v>0.00222</v>
      </c>
      <c r="J67" s="19">
        <f>IFERROR(__xludf.DUMMYFUNCTION("""COMPUTED_VALUE"""),0.04357)</f>
        <v>0.04357</v>
      </c>
      <c r="K67" s="19" t="str">
        <f>IFERROR(__xludf.DUMMYFUNCTION("""COMPUTED_VALUE"""),"-")</f>
        <v>-</v>
      </c>
      <c r="L67" s="19">
        <f>IFERROR(__xludf.DUMMYFUNCTION("""COMPUTED_VALUE"""),0.0476)</f>
        <v>0.0476</v>
      </c>
      <c r="O67" s="24">
        <f t="shared" si="4"/>
        <v>0</v>
      </c>
      <c r="P67" s="24"/>
      <c r="Q67" s="24">
        <f t="shared" si="6"/>
        <v>0</v>
      </c>
      <c r="R67" s="24">
        <f t="shared" si="7"/>
        <v>1</v>
      </c>
      <c r="S67" s="24"/>
      <c r="T67" s="24">
        <f t="shared" si="9"/>
        <v>0</v>
      </c>
    </row>
    <row r="68">
      <c r="A68" s="12" t="s">
        <v>157</v>
      </c>
      <c r="F68" s="19">
        <f>IFERROR(__xludf.DUMMYFUNCTION("SPLIT(A64, "" |"")"),62.0)</f>
        <v>62</v>
      </c>
      <c r="G68" s="19">
        <f>IFERROR(__xludf.DUMMYFUNCTION("""COMPUTED_VALUE"""),0.00231)</f>
        <v>0.00231</v>
      </c>
      <c r="H68" s="19" t="str">
        <f>IFERROR(__xludf.DUMMYFUNCTION("""COMPUTED_VALUE"""),"-")</f>
        <v>-</v>
      </c>
      <c r="I68" s="19">
        <f>IFERROR(__xludf.DUMMYFUNCTION("""COMPUTED_VALUE"""),0.00217)</f>
        <v>0.00217</v>
      </c>
      <c r="J68" s="19">
        <f>IFERROR(__xludf.DUMMYFUNCTION("""COMPUTED_VALUE"""),0.0448)</f>
        <v>0.0448</v>
      </c>
      <c r="K68" s="19" t="str">
        <f>IFERROR(__xludf.DUMMYFUNCTION("""COMPUTED_VALUE"""),"-")</f>
        <v>-</v>
      </c>
      <c r="L68" s="19">
        <f>IFERROR(__xludf.DUMMYFUNCTION("""COMPUTED_VALUE"""),0.04416)</f>
        <v>0.04416</v>
      </c>
      <c r="O68" s="24">
        <f t="shared" si="4"/>
        <v>0</v>
      </c>
      <c r="P68" s="24"/>
      <c r="Q68" s="24">
        <f t="shared" si="6"/>
        <v>0</v>
      </c>
      <c r="R68" s="24">
        <f t="shared" si="7"/>
        <v>1</v>
      </c>
      <c r="S68" s="24"/>
      <c r="T68" s="24">
        <f t="shared" si="9"/>
        <v>0</v>
      </c>
    </row>
    <row r="69">
      <c r="A69" s="12" t="s">
        <v>158</v>
      </c>
      <c r="F69" s="19">
        <f>IFERROR(__xludf.DUMMYFUNCTION("SPLIT(A65, "" |"")"),63.0)</f>
        <v>63</v>
      </c>
      <c r="G69" s="19">
        <f>IFERROR(__xludf.DUMMYFUNCTION("""COMPUTED_VALUE"""),0.00228)</f>
        <v>0.00228</v>
      </c>
      <c r="H69" s="19" t="str">
        <f>IFERROR(__xludf.DUMMYFUNCTION("""COMPUTED_VALUE"""),"-")</f>
        <v>-</v>
      </c>
      <c r="I69" s="19">
        <f>IFERROR(__xludf.DUMMYFUNCTION("""COMPUTED_VALUE"""),0.00218)</f>
        <v>0.00218</v>
      </c>
      <c r="J69" s="19">
        <f>IFERROR(__xludf.DUMMYFUNCTION("""COMPUTED_VALUE"""),0.04746)</f>
        <v>0.04746</v>
      </c>
      <c r="K69" s="19" t="str">
        <f>IFERROR(__xludf.DUMMYFUNCTION("""COMPUTED_VALUE"""),"-")</f>
        <v>-</v>
      </c>
      <c r="L69" s="19">
        <f>IFERROR(__xludf.DUMMYFUNCTION("""COMPUTED_VALUE"""),0.04758)</f>
        <v>0.04758</v>
      </c>
      <c r="O69" s="24">
        <f t="shared" si="4"/>
        <v>0</v>
      </c>
      <c r="P69" s="24"/>
      <c r="Q69" s="24">
        <f t="shared" si="6"/>
        <v>0</v>
      </c>
      <c r="R69" s="24">
        <f t="shared" si="7"/>
        <v>0</v>
      </c>
      <c r="S69" s="24"/>
      <c r="T69" s="24">
        <f t="shared" si="9"/>
        <v>0</v>
      </c>
    </row>
    <row r="70">
      <c r="A70" s="12" t="s">
        <v>159</v>
      </c>
      <c r="F70" s="19">
        <f>IFERROR(__xludf.DUMMYFUNCTION("SPLIT(A66, "" |"")"),64.0)</f>
        <v>64</v>
      </c>
      <c r="G70" s="19">
        <f>IFERROR(__xludf.DUMMYFUNCTION("""COMPUTED_VALUE"""),0.00232)</f>
        <v>0.00232</v>
      </c>
      <c r="H70" s="19" t="str">
        <f>IFERROR(__xludf.DUMMYFUNCTION("""COMPUTED_VALUE"""),"-")</f>
        <v>-</v>
      </c>
      <c r="I70" s="19">
        <f>IFERROR(__xludf.DUMMYFUNCTION("""COMPUTED_VALUE"""),0.00219)</f>
        <v>0.00219</v>
      </c>
      <c r="J70" s="19">
        <f>IFERROR(__xludf.DUMMYFUNCTION("""COMPUTED_VALUE"""),0.04741)</f>
        <v>0.04741</v>
      </c>
      <c r="K70" s="19" t="str">
        <f>IFERROR(__xludf.DUMMYFUNCTION("""COMPUTED_VALUE"""),"-")</f>
        <v>-</v>
      </c>
      <c r="L70" s="19">
        <f>IFERROR(__xludf.DUMMYFUNCTION("""COMPUTED_VALUE"""),0.04765)</f>
        <v>0.04765</v>
      </c>
      <c r="O70" s="24">
        <f t="shared" si="4"/>
        <v>0</v>
      </c>
      <c r="P70" s="24"/>
      <c r="Q70" s="24">
        <f t="shared" si="6"/>
        <v>0</v>
      </c>
      <c r="R70" s="24">
        <f t="shared" si="7"/>
        <v>0</v>
      </c>
      <c r="S70" s="24"/>
      <c r="T70" s="24">
        <f t="shared" si="9"/>
        <v>0</v>
      </c>
    </row>
    <row r="71">
      <c r="A71" s="12" t="s">
        <v>160</v>
      </c>
      <c r="F71" s="19">
        <f>IFERROR(__xludf.DUMMYFUNCTION("SPLIT(A67, "" |"")"),65.0)</f>
        <v>65</v>
      </c>
      <c r="G71" s="19">
        <f>IFERROR(__xludf.DUMMYFUNCTION("""COMPUTED_VALUE"""),0.00236)</f>
        <v>0.00236</v>
      </c>
      <c r="H71" s="19" t="str">
        <f>IFERROR(__xludf.DUMMYFUNCTION("""COMPUTED_VALUE"""),"-")</f>
        <v>-</v>
      </c>
      <c r="I71" s="19">
        <f>IFERROR(__xludf.DUMMYFUNCTION("""COMPUTED_VALUE"""),0.00225)</f>
        <v>0.00225</v>
      </c>
      <c r="J71" s="19">
        <f>IFERROR(__xludf.DUMMYFUNCTION("""COMPUTED_VALUE"""),0.04748)</f>
        <v>0.04748</v>
      </c>
      <c r="K71" s="19" t="str">
        <f>IFERROR(__xludf.DUMMYFUNCTION("""COMPUTED_VALUE"""),"-")</f>
        <v>-</v>
      </c>
      <c r="L71" s="19">
        <f>IFERROR(__xludf.DUMMYFUNCTION("""COMPUTED_VALUE"""),0.0476)</f>
        <v>0.0476</v>
      </c>
      <c r="O71" s="24">
        <f t="shared" si="4"/>
        <v>0</v>
      </c>
      <c r="P71" s="24"/>
      <c r="Q71" s="24">
        <f t="shared" si="6"/>
        <v>0</v>
      </c>
      <c r="R71" s="24">
        <f t="shared" si="7"/>
        <v>0</v>
      </c>
      <c r="S71" s="24"/>
      <c r="T71" s="24">
        <f t="shared" si="9"/>
        <v>0</v>
      </c>
    </row>
    <row r="72">
      <c r="A72" s="12" t="s">
        <v>161</v>
      </c>
      <c r="F72" s="19">
        <f>IFERROR(__xludf.DUMMYFUNCTION("SPLIT(A68, "" |"")"),66.0)</f>
        <v>66</v>
      </c>
      <c r="G72" s="19">
        <f>IFERROR(__xludf.DUMMYFUNCTION("""COMPUTED_VALUE"""),0.00236)</f>
        <v>0.00236</v>
      </c>
      <c r="H72" s="19" t="str">
        <f>IFERROR(__xludf.DUMMYFUNCTION("""COMPUTED_VALUE"""),"-")</f>
        <v>-</v>
      </c>
      <c r="I72" s="19">
        <f>IFERROR(__xludf.DUMMYFUNCTION("""COMPUTED_VALUE"""),0.00218)</f>
        <v>0.00218</v>
      </c>
      <c r="J72" s="19">
        <f>IFERROR(__xludf.DUMMYFUNCTION("""COMPUTED_VALUE"""),0.0475)</f>
        <v>0.0475</v>
      </c>
      <c r="K72" s="19" t="str">
        <f>IFERROR(__xludf.DUMMYFUNCTION("""COMPUTED_VALUE"""),"-")</f>
        <v>-</v>
      </c>
      <c r="L72" s="19">
        <f>IFERROR(__xludf.DUMMYFUNCTION("""COMPUTED_VALUE"""),0.04765)</f>
        <v>0.04765</v>
      </c>
      <c r="O72" s="24">
        <f t="shared" si="4"/>
        <v>0</v>
      </c>
      <c r="P72" s="24"/>
      <c r="Q72" s="24">
        <f t="shared" si="6"/>
        <v>0</v>
      </c>
      <c r="R72" s="24">
        <f t="shared" si="7"/>
        <v>0</v>
      </c>
      <c r="S72" s="24"/>
      <c r="T72" s="24">
        <f t="shared" si="9"/>
        <v>0</v>
      </c>
    </row>
    <row r="73">
      <c r="A73" s="12" t="s">
        <v>162</v>
      </c>
      <c r="F73" s="19">
        <f>IFERROR(__xludf.DUMMYFUNCTION("SPLIT(A69, "" |"")"),67.0)</f>
        <v>67</v>
      </c>
      <c r="G73" s="19">
        <f>IFERROR(__xludf.DUMMYFUNCTION("""COMPUTED_VALUE"""),0.00235)</f>
        <v>0.00235</v>
      </c>
      <c r="H73" s="19" t="str">
        <f>IFERROR(__xludf.DUMMYFUNCTION("""COMPUTED_VALUE"""),"-")</f>
        <v>-</v>
      </c>
      <c r="I73" s="19">
        <f>IFERROR(__xludf.DUMMYFUNCTION("""COMPUTED_VALUE"""),0.00219)</f>
        <v>0.00219</v>
      </c>
      <c r="J73" s="19">
        <f>IFERROR(__xludf.DUMMYFUNCTION("""COMPUTED_VALUE"""),0.04747)</f>
        <v>0.04747</v>
      </c>
      <c r="K73" s="19" t="str">
        <f>IFERROR(__xludf.DUMMYFUNCTION("""COMPUTED_VALUE"""),"-")</f>
        <v>-</v>
      </c>
      <c r="L73" s="19">
        <f>IFERROR(__xludf.DUMMYFUNCTION("""COMPUTED_VALUE"""),0.04759)</f>
        <v>0.04759</v>
      </c>
      <c r="O73" s="24">
        <f t="shared" si="4"/>
        <v>0</v>
      </c>
      <c r="P73" s="24"/>
      <c r="Q73" s="24">
        <f t="shared" si="6"/>
        <v>0</v>
      </c>
      <c r="R73" s="24">
        <f t="shared" si="7"/>
        <v>0</v>
      </c>
      <c r="S73" s="24"/>
      <c r="T73" s="24">
        <f t="shared" si="9"/>
        <v>0</v>
      </c>
    </row>
    <row r="74">
      <c r="A74" s="12" t="s">
        <v>163</v>
      </c>
      <c r="F74" s="19">
        <f>IFERROR(__xludf.DUMMYFUNCTION("SPLIT(A70, "" |"")"),68.0)</f>
        <v>68</v>
      </c>
      <c r="G74" s="19">
        <f>IFERROR(__xludf.DUMMYFUNCTION("""COMPUTED_VALUE"""),0.00231)</f>
        <v>0.00231</v>
      </c>
      <c r="H74" s="19" t="str">
        <f>IFERROR(__xludf.DUMMYFUNCTION("""COMPUTED_VALUE"""),"-")</f>
        <v>-</v>
      </c>
      <c r="I74" s="19">
        <f>IFERROR(__xludf.DUMMYFUNCTION("""COMPUTED_VALUE"""),0.00211)</f>
        <v>0.00211</v>
      </c>
      <c r="J74" s="19">
        <f>IFERROR(__xludf.DUMMYFUNCTION("""COMPUTED_VALUE"""),0.04747)</f>
        <v>0.04747</v>
      </c>
      <c r="K74" s="19" t="str">
        <f>IFERROR(__xludf.DUMMYFUNCTION("""COMPUTED_VALUE"""),"-")</f>
        <v>-</v>
      </c>
      <c r="L74" s="19">
        <f>IFERROR(__xludf.DUMMYFUNCTION("""COMPUTED_VALUE"""),0.04763)</f>
        <v>0.04763</v>
      </c>
      <c r="O74" s="24">
        <f t="shared" si="4"/>
        <v>0</v>
      </c>
      <c r="P74" s="24"/>
      <c r="Q74" s="24">
        <f t="shared" si="6"/>
        <v>0</v>
      </c>
      <c r="R74" s="24">
        <f t="shared" si="7"/>
        <v>0</v>
      </c>
      <c r="S74" s="24"/>
      <c r="T74" s="24">
        <f t="shared" si="9"/>
        <v>0</v>
      </c>
    </row>
    <row r="75">
      <c r="A75" s="12" t="s">
        <v>164</v>
      </c>
      <c r="F75" s="19">
        <f>IFERROR(__xludf.DUMMYFUNCTION("SPLIT(A71, "" |"")"),69.0)</f>
        <v>69</v>
      </c>
      <c r="G75" s="19">
        <f>IFERROR(__xludf.DUMMYFUNCTION("""COMPUTED_VALUE"""),0.00235)</f>
        <v>0.00235</v>
      </c>
      <c r="H75" s="19" t="str">
        <f>IFERROR(__xludf.DUMMYFUNCTION("""COMPUTED_VALUE"""),"-")</f>
        <v>-</v>
      </c>
      <c r="I75" s="19">
        <f>IFERROR(__xludf.DUMMYFUNCTION("""COMPUTED_VALUE"""),0.00216)</f>
        <v>0.00216</v>
      </c>
      <c r="J75" s="19">
        <f>IFERROR(__xludf.DUMMYFUNCTION("""COMPUTED_VALUE"""),0.04746)</f>
        <v>0.04746</v>
      </c>
      <c r="K75" s="19" t="str">
        <f>IFERROR(__xludf.DUMMYFUNCTION("""COMPUTED_VALUE"""),"-")</f>
        <v>-</v>
      </c>
      <c r="L75" s="19">
        <f>IFERROR(__xludf.DUMMYFUNCTION("""COMPUTED_VALUE"""),0.04761)</f>
        <v>0.04761</v>
      </c>
      <c r="O75" s="24">
        <f t="shared" si="4"/>
        <v>0</v>
      </c>
      <c r="P75" s="24"/>
      <c r="Q75" s="24">
        <f t="shared" si="6"/>
        <v>0</v>
      </c>
      <c r="R75" s="24">
        <f t="shared" si="7"/>
        <v>0</v>
      </c>
      <c r="S75" s="24"/>
      <c r="T75" s="24">
        <f t="shared" si="9"/>
        <v>0</v>
      </c>
    </row>
    <row r="76">
      <c r="A76" s="12" t="s">
        <v>165</v>
      </c>
      <c r="F76" s="19">
        <f>IFERROR(__xludf.DUMMYFUNCTION("SPLIT(A72, "" |"")"),70.0)</f>
        <v>70</v>
      </c>
      <c r="G76" s="19">
        <f>IFERROR(__xludf.DUMMYFUNCTION("""COMPUTED_VALUE"""),0.00238)</f>
        <v>0.00238</v>
      </c>
      <c r="H76" s="19" t="str">
        <f>IFERROR(__xludf.DUMMYFUNCTION("""COMPUTED_VALUE"""),"-")</f>
        <v>-</v>
      </c>
      <c r="I76" s="19">
        <f>IFERROR(__xludf.DUMMYFUNCTION("""COMPUTED_VALUE"""),0.00222)</f>
        <v>0.00222</v>
      </c>
      <c r="J76" s="19">
        <f>IFERROR(__xludf.DUMMYFUNCTION("""COMPUTED_VALUE"""),0.04749)</f>
        <v>0.04749</v>
      </c>
      <c r="K76" s="19" t="str">
        <f>IFERROR(__xludf.DUMMYFUNCTION("""COMPUTED_VALUE"""),"-")</f>
        <v>-</v>
      </c>
      <c r="L76" s="19">
        <f>IFERROR(__xludf.DUMMYFUNCTION("""COMPUTED_VALUE"""),0.04763)</f>
        <v>0.04763</v>
      </c>
      <c r="O76" s="24">
        <f t="shared" si="4"/>
        <v>0</v>
      </c>
      <c r="P76" s="24"/>
      <c r="Q76" s="24">
        <f t="shared" si="6"/>
        <v>0</v>
      </c>
      <c r="R76" s="24">
        <f t="shared" si="7"/>
        <v>0</v>
      </c>
      <c r="S76" s="24"/>
      <c r="T76" s="24">
        <f t="shared" si="9"/>
        <v>0</v>
      </c>
    </row>
    <row r="77">
      <c r="A77" s="12" t="s">
        <v>166</v>
      </c>
      <c r="F77" s="19">
        <f>IFERROR(__xludf.DUMMYFUNCTION("SPLIT(A73, "" |"")"),71.0)</f>
        <v>71</v>
      </c>
      <c r="G77" s="19">
        <f>IFERROR(__xludf.DUMMYFUNCTION("""COMPUTED_VALUE"""),0.00231)</f>
        <v>0.00231</v>
      </c>
      <c r="H77" s="19" t="str">
        <f>IFERROR(__xludf.DUMMYFUNCTION("""COMPUTED_VALUE"""),"-")</f>
        <v>-</v>
      </c>
      <c r="I77" s="19">
        <f>IFERROR(__xludf.DUMMYFUNCTION("""COMPUTED_VALUE"""),0.00218)</f>
        <v>0.00218</v>
      </c>
      <c r="J77" s="19">
        <f>IFERROR(__xludf.DUMMYFUNCTION("""COMPUTED_VALUE"""),0.04378)</f>
        <v>0.04378</v>
      </c>
      <c r="K77" s="19" t="str">
        <f>IFERROR(__xludf.DUMMYFUNCTION("""COMPUTED_VALUE"""),"-")</f>
        <v>-</v>
      </c>
      <c r="L77" s="19">
        <f>IFERROR(__xludf.DUMMYFUNCTION("""COMPUTED_VALUE"""),0.04761)</f>
        <v>0.04761</v>
      </c>
      <c r="O77" s="24">
        <f t="shared" si="4"/>
        <v>0</v>
      </c>
      <c r="P77" s="24"/>
      <c r="Q77" s="24">
        <f t="shared" si="6"/>
        <v>0</v>
      </c>
      <c r="R77" s="24">
        <f t="shared" si="7"/>
        <v>1</v>
      </c>
      <c r="S77" s="24"/>
      <c r="T77" s="24">
        <f t="shared" si="9"/>
        <v>0</v>
      </c>
    </row>
    <row r="78">
      <c r="A78" s="12" t="s">
        <v>167</v>
      </c>
      <c r="F78" s="19">
        <f>IFERROR(__xludf.DUMMYFUNCTION("SPLIT(A74, "" |"")"),72.0)</f>
        <v>72</v>
      </c>
      <c r="G78" s="19">
        <f>IFERROR(__xludf.DUMMYFUNCTION("""COMPUTED_VALUE"""),0.00238)</f>
        <v>0.00238</v>
      </c>
      <c r="H78" s="19" t="str">
        <f>IFERROR(__xludf.DUMMYFUNCTION("""COMPUTED_VALUE"""),"-")</f>
        <v>-</v>
      </c>
      <c r="I78" s="19">
        <f>IFERROR(__xludf.DUMMYFUNCTION("""COMPUTED_VALUE"""),0.00215)</f>
        <v>0.00215</v>
      </c>
      <c r="J78" s="19">
        <f>IFERROR(__xludf.DUMMYFUNCTION("""COMPUTED_VALUE"""),0.04163)</f>
        <v>0.04163</v>
      </c>
      <c r="K78" s="19" t="str">
        <f>IFERROR(__xludf.DUMMYFUNCTION("""COMPUTED_VALUE"""),"-")</f>
        <v>-</v>
      </c>
      <c r="L78" s="19">
        <f>IFERROR(__xludf.DUMMYFUNCTION("""COMPUTED_VALUE"""),0.04644)</f>
        <v>0.04644</v>
      </c>
      <c r="O78" s="24">
        <f t="shared" si="4"/>
        <v>0</v>
      </c>
      <c r="P78" s="24"/>
      <c r="Q78" s="24">
        <f t="shared" si="6"/>
        <v>0</v>
      </c>
      <c r="R78" s="24">
        <f t="shared" si="7"/>
        <v>1</v>
      </c>
      <c r="S78" s="24"/>
      <c r="T78" s="24">
        <f t="shared" si="9"/>
        <v>0</v>
      </c>
    </row>
    <row r="79">
      <c r="A79" s="12" t="s">
        <v>168</v>
      </c>
      <c r="F79" s="19">
        <f>IFERROR(__xludf.DUMMYFUNCTION("SPLIT(A75, "" |"")"),73.0)</f>
        <v>73</v>
      </c>
      <c r="G79" s="19">
        <f>IFERROR(__xludf.DUMMYFUNCTION("""COMPUTED_VALUE"""),0.00231)</f>
        <v>0.00231</v>
      </c>
      <c r="H79" s="19" t="str">
        <f>IFERROR(__xludf.DUMMYFUNCTION("""COMPUTED_VALUE"""),"-")</f>
        <v>-</v>
      </c>
      <c r="I79" s="19">
        <f>IFERROR(__xludf.DUMMYFUNCTION("""COMPUTED_VALUE"""),0.0022)</f>
        <v>0.0022</v>
      </c>
      <c r="J79" s="19">
        <f>IFERROR(__xludf.DUMMYFUNCTION("""COMPUTED_VALUE"""),0.04732)</f>
        <v>0.04732</v>
      </c>
      <c r="K79" s="19" t="str">
        <f>IFERROR(__xludf.DUMMYFUNCTION("""COMPUTED_VALUE"""),"-")</f>
        <v>-</v>
      </c>
      <c r="L79" s="19">
        <f>IFERROR(__xludf.DUMMYFUNCTION("""COMPUTED_VALUE"""),0.04491)</f>
        <v>0.04491</v>
      </c>
      <c r="O79" s="24">
        <f t="shared" si="4"/>
        <v>0</v>
      </c>
      <c r="P79" s="24"/>
      <c r="Q79" s="24">
        <f t="shared" si="6"/>
        <v>0</v>
      </c>
      <c r="R79" s="24">
        <f t="shared" si="7"/>
        <v>0</v>
      </c>
      <c r="S79" s="24"/>
      <c r="T79" s="24">
        <f t="shared" si="9"/>
        <v>0</v>
      </c>
    </row>
    <row r="80">
      <c r="A80" s="12" t="s">
        <v>169</v>
      </c>
      <c r="F80" s="19">
        <f>IFERROR(__xludf.DUMMYFUNCTION("SPLIT(A76, "" |"")"),74.0)</f>
        <v>74</v>
      </c>
      <c r="G80" s="19">
        <f>IFERROR(__xludf.DUMMYFUNCTION("""COMPUTED_VALUE"""),0.0023)</f>
        <v>0.0023</v>
      </c>
      <c r="H80" s="19" t="str">
        <f>IFERROR(__xludf.DUMMYFUNCTION("""COMPUTED_VALUE"""),"-")</f>
        <v>-</v>
      </c>
      <c r="I80" s="19">
        <f>IFERROR(__xludf.DUMMYFUNCTION("""COMPUTED_VALUE"""),0.00213)</f>
        <v>0.00213</v>
      </c>
      <c r="J80" s="19">
        <f>IFERROR(__xludf.DUMMYFUNCTION("""COMPUTED_VALUE"""),0.04739)</f>
        <v>0.04739</v>
      </c>
      <c r="K80" s="19" t="str">
        <f>IFERROR(__xludf.DUMMYFUNCTION("""COMPUTED_VALUE"""),"-")</f>
        <v>-</v>
      </c>
      <c r="L80" s="19">
        <f>IFERROR(__xludf.DUMMYFUNCTION("""COMPUTED_VALUE"""),0.04764)</f>
        <v>0.04764</v>
      </c>
      <c r="O80" s="24">
        <f t="shared" si="4"/>
        <v>0</v>
      </c>
      <c r="P80" s="24"/>
      <c r="Q80" s="24">
        <f t="shared" si="6"/>
        <v>0</v>
      </c>
      <c r="R80" s="24">
        <f t="shared" si="7"/>
        <v>0</v>
      </c>
      <c r="S80" s="24"/>
      <c r="T80" s="24">
        <f t="shared" si="9"/>
        <v>0</v>
      </c>
    </row>
    <row r="81">
      <c r="A81" s="12" t="s">
        <v>170</v>
      </c>
      <c r="F81" s="19">
        <f>IFERROR(__xludf.DUMMYFUNCTION("SPLIT(A77, "" |"")"),75.0)</f>
        <v>75</v>
      </c>
      <c r="G81" s="19">
        <f>IFERROR(__xludf.DUMMYFUNCTION("""COMPUTED_VALUE"""),0.00234)</f>
        <v>0.00234</v>
      </c>
      <c r="H81" s="19" t="str">
        <f>IFERROR(__xludf.DUMMYFUNCTION("""COMPUTED_VALUE"""),"-")</f>
        <v>-</v>
      </c>
      <c r="I81" s="19">
        <f>IFERROR(__xludf.DUMMYFUNCTION("""COMPUTED_VALUE"""),0.00218)</f>
        <v>0.00218</v>
      </c>
      <c r="J81" s="19">
        <f>IFERROR(__xludf.DUMMYFUNCTION("""COMPUTED_VALUE"""),0.04752)</f>
        <v>0.04752</v>
      </c>
      <c r="K81" s="19" t="str">
        <f>IFERROR(__xludf.DUMMYFUNCTION("""COMPUTED_VALUE"""),"-")</f>
        <v>-</v>
      </c>
      <c r="L81" s="19">
        <f>IFERROR(__xludf.DUMMYFUNCTION("""COMPUTED_VALUE"""),0.04763)</f>
        <v>0.04763</v>
      </c>
      <c r="O81" s="24">
        <f t="shared" si="4"/>
        <v>0</v>
      </c>
      <c r="P81" s="24"/>
      <c r="Q81" s="24">
        <f t="shared" si="6"/>
        <v>0</v>
      </c>
      <c r="R81" s="24">
        <f t="shared" si="7"/>
        <v>0</v>
      </c>
      <c r="S81" s="24"/>
      <c r="T81" s="24">
        <f t="shared" si="9"/>
        <v>0</v>
      </c>
    </row>
    <row r="82">
      <c r="A82" s="12" t="s">
        <v>171</v>
      </c>
      <c r="F82" s="19">
        <f>IFERROR(__xludf.DUMMYFUNCTION("SPLIT(A78, "" |"")"),76.0)</f>
        <v>76</v>
      </c>
      <c r="G82" s="19">
        <f>IFERROR(__xludf.DUMMYFUNCTION("""COMPUTED_VALUE"""),0.00238)</f>
        <v>0.00238</v>
      </c>
      <c r="H82" s="19" t="str">
        <f>IFERROR(__xludf.DUMMYFUNCTION("""COMPUTED_VALUE"""),"-")</f>
        <v>-</v>
      </c>
      <c r="I82" s="19">
        <f>IFERROR(__xludf.DUMMYFUNCTION("""COMPUTED_VALUE"""),0.00216)</f>
        <v>0.00216</v>
      </c>
      <c r="J82" s="19">
        <f>IFERROR(__xludf.DUMMYFUNCTION("""COMPUTED_VALUE"""),0.04644)</f>
        <v>0.04644</v>
      </c>
      <c r="K82" s="19" t="str">
        <f>IFERROR(__xludf.DUMMYFUNCTION("""COMPUTED_VALUE"""),"-")</f>
        <v>-</v>
      </c>
      <c r="L82" s="19">
        <f>IFERROR(__xludf.DUMMYFUNCTION("""COMPUTED_VALUE"""),0.04773)</f>
        <v>0.04773</v>
      </c>
      <c r="O82" s="24">
        <f t="shared" si="4"/>
        <v>0</v>
      </c>
      <c r="P82" s="24"/>
      <c r="Q82" s="24">
        <f t="shared" si="6"/>
        <v>0</v>
      </c>
      <c r="R82" s="24">
        <f t="shared" si="7"/>
        <v>0</v>
      </c>
      <c r="S82" s="24"/>
      <c r="T82" s="24">
        <f t="shared" si="9"/>
        <v>0</v>
      </c>
    </row>
    <row r="83">
      <c r="A83" s="12" t="s">
        <v>172</v>
      </c>
      <c r="F83" s="19">
        <f>IFERROR(__xludf.DUMMYFUNCTION("SPLIT(A79, "" |"")"),77.0)</f>
        <v>77</v>
      </c>
      <c r="G83" s="19">
        <f>IFERROR(__xludf.DUMMYFUNCTION("""COMPUTED_VALUE"""),0.00238)</f>
        <v>0.00238</v>
      </c>
      <c r="H83" s="19" t="str">
        <f>IFERROR(__xludf.DUMMYFUNCTION("""COMPUTED_VALUE"""),"-")</f>
        <v>-</v>
      </c>
      <c r="I83" s="19">
        <f>IFERROR(__xludf.DUMMYFUNCTION("""COMPUTED_VALUE"""),0.00221)</f>
        <v>0.00221</v>
      </c>
      <c r="J83" s="19">
        <f>IFERROR(__xludf.DUMMYFUNCTION("""COMPUTED_VALUE"""),0.04747)</f>
        <v>0.04747</v>
      </c>
      <c r="K83" s="19" t="str">
        <f>IFERROR(__xludf.DUMMYFUNCTION("""COMPUTED_VALUE"""),"-")</f>
        <v>-</v>
      </c>
      <c r="L83" s="19">
        <f>IFERROR(__xludf.DUMMYFUNCTION("""COMPUTED_VALUE"""),0.04757)</f>
        <v>0.04757</v>
      </c>
      <c r="O83" s="24">
        <f t="shared" si="4"/>
        <v>0</v>
      </c>
      <c r="P83" s="24"/>
      <c r="Q83" s="24">
        <f t="shared" si="6"/>
        <v>0</v>
      </c>
      <c r="R83" s="24">
        <f t="shared" si="7"/>
        <v>0</v>
      </c>
      <c r="S83" s="24"/>
      <c r="T83" s="24">
        <f t="shared" si="9"/>
        <v>0</v>
      </c>
    </row>
    <row r="84">
      <c r="A84" s="12" t="s">
        <v>173</v>
      </c>
      <c r="F84" s="19">
        <f>IFERROR(__xludf.DUMMYFUNCTION("SPLIT(A80, "" |"")"),78.0)</f>
        <v>78</v>
      </c>
      <c r="G84" s="19">
        <f>IFERROR(__xludf.DUMMYFUNCTION("""COMPUTED_VALUE"""),0.00233)</f>
        <v>0.00233</v>
      </c>
      <c r="H84" s="19" t="str">
        <f>IFERROR(__xludf.DUMMYFUNCTION("""COMPUTED_VALUE"""),"-")</f>
        <v>-</v>
      </c>
      <c r="I84" s="19">
        <f>IFERROR(__xludf.DUMMYFUNCTION("""COMPUTED_VALUE"""),0.00212)</f>
        <v>0.00212</v>
      </c>
      <c r="J84" s="19">
        <f>IFERROR(__xludf.DUMMYFUNCTION("""COMPUTED_VALUE"""),0.0475)</f>
        <v>0.0475</v>
      </c>
      <c r="K84" s="19" t="str">
        <f>IFERROR(__xludf.DUMMYFUNCTION("""COMPUTED_VALUE"""),"-")</f>
        <v>-</v>
      </c>
      <c r="L84" s="19">
        <f>IFERROR(__xludf.DUMMYFUNCTION("""COMPUTED_VALUE"""),0.04763)</f>
        <v>0.04763</v>
      </c>
      <c r="O84" s="24">
        <f t="shared" si="4"/>
        <v>0</v>
      </c>
      <c r="P84" s="24"/>
      <c r="Q84" s="24">
        <f t="shared" si="6"/>
        <v>0</v>
      </c>
      <c r="R84" s="24">
        <f t="shared" si="7"/>
        <v>0</v>
      </c>
      <c r="S84" s="24"/>
      <c r="T84" s="24">
        <f t="shared" si="9"/>
        <v>0</v>
      </c>
    </row>
    <row r="85">
      <c r="A85" s="12" t="s">
        <v>174</v>
      </c>
      <c r="F85" s="19">
        <f>IFERROR(__xludf.DUMMYFUNCTION("SPLIT(A81, "" |"")"),79.0)</f>
        <v>79</v>
      </c>
      <c r="G85" s="19">
        <f>IFERROR(__xludf.DUMMYFUNCTION("""COMPUTED_VALUE"""),0.0023)</f>
        <v>0.0023</v>
      </c>
      <c r="H85" s="19" t="str">
        <f>IFERROR(__xludf.DUMMYFUNCTION("""COMPUTED_VALUE"""),"-")</f>
        <v>-</v>
      </c>
      <c r="I85" s="19">
        <f>IFERROR(__xludf.DUMMYFUNCTION("""COMPUTED_VALUE"""),0.00209)</f>
        <v>0.00209</v>
      </c>
      <c r="J85" s="19">
        <f>IFERROR(__xludf.DUMMYFUNCTION("""COMPUTED_VALUE"""),0.04733)</f>
        <v>0.04733</v>
      </c>
      <c r="K85" s="19" t="str">
        <f>IFERROR(__xludf.DUMMYFUNCTION("""COMPUTED_VALUE"""),"-")</f>
        <v>-</v>
      </c>
      <c r="L85" s="19">
        <f>IFERROR(__xludf.DUMMYFUNCTION("""COMPUTED_VALUE"""),0.04742)</f>
        <v>0.04742</v>
      </c>
      <c r="O85" s="24">
        <f t="shared" si="4"/>
        <v>0</v>
      </c>
      <c r="P85" s="24"/>
      <c r="Q85" s="24">
        <f t="shared" si="6"/>
        <v>0</v>
      </c>
      <c r="R85" s="24">
        <f t="shared" si="7"/>
        <v>0</v>
      </c>
      <c r="S85" s="24"/>
      <c r="T85" s="24">
        <f t="shared" si="9"/>
        <v>0</v>
      </c>
    </row>
    <row r="86">
      <c r="A86" s="12" t="s">
        <v>175</v>
      </c>
      <c r="F86" s="19">
        <f>IFERROR(__xludf.DUMMYFUNCTION("SPLIT(A82, "" |"")"),80.0)</f>
        <v>80</v>
      </c>
      <c r="G86" s="19">
        <f>IFERROR(__xludf.DUMMYFUNCTION("""COMPUTED_VALUE"""),0.00223)</f>
        <v>0.00223</v>
      </c>
      <c r="H86" s="19" t="str">
        <f>IFERROR(__xludf.DUMMYFUNCTION("""COMPUTED_VALUE"""),"-")</f>
        <v>-</v>
      </c>
      <c r="I86" s="19">
        <f>IFERROR(__xludf.DUMMYFUNCTION("""COMPUTED_VALUE"""),0.00219)</f>
        <v>0.00219</v>
      </c>
      <c r="J86" s="19">
        <f>IFERROR(__xludf.DUMMYFUNCTION("""COMPUTED_VALUE"""),0.04748)</f>
        <v>0.04748</v>
      </c>
      <c r="K86" s="19" t="str">
        <f>IFERROR(__xludf.DUMMYFUNCTION("""COMPUTED_VALUE"""),"-")</f>
        <v>-</v>
      </c>
      <c r="L86" s="19">
        <f>IFERROR(__xludf.DUMMYFUNCTION("""COMPUTED_VALUE"""),0.04134)</f>
        <v>0.04134</v>
      </c>
      <c r="O86" s="24">
        <f t="shared" si="4"/>
        <v>0</v>
      </c>
      <c r="P86" s="24"/>
      <c r="Q86" s="24">
        <f t="shared" si="6"/>
        <v>0</v>
      </c>
      <c r="R86" s="24">
        <f t="shared" si="7"/>
        <v>0</v>
      </c>
      <c r="S86" s="24"/>
      <c r="T86" s="24">
        <f t="shared" si="9"/>
        <v>0</v>
      </c>
      <c r="X86" s="16" t="s">
        <v>24</v>
      </c>
      <c r="AA86" s="17" t="s">
        <v>25</v>
      </c>
    </row>
    <row r="87">
      <c r="A87" s="12" t="s">
        <v>176</v>
      </c>
      <c r="F87" s="19">
        <f>IFERROR(__xludf.DUMMYFUNCTION("SPLIT(A83, "" |"")"),81.0)</f>
        <v>81</v>
      </c>
      <c r="G87" s="19">
        <f>IFERROR(__xludf.DUMMYFUNCTION("""COMPUTED_VALUE"""),0.00233)</f>
        <v>0.00233</v>
      </c>
      <c r="H87" s="19" t="str">
        <f>IFERROR(__xludf.DUMMYFUNCTION("""COMPUTED_VALUE"""),"-")</f>
        <v>-</v>
      </c>
      <c r="I87" s="19">
        <f>IFERROR(__xludf.DUMMYFUNCTION("""COMPUTED_VALUE"""),0.00228)</f>
        <v>0.00228</v>
      </c>
      <c r="J87" s="19">
        <f>IFERROR(__xludf.DUMMYFUNCTION("""COMPUTED_VALUE"""),0.04745)</f>
        <v>0.04745</v>
      </c>
      <c r="K87" s="19" t="str">
        <f>IFERROR(__xludf.DUMMYFUNCTION("""COMPUTED_VALUE"""),"-")</f>
        <v>-</v>
      </c>
      <c r="L87" s="19">
        <f>IFERROR(__xludf.DUMMYFUNCTION("""COMPUTED_VALUE"""),0.04849)</f>
        <v>0.04849</v>
      </c>
      <c r="O87" s="24">
        <f t="shared" si="4"/>
        <v>0</v>
      </c>
      <c r="P87" s="24"/>
      <c r="Q87" s="24">
        <f t="shared" si="6"/>
        <v>0</v>
      </c>
      <c r="R87" s="24">
        <f t="shared" si="7"/>
        <v>0</v>
      </c>
      <c r="S87" s="24"/>
      <c r="T87" s="24">
        <f t="shared" si="9"/>
        <v>0</v>
      </c>
    </row>
    <row r="88">
      <c r="A88" s="12" t="s">
        <v>177</v>
      </c>
      <c r="F88" s="19">
        <f>IFERROR(__xludf.DUMMYFUNCTION("SPLIT(A84, "" |"")"),82.0)</f>
        <v>82</v>
      </c>
      <c r="G88" s="19">
        <f>IFERROR(__xludf.DUMMYFUNCTION("""COMPUTED_VALUE"""),0.00232)</f>
        <v>0.00232</v>
      </c>
      <c r="H88" s="19" t="str">
        <f>IFERROR(__xludf.DUMMYFUNCTION("""COMPUTED_VALUE"""),"-")</f>
        <v>-</v>
      </c>
      <c r="I88" s="19">
        <f>IFERROR(__xludf.DUMMYFUNCTION("""COMPUTED_VALUE"""),0.00219)</f>
        <v>0.00219</v>
      </c>
      <c r="J88" s="19">
        <f>IFERROR(__xludf.DUMMYFUNCTION("""COMPUTED_VALUE"""),0.04741)</f>
        <v>0.04741</v>
      </c>
      <c r="K88" s="19" t="str">
        <f>IFERROR(__xludf.DUMMYFUNCTION("""COMPUTED_VALUE"""),"-")</f>
        <v>-</v>
      </c>
      <c r="L88" s="19">
        <f>IFERROR(__xludf.DUMMYFUNCTION("""COMPUTED_VALUE"""),0.04638)</f>
        <v>0.04638</v>
      </c>
      <c r="O88" s="24">
        <f t="shared" si="4"/>
        <v>0</v>
      </c>
      <c r="P88" s="24"/>
      <c r="Q88" s="24">
        <f t="shared" si="6"/>
        <v>0</v>
      </c>
      <c r="R88" s="24">
        <f t="shared" si="7"/>
        <v>0</v>
      </c>
      <c r="S88" s="24"/>
      <c r="T88" s="24">
        <f t="shared" si="9"/>
        <v>0</v>
      </c>
    </row>
    <row r="89">
      <c r="A89" s="12" t="s">
        <v>178</v>
      </c>
      <c r="F89" s="19">
        <f>IFERROR(__xludf.DUMMYFUNCTION("SPLIT(A85, "" |"")"),83.0)</f>
        <v>83</v>
      </c>
      <c r="G89" s="19">
        <f>IFERROR(__xludf.DUMMYFUNCTION("""COMPUTED_VALUE"""),0.00236)</f>
        <v>0.00236</v>
      </c>
      <c r="H89" s="19" t="str">
        <f>IFERROR(__xludf.DUMMYFUNCTION("""COMPUTED_VALUE"""),"-")</f>
        <v>-</v>
      </c>
      <c r="I89" s="19">
        <f>IFERROR(__xludf.DUMMYFUNCTION("""COMPUTED_VALUE"""),0.00216)</f>
        <v>0.00216</v>
      </c>
      <c r="J89" s="19">
        <f>IFERROR(__xludf.DUMMYFUNCTION("""COMPUTED_VALUE"""),0.04748)</f>
        <v>0.04748</v>
      </c>
      <c r="K89" s="19" t="str">
        <f>IFERROR(__xludf.DUMMYFUNCTION("""COMPUTED_VALUE"""),"-")</f>
        <v>-</v>
      </c>
      <c r="L89" s="19">
        <f>IFERROR(__xludf.DUMMYFUNCTION("""COMPUTED_VALUE"""),0.04773)</f>
        <v>0.04773</v>
      </c>
      <c r="O89" s="24">
        <f t="shared" si="4"/>
        <v>0</v>
      </c>
      <c r="P89" s="24"/>
      <c r="Q89" s="24">
        <f t="shared" si="6"/>
        <v>0</v>
      </c>
      <c r="R89" s="24">
        <f t="shared" si="7"/>
        <v>0</v>
      </c>
      <c r="S89" s="24"/>
      <c r="T89" s="24">
        <f t="shared" si="9"/>
        <v>0</v>
      </c>
    </row>
    <row r="90">
      <c r="A90" s="12" t="s">
        <v>179</v>
      </c>
      <c r="F90" s="19">
        <f>IFERROR(__xludf.DUMMYFUNCTION("SPLIT(A86, "" |"")"),84.0)</f>
        <v>84</v>
      </c>
      <c r="G90" s="19">
        <f>IFERROR(__xludf.DUMMYFUNCTION("""COMPUTED_VALUE"""),0.00236)</f>
        <v>0.00236</v>
      </c>
      <c r="H90" s="19" t="str">
        <f>IFERROR(__xludf.DUMMYFUNCTION("""COMPUTED_VALUE"""),"-")</f>
        <v>-</v>
      </c>
      <c r="I90" s="19">
        <f>IFERROR(__xludf.DUMMYFUNCTION("""COMPUTED_VALUE"""),0.00215)</f>
        <v>0.00215</v>
      </c>
      <c r="J90" s="19">
        <f>IFERROR(__xludf.DUMMYFUNCTION("""COMPUTED_VALUE"""),0.04746)</f>
        <v>0.04746</v>
      </c>
      <c r="K90" s="19" t="str">
        <f>IFERROR(__xludf.DUMMYFUNCTION("""COMPUTED_VALUE"""),"-")</f>
        <v>-</v>
      </c>
      <c r="L90" s="19">
        <f>IFERROR(__xludf.DUMMYFUNCTION("""COMPUTED_VALUE"""),0.04756)</f>
        <v>0.04756</v>
      </c>
      <c r="O90" s="24">
        <f t="shared" si="4"/>
        <v>0</v>
      </c>
      <c r="P90" s="24"/>
      <c r="Q90" s="24">
        <f t="shared" si="6"/>
        <v>0</v>
      </c>
      <c r="R90" s="24">
        <f t="shared" si="7"/>
        <v>0</v>
      </c>
      <c r="S90" s="24"/>
      <c r="T90" s="24">
        <f t="shared" si="9"/>
        <v>0</v>
      </c>
    </row>
    <row r="91">
      <c r="A91" s="12" t="s">
        <v>180</v>
      </c>
      <c r="F91" s="19">
        <f>IFERROR(__xludf.DUMMYFUNCTION("SPLIT(A87, "" |"")"),85.0)</f>
        <v>85</v>
      </c>
      <c r="G91" s="19">
        <f>IFERROR(__xludf.DUMMYFUNCTION("""COMPUTED_VALUE"""),0.00233)</f>
        <v>0.00233</v>
      </c>
      <c r="H91" s="19" t="str">
        <f>IFERROR(__xludf.DUMMYFUNCTION("""COMPUTED_VALUE"""),"-")</f>
        <v>-</v>
      </c>
      <c r="I91" s="19">
        <f>IFERROR(__xludf.DUMMYFUNCTION("""COMPUTED_VALUE"""),0.00219)</f>
        <v>0.00219</v>
      </c>
      <c r="J91" s="19">
        <f>IFERROR(__xludf.DUMMYFUNCTION("""COMPUTED_VALUE"""),0.04422)</f>
        <v>0.04422</v>
      </c>
      <c r="K91" s="19" t="str">
        <f>IFERROR(__xludf.DUMMYFUNCTION("""COMPUTED_VALUE"""),"-")</f>
        <v>-</v>
      </c>
      <c r="L91" s="19">
        <f>IFERROR(__xludf.DUMMYFUNCTION("""COMPUTED_VALUE"""),0.0476)</f>
        <v>0.0476</v>
      </c>
      <c r="O91" s="24">
        <f t="shared" si="4"/>
        <v>0</v>
      </c>
      <c r="P91" s="24"/>
      <c r="Q91" s="24">
        <f t="shared" si="6"/>
        <v>0</v>
      </c>
      <c r="R91" s="24">
        <f t="shared" si="7"/>
        <v>1</v>
      </c>
      <c r="S91" s="24"/>
      <c r="T91" s="24">
        <f t="shared" si="9"/>
        <v>0</v>
      </c>
    </row>
    <row r="92">
      <c r="A92" s="12" t="s">
        <v>181</v>
      </c>
      <c r="F92" s="19">
        <f>IFERROR(__xludf.DUMMYFUNCTION("SPLIT(A88, "" |"")"),86.0)</f>
        <v>86</v>
      </c>
      <c r="G92" s="19">
        <f>IFERROR(__xludf.DUMMYFUNCTION("""COMPUTED_VALUE"""),0.00232)</f>
        <v>0.00232</v>
      </c>
      <c r="H92" s="19" t="str">
        <f>IFERROR(__xludf.DUMMYFUNCTION("""COMPUTED_VALUE"""),"-")</f>
        <v>-</v>
      </c>
      <c r="I92" s="19">
        <f>IFERROR(__xludf.DUMMYFUNCTION("""COMPUTED_VALUE"""),0.00218)</f>
        <v>0.00218</v>
      </c>
      <c r="J92" s="19">
        <f>IFERROR(__xludf.DUMMYFUNCTION("""COMPUTED_VALUE"""),0.04752)</f>
        <v>0.04752</v>
      </c>
      <c r="K92" s="19" t="str">
        <f>IFERROR(__xludf.DUMMYFUNCTION("""COMPUTED_VALUE"""),"-")</f>
        <v>-</v>
      </c>
      <c r="L92" s="19">
        <f>IFERROR(__xludf.DUMMYFUNCTION("""COMPUTED_VALUE"""),0.0461)</f>
        <v>0.0461</v>
      </c>
      <c r="O92" s="24">
        <f t="shared" si="4"/>
        <v>0</v>
      </c>
      <c r="P92" s="24"/>
      <c r="Q92" s="24">
        <f t="shared" si="6"/>
        <v>0</v>
      </c>
      <c r="R92" s="24">
        <f t="shared" si="7"/>
        <v>0</v>
      </c>
      <c r="S92" s="24"/>
      <c r="T92" s="24">
        <f t="shared" si="9"/>
        <v>0</v>
      </c>
    </row>
    <row r="93">
      <c r="A93" s="12" t="s">
        <v>182</v>
      </c>
      <c r="F93" s="19">
        <f>IFERROR(__xludf.DUMMYFUNCTION("SPLIT(A89, "" |"")"),87.0)</f>
        <v>87</v>
      </c>
      <c r="G93" s="19">
        <f>IFERROR(__xludf.DUMMYFUNCTION("""COMPUTED_VALUE"""),0.00239)</f>
        <v>0.00239</v>
      </c>
      <c r="H93" s="19" t="str">
        <f>IFERROR(__xludf.DUMMYFUNCTION("""COMPUTED_VALUE"""),"-")</f>
        <v>-</v>
      </c>
      <c r="I93" s="19">
        <f>IFERROR(__xludf.DUMMYFUNCTION("""COMPUTED_VALUE"""),0.00217)</f>
        <v>0.00217</v>
      </c>
      <c r="J93" s="19">
        <f>IFERROR(__xludf.DUMMYFUNCTION("""COMPUTED_VALUE"""),0.04747)</f>
        <v>0.04747</v>
      </c>
      <c r="K93" s="19" t="str">
        <f>IFERROR(__xludf.DUMMYFUNCTION("""COMPUTED_VALUE"""),"-")</f>
        <v>-</v>
      </c>
      <c r="L93" s="19">
        <f>IFERROR(__xludf.DUMMYFUNCTION("""COMPUTED_VALUE"""),0.04765)</f>
        <v>0.04765</v>
      </c>
      <c r="O93" s="24">
        <f t="shared" si="4"/>
        <v>0</v>
      </c>
      <c r="P93" s="24"/>
      <c r="Q93" s="24">
        <f t="shared" si="6"/>
        <v>0</v>
      </c>
      <c r="R93" s="24">
        <f t="shared" si="7"/>
        <v>0</v>
      </c>
      <c r="S93" s="24"/>
      <c r="T93" s="24">
        <f t="shared" si="9"/>
        <v>0</v>
      </c>
    </row>
    <row r="94">
      <c r="A94" s="12" t="s">
        <v>183</v>
      </c>
      <c r="F94" s="19">
        <f>IFERROR(__xludf.DUMMYFUNCTION("SPLIT(A90, "" |"")"),88.0)</f>
        <v>88</v>
      </c>
      <c r="G94" s="19">
        <f>IFERROR(__xludf.DUMMYFUNCTION("""COMPUTED_VALUE"""),0.00239)</f>
        <v>0.00239</v>
      </c>
      <c r="H94" s="19" t="str">
        <f>IFERROR(__xludf.DUMMYFUNCTION("""COMPUTED_VALUE"""),"-")</f>
        <v>-</v>
      </c>
      <c r="I94" s="19">
        <f>IFERROR(__xludf.DUMMYFUNCTION("""COMPUTED_VALUE"""),0.0021)</f>
        <v>0.0021</v>
      </c>
      <c r="J94" s="19">
        <f>IFERROR(__xludf.DUMMYFUNCTION("""COMPUTED_VALUE"""),0.04704)</f>
        <v>0.04704</v>
      </c>
      <c r="K94" s="19" t="str">
        <f>IFERROR(__xludf.DUMMYFUNCTION("""COMPUTED_VALUE"""),"-")</f>
        <v>-</v>
      </c>
      <c r="L94" s="19">
        <f>IFERROR(__xludf.DUMMYFUNCTION("""COMPUTED_VALUE"""),0.04759)</f>
        <v>0.04759</v>
      </c>
      <c r="O94" s="24">
        <f t="shared" si="4"/>
        <v>0</v>
      </c>
      <c r="P94" s="24"/>
      <c r="Q94" s="24">
        <f t="shared" si="6"/>
        <v>0</v>
      </c>
      <c r="R94" s="24">
        <f t="shared" si="7"/>
        <v>0</v>
      </c>
      <c r="S94" s="24"/>
      <c r="T94" s="24">
        <f t="shared" si="9"/>
        <v>0</v>
      </c>
    </row>
    <row r="95">
      <c r="A95" s="12" t="s">
        <v>184</v>
      </c>
      <c r="F95" s="19">
        <f>IFERROR(__xludf.DUMMYFUNCTION("SPLIT(A91, "" |"")"),89.0)</f>
        <v>89</v>
      </c>
      <c r="G95" s="19">
        <f>IFERROR(__xludf.DUMMYFUNCTION("""COMPUTED_VALUE"""),0.00233)</f>
        <v>0.00233</v>
      </c>
      <c r="H95" s="19" t="str">
        <f>IFERROR(__xludf.DUMMYFUNCTION("""COMPUTED_VALUE"""),"-")</f>
        <v>-</v>
      </c>
      <c r="I95" s="19">
        <f>IFERROR(__xludf.DUMMYFUNCTION("""COMPUTED_VALUE"""),0.00218)</f>
        <v>0.00218</v>
      </c>
      <c r="J95" s="19">
        <f>IFERROR(__xludf.DUMMYFUNCTION("""COMPUTED_VALUE"""),0.04749)</f>
        <v>0.04749</v>
      </c>
      <c r="K95" s="19" t="str">
        <f>IFERROR(__xludf.DUMMYFUNCTION("""COMPUTED_VALUE"""),"-")</f>
        <v>-</v>
      </c>
      <c r="L95" s="19">
        <f>IFERROR(__xludf.DUMMYFUNCTION("""COMPUTED_VALUE"""),0.04762)</f>
        <v>0.04762</v>
      </c>
      <c r="O95" s="24">
        <f t="shared" si="4"/>
        <v>0</v>
      </c>
      <c r="P95" s="24"/>
      <c r="Q95" s="24">
        <f t="shared" si="6"/>
        <v>0</v>
      </c>
      <c r="R95" s="24">
        <f t="shared" si="7"/>
        <v>0</v>
      </c>
      <c r="S95" s="24"/>
      <c r="T95" s="24">
        <f t="shared" si="9"/>
        <v>0</v>
      </c>
    </row>
    <row r="96">
      <c r="A96" s="12" t="s">
        <v>185</v>
      </c>
      <c r="F96" s="19">
        <f>IFERROR(__xludf.DUMMYFUNCTION("SPLIT(A92, "" |"")"),90.0)</f>
        <v>90</v>
      </c>
      <c r="G96" s="19">
        <f>IFERROR(__xludf.DUMMYFUNCTION("""COMPUTED_VALUE"""),0.00244)</f>
        <v>0.00244</v>
      </c>
      <c r="H96" s="19" t="str">
        <f>IFERROR(__xludf.DUMMYFUNCTION("""COMPUTED_VALUE"""),"-")</f>
        <v>-</v>
      </c>
      <c r="I96" s="19">
        <f>IFERROR(__xludf.DUMMYFUNCTION("""COMPUTED_VALUE"""),0.0022)</f>
        <v>0.0022</v>
      </c>
      <c r="J96" s="19">
        <f>IFERROR(__xludf.DUMMYFUNCTION("""COMPUTED_VALUE"""),0.04739)</f>
        <v>0.04739</v>
      </c>
      <c r="K96" s="19" t="str">
        <f>IFERROR(__xludf.DUMMYFUNCTION("""COMPUTED_VALUE"""),"-")</f>
        <v>-</v>
      </c>
      <c r="L96" s="19">
        <f>IFERROR(__xludf.DUMMYFUNCTION("""COMPUTED_VALUE"""),0.04757)</f>
        <v>0.04757</v>
      </c>
      <c r="O96" s="24">
        <f t="shared" si="4"/>
        <v>0</v>
      </c>
      <c r="P96" s="24"/>
      <c r="Q96" s="24">
        <f t="shared" si="6"/>
        <v>0</v>
      </c>
      <c r="R96" s="24">
        <f t="shared" si="7"/>
        <v>0</v>
      </c>
      <c r="S96" s="24"/>
      <c r="T96" s="24">
        <f t="shared" si="9"/>
        <v>0</v>
      </c>
    </row>
    <row r="97">
      <c r="A97" s="12" t="s">
        <v>186</v>
      </c>
      <c r="F97" s="19">
        <f>IFERROR(__xludf.DUMMYFUNCTION("SPLIT(A93, "" |"")"),91.0)</f>
        <v>91</v>
      </c>
      <c r="G97" s="19">
        <f>IFERROR(__xludf.DUMMYFUNCTION("""COMPUTED_VALUE"""),0.00237)</f>
        <v>0.00237</v>
      </c>
      <c r="H97" s="19" t="str">
        <f>IFERROR(__xludf.DUMMYFUNCTION("""COMPUTED_VALUE"""),"-")</f>
        <v>-</v>
      </c>
      <c r="I97" s="19">
        <f>IFERROR(__xludf.DUMMYFUNCTION("""COMPUTED_VALUE"""),0.00218)</f>
        <v>0.00218</v>
      </c>
      <c r="J97" s="19">
        <f>IFERROR(__xludf.DUMMYFUNCTION("""COMPUTED_VALUE"""),0.04745)</f>
        <v>0.04745</v>
      </c>
      <c r="K97" s="19" t="str">
        <f>IFERROR(__xludf.DUMMYFUNCTION("""COMPUTED_VALUE"""),"-")</f>
        <v>-</v>
      </c>
      <c r="L97" s="19">
        <f>IFERROR(__xludf.DUMMYFUNCTION("""COMPUTED_VALUE"""),0.04762)</f>
        <v>0.04762</v>
      </c>
      <c r="O97" s="24">
        <f t="shared" si="4"/>
        <v>0</v>
      </c>
      <c r="P97" s="24"/>
      <c r="Q97" s="24">
        <f t="shared" si="6"/>
        <v>0</v>
      </c>
      <c r="R97" s="24">
        <f t="shared" si="7"/>
        <v>0</v>
      </c>
      <c r="S97" s="24"/>
      <c r="T97" s="24">
        <f t="shared" si="9"/>
        <v>0</v>
      </c>
    </row>
    <row r="98">
      <c r="A98" s="12" t="s">
        <v>187</v>
      </c>
      <c r="F98" s="19">
        <f>IFERROR(__xludf.DUMMYFUNCTION("SPLIT(A94, "" |"")"),92.0)</f>
        <v>92</v>
      </c>
      <c r="G98" s="19">
        <f>IFERROR(__xludf.DUMMYFUNCTION("""COMPUTED_VALUE"""),0.00243)</f>
        <v>0.00243</v>
      </c>
      <c r="H98" s="19" t="str">
        <f>IFERROR(__xludf.DUMMYFUNCTION("""COMPUTED_VALUE"""),"-")</f>
        <v>-</v>
      </c>
      <c r="I98" s="19">
        <f>IFERROR(__xludf.DUMMYFUNCTION("""COMPUTED_VALUE"""),0.00221)</f>
        <v>0.00221</v>
      </c>
      <c r="J98" s="19">
        <f>IFERROR(__xludf.DUMMYFUNCTION("""COMPUTED_VALUE"""),0.04745)</f>
        <v>0.04745</v>
      </c>
      <c r="K98" s="19" t="str">
        <f>IFERROR(__xludf.DUMMYFUNCTION("""COMPUTED_VALUE"""),"-")</f>
        <v>-</v>
      </c>
      <c r="L98" s="19">
        <f>IFERROR(__xludf.DUMMYFUNCTION("""COMPUTED_VALUE"""),0.0473)</f>
        <v>0.0473</v>
      </c>
      <c r="O98" s="24">
        <f t="shared" si="4"/>
        <v>0</v>
      </c>
      <c r="P98" s="24"/>
      <c r="Q98" s="24">
        <f t="shared" si="6"/>
        <v>0</v>
      </c>
      <c r="R98" s="24">
        <f t="shared" si="7"/>
        <v>0</v>
      </c>
      <c r="S98" s="24"/>
      <c r="T98" s="24">
        <f t="shared" si="9"/>
        <v>0</v>
      </c>
    </row>
    <row r="99">
      <c r="A99" s="12" t="s">
        <v>188</v>
      </c>
      <c r="F99" s="19">
        <f>IFERROR(__xludf.DUMMYFUNCTION("SPLIT(A95, "" |"")"),93.0)</f>
        <v>93</v>
      </c>
      <c r="G99" s="19">
        <f>IFERROR(__xludf.DUMMYFUNCTION("""COMPUTED_VALUE"""),0.00242)</f>
        <v>0.00242</v>
      </c>
      <c r="H99" s="19" t="str">
        <f>IFERROR(__xludf.DUMMYFUNCTION("""COMPUTED_VALUE"""),"-")</f>
        <v>-</v>
      </c>
      <c r="I99" s="19">
        <f>IFERROR(__xludf.DUMMYFUNCTION("""COMPUTED_VALUE"""),0.00219)</f>
        <v>0.00219</v>
      </c>
      <c r="J99" s="19">
        <f>IFERROR(__xludf.DUMMYFUNCTION("""COMPUTED_VALUE"""),0.04301)</f>
        <v>0.04301</v>
      </c>
      <c r="K99" s="19" t="str">
        <f>IFERROR(__xludf.DUMMYFUNCTION("""COMPUTED_VALUE"""),"-")</f>
        <v>-</v>
      </c>
      <c r="L99" s="19">
        <f>IFERROR(__xludf.DUMMYFUNCTION("""COMPUTED_VALUE"""),0.04755)</f>
        <v>0.04755</v>
      </c>
      <c r="O99" s="24">
        <f t="shared" si="4"/>
        <v>0</v>
      </c>
      <c r="P99" s="24"/>
      <c r="Q99" s="24">
        <f t="shared" si="6"/>
        <v>0</v>
      </c>
      <c r="R99" s="24">
        <f t="shared" si="7"/>
        <v>1</v>
      </c>
      <c r="S99" s="24"/>
      <c r="T99" s="24">
        <f t="shared" si="9"/>
        <v>0</v>
      </c>
    </row>
    <row r="100">
      <c r="A100" s="12" t="s">
        <v>189</v>
      </c>
      <c r="F100" s="19">
        <f>IFERROR(__xludf.DUMMYFUNCTION("SPLIT(A96, "" |"")"),94.0)</f>
        <v>94</v>
      </c>
      <c r="G100" s="19">
        <f>IFERROR(__xludf.DUMMYFUNCTION("""COMPUTED_VALUE"""),0.00236)</f>
        <v>0.00236</v>
      </c>
      <c r="H100" s="19" t="str">
        <f>IFERROR(__xludf.DUMMYFUNCTION("""COMPUTED_VALUE"""),"-")</f>
        <v>-</v>
      </c>
      <c r="I100" s="19">
        <f>IFERROR(__xludf.DUMMYFUNCTION("""COMPUTED_VALUE"""),0.00224)</f>
        <v>0.00224</v>
      </c>
      <c r="J100" s="19">
        <f>IFERROR(__xludf.DUMMYFUNCTION("""COMPUTED_VALUE"""),0.04743)</f>
        <v>0.04743</v>
      </c>
      <c r="K100" s="19" t="str">
        <f>IFERROR(__xludf.DUMMYFUNCTION("""COMPUTED_VALUE"""),"-")</f>
        <v>-</v>
      </c>
      <c r="L100" s="19">
        <f>IFERROR(__xludf.DUMMYFUNCTION("""COMPUTED_VALUE"""),0.0475)</f>
        <v>0.0475</v>
      </c>
      <c r="O100" s="24">
        <f t="shared" si="4"/>
        <v>0</v>
      </c>
      <c r="P100" s="24"/>
      <c r="Q100" s="24">
        <f t="shared" si="6"/>
        <v>0</v>
      </c>
      <c r="R100" s="24">
        <f t="shared" si="7"/>
        <v>0</v>
      </c>
      <c r="S100" s="24"/>
      <c r="T100" s="24">
        <f t="shared" si="9"/>
        <v>0</v>
      </c>
    </row>
    <row r="101">
      <c r="A101" s="12" t="s">
        <v>190</v>
      </c>
      <c r="F101" s="19">
        <f>IFERROR(__xludf.DUMMYFUNCTION("SPLIT(A97, "" |"")"),95.0)</f>
        <v>95</v>
      </c>
      <c r="G101" s="19">
        <f>IFERROR(__xludf.DUMMYFUNCTION("""COMPUTED_VALUE"""),0.0023)</f>
        <v>0.0023</v>
      </c>
      <c r="H101" s="19" t="str">
        <f>IFERROR(__xludf.DUMMYFUNCTION("""COMPUTED_VALUE"""),"-")</f>
        <v>-</v>
      </c>
      <c r="I101" s="19">
        <f>IFERROR(__xludf.DUMMYFUNCTION("""COMPUTED_VALUE"""),0.00209)</f>
        <v>0.00209</v>
      </c>
      <c r="J101" s="19">
        <f>IFERROR(__xludf.DUMMYFUNCTION("""COMPUTED_VALUE"""),0.04529)</f>
        <v>0.04529</v>
      </c>
      <c r="K101" s="19" t="str">
        <f>IFERROR(__xludf.DUMMYFUNCTION("""COMPUTED_VALUE"""),"-")</f>
        <v>-</v>
      </c>
      <c r="L101" s="19">
        <f>IFERROR(__xludf.DUMMYFUNCTION("""COMPUTED_VALUE"""),0.04754)</f>
        <v>0.04754</v>
      </c>
      <c r="O101" s="24">
        <f t="shared" si="4"/>
        <v>0</v>
      </c>
      <c r="P101" s="24"/>
      <c r="Q101" s="24">
        <f t="shared" si="6"/>
        <v>0</v>
      </c>
      <c r="R101" s="24">
        <f t="shared" si="7"/>
        <v>0</v>
      </c>
      <c r="S101" s="24"/>
      <c r="T101" s="24">
        <f t="shared" si="9"/>
        <v>0</v>
      </c>
    </row>
    <row r="102">
      <c r="A102" s="12" t="s">
        <v>191</v>
      </c>
      <c r="F102" s="19">
        <f>IFERROR(__xludf.DUMMYFUNCTION("SPLIT(A98, "" |"")"),96.0)</f>
        <v>96</v>
      </c>
      <c r="G102" s="19">
        <f>IFERROR(__xludf.DUMMYFUNCTION("""COMPUTED_VALUE"""),0.00231)</f>
        <v>0.00231</v>
      </c>
      <c r="H102" s="19" t="str">
        <f>IFERROR(__xludf.DUMMYFUNCTION("""COMPUTED_VALUE"""),"-")</f>
        <v>-</v>
      </c>
      <c r="I102" s="19">
        <f>IFERROR(__xludf.DUMMYFUNCTION("""COMPUTED_VALUE"""),0.00206)</f>
        <v>0.00206</v>
      </c>
      <c r="J102" s="19">
        <f>IFERROR(__xludf.DUMMYFUNCTION("""COMPUTED_VALUE"""),0.04438)</f>
        <v>0.04438</v>
      </c>
      <c r="K102" s="19" t="str">
        <f>IFERROR(__xludf.DUMMYFUNCTION("""COMPUTED_VALUE"""),"-")</f>
        <v>-</v>
      </c>
      <c r="L102" s="19">
        <f>IFERROR(__xludf.DUMMYFUNCTION("""COMPUTED_VALUE"""),0.04425)</f>
        <v>0.04425</v>
      </c>
      <c r="O102" s="24">
        <f t="shared" si="4"/>
        <v>0</v>
      </c>
      <c r="P102" s="24"/>
      <c r="Q102" s="24">
        <f t="shared" si="6"/>
        <v>0</v>
      </c>
      <c r="R102" s="24">
        <f t="shared" si="7"/>
        <v>1</v>
      </c>
      <c r="S102" s="24"/>
      <c r="T102" s="24">
        <f t="shared" si="9"/>
        <v>0</v>
      </c>
    </row>
    <row r="103">
      <c r="A103" s="12" t="s">
        <v>192</v>
      </c>
      <c r="F103" s="19">
        <f>IFERROR(__xludf.DUMMYFUNCTION("SPLIT(A99, "" |"")"),97.0)</f>
        <v>97</v>
      </c>
      <c r="G103" s="19">
        <f>IFERROR(__xludf.DUMMYFUNCTION("""COMPUTED_VALUE"""),0.00226)</f>
        <v>0.00226</v>
      </c>
      <c r="H103" s="19" t="str">
        <f>IFERROR(__xludf.DUMMYFUNCTION("""COMPUTED_VALUE"""),"-")</f>
        <v>-</v>
      </c>
      <c r="I103" s="19">
        <f>IFERROR(__xludf.DUMMYFUNCTION("""COMPUTED_VALUE"""),0.00205)</f>
        <v>0.00205</v>
      </c>
      <c r="J103" s="19">
        <f>IFERROR(__xludf.DUMMYFUNCTION("""COMPUTED_VALUE"""),0.04728)</f>
        <v>0.04728</v>
      </c>
      <c r="K103" s="19" t="str">
        <f>IFERROR(__xludf.DUMMYFUNCTION("""COMPUTED_VALUE"""),"-")</f>
        <v>-</v>
      </c>
      <c r="L103" s="19">
        <f>IFERROR(__xludf.DUMMYFUNCTION("""COMPUTED_VALUE"""),0.04746)</f>
        <v>0.04746</v>
      </c>
      <c r="O103" s="24">
        <f t="shared" si="4"/>
        <v>0</v>
      </c>
      <c r="P103" s="24"/>
      <c r="Q103" s="24">
        <f t="shared" si="6"/>
        <v>0</v>
      </c>
      <c r="R103" s="24">
        <f t="shared" si="7"/>
        <v>0</v>
      </c>
      <c r="S103" s="24"/>
      <c r="T103" s="24">
        <f t="shared" si="9"/>
        <v>0</v>
      </c>
    </row>
    <row r="104">
      <c r="A104" s="12" t="s">
        <v>193</v>
      </c>
      <c r="F104" s="19">
        <f>IFERROR(__xludf.DUMMYFUNCTION("SPLIT(A100, "" |"")"),98.0)</f>
        <v>98</v>
      </c>
      <c r="G104" s="19">
        <f>IFERROR(__xludf.DUMMYFUNCTION("""COMPUTED_VALUE"""),0.00223)</f>
        <v>0.00223</v>
      </c>
      <c r="H104" s="19" t="str">
        <f>IFERROR(__xludf.DUMMYFUNCTION("""COMPUTED_VALUE"""),"-")</f>
        <v>-</v>
      </c>
      <c r="I104" s="19">
        <f>IFERROR(__xludf.DUMMYFUNCTION("""COMPUTED_VALUE"""),0.00204)</f>
        <v>0.00204</v>
      </c>
      <c r="J104" s="19">
        <f>IFERROR(__xludf.DUMMYFUNCTION("""COMPUTED_VALUE"""),0.04725)</f>
        <v>0.04725</v>
      </c>
      <c r="K104" s="19" t="str">
        <f>IFERROR(__xludf.DUMMYFUNCTION("""COMPUTED_VALUE"""),"-")</f>
        <v>-</v>
      </c>
      <c r="L104" s="19">
        <f>IFERROR(__xludf.DUMMYFUNCTION("""COMPUTED_VALUE"""),0.04743)</f>
        <v>0.04743</v>
      </c>
      <c r="O104" s="24">
        <f t="shared" si="4"/>
        <v>0</v>
      </c>
      <c r="P104" s="24"/>
      <c r="Q104" s="24">
        <f t="shared" si="6"/>
        <v>0</v>
      </c>
      <c r="R104" s="24">
        <f t="shared" si="7"/>
        <v>0</v>
      </c>
      <c r="S104" s="24"/>
      <c r="T104" s="24">
        <f t="shared" si="9"/>
        <v>0</v>
      </c>
    </row>
    <row r="105">
      <c r="A105" s="12" t="s">
        <v>194</v>
      </c>
      <c r="F105" s="19">
        <f>IFERROR(__xludf.DUMMYFUNCTION("SPLIT(A101, "" |"")"),99.0)</f>
        <v>99</v>
      </c>
      <c r="G105" s="19">
        <f>IFERROR(__xludf.DUMMYFUNCTION("""COMPUTED_VALUE"""),0.00222)</f>
        <v>0.00222</v>
      </c>
      <c r="H105" s="19" t="str">
        <f>IFERROR(__xludf.DUMMYFUNCTION("""COMPUTED_VALUE"""),"-")</f>
        <v>-</v>
      </c>
      <c r="I105" s="19">
        <f>IFERROR(__xludf.DUMMYFUNCTION("""COMPUTED_VALUE"""),0.00206)</f>
        <v>0.00206</v>
      </c>
      <c r="J105" s="19">
        <f>IFERROR(__xludf.DUMMYFUNCTION("""COMPUTED_VALUE"""),0.04727)</f>
        <v>0.04727</v>
      </c>
      <c r="K105" s="19" t="str">
        <f>IFERROR(__xludf.DUMMYFUNCTION("""COMPUTED_VALUE"""),"-")</f>
        <v>-</v>
      </c>
      <c r="L105" s="19">
        <f>IFERROR(__xludf.DUMMYFUNCTION("""COMPUTED_VALUE"""),0.0424)</f>
        <v>0.0424</v>
      </c>
      <c r="O105" s="24">
        <f t="shared" si="4"/>
        <v>0</v>
      </c>
      <c r="P105" s="24"/>
      <c r="Q105" s="24">
        <f t="shared" si="6"/>
        <v>0</v>
      </c>
      <c r="R105" s="24">
        <f t="shared" si="7"/>
        <v>0</v>
      </c>
      <c r="S105" s="24"/>
      <c r="T105" s="24">
        <f t="shared" si="9"/>
        <v>0</v>
      </c>
    </row>
    <row r="106">
      <c r="A106" s="12" t="s">
        <v>195</v>
      </c>
      <c r="F106" s="19">
        <f>IFERROR(__xludf.DUMMYFUNCTION("SPLIT(A102, "" |"")"),100.0)</f>
        <v>100</v>
      </c>
      <c r="G106" s="19">
        <f>IFERROR(__xludf.DUMMYFUNCTION("""COMPUTED_VALUE"""),0.00222)</f>
        <v>0.00222</v>
      </c>
      <c r="H106" s="19" t="str">
        <f>IFERROR(__xludf.DUMMYFUNCTION("""COMPUTED_VALUE"""),"-")</f>
        <v>-</v>
      </c>
      <c r="I106" s="19">
        <f>IFERROR(__xludf.DUMMYFUNCTION("""COMPUTED_VALUE"""),0.00206)</f>
        <v>0.00206</v>
      </c>
      <c r="J106" s="19">
        <f>IFERROR(__xludf.DUMMYFUNCTION("""COMPUTED_VALUE"""),0.04413)</f>
        <v>0.04413</v>
      </c>
      <c r="K106" s="19" t="str">
        <f>IFERROR(__xludf.DUMMYFUNCTION("""COMPUTED_VALUE"""),"-")</f>
        <v>-</v>
      </c>
      <c r="L106" s="19">
        <f>IFERROR(__xludf.DUMMYFUNCTION("""COMPUTED_VALUE"""),0.04738)</f>
        <v>0.04738</v>
      </c>
      <c r="O106" s="24">
        <f t="shared" si="4"/>
        <v>0</v>
      </c>
      <c r="P106" s="24"/>
      <c r="Q106" s="24">
        <f t="shared" si="6"/>
        <v>0</v>
      </c>
      <c r="R106" s="24">
        <f t="shared" si="7"/>
        <v>1</v>
      </c>
      <c r="S106" s="24"/>
      <c r="T106" s="24">
        <f t="shared" si="9"/>
        <v>0</v>
      </c>
    </row>
    <row r="107">
      <c r="A107" s="12" t="s">
        <v>196</v>
      </c>
      <c r="F107" s="19">
        <f>IFERROR(__xludf.DUMMYFUNCTION("SPLIT(A103, "" |"")"),101.0)</f>
        <v>101</v>
      </c>
      <c r="G107" s="19">
        <f>IFERROR(__xludf.DUMMYFUNCTION("""COMPUTED_VALUE"""),0.00223)</f>
        <v>0.00223</v>
      </c>
      <c r="H107" s="19" t="str">
        <f>IFERROR(__xludf.DUMMYFUNCTION("""COMPUTED_VALUE"""),"-")</f>
        <v>-</v>
      </c>
      <c r="I107" s="19">
        <f>IFERROR(__xludf.DUMMYFUNCTION("""COMPUTED_VALUE"""),0.00206)</f>
        <v>0.00206</v>
      </c>
      <c r="J107" s="19">
        <f>IFERROR(__xludf.DUMMYFUNCTION("""COMPUTED_VALUE"""),0.04251)</f>
        <v>0.04251</v>
      </c>
      <c r="K107" s="19" t="str">
        <f>IFERROR(__xludf.DUMMYFUNCTION("""COMPUTED_VALUE"""),"-")</f>
        <v>-</v>
      </c>
      <c r="L107" s="19">
        <f>IFERROR(__xludf.DUMMYFUNCTION("""COMPUTED_VALUE"""),0.0474)</f>
        <v>0.0474</v>
      </c>
      <c r="O107" s="24">
        <f t="shared" si="4"/>
        <v>0</v>
      </c>
      <c r="P107" s="24"/>
      <c r="Q107" s="24">
        <f t="shared" si="6"/>
        <v>0</v>
      </c>
      <c r="R107" s="24">
        <f t="shared" si="7"/>
        <v>1</v>
      </c>
      <c r="S107" s="24"/>
      <c r="T107" s="24">
        <f t="shared" si="9"/>
        <v>0</v>
      </c>
    </row>
    <row r="108">
      <c r="A108" s="12" t="s">
        <v>197</v>
      </c>
      <c r="F108" s="19">
        <f>IFERROR(__xludf.DUMMYFUNCTION("SPLIT(A104, "" |"")"),102.0)</f>
        <v>102</v>
      </c>
      <c r="G108" s="19">
        <f>IFERROR(__xludf.DUMMYFUNCTION("""COMPUTED_VALUE"""),0.00227)</f>
        <v>0.00227</v>
      </c>
      <c r="H108" s="19" t="str">
        <f>IFERROR(__xludf.DUMMYFUNCTION("""COMPUTED_VALUE"""),"-")</f>
        <v>-</v>
      </c>
      <c r="I108" s="19">
        <f>IFERROR(__xludf.DUMMYFUNCTION("""COMPUTED_VALUE"""),0.00205)</f>
        <v>0.00205</v>
      </c>
      <c r="J108" s="19">
        <f>IFERROR(__xludf.DUMMYFUNCTION("""COMPUTED_VALUE"""),0.04668)</f>
        <v>0.04668</v>
      </c>
      <c r="K108" s="19" t="str">
        <f>IFERROR(__xludf.DUMMYFUNCTION("""COMPUTED_VALUE"""),"-")</f>
        <v>-</v>
      </c>
      <c r="L108" s="19">
        <f>IFERROR(__xludf.DUMMYFUNCTION("""COMPUTED_VALUE"""),0.04742)</f>
        <v>0.04742</v>
      </c>
      <c r="O108" s="24">
        <f t="shared" si="4"/>
        <v>0</v>
      </c>
      <c r="P108" s="24"/>
      <c r="Q108" s="24">
        <f t="shared" si="6"/>
        <v>0</v>
      </c>
      <c r="R108" s="24">
        <f t="shared" si="7"/>
        <v>0</v>
      </c>
      <c r="S108" s="24"/>
      <c r="T108" s="24">
        <f t="shared" si="9"/>
        <v>0</v>
      </c>
    </row>
    <row r="109">
      <c r="A109" s="12" t="s">
        <v>198</v>
      </c>
      <c r="F109" s="19">
        <f>IFERROR(__xludf.DUMMYFUNCTION("SPLIT(A105, "" |"")"),103.0)</f>
        <v>103</v>
      </c>
      <c r="G109" s="19">
        <f>IFERROR(__xludf.DUMMYFUNCTION("""COMPUTED_VALUE"""),0.00222)</f>
        <v>0.00222</v>
      </c>
      <c r="H109" s="19" t="str">
        <f>IFERROR(__xludf.DUMMYFUNCTION("""COMPUTED_VALUE"""),"-")</f>
        <v>-</v>
      </c>
      <c r="I109" s="19">
        <f>IFERROR(__xludf.DUMMYFUNCTION("""COMPUTED_VALUE"""),0.00205)</f>
        <v>0.00205</v>
      </c>
      <c r="J109" s="19">
        <f>IFERROR(__xludf.DUMMYFUNCTION("""COMPUTED_VALUE"""),0.04721)</f>
        <v>0.04721</v>
      </c>
      <c r="K109" s="19" t="str">
        <f>IFERROR(__xludf.DUMMYFUNCTION("""COMPUTED_VALUE"""),"-")</f>
        <v>-</v>
      </c>
      <c r="L109" s="19">
        <f>IFERROR(__xludf.DUMMYFUNCTION("""COMPUTED_VALUE"""),0.04744)</f>
        <v>0.04744</v>
      </c>
      <c r="O109" s="24">
        <f t="shared" si="4"/>
        <v>0</v>
      </c>
      <c r="P109" s="24"/>
      <c r="Q109" s="24">
        <f t="shared" si="6"/>
        <v>0</v>
      </c>
      <c r="R109" s="24">
        <f t="shared" si="7"/>
        <v>0</v>
      </c>
      <c r="S109" s="24"/>
      <c r="T109" s="24">
        <f t="shared" si="9"/>
        <v>0</v>
      </c>
    </row>
    <row r="110">
      <c r="A110" s="12" t="s">
        <v>199</v>
      </c>
      <c r="F110" s="19">
        <f>IFERROR(__xludf.DUMMYFUNCTION("SPLIT(A106, "" |"")"),104.0)</f>
        <v>104</v>
      </c>
      <c r="G110" s="19">
        <f>IFERROR(__xludf.DUMMYFUNCTION("""COMPUTED_VALUE"""),0.00224)</f>
        <v>0.00224</v>
      </c>
      <c r="H110" s="19" t="str">
        <f>IFERROR(__xludf.DUMMYFUNCTION("""COMPUTED_VALUE"""),"-")</f>
        <v>-</v>
      </c>
      <c r="I110" s="19">
        <f>IFERROR(__xludf.DUMMYFUNCTION("""COMPUTED_VALUE"""),0.00204)</f>
        <v>0.00204</v>
      </c>
      <c r="J110" s="19">
        <f>IFERROR(__xludf.DUMMYFUNCTION("""COMPUTED_VALUE"""),0.04726)</f>
        <v>0.04726</v>
      </c>
      <c r="K110" s="19" t="str">
        <f>IFERROR(__xludf.DUMMYFUNCTION("""COMPUTED_VALUE"""),"-")</f>
        <v>-</v>
      </c>
      <c r="L110" s="19">
        <f>IFERROR(__xludf.DUMMYFUNCTION("""COMPUTED_VALUE"""),0.04559)</f>
        <v>0.04559</v>
      </c>
      <c r="O110" s="24">
        <f t="shared" si="4"/>
        <v>0</v>
      </c>
      <c r="P110" s="24"/>
      <c r="Q110" s="24">
        <f t="shared" si="6"/>
        <v>0</v>
      </c>
      <c r="R110" s="24">
        <f t="shared" si="7"/>
        <v>0</v>
      </c>
      <c r="S110" s="24"/>
      <c r="T110" s="24">
        <f t="shared" si="9"/>
        <v>0</v>
      </c>
    </row>
    <row r="111">
      <c r="A111" s="12" t="s">
        <v>200</v>
      </c>
      <c r="F111" s="19">
        <f>IFERROR(__xludf.DUMMYFUNCTION("SPLIT(A107, "" |"")"),105.0)</f>
        <v>105</v>
      </c>
      <c r="G111" s="19">
        <f>IFERROR(__xludf.DUMMYFUNCTION("""COMPUTED_VALUE"""),0.00228)</f>
        <v>0.00228</v>
      </c>
      <c r="H111" s="19" t="str">
        <f>IFERROR(__xludf.DUMMYFUNCTION("""COMPUTED_VALUE"""),"-")</f>
        <v>-</v>
      </c>
      <c r="I111" s="19">
        <f>IFERROR(__xludf.DUMMYFUNCTION("""COMPUTED_VALUE"""),0.00208)</f>
        <v>0.00208</v>
      </c>
      <c r="J111" s="19">
        <f>IFERROR(__xludf.DUMMYFUNCTION("""COMPUTED_VALUE"""),0.04731)</f>
        <v>0.04731</v>
      </c>
      <c r="K111" s="19" t="str">
        <f>IFERROR(__xludf.DUMMYFUNCTION("""COMPUTED_VALUE"""),"-")</f>
        <v>-</v>
      </c>
      <c r="L111" s="19">
        <f>IFERROR(__xludf.DUMMYFUNCTION("""COMPUTED_VALUE"""),0.04071)</f>
        <v>0.04071</v>
      </c>
      <c r="O111" s="24">
        <f t="shared" si="4"/>
        <v>0</v>
      </c>
      <c r="P111" s="24"/>
      <c r="Q111" s="24">
        <f t="shared" si="6"/>
        <v>0</v>
      </c>
      <c r="R111" s="24">
        <f t="shared" si="7"/>
        <v>0</v>
      </c>
      <c r="S111" s="24"/>
      <c r="T111" s="24">
        <f t="shared" si="9"/>
        <v>0</v>
      </c>
    </row>
    <row r="112">
      <c r="A112" s="12" t="s">
        <v>201</v>
      </c>
      <c r="F112" s="19">
        <f>IFERROR(__xludf.DUMMYFUNCTION("SPLIT(A108, "" |"")"),106.0)</f>
        <v>106</v>
      </c>
      <c r="G112" s="19">
        <f>IFERROR(__xludf.DUMMYFUNCTION("""COMPUTED_VALUE"""),0.00242)</f>
        <v>0.00242</v>
      </c>
      <c r="H112" s="19" t="str">
        <f>IFERROR(__xludf.DUMMYFUNCTION("""COMPUTED_VALUE"""),"-")</f>
        <v>-</v>
      </c>
      <c r="I112" s="19">
        <f>IFERROR(__xludf.DUMMYFUNCTION("""COMPUTED_VALUE"""),0.00223)</f>
        <v>0.00223</v>
      </c>
      <c r="J112" s="19">
        <f>IFERROR(__xludf.DUMMYFUNCTION("""COMPUTED_VALUE"""),0.04742)</f>
        <v>0.04742</v>
      </c>
      <c r="K112" s="19" t="str">
        <f>IFERROR(__xludf.DUMMYFUNCTION("""COMPUTED_VALUE"""),"-")</f>
        <v>-</v>
      </c>
      <c r="L112" s="19">
        <f>IFERROR(__xludf.DUMMYFUNCTION("""COMPUTED_VALUE"""),0.04758)</f>
        <v>0.04758</v>
      </c>
      <c r="O112" s="24">
        <f t="shared" si="4"/>
        <v>0</v>
      </c>
      <c r="P112" s="24"/>
      <c r="Q112" s="24">
        <f t="shared" si="6"/>
        <v>0</v>
      </c>
      <c r="R112" s="24">
        <f t="shared" si="7"/>
        <v>0</v>
      </c>
      <c r="S112" s="24"/>
      <c r="T112" s="24">
        <f t="shared" si="9"/>
        <v>0</v>
      </c>
    </row>
    <row r="113">
      <c r="A113" s="12" t="s">
        <v>202</v>
      </c>
      <c r="F113" s="19">
        <f>IFERROR(__xludf.DUMMYFUNCTION("SPLIT(A109, "" |"")"),107.0)</f>
        <v>107</v>
      </c>
      <c r="G113" s="19">
        <f>IFERROR(__xludf.DUMMYFUNCTION("""COMPUTED_VALUE"""),0.00244)</f>
        <v>0.00244</v>
      </c>
      <c r="H113" s="19" t="str">
        <f>IFERROR(__xludf.DUMMYFUNCTION("""COMPUTED_VALUE"""),"-")</f>
        <v>-</v>
      </c>
      <c r="I113" s="19">
        <f>IFERROR(__xludf.DUMMYFUNCTION("""COMPUTED_VALUE"""),0.00221)</f>
        <v>0.00221</v>
      </c>
      <c r="J113" s="19">
        <f>IFERROR(__xludf.DUMMYFUNCTION("""COMPUTED_VALUE"""),0.04745)</f>
        <v>0.04745</v>
      </c>
      <c r="K113" s="19" t="str">
        <f>IFERROR(__xludf.DUMMYFUNCTION("""COMPUTED_VALUE"""),"-")</f>
        <v>-</v>
      </c>
      <c r="L113" s="19">
        <f>IFERROR(__xludf.DUMMYFUNCTION("""COMPUTED_VALUE"""),0.0476)</f>
        <v>0.0476</v>
      </c>
      <c r="O113" s="24">
        <f t="shared" si="4"/>
        <v>0</v>
      </c>
      <c r="P113" s="24"/>
      <c r="Q113" s="24">
        <f t="shared" si="6"/>
        <v>0</v>
      </c>
      <c r="R113" s="24">
        <f t="shared" si="7"/>
        <v>0</v>
      </c>
      <c r="S113" s="24"/>
      <c r="T113" s="24">
        <f t="shared" si="9"/>
        <v>0</v>
      </c>
    </row>
    <row r="114">
      <c r="A114" s="12" t="s">
        <v>203</v>
      </c>
      <c r="F114" s="19">
        <f>IFERROR(__xludf.DUMMYFUNCTION("SPLIT(A110, "" |"")"),108.0)</f>
        <v>108</v>
      </c>
      <c r="G114" s="19">
        <f>IFERROR(__xludf.DUMMYFUNCTION("""COMPUTED_VALUE"""),0.00237)</f>
        <v>0.00237</v>
      </c>
      <c r="H114" s="19" t="str">
        <f>IFERROR(__xludf.DUMMYFUNCTION("""COMPUTED_VALUE"""),"-")</f>
        <v>-</v>
      </c>
      <c r="I114" s="19">
        <f>IFERROR(__xludf.DUMMYFUNCTION("""COMPUTED_VALUE"""),0.00222)</f>
        <v>0.00222</v>
      </c>
      <c r="J114" s="19">
        <f>IFERROR(__xludf.DUMMYFUNCTION("""COMPUTED_VALUE"""),0.04736)</f>
        <v>0.04736</v>
      </c>
      <c r="K114" s="19" t="str">
        <f>IFERROR(__xludf.DUMMYFUNCTION("""COMPUTED_VALUE"""),"-")</f>
        <v>-</v>
      </c>
      <c r="L114" s="19">
        <f>IFERROR(__xludf.DUMMYFUNCTION("""COMPUTED_VALUE"""),0.04754)</f>
        <v>0.04754</v>
      </c>
      <c r="O114" s="24">
        <f t="shared" si="4"/>
        <v>0</v>
      </c>
      <c r="P114" s="24"/>
      <c r="Q114" s="24">
        <f t="shared" si="6"/>
        <v>0</v>
      </c>
      <c r="R114" s="24">
        <f t="shared" si="7"/>
        <v>0</v>
      </c>
      <c r="S114" s="24"/>
      <c r="T114" s="24">
        <f t="shared" si="9"/>
        <v>0</v>
      </c>
    </row>
    <row r="115">
      <c r="A115" s="12" t="s">
        <v>204</v>
      </c>
      <c r="F115" s="19">
        <f>IFERROR(__xludf.DUMMYFUNCTION("SPLIT(A111, "" |"")"),109.0)</f>
        <v>109</v>
      </c>
      <c r="G115" s="19">
        <f>IFERROR(__xludf.DUMMYFUNCTION("""COMPUTED_VALUE"""),0.00234)</f>
        <v>0.00234</v>
      </c>
      <c r="H115" s="19" t="str">
        <f>IFERROR(__xludf.DUMMYFUNCTION("""COMPUTED_VALUE"""),"-")</f>
        <v>-</v>
      </c>
      <c r="I115" s="19">
        <f>IFERROR(__xludf.DUMMYFUNCTION("""COMPUTED_VALUE"""),0.00217)</f>
        <v>0.00217</v>
      </c>
      <c r="J115" s="19">
        <f>IFERROR(__xludf.DUMMYFUNCTION("""COMPUTED_VALUE"""),0.04749)</f>
        <v>0.04749</v>
      </c>
      <c r="K115" s="19" t="str">
        <f>IFERROR(__xludf.DUMMYFUNCTION("""COMPUTED_VALUE"""),"-")</f>
        <v>-</v>
      </c>
      <c r="L115" s="19">
        <f>IFERROR(__xludf.DUMMYFUNCTION("""COMPUTED_VALUE"""),0.04759)</f>
        <v>0.04759</v>
      </c>
      <c r="O115" s="24">
        <f t="shared" si="4"/>
        <v>0</v>
      </c>
      <c r="P115" s="24"/>
      <c r="Q115" s="24">
        <f t="shared" si="6"/>
        <v>0</v>
      </c>
      <c r="R115" s="24">
        <f t="shared" si="7"/>
        <v>0</v>
      </c>
      <c r="S115" s="24"/>
      <c r="T115" s="24">
        <f t="shared" si="9"/>
        <v>0</v>
      </c>
    </row>
    <row r="116">
      <c r="A116" s="12" t="s">
        <v>205</v>
      </c>
      <c r="F116" s="19">
        <f>IFERROR(__xludf.DUMMYFUNCTION("SPLIT(A112, "" |"")"),110.0)</f>
        <v>110</v>
      </c>
      <c r="G116" s="19">
        <f>IFERROR(__xludf.DUMMYFUNCTION("""COMPUTED_VALUE"""),0.00231)</f>
        <v>0.00231</v>
      </c>
      <c r="H116" s="19" t="str">
        <f>IFERROR(__xludf.DUMMYFUNCTION("""COMPUTED_VALUE"""),"-")</f>
        <v>-</v>
      </c>
      <c r="I116" s="19">
        <f>IFERROR(__xludf.DUMMYFUNCTION("""COMPUTED_VALUE"""),0.00225)</f>
        <v>0.00225</v>
      </c>
      <c r="J116" s="19">
        <f>IFERROR(__xludf.DUMMYFUNCTION("""COMPUTED_VALUE"""),0.04747)</f>
        <v>0.04747</v>
      </c>
      <c r="K116" s="19" t="str">
        <f>IFERROR(__xludf.DUMMYFUNCTION("""COMPUTED_VALUE"""),"-")</f>
        <v>-</v>
      </c>
      <c r="L116" s="19">
        <f>IFERROR(__xludf.DUMMYFUNCTION("""COMPUTED_VALUE"""),0.04761)</f>
        <v>0.04761</v>
      </c>
      <c r="O116" s="24">
        <f t="shared" si="4"/>
        <v>0</v>
      </c>
      <c r="P116" s="24"/>
      <c r="Q116" s="24">
        <f t="shared" si="6"/>
        <v>0</v>
      </c>
      <c r="R116" s="24">
        <f t="shared" si="7"/>
        <v>0</v>
      </c>
      <c r="S116" s="24"/>
      <c r="T116" s="24">
        <f t="shared" si="9"/>
        <v>0</v>
      </c>
    </row>
    <row r="117">
      <c r="A117" s="12" t="s">
        <v>206</v>
      </c>
      <c r="F117" s="19">
        <f>IFERROR(__xludf.DUMMYFUNCTION("SPLIT(A113, "" |"")"),111.0)</f>
        <v>111</v>
      </c>
      <c r="G117" s="19">
        <f>IFERROR(__xludf.DUMMYFUNCTION("""COMPUTED_VALUE"""),0.00221)</f>
        <v>0.00221</v>
      </c>
      <c r="H117" s="19" t="str">
        <f>IFERROR(__xludf.DUMMYFUNCTION("""COMPUTED_VALUE"""),"-")</f>
        <v>-</v>
      </c>
      <c r="I117" s="19">
        <f>IFERROR(__xludf.DUMMYFUNCTION("""COMPUTED_VALUE"""),0.0021)</f>
        <v>0.0021</v>
      </c>
      <c r="J117" s="19">
        <f>IFERROR(__xludf.DUMMYFUNCTION("""COMPUTED_VALUE"""),0.04741)</f>
        <v>0.04741</v>
      </c>
      <c r="K117" s="19" t="str">
        <f>IFERROR(__xludf.DUMMYFUNCTION("""COMPUTED_VALUE"""),"-")</f>
        <v>-</v>
      </c>
      <c r="L117" s="19">
        <f>IFERROR(__xludf.DUMMYFUNCTION("""COMPUTED_VALUE"""),0.04762)</f>
        <v>0.04762</v>
      </c>
      <c r="O117" s="24">
        <f t="shared" si="4"/>
        <v>0</v>
      </c>
      <c r="P117" s="24"/>
      <c r="Q117" s="24">
        <f t="shared" si="6"/>
        <v>0</v>
      </c>
      <c r="R117" s="24">
        <f t="shared" si="7"/>
        <v>0</v>
      </c>
      <c r="S117" s="24"/>
      <c r="T117" s="24">
        <f t="shared" si="9"/>
        <v>0</v>
      </c>
    </row>
    <row r="118">
      <c r="A118" s="12" t="s">
        <v>207</v>
      </c>
      <c r="F118" s="19">
        <f>IFERROR(__xludf.DUMMYFUNCTION("SPLIT(A114, "" |"")"),112.0)</f>
        <v>112</v>
      </c>
      <c r="G118" s="19">
        <f>IFERROR(__xludf.DUMMYFUNCTION("""COMPUTED_VALUE"""),0.00235)</f>
        <v>0.00235</v>
      </c>
      <c r="H118" s="19" t="str">
        <f>IFERROR(__xludf.DUMMYFUNCTION("""COMPUTED_VALUE"""),"-")</f>
        <v>-</v>
      </c>
      <c r="I118" s="19">
        <f>IFERROR(__xludf.DUMMYFUNCTION("""COMPUTED_VALUE"""),0.00228)</f>
        <v>0.00228</v>
      </c>
      <c r="J118" s="19">
        <f>IFERROR(__xludf.DUMMYFUNCTION("""COMPUTED_VALUE"""),0.04753)</f>
        <v>0.04753</v>
      </c>
      <c r="K118" s="19" t="str">
        <f>IFERROR(__xludf.DUMMYFUNCTION("""COMPUTED_VALUE"""),"-")</f>
        <v>-</v>
      </c>
      <c r="L118" s="19">
        <f>IFERROR(__xludf.DUMMYFUNCTION("""COMPUTED_VALUE"""),0.04767)</f>
        <v>0.04767</v>
      </c>
      <c r="O118" s="24">
        <f t="shared" si="4"/>
        <v>0</v>
      </c>
      <c r="P118" s="24"/>
      <c r="Q118" s="24">
        <f t="shared" si="6"/>
        <v>0</v>
      </c>
      <c r="R118" s="24">
        <f t="shared" si="7"/>
        <v>0</v>
      </c>
      <c r="S118" s="24"/>
      <c r="T118" s="24">
        <f t="shared" si="9"/>
        <v>0</v>
      </c>
    </row>
    <row r="119">
      <c r="A119" s="12" t="s">
        <v>208</v>
      </c>
      <c r="F119" s="19">
        <f>IFERROR(__xludf.DUMMYFUNCTION("SPLIT(A115, "" |"")"),113.0)</f>
        <v>113</v>
      </c>
      <c r="G119" s="19">
        <f>IFERROR(__xludf.DUMMYFUNCTION("""COMPUTED_VALUE"""),0.00234)</f>
        <v>0.00234</v>
      </c>
      <c r="H119" s="19" t="str">
        <f>IFERROR(__xludf.DUMMYFUNCTION("""COMPUTED_VALUE"""),"-")</f>
        <v>-</v>
      </c>
      <c r="I119" s="19">
        <f>IFERROR(__xludf.DUMMYFUNCTION("""COMPUTED_VALUE"""),0.00213)</f>
        <v>0.00213</v>
      </c>
      <c r="J119" s="19">
        <f>IFERROR(__xludf.DUMMYFUNCTION("""COMPUTED_VALUE"""),0.04747)</f>
        <v>0.04747</v>
      </c>
      <c r="K119" s="19" t="str">
        <f>IFERROR(__xludf.DUMMYFUNCTION("""COMPUTED_VALUE"""),"-")</f>
        <v>-</v>
      </c>
      <c r="L119" s="19">
        <f>IFERROR(__xludf.DUMMYFUNCTION("""COMPUTED_VALUE"""),0.04768)</f>
        <v>0.04768</v>
      </c>
      <c r="O119" s="24">
        <f t="shared" si="4"/>
        <v>0</v>
      </c>
      <c r="P119" s="24"/>
      <c r="Q119" s="24">
        <f t="shared" si="6"/>
        <v>0</v>
      </c>
      <c r="R119" s="24">
        <f t="shared" si="7"/>
        <v>0</v>
      </c>
      <c r="S119" s="24"/>
      <c r="T119" s="24">
        <f t="shared" si="9"/>
        <v>0</v>
      </c>
    </row>
    <row r="120">
      <c r="A120" s="12" t="s">
        <v>209</v>
      </c>
      <c r="F120" s="19">
        <f>IFERROR(__xludf.DUMMYFUNCTION("SPLIT(A116, "" |"")"),114.0)</f>
        <v>114</v>
      </c>
      <c r="G120" s="19">
        <f>IFERROR(__xludf.DUMMYFUNCTION("""COMPUTED_VALUE"""),0.00226)</f>
        <v>0.00226</v>
      </c>
      <c r="H120" s="19" t="str">
        <f>IFERROR(__xludf.DUMMYFUNCTION("""COMPUTED_VALUE"""),"-")</f>
        <v>-</v>
      </c>
      <c r="I120" s="19">
        <f>IFERROR(__xludf.DUMMYFUNCTION("""COMPUTED_VALUE"""),0.00216)</f>
        <v>0.00216</v>
      </c>
      <c r="J120" s="19">
        <f>IFERROR(__xludf.DUMMYFUNCTION("""COMPUTED_VALUE"""),0.04746)</f>
        <v>0.04746</v>
      </c>
      <c r="K120" s="19" t="str">
        <f>IFERROR(__xludf.DUMMYFUNCTION("""COMPUTED_VALUE"""),"-")</f>
        <v>-</v>
      </c>
      <c r="L120" s="19">
        <f>IFERROR(__xludf.DUMMYFUNCTION("""COMPUTED_VALUE"""),0.04756)</f>
        <v>0.04756</v>
      </c>
      <c r="O120" s="24">
        <f t="shared" si="4"/>
        <v>0</v>
      </c>
      <c r="P120" s="24"/>
      <c r="Q120" s="24">
        <f t="shared" si="6"/>
        <v>0</v>
      </c>
      <c r="R120" s="24">
        <f t="shared" si="7"/>
        <v>0</v>
      </c>
      <c r="S120" s="24"/>
      <c r="T120" s="24">
        <f t="shared" si="9"/>
        <v>0</v>
      </c>
    </row>
    <row r="121">
      <c r="A121" s="12" t="s">
        <v>210</v>
      </c>
      <c r="F121" s="19">
        <f>IFERROR(__xludf.DUMMYFUNCTION("SPLIT(A117, "" |"")"),115.0)</f>
        <v>115</v>
      </c>
      <c r="G121" s="19">
        <f>IFERROR(__xludf.DUMMYFUNCTION("""COMPUTED_VALUE"""),0.00235)</f>
        <v>0.00235</v>
      </c>
      <c r="H121" s="19" t="str">
        <f>IFERROR(__xludf.DUMMYFUNCTION("""COMPUTED_VALUE"""),"-")</f>
        <v>-</v>
      </c>
      <c r="I121" s="19">
        <f>IFERROR(__xludf.DUMMYFUNCTION("""COMPUTED_VALUE"""),0.00223)</f>
        <v>0.00223</v>
      </c>
      <c r="J121" s="19">
        <f>IFERROR(__xludf.DUMMYFUNCTION("""COMPUTED_VALUE"""),0.04742)</f>
        <v>0.04742</v>
      </c>
      <c r="K121" s="19" t="str">
        <f>IFERROR(__xludf.DUMMYFUNCTION("""COMPUTED_VALUE"""),"-")</f>
        <v>-</v>
      </c>
      <c r="L121" s="19">
        <f>IFERROR(__xludf.DUMMYFUNCTION("""COMPUTED_VALUE"""),0.04765)</f>
        <v>0.04765</v>
      </c>
      <c r="O121" s="24">
        <f t="shared" si="4"/>
        <v>0</v>
      </c>
      <c r="P121" s="24"/>
      <c r="Q121" s="24">
        <f t="shared" si="6"/>
        <v>0</v>
      </c>
      <c r="R121" s="24">
        <f t="shared" si="7"/>
        <v>0</v>
      </c>
      <c r="S121" s="24"/>
      <c r="T121" s="24">
        <f t="shared" si="9"/>
        <v>0</v>
      </c>
    </row>
    <row r="122">
      <c r="A122" s="12" t="s">
        <v>211</v>
      </c>
      <c r="F122" s="19">
        <f>IFERROR(__xludf.DUMMYFUNCTION("SPLIT(A118, "" |"")"),116.0)</f>
        <v>116</v>
      </c>
      <c r="G122" s="19">
        <f>IFERROR(__xludf.DUMMYFUNCTION("""COMPUTED_VALUE"""),0.00235)</f>
        <v>0.00235</v>
      </c>
      <c r="H122" s="19" t="str">
        <f>IFERROR(__xludf.DUMMYFUNCTION("""COMPUTED_VALUE"""),"-")</f>
        <v>-</v>
      </c>
      <c r="I122" s="19">
        <f>IFERROR(__xludf.DUMMYFUNCTION("""COMPUTED_VALUE"""),0.00217)</f>
        <v>0.00217</v>
      </c>
      <c r="J122" s="19">
        <f>IFERROR(__xludf.DUMMYFUNCTION("""COMPUTED_VALUE"""),0.04742)</f>
        <v>0.04742</v>
      </c>
      <c r="K122" s="19" t="str">
        <f>IFERROR(__xludf.DUMMYFUNCTION("""COMPUTED_VALUE"""),"-")</f>
        <v>-</v>
      </c>
      <c r="L122" s="19">
        <f>IFERROR(__xludf.DUMMYFUNCTION("""COMPUTED_VALUE"""),0.04762)</f>
        <v>0.04762</v>
      </c>
      <c r="O122" s="24">
        <f t="shared" si="4"/>
        <v>0</v>
      </c>
      <c r="P122" s="24"/>
      <c r="Q122" s="24">
        <f t="shared" si="6"/>
        <v>0</v>
      </c>
      <c r="R122" s="24">
        <f t="shared" si="7"/>
        <v>0</v>
      </c>
      <c r="S122" s="24"/>
      <c r="T122" s="24">
        <f t="shared" si="9"/>
        <v>0</v>
      </c>
    </row>
    <row r="123">
      <c r="A123" s="12" t="s">
        <v>212</v>
      </c>
      <c r="F123" s="19">
        <f>IFERROR(__xludf.DUMMYFUNCTION("SPLIT(A119, "" |"")"),117.0)</f>
        <v>117</v>
      </c>
      <c r="G123" s="19">
        <f>IFERROR(__xludf.DUMMYFUNCTION("""COMPUTED_VALUE"""),0.00231)</f>
        <v>0.00231</v>
      </c>
      <c r="H123" s="19" t="str">
        <f>IFERROR(__xludf.DUMMYFUNCTION("""COMPUTED_VALUE"""),"-")</f>
        <v>-</v>
      </c>
      <c r="I123" s="19">
        <f>IFERROR(__xludf.DUMMYFUNCTION("""COMPUTED_VALUE"""),0.00219)</f>
        <v>0.00219</v>
      </c>
      <c r="J123" s="19">
        <f>IFERROR(__xludf.DUMMYFUNCTION("""COMPUTED_VALUE"""),0.04705)</f>
        <v>0.04705</v>
      </c>
      <c r="K123" s="19" t="str">
        <f>IFERROR(__xludf.DUMMYFUNCTION("""COMPUTED_VALUE"""),"-")</f>
        <v>-</v>
      </c>
      <c r="L123" s="19">
        <f>IFERROR(__xludf.DUMMYFUNCTION("""COMPUTED_VALUE"""),0.04764)</f>
        <v>0.04764</v>
      </c>
      <c r="O123" s="24">
        <f t="shared" si="4"/>
        <v>0</v>
      </c>
      <c r="P123" s="24"/>
      <c r="Q123" s="24">
        <f t="shared" si="6"/>
        <v>0</v>
      </c>
      <c r="R123" s="24">
        <f t="shared" si="7"/>
        <v>0</v>
      </c>
      <c r="S123" s="24"/>
      <c r="T123" s="24">
        <f t="shared" si="9"/>
        <v>0</v>
      </c>
    </row>
    <row r="124">
      <c r="A124" s="12" t="s">
        <v>213</v>
      </c>
      <c r="F124" s="19">
        <f>IFERROR(__xludf.DUMMYFUNCTION("SPLIT(A120, "" |"")"),118.0)</f>
        <v>118</v>
      </c>
      <c r="G124" s="19">
        <f>IFERROR(__xludf.DUMMYFUNCTION("""COMPUTED_VALUE"""),0.0024)</f>
        <v>0.0024</v>
      </c>
      <c r="H124" s="19" t="str">
        <f>IFERROR(__xludf.DUMMYFUNCTION("""COMPUTED_VALUE"""),"-")</f>
        <v>-</v>
      </c>
      <c r="I124" s="19">
        <f>IFERROR(__xludf.DUMMYFUNCTION("""COMPUTED_VALUE"""),0.00218)</f>
        <v>0.00218</v>
      </c>
      <c r="J124" s="19">
        <f>IFERROR(__xludf.DUMMYFUNCTION("""COMPUTED_VALUE"""),0.04739)</f>
        <v>0.04739</v>
      </c>
      <c r="K124" s="19" t="str">
        <f>IFERROR(__xludf.DUMMYFUNCTION("""COMPUTED_VALUE"""),"-")</f>
        <v>-</v>
      </c>
      <c r="L124" s="19">
        <f>IFERROR(__xludf.DUMMYFUNCTION("""COMPUTED_VALUE"""),0.04768)</f>
        <v>0.04768</v>
      </c>
      <c r="O124" s="24">
        <f t="shared" si="4"/>
        <v>0</v>
      </c>
      <c r="P124" s="24"/>
      <c r="Q124" s="24">
        <f t="shared" si="6"/>
        <v>0</v>
      </c>
      <c r="R124" s="24">
        <f t="shared" si="7"/>
        <v>0</v>
      </c>
      <c r="S124" s="24"/>
      <c r="T124" s="24">
        <f t="shared" si="9"/>
        <v>0</v>
      </c>
    </row>
    <row r="125">
      <c r="A125" s="12" t="s">
        <v>214</v>
      </c>
      <c r="F125" s="19">
        <f>IFERROR(__xludf.DUMMYFUNCTION("SPLIT(A121, "" |"")"),119.0)</f>
        <v>119</v>
      </c>
      <c r="G125" s="19">
        <f>IFERROR(__xludf.DUMMYFUNCTION("""COMPUTED_VALUE"""),0.00241)</f>
        <v>0.00241</v>
      </c>
      <c r="H125" s="19" t="str">
        <f>IFERROR(__xludf.DUMMYFUNCTION("""COMPUTED_VALUE"""),"-")</f>
        <v>-</v>
      </c>
      <c r="I125" s="19">
        <f>IFERROR(__xludf.DUMMYFUNCTION("""COMPUTED_VALUE"""),0.00223)</f>
        <v>0.00223</v>
      </c>
      <c r="J125" s="19">
        <f>IFERROR(__xludf.DUMMYFUNCTION("""COMPUTED_VALUE"""),0.04748)</f>
        <v>0.04748</v>
      </c>
      <c r="K125" s="19" t="str">
        <f>IFERROR(__xludf.DUMMYFUNCTION("""COMPUTED_VALUE"""),"-")</f>
        <v>-</v>
      </c>
      <c r="L125" s="19">
        <f>IFERROR(__xludf.DUMMYFUNCTION("""COMPUTED_VALUE"""),0.04761)</f>
        <v>0.04761</v>
      </c>
      <c r="O125" s="24">
        <f t="shared" si="4"/>
        <v>0</v>
      </c>
      <c r="P125" s="24"/>
      <c r="Q125" s="24">
        <f t="shared" si="6"/>
        <v>0</v>
      </c>
      <c r="R125" s="24">
        <f t="shared" si="7"/>
        <v>0</v>
      </c>
      <c r="S125" s="24"/>
      <c r="T125" s="24">
        <f t="shared" si="9"/>
        <v>0</v>
      </c>
    </row>
    <row r="126">
      <c r="A126" s="12" t="s">
        <v>215</v>
      </c>
      <c r="F126" s="19">
        <f>IFERROR(__xludf.DUMMYFUNCTION("SPLIT(A122, "" |"")"),120.0)</f>
        <v>120</v>
      </c>
      <c r="G126" s="19">
        <f>IFERROR(__xludf.DUMMYFUNCTION("""COMPUTED_VALUE"""),0.00235)</f>
        <v>0.00235</v>
      </c>
      <c r="H126" s="19" t="str">
        <f>IFERROR(__xludf.DUMMYFUNCTION("""COMPUTED_VALUE"""),"-")</f>
        <v>-</v>
      </c>
      <c r="I126" s="19">
        <f>IFERROR(__xludf.DUMMYFUNCTION("""COMPUTED_VALUE"""),0.00217)</f>
        <v>0.00217</v>
      </c>
      <c r="J126" s="19">
        <f>IFERROR(__xludf.DUMMYFUNCTION("""COMPUTED_VALUE"""),0.04744)</f>
        <v>0.04744</v>
      </c>
      <c r="K126" s="19" t="str">
        <f>IFERROR(__xludf.DUMMYFUNCTION("""COMPUTED_VALUE"""),"-")</f>
        <v>-</v>
      </c>
      <c r="L126" s="19">
        <f>IFERROR(__xludf.DUMMYFUNCTION("""COMPUTED_VALUE"""),0.04763)</f>
        <v>0.04763</v>
      </c>
      <c r="O126" s="24">
        <f t="shared" si="4"/>
        <v>0</v>
      </c>
      <c r="P126" s="24"/>
      <c r="Q126" s="24">
        <f t="shared" si="6"/>
        <v>0</v>
      </c>
      <c r="R126" s="24">
        <f t="shared" si="7"/>
        <v>0</v>
      </c>
      <c r="S126" s="24"/>
      <c r="T126" s="24">
        <f t="shared" si="9"/>
        <v>0</v>
      </c>
    </row>
    <row r="127">
      <c r="A127" s="12" t="s">
        <v>216</v>
      </c>
      <c r="F127" s="19">
        <f>IFERROR(__xludf.DUMMYFUNCTION("SPLIT(A123, "" |"")"),121.0)</f>
        <v>121</v>
      </c>
      <c r="G127" s="19">
        <f>IFERROR(__xludf.DUMMYFUNCTION("""COMPUTED_VALUE"""),0.00241)</f>
        <v>0.00241</v>
      </c>
      <c r="H127" s="19" t="str">
        <f>IFERROR(__xludf.DUMMYFUNCTION("""COMPUTED_VALUE"""),"-")</f>
        <v>-</v>
      </c>
      <c r="I127" s="19">
        <f>IFERROR(__xludf.DUMMYFUNCTION("""COMPUTED_VALUE"""),0.00222)</f>
        <v>0.00222</v>
      </c>
      <c r="J127" s="19">
        <f>IFERROR(__xludf.DUMMYFUNCTION("""COMPUTED_VALUE"""),0.0474)</f>
        <v>0.0474</v>
      </c>
      <c r="K127" s="19" t="str">
        <f>IFERROR(__xludf.DUMMYFUNCTION("""COMPUTED_VALUE"""),"-")</f>
        <v>-</v>
      </c>
      <c r="L127" s="19">
        <f>IFERROR(__xludf.DUMMYFUNCTION("""COMPUTED_VALUE"""),0.04757)</f>
        <v>0.04757</v>
      </c>
      <c r="O127" s="24">
        <f t="shared" si="4"/>
        <v>0</v>
      </c>
      <c r="P127" s="24"/>
      <c r="Q127" s="24">
        <f t="shared" si="6"/>
        <v>0</v>
      </c>
      <c r="R127" s="24">
        <f t="shared" si="7"/>
        <v>0</v>
      </c>
      <c r="S127" s="24"/>
      <c r="T127" s="24">
        <f t="shared" si="9"/>
        <v>0</v>
      </c>
    </row>
    <row r="128">
      <c r="A128" s="12" t="s">
        <v>217</v>
      </c>
      <c r="F128" s="19">
        <f>IFERROR(__xludf.DUMMYFUNCTION("SPLIT(A124, "" |"")"),122.0)</f>
        <v>122</v>
      </c>
      <c r="G128" s="19">
        <f>IFERROR(__xludf.DUMMYFUNCTION("""COMPUTED_VALUE"""),0.0024)</f>
        <v>0.0024</v>
      </c>
      <c r="H128" s="19" t="str">
        <f>IFERROR(__xludf.DUMMYFUNCTION("""COMPUTED_VALUE"""),"-")</f>
        <v>-</v>
      </c>
      <c r="I128" s="19">
        <f>IFERROR(__xludf.DUMMYFUNCTION("""COMPUTED_VALUE"""),0.0022)</f>
        <v>0.0022</v>
      </c>
      <c r="J128" s="19">
        <f>IFERROR(__xludf.DUMMYFUNCTION("""COMPUTED_VALUE"""),0.04654)</f>
        <v>0.04654</v>
      </c>
      <c r="K128" s="19" t="str">
        <f>IFERROR(__xludf.DUMMYFUNCTION("""COMPUTED_VALUE"""),"-")</f>
        <v>-</v>
      </c>
      <c r="L128" s="19">
        <f>IFERROR(__xludf.DUMMYFUNCTION("""COMPUTED_VALUE"""),0.04764)</f>
        <v>0.04764</v>
      </c>
      <c r="O128" s="24">
        <f t="shared" si="4"/>
        <v>0</v>
      </c>
      <c r="P128" s="24"/>
      <c r="Q128" s="24">
        <f t="shared" si="6"/>
        <v>0</v>
      </c>
      <c r="R128" s="24">
        <f t="shared" si="7"/>
        <v>0</v>
      </c>
      <c r="S128" s="24"/>
      <c r="T128" s="24">
        <f t="shared" si="9"/>
        <v>0</v>
      </c>
    </row>
    <row r="129">
      <c r="A129" s="12" t="s">
        <v>218</v>
      </c>
      <c r="F129" s="19">
        <f>IFERROR(__xludf.DUMMYFUNCTION("SPLIT(A125, "" |"")"),123.0)</f>
        <v>123</v>
      </c>
      <c r="G129" s="19">
        <f>IFERROR(__xludf.DUMMYFUNCTION("""COMPUTED_VALUE"""),0.00245)</f>
        <v>0.00245</v>
      </c>
      <c r="H129" s="19" t="str">
        <f>IFERROR(__xludf.DUMMYFUNCTION("""COMPUTED_VALUE"""),"-")</f>
        <v>-</v>
      </c>
      <c r="I129" s="19">
        <f>IFERROR(__xludf.DUMMYFUNCTION("""COMPUTED_VALUE"""),0.00223)</f>
        <v>0.00223</v>
      </c>
      <c r="J129" s="19">
        <f>IFERROR(__xludf.DUMMYFUNCTION("""COMPUTED_VALUE"""),0.0474)</f>
        <v>0.0474</v>
      </c>
      <c r="K129" s="19" t="str">
        <f>IFERROR(__xludf.DUMMYFUNCTION("""COMPUTED_VALUE"""),"-")</f>
        <v>-</v>
      </c>
      <c r="L129" s="19">
        <f>IFERROR(__xludf.DUMMYFUNCTION("""COMPUTED_VALUE"""),0.04768)</f>
        <v>0.04768</v>
      </c>
      <c r="O129" s="24">
        <f t="shared" si="4"/>
        <v>0</v>
      </c>
      <c r="P129" s="24"/>
      <c r="Q129" s="24">
        <f t="shared" si="6"/>
        <v>0</v>
      </c>
      <c r="R129" s="24">
        <f t="shared" si="7"/>
        <v>0</v>
      </c>
      <c r="S129" s="24"/>
      <c r="T129" s="24">
        <f t="shared" si="9"/>
        <v>0</v>
      </c>
    </row>
    <row r="130">
      <c r="A130" s="12" t="s">
        <v>219</v>
      </c>
      <c r="F130" s="19">
        <f>IFERROR(__xludf.DUMMYFUNCTION("SPLIT(A126, "" |"")"),124.0)</f>
        <v>124</v>
      </c>
      <c r="G130" s="19">
        <f>IFERROR(__xludf.DUMMYFUNCTION("""COMPUTED_VALUE"""),0.00243)</f>
        <v>0.00243</v>
      </c>
      <c r="H130" s="19" t="str">
        <f>IFERROR(__xludf.DUMMYFUNCTION("""COMPUTED_VALUE"""),"-")</f>
        <v>-</v>
      </c>
      <c r="I130" s="19">
        <f>IFERROR(__xludf.DUMMYFUNCTION("""COMPUTED_VALUE"""),0.0022)</f>
        <v>0.0022</v>
      </c>
      <c r="J130" s="19">
        <f>IFERROR(__xludf.DUMMYFUNCTION("""COMPUTED_VALUE"""),0.04745)</f>
        <v>0.04745</v>
      </c>
      <c r="K130" s="19" t="str">
        <f>IFERROR(__xludf.DUMMYFUNCTION("""COMPUTED_VALUE"""),"-")</f>
        <v>-</v>
      </c>
      <c r="L130" s="19">
        <f>IFERROR(__xludf.DUMMYFUNCTION("""COMPUTED_VALUE"""),0.0476)</f>
        <v>0.0476</v>
      </c>
      <c r="O130" s="24">
        <f t="shared" si="4"/>
        <v>0</v>
      </c>
      <c r="P130" s="24"/>
      <c r="Q130" s="24">
        <f t="shared" si="6"/>
        <v>0</v>
      </c>
      <c r="R130" s="24">
        <f t="shared" si="7"/>
        <v>0</v>
      </c>
      <c r="S130" s="24"/>
      <c r="T130" s="24">
        <f t="shared" si="9"/>
        <v>0</v>
      </c>
    </row>
    <row r="131">
      <c r="A131" s="12" t="s">
        <v>220</v>
      </c>
      <c r="F131" s="19">
        <f>IFERROR(__xludf.DUMMYFUNCTION("SPLIT(A127, "" |"")"),125.0)</f>
        <v>125</v>
      </c>
      <c r="G131" s="19">
        <f>IFERROR(__xludf.DUMMYFUNCTION("""COMPUTED_VALUE"""),0.00237)</f>
        <v>0.00237</v>
      </c>
      <c r="H131" s="19" t="str">
        <f>IFERROR(__xludf.DUMMYFUNCTION("""COMPUTED_VALUE"""),"-")</f>
        <v>-</v>
      </c>
      <c r="I131" s="19">
        <f>IFERROR(__xludf.DUMMYFUNCTION("""COMPUTED_VALUE"""),0.00215)</f>
        <v>0.00215</v>
      </c>
      <c r="J131" s="19">
        <f>IFERROR(__xludf.DUMMYFUNCTION("""COMPUTED_VALUE"""),0.04749)</f>
        <v>0.04749</v>
      </c>
      <c r="K131" s="19" t="str">
        <f>IFERROR(__xludf.DUMMYFUNCTION("""COMPUTED_VALUE"""),"-")</f>
        <v>-</v>
      </c>
      <c r="L131" s="19">
        <f>IFERROR(__xludf.DUMMYFUNCTION("""COMPUTED_VALUE"""),0.04763)</f>
        <v>0.04763</v>
      </c>
      <c r="O131" s="24">
        <f t="shared" si="4"/>
        <v>0</v>
      </c>
      <c r="P131" s="24"/>
      <c r="Q131" s="24">
        <f t="shared" si="6"/>
        <v>0</v>
      </c>
      <c r="R131" s="24">
        <f t="shared" si="7"/>
        <v>0</v>
      </c>
      <c r="S131" s="24"/>
      <c r="T131" s="24">
        <f t="shared" si="9"/>
        <v>0</v>
      </c>
    </row>
    <row r="132">
      <c r="A132" s="12" t="s">
        <v>221</v>
      </c>
      <c r="F132" s="19">
        <f>IFERROR(__xludf.DUMMYFUNCTION("SPLIT(A128, "" |"")"),126.0)</f>
        <v>126</v>
      </c>
      <c r="G132" s="19">
        <f>IFERROR(__xludf.DUMMYFUNCTION("""COMPUTED_VALUE"""),0.00241)</f>
        <v>0.00241</v>
      </c>
      <c r="H132" s="19" t="str">
        <f>IFERROR(__xludf.DUMMYFUNCTION("""COMPUTED_VALUE"""),"-")</f>
        <v>-</v>
      </c>
      <c r="I132" s="19">
        <f>IFERROR(__xludf.DUMMYFUNCTION("""COMPUTED_VALUE"""),0.00221)</f>
        <v>0.00221</v>
      </c>
      <c r="J132" s="19">
        <f>IFERROR(__xludf.DUMMYFUNCTION("""COMPUTED_VALUE"""),0.04741)</f>
        <v>0.04741</v>
      </c>
      <c r="K132" s="19" t="str">
        <f>IFERROR(__xludf.DUMMYFUNCTION("""COMPUTED_VALUE"""),"-")</f>
        <v>-</v>
      </c>
      <c r="L132" s="19">
        <f>IFERROR(__xludf.DUMMYFUNCTION("""COMPUTED_VALUE"""),0.04764)</f>
        <v>0.04764</v>
      </c>
      <c r="O132" s="24">
        <f t="shared" si="4"/>
        <v>0</v>
      </c>
      <c r="P132" s="24"/>
      <c r="Q132" s="24">
        <f t="shared" si="6"/>
        <v>0</v>
      </c>
      <c r="R132" s="24">
        <f t="shared" si="7"/>
        <v>0</v>
      </c>
      <c r="S132" s="24"/>
      <c r="T132" s="24">
        <f t="shared" si="9"/>
        <v>0</v>
      </c>
    </row>
    <row r="133">
      <c r="A133" s="12" t="s">
        <v>222</v>
      </c>
      <c r="F133" s="19">
        <f>IFERROR(__xludf.DUMMYFUNCTION("SPLIT(A129, "" |"")"),127.0)</f>
        <v>127</v>
      </c>
      <c r="G133" s="19">
        <f>IFERROR(__xludf.DUMMYFUNCTION("""COMPUTED_VALUE"""),0.0023)</f>
        <v>0.0023</v>
      </c>
      <c r="H133" s="19" t="str">
        <f>IFERROR(__xludf.DUMMYFUNCTION("""COMPUTED_VALUE"""),"-")</f>
        <v>-</v>
      </c>
      <c r="I133" s="19">
        <f>IFERROR(__xludf.DUMMYFUNCTION("""COMPUTED_VALUE"""),0.00218)</f>
        <v>0.00218</v>
      </c>
      <c r="J133" s="19">
        <f>IFERROR(__xludf.DUMMYFUNCTION("""COMPUTED_VALUE"""),0.04133)</f>
        <v>0.04133</v>
      </c>
      <c r="K133" s="19" t="str">
        <f>IFERROR(__xludf.DUMMYFUNCTION("""COMPUTED_VALUE"""),"-")</f>
        <v>-</v>
      </c>
      <c r="L133" s="19">
        <f>IFERROR(__xludf.DUMMYFUNCTION("""COMPUTED_VALUE"""),0.04756)</f>
        <v>0.04756</v>
      </c>
      <c r="O133" s="24">
        <f t="shared" si="4"/>
        <v>0</v>
      </c>
      <c r="P133" s="24"/>
      <c r="Q133" s="24">
        <f t="shared" si="6"/>
        <v>0</v>
      </c>
      <c r="R133" s="24">
        <f t="shared" si="7"/>
        <v>1</v>
      </c>
      <c r="S133" s="24"/>
      <c r="T133" s="24">
        <f t="shared" si="9"/>
        <v>0</v>
      </c>
    </row>
    <row r="134">
      <c r="A134" s="12" t="s">
        <v>223</v>
      </c>
      <c r="F134" s="19">
        <f>IFERROR(__xludf.DUMMYFUNCTION("SPLIT(A130, "" |"")"),128.0)</f>
        <v>128</v>
      </c>
      <c r="G134" s="19">
        <f>IFERROR(__xludf.DUMMYFUNCTION("""COMPUTED_VALUE"""),0.0023)</f>
        <v>0.0023</v>
      </c>
      <c r="H134" s="19" t="str">
        <f>IFERROR(__xludf.DUMMYFUNCTION("""COMPUTED_VALUE"""),"-")</f>
        <v>-</v>
      </c>
      <c r="I134" s="19">
        <f>IFERROR(__xludf.DUMMYFUNCTION("""COMPUTED_VALUE"""),0.00219)</f>
        <v>0.00219</v>
      </c>
      <c r="J134" s="19">
        <f>IFERROR(__xludf.DUMMYFUNCTION("""COMPUTED_VALUE"""),0.04744)</f>
        <v>0.04744</v>
      </c>
      <c r="K134" s="19" t="str">
        <f>IFERROR(__xludf.DUMMYFUNCTION("""COMPUTED_VALUE"""),"-")</f>
        <v>-</v>
      </c>
      <c r="L134" s="19">
        <f>IFERROR(__xludf.DUMMYFUNCTION("""COMPUTED_VALUE"""),0.04756)</f>
        <v>0.04756</v>
      </c>
      <c r="O134" s="24">
        <f t="shared" si="4"/>
        <v>0</v>
      </c>
      <c r="P134" s="24"/>
      <c r="Q134" s="24">
        <f t="shared" si="6"/>
        <v>0</v>
      </c>
      <c r="R134" s="24">
        <f t="shared" si="7"/>
        <v>0</v>
      </c>
      <c r="S134" s="24"/>
      <c r="T134" s="24">
        <f t="shared" si="9"/>
        <v>0</v>
      </c>
    </row>
    <row r="135">
      <c r="A135" s="12" t="s">
        <v>224</v>
      </c>
      <c r="F135" s="19">
        <f>IFERROR(__xludf.DUMMYFUNCTION("SPLIT(A131, "" |"")"),129.0)</f>
        <v>129</v>
      </c>
      <c r="G135" s="19">
        <f>IFERROR(__xludf.DUMMYFUNCTION("""COMPUTED_VALUE"""),0.00235)</f>
        <v>0.00235</v>
      </c>
      <c r="H135" s="19" t="str">
        <f>IFERROR(__xludf.DUMMYFUNCTION("""COMPUTED_VALUE"""),"-")</f>
        <v>-</v>
      </c>
      <c r="I135" s="19">
        <f>IFERROR(__xludf.DUMMYFUNCTION("""COMPUTED_VALUE"""),0.00221)</f>
        <v>0.00221</v>
      </c>
      <c r="J135" s="19">
        <f>IFERROR(__xludf.DUMMYFUNCTION("""COMPUTED_VALUE"""),0.04095)</f>
        <v>0.04095</v>
      </c>
      <c r="K135" s="19" t="str">
        <f>IFERROR(__xludf.DUMMYFUNCTION("""COMPUTED_VALUE"""),"-")</f>
        <v>-</v>
      </c>
      <c r="L135" s="19">
        <f>IFERROR(__xludf.DUMMYFUNCTION("""COMPUTED_VALUE"""),0.04681)</f>
        <v>0.04681</v>
      </c>
      <c r="O135" s="24">
        <f t="shared" si="4"/>
        <v>0</v>
      </c>
      <c r="P135" s="24"/>
      <c r="Q135" s="24">
        <f t="shared" si="6"/>
        <v>0</v>
      </c>
      <c r="R135" s="24">
        <f t="shared" si="7"/>
        <v>1</v>
      </c>
      <c r="S135" s="24"/>
      <c r="T135" s="24">
        <f t="shared" si="9"/>
        <v>0</v>
      </c>
    </row>
    <row r="136">
      <c r="A136" s="12" t="s">
        <v>225</v>
      </c>
      <c r="F136" s="19">
        <f>IFERROR(__xludf.DUMMYFUNCTION("SPLIT(A132, "" |"")"),130.0)</f>
        <v>130</v>
      </c>
      <c r="G136" s="19">
        <f>IFERROR(__xludf.DUMMYFUNCTION("""COMPUTED_VALUE"""),0.00237)</f>
        <v>0.00237</v>
      </c>
      <c r="H136" s="19" t="str">
        <f>IFERROR(__xludf.DUMMYFUNCTION("""COMPUTED_VALUE"""),"-")</f>
        <v>-</v>
      </c>
      <c r="I136" s="19">
        <f>IFERROR(__xludf.DUMMYFUNCTION("""COMPUTED_VALUE"""),0.00225)</f>
        <v>0.00225</v>
      </c>
      <c r="J136" s="19">
        <f>IFERROR(__xludf.DUMMYFUNCTION("""COMPUTED_VALUE"""),0.04741)</f>
        <v>0.04741</v>
      </c>
      <c r="K136" s="19" t="str">
        <f>IFERROR(__xludf.DUMMYFUNCTION("""COMPUTED_VALUE"""),"-")</f>
        <v>-</v>
      </c>
      <c r="L136" s="19">
        <f>IFERROR(__xludf.DUMMYFUNCTION("""COMPUTED_VALUE"""),0.04771)</f>
        <v>0.04771</v>
      </c>
      <c r="O136" s="24">
        <f t="shared" si="4"/>
        <v>0</v>
      </c>
      <c r="P136" s="24"/>
      <c r="Q136" s="24">
        <f t="shared" si="6"/>
        <v>0</v>
      </c>
      <c r="R136" s="24">
        <f t="shared" si="7"/>
        <v>0</v>
      </c>
      <c r="S136" s="24"/>
      <c r="T136" s="24">
        <f t="shared" si="9"/>
        <v>0</v>
      </c>
    </row>
    <row r="137">
      <c r="A137" s="12" t="s">
        <v>226</v>
      </c>
      <c r="F137" s="19">
        <f>IFERROR(__xludf.DUMMYFUNCTION("SPLIT(A133, "" |"")"),131.0)</f>
        <v>131</v>
      </c>
      <c r="G137" s="19">
        <f>IFERROR(__xludf.DUMMYFUNCTION("""COMPUTED_VALUE"""),0.00232)</f>
        <v>0.00232</v>
      </c>
      <c r="H137" s="19" t="str">
        <f>IFERROR(__xludf.DUMMYFUNCTION("""COMPUTED_VALUE"""),"-")</f>
        <v>-</v>
      </c>
      <c r="I137" s="19">
        <f>IFERROR(__xludf.DUMMYFUNCTION("""COMPUTED_VALUE"""),0.00218)</f>
        <v>0.00218</v>
      </c>
      <c r="J137" s="19">
        <f>IFERROR(__xludf.DUMMYFUNCTION("""COMPUTED_VALUE"""),0.04739)</f>
        <v>0.04739</v>
      </c>
      <c r="K137" s="19" t="str">
        <f>IFERROR(__xludf.DUMMYFUNCTION("""COMPUTED_VALUE"""),"-")</f>
        <v>-</v>
      </c>
      <c r="L137" s="19">
        <f>IFERROR(__xludf.DUMMYFUNCTION("""COMPUTED_VALUE"""),0.04763)</f>
        <v>0.04763</v>
      </c>
      <c r="O137" s="24">
        <f t="shared" si="4"/>
        <v>0</v>
      </c>
      <c r="P137" s="24"/>
      <c r="Q137" s="24">
        <f t="shared" si="6"/>
        <v>0</v>
      </c>
      <c r="R137" s="24">
        <f t="shared" si="7"/>
        <v>0</v>
      </c>
      <c r="S137" s="24"/>
      <c r="T137" s="24">
        <f t="shared" si="9"/>
        <v>0</v>
      </c>
    </row>
    <row r="138">
      <c r="A138" s="12" t="s">
        <v>227</v>
      </c>
      <c r="F138" s="19">
        <f>IFERROR(__xludf.DUMMYFUNCTION("SPLIT(A134, "" |"")"),132.0)</f>
        <v>132</v>
      </c>
      <c r="G138" s="19">
        <f>IFERROR(__xludf.DUMMYFUNCTION("""COMPUTED_VALUE"""),0.00239)</f>
        <v>0.00239</v>
      </c>
      <c r="H138" s="19" t="str">
        <f>IFERROR(__xludf.DUMMYFUNCTION("""COMPUTED_VALUE"""),"-")</f>
        <v>-</v>
      </c>
      <c r="I138" s="19">
        <f>IFERROR(__xludf.DUMMYFUNCTION("""COMPUTED_VALUE"""),0.00216)</f>
        <v>0.00216</v>
      </c>
      <c r="J138" s="19">
        <f>IFERROR(__xludf.DUMMYFUNCTION("""COMPUTED_VALUE"""),0.04686)</f>
        <v>0.04686</v>
      </c>
      <c r="K138" s="19" t="str">
        <f>IFERROR(__xludf.DUMMYFUNCTION("""COMPUTED_VALUE"""),"-")</f>
        <v>-</v>
      </c>
      <c r="L138" s="19">
        <f>IFERROR(__xludf.DUMMYFUNCTION("""COMPUTED_VALUE"""),0.04248)</f>
        <v>0.04248</v>
      </c>
      <c r="O138" s="24">
        <f t="shared" si="4"/>
        <v>0</v>
      </c>
      <c r="P138" s="24"/>
      <c r="Q138" s="24">
        <f t="shared" si="6"/>
        <v>0</v>
      </c>
      <c r="R138" s="24">
        <f t="shared" si="7"/>
        <v>0</v>
      </c>
      <c r="S138" s="24"/>
      <c r="T138" s="24">
        <f t="shared" si="9"/>
        <v>0</v>
      </c>
    </row>
    <row r="139">
      <c r="A139" s="12" t="s">
        <v>228</v>
      </c>
      <c r="F139" s="19">
        <f>IFERROR(__xludf.DUMMYFUNCTION("SPLIT(A135, "" |"")"),133.0)</f>
        <v>133</v>
      </c>
      <c r="G139" s="19">
        <f>IFERROR(__xludf.DUMMYFUNCTION("""COMPUTED_VALUE"""),0.00223)</f>
        <v>0.00223</v>
      </c>
      <c r="H139" s="19" t="str">
        <f>IFERROR(__xludf.DUMMYFUNCTION("""COMPUTED_VALUE"""),"-")</f>
        <v>-</v>
      </c>
      <c r="I139" s="19">
        <f>IFERROR(__xludf.DUMMYFUNCTION("""COMPUTED_VALUE"""),0.00209)</f>
        <v>0.00209</v>
      </c>
      <c r="J139" s="19">
        <f>IFERROR(__xludf.DUMMYFUNCTION("""COMPUTED_VALUE"""),0.04738)</f>
        <v>0.04738</v>
      </c>
      <c r="K139" s="19" t="str">
        <f>IFERROR(__xludf.DUMMYFUNCTION("""COMPUTED_VALUE"""),"-")</f>
        <v>-</v>
      </c>
      <c r="L139" s="19">
        <f>IFERROR(__xludf.DUMMYFUNCTION("""COMPUTED_VALUE"""),0.0443)</f>
        <v>0.0443</v>
      </c>
      <c r="O139" s="24">
        <f t="shared" si="4"/>
        <v>0</v>
      </c>
      <c r="P139" s="24"/>
      <c r="Q139" s="24">
        <f t="shared" si="6"/>
        <v>0</v>
      </c>
      <c r="R139" s="24">
        <f t="shared" si="7"/>
        <v>0</v>
      </c>
      <c r="S139" s="24"/>
      <c r="T139" s="24">
        <f t="shared" si="9"/>
        <v>0</v>
      </c>
    </row>
    <row r="140">
      <c r="A140" s="12" t="s">
        <v>229</v>
      </c>
      <c r="F140" s="19">
        <f>IFERROR(__xludf.DUMMYFUNCTION("SPLIT(A136, "" |"")"),134.0)</f>
        <v>134</v>
      </c>
      <c r="G140" s="19">
        <f>IFERROR(__xludf.DUMMYFUNCTION("""COMPUTED_VALUE"""),0.00227)</f>
        <v>0.00227</v>
      </c>
      <c r="H140" s="19" t="str">
        <f>IFERROR(__xludf.DUMMYFUNCTION("""COMPUTED_VALUE"""),"-")</f>
        <v>-</v>
      </c>
      <c r="I140" s="19">
        <f>IFERROR(__xludf.DUMMYFUNCTION("""COMPUTED_VALUE"""),0.00216)</f>
        <v>0.00216</v>
      </c>
      <c r="J140" s="19">
        <f>IFERROR(__xludf.DUMMYFUNCTION("""COMPUTED_VALUE"""),0.04741)</f>
        <v>0.04741</v>
      </c>
      <c r="K140" s="19" t="str">
        <f>IFERROR(__xludf.DUMMYFUNCTION("""COMPUTED_VALUE"""),"-")</f>
        <v>-</v>
      </c>
      <c r="L140" s="19">
        <f>IFERROR(__xludf.DUMMYFUNCTION("""COMPUTED_VALUE"""),0.0476)</f>
        <v>0.0476</v>
      </c>
      <c r="O140" s="24">
        <f t="shared" si="4"/>
        <v>0</v>
      </c>
      <c r="P140" s="24"/>
      <c r="Q140" s="24">
        <f t="shared" si="6"/>
        <v>0</v>
      </c>
      <c r="R140" s="24">
        <f t="shared" si="7"/>
        <v>0</v>
      </c>
      <c r="S140" s="24"/>
      <c r="T140" s="24">
        <f t="shared" si="9"/>
        <v>0</v>
      </c>
    </row>
    <row r="141">
      <c r="A141" s="12" t="s">
        <v>230</v>
      </c>
      <c r="F141" s="19">
        <f>IFERROR(__xludf.DUMMYFUNCTION("SPLIT(A137, "" |"")"),135.0)</f>
        <v>135</v>
      </c>
      <c r="G141" s="19">
        <f>IFERROR(__xludf.DUMMYFUNCTION("""COMPUTED_VALUE"""),0.00223)</f>
        <v>0.00223</v>
      </c>
      <c r="H141" s="19" t="str">
        <f>IFERROR(__xludf.DUMMYFUNCTION("""COMPUTED_VALUE"""),"-")</f>
        <v>-</v>
      </c>
      <c r="I141" s="19">
        <f>IFERROR(__xludf.DUMMYFUNCTION("""COMPUTED_VALUE"""),0.00208)</f>
        <v>0.00208</v>
      </c>
      <c r="J141" s="19">
        <f>IFERROR(__xludf.DUMMYFUNCTION("""COMPUTED_VALUE"""),0.04731)</f>
        <v>0.04731</v>
      </c>
      <c r="K141" s="19" t="str">
        <f>IFERROR(__xludf.DUMMYFUNCTION("""COMPUTED_VALUE"""),"-")</f>
        <v>-</v>
      </c>
      <c r="L141" s="19">
        <f>IFERROR(__xludf.DUMMYFUNCTION("""COMPUTED_VALUE"""),0.0475)</f>
        <v>0.0475</v>
      </c>
      <c r="O141" s="24">
        <f t="shared" si="4"/>
        <v>0</v>
      </c>
      <c r="P141" s="24"/>
      <c r="Q141" s="24">
        <f t="shared" si="6"/>
        <v>0</v>
      </c>
      <c r="R141" s="24">
        <f t="shared" si="7"/>
        <v>0</v>
      </c>
      <c r="S141" s="24"/>
      <c r="T141" s="24">
        <f t="shared" si="9"/>
        <v>0</v>
      </c>
    </row>
    <row r="142">
      <c r="A142" s="12" t="s">
        <v>231</v>
      </c>
      <c r="F142" s="19">
        <f>IFERROR(__xludf.DUMMYFUNCTION("SPLIT(A138, "" |"")"),136.0)</f>
        <v>136</v>
      </c>
      <c r="G142" s="19">
        <f>IFERROR(__xludf.DUMMYFUNCTION("""COMPUTED_VALUE"""),0.00237)</f>
        <v>0.00237</v>
      </c>
      <c r="H142" s="19" t="str">
        <f>IFERROR(__xludf.DUMMYFUNCTION("""COMPUTED_VALUE"""),"-")</f>
        <v>-</v>
      </c>
      <c r="I142" s="19">
        <f>IFERROR(__xludf.DUMMYFUNCTION("""COMPUTED_VALUE"""),0.00217)</f>
        <v>0.00217</v>
      </c>
      <c r="J142" s="19">
        <f>IFERROR(__xludf.DUMMYFUNCTION("""COMPUTED_VALUE"""),0.04738)</f>
        <v>0.04738</v>
      </c>
      <c r="K142" s="19" t="str">
        <f>IFERROR(__xludf.DUMMYFUNCTION("""COMPUTED_VALUE"""),"-")</f>
        <v>-</v>
      </c>
      <c r="L142" s="19">
        <f>IFERROR(__xludf.DUMMYFUNCTION("""COMPUTED_VALUE"""),0.04736)</f>
        <v>0.04736</v>
      </c>
      <c r="O142" s="24">
        <f t="shared" si="4"/>
        <v>0</v>
      </c>
      <c r="P142" s="24"/>
      <c r="Q142" s="24">
        <f t="shared" si="6"/>
        <v>0</v>
      </c>
      <c r="R142" s="24">
        <f t="shared" si="7"/>
        <v>0</v>
      </c>
      <c r="S142" s="24"/>
      <c r="T142" s="24">
        <f t="shared" si="9"/>
        <v>0</v>
      </c>
    </row>
    <row r="143">
      <c r="A143" s="12" t="s">
        <v>232</v>
      </c>
      <c r="F143" s="19">
        <f>IFERROR(__xludf.DUMMYFUNCTION("SPLIT(A139, "" |"")"),137.0)</f>
        <v>137</v>
      </c>
      <c r="G143" s="19">
        <f>IFERROR(__xludf.DUMMYFUNCTION("""COMPUTED_VALUE"""),0.0024)</f>
        <v>0.0024</v>
      </c>
      <c r="H143" s="19" t="str">
        <f>IFERROR(__xludf.DUMMYFUNCTION("""COMPUTED_VALUE"""),"-")</f>
        <v>-</v>
      </c>
      <c r="I143" s="19">
        <f>IFERROR(__xludf.DUMMYFUNCTION("""COMPUTED_VALUE"""),0.00215)</f>
        <v>0.00215</v>
      </c>
      <c r="J143" s="19">
        <f>IFERROR(__xludf.DUMMYFUNCTION("""COMPUTED_VALUE"""),0.04743)</f>
        <v>0.04743</v>
      </c>
      <c r="K143" s="19" t="str">
        <f>IFERROR(__xludf.DUMMYFUNCTION("""COMPUTED_VALUE"""),"-")</f>
        <v>-</v>
      </c>
      <c r="L143" s="19">
        <f>IFERROR(__xludf.DUMMYFUNCTION("""COMPUTED_VALUE"""),0.04766)</f>
        <v>0.04766</v>
      </c>
      <c r="O143" s="24">
        <f t="shared" si="4"/>
        <v>0</v>
      </c>
      <c r="P143" s="24"/>
      <c r="Q143" s="24">
        <f t="shared" si="6"/>
        <v>0</v>
      </c>
      <c r="R143" s="24">
        <f t="shared" si="7"/>
        <v>0</v>
      </c>
      <c r="S143" s="24"/>
      <c r="T143" s="24">
        <f t="shared" si="9"/>
        <v>0</v>
      </c>
    </row>
    <row r="144">
      <c r="A144" s="12" t="s">
        <v>233</v>
      </c>
      <c r="F144" s="19">
        <f>IFERROR(__xludf.DUMMYFUNCTION("SPLIT(A140, "" |"")"),138.0)</f>
        <v>138</v>
      </c>
      <c r="G144" s="19">
        <f>IFERROR(__xludf.DUMMYFUNCTION("""COMPUTED_VALUE"""),0.00227)</f>
        <v>0.00227</v>
      </c>
      <c r="H144" s="19" t="str">
        <f>IFERROR(__xludf.DUMMYFUNCTION("""COMPUTED_VALUE"""),"-")</f>
        <v>-</v>
      </c>
      <c r="I144" s="19">
        <f>IFERROR(__xludf.DUMMYFUNCTION("""COMPUTED_VALUE"""),0.00233)</f>
        <v>0.00233</v>
      </c>
      <c r="J144" s="19">
        <f>IFERROR(__xludf.DUMMYFUNCTION("""COMPUTED_VALUE"""),0.04749)</f>
        <v>0.04749</v>
      </c>
      <c r="K144" s="19" t="str">
        <f>IFERROR(__xludf.DUMMYFUNCTION("""COMPUTED_VALUE"""),"-")</f>
        <v>-</v>
      </c>
      <c r="L144" s="19">
        <f>IFERROR(__xludf.DUMMYFUNCTION("""COMPUTED_VALUE"""),0.04765)</f>
        <v>0.04765</v>
      </c>
      <c r="O144" s="24">
        <f t="shared" si="4"/>
        <v>0</v>
      </c>
      <c r="P144" s="24"/>
      <c r="Q144" s="24">
        <f t="shared" si="6"/>
        <v>0</v>
      </c>
      <c r="R144" s="24">
        <f t="shared" si="7"/>
        <v>0</v>
      </c>
      <c r="S144" s="24"/>
      <c r="T144" s="24">
        <f t="shared" si="9"/>
        <v>0</v>
      </c>
    </row>
    <row r="145">
      <c r="A145" s="12" t="s">
        <v>234</v>
      </c>
      <c r="F145" s="19">
        <f>IFERROR(__xludf.DUMMYFUNCTION("SPLIT(A141, "" |"")"),139.0)</f>
        <v>139</v>
      </c>
      <c r="G145" s="19">
        <f>IFERROR(__xludf.DUMMYFUNCTION("""COMPUTED_VALUE"""),0.00241)</f>
        <v>0.00241</v>
      </c>
      <c r="H145" s="19" t="str">
        <f>IFERROR(__xludf.DUMMYFUNCTION("""COMPUTED_VALUE"""),"-")</f>
        <v>-</v>
      </c>
      <c r="I145" s="19">
        <f>IFERROR(__xludf.DUMMYFUNCTION("""COMPUTED_VALUE"""),0.00219)</f>
        <v>0.00219</v>
      </c>
      <c r="J145" s="19">
        <f>IFERROR(__xludf.DUMMYFUNCTION("""COMPUTED_VALUE"""),0.04747)</f>
        <v>0.04747</v>
      </c>
      <c r="K145" s="19" t="str">
        <f>IFERROR(__xludf.DUMMYFUNCTION("""COMPUTED_VALUE"""),"-")</f>
        <v>-</v>
      </c>
      <c r="L145" s="19">
        <f>IFERROR(__xludf.DUMMYFUNCTION("""COMPUTED_VALUE"""),0.04756)</f>
        <v>0.04756</v>
      </c>
      <c r="O145" s="24">
        <f t="shared" si="4"/>
        <v>0</v>
      </c>
      <c r="P145" s="24"/>
      <c r="Q145" s="24">
        <f t="shared" si="6"/>
        <v>0</v>
      </c>
      <c r="R145" s="24">
        <f t="shared" si="7"/>
        <v>0</v>
      </c>
      <c r="S145" s="24"/>
      <c r="T145" s="24">
        <f t="shared" si="9"/>
        <v>0</v>
      </c>
    </row>
    <row r="146">
      <c r="A146" s="12" t="s">
        <v>235</v>
      </c>
      <c r="F146" s="19">
        <f>IFERROR(__xludf.DUMMYFUNCTION("SPLIT(A142, "" |"")"),140.0)</f>
        <v>140</v>
      </c>
      <c r="G146" s="19">
        <f>IFERROR(__xludf.DUMMYFUNCTION("""COMPUTED_VALUE"""),0.00235)</f>
        <v>0.00235</v>
      </c>
      <c r="H146" s="19" t="str">
        <f>IFERROR(__xludf.DUMMYFUNCTION("""COMPUTED_VALUE"""),"-")</f>
        <v>-</v>
      </c>
      <c r="I146" s="19">
        <f>IFERROR(__xludf.DUMMYFUNCTION("""COMPUTED_VALUE"""),0.00217)</f>
        <v>0.00217</v>
      </c>
      <c r="J146" s="19">
        <f>IFERROR(__xludf.DUMMYFUNCTION("""COMPUTED_VALUE"""),0.04744)</f>
        <v>0.04744</v>
      </c>
      <c r="K146" s="19" t="str">
        <f>IFERROR(__xludf.DUMMYFUNCTION("""COMPUTED_VALUE"""),"-")</f>
        <v>-</v>
      </c>
      <c r="L146" s="19">
        <f>IFERROR(__xludf.DUMMYFUNCTION("""COMPUTED_VALUE"""),0.04766)</f>
        <v>0.04766</v>
      </c>
      <c r="O146" s="24">
        <f t="shared" si="4"/>
        <v>0</v>
      </c>
      <c r="P146" s="24"/>
      <c r="Q146" s="24">
        <f t="shared" si="6"/>
        <v>0</v>
      </c>
      <c r="R146" s="24">
        <f t="shared" si="7"/>
        <v>0</v>
      </c>
      <c r="S146" s="24"/>
      <c r="T146" s="24">
        <f t="shared" si="9"/>
        <v>0</v>
      </c>
    </row>
    <row r="147">
      <c r="A147" s="12" t="s">
        <v>236</v>
      </c>
      <c r="F147" s="19">
        <f>IFERROR(__xludf.DUMMYFUNCTION("SPLIT(A143, "" |"")"),141.0)</f>
        <v>141</v>
      </c>
      <c r="G147" s="19">
        <f>IFERROR(__xludf.DUMMYFUNCTION("""COMPUTED_VALUE"""),0.00242)</f>
        <v>0.00242</v>
      </c>
      <c r="H147" s="19" t="str">
        <f>IFERROR(__xludf.DUMMYFUNCTION("""COMPUTED_VALUE"""),"-")</f>
        <v>-</v>
      </c>
      <c r="I147" s="19">
        <f>IFERROR(__xludf.DUMMYFUNCTION("""COMPUTED_VALUE"""),0.00221)</f>
        <v>0.00221</v>
      </c>
      <c r="J147" s="19">
        <f>IFERROR(__xludf.DUMMYFUNCTION("""COMPUTED_VALUE"""),0.04746)</f>
        <v>0.04746</v>
      </c>
      <c r="K147" s="19" t="str">
        <f>IFERROR(__xludf.DUMMYFUNCTION("""COMPUTED_VALUE"""),"-")</f>
        <v>-</v>
      </c>
      <c r="L147" s="19">
        <f>IFERROR(__xludf.DUMMYFUNCTION("""COMPUTED_VALUE"""),0.04432)</f>
        <v>0.04432</v>
      </c>
      <c r="O147" s="24">
        <f t="shared" si="4"/>
        <v>0</v>
      </c>
      <c r="P147" s="24"/>
      <c r="Q147" s="24">
        <f t="shared" si="6"/>
        <v>0</v>
      </c>
      <c r="R147" s="24">
        <f t="shared" si="7"/>
        <v>0</v>
      </c>
      <c r="S147" s="24"/>
      <c r="T147" s="24">
        <f t="shared" si="9"/>
        <v>0</v>
      </c>
    </row>
    <row r="148">
      <c r="A148" s="12" t="s">
        <v>237</v>
      </c>
      <c r="F148" s="19">
        <f>IFERROR(__xludf.DUMMYFUNCTION("SPLIT(A144, "" |"")"),142.0)</f>
        <v>142</v>
      </c>
      <c r="G148" s="19">
        <f>IFERROR(__xludf.DUMMYFUNCTION("""COMPUTED_VALUE"""),0.00252)</f>
        <v>0.00252</v>
      </c>
      <c r="H148" s="19" t="str">
        <f>IFERROR(__xludf.DUMMYFUNCTION("""COMPUTED_VALUE"""),"-")</f>
        <v>-</v>
      </c>
      <c r="I148" s="19">
        <f>IFERROR(__xludf.DUMMYFUNCTION("""COMPUTED_VALUE"""),0.00231)</f>
        <v>0.00231</v>
      </c>
      <c r="J148" s="19">
        <f>IFERROR(__xludf.DUMMYFUNCTION("""COMPUTED_VALUE"""),0.03616)</f>
        <v>0.03616</v>
      </c>
      <c r="K148" s="19" t="str">
        <f>IFERROR(__xludf.DUMMYFUNCTION("""COMPUTED_VALUE"""),"-")</f>
        <v>-</v>
      </c>
      <c r="L148" s="19">
        <f>IFERROR(__xludf.DUMMYFUNCTION("""COMPUTED_VALUE"""),0.04777)</f>
        <v>0.04777</v>
      </c>
      <c r="O148" s="24">
        <f t="shared" si="4"/>
        <v>0</v>
      </c>
      <c r="P148" s="24"/>
      <c r="Q148" s="24">
        <f t="shared" si="6"/>
        <v>0</v>
      </c>
      <c r="R148" s="24">
        <f t="shared" si="7"/>
        <v>1</v>
      </c>
      <c r="S148" s="24"/>
      <c r="T148" s="24">
        <f t="shared" si="9"/>
        <v>0</v>
      </c>
    </row>
    <row r="149">
      <c r="A149" s="12" t="s">
        <v>238</v>
      </c>
      <c r="F149" s="19">
        <f>IFERROR(__xludf.DUMMYFUNCTION("SPLIT(A145, "" |"")"),143.0)</f>
        <v>143</v>
      </c>
      <c r="G149" s="19">
        <f>IFERROR(__xludf.DUMMYFUNCTION("""COMPUTED_VALUE"""),0.00238)</f>
        <v>0.00238</v>
      </c>
      <c r="H149" s="19" t="str">
        <f>IFERROR(__xludf.DUMMYFUNCTION("""COMPUTED_VALUE"""),"-")</f>
        <v>-</v>
      </c>
      <c r="I149" s="19">
        <f>IFERROR(__xludf.DUMMYFUNCTION("""COMPUTED_VALUE"""),0.0022)</f>
        <v>0.0022</v>
      </c>
      <c r="J149" s="19">
        <f>IFERROR(__xludf.DUMMYFUNCTION("""COMPUTED_VALUE"""),0.04751)</f>
        <v>0.04751</v>
      </c>
      <c r="K149" s="19" t="str">
        <f>IFERROR(__xludf.DUMMYFUNCTION("""COMPUTED_VALUE"""),"-")</f>
        <v>-</v>
      </c>
      <c r="L149" s="19">
        <f>IFERROR(__xludf.DUMMYFUNCTION("""COMPUTED_VALUE"""),0.04768)</f>
        <v>0.04768</v>
      </c>
      <c r="O149" s="24">
        <f t="shared" si="4"/>
        <v>0</v>
      </c>
      <c r="P149" s="24"/>
      <c r="Q149" s="24">
        <f t="shared" si="6"/>
        <v>0</v>
      </c>
      <c r="R149" s="24">
        <f t="shared" si="7"/>
        <v>0</v>
      </c>
      <c r="S149" s="24"/>
      <c r="T149" s="24">
        <f t="shared" si="9"/>
        <v>0</v>
      </c>
    </row>
    <row r="150">
      <c r="A150" s="12" t="s">
        <v>239</v>
      </c>
      <c r="F150" s="19">
        <f>IFERROR(__xludf.DUMMYFUNCTION("SPLIT(A146, "" |"")"),144.0)</f>
        <v>144</v>
      </c>
      <c r="G150" s="19">
        <f>IFERROR(__xludf.DUMMYFUNCTION("""COMPUTED_VALUE"""),0.00239)</f>
        <v>0.00239</v>
      </c>
      <c r="H150" s="19" t="str">
        <f>IFERROR(__xludf.DUMMYFUNCTION("""COMPUTED_VALUE"""),"-")</f>
        <v>-</v>
      </c>
      <c r="I150" s="19">
        <f>IFERROR(__xludf.DUMMYFUNCTION("""COMPUTED_VALUE"""),0.00217)</f>
        <v>0.00217</v>
      </c>
      <c r="J150" s="19">
        <f>IFERROR(__xludf.DUMMYFUNCTION("""COMPUTED_VALUE"""),0.04728)</f>
        <v>0.04728</v>
      </c>
      <c r="K150" s="19" t="str">
        <f>IFERROR(__xludf.DUMMYFUNCTION("""COMPUTED_VALUE"""),"-")</f>
        <v>-</v>
      </c>
      <c r="L150" s="19">
        <f>IFERROR(__xludf.DUMMYFUNCTION("""COMPUTED_VALUE"""),0.04763)</f>
        <v>0.04763</v>
      </c>
      <c r="O150" s="24">
        <f t="shared" si="4"/>
        <v>0</v>
      </c>
      <c r="P150" s="24"/>
      <c r="Q150" s="24">
        <f t="shared" si="6"/>
        <v>0</v>
      </c>
      <c r="R150" s="24">
        <f t="shared" si="7"/>
        <v>0</v>
      </c>
      <c r="S150" s="24"/>
      <c r="T150" s="24">
        <f t="shared" si="9"/>
        <v>0</v>
      </c>
    </row>
    <row r="151">
      <c r="A151" s="12" t="s">
        <v>240</v>
      </c>
      <c r="F151" s="19">
        <f>IFERROR(__xludf.DUMMYFUNCTION("SPLIT(A147, "" |"")"),145.0)</f>
        <v>145</v>
      </c>
      <c r="G151" s="19">
        <f>IFERROR(__xludf.DUMMYFUNCTION("""COMPUTED_VALUE"""),0.00239)</f>
        <v>0.00239</v>
      </c>
      <c r="H151" s="19" t="str">
        <f>IFERROR(__xludf.DUMMYFUNCTION("""COMPUTED_VALUE"""),"-")</f>
        <v>-</v>
      </c>
      <c r="I151" s="19">
        <f>IFERROR(__xludf.DUMMYFUNCTION("""COMPUTED_VALUE"""),0.00221)</f>
        <v>0.00221</v>
      </c>
      <c r="J151" s="19">
        <f>IFERROR(__xludf.DUMMYFUNCTION("""COMPUTED_VALUE"""),0.04743)</f>
        <v>0.04743</v>
      </c>
      <c r="K151" s="19" t="str">
        <f>IFERROR(__xludf.DUMMYFUNCTION("""COMPUTED_VALUE"""),"-")</f>
        <v>-</v>
      </c>
      <c r="L151" s="19">
        <f>IFERROR(__xludf.DUMMYFUNCTION("""COMPUTED_VALUE"""),0.04743)</f>
        <v>0.04743</v>
      </c>
      <c r="O151" s="24">
        <f t="shared" si="4"/>
        <v>0</v>
      </c>
      <c r="P151" s="24"/>
      <c r="Q151" s="24">
        <f t="shared" si="6"/>
        <v>0</v>
      </c>
      <c r="R151" s="24">
        <f t="shared" si="7"/>
        <v>0</v>
      </c>
      <c r="S151" s="24"/>
      <c r="T151" s="24">
        <f t="shared" si="9"/>
        <v>0</v>
      </c>
    </row>
    <row r="152">
      <c r="A152" s="12" t="s">
        <v>241</v>
      </c>
      <c r="F152" s="19">
        <f>IFERROR(__xludf.DUMMYFUNCTION("SPLIT(A148, "" |"")"),146.0)</f>
        <v>146</v>
      </c>
      <c r="G152" s="19">
        <f>IFERROR(__xludf.DUMMYFUNCTION("""COMPUTED_VALUE"""),0.00225)</f>
        <v>0.00225</v>
      </c>
      <c r="H152" s="19" t="str">
        <f>IFERROR(__xludf.DUMMYFUNCTION("""COMPUTED_VALUE"""),"-")</f>
        <v>-</v>
      </c>
      <c r="I152" s="19">
        <f>IFERROR(__xludf.DUMMYFUNCTION("""COMPUTED_VALUE"""),0.00208)</f>
        <v>0.00208</v>
      </c>
      <c r="J152" s="19">
        <f>IFERROR(__xludf.DUMMYFUNCTION("""COMPUTED_VALUE"""),0.0473)</f>
        <v>0.0473</v>
      </c>
      <c r="K152" s="19" t="str">
        <f>IFERROR(__xludf.DUMMYFUNCTION("""COMPUTED_VALUE"""),"-")</f>
        <v>-</v>
      </c>
      <c r="L152" s="19">
        <f>IFERROR(__xludf.DUMMYFUNCTION("""COMPUTED_VALUE"""),0.04749)</f>
        <v>0.04749</v>
      </c>
      <c r="O152" s="24">
        <f t="shared" si="4"/>
        <v>0</v>
      </c>
      <c r="P152" s="24"/>
      <c r="Q152" s="24">
        <f t="shared" si="6"/>
        <v>0</v>
      </c>
      <c r="R152" s="24">
        <f t="shared" si="7"/>
        <v>0</v>
      </c>
      <c r="S152" s="24"/>
      <c r="T152" s="24">
        <f t="shared" si="9"/>
        <v>0</v>
      </c>
    </row>
    <row r="153">
      <c r="A153" s="12" t="s">
        <v>242</v>
      </c>
      <c r="F153" s="19">
        <f>IFERROR(__xludf.DUMMYFUNCTION("SPLIT(A149, "" |"")"),147.0)</f>
        <v>147</v>
      </c>
      <c r="G153" s="19">
        <f>IFERROR(__xludf.DUMMYFUNCTION("""COMPUTED_VALUE"""),0.00222)</f>
        <v>0.00222</v>
      </c>
      <c r="H153" s="19" t="str">
        <f>IFERROR(__xludf.DUMMYFUNCTION("""COMPUTED_VALUE"""),"-")</f>
        <v>-</v>
      </c>
      <c r="I153" s="19">
        <f>IFERROR(__xludf.DUMMYFUNCTION("""COMPUTED_VALUE"""),0.00207)</f>
        <v>0.00207</v>
      </c>
      <c r="J153" s="19">
        <f>IFERROR(__xludf.DUMMYFUNCTION("""COMPUTED_VALUE"""),0.04726)</f>
        <v>0.04726</v>
      </c>
      <c r="K153" s="19" t="str">
        <f>IFERROR(__xludf.DUMMYFUNCTION("""COMPUTED_VALUE"""),"-")</f>
        <v>-</v>
      </c>
      <c r="L153" s="19">
        <f>IFERROR(__xludf.DUMMYFUNCTION("""COMPUTED_VALUE"""),0.04372)</f>
        <v>0.04372</v>
      </c>
      <c r="O153" s="24">
        <f t="shared" si="4"/>
        <v>0</v>
      </c>
      <c r="P153" s="24"/>
      <c r="Q153" s="24">
        <f t="shared" si="6"/>
        <v>0</v>
      </c>
      <c r="R153" s="24">
        <f t="shared" si="7"/>
        <v>0</v>
      </c>
      <c r="S153" s="24"/>
      <c r="T153" s="24">
        <f t="shared" si="9"/>
        <v>0</v>
      </c>
    </row>
    <row r="154">
      <c r="A154" s="12" t="s">
        <v>243</v>
      </c>
      <c r="F154" s="19">
        <f>IFERROR(__xludf.DUMMYFUNCTION("SPLIT(A150, "" |"")"),148.0)</f>
        <v>148</v>
      </c>
      <c r="G154" s="19">
        <f>IFERROR(__xludf.DUMMYFUNCTION("""COMPUTED_VALUE"""),0.00228)</f>
        <v>0.00228</v>
      </c>
      <c r="H154" s="19" t="str">
        <f>IFERROR(__xludf.DUMMYFUNCTION("""COMPUTED_VALUE"""),"-")</f>
        <v>-</v>
      </c>
      <c r="I154" s="19">
        <f>IFERROR(__xludf.DUMMYFUNCTION("""COMPUTED_VALUE"""),0.00207)</f>
        <v>0.00207</v>
      </c>
      <c r="J154" s="19">
        <f>IFERROR(__xludf.DUMMYFUNCTION("""COMPUTED_VALUE"""),0.04731)</f>
        <v>0.04731</v>
      </c>
      <c r="K154" s="19" t="str">
        <f>IFERROR(__xludf.DUMMYFUNCTION("""COMPUTED_VALUE"""),"-")</f>
        <v>-</v>
      </c>
      <c r="L154" s="19">
        <f>IFERROR(__xludf.DUMMYFUNCTION("""COMPUTED_VALUE"""),0.0475)</f>
        <v>0.0475</v>
      </c>
      <c r="O154" s="24">
        <f t="shared" si="4"/>
        <v>0</v>
      </c>
      <c r="P154" s="24"/>
      <c r="Q154" s="24">
        <f t="shared" si="6"/>
        <v>0</v>
      </c>
      <c r="R154" s="24">
        <f t="shared" si="7"/>
        <v>0</v>
      </c>
      <c r="S154" s="24"/>
      <c r="T154" s="24">
        <f t="shared" si="9"/>
        <v>0</v>
      </c>
    </row>
    <row r="155">
      <c r="A155" s="12" t="s">
        <v>244</v>
      </c>
      <c r="F155" s="19">
        <f>IFERROR(__xludf.DUMMYFUNCTION("SPLIT(A151, "" |"")"),149.0)</f>
        <v>149</v>
      </c>
      <c r="G155" s="19">
        <f>IFERROR(__xludf.DUMMYFUNCTION("""COMPUTED_VALUE"""),0.00225)</f>
        <v>0.00225</v>
      </c>
      <c r="H155" s="19" t="str">
        <f>IFERROR(__xludf.DUMMYFUNCTION("""COMPUTED_VALUE"""),"-")</f>
        <v>-</v>
      </c>
      <c r="I155" s="19">
        <f>IFERROR(__xludf.DUMMYFUNCTION("""COMPUTED_VALUE"""),0.00206)</f>
        <v>0.00206</v>
      </c>
      <c r="J155" s="19">
        <f>IFERROR(__xludf.DUMMYFUNCTION("""COMPUTED_VALUE"""),0.04728)</f>
        <v>0.04728</v>
      </c>
      <c r="K155" s="19" t="str">
        <f>IFERROR(__xludf.DUMMYFUNCTION("""COMPUTED_VALUE"""),"-")</f>
        <v>-</v>
      </c>
      <c r="L155" s="19">
        <f>IFERROR(__xludf.DUMMYFUNCTION("""COMPUTED_VALUE"""),0.04253)</f>
        <v>0.04253</v>
      </c>
      <c r="O155" s="24">
        <f t="shared" si="4"/>
        <v>0</v>
      </c>
      <c r="P155" s="24"/>
      <c r="Q155" s="24">
        <f t="shared" si="6"/>
        <v>0</v>
      </c>
      <c r="R155" s="24">
        <f t="shared" si="7"/>
        <v>0</v>
      </c>
      <c r="S155" s="24"/>
      <c r="T155" s="24">
        <f t="shared" si="9"/>
        <v>0</v>
      </c>
    </row>
    <row r="156">
      <c r="A156" s="12" t="s">
        <v>245</v>
      </c>
      <c r="F156" s="19">
        <f>IFERROR(__xludf.DUMMYFUNCTION("SPLIT(A152, "" |"")"),150.0)</f>
        <v>150</v>
      </c>
      <c r="G156" s="19">
        <f>IFERROR(__xludf.DUMMYFUNCTION("""COMPUTED_VALUE"""),0.00223)</f>
        <v>0.00223</v>
      </c>
      <c r="H156" s="19" t="str">
        <f>IFERROR(__xludf.DUMMYFUNCTION("""COMPUTED_VALUE"""),"-")</f>
        <v>-</v>
      </c>
      <c r="I156" s="19">
        <f>IFERROR(__xludf.DUMMYFUNCTION("""COMPUTED_VALUE"""),0.00203)</f>
        <v>0.00203</v>
      </c>
      <c r="J156" s="19">
        <f>IFERROR(__xludf.DUMMYFUNCTION("""COMPUTED_VALUE"""),0.04722)</f>
        <v>0.04722</v>
      </c>
      <c r="K156" s="19" t="str">
        <f>IFERROR(__xludf.DUMMYFUNCTION("""COMPUTED_VALUE"""),"-")</f>
        <v>-</v>
      </c>
      <c r="L156" s="19">
        <f>IFERROR(__xludf.DUMMYFUNCTION("""COMPUTED_VALUE"""),0.04737)</f>
        <v>0.04737</v>
      </c>
      <c r="O156" s="24">
        <f t="shared" si="4"/>
        <v>0</v>
      </c>
      <c r="P156" s="24"/>
      <c r="Q156" s="24">
        <f t="shared" si="6"/>
        <v>0</v>
      </c>
      <c r="R156" s="24">
        <f t="shared" si="7"/>
        <v>0</v>
      </c>
      <c r="S156" s="24"/>
      <c r="T156" s="24">
        <f t="shared" si="9"/>
        <v>0</v>
      </c>
    </row>
    <row r="157">
      <c r="A157" s="12" t="s">
        <v>246</v>
      </c>
      <c r="F157" s="19">
        <f>IFERROR(__xludf.DUMMYFUNCTION("SPLIT(A153, "" |"")"),151.0)</f>
        <v>151</v>
      </c>
      <c r="G157" s="19">
        <f>IFERROR(__xludf.DUMMYFUNCTION("""COMPUTED_VALUE"""),0.00222)</f>
        <v>0.00222</v>
      </c>
      <c r="H157" s="19" t="str">
        <f>IFERROR(__xludf.DUMMYFUNCTION("""COMPUTED_VALUE"""),"-")</f>
        <v>-</v>
      </c>
      <c r="I157" s="19">
        <f>IFERROR(__xludf.DUMMYFUNCTION("""COMPUTED_VALUE"""),0.00204)</f>
        <v>0.00204</v>
      </c>
      <c r="J157" s="19">
        <f>IFERROR(__xludf.DUMMYFUNCTION("""COMPUTED_VALUE"""),0.04726)</f>
        <v>0.04726</v>
      </c>
      <c r="K157" s="19" t="str">
        <f>IFERROR(__xludf.DUMMYFUNCTION("""COMPUTED_VALUE"""),"-")</f>
        <v>-</v>
      </c>
      <c r="L157" s="19">
        <f>IFERROR(__xludf.DUMMYFUNCTION("""COMPUTED_VALUE"""),0.04744)</f>
        <v>0.04744</v>
      </c>
      <c r="O157" s="24">
        <f t="shared" si="4"/>
        <v>0</v>
      </c>
      <c r="P157" s="24"/>
      <c r="Q157" s="24">
        <f t="shared" si="6"/>
        <v>0</v>
      </c>
      <c r="R157" s="24">
        <f t="shared" si="7"/>
        <v>0</v>
      </c>
      <c r="S157" s="24"/>
      <c r="T157" s="24">
        <f t="shared" si="9"/>
        <v>0</v>
      </c>
    </row>
    <row r="158">
      <c r="A158" s="12" t="s">
        <v>247</v>
      </c>
      <c r="F158" s="19">
        <f>IFERROR(__xludf.DUMMYFUNCTION("SPLIT(A154, "" |"")"),152.0)</f>
        <v>152</v>
      </c>
      <c r="G158" s="19">
        <f>IFERROR(__xludf.DUMMYFUNCTION("""COMPUTED_VALUE"""),0.00221)</f>
        <v>0.00221</v>
      </c>
      <c r="H158" s="19" t="str">
        <f>IFERROR(__xludf.DUMMYFUNCTION("""COMPUTED_VALUE"""),"-")</f>
        <v>-</v>
      </c>
      <c r="I158" s="19">
        <f>IFERROR(__xludf.DUMMYFUNCTION("""COMPUTED_VALUE"""),0.00205)</f>
        <v>0.00205</v>
      </c>
      <c r="J158" s="19">
        <f>IFERROR(__xludf.DUMMYFUNCTION("""COMPUTED_VALUE"""),0.04726)</f>
        <v>0.04726</v>
      </c>
      <c r="K158" s="19" t="str">
        <f>IFERROR(__xludf.DUMMYFUNCTION("""COMPUTED_VALUE"""),"-")</f>
        <v>-</v>
      </c>
      <c r="L158" s="19">
        <f>IFERROR(__xludf.DUMMYFUNCTION("""COMPUTED_VALUE"""),0.0415)</f>
        <v>0.0415</v>
      </c>
      <c r="O158" s="24">
        <f t="shared" si="4"/>
        <v>0</v>
      </c>
      <c r="P158" s="24"/>
      <c r="Q158" s="24">
        <f t="shared" si="6"/>
        <v>0</v>
      </c>
      <c r="R158" s="24">
        <f t="shared" si="7"/>
        <v>0</v>
      </c>
      <c r="S158" s="24"/>
      <c r="T158" s="24">
        <f t="shared" si="9"/>
        <v>0</v>
      </c>
    </row>
    <row r="159">
      <c r="A159" s="12" t="s">
        <v>248</v>
      </c>
      <c r="F159" s="19">
        <f>IFERROR(__xludf.DUMMYFUNCTION("SPLIT(A155, "" |"")"),153.0)</f>
        <v>153</v>
      </c>
      <c r="G159" s="19">
        <f>IFERROR(__xludf.DUMMYFUNCTION("""COMPUTED_VALUE"""),0.00227)</f>
        <v>0.00227</v>
      </c>
      <c r="H159" s="19" t="str">
        <f>IFERROR(__xludf.DUMMYFUNCTION("""COMPUTED_VALUE"""),"-")</f>
        <v>-</v>
      </c>
      <c r="I159" s="19">
        <f>IFERROR(__xludf.DUMMYFUNCTION("""COMPUTED_VALUE"""),0.00206)</f>
        <v>0.00206</v>
      </c>
      <c r="J159" s="19">
        <f>IFERROR(__xludf.DUMMYFUNCTION("""COMPUTED_VALUE"""),0.04727)</f>
        <v>0.04727</v>
      </c>
      <c r="K159" s="19" t="str">
        <f>IFERROR(__xludf.DUMMYFUNCTION("""COMPUTED_VALUE"""),"-")</f>
        <v>-</v>
      </c>
      <c r="L159" s="19">
        <f>IFERROR(__xludf.DUMMYFUNCTION("""COMPUTED_VALUE"""),0.04747)</f>
        <v>0.04747</v>
      </c>
      <c r="O159" s="24">
        <f t="shared" si="4"/>
        <v>0</v>
      </c>
      <c r="P159" s="24"/>
      <c r="Q159" s="24">
        <f t="shared" si="6"/>
        <v>0</v>
      </c>
      <c r="R159" s="24">
        <f t="shared" si="7"/>
        <v>0</v>
      </c>
      <c r="S159" s="24"/>
      <c r="T159" s="24">
        <f t="shared" si="9"/>
        <v>0</v>
      </c>
    </row>
    <row r="160">
      <c r="A160" s="12" t="s">
        <v>249</v>
      </c>
      <c r="F160" s="19">
        <f>IFERROR(__xludf.DUMMYFUNCTION("SPLIT(A156, "" |"")"),154.0)</f>
        <v>154</v>
      </c>
      <c r="G160" s="19">
        <f>IFERROR(__xludf.DUMMYFUNCTION("""COMPUTED_VALUE"""),0.00232)</f>
        <v>0.00232</v>
      </c>
      <c r="H160" s="19" t="str">
        <f>IFERROR(__xludf.DUMMYFUNCTION("""COMPUTED_VALUE"""),"-")</f>
        <v>-</v>
      </c>
      <c r="I160" s="19">
        <f>IFERROR(__xludf.DUMMYFUNCTION("""COMPUTED_VALUE"""),0.00209)</f>
        <v>0.00209</v>
      </c>
      <c r="J160" s="19">
        <f>IFERROR(__xludf.DUMMYFUNCTION("""COMPUTED_VALUE"""),0.04737)</f>
        <v>0.04737</v>
      </c>
      <c r="K160" s="19" t="str">
        <f>IFERROR(__xludf.DUMMYFUNCTION("""COMPUTED_VALUE"""),"-")</f>
        <v>-</v>
      </c>
      <c r="L160" s="19">
        <f>IFERROR(__xludf.DUMMYFUNCTION("""COMPUTED_VALUE"""),0.04179)</f>
        <v>0.04179</v>
      </c>
      <c r="O160" s="24">
        <f t="shared" si="4"/>
        <v>0</v>
      </c>
      <c r="P160" s="24"/>
      <c r="Q160" s="24">
        <f t="shared" si="6"/>
        <v>0</v>
      </c>
      <c r="R160" s="24">
        <f t="shared" si="7"/>
        <v>0</v>
      </c>
      <c r="S160" s="24"/>
      <c r="T160" s="24">
        <f t="shared" si="9"/>
        <v>0</v>
      </c>
    </row>
    <row r="161">
      <c r="A161" s="12" t="s">
        <v>250</v>
      </c>
      <c r="F161" s="19">
        <f>IFERROR(__xludf.DUMMYFUNCTION("SPLIT(A157, "" |"")"),155.0)</f>
        <v>155</v>
      </c>
      <c r="G161" s="19">
        <f>IFERROR(__xludf.DUMMYFUNCTION("""COMPUTED_VALUE"""),0.00279)</f>
        <v>0.00279</v>
      </c>
      <c r="H161" s="19" t="str">
        <f>IFERROR(__xludf.DUMMYFUNCTION("""COMPUTED_VALUE"""),"-")</f>
        <v>-</v>
      </c>
      <c r="I161" s="19">
        <f>IFERROR(__xludf.DUMMYFUNCTION("""COMPUTED_VALUE"""),0.00227)</f>
        <v>0.00227</v>
      </c>
      <c r="J161" s="19">
        <f>IFERROR(__xludf.DUMMYFUNCTION("""COMPUTED_VALUE"""),0.04739)</f>
        <v>0.04739</v>
      </c>
      <c r="K161" s="19" t="str">
        <f>IFERROR(__xludf.DUMMYFUNCTION("""COMPUTED_VALUE"""),"-")</f>
        <v>-</v>
      </c>
      <c r="L161" s="19">
        <f>IFERROR(__xludf.DUMMYFUNCTION("""COMPUTED_VALUE"""),0.0441)</f>
        <v>0.0441</v>
      </c>
      <c r="O161" s="24">
        <f t="shared" si="4"/>
        <v>0</v>
      </c>
      <c r="P161" s="24"/>
      <c r="Q161" s="24">
        <f t="shared" si="6"/>
        <v>0</v>
      </c>
      <c r="R161" s="24">
        <f t="shared" si="7"/>
        <v>0</v>
      </c>
      <c r="S161" s="24"/>
      <c r="T161" s="24">
        <f t="shared" si="9"/>
        <v>0</v>
      </c>
    </row>
    <row r="162">
      <c r="A162" s="12" t="s">
        <v>251</v>
      </c>
      <c r="F162" s="19">
        <f>IFERROR(__xludf.DUMMYFUNCTION("SPLIT(A158, "" |"")"),156.0)</f>
        <v>156</v>
      </c>
      <c r="G162" s="19">
        <f>IFERROR(__xludf.DUMMYFUNCTION("""COMPUTED_VALUE"""),0.00227)</f>
        <v>0.00227</v>
      </c>
      <c r="H162" s="19" t="str">
        <f>IFERROR(__xludf.DUMMYFUNCTION("""COMPUTED_VALUE"""),"-")</f>
        <v>-</v>
      </c>
      <c r="I162" s="19">
        <f>IFERROR(__xludf.DUMMYFUNCTION("""COMPUTED_VALUE"""),0.00207)</f>
        <v>0.00207</v>
      </c>
      <c r="J162" s="19">
        <f>IFERROR(__xludf.DUMMYFUNCTION("""COMPUTED_VALUE"""),0.04729)</f>
        <v>0.04729</v>
      </c>
      <c r="K162" s="19" t="str">
        <f>IFERROR(__xludf.DUMMYFUNCTION("""COMPUTED_VALUE"""),"-")</f>
        <v>-</v>
      </c>
      <c r="L162" s="19">
        <f>IFERROR(__xludf.DUMMYFUNCTION("""COMPUTED_VALUE"""),0.04749)</f>
        <v>0.04749</v>
      </c>
      <c r="O162" s="24">
        <f t="shared" si="4"/>
        <v>0</v>
      </c>
      <c r="P162" s="24"/>
      <c r="Q162" s="24">
        <f t="shared" si="6"/>
        <v>0</v>
      </c>
      <c r="R162" s="24">
        <f t="shared" si="7"/>
        <v>0</v>
      </c>
      <c r="S162" s="24"/>
      <c r="T162" s="24">
        <f t="shared" si="9"/>
        <v>0</v>
      </c>
    </row>
    <row r="163">
      <c r="A163" s="12" t="s">
        <v>252</v>
      </c>
      <c r="F163" s="19">
        <f>IFERROR(__xludf.DUMMYFUNCTION("SPLIT(A159, "" |"")"),157.0)</f>
        <v>157</v>
      </c>
      <c r="G163" s="19">
        <f>IFERROR(__xludf.DUMMYFUNCTION("""COMPUTED_VALUE"""),0.00251)</f>
        <v>0.00251</v>
      </c>
      <c r="H163" s="19" t="str">
        <f>IFERROR(__xludf.DUMMYFUNCTION("""COMPUTED_VALUE"""),"-")</f>
        <v>-</v>
      </c>
      <c r="I163" s="19">
        <f>IFERROR(__xludf.DUMMYFUNCTION("""COMPUTED_VALUE"""),0.00219)</f>
        <v>0.00219</v>
      </c>
      <c r="J163" s="19">
        <f>IFERROR(__xludf.DUMMYFUNCTION("""COMPUTED_VALUE"""),0.04377)</f>
        <v>0.04377</v>
      </c>
      <c r="K163" s="19" t="str">
        <f>IFERROR(__xludf.DUMMYFUNCTION("""COMPUTED_VALUE"""),"-")</f>
        <v>-</v>
      </c>
      <c r="L163" s="19">
        <f>IFERROR(__xludf.DUMMYFUNCTION("""COMPUTED_VALUE"""),0.04475)</f>
        <v>0.04475</v>
      </c>
      <c r="O163" s="24">
        <f t="shared" si="4"/>
        <v>0</v>
      </c>
      <c r="P163" s="24"/>
      <c r="Q163" s="24">
        <f t="shared" si="6"/>
        <v>0</v>
      </c>
      <c r="R163" s="24">
        <f t="shared" si="7"/>
        <v>1</v>
      </c>
      <c r="S163" s="24"/>
      <c r="T163" s="24">
        <f t="shared" si="9"/>
        <v>0</v>
      </c>
    </row>
    <row r="164">
      <c r="A164" s="12" t="s">
        <v>253</v>
      </c>
      <c r="F164" s="19">
        <f>IFERROR(__xludf.DUMMYFUNCTION("SPLIT(A160, "" |"")"),158.0)</f>
        <v>158</v>
      </c>
      <c r="G164" s="19">
        <f>IFERROR(__xludf.DUMMYFUNCTION("""COMPUTED_VALUE"""),0.00249)</f>
        <v>0.00249</v>
      </c>
      <c r="H164" s="19" t="str">
        <f>IFERROR(__xludf.DUMMYFUNCTION("""COMPUTED_VALUE"""),"-")</f>
        <v>-</v>
      </c>
      <c r="I164" s="19">
        <f>IFERROR(__xludf.DUMMYFUNCTION("""COMPUTED_VALUE"""),0.00222)</f>
        <v>0.00222</v>
      </c>
      <c r="J164" s="19">
        <f>IFERROR(__xludf.DUMMYFUNCTION("""COMPUTED_VALUE"""),0.04745)</f>
        <v>0.04745</v>
      </c>
      <c r="K164" s="19" t="str">
        <f>IFERROR(__xludf.DUMMYFUNCTION("""COMPUTED_VALUE"""),"-")</f>
        <v>-</v>
      </c>
      <c r="L164" s="19">
        <f>IFERROR(__xludf.DUMMYFUNCTION("""COMPUTED_VALUE"""),0.04772)</f>
        <v>0.04772</v>
      </c>
      <c r="O164" s="24">
        <f t="shared" si="4"/>
        <v>0</v>
      </c>
      <c r="P164" s="24"/>
      <c r="Q164" s="24">
        <f t="shared" si="6"/>
        <v>0</v>
      </c>
      <c r="R164" s="24">
        <f t="shared" si="7"/>
        <v>0</v>
      </c>
      <c r="S164" s="24"/>
      <c r="T164" s="24">
        <f t="shared" si="9"/>
        <v>0</v>
      </c>
    </row>
    <row r="165">
      <c r="A165" s="12" t="s">
        <v>254</v>
      </c>
      <c r="F165" s="19">
        <f>IFERROR(__xludf.DUMMYFUNCTION("SPLIT(A161, "" |"")"),159.0)</f>
        <v>159</v>
      </c>
      <c r="G165" s="19">
        <f>IFERROR(__xludf.DUMMYFUNCTION("""COMPUTED_VALUE"""),0.00235)</f>
        <v>0.00235</v>
      </c>
      <c r="H165" s="19" t="str">
        <f>IFERROR(__xludf.DUMMYFUNCTION("""COMPUTED_VALUE"""),"-")</f>
        <v>-</v>
      </c>
      <c r="I165" s="19">
        <f>IFERROR(__xludf.DUMMYFUNCTION("""COMPUTED_VALUE"""),0.0022)</f>
        <v>0.0022</v>
      </c>
      <c r="J165" s="19">
        <f>IFERROR(__xludf.DUMMYFUNCTION("""COMPUTED_VALUE"""),0.04639)</f>
        <v>0.04639</v>
      </c>
      <c r="K165" s="19" t="str">
        <f>IFERROR(__xludf.DUMMYFUNCTION("""COMPUTED_VALUE"""),"-")</f>
        <v>-</v>
      </c>
      <c r="L165" s="19">
        <f>IFERROR(__xludf.DUMMYFUNCTION("""COMPUTED_VALUE"""),0.04767)</f>
        <v>0.04767</v>
      </c>
      <c r="O165" s="24">
        <f t="shared" si="4"/>
        <v>0</v>
      </c>
      <c r="P165" s="24"/>
      <c r="Q165" s="24">
        <f t="shared" si="6"/>
        <v>0</v>
      </c>
      <c r="R165" s="24">
        <f t="shared" si="7"/>
        <v>0</v>
      </c>
      <c r="S165" s="24"/>
      <c r="T165" s="24">
        <f t="shared" si="9"/>
        <v>0</v>
      </c>
    </row>
    <row r="166">
      <c r="A166" s="12" t="s">
        <v>255</v>
      </c>
      <c r="F166" s="19">
        <f>IFERROR(__xludf.DUMMYFUNCTION("SPLIT(A162, "" |"")"),160.0)</f>
        <v>160</v>
      </c>
      <c r="G166" s="19">
        <f>IFERROR(__xludf.DUMMYFUNCTION("""COMPUTED_VALUE"""),0.00237)</f>
        <v>0.00237</v>
      </c>
      <c r="H166" s="19" t="str">
        <f>IFERROR(__xludf.DUMMYFUNCTION("""COMPUTED_VALUE"""),"-")</f>
        <v>-</v>
      </c>
      <c r="I166" s="19">
        <f>IFERROR(__xludf.DUMMYFUNCTION("""COMPUTED_VALUE"""),0.00215)</f>
        <v>0.00215</v>
      </c>
      <c r="J166" s="19">
        <f>IFERROR(__xludf.DUMMYFUNCTION("""COMPUTED_VALUE"""),0.04747)</f>
        <v>0.04747</v>
      </c>
      <c r="K166" s="19" t="str">
        <f>IFERROR(__xludf.DUMMYFUNCTION("""COMPUTED_VALUE"""),"-")</f>
        <v>-</v>
      </c>
      <c r="L166" s="19">
        <f>IFERROR(__xludf.DUMMYFUNCTION("""COMPUTED_VALUE"""),0.04759)</f>
        <v>0.04759</v>
      </c>
      <c r="O166" s="24">
        <f t="shared" si="4"/>
        <v>0</v>
      </c>
      <c r="P166" s="24"/>
      <c r="Q166" s="24">
        <f t="shared" si="6"/>
        <v>0</v>
      </c>
      <c r="R166" s="24">
        <f t="shared" si="7"/>
        <v>0</v>
      </c>
      <c r="S166" s="24"/>
      <c r="T166" s="24">
        <f t="shared" si="9"/>
        <v>0</v>
      </c>
    </row>
    <row r="167">
      <c r="A167" s="12" t="s">
        <v>256</v>
      </c>
      <c r="F167" s="19">
        <f>IFERROR(__xludf.DUMMYFUNCTION("SPLIT(A163, "" |"")"),161.0)</f>
        <v>161</v>
      </c>
      <c r="G167" s="19">
        <f>IFERROR(__xludf.DUMMYFUNCTION("""COMPUTED_VALUE"""),0.00242)</f>
        <v>0.00242</v>
      </c>
      <c r="H167" s="19" t="str">
        <f>IFERROR(__xludf.DUMMYFUNCTION("""COMPUTED_VALUE"""),"-")</f>
        <v>-</v>
      </c>
      <c r="I167" s="19">
        <f>IFERROR(__xludf.DUMMYFUNCTION("""COMPUTED_VALUE"""),0.00221)</f>
        <v>0.00221</v>
      </c>
      <c r="J167" s="19">
        <f>IFERROR(__xludf.DUMMYFUNCTION("""COMPUTED_VALUE"""),0.04743)</f>
        <v>0.04743</v>
      </c>
      <c r="K167" s="19" t="str">
        <f>IFERROR(__xludf.DUMMYFUNCTION("""COMPUTED_VALUE"""),"-")</f>
        <v>-</v>
      </c>
      <c r="L167" s="19">
        <f>IFERROR(__xludf.DUMMYFUNCTION("""COMPUTED_VALUE"""),0.04764)</f>
        <v>0.04764</v>
      </c>
      <c r="O167" s="24">
        <f t="shared" si="4"/>
        <v>0</v>
      </c>
      <c r="P167" s="24"/>
      <c r="Q167" s="24">
        <f t="shared" si="6"/>
        <v>0</v>
      </c>
      <c r="R167" s="24">
        <f t="shared" si="7"/>
        <v>0</v>
      </c>
      <c r="S167" s="24"/>
      <c r="T167" s="24">
        <f t="shared" si="9"/>
        <v>0</v>
      </c>
    </row>
    <row r="168">
      <c r="A168" s="12" t="s">
        <v>257</v>
      </c>
      <c r="F168" s="19">
        <f>IFERROR(__xludf.DUMMYFUNCTION("SPLIT(A164, "" |"")"),162.0)</f>
        <v>162</v>
      </c>
      <c r="G168" s="19">
        <f>IFERROR(__xludf.DUMMYFUNCTION("""COMPUTED_VALUE"""),0.00233)</f>
        <v>0.00233</v>
      </c>
      <c r="H168" s="19" t="str">
        <f>IFERROR(__xludf.DUMMYFUNCTION("""COMPUTED_VALUE"""),"-")</f>
        <v>-</v>
      </c>
      <c r="I168" s="19">
        <f>IFERROR(__xludf.DUMMYFUNCTION("""COMPUTED_VALUE"""),0.00219)</f>
        <v>0.00219</v>
      </c>
      <c r="J168" s="19">
        <f>IFERROR(__xludf.DUMMYFUNCTION("""COMPUTED_VALUE"""),0.04571)</f>
        <v>0.04571</v>
      </c>
      <c r="K168" s="19" t="str">
        <f>IFERROR(__xludf.DUMMYFUNCTION("""COMPUTED_VALUE"""),"-")</f>
        <v>-</v>
      </c>
      <c r="L168" s="19">
        <f>IFERROR(__xludf.DUMMYFUNCTION("""COMPUTED_VALUE"""),0.04659)</f>
        <v>0.04659</v>
      </c>
      <c r="O168" s="24">
        <f t="shared" si="4"/>
        <v>0</v>
      </c>
      <c r="P168" s="24"/>
      <c r="Q168" s="24">
        <f t="shared" si="6"/>
        <v>0</v>
      </c>
      <c r="R168" s="24">
        <f t="shared" si="7"/>
        <v>0</v>
      </c>
      <c r="S168" s="24"/>
      <c r="T168" s="24">
        <f t="shared" si="9"/>
        <v>0</v>
      </c>
    </row>
    <row r="169">
      <c r="A169" s="12" t="s">
        <v>258</v>
      </c>
      <c r="F169" s="19">
        <f>IFERROR(__xludf.DUMMYFUNCTION("SPLIT(A165, "" |"")"),163.0)</f>
        <v>163</v>
      </c>
      <c r="G169" s="19">
        <f>IFERROR(__xludf.DUMMYFUNCTION("""COMPUTED_VALUE"""),0.00232)</f>
        <v>0.00232</v>
      </c>
      <c r="H169" s="19" t="str">
        <f>IFERROR(__xludf.DUMMYFUNCTION("""COMPUTED_VALUE"""),"-")</f>
        <v>-</v>
      </c>
      <c r="I169" s="19">
        <f>IFERROR(__xludf.DUMMYFUNCTION("""COMPUTED_VALUE"""),0.00219)</f>
        <v>0.00219</v>
      </c>
      <c r="J169" s="19">
        <f>IFERROR(__xludf.DUMMYFUNCTION("""COMPUTED_VALUE"""),0.04365)</f>
        <v>0.04365</v>
      </c>
      <c r="K169" s="19" t="str">
        <f>IFERROR(__xludf.DUMMYFUNCTION("""COMPUTED_VALUE"""),"-")</f>
        <v>-</v>
      </c>
      <c r="L169" s="19">
        <f>IFERROR(__xludf.DUMMYFUNCTION("""COMPUTED_VALUE"""),0.04412)</f>
        <v>0.04412</v>
      </c>
      <c r="O169" s="24">
        <f t="shared" si="4"/>
        <v>0</v>
      </c>
      <c r="P169" s="24"/>
      <c r="Q169" s="24">
        <f t="shared" si="6"/>
        <v>0</v>
      </c>
      <c r="R169" s="24">
        <f t="shared" si="7"/>
        <v>1</v>
      </c>
      <c r="S169" s="24"/>
      <c r="T169" s="24">
        <f t="shared" si="9"/>
        <v>0</v>
      </c>
    </row>
    <row r="170">
      <c r="A170" s="12" t="s">
        <v>259</v>
      </c>
      <c r="F170" s="19">
        <f>IFERROR(__xludf.DUMMYFUNCTION("SPLIT(A166, "" |"")"),164.0)</f>
        <v>164</v>
      </c>
      <c r="G170" s="19">
        <f>IFERROR(__xludf.DUMMYFUNCTION("""COMPUTED_VALUE"""),0.00227)</f>
        <v>0.00227</v>
      </c>
      <c r="H170" s="19" t="str">
        <f>IFERROR(__xludf.DUMMYFUNCTION("""COMPUTED_VALUE"""),"-")</f>
        <v>-</v>
      </c>
      <c r="I170" s="19">
        <f>IFERROR(__xludf.DUMMYFUNCTION("""COMPUTED_VALUE"""),0.00223)</f>
        <v>0.00223</v>
      </c>
      <c r="J170" s="19">
        <f>IFERROR(__xludf.DUMMYFUNCTION("""COMPUTED_VALUE"""),0.04739)</f>
        <v>0.04739</v>
      </c>
      <c r="K170" s="19" t="str">
        <f>IFERROR(__xludf.DUMMYFUNCTION("""COMPUTED_VALUE"""),"-")</f>
        <v>-</v>
      </c>
      <c r="L170" s="19">
        <f>IFERROR(__xludf.DUMMYFUNCTION("""COMPUTED_VALUE"""),0.04694)</f>
        <v>0.04694</v>
      </c>
      <c r="O170" s="24">
        <f t="shared" si="4"/>
        <v>0</v>
      </c>
      <c r="P170" s="24"/>
      <c r="Q170" s="24">
        <f t="shared" si="6"/>
        <v>0</v>
      </c>
      <c r="R170" s="24">
        <f t="shared" si="7"/>
        <v>0</v>
      </c>
      <c r="S170" s="24"/>
      <c r="T170" s="24">
        <f t="shared" si="9"/>
        <v>0</v>
      </c>
    </row>
    <row r="171">
      <c r="A171" s="12" t="s">
        <v>260</v>
      </c>
      <c r="F171" s="19">
        <f>IFERROR(__xludf.DUMMYFUNCTION("SPLIT(A167, "" |"")"),165.0)</f>
        <v>165</v>
      </c>
      <c r="G171" s="19">
        <f>IFERROR(__xludf.DUMMYFUNCTION("""COMPUTED_VALUE"""),0.00239)</f>
        <v>0.00239</v>
      </c>
      <c r="H171" s="19" t="str">
        <f>IFERROR(__xludf.DUMMYFUNCTION("""COMPUTED_VALUE"""),"-")</f>
        <v>-</v>
      </c>
      <c r="I171" s="19">
        <f>IFERROR(__xludf.DUMMYFUNCTION("""COMPUTED_VALUE"""),0.00221)</f>
        <v>0.00221</v>
      </c>
      <c r="J171" s="19">
        <f>IFERROR(__xludf.DUMMYFUNCTION("""COMPUTED_VALUE"""),0.0474)</f>
        <v>0.0474</v>
      </c>
      <c r="K171" s="19" t="str">
        <f>IFERROR(__xludf.DUMMYFUNCTION("""COMPUTED_VALUE"""),"-")</f>
        <v>-</v>
      </c>
      <c r="L171" s="19">
        <f>IFERROR(__xludf.DUMMYFUNCTION("""COMPUTED_VALUE"""),0.04756)</f>
        <v>0.04756</v>
      </c>
      <c r="O171" s="24">
        <f t="shared" si="4"/>
        <v>0</v>
      </c>
      <c r="P171" s="24"/>
      <c r="Q171" s="24">
        <f t="shared" si="6"/>
        <v>0</v>
      </c>
      <c r="R171" s="24">
        <f t="shared" si="7"/>
        <v>0</v>
      </c>
      <c r="S171" s="24"/>
      <c r="T171" s="24">
        <f t="shared" si="9"/>
        <v>0</v>
      </c>
    </row>
    <row r="172">
      <c r="A172" s="12" t="s">
        <v>261</v>
      </c>
      <c r="F172" s="19">
        <f>IFERROR(__xludf.DUMMYFUNCTION("SPLIT(A168, "" |"")"),166.0)</f>
        <v>166</v>
      </c>
      <c r="G172" s="19">
        <f>IFERROR(__xludf.DUMMYFUNCTION("""COMPUTED_VALUE"""),0.00231)</f>
        <v>0.00231</v>
      </c>
      <c r="H172" s="19" t="str">
        <f>IFERROR(__xludf.DUMMYFUNCTION("""COMPUTED_VALUE"""),"-")</f>
        <v>-</v>
      </c>
      <c r="I172" s="19">
        <f>IFERROR(__xludf.DUMMYFUNCTION("""COMPUTED_VALUE"""),0.0022)</f>
        <v>0.0022</v>
      </c>
      <c r="J172" s="19">
        <f>IFERROR(__xludf.DUMMYFUNCTION("""COMPUTED_VALUE"""),0.04744)</f>
        <v>0.04744</v>
      </c>
      <c r="K172" s="19" t="str">
        <f>IFERROR(__xludf.DUMMYFUNCTION("""COMPUTED_VALUE"""),"-")</f>
        <v>-</v>
      </c>
      <c r="L172" s="19">
        <f>IFERROR(__xludf.DUMMYFUNCTION("""COMPUTED_VALUE"""),0.04753)</f>
        <v>0.04753</v>
      </c>
      <c r="O172" s="24">
        <f t="shared" si="4"/>
        <v>0</v>
      </c>
      <c r="P172" s="24"/>
      <c r="Q172" s="24">
        <f t="shared" si="6"/>
        <v>0</v>
      </c>
      <c r="R172" s="24">
        <f t="shared" si="7"/>
        <v>0</v>
      </c>
      <c r="S172" s="24"/>
      <c r="T172" s="24">
        <f t="shared" si="9"/>
        <v>0</v>
      </c>
    </row>
    <row r="173">
      <c r="A173" s="12" t="s">
        <v>262</v>
      </c>
      <c r="F173" s="19">
        <f>IFERROR(__xludf.DUMMYFUNCTION("SPLIT(A169, "" |"")"),167.0)</f>
        <v>167</v>
      </c>
      <c r="G173" s="19">
        <f>IFERROR(__xludf.DUMMYFUNCTION("""COMPUTED_VALUE"""),0.00244)</f>
        <v>0.00244</v>
      </c>
      <c r="H173" s="19" t="str">
        <f>IFERROR(__xludf.DUMMYFUNCTION("""COMPUTED_VALUE"""),"-")</f>
        <v>-</v>
      </c>
      <c r="I173" s="19">
        <f>IFERROR(__xludf.DUMMYFUNCTION("""COMPUTED_VALUE"""),0.00223)</f>
        <v>0.00223</v>
      </c>
      <c r="J173" s="19">
        <f>IFERROR(__xludf.DUMMYFUNCTION("""COMPUTED_VALUE"""),0.04736)</f>
        <v>0.04736</v>
      </c>
      <c r="K173" s="19" t="str">
        <f>IFERROR(__xludf.DUMMYFUNCTION("""COMPUTED_VALUE"""),"-")</f>
        <v>-</v>
      </c>
      <c r="L173" s="19">
        <f>IFERROR(__xludf.DUMMYFUNCTION("""COMPUTED_VALUE"""),0.04757)</f>
        <v>0.04757</v>
      </c>
      <c r="O173" s="24">
        <f t="shared" si="4"/>
        <v>0</v>
      </c>
      <c r="P173" s="24"/>
      <c r="Q173" s="24">
        <f t="shared" si="6"/>
        <v>0</v>
      </c>
      <c r="R173" s="24">
        <f t="shared" si="7"/>
        <v>0</v>
      </c>
      <c r="S173" s="24"/>
      <c r="T173" s="24">
        <f t="shared" si="9"/>
        <v>0</v>
      </c>
    </row>
    <row r="174">
      <c r="A174" s="12" t="s">
        <v>263</v>
      </c>
      <c r="F174" s="19">
        <f>IFERROR(__xludf.DUMMYFUNCTION("SPLIT(A170, "" |"")"),168.0)</f>
        <v>168</v>
      </c>
      <c r="G174" s="19">
        <f>IFERROR(__xludf.DUMMYFUNCTION("""COMPUTED_VALUE"""),0.00239)</f>
        <v>0.00239</v>
      </c>
      <c r="H174" s="19" t="str">
        <f>IFERROR(__xludf.DUMMYFUNCTION("""COMPUTED_VALUE"""),"-")</f>
        <v>-</v>
      </c>
      <c r="I174" s="19">
        <f>IFERROR(__xludf.DUMMYFUNCTION("""COMPUTED_VALUE"""),0.00225)</f>
        <v>0.00225</v>
      </c>
      <c r="J174" s="19">
        <f>IFERROR(__xludf.DUMMYFUNCTION("""COMPUTED_VALUE"""),0.04752)</f>
        <v>0.04752</v>
      </c>
      <c r="K174" s="19" t="str">
        <f>IFERROR(__xludf.DUMMYFUNCTION("""COMPUTED_VALUE"""),"-")</f>
        <v>-</v>
      </c>
      <c r="L174" s="19">
        <f>IFERROR(__xludf.DUMMYFUNCTION("""COMPUTED_VALUE"""),0.04767)</f>
        <v>0.04767</v>
      </c>
      <c r="O174" s="24">
        <f t="shared" si="4"/>
        <v>0</v>
      </c>
      <c r="P174" s="24"/>
      <c r="Q174" s="24">
        <f t="shared" si="6"/>
        <v>0</v>
      </c>
      <c r="R174" s="24">
        <f t="shared" si="7"/>
        <v>0</v>
      </c>
      <c r="S174" s="24"/>
      <c r="T174" s="24">
        <f t="shared" si="9"/>
        <v>0</v>
      </c>
    </row>
    <row r="175">
      <c r="A175" s="12" t="s">
        <v>264</v>
      </c>
      <c r="F175" s="19">
        <f>IFERROR(__xludf.DUMMYFUNCTION("SPLIT(A171, "" |"")"),169.0)</f>
        <v>169</v>
      </c>
      <c r="G175" s="19">
        <f>IFERROR(__xludf.DUMMYFUNCTION("""COMPUTED_VALUE"""),0.00234)</f>
        <v>0.00234</v>
      </c>
      <c r="H175" s="19" t="str">
        <f>IFERROR(__xludf.DUMMYFUNCTION("""COMPUTED_VALUE"""),"-")</f>
        <v>-</v>
      </c>
      <c r="I175" s="19">
        <f>IFERROR(__xludf.DUMMYFUNCTION("""COMPUTED_VALUE"""),0.00222)</f>
        <v>0.00222</v>
      </c>
      <c r="J175" s="19">
        <f>IFERROR(__xludf.DUMMYFUNCTION("""COMPUTED_VALUE"""),0.04742)</f>
        <v>0.04742</v>
      </c>
      <c r="K175" s="19" t="str">
        <f>IFERROR(__xludf.DUMMYFUNCTION("""COMPUTED_VALUE"""),"-")</f>
        <v>-</v>
      </c>
      <c r="L175" s="19">
        <f>IFERROR(__xludf.DUMMYFUNCTION("""COMPUTED_VALUE"""),0.04761)</f>
        <v>0.04761</v>
      </c>
      <c r="O175" s="24">
        <f t="shared" si="4"/>
        <v>0</v>
      </c>
      <c r="P175" s="24"/>
      <c r="Q175" s="24">
        <f t="shared" si="6"/>
        <v>0</v>
      </c>
      <c r="R175" s="24">
        <f t="shared" si="7"/>
        <v>0</v>
      </c>
      <c r="S175" s="24"/>
      <c r="T175" s="24">
        <f t="shared" si="9"/>
        <v>0</v>
      </c>
    </row>
    <row r="176">
      <c r="A176" s="12" t="s">
        <v>265</v>
      </c>
      <c r="F176" s="19">
        <f>IFERROR(__xludf.DUMMYFUNCTION("SPLIT(A172, "" |"")"),170.0)</f>
        <v>170</v>
      </c>
      <c r="G176" s="19">
        <f>IFERROR(__xludf.DUMMYFUNCTION("""COMPUTED_VALUE"""),0.00242)</f>
        <v>0.00242</v>
      </c>
      <c r="H176" s="19" t="str">
        <f>IFERROR(__xludf.DUMMYFUNCTION("""COMPUTED_VALUE"""),"-")</f>
        <v>-</v>
      </c>
      <c r="I176" s="19">
        <f>IFERROR(__xludf.DUMMYFUNCTION("""COMPUTED_VALUE"""),0.00221)</f>
        <v>0.00221</v>
      </c>
      <c r="J176" s="19">
        <f>IFERROR(__xludf.DUMMYFUNCTION("""COMPUTED_VALUE"""),0.04744)</f>
        <v>0.04744</v>
      </c>
      <c r="K176" s="19" t="str">
        <f>IFERROR(__xludf.DUMMYFUNCTION("""COMPUTED_VALUE"""),"-")</f>
        <v>-</v>
      </c>
      <c r="L176" s="19">
        <f>IFERROR(__xludf.DUMMYFUNCTION("""COMPUTED_VALUE"""),0.04472)</f>
        <v>0.04472</v>
      </c>
      <c r="O176" s="24">
        <f t="shared" si="4"/>
        <v>0</v>
      </c>
      <c r="P176" s="24"/>
      <c r="Q176" s="24">
        <f t="shared" si="6"/>
        <v>0</v>
      </c>
      <c r="R176" s="24">
        <f t="shared" si="7"/>
        <v>0</v>
      </c>
      <c r="S176" s="24"/>
      <c r="T176" s="24">
        <f t="shared" si="9"/>
        <v>0</v>
      </c>
    </row>
    <row r="177">
      <c r="A177" s="12" t="s">
        <v>266</v>
      </c>
      <c r="F177" s="19">
        <f>IFERROR(__xludf.DUMMYFUNCTION("SPLIT(A173, "" |"")"),171.0)</f>
        <v>171</v>
      </c>
      <c r="G177" s="19">
        <f>IFERROR(__xludf.DUMMYFUNCTION("""COMPUTED_VALUE"""),0.00241)</f>
        <v>0.00241</v>
      </c>
      <c r="H177" s="19" t="str">
        <f>IFERROR(__xludf.DUMMYFUNCTION("""COMPUTED_VALUE"""),"-")</f>
        <v>-</v>
      </c>
      <c r="I177" s="19">
        <f>IFERROR(__xludf.DUMMYFUNCTION("""COMPUTED_VALUE"""),0.00217)</f>
        <v>0.00217</v>
      </c>
      <c r="J177" s="19">
        <f>IFERROR(__xludf.DUMMYFUNCTION("""COMPUTED_VALUE"""),0.04738)</f>
        <v>0.04738</v>
      </c>
      <c r="K177" s="19" t="str">
        <f>IFERROR(__xludf.DUMMYFUNCTION("""COMPUTED_VALUE"""),"-")</f>
        <v>-</v>
      </c>
      <c r="L177" s="19">
        <f>IFERROR(__xludf.DUMMYFUNCTION("""COMPUTED_VALUE"""),0.04767)</f>
        <v>0.04767</v>
      </c>
      <c r="O177" s="24">
        <f t="shared" si="4"/>
        <v>0</v>
      </c>
      <c r="P177" s="24"/>
      <c r="Q177" s="24">
        <f t="shared" si="6"/>
        <v>0</v>
      </c>
      <c r="R177" s="24">
        <f t="shared" si="7"/>
        <v>0</v>
      </c>
      <c r="S177" s="24"/>
      <c r="T177" s="24">
        <f t="shared" si="9"/>
        <v>0</v>
      </c>
    </row>
    <row r="178">
      <c r="A178" s="12" t="s">
        <v>267</v>
      </c>
      <c r="F178" s="19">
        <f>IFERROR(__xludf.DUMMYFUNCTION("SPLIT(A174, "" |"")"),172.0)</f>
        <v>172</v>
      </c>
      <c r="G178" s="19">
        <f>IFERROR(__xludf.DUMMYFUNCTION("""COMPUTED_VALUE"""),0.00236)</f>
        <v>0.00236</v>
      </c>
      <c r="H178" s="19" t="str">
        <f>IFERROR(__xludf.DUMMYFUNCTION("""COMPUTED_VALUE"""),"-")</f>
        <v>-</v>
      </c>
      <c r="I178" s="19">
        <f>IFERROR(__xludf.DUMMYFUNCTION("""COMPUTED_VALUE"""),0.00218)</f>
        <v>0.00218</v>
      </c>
      <c r="J178" s="19">
        <f>IFERROR(__xludf.DUMMYFUNCTION("""COMPUTED_VALUE"""),0.04745)</f>
        <v>0.04745</v>
      </c>
      <c r="K178" s="19" t="str">
        <f>IFERROR(__xludf.DUMMYFUNCTION("""COMPUTED_VALUE"""),"-")</f>
        <v>-</v>
      </c>
      <c r="L178" s="19">
        <f>IFERROR(__xludf.DUMMYFUNCTION("""COMPUTED_VALUE"""),0.04764)</f>
        <v>0.04764</v>
      </c>
      <c r="O178" s="24">
        <f t="shared" si="4"/>
        <v>0</v>
      </c>
      <c r="P178" s="24"/>
      <c r="Q178" s="24">
        <f t="shared" si="6"/>
        <v>0</v>
      </c>
      <c r="R178" s="24">
        <f t="shared" si="7"/>
        <v>0</v>
      </c>
      <c r="S178" s="24"/>
      <c r="T178" s="24">
        <f t="shared" si="9"/>
        <v>0</v>
      </c>
    </row>
    <row r="179">
      <c r="A179" s="12" t="s">
        <v>268</v>
      </c>
      <c r="F179" s="19">
        <f>IFERROR(__xludf.DUMMYFUNCTION("SPLIT(A175, "" |"")"),173.0)</f>
        <v>173</v>
      </c>
      <c r="G179" s="19">
        <f>IFERROR(__xludf.DUMMYFUNCTION("""COMPUTED_VALUE"""),0.00241)</f>
        <v>0.00241</v>
      </c>
      <c r="H179" s="19" t="str">
        <f>IFERROR(__xludf.DUMMYFUNCTION("""COMPUTED_VALUE"""),"-")</f>
        <v>-</v>
      </c>
      <c r="I179" s="19">
        <f>IFERROR(__xludf.DUMMYFUNCTION("""COMPUTED_VALUE"""),0.0022)</f>
        <v>0.0022</v>
      </c>
      <c r="J179" s="19">
        <f>IFERROR(__xludf.DUMMYFUNCTION("""COMPUTED_VALUE"""),0.04671)</f>
        <v>0.04671</v>
      </c>
      <c r="K179" s="19" t="str">
        <f>IFERROR(__xludf.DUMMYFUNCTION("""COMPUTED_VALUE"""),"-")</f>
        <v>-</v>
      </c>
      <c r="L179" s="19">
        <f>IFERROR(__xludf.DUMMYFUNCTION("""COMPUTED_VALUE"""),0.04762)</f>
        <v>0.04762</v>
      </c>
      <c r="O179" s="24">
        <f t="shared" si="4"/>
        <v>0</v>
      </c>
      <c r="P179" s="24"/>
      <c r="Q179" s="24">
        <f t="shared" si="6"/>
        <v>0</v>
      </c>
      <c r="R179" s="24">
        <f t="shared" si="7"/>
        <v>0</v>
      </c>
      <c r="S179" s="24"/>
      <c r="T179" s="24">
        <f t="shared" si="9"/>
        <v>0</v>
      </c>
    </row>
    <row r="180">
      <c r="A180" s="12" t="s">
        <v>269</v>
      </c>
      <c r="F180" s="19">
        <f>IFERROR(__xludf.DUMMYFUNCTION("SPLIT(A176, "" |"")"),174.0)</f>
        <v>174</v>
      </c>
      <c r="G180" s="19">
        <f>IFERROR(__xludf.DUMMYFUNCTION("""COMPUTED_VALUE"""),0.00229)</f>
        <v>0.00229</v>
      </c>
      <c r="H180" s="19" t="str">
        <f>IFERROR(__xludf.DUMMYFUNCTION("""COMPUTED_VALUE"""),"-")</f>
        <v>-</v>
      </c>
      <c r="I180" s="19">
        <f>IFERROR(__xludf.DUMMYFUNCTION("""COMPUTED_VALUE"""),0.00211)</f>
        <v>0.00211</v>
      </c>
      <c r="J180" s="19">
        <f>IFERROR(__xludf.DUMMYFUNCTION("""COMPUTED_VALUE"""),0.04743)</f>
        <v>0.04743</v>
      </c>
      <c r="K180" s="19" t="str">
        <f>IFERROR(__xludf.DUMMYFUNCTION("""COMPUTED_VALUE"""),"-")</f>
        <v>-</v>
      </c>
      <c r="L180" s="19">
        <f>IFERROR(__xludf.DUMMYFUNCTION("""COMPUTED_VALUE"""),0.04773)</f>
        <v>0.04773</v>
      </c>
      <c r="O180" s="24">
        <f t="shared" si="4"/>
        <v>0</v>
      </c>
      <c r="P180" s="24"/>
      <c r="Q180" s="24">
        <f t="shared" si="6"/>
        <v>0</v>
      </c>
      <c r="R180" s="24">
        <f t="shared" si="7"/>
        <v>0</v>
      </c>
      <c r="S180" s="24"/>
      <c r="T180" s="24">
        <f t="shared" si="9"/>
        <v>0</v>
      </c>
    </row>
    <row r="181">
      <c r="A181" s="12" t="s">
        <v>270</v>
      </c>
      <c r="F181" s="19">
        <f>IFERROR(__xludf.DUMMYFUNCTION("SPLIT(A177, "" |"")"),175.0)</f>
        <v>175</v>
      </c>
      <c r="G181" s="19">
        <f>IFERROR(__xludf.DUMMYFUNCTION("""COMPUTED_VALUE"""),0.00241)</f>
        <v>0.00241</v>
      </c>
      <c r="H181" s="19" t="str">
        <f>IFERROR(__xludf.DUMMYFUNCTION("""COMPUTED_VALUE"""),"-")</f>
        <v>-</v>
      </c>
      <c r="I181" s="19">
        <f>IFERROR(__xludf.DUMMYFUNCTION("""COMPUTED_VALUE"""),0.00223)</f>
        <v>0.00223</v>
      </c>
      <c r="J181" s="19">
        <f>IFERROR(__xludf.DUMMYFUNCTION("""COMPUTED_VALUE"""),0.04737)</f>
        <v>0.04737</v>
      </c>
      <c r="K181" s="19" t="str">
        <f>IFERROR(__xludf.DUMMYFUNCTION("""COMPUTED_VALUE"""),"-")</f>
        <v>-</v>
      </c>
      <c r="L181" s="19">
        <f>IFERROR(__xludf.DUMMYFUNCTION("""COMPUTED_VALUE"""),0.04763)</f>
        <v>0.04763</v>
      </c>
      <c r="O181" s="24">
        <f t="shared" si="4"/>
        <v>0</v>
      </c>
      <c r="P181" s="24"/>
      <c r="Q181" s="24">
        <f t="shared" si="6"/>
        <v>0</v>
      </c>
      <c r="R181" s="24">
        <f t="shared" si="7"/>
        <v>0</v>
      </c>
      <c r="S181" s="24"/>
      <c r="T181" s="24">
        <f t="shared" si="9"/>
        <v>0</v>
      </c>
    </row>
    <row r="182">
      <c r="A182" s="12" t="s">
        <v>271</v>
      </c>
      <c r="F182" s="19">
        <f>IFERROR(__xludf.DUMMYFUNCTION("SPLIT(A178, "" |"")"),176.0)</f>
        <v>176</v>
      </c>
      <c r="G182" s="19">
        <f>IFERROR(__xludf.DUMMYFUNCTION("""COMPUTED_VALUE"""),0.00234)</f>
        <v>0.00234</v>
      </c>
      <c r="H182" s="19" t="str">
        <f>IFERROR(__xludf.DUMMYFUNCTION("""COMPUTED_VALUE"""),"-")</f>
        <v>-</v>
      </c>
      <c r="I182" s="19">
        <f>IFERROR(__xludf.DUMMYFUNCTION("""COMPUTED_VALUE"""),0.00221)</f>
        <v>0.00221</v>
      </c>
      <c r="J182" s="19">
        <f>IFERROR(__xludf.DUMMYFUNCTION("""COMPUTED_VALUE"""),0.04742)</f>
        <v>0.04742</v>
      </c>
      <c r="K182" s="19" t="str">
        <f>IFERROR(__xludf.DUMMYFUNCTION("""COMPUTED_VALUE"""),"-")</f>
        <v>-</v>
      </c>
      <c r="L182" s="19">
        <f>IFERROR(__xludf.DUMMYFUNCTION("""COMPUTED_VALUE"""),0.04772)</f>
        <v>0.04772</v>
      </c>
      <c r="O182" s="24">
        <f t="shared" si="4"/>
        <v>0</v>
      </c>
      <c r="P182" s="24"/>
      <c r="Q182" s="24">
        <f t="shared" si="6"/>
        <v>0</v>
      </c>
      <c r="R182" s="24">
        <f t="shared" si="7"/>
        <v>0</v>
      </c>
      <c r="S182" s="24"/>
      <c r="T182" s="24">
        <f t="shared" si="9"/>
        <v>0</v>
      </c>
    </row>
    <row r="183">
      <c r="A183" s="12" t="s">
        <v>272</v>
      </c>
      <c r="F183" s="19">
        <f>IFERROR(__xludf.DUMMYFUNCTION("SPLIT(A179, "" |"")"),177.0)</f>
        <v>177</v>
      </c>
      <c r="G183" s="19">
        <f>IFERROR(__xludf.DUMMYFUNCTION("""COMPUTED_VALUE"""),0.00241)</f>
        <v>0.00241</v>
      </c>
      <c r="H183" s="19" t="str">
        <f>IFERROR(__xludf.DUMMYFUNCTION("""COMPUTED_VALUE"""),"-")</f>
        <v>-</v>
      </c>
      <c r="I183" s="19">
        <f>IFERROR(__xludf.DUMMYFUNCTION("""COMPUTED_VALUE"""),0.00219)</f>
        <v>0.00219</v>
      </c>
      <c r="J183" s="19">
        <f>IFERROR(__xludf.DUMMYFUNCTION("""COMPUTED_VALUE"""),0.04742)</f>
        <v>0.04742</v>
      </c>
      <c r="K183" s="19" t="str">
        <f>IFERROR(__xludf.DUMMYFUNCTION("""COMPUTED_VALUE"""),"-")</f>
        <v>-</v>
      </c>
      <c r="L183" s="19">
        <f>IFERROR(__xludf.DUMMYFUNCTION("""COMPUTED_VALUE"""),0.04761)</f>
        <v>0.04761</v>
      </c>
      <c r="O183" s="24">
        <f t="shared" si="4"/>
        <v>0</v>
      </c>
      <c r="P183" s="24"/>
      <c r="Q183" s="24">
        <f t="shared" si="6"/>
        <v>0</v>
      </c>
      <c r="R183" s="24">
        <f t="shared" si="7"/>
        <v>0</v>
      </c>
      <c r="S183" s="24"/>
      <c r="T183" s="24">
        <f t="shared" si="9"/>
        <v>0</v>
      </c>
    </row>
    <row r="184">
      <c r="A184" s="12" t="s">
        <v>273</v>
      </c>
      <c r="F184" s="19">
        <f>IFERROR(__xludf.DUMMYFUNCTION("SPLIT(A180, "" |"")"),178.0)</f>
        <v>178</v>
      </c>
      <c r="G184" s="19">
        <f>IFERROR(__xludf.DUMMYFUNCTION("""COMPUTED_VALUE"""),0.00229)</f>
        <v>0.00229</v>
      </c>
      <c r="H184" s="19" t="str">
        <f>IFERROR(__xludf.DUMMYFUNCTION("""COMPUTED_VALUE"""),"-")</f>
        <v>-</v>
      </c>
      <c r="I184" s="19">
        <f>IFERROR(__xludf.DUMMYFUNCTION("""COMPUTED_VALUE"""),0.00222)</f>
        <v>0.00222</v>
      </c>
      <c r="J184" s="19">
        <f>IFERROR(__xludf.DUMMYFUNCTION("""COMPUTED_VALUE"""),0.04747)</f>
        <v>0.04747</v>
      </c>
      <c r="K184" s="19" t="str">
        <f>IFERROR(__xludf.DUMMYFUNCTION("""COMPUTED_VALUE"""),"-")</f>
        <v>-</v>
      </c>
      <c r="L184" s="19">
        <f>IFERROR(__xludf.DUMMYFUNCTION("""COMPUTED_VALUE"""),0.04759)</f>
        <v>0.04759</v>
      </c>
      <c r="O184" s="24">
        <f t="shared" si="4"/>
        <v>0</v>
      </c>
      <c r="P184" s="24"/>
      <c r="Q184" s="24">
        <f t="shared" si="6"/>
        <v>0</v>
      </c>
      <c r="R184" s="24">
        <f t="shared" si="7"/>
        <v>0</v>
      </c>
      <c r="S184" s="24"/>
      <c r="T184" s="24">
        <f t="shared" si="9"/>
        <v>0</v>
      </c>
    </row>
    <row r="185">
      <c r="A185" s="12" t="s">
        <v>274</v>
      </c>
      <c r="F185" s="19">
        <f>IFERROR(__xludf.DUMMYFUNCTION("SPLIT(A181, "" |"")"),179.0)</f>
        <v>179</v>
      </c>
      <c r="G185" s="19">
        <f>IFERROR(__xludf.DUMMYFUNCTION("""COMPUTED_VALUE"""),0.00242)</f>
        <v>0.00242</v>
      </c>
      <c r="H185" s="19" t="str">
        <f>IFERROR(__xludf.DUMMYFUNCTION("""COMPUTED_VALUE"""),"-")</f>
        <v>-</v>
      </c>
      <c r="I185" s="19">
        <f>IFERROR(__xludf.DUMMYFUNCTION("""COMPUTED_VALUE"""),0.00225)</f>
        <v>0.00225</v>
      </c>
      <c r="J185" s="19">
        <f>IFERROR(__xludf.DUMMYFUNCTION("""COMPUTED_VALUE"""),0.04745)</f>
        <v>0.04745</v>
      </c>
      <c r="K185" s="19" t="str">
        <f>IFERROR(__xludf.DUMMYFUNCTION("""COMPUTED_VALUE"""),"-")</f>
        <v>-</v>
      </c>
      <c r="L185" s="19">
        <f>IFERROR(__xludf.DUMMYFUNCTION("""COMPUTED_VALUE"""),0.04764)</f>
        <v>0.04764</v>
      </c>
      <c r="O185" s="24">
        <f t="shared" si="4"/>
        <v>0</v>
      </c>
      <c r="P185" s="24"/>
      <c r="Q185" s="24">
        <f t="shared" si="6"/>
        <v>0</v>
      </c>
      <c r="R185" s="24">
        <f t="shared" si="7"/>
        <v>0</v>
      </c>
      <c r="S185" s="24"/>
      <c r="T185" s="24">
        <f t="shared" si="9"/>
        <v>0</v>
      </c>
    </row>
    <row r="186">
      <c r="A186" s="12" t="s">
        <v>275</v>
      </c>
      <c r="F186" s="19">
        <f>IFERROR(__xludf.DUMMYFUNCTION("SPLIT(A182, "" |"")"),180.0)</f>
        <v>180</v>
      </c>
      <c r="G186" s="19">
        <f>IFERROR(__xludf.DUMMYFUNCTION("""COMPUTED_VALUE"""),0.00241)</f>
        <v>0.00241</v>
      </c>
      <c r="H186" s="19" t="str">
        <f>IFERROR(__xludf.DUMMYFUNCTION("""COMPUTED_VALUE"""),"-")</f>
        <v>-</v>
      </c>
      <c r="I186" s="19">
        <f>IFERROR(__xludf.DUMMYFUNCTION("""COMPUTED_VALUE"""),0.00222)</f>
        <v>0.00222</v>
      </c>
      <c r="J186" s="19">
        <f>IFERROR(__xludf.DUMMYFUNCTION("""COMPUTED_VALUE"""),0.04744)</f>
        <v>0.04744</v>
      </c>
      <c r="K186" s="19" t="str">
        <f>IFERROR(__xludf.DUMMYFUNCTION("""COMPUTED_VALUE"""),"-")</f>
        <v>-</v>
      </c>
      <c r="L186" s="19">
        <f>IFERROR(__xludf.DUMMYFUNCTION("""COMPUTED_VALUE"""),0.04762)</f>
        <v>0.04762</v>
      </c>
      <c r="O186" s="24">
        <f t="shared" si="4"/>
        <v>0</v>
      </c>
      <c r="P186" s="24"/>
      <c r="Q186" s="24">
        <f t="shared" si="6"/>
        <v>0</v>
      </c>
      <c r="R186" s="24">
        <f t="shared" si="7"/>
        <v>0</v>
      </c>
      <c r="S186" s="24"/>
      <c r="T186" s="24">
        <f t="shared" si="9"/>
        <v>0</v>
      </c>
    </row>
    <row r="187">
      <c r="A187" s="12" t="s">
        <v>276</v>
      </c>
      <c r="F187" s="19">
        <f>IFERROR(__xludf.DUMMYFUNCTION("SPLIT(A183, "" |"")"),181.0)</f>
        <v>181</v>
      </c>
      <c r="G187" s="19">
        <f>IFERROR(__xludf.DUMMYFUNCTION("""COMPUTED_VALUE"""),0.00228)</f>
        <v>0.00228</v>
      </c>
      <c r="H187" s="19" t="str">
        <f>IFERROR(__xludf.DUMMYFUNCTION("""COMPUTED_VALUE"""),"-")</f>
        <v>-</v>
      </c>
      <c r="I187" s="19">
        <f>IFERROR(__xludf.DUMMYFUNCTION("""COMPUTED_VALUE"""),0.00225)</f>
        <v>0.00225</v>
      </c>
      <c r="J187" s="19">
        <f>IFERROR(__xludf.DUMMYFUNCTION("""COMPUTED_VALUE"""),0.04748)</f>
        <v>0.04748</v>
      </c>
      <c r="K187" s="19" t="str">
        <f>IFERROR(__xludf.DUMMYFUNCTION("""COMPUTED_VALUE"""),"-")</f>
        <v>-</v>
      </c>
      <c r="L187" s="19">
        <f>IFERROR(__xludf.DUMMYFUNCTION("""COMPUTED_VALUE"""),0.04414)</f>
        <v>0.04414</v>
      </c>
      <c r="O187" s="24">
        <f t="shared" si="4"/>
        <v>0</v>
      </c>
      <c r="P187" s="24"/>
      <c r="Q187" s="24">
        <f t="shared" si="6"/>
        <v>0</v>
      </c>
      <c r="R187" s="24">
        <f t="shared" si="7"/>
        <v>0</v>
      </c>
      <c r="S187" s="24"/>
      <c r="T187" s="24">
        <f t="shared" si="9"/>
        <v>0</v>
      </c>
    </row>
    <row r="188">
      <c r="A188" s="12" t="s">
        <v>277</v>
      </c>
      <c r="F188" s="19">
        <f>IFERROR(__xludf.DUMMYFUNCTION("SPLIT(A184, "" |"")"),182.0)</f>
        <v>182</v>
      </c>
      <c r="G188" s="19">
        <f>IFERROR(__xludf.DUMMYFUNCTION("""COMPUTED_VALUE"""),0.00233)</f>
        <v>0.00233</v>
      </c>
      <c r="H188" s="19" t="str">
        <f>IFERROR(__xludf.DUMMYFUNCTION("""COMPUTED_VALUE"""),"-")</f>
        <v>-</v>
      </c>
      <c r="I188" s="19">
        <f>IFERROR(__xludf.DUMMYFUNCTION("""COMPUTED_VALUE"""),0.00217)</f>
        <v>0.00217</v>
      </c>
      <c r="J188" s="19">
        <f>IFERROR(__xludf.DUMMYFUNCTION("""COMPUTED_VALUE"""),0.04743)</f>
        <v>0.04743</v>
      </c>
      <c r="K188" s="19" t="str">
        <f>IFERROR(__xludf.DUMMYFUNCTION("""COMPUTED_VALUE"""),"-")</f>
        <v>-</v>
      </c>
      <c r="L188" s="19">
        <f>IFERROR(__xludf.DUMMYFUNCTION("""COMPUTED_VALUE"""),0.04761)</f>
        <v>0.04761</v>
      </c>
      <c r="O188" s="24">
        <f t="shared" si="4"/>
        <v>0</v>
      </c>
      <c r="P188" s="24"/>
      <c r="Q188" s="24">
        <f t="shared" si="6"/>
        <v>0</v>
      </c>
      <c r="R188" s="24">
        <f t="shared" si="7"/>
        <v>0</v>
      </c>
      <c r="S188" s="24"/>
      <c r="T188" s="24">
        <f t="shared" si="9"/>
        <v>0</v>
      </c>
    </row>
    <row r="189">
      <c r="A189" s="12" t="s">
        <v>278</v>
      </c>
      <c r="F189" s="19">
        <f>IFERROR(__xludf.DUMMYFUNCTION("SPLIT(A185, "" |"")"),183.0)</f>
        <v>183</v>
      </c>
      <c r="G189" s="19">
        <f>IFERROR(__xludf.DUMMYFUNCTION("""COMPUTED_VALUE"""),0.00231)</f>
        <v>0.00231</v>
      </c>
      <c r="H189" s="19" t="str">
        <f>IFERROR(__xludf.DUMMYFUNCTION("""COMPUTED_VALUE"""),"-")</f>
        <v>-</v>
      </c>
      <c r="I189" s="19">
        <f>IFERROR(__xludf.DUMMYFUNCTION("""COMPUTED_VALUE"""),0.00212)</f>
        <v>0.00212</v>
      </c>
      <c r="J189" s="19">
        <f>IFERROR(__xludf.DUMMYFUNCTION("""COMPUTED_VALUE"""),0.04392)</f>
        <v>0.04392</v>
      </c>
      <c r="K189" s="19" t="str">
        <f>IFERROR(__xludf.DUMMYFUNCTION("""COMPUTED_VALUE"""),"-")</f>
        <v>-</v>
      </c>
      <c r="L189" s="19">
        <f>IFERROR(__xludf.DUMMYFUNCTION("""COMPUTED_VALUE"""),0.04763)</f>
        <v>0.04763</v>
      </c>
      <c r="O189" s="24">
        <f t="shared" si="4"/>
        <v>0</v>
      </c>
      <c r="P189" s="24"/>
      <c r="Q189" s="24">
        <f t="shared" si="6"/>
        <v>0</v>
      </c>
      <c r="R189" s="24">
        <f t="shared" si="7"/>
        <v>1</v>
      </c>
      <c r="S189" s="24"/>
      <c r="T189" s="24">
        <f t="shared" si="9"/>
        <v>0</v>
      </c>
    </row>
    <row r="190">
      <c r="A190" s="12" t="s">
        <v>279</v>
      </c>
      <c r="F190" s="19">
        <f>IFERROR(__xludf.DUMMYFUNCTION("SPLIT(A186, "" |"")"),184.0)</f>
        <v>184</v>
      </c>
      <c r="G190" s="19">
        <f>IFERROR(__xludf.DUMMYFUNCTION("""COMPUTED_VALUE"""),0.0023)</f>
        <v>0.0023</v>
      </c>
      <c r="H190" s="19" t="str">
        <f>IFERROR(__xludf.DUMMYFUNCTION("""COMPUTED_VALUE"""),"-")</f>
        <v>-</v>
      </c>
      <c r="I190" s="19">
        <f>IFERROR(__xludf.DUMMYFUNCTION("""COMPUTED_VALUE"""),0.00211)</f>
        <v>0.00211</v>
      </c>
      <c r="J190" s="19">
        <f>IFERROR(__xludf.DUMMYFUNCTION("""COMPUTED_VALUE"""),0.04738)</f>
        <v>0.04738</v>
      </c>
      <c r="K190" s="19" t="str">
        <f>IFERROR(__xludf.DUMMYFUNCTION("""COMPUTED_VALUE"""),"-")</f>
        <v>-</v>
      </c>
      <c r="L190" s="19">
        <f>IFERROR(__xludf.DUMMYFUNCTION("""COMPUTED_VALUE"""),0.04767)</f>
        <v>0.04767</v>
      </c>
      <c r="O190" s="24">
        <f t="shared" si="4"/>
        <v>0</v>
      </c>
      <c r="P190" s="24"/>
      <c r="Q190" s="24">
        <f t="shared" si="6"/>
        <v>0</v>
      </c>
      <c r="R190" s="24">
        <f t="shared" si="7"/>
        <v>0</v>
      </c>
      <c r="S190" s="24"/>
      <c r="T190" s="24">
        <f t="shared" si="9"/>
        <v>0</v>
      </c>
    </row>
    <row r="191">
      <c r="A191" s="12" t="s">
        <v>280</v>
      </c>
      <c r="F191" s="19">
        <f>IFERROR(__xludf.DUMMYFUNCTION("SPLIT(A187, "" |"")"),185.0)</f>
        <v>185</v>
      </c>
      <c r="G191" s="19">
        <f>IFERROR(__xludf.DUMMYFUNCTION("""COMPUTED_VALUE"""),0.00236)</f>
        <v>0.00236</v>
      </c>
      <c r="H191" s="19" t="str">
        <f>IFERROR(__xludf.DUMMYFUNCTION("""COMPUTED_VALUE"""),"-")</f>
        <v>-</v>
      </c>
      <c r="I191" s="19">
        <f>IFERROR(__xludf.DUMMYFUNCTION("""COMPUTED_VALUE"""),0.00221)</f>
        <v>0.00221</v>
      </c>
      <c r="J191" s="19">
        <f>IFERROR(__xludf.DUMMYFUNCTION("""COMPUTED_VALUE"""),0.04666)</f>
        <v>0.04666</v>
      </c>
      <c r="K191" s="19" t="str">
        <f>IFERROR(__xludf.DUMMYFUNCTION("""COMPUTED_VALUE"""),"-")</f>
        <v>-</v>
      </c>
      <c r="L191" s="19">
        <f>IFERROR(__xludf.DUMMYFUNCTION("""COMPUTED_VALUE"""),0.04755)</f>
        <v>0.04755</v>
      </c>
      <c r="O191" s="24">
        <f t="shared" si="4"/>
        <v>0</v>
      </c>
      <c r="P191" s="24"/>
      <c r="Q191" s="24">
        <f t="shared" si="6"/>
        <v>0</v>
      </c>
      <c r="R191" s="24">
        <f t="shared" si="7"/>
        <v>0</v>
      </c>
      <c r="S191" s="24"/>
      <c r="T191" s="24">
        <f t="shared" si="9"/>
        <v>0</v>
      </c>
    </row>
    <row r="192">
      <c r="A192" s="12" t="s">
        <v>281</v>
      </c>
      <c r="F192" s="19">
        <f>IFERROR(__xludf.DUMMYFUNCTION("SPLIT(A188, "" |"")"),186.0)</f>
        <v>186</v>
      </c>
      <c r="G192" s="19">
        <f>IFERROR(__xludf.DUMMYFUNCTION("""COMPUTED_VALUE"""),0.00229)</f>
        <v>0.00229</v>
      </c>
      <c r="H192" s="19" t="str">
        <f>IFERROR(__xludf.DUMMYFUNCTION("""COMPUTED_VALUE"""),"-")</f>
        <v>-</v>
      </c>
      <c r="I192" s="19">
        <f>IFERROR(__xludf.DUMMYFUNCTION("""COMPUTED_VALUE"""),0.00218)</f>
        <v>0.00218</v>
      </c>
      <c r="J192" s="19">
        <f>IFERROR(__xludf.DUMMYFUNCTION("""COMPUTED_VALUE"""),0.04742)</f>
        <v>0.04742</v>
      </c>
      <c r="K192" s="19" t="str">
        <f>IFERROR(__xludf.DUMMYFUNCTION("""COMPUTED_VALUE"""),"-")</f>
        <v>-</v>
      </c>
      <c r="L192" s="19">
        <f>IFERROR(__xludf.DUMMYFUNCTION("""COMPUTED_VALUE"""),0.0476)</f>
        <v>0.0476</v>
      </c>
      <c r="O192" s="24">
        <f t="shared" si="4"/>
        <v>0</v>
      </c>
      <c r="P192" s="24"/>
      <c r="Q192" s="24">
        <f t="shared" si="6"/>
        <v>0</v>
      </c>
      <c r="R192" s="24">
        <f t="shared" si="7"/>
        <v>0</v>
      </c>
      <c r="S192" s="24"/>
      <c r="T192" s="24">
        <f t="shared" si="9"/>
        <v>0</v>
      </c>
    </row>
    <row r="193">
      <c r="A193" s="12" t="s">
        <v>282</v>
      </c>
      <c r="F193" s="19">
        <f>IFERROR(__xludf.DUMMYFUNCTION("SPLIT(A189, "" |"")"),187.0)</f>
        <v>187</v>
      </c>
      <c r="G193" s="19">
        <f>IFERROR(__xludf.DUMMYFUNCTION("""COMPUTED_VALUE"""),0.00231)</f>
        <v>0.00231</v>
      </c>
      <c r="H193" s="19" t="str">
        <f>IFERROR(__xludf.DUMMYFUNCTION("""COMPUTED_VALUE"""),"-")</f>
        <v>-</v>
      </c>
      <c r="I193" s="19">
        <f>IFERROR(__xludf.DUMMYFUNCTION("""COMPUTED_VALUE"""),0.00215)</f>
        <v>0.00215</v>
      </c>
      <c r="J193" s="19">
        <f>IFERROR(__xludf.DUMMYFUNCTION("""COMPUTED_VALUE"""),0.04745)</f>
        <v>0.04745</v>
      </c>
      <c r="K193" s="19" t="str">
        <f>IFERROR(__xludf.DUMMYFUNCTION("""COMPUTED_VALUE"""),"-")</f>
        <v>-</v>
      </c>
      <c r="L193" s="19">
        <f>IFERROR(__xludf.DUMMYFUNCTION("""COMPUTED_VALUE"""),0.04758)</f>
        <v>0.04758</v>
      </c>
      <c r="O193" s="24">
        <f t="shared" si="4"/>
        <v>0</v>
      </c>
      <c r="P193" s="24"/>
      <c r="Q193" s="24">
        <f t="shared" si="6"/>
        <v>0</v>
      </c>
      <c r="R193" s="24">
        <f t="shared" si="7"/>
        <v>0</v>
      </c>
      <c r="S193" s="24"/>
      <c r="T193" s="24">
        <f t="shared" si="9"/>
        <v>0</v>
      </c>
    </row>
    <row r="194">
      <c r="A194" s="12" t="s">
        <v>283</v>
      </c>
      <c r="F194" s="19">
        <f>IFERROR(__xludf.DUMMYFUNCTION("SPLIT(A190, "" |"")"),188.0)</f>
        <v>188</v>
      </c>
      <c r="G194" s="19">
        <f>IFERROR(__xludf.DUMMYFUNCTION("""COMPUTED_VALUE"""),0.00234)</f>
        <v>0.00234</v>
      </c>
      <c r="H194" s="19" t="str">
        <f>IFERROR(__xludf.DUMMYFUNCTION("""COMPUTED_VALUE"""),"-")</f>
        <v>-</v>
      </c>
      <c r="I194" s="19">
        <f>IFERROR(__xludf.DUMMYFUNCTION("""COMPUTED_VALUE"""),0.0022)</f>
        <v>0.0022</v>
      </c>
      <c r="J194" s="19">
        <f>IFERROR(__xludf.DUMMYFUNCTION("""COMPUTED_VALUE"""),0.04739)</f>
        <v>0.04739</v>
      </c>
      <c r="K194" s="19" t="str">
        <f>IFERROR(__xludf.DUMMYFUNCTION("""COMPUTED_VALUE"""),"-")</f>
        <v>-</v>
      </c>
      <c r="L194" s="19">
        <f>IFERROR(__xludf.DUMMYFUNCTION("""COMPUTED_VALUE"""),0.04763)</f>
        <v>0.04763</v>
      </c>
      <c r="O194" s="24">
        <f t="shared" si="4"/>
        <v>0</v>
      </c>
      <c r="P194" s="24"/>
      <c r="Q194" s="24">
        <f t="shared" si="6"/>
        <v>0</v>
      </c>
      <c r="R194" s="24">
        <f t="shared" si="7"/>
        <v>0</v>
      </c>
      <c r="S194" s="24"/>
      <c r="T194" s="24">
        <f t="shared" si="9"/>
        <v>0</v>
      </c>
    </row>
    <row r="195">
      <c r="A195" s="12" t="s">
        <v>284</v>
      </c>
      <c r="F195" s="19">
        <f>IFERROR(__xludf.DUMMYFUNCTION("SPLIT(A191, "" |"")"),189.0)</f>
        <v>189</v>
      </c>
      <c r="G195" s="19">
        <f>IFERROR(__xludf.DUMMYFUNCTION("""COMPUTED_VALUE"""),0.00234)</f>
        <v>0.00234</v>
      </c>
      <c r="H195" s="19" t="str">
        <f>IFERROR(__xludf.DUMMYFUNCTION("""COMPUTED_VALUE"""),"-")</f>
        <v>-</v>
      </c>
      <c r="I195" s="19">
        <f>IFERROR(__xludf.DUMMYFUNCTION("""COMPUTED_VALUE"""),0.00217)</f>
        <v>0.00217</v>
      </c>
      <c r="J195" s="19">
        <f>IFERROR(__xludf.DUMMYFUNCTION("""COMPUTED_VALUE"""),0.04748)</f>
        <v>0.04748</v>
      </c>
      <c r="K195" s="19" t="str">
        <f>IFERROR(__xludf.DUMMYFUNCTION("""COMPUTED_VALUE"""),"-")</f>
        <v>-</v>
      </c>
      <c r="L195" s="19">
        <f>IFERROR(__xludf.DUMMYFUNCTION("""COMPUTED_VALUE"""),0.03926)</f>
        <v>0.03926</v>
      </c>
      <c r="O195" s="24">
        <f t="shared" si="4"/>
        <v>0</v>
      </c>
      <c r="P195" s="24"/>
      <c r="Q195" s="24">
        <f t="shared" si="6"/>
        <v>0</v>
      </c>
      <c r="R195" s="24">
        <f t="shared" si="7"/>
        <v>0</v>
      </c>
      <c r="S195" s="24"/>
      <c r="T195" s="24">
        <f t="shared" si="9"/>
        <v>0</v>
      </c>
    </row>
    <row r="196">
      <c r="A196" s="12" t="s">
        <v>285</v>
      </c>
      <c r="F196" s="19">
        <f>IFERROR(__xludf.DUMMYFUNCTION("SPLIT(A192, "" |"")"),190.0)</f>
        <v>190</v>
      </c>
      <c r="G196" s="19">
        <f>IFERROR(__xludf.DUMMYFUNCTION("""COMPUTED_VALUE"""),0.00225)</f>
        <v>0.00225</v>
      </c>
      <c r="H196" s="19" t="str">
        <f>IFERROR(__xludf.DUMMYFUNCTION("""COMPUTED_VALUE"""),"-")</f>
        <v>-</v>
      </c>
      <c r="I196" s="19">
        <f>IFERROR(__xludf.DUMMYFUNCTION("""COMPUTED_VALUE"""),0.00208)</f>
        <v>0.00208</v>
      </c>
      <c r="J196" s="19">
        <f>IFERROR(__xludf.DUMMYFUNCTION("""COMPUTED_VALUE"""),0.04731)</f>
        <v>0.04731</v>
      </c>
      <c r="K196" s="19" t="str">
        <f>IFERROR(__xludf.DUMMYFUNCTION("""COMPUTED_VALUE"""),"-")</f>
        <v>-</v>
      </c>
      <c r="L196" s="19">
        <f>IFERROR(__xludf.DUMMYFUNCTION("""COMPUTED_VALUE"""),0.04752)</f>
        <v>0.04752</v>
      </c>
      <c r="O196" s="24">
        <f t="shared" si="4"/>
        <v>0</v>
      </c>
      <c r="P196" s="24"/>
      <c r="Q196" s="24">
        <f t="shared" si="6"/>
        <v>0</v>
      </c>
      <c r="R196" s="24">
        <f t="shared" si="7"/>
        <v>0</v>
      </c>
      <c r="S196" s="24"/>
      <c r="T196" s="24">
        <f t="shared" si="9"/>
        <v>0</v>
      </c>
    </row>
    <row r="197">
      <c r="A197" s="12" t="s">
        <v>286</v>
      </c>
      <c r="F197" s="19">
        <f>IFERROR(__xludf.DUMMYFUNCTION("SPLIT(A193, "" |"")"),191.0)</f>
        <v>191</v>
      </c>
      <c r="G197" s="19">
        <f>IFERROR(__xludf.DUMMYFUNCTION("""COMPUTED_VALUE"""),0.00223)</f>
        <v>0.00223</v>
      </c>
      <c r="H197" s="19" t="str">
        <f>IFERROR(__xludf.DUMMYFUNCTION("""COMPUTED_VALUE"""),"-")</f>
        <v>-</v>
      </c>
      <c r="I197" s="19">
        <f>IFERROR(__xludf.DUMMYFUNCTION("""COMPUTED_VALUE"""),0.00209)</f>
        <v>0.00209</v>
      </c>
      <c r="J197" s="19">
        <f>IFERROR(__xludf.DUMMYFUNCTION("""COMPUTED_VALUE"""),0.04403)</f>
        <v>0.04403</v>
      </c>
      <c r="K197" s="19" t="str">
        <f>IFERROR(__xludf.DUMMYFUNCTION("""COMPUTED_VALUE"""),"-")</f>
        <v>-</v>
      </c>
      <c r="L197" s="19">
        <f>IFERROR(__xludf.DUMMYFUNCTION("""COMPUTED_VALUE"""),0.04763)</f>
        <v>0.04763</v>
      </c>
      <c r="O197" s="24">
        <f t="shared" si="4"/>
        <v>0</v>
      </c>
      <c r="P197" s="24"/>
      <c r="Q197" s="24">
        <f t="shared" si="6"/>
        <v>0</v>
      </c>
      <c r="R197" s="24">
        <f t="shared" si="7"/>
        <v>1</v>
      </c>
      <c r="S197" s="24"/>
      <c r="T197" s="24">
        <f t="shared" si="9"/>
        <v>0</v>
      </c>
    </row>
    <row r="198">
      <c r="A198" s="12" t="s">
        <v>287</v>
      </c>
      <c r="F198" s="19">
        <f>IFERROR(__xludf.DUMMYFUNCTION("SPLIT(A194, "" |"")"),192.0)</f>
        <v>192</v>
      </c>
      <c r="G198" s="19">
        <f>IFERROR(__xludf.DUMMYFUNCTION("""COMPUTED_VALUE"""),0.00241)</f>
        <v>0.00241</v>
      </c>
      <c r="H198" s="19" t="str">
        <f>IFERROR(__xludf.DUMMYFUNCTION("""COMPUTED_VALUE"""),"-")</f>
        <v>-</v>
      </c>
      <c r="I198" s="19">
        <f>IFERROR(__xludf.DUMMYFUNCTION("""COMPUTED_VALUE"""),0.00221)</f>
        <v>0.00221</v>
      </c>
      <c r="J198" s="19">
        <f>IFERROR(__xludf.DUMMYFUNCTION("""COMPUTED_VALUE"""),0.0475)</f>
        <v>0.0475</v>
      </c>
      <c r="K198" s="19" t="str">
        <f>IFERROR(__xludf.DUMMYFUNCTION("""COMPUTED_VALUE"""),"-")</f>
        <v>-</v>
      </c>
      <c r="L198" s="19">
        <f>IFERROR(__xludf.DUMMYFUNCTION("""COMPUTED_VALUE"""),0.04757)</f>
        <v>0.04757</v>
      </c>
      <c r="O198" s="24">
        <f t="shared" si="4"/>
        <v>0</v>
      </c>
      <c r="P198" s="24"/>
      <c r="Q198" s="24">
        <f t="shared" si="6"/>
        <v>0</v>
      </c>
      <c r="R198" s="24">
        <f t="shared" si="7"/>
        <v>0</v>
      </c>
      <c r="S198" s="24"/>
      <c r="T198" s="24">
        <f t="shared" si="9"/>
        <v>0</v>
      </c>
    </row>
    <row r="199">
      <c r="A199" s="12" t="s">
        <v>288</v>
      </c>
      <c r="F199" s="19">
        <f>IFERROR(__xludf.DUMMYFUNCTION("SPLIT(A195, "" |"")"),193.0)</f>
        <v>193</v>
      </c>
      <c r="G199" s="19">
        <f>IFERROR(__xludf.DUMMYFUNCTION("""COMPUTED_VALUE"""),0.00238)</f>
        <v>0.00238</v>
      </c>
      <c r="H199" s="19" t="str">
        <f>IFERROR(__xludf.DUMMYFUNCTION("""COMPUTED_VALUE"""),"-")</f>
        <v>-</v>
      </c>
      <c r="I199" s="19">
        <f>IFERROR(__xludf.DUMMYFUNCTION("""COMPUTED_VALUE"""),0.00224)</f>
        <v>0.00224</v>
      </c>
      <c r="J199" s="19">
        <f>IFERROR(__xludf.DUMMYFUNCTION("""COMPUTED_VALUE"""),0.04747)</f>
        <v>0.04747</v>
      </c>
      <c r="K199" s="19" t="str">
        <f>IFERROR(__xludf.DUMMYFUNCTION("""COMPUTED_VALUE"""),"-")</f>
        <v>-</v>
      </c>
      <c r="L199" s="19">
        <f>IFERROR(__xludf.DUMMYFUNCTION("""COMPUTED_VALUE"""),0.04771)</f>
        <v>0.04771</v>
      </c>
      <c r="O199" s="24">
        <f t="shared" si="4"/>
        <v>0</v>
      </c>
      <c r="P199" s="24"/>
      <c r="Q199" s="24">
        <f t="shared" si="6"/>
        <v>0</v>
      </c>
      <c r="R199" s="24">
        <f t="shared" si="7"/>
        <v>0</v>
      </c>
      <c r="S199" s="24"/>
      <c r="T199" s="24">
        <f t="shared" si="9"/>
        <v>0</v>
      </c>
    </row>
    <row r="200">
      <c r="A200" s="12" t="s">
        <v>289</v>
      </c>
      <c r="F200" s="19">
        <f>IFERROR(__xludf.DUMMYFUNCTION("SPLIT(A196, "" |"")"),194.0)</f>
        <v>194</v>
      </c>
      <c r="G200" s="19">
        <f>IFERROR(__xludf.DUMMYFUNCTION("""COMPUTED_VALUE"""),0.00232)</f>
        <v>0.00232</v>
      </c>
      <c r="H200" s="19" t="str">
        <f>IFERROR(__xludf.DUMMYFUNCTION("""COMPUTED_VALUE"""),"-")</f>
        <v>-</v>
      </c>
      <c r="I200" s="19">
        <f>IFERROR(__xludf.DUMMYFUNCTION("""COMPUTED_VALUE"""),0.00227)</f>
        <v>0.00227</v>
      </c>
      <c r="J200" s="19">
        <f>IFERROR(__xludf.DUMMYFUNCTION("""COMPUTED_VALUE"""),0.0475)</f>
        <v>0.0475</v>
      </c>
      <c r="K200" s="19" t="str">
        <f>IFERROR(__xludf.DUMMYFUNCTION("""COMPUTED_VALUE"""),"-")</f>
        <v>-</v>
      </c>
      <c r="L200" s="19">
        <f>IFERROR(__xludf.DUMMYFUNCTION("""COMPUTED_VALUE"""),0.04769)</f>
        <v>0.04769</v>
      </c>
      <c r="O200" s="24">
        <f t="shared" si="4"/>
        <v>0</v>
      </c>
      <c r="P200" s="24"/>
      <c r="Q200" s="24">
        <f t="shared" si="6"/>
        <v>0</v>
      </c>
      <c r="R200" s="24">
        <f t="shared" si="7"/>
        <v>0</v>
      </c>
      <c r="S200" s="24"/>
      <c r="T200" s="24">
        <f t="shared" si="9"/>
        <v>0</v>
      </c>
    </row>
    <row r="201">
      <c r="A201" s="12" t="s">
        <v>290</v>
      </c>
      <c r="F201" s="19">
        <f>IFERROR(__xludf.DUMMYFUNCTION("SPLIT(A197, "" |"")"),195.0)</f>
        <v>195</v>
      </c>
      <c r="G201" s="19">
        <f>IFERROR(__xludf.DUMMYFUNCTION("""COMPUTED_VALUE"""),0.00237)</f>
        <v>0.00237</v>
      </c>
      <c r="H201" s="19" t="str">
        <f>IFERROR(__xludf.DUMMYFUNCTION("""COMPUTED_VALUE"""),"-")</f>
        <v>-</v>
      </c>
      <c r="I201" s="19">
        <f>IFERROR(__xludf.DUMMYFUNCTION("""COMPUTED_VALUE"""),0.00223)</f>
        <v>0.00223</v>
      </c>
      <c r="J201" s="19">
        <f>IFERROR(__xludf.DUMMYFUNCTION("""COMPUTED_VALUE"""),0.0474)</f>
        <v>0.0474</v>
      </c>
      <c r="K201" s="19" t="str">
        <f>IFERROR(__xludf.DUMMYFUNCTION("""COMPUTED_VALUE"""),"-")</f>
        <v>-</v>
      </c>
      <c r="L201" s="19">
        <f>IFERROR(__xludf.DUMMYFUNCTION("""COMPUTED_VALUE"""),0.04784)</f>
        <v>0.04784</v>
      </c>
      <c r="O201" s="24">
        <f t="shared" si="4"/>
        <v>0</v>
      </c>
      <c r="P201" s="24"/>
      <c r="Q201" s="24">
        <f t="shared" si="6"/>
        <v>0</v>
      </c>
      <c r="R201" s="24">
        <f t="shared" si="7"/>
        <v>0</v>
      </c>
      <c r="S201" s="24"/>
      <c r="T201" s="24">
        <f t="shared" si="9"/>
        <v>0</v>
      </c>
    </row>
    <row r="202">
      <c r="A202" s="12" t="s">
        <v>291</v>
      </c>
      <c r="F202" s="19">
        <f>IFERROR(__xludf.DUMMYFUNCTION("SPLIT(A198, "" |"")"),196.0)</f>
        <v>196</v>
      </c>
      <c r="G202" s="19">
        <f>IFERROR(__xludf.DUMMYFUNCTION("""COMPUTED_VALUE"""),0.00241)</f>
        <v>0.00241</v>
      </c>
      <c r="H202" s="19" t="str">
        <f>IFERROR(__xludf.DUMMYFUNCTION("""COMPUTED_VALUE"""),"-")</f>
        <v>-</v>
      </c>
      <c r="I202" s="19">
        <f>IFERROR(__xludf.DUMMYFUNCTION("""COMPUTED_VALUE"""),0.00227)</f>
        <v>0.00227</v>
      </c>
      <c r="J202" s="19">
        <f>IFERROR(__xludf.DUMMYFUNCTION("""COMPUTED_VALUE"""),0.04738)</f>
        <v>0.04738</v>
      </c>
      <c r="K202" s="19" t="str">
        <f>IFERROR(__xludf.DUMMYFUNCTION("""COMPUTED_VALUE"""),"-")</f>
        <v>-</v>
      </c>
      <c r="L202" s="19">
        <f>IFERROR(__xludf.DUMMYFUNCTION("""COMPUTED_VALUE"""),0.04751)</f>
        <v>0.04751</v>
      </c>
      <c r="O202" s="24">
        <f t="shared" si="4"/>
        <v>0</v>
      </c>
      <c r="P202" s="24"/>
      <c r="Q202" s="24">
        <f t="shared" si="6"/>
        <v>0</v>
      </c>
      <c r="R202" s="24">
        <f t="shared" si="7"/>
        <v>0</v>
      </c>
      <c r="S202" s="24"/>
      <c r="T202" s="24">
        <f t="shared" si="9"/>
        <v>0</v>
      </c>
    </row>
    <row r="203">
      <c r="A203" s="12" t="s">
        <v>292</v>
      </c>
      <c r="F203" s="19">
        <f>IFERROR(__xludf.DUMMYFUNCTION("SPLIT(A199, "" |"")"),197.0)</f>
        <v>197</v>
      </c>
      <c r="G203" s="19">
        <f>IFERROR(__xludf.DUMMYFUNCTION("""COMPUTED_VALUE"""),0.00227)</f>
        <v>0.00227</v>
      </c>
      <c r="H203" s="19" t="str">
        <f>IFERROR(__xludf.DUMMYFUNCTION("""COMPUTED_VALUE"""),"-")</f>
        <v>-</v>
      </c>
      <c r="I203" s="19">
        <f>IFERROR(__xludf.DUMMYFUNCTION("""COMPUTED_VALUE"""),0.00205)</f>
        <v>0.00205</v>
      </c>
      <c r="J203" s="19">
        <f>IFERROR(__xludf.DUMMYFUNCTION("""COMPUTED_VALUE"""),0.04731)</f>
        <v>0.04731</v>
      </c>
      <c r="K203" s="19" t="str">
        <f>IFERROR(__xludf.DUMMYFUNCTION("""COMPUTED_VALUE"""),"-")</f>
        <v>-</v>
      </c>
      <c r="L203" s="19">
        <f>IFERROR(__xludf.DUMMYFUNCTION("""COMPUTED_VALUE"""),0.0475)</f>
        <v>0.0475</v>
      </c>
      <c r="O203" s="24">
        <f t="shared" si="4"/>
        <v>0</v>
      </c>
      <c r="P203" s="24"/>
      <c r="Q203" s="24">
        <f t="shared" si="6"/>
        <v>0</v>
      </c>
      <c r="R203" s="24">
        <f t="shared" si="7"/>
        <v>0</v>
      </c>
      <c r="S203" s="24"/>
      <c r="T203" s="24">
        <f t="shared" si="9"/>
        <v>0</v>
      </c>
    </row>
    <row r="204">
      <c r="A204" s="12" t="s">
        <v>293</v>
      </c>
      <c r="F204" s="19">
        <f>IFERROR(__xludf.DUMMYFUNCTION("SPLIT(A200, "" |"")"),198.0)</f>
        <v>198</v>
      </c>
      <c r="G204" s="19">
        <f>IFERROR(__xludf.DUMMYFUNCTION("""COMPUTED_VALUE"""),0.00225)</f>
        <v>0.00225</v>
      </c>
      <c r="H204" s="19" t="str">
        <f>IFERROR(__xludf.DUMMYFUNCTION("""COMPUTED_VALUE"""),"-")</f>
        <v>-</v>
      </c>
      <c r="I204" s="19">
        <f>IFERROR(__xludf.DUMMYFUNCTION("""COMPUTED_VALUE"""),0.00209)</f>
        <v>0.00209</v>
      </c>
      <c r="J204" s="19">
        <f>IFERROR(__xludf.DUMMYFUNCTION("""COMPUTED_VALUE"""),0.04149)</f>
        <v>0.04149</v>
      </c>
      <c r="K204" s="19" t="str">
        <f>IFERROR(__xludf.DUMMYFUNCTION("""COMPUTED_VALUE"""),"-")</f>
        <v>-</v>
      </c>
      <c r="L204" s="19">
        <f>IFERROR(__xludf.DUMMYFUNCTION("""COMPUTED_VALUE"""),0.0475)</f>
        <v>0.0475</v>
      </c>
      <c r="O204" s="24">
        <f t="shared" si="4"/>
        <v>0</v>
      </c>
      <c r="P204" s="24"/>
      <c r="Q204" s="24">
        <f t="shared" si="6"/>
        <v>0</v>
      </c>
      <c r="R204" s="24">
        <f t="shared" si="7"/>
        <v>1</v>
      </c>
      <c r="S204" s="24"/>
      <c r="T204" s="24">
        <f t="shared" si="9"/>
        <v>0</v>
      </c>
    </row>
    <row r="205">
      <c r="A205" s="12" t="s">
        <v>294</v>
      </c>
      <c r="F205" s="19">
        <f>IFERROR(__xludf.DUMMYFUNCTION("SPLIT(A201, "" |"")"),199.0)</f>
        <v>199</v>
      </c>
      <c r="G205" s="19">
        <f>IFERROR(__xludf.DUMMYFUNCTION("""COMPUTED_VALUE"""),0.00226)</f>
        <v>0.00226</v>
      </c>
      <c r="H205" s="19" t="str">
        <f>IFERROR(__xludf.DUMMYFUNCTION("""COMPUTED_VALUE"""),"-")</f>
        <v>-</v>
      </c>
      <c r="I205" s="19">
        <f>IFERROR(__xludf.DUMMYFUNCTION("""COMPUTED_VALUE"""),0.00205)</f>
        <v>0.00205</v>
      </c>
      <c r="J205" s="19">
        <f>IFERROR(__xludf.DUMMYFUNCTION("""COMPUTED_VALUE"""),0.04718)</f>
        <v>0.04718</v>
      </c>
      <c r="K205" s="19" t="str">
        <f>IFERROR(__xludf.DUMMYFUNCTION("""COMPUTED_VALUE"""),"-")</f>
        <v>-</v>
      </c>
      <c r="L205" s="19">
        <f>IFERROR(__xludf.DUMMYFUNCTION("""COMPUTED_VALUE"""),0.04746)</f>
        <v>0.04746</v>
      </c>
      <c r="O205" s="24">
        <f t="shared" si="4"/>
        <v>0</v>
      </c>
      <c r="P205" s="24"/>
      <c r="Q205" s="24">
        <f t="shared" si="6"/>
        <v>0</v>
      </c>
      <c r="R205" s="24">
        <f t="shared" si="7"/>
        <v>0</v>
      </c>
      <c r="S205" s="24"/>
      <c r="T205" s="24">
        <f t="shared" si="9"/>
        <v>0</v>
      </c>
    </row>
    <row r="206">
      <c r="A206" s="12" t="s">
        <v>295</v>
      </c>
      <c r="F206" s="19">
        <f>IFERROR(__xludf.DUMMYFUNCTION("SPLIT(A202, "" |"")"),200.0)</f>
        <v>200</v>
      </c>
      <c r="G206" s="19">
        <f>IFERROR(__xludf.DUMMYFUNCTION("""COMPUTED_VALUE"""),0.00223)</f>
        <v>0.00223</v>
      </c>
      <c r="H206" s="19" t="str">
        <f>IFERROR(__xludf.DUMMYFUNCTION("""COMPUTED_VALUE"""),"-")</f>
        <v>-</v>
      </c>
      <c r="I206" s="19">
        <f>IFERROR(__xludf.DUMMYFUNCTION("""COMPUTED_VALUE"""),0.00205)</f>
        <v>0.00205</v>
      </c>
      <c r="J206" s="19">
        <f>IFERROR(__xludf.DUMMYFUNCTION("""COMPUTED_VALUE"""),0.04725)</f>
        <v>0.04725</v>
      </c>
      <c r="K206" s="19" t="str">
        <f>IFERROR(__xludf.DUMMYFUNCTION("""COMPUTED_VALUE"""),"-")</f>
        <v>-</v>
      </c>
      <c r="L206" s="19">
        <f>IFERROR(__xludf.DUMMYFUNCTION("""COMPUTED_VALUE"""),0.04746)</f>
        <v>0.04746</v>
      </c>
      <c r="O206" s="24">
        <f t="shared" si="4"/>
        <v>0</v>
      </c>
      <c r="P206" s="24"/>
      <c r="Q206" s="24">
        <f t="shared" si="6"/>
        <v>0</v>
      </c>
      <c r="R206" s="24">
        <f t="shared" si="7"/>
        <v>0</v>
      </c>
      <c r="S206" s="24"/>
      <c r="T206" s="24">
        <f t="shared" si="9"/>
        <v>0</v>
      </c>
    </row>
    <row r="207">
      <c r="A207" s="12" t="s">
        <v>296</v>
      </c>
      <c r="F207" s="19">
        <f>IFERROR(__xludf.DUMMYFUNCTION("SPLIT(A203, "" |"")"),201.0)</f>
        <v>201</v>
      </c>
      <c r="G207" s="19">
        <f>IFERROR(__xludf.DUMMYFUNCTION("""COMPUTED_VALUE"""),0.00224)</f>
        <v>0.00224</v>
      </c>
      <c r="H207" s="19" t="str">
        <f>IFERROR(__xludf.DUMMYFUNCTION("""COMPUTED_VALUE"""),"-")</f>
        <v>-</v>
      </c>
      <c r="I207" s="19">
        <f>IFERROR(__xludf.DUMMYFUNCTION("""COMPUTED_VALUE"""),0.00207)</f>
        <v>0.00207</v>
      </c>
      <c r="J207" s="19">
        <f>IFERROR(__xludf.DUMMYFUNCTION("""COMPUTED_VALUE"""),0.04727)</f>
        <v>0.04727</v>
      </c>
      <c r="K207" s="19" t="str">
        <f>IFERROR(__xludf.DUMMYFUNCTION("""COMPUTED_VALUE"""),"-")</f>
        <v>-</v>
      </c>
      <c r="L207" s="19">
        <f>IFERROR(__xludf.DUMMYFUNCTION("""COMPUTED_VALUE"""),0.04053)</f>
        <v>0.04053</v>
      </c>
      <c r="O207" s="24">
        <f t="shared" si="4"/>
        <v>0</v>
      </c>
      <c r="P207" s="24"/>
      <c r="Q207" s="24">
        <f t="shared" si="6"/>
        <v>0</v>
      </c>
      <c r="R207" s="24">
        <f t="shared" si="7"/>
        <v>0</v>
      </c>
      <c r="S207" s="24"/>
      <c r="T207" s="24">
        <f t="shared" si="9"/>
        <v>0</v>
      </c>
    </row>
    <row r="208">
      <c r="A208" s="12" t="s">
        <v>297</v>
      </c>
      <c r="F208" s="19">
        <f>IFERROR(__xludf.DUMMYFUNCTION("SPLIT(A204, "" |"")"),202.0)</f>
        <v>202</v>
      </c>
      <c r="G208" s="19">
        <f>IFERROR(__xludf.DUMMYFUNCTION("""COMPUTED_VALUE"""),0.00224)</f>
        <v>0.00224</v>
      </c>
      <c r="H208" s="19" t="str">
        <f>IFERROR(__xludf.DUMMYFUNCTION("""COMPUTED_VALUE"""),"-")</f>
        <v>-</v>
      </c>
      <c r="I208" s="19">
        <f>IFERROR(__xludf.DUMMYFUNCTION("""COMPUTED_VALUE"""),0.00206)</f>
        <v>0.00206</v>
      </c>
      <c r="J208" s="19">
        <f>IFERROR(__xludf.DUMMYFUNCTION("""COMPUTED_VALUE"""),0.04725)</f>
        <v>0.04725</v>
      </c>
      <c r="K208" s="19" t="str">
        <f>IFERROR(__xludf.DUMMYFUNCTION("""COMPUTED_VALUE"""),"-")</f>
        <v>-</v>
      </c>
      <c r="L208" s="19">
        <f>IFERROR(__xludf.DUMMYFUNCTION("""COMPUTED_VALUE"""),0.04746)</f>
        <v>0.04746</v>
      </c>
      <c r="O208" s="24">
        <f t="shared" si="4"/>
        <v>0</v>
      </c>
      <c r="P208" s="24"/>
      <c r="Q208" s="24">
        <f t="shared" si="6"/>
        <v>0</v>
      </c>
      <c r="R208" s="24">
        <f t="shared" si="7"/>
        <v>0</v>
      </c>
      <c r="S208" s="24"/>
      <c r="T208" s="24">
        <f t="shared" si="9"/>
        <v>0</v>
      </c>
    </row>
    <row r="209">
      <c r="A209" s="12" t="s">
        <v>298</v>
      </c>
      <c r="F209" s="19">
        <f>IFERROR(__xludf.DUMMYFUNCTION("SPLIT(A205, "" |"")"),203.0)</f>
        <v>203</v>
      </c>
      <c r="G209" s="19">
        <f>IFERROR(__xludf.DUMMYFUNCTION("""COMPUTED_VALUE"""),0.00224)</f>
        <v>0.00224</v>
      </c>
      <c r="H209" s="19" t="str">
        <f>IFERROR(__xludf.DUMMYFUNCTION("""COMPUTED_VALUE"""),"-")</f>
        <v>-</v>
      </c>
      <c r="I209" s="19">
        <f>IFERROR(__xludf.DUMMYFUNCTION("""COMPUTED_VALUE"""),0.00204)</f>
        <v>0.00204</v>
      </c>
      <c r="J209" s="19">
        <f>IFERROR(__xludf.DUMMYFUNCTION("""COMPUTED_VALUE"""),0.04724)</f>
        <v>0.04724</v>
      </c>
      <c r="K209" s="19" t="str">
        <f>IFERROR(__xludf.DUMMYFUNCTION("""COMPUTED_VALUE"""),"-")</f>
        <v>-</v>
      </c>
      <c r="L209" s="19">
        <f>IFERROR(__xludf.DUMMYFUNCTION("""COMPUTED_VALUE"""),0.0475)</f>
        <v>0.0475</v>
      </c>
      <c r="O209" s="24">
        <f t="shared" si="4"/>
        <v>0</v>
      </c>
      <c r="P209" s="24"/>
      <c r="Q209" s="24">
        <f t="shared" si="6"/>
        <v>0</v>
      </c>
      <c r="R209" s="24">
        <f t="shared" si="7"/>
        <v>0</v>
      </c>
      <c r="S209" s="24"/>
      <c r="T209" s="24">
        <f t="shared" si="9"/>
        <v>0</v>
      </c>
    </row>
    <row r="210">
      <c r="A210" s="12" t="s">
        <v>299</v>
      </c>
      <c r="F210" s="19">
        <f>IFERROR(__xludf.DUMMYFUNCTION("SPLIT(A206, "" |"")"),204.0)</f>
        <v>204</v>
      </c>
      <c r="G210" s="19">
        <f>IFERROR(__xludf.DUMMYFUNCTION("""COMPUTED_VALUE"""),0.00226)</f>
        <v>0.00226</v>
      </c>
      <c r="H210" s="19" t="str">
        <f>IFERROR(__xludf.DUMMYFUNCTION("""COMPUTED_VALUE"""),"-")</f>
        <v>-</v>
      </c>
      <c r="I210" s="19">
        <f>IFERROR(__xludf.DUMMYFUNCTION("""COMPUTED_VALUE"""),0.00205)</f>
        <v>0.00205</v>
      </c>
      <c r="J210" s="19">
        <f>IFERROR(__xludf.DUMMYFUNCTION("""COMPUTED_VALUE"""),0.04727)</f>
        <v>0.04727</v>
      </c>
      <c r="K210" s="19" t="str">
        <f>IFERROR(__xludf.DUMMYFUNCTION("""COMPUTED_VALUE"""),"-")</f>
        <v>-</v>
      </c>
      <c r="L210" s="19">
        <f>IFERROR(__xludf.DUMMYFUNCTION("""COMPUTED_VALUE"""),0.04744)</f>
        <v>0.04744</v>
      </c>
      <c r="O210" s="24">
        <f t="shared" si="4"/>
        <v>0</v>
      </c>
      <c r="P210" s="24"/>
      <c r="Q210" s="24">
        <f t="shared" si="6"/>
        <v>0</v>
      </c>
      <c r="R210" s="24">
        <f t="shared" si="7"/>
        <v>0</v>
      </c>
      <c r="S210" s="24"/>
      <c r="T210" s="24">
        <f t="shared" si="9"/>
        <v>0</v>
      </c>
    </row>
    <row r="211">
      <c r="A211" s="12" t="s">
        <v>300</v>
      </c>
      <c r="F211" s="19">
        <f>IFERROR(__xludf.DUMMYFUNCTION("SPLIT(A207, "" |"")"),205.0)</f>
        <v>205</v>
      </c>
      <c r="G211" s="19">
        <f>IFERROR(__xludf.DUMMYFUNCTION("""COMPUTED_VALUE"""),0.00222)</f>
        <v>0.00222</v>
      </c>
      <c r="H211" s="19" t="str">
        <f>IFERROR(__xludf.DUMMYFUNCTION("""COMPUTED_VALUE"""),"-")</f>
        <v>-</v>
      </c>
      <c r="I211" s="19">
        <f>IFERROR(__xludf.DUMMYFUNCTION("""COMPUTED_VALUE"""),0.00206)</f>
        <v>0.00206</v>
      </c>
      <c r="J211" s="19">
        <f>IFERROR(__xludf.DUMMYFUNCTION("""COMPUTED_VALUE"""),0.04727)</f>
        <v>0.04727</v>
      </c>
      <c r="K211" s="19" t="str">
        <f>IFERROR(__xludf.DUMMYFUNCTION("""COMPUTED_VALUE"""),"-")</f>
        <v>-</v>
      </c>
      <c r="L211" s="19">
        <f>IFERROR(__xludf.DUMMYFUNCTION("""COMPUTED_VALUE"""),0.04748)</f>
        <v>0.04748</v>
      </c>
      <c r="O211" s="24">
        <f t="shared" si="4"/>
        <v>0</v>
      </c>
      <c r="P211" s="24"/>
      <c r="Q211" s="24">
        <f t="shared" si="6"/>
        <v>0</v>
      </c>
      <c r="R211" s="24">
        <f t="shared" si="7"/>
        <v>0</v>
      </c>
      <c r="S211" s="24"/>
      <c r="T211" s="24">
        <f t="shared" si="9"/>
        <v>0</v>
      </c>
    </row>
    <row r="212">
      <c r="A212" s="12" t="s">
        <v>301</v>
      </c>
      <c r="F212" s="19">
        <f>IFERROR(__xludf.DUMMYFUNCTION("SPLIT(A208, "" |"")"),206.0)</f>
        <v>206</v>
      </c>
      <c r="G212" s="19">
        <f>IFERROR(__xludf.DUMMYFUNCTION("""COMPUTED_VALUE"""),0.00225)</f>
        <v>0.00225</v>
      </c>
      <c r="H212" s="19" t="str">
        <f>IFERROR(__xludf.DUMMYFUNCTION("""COMPUTED_VALUE"""),"-")</f>
        <v>-</v>
      </c>
      <c r="I212" s="19">
        <f>IFERROR(__xludf.DUMMYFUNCTION("""COMPUTED_VALUE"""),0.00206)</f>
        <v>0.00206</v>
      </c>
      <c r="J212" s="19">
        <f>IFERROR(__xludf.DUMMYFUNCTION("""COMPUTED_VALUE"""),0.04726)</f>
        <v>0.04726</v>
      </c>
      <c r="K212" s="19" t="str">
        <f>IFERROR(__xludf.DUMMYFUNCTION("""COMPUTED_VALUE"""),"-")</f>
        <v>-</v>
      </c>
      <c r="L212" s="19">
        <f>IFERROR(__xludf.DUMMYFUNCTION("""COMPUTED_VALUE"""),0.04749)</f>
        <v>0.04749</v>
      </c>
      <c r="O212" s="24">
        <f t="shared" si="4"/>
        <v>0</v>
      </c>
      <c r="P212" s="24"/>
      <c r="Q212" s="24">
        <f t="shared" si="6"/>
        <v>0</v>
      </c>
      <c r="R212" s="24">
        <f t="shared" si="7"/>
        <v>0</v>
      </c>
      <c r="S212" s="24"/>
      <c r="T212" s="24">
        <f t="shared" si="9"/>
        <v>0</v>
      </c>
    </row>
    <row r="213">
      <c r="A213" s="12" t="s">
        <v>302</v>
      </c>
      <c r="F213" s="19">
        <f>IFERROR(__xludf.DUMMYFUNCTION("SPLIT(A209, "" |"")"),207.0)</f>
        <v>207</v>
      </c>
      <c r="G213" s="19">
        <f>IFERROR(__xludf.DUMMYFUNCTION("""COMPUTED_VALUE"""),0.00226)</f>
        <v>0.00226</v>
      </c>
      <c r="H213" s="19" t="str">
        <f>IFERROR(__xludf.DUMMYFUNCTION("""COMPUTED_VALUE"""),"-")</f>
        <v>-</v>
      </c>
      <c r="I213" s="19">
        <f>IFERROR(__xludf.DUMMYFUNCTION("""COMPUTED_VALUE"""),0.00206)</f>
        <v>0.00206</v>
      </c>
      <c r="J213" s="19">
        <f>IFERROR(__xludf.DUMMYFUNCTION("""COMPUTED_VALUE"""),0.04725)</f>
        <v>0.04725</v>
      </c>
      <c r="K213" s="19" t="str">
        <f>IFERROR(__xludf.DUMMYFUNCTION("""COMPUTED_VALUE"""),"-")</f>
        <v>-</v>
      </c>
      <c r="L213" s="19">
        <f>IFERROR(__xludf.DUMMYFUNCTION("""COMPUTED_VALUE"""),0.04747)</f>
        <v>0.04747</v>
      </c>
      <c r="O213" s="24">
        <f t="shared" si="4"/>
        <v>0</v>
      </c>
      <c r="P213" s="24"/>
      <c r="Q213" s="24">
        <f t="shared" si="6"/>
        <v>0</v>
      </c>
      <c r="R213" s="24">
        <f t="shared" si="7"/>
        <v>0</v>
      </c>
      <c r="S213" s="24"/>
      <c r="T213" s="24">
        <f t="shared" si="9"/>
        <v>0</v>
      </c>
    </row>
    <row r="214">
      <c r="A214" s="12" t="s">
        <v>303</v>
      </c>
      <c r="F214" s="19">
        <f>IFERROR(__xludf.DUMMYFUNCTION("SPLIT(A210, "" |"")"),208.0)</f>
        <v>208</v>
      </c>
      <c r="G214" s="19">
        <f>IFERROR(__xludf.DUMMYFUNCTION("""COMPUTED_VALUE"""),0.00225)</f>
        <v>0.00225</v>
      </c>
      <c r="H214" s="19" t="str">
        <f>IFERROR(__xludf.DUMMYFUNCTION("""COMPUTED_VALUE"""),"-")</f>
        <v>-</v>
      </c>
      <c r="I214" s="19">
        <f>IFERROR(__xludf.DUMMYFUNCTION("""COMPUTED_VALUE"""),0.00204)</f>
        <v>0.00204</v>
      </c>
      <c r="J214" s="19">
        <f>IFERROR(__xludf.DUMMYFUNCTION("""COMPUTED_VALUE"""),0.04724)</f>
        <v>0.04724</v>
      </c>
      <c r="K214" s="19" t="str">
        <f>IFERROR(__xludf.DUMMYFUNCTION("""COMPUTED_VALUE"""),"-")</f>
        <v>-</v>
      </c>
      <c r="L214" s="19">
        <f>IFERROR(__xludf.DUMMYFUNCTION("""COMPUTED_VALUE"""),0.04757)</f>
        <v>0.04757</v>
      </c>
      <c r="O214" s="24">
        <f t="shared" si="4"/>
        <v>0</v>
      </c>
      <c r="P214" s="24"/>
      <c r="Q214" s="24">
        <f t="shared" si="6"/>
        <v>0</v>
      </c>
      <c r="R214" s="24">
        <f t="shared" si="7"/>
        <v>0</v>
      </c>
      <c r="S214" s="24"/>
      <c r="T214" s="24">
        <f t="shared" si="9"/>
        <v>0</v>
      </c>
    </row>
    <row r="215">
      <c r="A215" s="12" t="s">
        <v>304</v>
      </c>
      <c r="F215" s="19">
        <f>IFERROR(__xludf.DUMMYFUNCTION("SPLIT(A211, "" |"")"),209.0)</f>
        <v>209</v>
      </c>
      <c r="G215" s="19">
        <f>IFERROR(__xludf.DUMMYFUNCTION("""COMPUTED_VALUE"""),0.00224)</f>
        <v>0.00224</v>
      </c>
      <c r="H215" s="19" t="str">
        <f>IFERROR(__xludf.DUMMYFUNCTION("""COMPUTED_VALUE"""),"-")</f>
        <v>-</v>
      </c>
      <c r="I215" s="19">
        <f>IFERROR(__xludf.DUMMYFUNCTION("""COMPUTED_VALUE"""),0.00216)</f>
        <v>0.00216</v>
      </c>
      <c r="J215" s="19">
        <f>IFERROR(__xludf.DUMMYFUNCTION("""COMPUTED_VALUE"""),0.04748)</f>
        <v>0.04748</v>
      </c>
      <c r="K215" s="19" t="str">
        <f>IFERROR(__xludf.DUMMYFUNCTION("""COMPUTED_VALUE"""),"-")</f>
        <v>-</v>
      </c>
      <c r="L215" s="19">
        <f>IFERROR(__xludf.DUMMYFUNCTION("""COMPUTED_VALUE"""),0.04753)</f>
        <v>0.04753</v>
      </c>
      <c r="O215" s="24">
        <f t="shared" si="4"/>
        <v>0</v>
      </c>
      <c r="P215" s="24"/>
      <c r="Q215" s="24">
        <f t="shared" si="6"/>
        <v>0</v>
      </c>
      <c r="R215" s="24">
        <f t="shared" si="7"/>
        <v>0</v>
      </c>
      <c r="S215" s="24"/>
      <c r="T215" s="24">
        <f t="shared" si="9"/>
        <v>0</v>
      </c>
    </row>
    <row r="216">
      <c r="A216" s="12" t="s">
        <v>305</v>
      </c>
      <c r="F216" s="19">
        <f>IFERROR(__xludf.DUMMYFUNCTION("SPLIT(A212, "" |"")"),210.0)</f>
        <v>210</v>
      </c>
      <c r="G216" s="19">
        <f>IFERROR(__xludf.DUMMYFUNCTION("""COMPUTED_VALUE"""),0.00227)</f>
        <v>0.00227</v>
      </c>
      <c r="H216" s="19" t="str">
        <f>IFERROR(__xludf.DUMMYFUNCTION("""COMPUTED_VALUE"""),"-")</f>
        <v>-</v>
      </c>
      <c r="I216" s="19">
        <f>IFERROR(__xludf.DUMMYFUNCTION("""COMPUTED_VALUE"""),0.0021)</f>
        <v>0.0021</v>
      </c>
      <c r="J216" s="19">
        <f>IFERROR(__xludf.DUMMYFUNCTION("""COMPUTED_VALUE"""),0.04726)</f>
        <v>0.04726</v>
      </c>
      <c r="K216" s="19" t="str">
        <f>IFERROR(__xludf.DUMMYFUNCTION("""COMPUTED_VALUE"""),"-")</f>
        <v>-</v>
      </c>
      <c r="L216" s="19">
        <f>IFERROR(__xludf.DUMMYFUNCTION("""COMPUTED_VALUE"""),0.04759)</f>
        <v>0.04759</v>
      </c>
      <c r="O216" s="24">
        <f t="shared" si="4"/>
        <v>0</v>
      </c>
      <c r="P216" s="24"/>
      <c r="Q216" s="24">
        <f t="shared" si="6"/>
        <v>0</v>
      </c>
      <c r="R216" s="24">
        <f t="shared" si="7"/>
        <v>0</v>
      </c>
      <c r="S216" s="24"/>
      <c r="T216" s="24">
        <f t="shared" si="9"/>
        <v>0</v>
      </c>
    </row>
    <row r="217">
      <c r="A217" s="12" t="s">
        <v>306</v>
      </c>
      <c r="F217" s="19">
        <f>IFERROR(__xludf.DUMMYFUNCTION("SPLIT(A213, "" |"")"),211.0)</f>
        <v>211</v>
      </c>
      <c r="G217" s="19">
        <f>IFERROR(__xludf.DUMMYFUNCTION("""COMPUTED_VALUE"""),0.00228)</f>
        <v>0.00228</v>
      </c>
      <c r="H217" s="19" t="str">
        <f>IFERROR(__xludf.DUMMYFUNCTION("""COMPUTED_VALUE"""),"-")</f>
        <v>-</v>
      </c>
      <c r="I217" s="19">
        <f>IFERROR(__xludf.DUMMYFUNCTION("""COMPUTED_VALUE"""),0.00221)</f>
        <v>0.00221</v>
      </c>
      <c r="J217" s="19">
        <f>IFERROR(__xludf.DUMMYFUNCTION("""COMPUTED_VALUE"""),0.04733)</f>
        <v>0.04733</v>
      </c>
      <c r="K217" s="19" t="str">
        <f>IFERROR(__xludf.DUMMYFUNCTION("""COMPUTED_VALUE"""),"-")</f>
        <v>-</v>
      </c>
      <c r="L217" s="19">
        <f>IFERROR(__xludf.DUMMYFUNCTION("""COMPUTED_VALUE"""),0.04757)</f>
        <v>0.04757</v>
      </c>
      <c r="O217" s="24">
        <f t="shared" si="4"/>
        <v>0</v>
      </c>
      <c r="P217" s="24"/>
      <c r="Q217" s="24">
        <f t="shared" si="6"/>
        <v>0</v>
      </c>
      <c r="R217" s="24">
        <f t="shared" si="7"/>
        <v>0</v>
      </c>
      <c r="S217" s="24"/>
      <c r="T217" s="24">
        <f t="shared" si="9"/>
        <v>0</v>
      </c>
    </row>
    <row r="218">
      <c r="A218" s="12" t="s">
        <v>307</v>
      </c>
      <c r="F218" s="19">
        <f>IFERROR(__xludf.DUMMYFUNCTION("SPLIT(A214, "" |"")"),212.0)</f>
        <v>212</v>
      </c>
      <c r="G218" s="19">
        <f>IFERROR(__xludf.DUMMYFUNCTION("""COMPUTED_VALUE"""),0.00242)</f>
        <v>0.00242</v>
      </c>
      <c r="H218" s="19" t="str">
        <f>IFERROR(__xludf.DUMMYFUNCTION("""COMPUTED_VALUE"""),"-")</f>
        <v>-</v>
      </c>
      <c r="I218" s="19">
        <f>IFERROR(__xludf.DUMMYFUNCTION("""COMPUTED_VALUE"""),0.00227)</f>
        <v>0.00227</v>
      </c>
      <c r="J218" s="19">
        <f>IFERROR(__xludf.DUMMYFUNCTION("""COMPUTED_VALUE"""),0.04714)</f>
        <v>0.04714</v>
      </c>
      <c r="K218" s="19" t="str">
        <f>IFERROR(__xludf.DUMMYFUNCTION("""COMPUTED_VALUE"""),"-")</f>
        <v>-</v>
      </c>
      <c r="L218" s="19">
        <f>IFERROR(__xludf.DUMMYFUNCTION("""COMPUTED_VALUE"""),0.0477)</f>
        <v>0.0477</v>
      </c>
      <c r="O218" s="24">
        <f t="shared" si="4"/>
        <v>0</v>
      </c>
      <c r="P218" s="24"/>
      <c r="Q218" s="24">
        <f t="shared" si="6"/>
        <v>0</v>
      </c>
      <c r="R218" s="24">
        <f t="shared" si="7"/>
        <v>0</v>
      </c>
      <c r="S218" s="24"/>
      <c r="T218" s="24">
        <f t="shared" si="9"/>
        <v>0</v>
      </c>
    </row>
    <row r="219">
      <c r="A219" s="12" t="s">
        <v>308</v>
      </c>
      <c r="F219" s="19">
        <f>IFERROR(__xludf.DUMMYFUNCTION("SPLIT(A215, "" |"")"),213.0)</f>
        <v>213</v>
      </c>
      <c r="G219" s="19">
        <f>IFERROR(__xludf.DUMMYFUNCTION("""COMPUTED_VALUE"""),0.00241)</f>
        <v>0.00241</v>
      </c>
      <c r="H219" s="19" t="str">
        <f>IFERROR(__xludf.DUMMYFUNCTION("""COMPUTED_VALUE"""),"-")</f>
        <v>-</v>
      </c>
      <c r="I219" s="19">
        <f>IFERROR(__xludf.DUMMYFUNCTION("""COMPUTED_VALUE"""),0.00222)</f>
        <v>0.00222</v>
      </c>
      <c r="J219" s="19">
        <f>IFERROR(__xludf.DUMMYFUNCTION("""COMPUTED_VALUE"""),0.04749)</f>
        <v>0.04749</v>
      </c>
      <c r="K219" s="19" t="str">
        <f>IFERROR(__xludf.DUMMYFUNCTION("""COMPUTED_VALUE"""),"-")</f>
        <v>-</v>
      </c>
      <c r="L219" s="19">
        <f>IFERROR(__xludf.DUMMYFUNCTION("""COMPUTED_VALUE"""),0.04767)</f>
        <v>0.04767</v>
      </c>
      <c r="O219" s="24">
        <f t="shared" si="4"/>
        <v>0</v>
      </c>
      <c r="P219" s="24"/>
      <c r="Q219" s="24">
        <f t="shared" si="6"/>
        <v>0</v>
      </c>
      <c r="R219" s="24">
        <f t="shared" si="7"/>
        <v>0</v>
      </c>
      <c r="S219" s="24"/>
      <c r="T219" s="24">
        <f t="shared" si="9"/>
        <v>0</v>
      </c>
    </row>
    <row r="220">
      <c r="A220" s="12" t="s">
        <v>309</v>
      </c>
      <c r="F220" s="19">
        <f>IFERROR(__xludf.DUMMYFUNCTION("SPLIT(A216, "" |"")"),214.0)</f>
        <v>214</v>
      </c>
      <c r="G220" s="19">
        <f>IFERROR(__xludf.DUMMYFUNCTION("""COMPUTED_VALUE"""),0.0024)</f>
        <v>0.0024</v>
      </c>
      <c r="H220" s="19" t="str">
        <f>IFERROR(__xludf.DUMMYFUNCTION("""COMPUTED_VALUE"""),"-")</f>
        <v>-</v>
      </c>
      <c r="I220" s="19">
        <f>IFERROR(__xludf.DUMMYFUNCTION("""COMPUTED_VALUE"""),0.0022)</f>
        <v>0.0022</v>
      </c>
      <c r="J220" s="19">
        <f>IFERROR(__xludf.DUMMYFUNCTION("""COMPUTED_VALUE"""),0.04748)</f>
        <v>0.04748</v>
      </c>
      <c r="K220" s="19" t="str">
        <f>IFERROR(__xludf.DUMMYFUNCTION("""COMPUTED_VALUE"""),"-")</f>
        <v>-</v>
      </c>
      <c r="L220" s="19">
        <f>IFERROR(__xludf.DUMMYFUNCTION("""COMPUTED_VALUE"""),0.04758)</f>
        <v>0.04758</v>
      </c>
      <c r="O220" s="24">
        <f t="shared" si="4"/>
        <v>0</v>
      </c>
      <c r="P220" s="24"/>
      <c r="Q220" s="24">
        <f t="shared" si="6"/>
        <v>0</v>
      </c>
      <c r="R220" s="24">
        <f t="shared" si="7"/>
        <v>0</v>
      </c>
      <c r="S220" s="24"/>
      <c r="T220" s="24">
        <f t="shared" si="9"/>
        <v>0</v>
      </c>
    </row>
    <row r="221">
      <c r="A221" s="12" t="s">
        <v>310</v>
      </c>
      <c r="F221" s="19">
        <f>IFERROR(__xludf.DUMMYFUNCTION("SPLIT(A217, "" |"")"),215.0)</f>
        <v>215</v>
      </c>
      <c r="G221" s="19">
        <f>IFERROR(__xludf.DUMMYFUNCTION("""COMPUTED_VALUE"""),0.00227)</f>
        <v>0.00227</v>
      </c>
      <c r="H221" s="19" t="str">
        <f>IFERROR(__xludf.DUMMYFUNCTION("""COMPUTED_VALUE"""),"-")</f>
        <v>-</v>
      </c>
      <c r="I221" s="19">
        <f>IFERROR(__xludf.DUMMYFUNCTION("""COMPUTED_VALUE"""),0.00211)</f>
        <v>0.00211</v>
      </c>
      <c r="J221" s="19">
        <f>IFERROR(__xludf.DUMMYFUNCTION("""COMPUTED_VALUE"""),0.04741)</f>
        <v>0.04741</v>
      </c>
      <c r="K221" s="19" t="str">
        <f>IFERROR(__xludf.DUMMYFUNCTION("""COMPUTED_VALUE"""),"-")</f>
        <v>-</v>
      </c>
      <c r="L221" s="19">
        <f>IFERROR(__xludf.DUMMYFUNCTION("""COMPUTED_VALUE"""),0.04603)</f>
        <v>0.04603</v>
      </c>
      <c r="O221" s="24">
        <f t="shared" si="4"/>
        <v>0</v>
      </c>
      <c r="P221" s="24"/>
      <c r="Q221" s="24">
        <f t="shared" si="6"/>
        <v>0</v>
      </c>
      <c r="R221" s="24">
        <f t="shared" si="7"/>
        <v>0</v>
      </c>
      <c r="S221" s="24"/>
      <c r="T221" s="24">
        <f t="shared" si="9"/>
        <v>0</v>
      </c>
    </row>
    <row r="222">
      <c r="A222" s="12" t="s">
        <v>311</v>
      </c>
      <c r="F222" s="19">
        <f>IFERROR(__xludf.DUMMYFUNCTION("SPLIT(A218, "" |"")"),216.0)</f>
        <v>216</v>
      </c>
      <c r="G222" s="19">
        <f>IFERROR(__xludf.DUMMYFUNCTION("""COMPUTED_VALUE"""),0.00229)</f>
        <v>0.00229</v>
      </c>
      <c r="H222" s="19" t="str">
        <f>IFERROR(__xludf.DUMMYFUNCTION("""COMPUTED_VALUE"""),"-")</f>
        <v>-</v>
      </c>
      <c r="I222" s="19">
        <f>IFERROR(__xludf.DUMMYFUNCTION("""COMPUTED_VALUE"""),0.00224)</f>
        <v>0.00224</v>
      </c>
      <c r="J222" s="19">
        <f>IFERROR(__xludf.DUMMYFUNCTION("""COMPUTED_VALUE"""),0.04745)</f>
        <v>0.04745</v>
      </c>
      <c r="K222" s="19" t="str">
        <f>IFERROR(__xludf.DUMMYFUNCTION("""COMPUTED_VALUE"""),"-")</f>
        <v>-</v>
      </c>
      <c r="L222" s="19">
        <f>IFERROR(__xludf.DUMMYFUNCTION("""COMPUTED_VALUE"""),0.04758)</f>
        <v>0.04758</v>
      </c>
      <c r="O222" s="24">
        <f t="shared" si="4"/>
        <v>0</v>
      </c>
      <c r="P222" s="24"/>
      <c r="Q222" s="24">
        <f t="shared" si="6"/>
        <v>0</v>
      </c>
      <c r="R222" s="24">
        <f t="shared" si="7"/>
        <v>0</v>
      </c>
      <c r="S222" s="24"/>
      <c r="T222" s="24">
        <f t="shared" si="9"/>
        <v>0</v>
      </c>
    </row>
    <row r="223">
      <c r="A223" s="12" t="s">
        <v>312</v>
      </c>
      <c r="F223" s="19">
        <f>IFERROR(__xludf.DUMMYFUNCTION("SPLIT(A219, "" |"")"),217.0)</f>
        <v>217</v>
      </c>
      <c r="G223" s="19">
        <f>IFERROR(__xludf.DUMMYFUNCTION("""COMPUTED_VALUE"""),0.00233)</f>
        <v>0.00233</v>
      </c>
      <c r="H223" s="19" t="str">
        <f>IFERROR(__xludf.DUMMYFUNCTION("""COMPUTED_VALUE"""),"-")</f>
        <v>-</v>
      </c>
      <c r="I223" s="19">
        <f>IFERROR(__xludf.DUMMYFUNCTION("""COMPUTED_VALUE"""),0.00219)</f>
        <v>0.00219</v>
      </c>
      <c r="J223" s="19">
        <f>IFERROR(__xludf.DUMMYFUNCTION("""COMPUTED_VALUE"""),0.04745)</f>
        <v>0.04745</v>
      </c>
      <c r="K223" s="19" t="str">
        <f>IFERROR(__xludf.DUMMYFUNCTION("""COMPUTED_VALUE"""),"-")</f>
        <v>-</v>
      </c>
      <c r="L223" s="19">
        <f>IFERROR(__xludf.DUMMYFUNCTION("""COMPUTED_VALUE"""),0.04754)</f>
        <v>0.04754</v>
      </c>
      <c r="O223" s="24">
        <f t="shared" si="4"/>
        <v>0</v>
      </c>
      <c r="P223" s="24"/>
      <c r="Q223" s="24">
        <f t="shared" si="6"/>
        <v>0</v>
      </c>
      <c r="R223" s="24">
        <f t="shared" si="7"/>
        <v>0</v>
      </c>
      <c r="S223" s="24"/>
      <c r="T223" s="24">
        <f t="shared" si="9"/>
        <v>0</v>
      </c>
    </row>
    <row r="224">
      <c r="A224" s="12" t="s">
        <v>313</v>
      </c>
      <c r="F224" s="19">
        <f>IFERROR(__xludf.DUMMYFUNCTION("SPLIT(A220, "" |"")"),218.0)</f>
        <v>218</v>
      </c>
      <c r="G224" s="19">
        <f>IFERROR(__xludf.DUMMYFUNCTION("""COMPUTED_VALUE"""),0.00222)</f>
        <v>0.00222</v>
      </c>
      <c r="H224" s="19" t="str">
        <f>IFERROR(__xludf.DUMMYFUNCTION("""COMPUTED_VALUE"""),"-")</f>
        <v>-</v>
      </c>
      <c r="I224" s="19">
        <f>IFERROR(__xludf.DUMMYFUNCTION("""COMPUTED_VALUE"""),0.0021)</f>
        <v>0.0021</v>
      </c>
      <c r="J224" s="19">
        <f>IFERROR(__xludf.DUMMYFUNCTION("""COMPUTED_VALUE"""),0.04366)</f>
        <v>0.04366</v>
      </c>
      <c r="K224" s="19" t="str">
        <f>IFERROR(__xludf.DUMMYFUNCTION("""COMPUTED_VALUE"""),"-")</f>
        <v>-</v>
      </c>
      <c r="L224" s="19">
        <f>IFERROR(__xludf.DUMMYFUNCTION("""COMPUTED_VALUE"""),0.04214)</f>
        <v>0.04214</v>
      </c>
      <c r="O224" s="24">
        <f t="shared" si="4"/>
        <v>0</v>
      </c>
      <c r="P224" s="24"/>
      <c r="Q224" s="24">
        <f t="shared" si="6"/>
        <v>0</v>
      </c>
      <c r="R224" s="24">
        <f t="shared" si="7"/>
        <v>1</v>
      </c>
      <c r="S224" s="24"/>
      <c r="T224" s="24">
        <f t="shared" si="9"/>
        <v>0</v>
      </c>
    </row>
    <row r="225">
      <c r="A225" s="12" t="s">
        <v>314</v>
      </c>
      <c r="F225" s="19">
        <f>IFERROR(__xludf.DUMMYFUNCTION("SPLIT(A221, "" |"")"),219.0)</f>
        <v>219</v>
      </c>
      <c r="G225" s="19">
        <f>IFERROR(__xludf.DUMMYFUNCTION("""COMPUTED_VALUE"""),0.00235)</f>
        <v>0.00235</v>
      </c>
      <c r="H225" s="19" t="str">
        <f>IFERROR(__xludf.DUMMYFUNCTION("""COMPUTED_VALUE"""),"-")</f>
        <v>-</v>
      </c>
      <c r="I225" s="19">
        <f>IFERROR(__xludf.DUMMYFUNCTION("""COMPUTED_VALUE"""),0.00222)</f>
        <v>0.00222</v>
      </c>
      <c r="J225" s="19">
        <f>IFERROR(__xludf.DUMMYFUNCTION("""COMPUTED_VALUE"""),0.04744)</f>
        <v>0.04744</v>
      </c>
      <c r="K225" s="19" t="str">
        <f>IFERROR(__xludf.DUMMYFUNCTION("""COMPUTED_VALUE"""),"-")</f>
        <v>-</v>
      </c>
      <c r="L225" s="19">
        <f>IFERROR(__xludf.DUMMYFUNCTION("""COMPUTED_VALUE"""),0.04763)</f>
        <v>0.04763</v>
      </c>
      <c r="O225" s="24">
        <f t="shared" si="4"/>
        <v>0</v>
      </c>
      <c r="P225" s="24"/>
      <c r="Q225" s="24">
        <f t="shared" si="6"/>
        <v>0</v>
      </c>
      <c r="R225" s="24">
        <f t="shared" si="7"/>
        <v>0</v>
      </c>
      <c r="S225" s="24"/>
      <c r="T225" s="24">
        <f t="shared" si="9"/>
        <v>0</v>
      </c>
    </row>
    <row r="226">
      <c r="A226" s="12" t="s">
        <v>315</v>
      </c>
      <c r="F226" s="19">
        <f>IFERROR(__xludf.DUMMYFUNCTION("SPLIT(A222, "" |"")"),220.0)</f>
        <v>220</v>
      </c>
      <c r="G226" s="19">
        <f>IFERROR(__xludf.DUMMYFUNCTION("""COMPUTED_VALUE"""),0.0024)</f>
        <v>0.0024</v>
      </c>
      <c r="H226" s="19" t="str">
        <f>IFERROR(__xludf.DUMMYFUNCTION("""COMPUTED_VALUE"""),"-")</f>
        <v>-</v>
      </c>
      <c r="I226" s="19">
        <f>IFERROR(__xludf.DUMMYFUNCTION("""COMPUTED_VALUE"""),0.00212)</f>
        <v>0.00212</v>
      </c>
      <c r="J226" s="19">
        <f>IFERROR(__xludf.DUMMYFUNCTION("""COMPUTED_VALUE"""),0.0474)</f>
        <v>0.0474</v>
      </c>
      <c r="K226" s="19" t="str">
        <f>IFERROR(__xludf.DUMMYFUNCTION("""COMPUTED_VALUE"""),"-")</f>
        <v>-</v>
      </c>
      <c r="L226" s="19">
        <f>IFERROR(__xludf.DUMMYFUNCTION("""COMPUTED_VALUE"""),0.04757)</f>
        <v>0.04757</v>
      </c>
      <c r="O226" s="24">
        <f t="shared" si="4"/>
        <v>0</v>
      </c>
      <c r="P226" s="24"/>
      <c r="Q226" s="24">
        <f t="shared" si="6"/>
        <v>0</v>
      </c>
      <c r="R226" s="24">
        <f t="shared" si="7"/>
        <v>0</v>
      </c>
      <c r="S226" s="24"/>
      <c r="T226" s="24">
        <f t="shared" si="9"/>
        <v>0</v>
      </c>
    </row>
    <row r="227">
      <c r="A227" s="12" t="s">
        <v>316</v>
      </c>
      <c r="F227" s="19">
        <f>IFERROR(__xludf.DUMMYFUNCTION("SPLIT(A223, "" |"")"),221.0)</f>
        <v>221</v>
      </c>
      <c r="G227" s="19">
        <f>IFERROR(__xludf.DUMMYFUNCTION("""COMPUTED_VALUE"""),0.0024)</f>
        <v>0.0024</v>
      </c>
      <c r="H227" s="19" t="str">
        <f>IFERROR(__xludf.DUMMYFUNCTION("""COMPUTED_VALUE"""),"-")</f>
        <v>-</v>
      </c>
      <c r="I227" s="19">
        <f>IFERROR(__xludf.DUMMYFUNCTION("""COMPUTED_VALUE"""),0.0022)</f>
        <v>0.0022</v>
      </c>
      <c r="J227" s="19">
        <f>IFERROR(__xludf.DUMMYFUNCTION("""COMPUTED_VALUE"""),0.04739)</f>
        <v>0.04739</v>
      </c>
      <c r="K227" s="19" t="str">
        <f>IFERROR(__xludf.DUMMYFUNCTION("""COMPUTED_VALUE"""),"-")</f>
        <v>-</v>
      </c>
      <c r="L227" s="19">
        <f>IFERROR(__xludf.DUMMYFUNCTION("""COMPUTED_VALUE"""),0.0449)</f>
        <v>0.0449</v>
      </c>
      <c r="O227" s="24">
        <f t="shared" si="4"/>
        <v>0</v>
      </c>
      <c r="P227" s="24"/>
      <c r="Q227" s="24">
        <f t="shared" si="6"/>
        <v>0</v>
      </c>
      <c r="R227" s="24">
        <f t="shared" si="7"/>
        <v>0</v>
      </c>
      <c r="S227" s="24"/>
      <c r="T227" s="24">
        <f t="shared" si="9"/>
        <v>0</v>
      </c>
    </row>
    <row r="228">
      <c r="A228" s="12" t="s">
        <v>317</v>
      </c>
      <c r="F228" s="19">
        <f>IFERROR(__xludf.DUMMYFUNCTION("SPLIT(A224, "" |"")"),222.0)</f>
        <v>222</v>
      </c>
      <c r="G228" s="19">
        <f>IFERROR(__xludf.DUMMYFUNCTION("""COMPUTED_VALUE"""),0.00236)</f>
        <v>0.00236</v>
      </c>
      <c r="H228" s="19" t="str">
        <f>IFERROR(__xludf.DUMMYFUNCTION("""COMPUTED_VALUE"""),"-")</f>
        <v>-</v>
      </c>
      <c r="I228" s="19">
        <f>IFERROR(__xludf.DUMMYFUNCTION("""COMPUTED_VALUE"""),0.00219)</f>
        <v>0.00219</v>
      </c>
      <c r="J228" s="19">
        <f>IFERROR(__xludf.DUMMYFUNCTION("""COMPUTED_VALUE"""),0.0474)</f>
        <v>0.0474</v>
      </c>
      <c r="K228" s="19" t="str">
        <f>IFERROR(__xludf.DUMMYFUNCTION("""COMPUTED_VALUE"""),"-")</f>
        <v>-</v>
      </c>
      <c r="L228" s="19">
        <f>IFERROR(__xludf.DUMMYFUNCTION("""COMPUTED_VALUE"""),0.04765)</f>
        <v>0.04765</v>
      </c>
      <c r="O228" s="24">
        <f t="shared" si="4"/>
        <v>0</v>
      </c>
      <c r="P228" s="24"/>
      <c r="Q228" s="24">
        <f t="shared" si="6"/>
        <v>0</v>
      </c>
      <c r="R228" s="24">
        <f t="shared" si="7"/>
        <v>0</v>
      </c>
      <c r="S228" s="24"/>
      <c r="T228" s="24">
        <f t="shared" si="9"/>
        <v>0</v>
      </c>
    </row>
    <row r="229">
      <c r="A229" s="12" t="s">
        <v>318</v>
      </c>
      <c r="F229" s="19">
        <f>IFERROR(__xludf.DUMMYFUNCTION("SPLIT(A225, "" |"")"),223.0)</f>
        <v>223</v>
      </c>
      <c r="G229" s="19">
        <f>IFERROR(__xludf.DUMMYFUNCTION("""COMPUTED_VALUE"""),0.00234)</f>
        <v>0.00234</v>
      </c>
      <c r="H229" s="19" t="str">
        <f>IFERROR(__xludf.DUMMYFUNCTION("""COMPUTED_VALUE"""),"-")</f>
        <v>-</v>
      </c>
      <c r="I229" s="19">
        <f>IFERROR(__xludf.DUMMYFUNCTION("""COMPUTED_VALUE"""),0.00216)</f>
        <v>0.00216</v>
      </c>
      <c r="J229" s="19">
        <f>IFERROR(__xludf.DUMMYFUNCTION("""COMPUTED_VALUE"""),0.04538)</f>
        <v>0.04538</v>
      </c>
      <c r="K229" s="19" t="str">
        <f>IFERROR(__xludf.DUMMYFUNCTION("""COMPUTED_VALUE"""),"-")</f>
        <v>-</v>
      </c>
      <c r="L229" s="19">
        <f>IFERROR(__xludf.DUMMYFUNCTION("""COMPUTED_VALUE"""),0.04529)</f>
        <v>0.04529</v>
      </c>
      <c r="O229" s="24">
        <f t="shared" si="4"/>
        <v>0</v>
      </c>
      <c r="P229" s="24"/>
      <c r="Q229" s="24">
        <f t="shared" si="6"/>
        <v>0</v>
      </c>
      <c r="R229" s="24">
        <f t="shared" si="7"/>
        <v>0</v>
      </c>
      <c r="S229" s="24"/>
      <c r="T229" s="24">
        <f t="shared" si="9"/>
        <v>0</v>
      </c>
    </row>
    <row r="230">
      <c r="A230" s="12" t="s">
        <v>319</v>
      </c>
      <c r="F230" s="19">
        <f>IFERROR(__xludf.DUMMYFUNCTION("SPLIT(A226, "" |"")"),224.0)</f>
        <v>224</v>
      </c>
      <c r="G230" s="19">
        <f>IFERROR(__xludf.DUMMYFUNCTION("""COMPUTED_VALUE"""),0.00238)</f>
        <v>0.00238</v>
      </c>
      <c r="H230" s="19" t="str">
        <f>IFERROR(__xludf.DUMMYFUNCTION("""COMPUTED_VALUE"""),"-")</f>
        <v>-</v>
      </c>
      <c r="I230" s="19">
        <f>IFERROR(__xludf.DUMMYFUNCTION("""COMPUTED_VALUE"""),0.00214)</f>
        <v>0.00214</v>
      </c>
      <c r="J230" s="19">
        <f>IFERROR(__xludf.DUMMYFUNCTION("""COMPUTED_VALUE"""),0.04738)</f>
        <v>0.04738</v>
      </c>
      <c r="K230" s="19" t="str">
        <f>IFERROR(__xludf.DUMMYFUNCTION("""COMPUTED_VALUE"""),"-")</f>
        <v>-</v>
      </c>
      <c r="L230" s="19">
        <f>IFERROR(__xludf.DUMMYFUNCTION("""COMPUTED_VALUE"""),0.0476)</f>
        <v>0.0476</v>
      </c>
      <c r="O230" s="24">
        <f t="shared" si="4"/>
        <v>0</v>
      </c>
      <c r="P230" s="24"/>
      <c r="Q230" s="24">
        <f t="shared" si="6"/>
        <v>0</v>
      </c>
      <c r="R230" s="24">
        <f t="shared" si="7"/>
        <v>0</v>
      </c>
      <c r="S230" s="24"/>
      <c r="T230" s="24">
        <f t="shared" si="9"/>
        <v>0</v>
      </c>
    </row>
    <row r="231">
      <c r="A231" s="12" t="s">
        <v>320</v>
      </c>
      <c r="F231" s="19">
        <f>IFERROR(__xludf.DUMMYFUNCTION("SPLIT(A227, "" |"")"),225.0)</f>
        <v>225</v>
      </c>
      <c r="G231" s="19">
        <f>IFERROR(__xludf.DUMMYFUNCTION("""COMPUTED_VALUE"""),0.00238)</f>
        <v>0.00238</v>
      </c>
      <c r="H231" s="19" t="str">
        <f>IFERROR(__xludf.DUMMYFUNCTION("""COMPUTED_VALUE"""),"-")</f>
        <v>-</v>
      </c>
      <c r="I231" s="19">
        <f>IFERROR(__xludf.DUMMYFUNCTION("""COMPUTED_VALUE"""),0.00217)</f>
        <v>0.00217</v>
      </c>
      <c r="J231" s="19">
        <f>IFERROR(__xludf.DUMMYFUNCTION("""COMPUTED_VALUE"""),0.04744)</f>
        <v>0.04744</v>
      </c>
      <c r="K231" s="19" t="str">
        <f>IFERROR(__xludf.DUMMYFUNCTION("""COMPUTED_VALUE"""),"-")</f>
        <v>-</v>
      </c>
      <c r="L231" s="19">
        <f>IFERROR(__xludf.DUMMYFUNCTION("""COMPUTED_VALUE"""),0.04756)</f>
        <v>0.04756</v>
      </c>
      <c r="O231" s="24">
        <f t="shared" si="4"/>
        <v>0</v>
      </c>
      <c r="P231" s="24"/>
      <c r="Q231" s="24">
        <f t="shared" si="6"/>
        <v>0</v>
      </c>
      <c r="R231" s="24">
        <f t="shared" si="7"/>
        <v>0</v>
      </c>
      <c r="S231" s="24"/>
      <c r="T231" s="24">
        <f t="shared" si="9"/>
        <v>0</v>
      </c>
    </row>
    <row r="232">
      <c r="A232" s="12" t="s">
        <v>321</v>
      </c>
      <c r="F232" s="19">
        <f>IFERROR(__xludf.DUMMYFUNCTION("SPLIT(A228, "" |"")"),226.0)</f>
        <v>226</v>
      </c>
      <c r="G232" s="19">
        <f>IFERROR(__xludf.DUMMYFUNCTION("""COMPUTED_VALUE"""),0.00223)</f>
        <v>0.00223</v>
      </c>
      <c r="H232" s="19" t="str">
        <f>IFERROR(__xludf.DUMMYFUNCTION("""COMPUTED_VALUE"""),"-")</f>
        <v>-</v>
      </c>
      <c r="I232" s="19">
        <f>IFERROR(__xludf.DUMMYFUNCTION("""COMPUTED_VALUE"""),0.00216)</f>
        <v>0.00216</v>
      </c>
      <c r="J232" s="19">
        <f>IFERROR(__xludf.DUMMYFUNCTION("""COMPUTED_VALUE"""),0.04742)</f>
        <v>0.04742</v>
      </c>
      <c r="K232" s="19" t="str">
        <f>IFERROR(__xludf.DUMMYFUNCTION("""COMPUTED_VALUE"""),"-")</f>
        <v>-</v>
      </c>
      <c r="L232" s="19">
        <f>IFERROR(__xludf.DUMMYFUNCTION("""COMPUTED_VALUE"""),0.03961)</f>
        <v>0.03961</v>
      </c>
      <c r="O232" s="24">
        <f t="shared" si="4"/>
        <v>0</v>
      </c>
      <c r="P232" s="24"/>
      <c r="Q232" s="24">
        <f t="shared" si="6"/>
        <v>0</v>
      </c>
      <c r="R232" s="24">
        <f t="shared" si="7"/>
        <v>0</v>
      </c>
      <c r="S232" s="24"/>
      <c r="T232" s="24">
        <f t="shared" si="9"/>
        <v>0</v>
      </c>
    </row>
    <row r="233">
      <c r="A233" s="12" t="s">
        <v>322</v>
      </c>
      <c r="F233" s="19">
        <f>IFERROR(__xludf.DUMMYFUNCTION("SPLIT(A229, "" |"")"),227.0)</f>
        <v>227</v>
      </c>
      <c r="G233" s="19">
        <f>IFERROR(__xludf.DUMMYFUNCTION("""COMPUTED_VALUE"""),0.00236)</f>
        <v>0.00236</v>
      </c>
      <c r="H233" s="19" t="str">
        <f>IFERROR(__xludf.DUMMYFUNCTION("""COMPUTED_VALUE"""),"-")</f>
        <v>-</v>
      </c>
      <c r="I233" s="19">
        <f>IFERROR(__xludf.DUMMYFUNCTION("""COMPUTED_VALUE"""),0.00212)</f>
        <v>0.00212</v>
      </c>
      <c r="J233" s="19">
        <f>IFERROR(__xludf.DUMMYFUNCTION("""COMPUTED_VALUE"""),0.04726)</f>
        <v>0.04726</v>
      </c>
      <c r="K233" s="19" t="str">
        <f>IFERROR(__xludf.DUMMYFUNCTION("""COMPUTED_VALUE"""),"-")</f>
        <v>-</v>
      </c>
      <c r="L233" s="19">
        <f>IFERROR(__xludf.DUMMYFUNCTION("""COMPUTED_VALUE"""),0.04743)</f>
        <v>0.04743</v>
      </c>
      <c r="O233" s="24">
        <f t="shared" si="4"/>
        <v>0</v>
      </c>
      <c r="P233" s="24"/>
      <c r="Q233" s="24">
        <f t="shared" si="6"/>
        <v>0</v>
      </c>
      <c r="R233" s="24">
        <f t="shared" si="7"/>
        <v>0</v>
      </c>
      <c r="S233" s="24"/>
      <c r="T233" s="24">
        <f t="shared" si="9"/>
        <v>0</v>
      </c>
    </row>
    <row r="234">
      <c r="A234" s="12" t="s">
        <v>323</v>
      </c>
      <c r="F234" s="19">
        <f>IFERROR(__xludf.DUMMYFUNCTION("SPLIT(A230, "" |"")"),228.0)</f>
        <v>228</v>
      </c>
      <c r="G234" s="19">
        <f>IFERROR(__xludf.DUMMYFUNCTION("""COMPUTED_VALUE"""),0.00217)</f>
        <v>0.00217</v>
      </c>
      <c r="H234" s="19" t="str">
        <f>IFERROR(__xludf.DUMMYFUNCTION("""COMPUTED_VALUE"""),"-")</f>
        <v>-</v>
      </c>
      <c r="I234" s="19">
        <f>IFERROR(__xludf.DUMMYFUNCTION("""COMPUTED_VALUE"""),0.00206)</f>
        <v>0.00206</v>
      </c>
      <c r="J234" s="19">
        <f>IFERROR(__xludf.DUMMYFUNCTION("""COMPUTED_VALUE"""),0.04735)</f>
        <v>0.04735</v>
      </c>
      <c r="K234" s="19" t="str">
        <f>IFERROR(__xludf.DUMMYFUNCTION("""COMPUTED_VALUE"""),"-")</f>
        <v>-</v>
      </c>
      <c r="L234" s="19">
        <f>IFERROR(__xludf.DUMMYFUNCTION("""COMPUTED_VALUE"""),0.04765)</f>
        <v>0.04765</v>
      </c>
      <c r="O234" s="24">
        <f t="shared" si="4"/>
        <v>0</v>
      </c>
      <c r="P234" s="24"/>
      <c r="Q234" s="24">
        <f t="shared" si="6"/>
        <v>0</v>
      </c>
      <c r="R234" s="24">
        <f t="shared" si="7"/>
        <v>0</v>
      </c>
      <c r="S234" s="24"/>
      <c r="T234" s="24">
        <f t="shared" si="9"/>
        <v>0</v>
      </c>
    </row>
    <row r="235">
      <c r="A235" s="12" t="s">
        <v>324</v>
      </c>
      <c r="F235" s="19">
        <f>IFERROR(__xludf.DUMMYFUNCTION("SPLIT(A231, "" |"")"),229.0)</f>
        <v>229</v>
      </c>
      <c r="G235" s="19">
        <f>IFERROR(__xludf.DUMMYFUNCTION("""COMPUTED_VALUE"""),0.00232)</f>
        <v>0.00232</v>
      </c>
      <c r="H235" s="19" t="str">
        <f>IFERROR(__xludf.DUMMYFUNCTION("""COMPUTED_VALUE"""),"-")</f>
        <v>-</v>
      </c>
      <c r="I235" s="19">
        <f>IFERROR(__xludf.DUMMYFUNCTION("""COMPUTED_VALUE"""),0.00221)</f>
        <v>0.00221</v>
      </c>
      <c r="J235" s="19">
        <f>IFERROR(__xludf.DUMMYFUNCTION("""COMPUTED_VALUE"""),0.04735)</f>
        <v>0.04735</v>
      </c>
      <c r="K235" s="19" t="str">
        <f>IFERROR(__xludf.DUMMYFUNCTION("""COMPUTED_VALUE"""),"-")</f>
        <v>-</v>
      </c>
      <c r="L235" s="19">
        <f>IFERROR(__xludf.DUMMYFUNCTION("""COMPUTED_VALUE"""),0.04751)</f>
        <v>0.04751</v>
      </c>
      <c r="O235" s="24">
        <f t="shared" si="4"/>
        <v>0</v>
      </c>
      <c r="P235" s="24"/>
      <c r="Q235" s="24">
        <f t="shared" si="6"/>
        <v>0</v>
      </c>
      <c r="R235" s="24">
        <f t="shared" si="7"/>
        <v>0</v>
      </c>
      <c r="S235" s="24"/>
      <c r="T235" s="24">
        <f t="shared" si="9"/>
        <v>0</v>
      </c>
    </row>
    <row r="236">
      <c r="A236" s="12" t="s">
        <v>325</v>
      </c>
      <c r="F236" s="19">
        <f>IFERROR(__xludf.DUMMYFUNCTION("SPLIT(A232, "" |"")"),230.0)</f>
        <v>230</v>
      </c>
      <c r="G236" s="19">
        <f>IFERROR(__xludf.DUMMYFUNCTION("""COMPUTED_VALUE"""),0.00241)</f>
        <v>0.00241</v>
      </c>
      <c r="H236" s="19" t="str">
        <f>IFERROR(__xludf.DUMMYFUNCTION("""COMPUTED_VALUE"""),"-")</f>
        <v>-</v>
      </c>
      <c r="I236" s="19">
        <f>IFERROR(__xludf.DUMMYFUNCTION("""COMPUTED_VALUE"""),0.00221)</f>
        <v>0.00221</v>
      </c>
      <c r="J236" s="19">
        <f>IFERROR(__xludf.DUMMYFUNCTION("""COMPUTED_VALUE"""),0.04736)</f>
        <v>0.04736</v>
      </c>
      <c r="K236" s="19" t="str">
        <f>IFERROR(__xludf.DUMMYFUNCTION("""COMPUTED_VALUE"""),"-")</f>
        <v>-</v>
      </c>
      <c r="L236" s="19">
        <f>IFERROR(__xludf.DUMMYFUNCTION("""COMPUTED_VALUE"""),0.04761)</f>
        <v>0.04761</v>
      </c>
      <c r="O236" s="24">
        <f t="shared" si="4"/>
        <v>0</v>
      </c>
      <c r="P236" s="24"/>
      <c r="Q236" s="24">
        <f t="shared" si="6"/>
        <v>0</v>
      </c>
      <c r="R236" s="24">
        <f t="shared" si="7"/>
        <v>0</v>
      </c>
      <c r="S236" s="24"/>
      <c r="T236" s="24">
        <f t="shared" si="9"/>
        <v>0</v>
      </c>
    </row>
    <row r="237">
      <c r="A237" s="12" t="s">
        <v>326</v>
      </c>
      <c r="F237" s="19">
        <f>IFERROR(__xludf.DUMMYFUNCTION("SPLIT(A233, "" |"")"),231.0)</f>
        <v>231</v>
      </c>
      <c r="G237" s="19">
        <f>IFERROR(__xludf.DUMMYFUNCTION("""COMPUTED_VALUE"""),0.00239)</f>
        <v>0.00239</v>
      </c>
      <c r="H237" s="19" t="str">
        <f>IFERROR(__xludf.DUMMYFUNCTION("""COMPUTED_VALUE"""),"-")</f>
        <v>-</v>
      </c>
      <c r="I237" s="19">
        <f>IFERROR(__xludf.DUMMYFUNCTION("""COMPUTED_VALUE"""),0.00225)</f>
        <v>0.00225</v>
      </c>
      <c r="J237" s="19">
        <f>IFERROR(__xludf.DUMMYFUNCTION("""COMPUTED_VALUE"""),0.04742)</f>
        <v>0.04742</v>
      </c>
      <c r="K237" s="19" t="str">
        <f>IFERROR(__xludf.DUMMYFUNCTION("""COMPUTED_VALUE"""),"-")</f>
        <v>-</v>
      </c>
      <c r="L237" s="19">
        <f>IFERROR(__xludf.DUMMYFUNCTION("""COMPUTED_VALUE"""),0.04745)</f>
        <v>0.04745</v>
      </c>
      <c r="O237" s="24">
        <f t="shared" si="4"/>
        <v>0</v>
      </c>
      <c r="P237" s="24"/>
      <c r="Q237" s="24">
        <f t="shared" si="6"/>
        <v>0</v>
      </c>
      <c r="R237" s="24">
        <f t="shared" si="7"/>
        <v>0</v>
      </c>
      <c r="S237" s="24"/>
      <c r="T237" s="24">
        <f t="shared" si="9"/>
        <v>0</v>
      </c>
    </row>
    <row r="238">
      <c r="A238" s="12" t="s">
        <v>327</v>
      </c>
      <c r="F238" s="19">
        <f>IFERROR(__xludf.DUMMYFUNCTION("SPLIT(A234, "" |"")"),232.0)</f>
        <v>232</v>
      </c>
      <c r="G238" s="19">
        <f>IFERROR(__xludf.DUMMYFUNCTION("""COMPUTED_VALUE"""),0.00221)</f>
        <v>0.00221</v>
      </c>
      <c r="H238" s="19" t="str">
        <f>IFERROR(__xludf.DUMMYFUNCTION("""COMPUTED_VALUE"""),"-")</f>
        <v>-</v>
      </c>
      <c r="I238" s="19">
        <f>IFERROR(__xludf.DUMMYFUNCTION("""COMPUTED_VALUE"""),0.00208)</f>
        <v>0.00208</v>
      </c>
      <c r="J238" s="19">
        <f>IFERROR(__xludf.DUMMYFUNCTION("""COMPUTED_VALUE"""),0.04729)</f>
        <v>0.04729</v>
      </c>
      <c r="K238" s="19" t="str">
        <f>IFERROR(__xludf.DUMMYFUNCTION("""COMPUTED_VALUE"""),"-")</f>
        <v>-</v>
      </c>
      <c r="L238" s="19">
        <f>IFERROR(__xludf.DUMMYFUNCTION("""COMPUTED_VALUE"""),0.04749)</f>
        <v>0.04749</v>
      </c>
      <c r="O238" s="24">
        <f t="shared" si="4"/>
        <v>0</v>
      </c>
      <c r="P238" s="24"/>
      <c r="Q238" s="24">
        <f t="shared" si="6"/>
        <v>0</v>
      </c>
      <c r="R238" s="24">
        <f t="shared" si="7"/>
        <v>0</v>
      </c>
      <c r="S238" s="24"/>
      <c r="T238" s="24">
        <f t="shared" si="9"/>
        <v>0</v>
      </c>
    </row>
    <row r="239">
      <c r="A239" s="12" t="s">
        <v>328</v>
      </c>
      <c r="F239" s="19">
        <f>IFERROR(__xludf.DUMMYFUNCTION("SPLIT(A235, "" |"")"),233.0)</f>
        <v>233</v>
      </c>
      <c r="G239" s="19">
        <f>IFERROR(__xludf.DUMMYFUNCTION("""COMPUTED_VALUE"""),0.00225)</f>
        <v>0.00225</v>
      </c>
      <c r="H239" s="19" t="str">
        <f>IFERROR(__xludf.DUMMYFUNCTION("""COMPUTED_VALUE"""),"-")</f>
        <v>-</v>
      </c>
      <c r="I239" s="19">
        <f>IFERROR(__xludf.DUMMYFUNCTION("""COMPUTED_VALUE"""),0.00205)</f>
        <v>0.00205</v>
      </c>
      <c r="J239" s="19">
        <f>IFERROR(__xludf.DUMMYFUNCTION("""COMPUTED_VALUE"""),0.04726)</f>
        <v>0.04726</v>
      </c>
      <c r="K239" s="19" t="str">
        <f>IFERROR(__xludf.DUMMYFUNCTION("""COMPUTED_VALUE"""),"-")</f>
        <v>-</v>
      </c>
      <c r="L239" s="19">
        <f>IFERROR(__xludf.DUMMYFUNCTION("""COMPUTED_VALUE"""),0.04735)</f>
        <v>0.04735</v>
      </c>
      <c r="O239" s="24">
        <f t="shared" si="4"/>
        <v>0</v>
      </c>
      <c r="P239" s="24"/>
      <c r="Q239" s="24">
        <f t="shared" si="6"/>
        <v>0</v>
      </c>
      <c r="R239" s="24">
        <f t="shared" si="7"/>
        <v>0</v>
      </c>
      <c r="S239" s="24"/>
      <c r="T239" s="24">
        <f t="shared" si="9"/>
        <v>0</v>
      </c>
    </row>
    <row r="240">
      <c r="A240" s="12" t="s">
        <v>329</v>
      </c>
      <c r="F240" s="19">
        <f>IFERROR(__xludf.DUMMYFUNCTION("SPLIT(A236, "" |"")"),234.0)</f>
        <v>234</v>
      </c>
      <c r="G240" s="19">
        <f>IFERROR(__xludf.DUMMYFUNCTION("""COMPUTED_VALUE"""),0.00226)</f>
        <v>0.00226</v>
      </c>
      <c r="H240" s="19" t="str">
        <f>IFERROR(__xludf.DUMMYFUNCTION("""COMPUTED_VALUE"""),"-")</f>
        <v>-</v>
      </c>
      <c r="I240" s="19">
        <f>IFERROR(__xludf.DUMMYFUNCTION("""COMPUTED_VALUE"""),0.00205)</f>
        <v>0.00205</v>
      </c>
      <c r="J240" s="19">
        <f>IFERROR(__xludf.DUMMYFUNCTION("""COMPUTED_VALUE"""),0.04721)</f>
        <v>0.04721</v>
      </c>
      <c r="K240" s="19" t="str">
        <f>IFERROR(__xludf.DUMMYFUNCTION("""COMPUTED_VALUE"""),"-")</f>
        <v>-</v>
      </c>
      <c r="L240" s="19">
        <f>IFERROR(__xludf.DUMMYFUNCTION("""COMPUTED_VALUE"""),0.04734)</f>
        <v>0.04734</v>
      </c>
      <c r="O240" s="24">
        <f t="shared" si="4"/>
        <v>0</v>
      </c>
      <c r="P240" s="24"/>
      <c r="Q240" s="24">
        <f t="shared" si="6"/>
        <v>0</v>
      </c>
      <c r="R240" s="24">
        <f t="shared" si="7"/>
        <v>0</v>
      </c>
      <c r="S240" s="24"/>
      <c r="T240" s="24">
        <f t="shared" si="9"/>
        <v>0</v>
      </c>
    </row>
    <row r="241">
      <c r="A241" s="12" t="s">
        <v>330</v>
      </c>
      <c r="F241" s="19">
        <f>IFERROR(__xludf.DUMMYFUNCTION("SPLIT(A237, "" |"")"),235.0)</f>
        <v>235</v>
      </c>
      <c r="G241" s="19">
        <f>IFERROR(__xludf.DUMMYFUNCTION("""COMPUTED_VALUE"""),0.00219)</f>
        <v>0.00219</v>
      </c>
      <c r="H241" s="19" t="str">
        <f>IFERROR(__xludf.DUMMYFUNCTION("""COMPUTED_VALUE"""),"-")</f>
        <v>-</v>
      </c>
      <c r="I241" s="19">
        <f>IFERROR(__xludf.DUMMYFUNCTION("""COMPUTED_VALUE"""),0.00206)</f>
        <v>0.00206</v>
      </c>
      <c r="J241" s="19">
        <f>IFERROR(__xludf.DUMMYFUNCTION("""COMPUTED_VALUE"""),0.04721)</f>
        <v>0.04721</v>
      </c>
      <c r="K241" s="19" t="str">
        <f>IFERROR(__xludf.DUMMYFUNCTION("""COMPUTED_VALUE"""),"-")</f>
        <v>-</v>
      </c>
      <c r="L241" s="19">
        <f>IFERROR(__xludf.DUMMYFUNCTION("""COMPUTED_VALUE"""),0.0475)</f>
        <v>0.0475</v>
      </c>
      <c r="O241" s="24">
        <f t="shared" si="4"/>
        <v>0</v>
      </c>
      <c r="P241" s="24"/>
      <c r="Q241" s="24">
        <f t="shared" si="6"/>
        <v>0</v>
      </c>
      <c r="R241" s="24">
        <f t="shared" si="7"/>
        <v>0</v>
      </c>
      <c r="S241" s="24"/>
      <c r="T241" s="24">
        <f t="shared" si="9"/>
        <v>0</v>
      </c>
    </row>
    <row r="242">
      <c r="A242" s="12" t="s">
        <v>331</v>
      </c>
      <c r="F242" s="19">
        <f>IFERROR(__xludf.DUMMYFUNCTION("SPLIT(A238, "" |"")"),236.0)</f>
        <v>236</v>
      </c>
      <c r="G242" s="19">
        <f>IFERROR(__xludf.DUMMYFUNCTION("""COMPUTED_VALUE"""),0.00222)</f>
        <v>0.00222</v>
      </c>
      <c r="H242" s="19" t="str">
        <f>IFERROR(__xludf.DUMMYFUNCTION("""COMPUTED_VALUE"""),"-")</f>
        <v>-</v>
      </c>
      <c r="I242" s="19">
        <f>IFERROR(__xludf.DUMMYFUNCTION("""COMPUTED_VALUE"""),0.00216)</f>
        <v>0.00216</v>
      </c>
      <c r="J242" s="19">
        <f>IFERROR(__xludf.DUMMYFUNCTION("""COMPUTED_VALUE"""),0.04765)</f>
        <v>0.04765</v>
      </c>
      <c r="K242" s="19" t="str">
        <f>IFERROR(__xludf.DUMMYFUNCTION("""COMPUTED_VALUE"""),"-")</f>
        <v>-</v>
      </c>
      <c r="L242" s="19">
        <f>IFERROR(__xludf.DUMMYFUNCTION("""COMPUTED_VALUE"""),0.04785)</f>
        <v>0.04785</v>
      </c>
      <c r="O242" s="24">
        <f t="shared" si="4"/>
        <v>0</v>
      </c>
      <c r="P242" s="24"/>
      <c r="Q242" s="24">
        <f t="shared" si="6"/>
        <v>0</v>
      </c>
      <c r="R242" s="24">
        <f t="shared" si="7"/>
        <v>0</v>
      </c>
      <c r="S242" s="24"/>
      <c r="T242" s="24">
        <f t="shared" si="9"/>
        <v>0</v>
      </c>
    </row>
    <row r="243">
      <c r="A243" s="12" t="s">
        <v>332</v>
      </c>
      <c r="F243" s="19">
        <f>IFERROR(__xludf.DUMMYFUNCTION("SPLIT(A239, "" |"")"),237.0)</f>
        <v>237</v>
      </c>
      <c r="G243" s="19">
        <f>IFERROR(__xludf.DUMMYFUNCTION("""COMPUTED_VALUE"""),0.0024)</f>
        <v>0.0024</v>
      </c>
      <c r="H243" s="19" t="str">
        <f>IFERROR(__xludf.DUMMYFUNCTION("""COMPUTED_VALUE"""),"-")</f>
        <v>-</v>
      </c>
      <c r="I243" s="19">
        <f>IFERROR(__xludf.DUMMYFUNCTION("""COMPUTED_VALUE"""),0.00218)</f>
        <v>0.00218</v>
      </c>
      <c r="J243" s="19">
        <f>IFERROR(__xludf.DUMMYFUNCTION("""COMPUTED_VALUE"""),0.04747)</f>
        <v>0.04747</v>
      </c>
      <c r="K243" s="19" t="str">
        <f>IFERROR(__xludf.DUMMYFUNCTION("""COMPUTED_VALUE"""),"-")</f>
        <v>-</v>
      </c>
      <c r="L243" s="19">
        <f>IFERROR(__xludf.DUMMYFUNCTION("""COMPUTED_VALUE"""),0.04766)</f>
        <v>0.04766</v>
      </c>
      <c r="O243" s="24">
        <f t="shared" si="4"/>
        <v>0</v>
      </c>
      <c r="P243" s="24"/>
      <c r="Q243" s="24">
        <f t="shared" si="6"/>
        <v>0</v>
      </c>
      <c r="R243" s="24">
        <f t="shared" si="7"/>
        <v>0</v>
      </c>
      <c r="S243" s="24"/>
      <c r="T243" s="24">
        <f t="shared" si="9"/>
        <v>0</v>
      </c>
    </row>
    <row r="244">
      <c r="A244" s="12" t="s">
        <v>333</v>
      </c>
      <c r="F244" s="19">
        <f>IFERROR(__xludf.DUMMYFUNCTION("SPLIT(A240, "" |"")"),238.0)</f>
        <v>238</v>
      </c>
      <c r="G244" s="19">
        <f>IFERROR(__xludf.DUMMYFUNCTION("""COMPUTED_VALUE"""),0.00244)</f>
        <v>0.00244</v>
      </c>
      <c r="H244" s="19" t="str">
        <f>IFERROR(__xludf.DUMMYFUNCTION("""COMPUTED_VALUE"""),"-")</f>
        <v>-</v>
      </c>
      <c r="I244" s="19">
        <f>IFERROR(__xludf.DUMMYFUNCTION("""COMPUTED_VALUE"""),0.00219)</f>
        <v>0.00219</v>
      </c>
      <c r="J244" s="19">
        <f>IFERROR(__xludf.DUMMYFUNCTION("""COMPUTED_VALUE"""),0.04747)</f>
        <v>0.04747</v>
      </c>
      <c r="K244" s="19" t="str">
        <f>IFERROR(__xludf.DUMMYFUNCTION("""COMPUTED_VALUE"""),"-")</f>
        <v>-</v>
      </c>
      <c r="L244" s="19">
        <f>IFERROR(__xludf.DUMMYFUNCTION("""COMPUTED_VALUE"""),0.04764)</f>
        <v>0.04764</v>
      </c>
      <c r="O244" s="24">
        <f t="shared" si="4"/>
        <v>0</v>
      </c>
      <c r="P244" s="24"/>
      <c r="Q244" s="24">
        <f t="shared" si="6"/>
        <v>0</v>
      </c>
      <c r="R244" s="24">
        <f t="shared" si="7"/>
        <v>0</v>
      </c>
      <c r="S244" s="24"/>
      <c r="T244" s="24">
        <f t="shared" si="9"/>
        <v>0</v>
      </c>
    </row>
    <row r="245">
      <c r="A245" s="12" t="s">
        <v>334</v>
      </c>
      <c r="F245" s="19">
        <f>IFERROR(__xludf.DUMMYFUNCTION("SPLIT(A241, "" |"")"),239.0)</f>
        <v>239</v>
      </c>
      <c r="G245" s="19">
        <f>IFERROR(__xludf.DUMMYFUNCTION("""COMPUTED_VALUE"""),0.00238)</f>
        <v>0.00238</v>
      </c>
      <c r="H245" s="19" t="str">
        <f>IFERROR(__xludf.DUMMYFUNCTION("""COMPUTED_VALUE"""),"-")</f>
        <v>-</v>
      </c>
      <c r="I245" s="19">
        <f>IFERROR(__xludf.DUMMYFUNCTION("""COMPUTED_VALUE"""),0.00212)</f>
        <v>0.00212</v>
      </c>
      <c r="J245" s="19">
        <f>IFERROR(__xludf.DUMMYFUNCTION("""COMPUTED_VALUE"""),0.0475)</f>
        <v>0.0475</v>
      </c>
      <c r="K245" s="19" t="str">
        <f>IFERROR(__xludf.DUMMYFUNCTION("""COMPUTED_VALUE"""),"-")</f>
        <v>-</v>
      </c>
      <c r="L245" s="19">
        <f>IFERROR(__xludf.DUMMYFUNCTION("""COMPUTED_VALUE"""),0.0476)</f>
        <v>0.0476</v>
      </c>
      <c r="O245" s="24">
        <f t="shared" si="4"/>
        <v>0</v>
      </c>
      <c r="P245" s="24"/>
      <c r="Q245" s="24">
        <f t="shared" si="6"/>
        <v>0</v>
      </c>
      <c r="R245" s="24">
        <f t="shared" si="7"/>
        <v>0</v>
      </c>
      <c r="S245" s="24"/>
      <c r="T245" s="24">
        <f t="shared" si="9"/>
        <v>0</v>
      </c>
    </row>
    <row r="246">
      <c r="A246" s="12" t="s">
        <v>335</v>
      </c>
      <c r="F246" s="19">
        <f>IFERROR(__xludf.DUMMYFUNCTION("SPLIT(A242, "" |"")"),240.0)</f>
        <v>240</v>
      </c>
      <c r="G246" s="19">
        <f>IFERROR(__xludf.DUMMYFUNCTION("""COMPUTED_VALUE"""),0.00242)</f>
        <v>0.00242</v>
      </c>
      <c r="H246" s="19" t="str">
        <f>IFERROR(__xludf.DUMMYFUNCTION("""COMPUTED_VALUE"""),"-")</f>
        <v>-</v>
      </c>
      <c r="I246" s="19">
        <f>IFERROR(__xludf.DUMMYFUNCTION("""COMPUTED_VALUE"""),0.00223)</f>
        <v>0.00223</v>
      </c>
      <c r="J246" s="19">
        <f>IFERROR(__xludf.DUMMYFUNCTION("""COMPUTED_VALUE"""),0.04568)</f>
        <v>0.04568</v>
      </c>
      <c r="K246" s="19" t="str">
        <f>IFERROR(__xludf.DUMMYFUNCTION("""COMPUTED_VALUE"""),"-")</f>
        <v>-</v>
      </c>
      <c r="L246" s="19">
        <f>IFERROR(__xludf.DUMMYFUNCTION("""COMPUTED_VALUE"""),0.04024)</f>
        <v>0.04024</v>
      </c>
      <c r="O246" s="24">
        <f t="shared" si="4"/>
        <v>0</v>
      </c>
      <c r="P246" s="24"/>
      <c r="Q246" s="24">
        <f t="shared" si="6"/>
        <v>0</v>
      </c>
      <c r="R246" s="24">
        <f t="shared" si="7"/>
        <v>0</v>
      </c>
      <c r="S246" s="24"/>
      <c r="T246" s="24">
        <f t="shared" si="9"/>
        <v>0</v>
      </c>
    </row>
    <row r="247">
      <c r="A247" s="12" t="s">
        <v>336</v>
      </c>
      <c r="F247" s="19">
        <f>IFERROR(__xludf.DUMMYFUNCTION("SPLIT(A243, "" |"")"),241.0)</f>
        <v>241</v>
      </c>
      <c r="G247" s="19">
        <f>IFERROR(__xludf.DUMMYFUNCTION("""COMPUTED_VALUE"""),0.00222)</f>
        <v>0.00222</v>
      </c>
      <c r="H247" s="19" t="str">
        <f>IFERROR(__xludf.DUMMYFUNCTION("""COMPUTED_VALUE"""),"-")</f>
        <v>-</v>
      </c>
      <c r="I247" s="19">
        <f>IFERROR(__xludf.DUMMYFUNCTION("""COMPUTED_VALUE"""),0.00213)</f>
        <v>0.00213</v>
      </c>
      <c r="J247" s="19">
        <f>IFERROR(__xludf.DUMMYFUNCTION("""COMPUTED_VALUE"""),0.04744)</f>
        <v>0.04744</v>
      </c>
      <c r="K247" s="19" t="str">
        <f>IFERROR(__xludf.DUMMYFUNCTION("""COMPUTED_VALUE"""),"-")</f>
        <v>-</v>
      </c>
      <c r="L247" s="19">
        <f>IFERROR(__xludf.DUMMYFUNCTION("""COMPUTED_VALUE"""),0.04763)</f>
        <v>0.04763</v>
      </c>
      <c r="O247" s="24">
        <f t="shared" si="4"/>
        <v>0</v>
      </c>
      <c r="P247" s="24"/>
      <c r="Q247" s="24">
        <f t="shared" si="6"/>
        <v>0</v>
      </c>
      <c r="R247" s="24">
        <f t="shared" si="7"/>
        <v>0</v>
      </c>
      <c r="S247" s="24"/>
      <c r="T247" s="24">
        <f t="shared" si="9"/>
        <v>0</v>
      </c>
    </row>
    <row r="248">
      <c r="A248" s="12" t="s">
        <v>337</v>
      </c>
      <c r="F248" s="19">
        <f>IFERROR(__xludf.DUMMYFUNCTION("SPLIT(A244, "" |"")"),242.0)</f>
        <v>242</v>
      </c>
      <c r="G248" s="19">
        <f>IFERROR(__xludf.DUMMYFUNCTION("""COMPUTED_VALUE"""),0.00234)</f>
        <v>0.00234</v>
      </c>
      <c r="H248" s="19" t="str">
        <f>IFERROR(__xludf.DUMMYFUNCTION("""COMPUTED_VALUE"""),"-")</f>
        <v>-</v>
      </c>
      <c r="I248" s="19">
        <f>IFERROR(__xludf.DUMMYFUNCTION("""COMPUTED_VALUE"""),0.00217)</f>
        <v>0.00217</v>
      </c>
      <c r="J248" s="19">
        <f>IFERROR(__xludf.DUMMYFUNCTION("""COMPUTED_VALUE"""),0.04748)</f>
        <v>0.04748</v>
      </c>
      <c r="K248" s="19" t="str">
        <f>IFERROR(__xludf.DUMMYFUNCTION("""COMPUTED_VALUE"""),"-")</f>
        <v>-</v>
      </c>
      <c r="L248" s="19">
        <f>IFERROR(__xludf.DUMMYFUNCTION("""COMPUTED_VALUE"""),0.04763)</f>
        <v>0.04763</v>
      </c>
      <c r="O248" s="24">
        <f t="shared" si="4"/>
        <v>0</v>
      </c>
      <c r="P248" s="24"/>
      <c r="Q248" s="24">
        <f t="shared" si="6"/>
        <v>0</v>
      </c>
      <c r="R248" s="24">
        <f t="shared" si="7"/>
        <v>0</v>
      </c>
      <c r="S248" s="24"/>
      <c r="T248" s="24">
        <f t="shared" si="9"/>
        <v>0</v>
      </c>
    </row>
    <row r="249">
      <c r="A249" s="12" t="s">
        <v>338</v>
      </c>
      <c r="F249" s="19">
        <f>IFERROR(__xludf.DUMMYFUNCTION("SPLIT(A245, "" |"")"),243.0)</f>
        <v>243</v>
      </c>
      <c r="G249" s="19">
        <f>IFERROR(__xludf.DUMMYFUNCTION("""COMPUTED_VALUE"""),0.0024)</f>
        <v>0.0024</v>
      </c>
      <c r="H249" s="19" t="str">
        <f>IFERROR(__xludf.DUMMYFUNCTION("""COMPUTED_VALUE"""),"-")</f>
        <v>-</v>
      </c>
      <c r="I249" s="19">
        <f>IFERROR(__xludf.DUMMYFUNCTION("""COMPUTED_VALUE"""),0.00221)</f>
        <v>0.00221</v>
      </c>
      <c r="J249" s="19">
        <f>IFERROR(__xludf.DUMMYFUNCTION("""COMPUTED_VALUE"""),0.04747)</f>
        <v>0.04747</v>
      </c>
      <c r="K249" s="19" t="str">
        <f>IFERROR(__xludf.DUMMYFUNCTION("""COMPUTED_VALUE"""),"-")</f>
        <v>-</v>
      </c>
      <c r="L249" s="19">
        <f>IFERROR(__xludf.DUMMYFUNCTION("""COMPUTED_VALUE"""),0.04761)</f>
        <v>0.04761</v>
      </c>
      <c r="O249" s="24">
        <f t="shared" si="4"/>
        <v>0</v>
      </c>
      <c r="P249" s="24"/>
      <c r="Q249" s="24">
        <f t="shared" si="6"/>
        <v>0</v>
      </c>
      <c r="R249" s="24">
        <f t="shared" si="7"/>
        <v>0</v>
      </c>
      <c r="S249" s="24"/>
      <c r="T249" s="24">
        <f t="shared" si="9"/>
        <v>0</v>
      </c>
    </row>
    <row r="250">
      <c r="A250" s="12" t="s">
        <v>339</v>
      </c>
      <c r="F250" s="19">
        <f>IFERROR(__xludf.DUMMYFUNCTION("SPLIT(A246, "" |"")"),244.0)</f>
        <v>244</v>
      </c>
      <c r="G250" s="19">
        <f>IFERROR(__xludf.DUMMYFUNCTION("""COMPUTED_VALUE"""),0.00232)</f>
        <v>0.00232</v>
      </c>
      <c r="H250" s="19" t="str">
        <f>IFERROR(__xludf.DUMMYFUNCTION("""COMPUTED_VALUE"""),"-")</f>
        <v>-</v>
      </c>
      <c r="I250" s="19">
        <f>IFERROR(__xludf.DUMMYFUNCTION("""COMPUTED_VALUE"""),0.00217)</f>
        <v>0.00217</v>
      </c>
      <c r="J250" s="19">
        <f>IFERROR(__xludf.DUMMYFUNCTION("""COMPUTED_VALUE"""),0.0449)</f>
        <v>0.0449</v>
      </c>
      <c r="K250" s="19" t="str">
        <f>IFERROR(__xludf.DUMMYFUNCTION("""COMPUTED_VALUE"""),"-")</f>
        <v>-</v>
      </c>
      <c r="L250" s="19">
        <f>IFERROR(__xludf.DUMMYFUNCTION("""COMPUTED_VALUE"""),0.0476)</f>
        <v>0.0476</v>
      </c>
      <c r="O250" s="24">
        <f t="shared" si="4"/>
        <v>0</v>
      </c>
      <c r="P250" s="24"/>
      <c r="Q250" s="24">
        <f t="shared" si="6"/>
        <v>0</v>
      </c>
      <c r="R250" s="24">
        <f t="shared" si="7"/>
        <v>1</v>
      </c>
      <c r="S250" s="24"/>
      <c r="T250" s="24">
        <f t="shared" si="9"/>
        <v>0</v>
      </c>
    </row>
    <row r="251">
      <c r="A251" s="12" t="s">
        <v>340</v>
      </c>
      <c r="F251" s="19">
        <f>IFERROR(__xludf.DUMMYFUNCTION("SPLIT(A247, "" |"")"),245.0)</f>
        <v>245</v>
      </c>
      <c r="G251" s="19">
        <f>IFERROR(__xludf.DUMMYFUNCTION("""COMPUTED_VALUE"""),0.00234)</f>
        <v>0.00234</v>
      </c>
      <c r="H251" s="19" t="str">
        <f>IFERROR(__xludf.DUMMYFUNCTION("""COMPUTED_VALUE"""),"-")</f>
        <v>-</v>
      </c>
      <c r="I251" s="19">
        <f>IFERROR(__xludf.DUMMYFUNCTION("""COMPUTED_VALUE"""),0.00218)</f>
        <v>0.00218</v>
      </c>
      <c r="J251" s="19">
        <f>IFERROR(__xludf.DUMMYFUNCTION("""COMPUTED_VALUE"""),0.04739)</f>
        <v>0.04739</v>
      </c>
      <c r="K251" s="19" t="str">
        <f>IFERROR(__xludf.DUMMYFUNCTION("""COMPUTED_VALUE"""),"-")</f>
        <v>-</v>
      </c>
      <c r="L251" s="19">
        <f>IFERROR(__xludf.DUMMYFUNCTION("""COMPUTED_VALUE"""),0.04751)</f>
        <v>0.04751</v>
      </c>
      <c r="O251" s="24">
        <f t="shared" si="4"/>
        <v>0</v>
      </c>
      <c r="P251" s="24"/>
      <c r="Q251" s="24">
        <f t="shared" si="6"/>
        <v>0</v>
      </c>
      <c r="R251" s="24">
        <f t="shared" si="7"/>
        <v>0</v>
      </c>
      <c r="S251" s="24"/>
      <c r="T251" s="24">
        <f t="shared" si="9"/>
        <v>0</v>
      </c>
    </row>
    <row r="252">
      <c r="A252" s="12" t="s">
        <v>341</v>
      </c>
      <c r="F252" s="19">
        <f>IFERROR(__xludf.DUMMYFUNCTION("SPLIT(A248, "" |"")"),246.0)</f>
        <v>246</v>
      </c>
      <c r="G252" s="19">
        <f>IFERROR(__xludf.DUMMYFUNCTION("""COMPUTED_VALUE"""),0.00224)</f>
        <v>0.00224</v>
      </c>
      <c r="H252" s="19" t="str">
        <f>IFERROR(__xludf.DUMMYFUNCTION("""COMPUTED_VALUE"""),"-")</f>
        <v>-</v>
      </c>
      <c r="I252" s="19">
        <f>IFERROR(__xludf.DUMMYFUNCTION("""COMPUTED_VALUE"""),0.00205)</f>
        <v>0.00205</v>
      </c>
      <c r="J252" s="19">
        <f>IFERROR(__xludf.DUMMYFUNCTION("""COMPUTED_VALUE"""),0.04097)</f>
        <v>0.04097</v>
      </c>
      <c r="K252" s="19" t="str">
        <f>IFERROR(__xludf.DUMMYFUNCTION("""COMPUTED_VALUE"""),"-")</f>
        <v>-</v>
      </c>
      <c r="L252" s="19">
        <f>IFERROR(__xludf.DUMMYFUNCTION("""COMPUTED_VALUE"""),0.04763)</f>
        <v>0.04763</v>
      </c>
      <c r="O252" s="24">
        <f t="shared" si="4"/>
        <v>0</v>
      </c>
      <c r="P252" s="24"/>
      <c r="Q252" s="24">
        <f t="shared" si="6"/>
        <v>0</v>
      </c>
      <c r="R252" s="24">
        <f t="shared" si="7"/>
        <v>1</v>
      </c>
      <c r="S252" s="24"/>
      <c r="T252" s="24">
        <f t="shared" si="9"/>
        <v>0</v>
      </c>
    </row>
    <row r="253">
      <c r="A253" s="12" t="s">
        <v>342</v>
      </c>
      <c r="F253" s="19">
        <f>IFERROR(__xludf.DUMMYFUNCTION("SPLIT(A249, "" |"")"),247.0)</f>
        <v>247</v>
      </c>
      <c r="G253" s="19">
        <f>IFERROR(__xludf.DUMMYFUNCTION("""COMPUTED_VALUE"""),0.00219)</f>
        <v>0.00219</v>
      </c>
      <c r="H253" s="19" t="str">
        <f>IFERROR(__xludf.DUMMYFUNCTION("""COMPUTED_VALUE"""),"-")</f>
        <v>-</v>
      </c>
      <c r="I253" s="19">
        <f>IFERROR(__xludf.DUMMYFUNCTION("""COMPUTED_VALUE"""),0.00208)</f>
        <v>0.00208</v>
      </c>
      <c r="J253" s="19">
        <f>IFERROR(__xludf.DUMMYFUNCTION("""COMPUTED_VALUE"""),0.04735)</f>
        <v>0.04735</v>
      </c>
      <c r="K253" s="19" t="str">
        <f>IFERROR(__xludf.DUMMYFUNCTION("""COMPUTED_VALUE"""),"-")</f>
        <v>-</v>
      </c>
      <c r="L253" s="19">
        <f>IFERROR(__xludf.DUMMYFUNCTION("""COMPUTED_VALUE"""),0.04747)</f>
        <v>0.04747</v>
      </c>
      <c r="O253" s="24">
        <f t="shared" si="4"/>
        <v>0</v>
      </c>
      <c r="P253" s="24"/>
      <c r="Q253" s="24">
        <f t="shared" si="6"/>
        <v>0</v>
      </c>
      <c r="R253" s="24">
        <f t="shared" si="7"/>
        <v>0</v>
      </c>
      <c r="S253" s="24"/>
      <c r="T253" s="24">
        <f t="shared" si="9"/>
        <v>0</v>
      </c>
    </row>
    <row r="254">
      <c r="A254" s="12" t="s">
        <v>343</v>
      </c>
      <c r="F254" s="19">
        <f>IFERROR(__xludf.DUMMYFUNCTION("SPLIT(A250, "" |"")"),248.0)</f>
        <v>248</v>
      </c>
      <c r="G254" s="19">
        <f>IFERROR(__xludf.DUMMYFUNCTION("""COMPUTED_VALUE"""),0.00222)</f>
        <v>0.00222</v>
      </c>
      <c r="H254" s="19" t="str">
        <f>IFERROR(__xludf.DUMMYFUNCTION("""COMPUTED_VALUE"""),"-")</f>
        <v>-</v>
      </c>
      <c r="I254" s="19">
        <f>IFERROR(__xludf.DUMMYFUNCTION("""COMPUTED_VALUE"""),0.00203)</f>
        <v>0.00203</v>
      </c>
      <c r="J254" s="19">
        <f>IFERROR(__xludf.DUMMYFUNCTION("""COMPUTED_VALUE"""),0.04725)</f>
        <v>0.04725</v>
      </c>
      <c r="K254" s="19" t="str">
        <f>IFERROR(__xludf.DUMMYFUNCTION("""COMPUTED_VALUE"""),"-")</f>
        <v>-</v>
      </c>
      <c r="L254" s="19">
        <f>IFERROR(__xludf.DUMMYFUNCTION("""COMPUTED_VALUE"""),0.04742)</f>
        <v>0.04742</v>
      </c>
      <c r="O254" s="24">
        <f t="shared" si="4"/>
        <v>0</v>
      </c>
      <c r="P254" s="24"/>
      <c r="Q254" s="24">
        <f t="shared" si="6"/>
        <v>0</v>
      </c>
      <c r="R254" s="24">
        <f t="shared" si="7"/>
        <v>0</v>
      </c>
      <c r="S254" s="24"/>
      <c r="T254" s="24">
        <f t="shared" si="9"/>
        <v>0</v>
      </c>
    </row>
    <row r="255">
      <c r="A255" s="12" t="s">
        <v>344</v>
      </c>
      <c r="F255" s="19">
        <f>IFERROR(__xludf.DUMMYFUNCTION("SPLIT(A251, "" |"")"),249.0)</f>
        <v>249</v>
      </c>
      <c r="G255" s="19">
        <f>IFERROR(__xludf.DUMMYFUNCTION("""COMPUTED_VALUE"""),0.00222)</f>
        <v>0.00222</v>
      </c>
      <c r="H255" s="19" t="str">
        <f>IFERROR(__xludf.DUMMYFUNCTION("""COMPUTED_VALUE"""),"-")</f>
        <v>-</v>
      </c>
      <c r="I255" s="19">
        <f>IFERROR(__xludf.DUMMYFUNCTION("""COMPUTED_VALUE"""),0.00204)</f>
        <v>0.00204</v>
      </c>
      <c r="J255" s="19">
        <f>IFERROR(__xludf.DUMMYFUNCTION("""COMPUTED_VALUE"""),0.04244)</f>
        <v>0.04244</v>
      </c>
      <c r="K255" s="19" t="str">
        <f>IFERROR(__xludf.DUMMYFUNCTION("""COMPUTED_VALUE"""),"-")</f>
        <v>-</v>
      </c>
      <c r="L255" s="19">
        <f>IFERROR(__xludf.DUMMYFUNCTION("""COMPUTED_VALUE"""),0.0476)</f>
        <v>0.0476</v>
      </c>
      <c r="O255" s="24">
        <f t="shared" si="4"/>
        <v>0</v>
      </c>
      <c r="P255" s="24"/>
      <c r="Q255" s="24">
        <f t="shared" si="6"/>
        <v>0</v>
      </c>
      <c r="R255" s="24">
        <f t="shared" si="7"/>
        <v>1</v>
      </c>
      <c r="S255" s="24"/>
      <c r="T255" s="24">
        <f t="shared" si="9"/>
        <v>0</v>
      </c>
    </row>
    <row r="256">
      <c r="A256" s="12" t="s">
        <v>345</v>
      </c>
      <c r="F256" s="19">
        <f>IFERROR(__xludf.DUMMYFUNCTION("SPLIT(A252, "" |"")"),250.0)</f>
        <v>250</v>
      </c>
      <c r="G256" s="19">
        <f>IFERROR(__xludf.DUMMYFUNCTION("""COMPUTED_VALUE"""),0.00225)</f>
        <v>0.00225</v>
      </c>
      <c r="H256" s="19" t="str">
        <f>IFERROR(__xludf.DUMMYFUNCTION("""COMPUTED_VALUE"""),"-")</f>
        <v>-</v>
      </c>
      <c r="I256" s="19">
        <f>IFERROR(__xludf.DUMMYFUNCTION("""COMPUTED_VALUE"""),0.00208)</f>
        <v>0.00208</v>
      </c>
      <c r="J256" s="19">
        <f>IFERROR(__xludf.DUMMYFUNCTION("""COMPUTED_VALUE"""),0.04723)</f>
        <v>0.04723</v>
      </c>
      <c r="K256" s="19" t="str">
        <f>IFERROR(__xludf.DUMMYFUNCTION("""COMPUTED_VALUE"""),"-")</f>
        <v>-</v>
      </c>
      <c r="L256" s="19">
        <f>IFERROR(__xludf.DUMMYFUNCTION("""COMPUTED_VALUE"""),0.04744)</f>
        <v>0.04744</v>
      </c>
      <c r="O256" s="24">
        <f t="shared" si="4"/>
        <v>0</v>
      </c>
      <c r="P256" s="24"/>
      <c r="Q256" s="24">
        <f t="shared" si="6"/>
        <v>0</v>
      </c>
      <c r="R256" s="24">
        <f t="shared" si="7"/>
        <v>0</v>
      </c>
      <c r="S256" s="24"/>
      <c r="T256" s="24">
        <f t="shared" si="9"/>
        <v>0</v>
      </c>
    </row>
    <row r="257">
      <c r="A257" s="12" t="s">
        <v>346</v>
      </c>
      <c r="F257" s="19">
        <f>IFERROR(__xludf.DUMMYFUNCTION("SPLIT(A253, "" |"")"),251.0)</f>
        <v>251</v>
      </c>
      <c r="G257" s="19">
        <f>IFERROR(__xludf.DUMMYFUNCTION("""COMPUTED_VALUE"""),0.00223)</f>
        <v>0.00223</v>
      </c>
      <c r="H257" s="19" t="str">
        <f>IFERROR(__xludf.DUMMYFUNCTION("""COMPUTED_VALUE"""),"-")</f>
        <v>-</v>
      </c>
      <c r="I257" s="19">
        <f>IFERROR(__xludf.DUMMYFUNCTION("""COMPUTED_VALUE"""),0.00208)</f>
        <v>0.00208</v>
      </c>
      <c r="J257" s="19">
        <f>IFERROR(__xludf.DUMMYFUNCTION("""COMPUTED_VALUE"""),0.04726)</f>
        <v>0.04726</v>
      </c>
      <c r="K257" s="19" t="str">
        <f>IFERROR(__xludf.DUMMYFUNCTION("""COMPUTED_VALUE"""),"-")</f>
        <v>-</v>
      </c>
      <c r="L257" s="19">
        <f>IFERROR(__xludf.DUMMYFUNCTION("""COMPUTED_VALUE"""),0.04744)</f>
        <v>0.04744</v>
      </c>
      <c r="O257" s="24">
        <f t="shared" si="4"/>
        <v>0</v>
      </c>
      <c r="P257" s="24"/>
      <c r="Q257" s="24">
        <f t="shared" si="6"/>
        <v>0</v>
      </c>
      <c r="R257" s="24">
        <f t="shared" si="7"/>
        <v>0</v>
      </c>
      <c r="S257" s="24"/>
      <c r="T257" s="24">
        <f t="shared" si="9"/>
        <v>0</v>
      </c>
    </row>
    <row r="258">
      <c r="A258" s="12" t="s">
        <v>347</v>
      </c>
      <c r="F258" s="19">
        <f>IFERROR(__xludf.DUMMYFUNCTION("SPLIT(A254, "" |"")"),252.0)</f>
        <v>252</v>
      </c>
      <c r="G258" s="19">
        <f>IFERROR(__xludf.DUMMYFUNCTION("""COMPUTED_VALUE"""),0.00222)</f>
        <v>0.00222</v>
      </c>
      <c r="H258" s="19" t="str">
        <f>IFERROR(__xludf.DUMMYFUNCTION("""COMPUTED_VALUE"""),"-")</f>
        <v>-</v>
      </c>
      <c r="I258" s="19">
        <f>IFERROR(__xludf.DUMMYFUNCTION("""COMPUTED_VALUE"""),0.00207)</f>
        <v>0.00207</v>
      </c>
      <c r="J258" s="19">
        <f>IFERROR(__xludf.DUMMYFUNCTION("""COMPUTED_VALUE"""),0.04728)</f>
        <v>0.04728</v>
      </c>
      <c r="K258" s="19" t="str">
        <f>IFERROR(__xludf.DUMMYFUNCTION("""COMPUTED_VALUE"""),"-")</f>
        <v>-</v>
      </c>
      <c r="L258" s="19">
        <f>IFERROR(__xludf.DUMMYFUNCTION("""COMPUTED_VALUE"""),0.04747)</f>
        <v>0.04747</v>
      </c>
      <c r="O258" s="24">
        <f t="shared" si="4"/>
        <v>0</v>
      </c>
      <c r="P258" s="24"/>
      <c r="Q258" s="24">
        <f t="shared" si="6"/>
        <v>0</v>
      </c>
      <c r="R258" s="24">
        <f t="shared" si="7"/>
        <v>0</v>
      </c>
      <c r="S258" s="24"/>
      <c r="T258" s="24">
        <f t="shared" si="9"/>
        <v>0</v>
      </c>
    </row>
    <row r="259">
      <c r="A259" s="12" t="s">
        <v>348</v>
      </c>
      <c r="F259" s="19">
        <f>IFERROR(__xludf.DUMMYFUNCTION("SPLIT(A255, "" |"")"),253.0)</f>
        <v>253</v>
      </c>
      <c r="G259" s="19">
        <f>IFERROR(__xludf.DUMMYFUNCTION("""COMPUTED_VALUE"""),0.00226)</f>
        <v>0.00226</v>
      </c>
      <c r="H259" s="19" t="str">
        <f>IFERROR(__xludf.DUMMYFUNCTION("""COMPUTED_VALUE"""),"-")</f>
        <v>-</v>
      </c>
      <c r="I259" s="19">
        <f>IFERROR(__xludf.DUMMYFUNCTION("""COMPUTED_VALUE"""),0.00209)</f>
        <v>0.00209</v>
      </c>
      <c r="J259" s="19">
        <f>IFERROR(__xludf.DUMMYFUNCTION("""COMPUTED_VALUE"""),0.04723)</f>
        <v>0.04723</v>
      </c>
      <c r="K259" s="19" t="str">
        <f>IFERROR(__xludf.DUMMYFUNCTION("""COMPUTED_VALUE"""),"-")</f>
        <v>-</v>
      </c>
      <c r="L259" s="19">
        <f>IFERROR(__xludf.DUMMYFUNCTION("""COMPUTED_VALUE"""),0.04745)</f>
        <v>0.04745</v>
      </c>
      <c r="O259" s="24">
        <f t="shared" si="4"/>
        <v>0</v>
      </c>
      <c r="P259" s="24"/>
      <c r="Q259" s="24">
        <f t="shared" si="6"/>
        <v>0</v>
      </c>
      <c r="R259" s="24">
        <f t="shared" si="7"/>
        <v>0</v>
      </c>
      <c r="S259" s="24"/>
      <c r="T259" s="24">
        <f t="shared" si="9"/>
        <v>0</v>
      </c>
    </row>
    <row r="260">
      <c r="A260" s="12" t="s">
        <v>349</v>
      </c>
      <c r="F260" s="19">
        <f>IFERROR(__xludf.DUMMYFUNCTION("SPLIT(A256, "" |"")"),254.0)</f>
        <v>254</v>
      </c>
      <c r="G260" s="19">
        <f>IFERROR(__xludf.DUMMYFUNCTION("""COMPUTED_VALUE"""),0.00223)</f>
        <v>0.00223</v>
      </c>
      <c r="H260" s="19" t="str">
        <f>IFERROR(__xludf.DUMMYFUNCTION("""COMPUTED_VALUE"""),"-")</f>
        <v>-</v>
      </c>
      <c r="I260" s="19">
        <f>IFERROR(__xludf.DUMMYFUNCTION("""COMPUTED_VALUE"""),0.00208)</f>
        <v>0.00208</v>
      </c>
      <c r="J260" s="19">
        <f>IFERROR(__xludf.DUMMYFUNCTION("""COMPUTED_VALUE"""),0.0423)</f>
        <v>0.0423</v>
      </c>
      <c r="K260" s="19" t="str">
        <f>IFERROR(__xludf.DUMMYFUNCTION("""COMPUTED_VALUE"""),"-")</f>
        <v>-</v>
      </c>
      <c r="L260" s="19">
        <f>IFERROR(__xludf.DUMMYFUNCTION("""COMPUTED_VALUE"""),0.04744)</f>
        <v>0.04744</v>
      </c>
      <c r="O260" s="24">
        <f t="shared" si="4"/>
        <v>0</v>
      </c>
      <c r="P260" s="24"/>
      <c r="Q260" s="24">
        <f t="shared" si="6"/>
        <v>0</v>
      </c>
      <c r="R260" s="24">
        <f t="shared" si="7"/>
        <v>1</v>
      </c>
      <c r="S260" s="24"/>
      <c r="T260" s="24">
        <f t="shared" si="9"/>
        <v>0</v>
      </c>
    </row>
    <row r="261">
      <c r="A261" s="12" t="s">
        <v>350</v>
      </c>
      <c r="F261" s="19">
        <f>IFERROR(__xludf.DUMMYFUNCTION("SPLIT(A257, "" |"")"),255.0)</f>
        <v>255</v>
      </c>
      <c r="G261" s="19">
        <f>IFERROR(__xludf.DUMMYFUNCTION("""COMPUTED_VALUE"""),0.00225)</f>
        <v>0.00225</v>
      </c>
      <c r="H261" s="19" t="str">
        <f>IFERROR(__xludf.DUMMYFUNCTION("""COMPUTED_VALUE"""),"-")</f>
        <v>-</v>
      </c>
      <c r="I261" s="19">
        <f>IFERROR(__xludf.DUMMYFUNCTION("""COMPUTED_VALUE"""),0.00209)</f>
        <v>0.00209</v>
      </c>
      <c r="J261" s="19">
        <f>IFERROR(__xludf.DUMMYFUNCTION("""COMPUTED_VALUE"""),0.0432)</f>
        <v>0.0432</v>
      </c>
      <c r="K261" s="19" t="str">
        <f>IFERROR(__xludf.DUMMYFUNCTION("""COMPUTED_VALUE"""),"-")</f>
        <v>-</v>
      </c>
      <c r="L261" s="19">
        <f>IFERROR(__xludf.DUMMYFUNCTION("""COMPUTED_VALUE"""),0.04461)</f>
        <v>0.04461</v>
      </c>
      <c r="O261" s="24">
        <f t="shared" si="4"/>
        <v>0</v>
      </c>
      <c r="P261" s="24"/>
      <c r="Q261" s="24">
        <f t="shared" si="6"/>
        <v>0</v>
      </c>
      <c r="R261" s="24">
        <f t="shared" si="7"/>
        <v>1</v>
      </c>
      <c r="S261" s="24"/>
      <c r="T261" s="24">
        <f t="shared" si="9"/>
        <v>0</v>
      </c>
    </row>
    <row r="262">
      <c r="A262" s="12" t="s">
        <v>351</v>
      </c>
      <c r="F262" s="19">
        <f>IFERROR(__xludf.DUMMYFUNCTION("SPLIT(A258, "" |"")"),256.0)</f>
        <v>256</v>
      </c>
      <c r="G262" s="19">
        <f>IFERROR(__xludf.DUMMYFUNCTION("""COMPUTED_VALUE"""),0.00225)</f>
        <v>0.00225</v>
      </c>
      <c r="H262" s="19" t="str">
        <f>IFERROR(__xludf.DUMMYFUNCTION("""COMPUTED_VALUE"""),"-")</f>
        <v>-</v>
      </c>
      <c r="I262" s="19">
        <f>IFERROR(__xludf.DUMMYFUNCTION("""COMPUTED_VALUE"""),0.00206)</f>
        <v>0.00206</v>
      </c>
      <c r="J262" s="19">
        <f>IFERROR(__xludf.DUMMYFUNCTION("""COMPUTED_VALUE"""),0.04729)</f>
        <v>0.04729</v>
      </c>
      <c r="K262" s="19" t="str">
        <f>IFERROR(__xludf.DUMMYFUNCTION("""COMPUTED_VALUE"""),"-")</f>
        <v>-</v>
      </c>
      <c r="L262" s="19">
        <f>IFERROR(__xludf.DUMMYFUNCTION("""COMPUTED_VALUE"""),0.04748)</f>
        <v>0.04748</v>
      </c>
      <c r="O262" s="24">
        <f t="shared" si="4"/>
        <v>0</v>
      </c>
      <c r="P262" s="24"/>
      <c r="Q262" s="24">
        <f t="shared" si="6"/>
        <v>0</v>
      </c>
      <c r="R262" s="24">
        <f t="shared" si="7"/>
        <v>0</v>
      </c>
      <c r="S262" s="24"/>
      <c r="T262" s="24">
        <f t="shared" si="9"/>
        <v>0</v>
      </c>
    </row>
    <row r="263">
      <c r="A263" s="12" t="s">
        <v>352</v>
      </c>
      <c r="F263" s="19">
        <f>IFERROR(__xludf.DUMMYFUNCTION("SPLIT(A259, "" |"")"),257.0)</f>
        <v>257</v>
      </c>
      <c r="G263" s="19">
        <f>IFERROR(__xludf.DUMMYFUNCTION("""COMPUTED_VALUE"""),0.0023)</f>
        <v>0.0023</v>
      </c>
      <c r="H263" s="19" t="str">
        <f>IFERROR(__xludf.DUMMYFUNCTION("""COMPUTED_VALUE"""),"-")</f>
        <v>-</v>
      </c>
      <c r="I263" s="19">
        <f>IFERROR(__xludf.DUMMYFUNCTION("""COMPUTED_VALUE"""),0.00207)</f>
        <v>0.00207</v>
      </c>
      <c r="J263" s="19">
        <f>IFERROR(__xludf.DUMMYFUNCTION("""COMPUTED_VALUE"""),0.04734)</f>
        <v>0.04734</v>
      </c>
      <c r="K263" s="19" t="str">
        <f>IFERROR(__xludf.DUMMYFUNCTION("""COMPUTED_VALUE"""),"-")</f>
        <v>-</v>
      </c>
      <c r="L263" s="19">
        <f>IFERROR(__xludf.DUMMYFUNCTION("""COMPUTED_VALUE"""),0.04756)</f>
        <v>0.04756</v>
      </c>
      <c r="O263" s="24">
        <f t="shared" si="4"/>
        <v>0</v>
      </c>
      <c r="P263" s="24"/>
      <c r="Q263" s="24">
        <f t="shared" si="6"/>
        <v>0</v>
      </c>
      <c r="R263" s="24">
        <f t="shared" si="7"/>
        <v>0</v>
      </c>
      <c r="S263" s="24"/>
      <c r="T263" s="24">
        <f t="shared" si="9"/>
        <v>0</v>
      </c>
    </row>
    <row r="264">
      <c r="A264" s="12" t="s">
        <v>353</v>
      </c>
      <c r="F264" s="19">
        <f>IFERROR(__xludf.DUMMYFUNCTION("SPLIT(A260, "" |"")"),258.0)</f>
        <v>258</v>
      </c>
      <c r="G264" s="19">
        <f>IFERROR(__xludf.DUMMYFUNCTION("""COMPUTED_VALUE"""),0.00226)</f>
        <v>0.00226</v>
      </c>
      <c r="H264" s="19" t="str">
        <f>IFERROR(__xludf.DUMMYFUNCTION("""COMPUTED_VALUE"""),"-")</f>
        <v>-</v>
      </c>
      <c r="I264" s="19">
        <f>IFERROR(__xludf.DUMMYFUNCTION("""COMPUTED_VALUE"""),0.00206)</f>
        <v>0.00206</v>
      </c>
      <c r="J264" s="19">
        <f>IFERROR(__xludf.DUMMYFUNCTION("""COMPUTED_VALUE"""),0.04151)</f>
        <v>0.04151</v>
      </c>
      <c r="K264" s="19" t="str">
        <f>IFERROR(__xludf.DUMMYFUNCTION("""COMPUTED_VALUE"""),"-")</f>
        <v>-</v>
      </c>
      <c r="L264" s="19">
        <f>IFERROR(__xludf.DUMMYFUNCTION("""COMPUTED_VALUE"""),0.04632)</f>
        <v>0.04632</v>
      </c>
      <c r="O264" s="24">
        <f t="shared" si="4"/>
        <v>0</v>
      </c>
      <c r="P264" s="24"/>
      <c r="Q264" s="24">
        <f t="shared" si="6"/>
        <v>0</v>
      </c>
      <c r="R264" s="24">
        <f t="shared" si="7"/>
        <v>1</v>
      </c>
      <c r="S264" s="24"/>
      <c r="T264" s="24">
        <f t="shared" si="9"/>
        <v>0</v>
      </c>
    </row>
    <row r="265">
      <c r="A265" s="12" t="s">
        <v>354</v>
      </c>
      <c r="F265" s="19">
        <f>IFERROR(__xludf.DUMMYFUNCTION("SPLIT(A261, "" |"")"),259.0)</f>
        <v>259</v>
      </c>
      <c r="G265" s="19">
        <f>IFERROR(__xludf.DUMMYFUNCTION("""COMPUTED_VALUE"""),0.00234)</f>
        <v>0.00234</v>
      </c>
      <c r="H265" s="19" t="str">
        <f>IFERROR(__xludf.DUMMYFUNCTION("""COMPUTED_VALUE"""),"-")</f>
        <v>-</v>
      </c>
      <c r="I265" s="19">
        <f>IFERROR(__xludf.DUMMYFUNCTION("""COMPUTED_VALUE"""),0.00223)</f>
        <v>0.00223</v>
      </c>
      <c r="J265" s="19">
        <f>IFERROR(__xludf.DUMMYFUNCTION("""COMPUTED_VALUE"""),0.04061)</f>
        <v>0.04061</v>
      </c>
      <c r="K265" s="19" t="str">
        <f>IFERROR(__xludf.DUMMYFUNCTION("""COMPUTED_VALUE"""),"-")</f>
        <v>-</v>
      </c>
      <c r="L265" s="19">
        <f>IFERROR(__xludf.DUMMYFUNCTION("""COMPUTED_VALUE"""),0.04761)</f>
        <v>0.04761</v>
      </c>
      <c r="O265" s="24">
        <f t="shared" si="4"/>
        <v>0</v>
      </c>
      <c r="P265" s="24"/>
      <c r="Q265" s="24">
        <f t="shared" si="6"/>
        <v>0</v>
      </c>
      <c r="R265" s="24">
        <f t="shared" si="7"/>
        <v>1</v>
      </c>
      <c r="S265" s="24"/>
      <c r="T265" s="24">
        <f t="shared" si="9"/>
        <v>0</v>
      </c>
    </row>
    <row r="266">
      <c r="A266" s="12" t="s">
        <v>355</v>
      </c>
      <c r="F266" s="19">
        <f>IFERROR(__xludf.DUMMYFUNCTION("SPLIT(A262, "" |"")"),260.0)</f>
        <v>260</v>
      </c>
      <c r="G266" s="19">
        <f>IFERROR(__xludf.DUMMYFUNCTION("""COMPUTED_VALUE"""),0.00238)</f>
        <v>0.00238</v>
      </c>
      <c r="H266" s="19" t="str">
        <f>IFERROR(__xludf.DUMMYFUNCTION("""COMPUTED_VALUE"""),"-")</f>
        <v>-</v>
      </c>
      <c r="I266" s="19">
        <f>IFERROR(__xludf.DUMMYFUNCTION("""COMPUTED_VALUE"""),0.00215)</f>
        <v>0.00215</v>
      </c>
      <c r="J266" s="19">
        <f>IFERROR(__xludf.DUMMYFUNCTION("""COMPUTED_VALUE"""),0.04745)</f>
        <v>0.04745</v>
      </c>
      <c r="K266" s="19" t="str">
        <f>IFERROR(__xludf.DUMMYFUNCTION("""COMPUTED_VALUE"""),"-")</f>
        <v>-</v>
      </c>
      <c r="L266" s="19">
        <f>IFERROR(__xludf.DUMMYFUNCTION("""COMPUTED_VALUE"""),0.04754)</f>
        <v>0.04754</v>
      </c>
      <c r="O266" s="24">
        <f t="shared" si="4"/>
        <v>0</v>
      </c>
      <c r="P266" s="24"/>
      <c r="Q266" s="24">
        <f t="shared" si="6"/>
        <v>0</v>
      </c>
      <c r="R266" s="24">
        <f t="shared" si="7"/>
        <v>0</v>
      </c>
      <c r="S266" s="24"/>
      <c r="T266" s="24">
        <f t="shared" si="9"/>
        <v>0</v>
      </c>
    </row>
    <row r="267">
      <c r="A267" s="12" t="s">
        <v>356</v>
      </c>
      <c r="F267" s="19">
        <f>IFERROR(__xludf.DUMMYFUNCTION("SPLIT(A263, "" |"")"),261.0)</f>
        <v>261</v>
      </c>
      <c r="G267" s="19">
        <f>IFERROR(__xludf.DUMMYFUNCTION("""COMPUTED_VALUE"""),0.00236)</f>
        <v>0.00236</v>
      </c>
      <c r="H267" s="19" t="str">
        <f>IFERROR(__xludf.DUMMYFUNCTION("""COMPUTED_VALUE"""),"-")</f>
        <v>-</v>
      </c>
      <c r="I267" s="19">
        <f>IFERROR(__xludf.DUMMYFUNCTION("""COMPUTED_VALUE"""),0.00218)</f>
        <v>0.00218</v>
      </c>
      <c r="J267" s="19">
        <f>IFERROR(__xludf.DUMMYFUNCTION("""COMPUTED_VALUE"""),0.04744)</f>
        <v>0.04744</v>
      </c>
      <c r="K267" s="19" t="str">
        <f>IFERROR(__xludf.DUMMYFUNCTION("""COMPUTED_VALUE"""),"-")</f>
        <v>-</v>
      </c>
      <c r="L267" s="19">
        <f>IFERROR(__xludf.DUMMYFUNCTION("""COMPUTED_VALUE"""),0.04758)</f>
        <v>0.04758</v>
      </c>
      <c r="O267" s="24">
        <f t="shared" si="4"/>
        <v>0</v>
      </c>
      <c r="P267" s="24"/>
      <c r="Q267" s="24">
        <f t="shared" si="6"/>
        <v>0</v>
      </c>
      <c r="R267" s="24">
        <f t="shared" si="7"/>
        <v>0</v>
      </c>
      <c r="S267" s="24"/>
      <c r="T267" s="24">
        <f t="shared" si="9"/>
        <v>0</v>
      </c>
    </row>
    <row r="268">
      <c r="A268" s="12" t="s">
        <v>357</v>
      </c>
      <c r="F268" s="19">
        <f>IFERROR(__xludf.DUMMYFUNCTION("SPLIT(A264, "" |"")"),262.0)</f>
        <v>262</v>
      </c>
      <c r="G268" s="19">
        <f>IFERROR(__xludf.DUMMYFUNCTION("""COMPUTED_VALUE"""),0.00245)</f>
        <v>0.00245</v>
      </c>
      <c r="H268" s="19" t="str">
        <f>IFERROR(__xludf.DUMMYFUNCTION("""COMPUTED_VALUE"""),"-")</f>
        <v>-</v>
      </c>
      <c r="I268" s="19">
        <f>IFERROR(__xludf.DUMMYFUNCTION("""COMPUTED_VALUE"""),0.00222)</f>
        <v>0.00222</v>
      </c>
      <c r="J268" s="19">
        <f>IFERROR(__xludf.DUMMYFUNCTION("""COMPUTED_VALUE"""),0.04747)</f>
        <v>0.04747</v>
      </c>
      <c r="K268" s="19" t="str">
        <f>IFERROR(__xludf.DUMMYFUNCTION("""COMPUTED_VALUE"""),"-")</f>
        <v>-</v>
      </c>
      <c r="L268" s="19">
        <f>IFERROR(__xludf.DUMMYFUNCTION("""COMPUTED_VALUE"""),0.0476)</f>
        <v>0.0476</v>
      </c>
      <c r="O268" s="24">
        <f t="shared" si="4"/>
        <v>0</v>
      </c>
      <c r="P268" s="24"/>
      <c r="Q268" s="24">
        <f t="shared" si="6"/>
        <v>0</v>
      </c>
      <c r="R268" s="24">
        <f t="shared" si="7"/>
        <v>0</v>
      </c>
      <c r="S268" s="24"/>
      <c r="T268" s="24">
        <f t="shared" si="9"/>
        <v>0</v>
      </c>
    </row>
    <row r="269">
      <c r="A269" s="12" t="s">
        <v>358</v>
      </c>
      <c r="F269" s="19">
        <f>IFERROR(__xludf.DUMMYFUNCTION("SPLIT(A265, "" |"")"),263.0)</f>
        <v>263</v>
      </c>
      <c r="G269" s="19">
        <f>IFERROR(__xludf.DUMMYFUNCTION("""COMPUTED_VALUE"""),0.00234)</f>
        <v>0.00234</v>
      </c>
      <c r="H269" s="19" t="str">
        <f>IFERROR(__xludf.DUMMYFUNCTION("""COMPUTED_VALUE"""),"-")</f>
        <v>-</v>
      </c>
      <c r="I269" s="19">
        <f>IFERROR(__xludf.DUMMYFUNCTION("""COMPUTED_VALUE"""),0.00218)</f>
        <v>0.00218</v>
      </c>
      <c r="J269" s="19">
        <f>IFERROR(__xludf.DUMMYFUNCTION("""COMPUTED_VALUE"""),0.04748)</f>
        <v>0.04748</v>
      </c>
      <c r="K269" s="19" t="str">
        <f>IFERROR(__xludf.DUMMYFUNCTION("""COMPUTED_VALUE"""),"-")</f>
        <v>-</v>
      </c>
      <c r="L269" s="19">
        <f>IFERROR(__xludf.DUMMYFUNCTION("""COMPUTED_VALUE"""),0.04284)</f>
        <v>0.04284</v>
      </c>
      <c r="O269" s="24">
        <f t="shared" si="4"/>
        <v>0</v>
      </c>
      <c r="P269" s="24"/>
      <c r="Q269" s="24">
        <f t="shared" si="6"/>
        <v>0</v>
      </c>
      <c r="R269" s="24">
        <f t="shared" si="7"/>
        <v>0</v>
      </c>
      <c r="S269" s="24"/>
      <c r="T269" s="24">
        <f t="shared" si="9"/>
        <v>0</v>
      </c>
    </row>
    <row r="270">
      <c r="A270" s="12" t="s">
        <v>359</v>
      </c>
      <c r="F270" s="19">
        <f>IFERROR(__xludf.DUMMYFUNCTION("SPLIT(A266, "" |"")"),264.0)</f>
        <v>264</v>
      </c>
      <c r="G270" s="19">
        <f>IFERROR(__xludf.DUMMYFUNCTION("""COMPUTED_VALUE"""),0.00229)</f>
        <v>0.00229</v>
      </c>
      <c r="H270" s="19" t="str">
        <f>IFERROR(__xludf.DUMMYFUNCTION("""COMPUTED_VALUE"""),"-")</f>
        <v>-</v>
      </c>
      <c r="I270" s="19">
        <f>IFERROR(__xludf.DUMMYFUNCTION("""COMPUTED_VALUE"""),0.00211)</f>
        <v>0.00211</v>
      </c>
      <c r="J270" s="19">
        <f>IFERROR(__xludf.DUMMYFUNCTION("""COMPUTED_VALUE"""),0.04744)</f>
        <v>0.04744</v>
      </c>
      <c r="K270" s="19" t="str">
        <f>IFERROR(__xludf.DUMMYFUNCTION("""COMPUTED_VALUE"""),"-")</f>
        <v>-</v>
      </c>
      <c r="L270" s="19">
        <f>IFERROR(__xludf.DUMMYFUNCTION("""COMPUTED_VALUE"""),0.04766)</f>
        <v>0.04766</v>
      </c>
      <c r="O270" s="24">
        <f t="shared" si="4"/>
        <v>0</v>
      </c>
      <c r="P270" s="24"/>
      <c r="Q270" s="24">
        <f t="shared" si="6"/>
        <v>0</v>
      </c>
      <c r="R270" s="24">
        <f t="shared" si="7"/>
        <v>0</v>
      </c>
      <c r="S270" s="24"/>
      <c r="T270" s="24">
        <f t="shared" si="9"/>
        <v>0</v>
      </c>
    </row>
    <row r="271">
      <c r="A271" s="12" t="s">
        <v>360</v>
      </c>
      <c r="F271" s="19">
        <f>IFERROR(__xludf.DUMMYFUNCTION("SPLIT(A267, "" |"")"),265.0)</f>
        <v>265</v>
      </c>
      <c r="G271" s="19">
        <f>IFERROR(__xludf.DUMMYFUNCTION("""COMPUTED_VALUE"""),0.00245)</f>
        <v>0.00245</v>
      </c>
      <c r="H271" s="19" t="str">
        <f>IFERROR(__xludf.DUMMYFUNCTION("""COMPUTED_VALUE"""),"-")</f>
        <v>-</v>
      </c>
      <c r="I271" s="19">
        <f>IFERROR(__xludf.DUMMYFUNCTION("""COMPUTED_VALUE"""),0.00219)</f>
        <v>0.00219</v>
      </c>
      <c r="J271" s="19">
        <f>IFERROR(__xludf.DUMMYFUNCTION("""COMPUTED_VALUE"""),0.04555)</f>
        <v>0.04555</v>
      </c>
      <c r="K271" s="19" t="str">
        <f>IFERROR(__xludf.DUMMYFUNCTION("""COMPUTED_VALUE"""),"-")</f>
        <v>-</v>
      </c>
      <c r="L271" s="19">
        <f>IFERROR(__xludf.DUMMYFUNCTION("""COMPUTED_VALUE"""),0.04762)</f>
        <v>0.04762</v>
      </c>
      <c r="O271" s="24">
        <f t="shared" si="4"/>
        <v>0</v>
      </c>
      <c r="P271" s="24"/>
      <c r="Q271" s="24">
        <f t="shared" si="6"/>
        <v>0</v>
      </c>
      <c r="R271" s="24">
        <f t="shared" si="7"/>
        <v>0</v>
      </c>
      <c r="S271" s="24"/>
      <c r="T271" s="24">
        <f t="shared" si="9"/>
        <v>0</v>
      </c>
    </row>
    <row r="272">
      <c r="A272" s="12" t="s">
        <v>361</v>
      </c>
      <c r="F272" s="19">
        <f>IFERROR(__xludf.DUMMYFUNCTION("SPLIT(A268, "" |"")"),266.0)</f>
        <v>266</v>
      </c>
      <c r="G272" s="19">
        <f>IFERROR(__xludf.DUMMYFUNCTION("""COMPUTED_VALUE"""),0.00225)</f>
        <v>0.00225</v>
      </c>
      <c r="H272" s="19" t="str">
        <f>IFERROR(__xludf.DUMMYFUNCTION("""COMPUTED_VALUE"""),"-")</f>
        <v>-</v>
      </c>
      <c r="I272" s="19">
        <f>IFERROR(__xludf.DUMMYFUNCTION("""COMPUTED_VALUE"""),0.00221)</f>
        <v>0.00221</v>
      </c>
      <c r="J272" s="19">
        <f>IFERROR(__xludf.DUMMYFUNCTION("""COMPUTED_VALUE"""),0.04676)</f>
        <v>0.04676</v>
      </c>
      <c r="K272" s="19" t="str">
        <f>IFERROR(__xludf.DUMMYFUNCTION("""COMPUTED_VALUE"""),"-")</f>
        <v>-</v>
      </c>
      <c r="L272" s="19">
        <f>IFERROR(__xludf.DUMMYFUNCTION("""COMPUTED_VALUE"""),0.04773)</f>
        <v>0.04773</v>
      </c>
      <c r="O272" s="24">
        <f t="shared" si="4"/>
        <v>0</v>
      </c>
      <c r="P272" s="24"/>
      <c r="Q272" s="24">
        <f t="shared" si="6"/>
        <v>0</v>
      </c>
      <c r="R272" s="24">
        <f t="shared" si="7"/>
        <v>0</v>
      </c>
      <c r="S272" s="24"/>
      <c r="T272" s="24">
        <f t="shared" si="9"/>
        <v>0</v>
      </c>
    </row>
    <row r="273">
      <c r="A273" s="12" t="s">
        <v>362</v>
      </c>
      <c r="F273" s="19">
        <f>IFERROR(__xludf.DUMMYFUNCTION("SPLIT(A269, "" |"")"),267.0)</f>
        <v>267</v>
      </c>
      <c r="G273" s="19">
        <f>IFERROR(__xludf.DUMMYFUNCTION("""COMPUTED_VALUE"""),0.00234)</f>
        <v>0.00234</v>
      </c>
      <c r="H273" s="19" t="str">
        <f>IFERROR(__xludf.DUMMYFUNCTION("""COMPUTED_VALUE"""),"-")</f>
        <v>-</v>
      </c>
      <c r="I273" s="19">
        <f>IFERROR(__xludf.DUMMYFUNCTION("""COMPUTED_VALUE"""),0.00225)</f>
        <v>0.00225</v>
      </c>
      <c r="J273" s="19">
        <f>IFERROR(__xludf.DUMMYFUNCTION("""COMPUTED_VALUE"""),0.04154)</f>
        <v>0.04154</v>
      </c>
      <c r="K273" s="19" t="str">
        <f>IFERROR(__xludf.DUMMYFUNCTION("""COMPUTED_VALUE"""),"-")</f>
        <v>-</v>
      </c>
      <c r="L273" s="19">
        <f>IFERROR(__xludf.DUMMYFUNCTION("""COMPUTED_VALUE"""),0.04758)</f>
        <v>0.04758</v>
      </c>
      <c r="O273" s="24">
        <f t="shared" si="4"/>
        <v>0</v>
      </c>
      <c r="P273" s="24"/>
      <c r="Q273" s="24">
        <f t="shared" si="6"/>
        <v>0</v>
      </c>
      <c r="R273" s="24">
        <f t="shared" si="7"/>
        <v>1</v>
      </c>
      <c r="S273" s="24"/>
      <c r="T273" s="24">
        <f t="shared" si="9"/>
        <v>0</v>
      </c>
    </row>
    <row r="274">
      <c r="A274" s="12" t="s">
        <v>363</v>
      </c>
      <c r="F274" s="19">
        <f>IFERROR(__xludf.DUMMYFUNCTION("SPLIT(A270, "" |"")"),268.0)</f>
        <v>268</v>
      </c>
      <c r="G274" s="19">
        <f>IFERROR(__xludf.DUMMYFUNCTION("""COMPUTED_VALUE"""),0.00232)</f>
        <v>0.00232</v>
      </c>
      <c r="H274" s="19" t="str">
        <f>IFERROR(__xludf.DUMMYFUNCTION("""COMPUTED_VALUE"""),"-")</f>
        <v>-</v>
      </c>
      <c r="I274" s="19">
        <f>IFERROR(__xludf.DUMMYFUNCTION("""COMPUTED_VALUE"""),0.00221)</f>
        <v>0.00221</v>
      </c>
      <c r="J274" s="19">
        <f>IFERROR(__xludf.DUMMYFUNCTION("""COMPUTED_VALUE"""),0.04735)</f>
        <v>0.04735</v>
      </c>
      <c r="K274" s="19" t="str">
        <f>IFERROR(__xludf.DUMMYFUNCTION("""COMPUTED_VALUE"""),"-")</f>
        <v>-</v>
      </c>
      <c r="L274" s="19">
        <f>IFERROR(__xludf.DUMMYFUNCTION("""COMPUTED_VALUE"""),0.04749)</f>
        <v>0.04749</v>
      </c>
      <c r="O274" s="24">
        <f t="shared" si="4"/>
        <v>0</v>
      </c>
      <c r="P274" s="24"/>
      <c r="Q274" s="24">
        <f t="shared" si="6"/>
        <v>0</v>
      </c>
      <c r="R274" s="24">
        <f t="shared" si="7"/>
        <v>0</v>
      </c>
      <c r="S274" s="24"/>
      <c r="T274" s="24">
        <f t="shared" si="9"/>
        <v>0</v>
      </c>
    </row>
    <row r="275">
      <c r="A275" s="12" t="s">
        <v>364</v>
      </c>
      <c r="F275" s="19">
        <f>IFERROR(__xludf.DUMMYFUNCTION("SPLIT(A271, "" |"")"),269.0)</f>
        <v>269</v>
      </c>
      <c r="G275" s="19">
        <f>IFERROR(__xludf.DUMMYFUNCTION("""COMPUTED_VALUE"""),0.00236)</f>
        <v>0.00236</v>
      </c>
      <c r="H275" s="19" t="str">
        <f>IFERROR(__xludf.DUMMYFUNCTION("""COMPUTED_VALUE"""),"-")</f>
        <v>-</v>
      </c>
      <c r="I275" s="19">
        <f>IFERROR(__xludf.DUMMYFUNCTION("""COMPUTED_VALUE"""),0.00217)</f>
        <v>0.00217</v>
      </c>
      <c r="J275" s="19">
        <f>IFERROR(__xludf.DUMMYFUNCTION("""COMPUTED_VALUE"""),0.04744)</f>
        <v>0.04744</v>
      </c>
      <c r="K275" s="19" t="str">
        <f>IFERROR(__xludf.DUMMYFUNCTION("""COMPUTED_VALUE"""),"-")</f>
        <v>-</v>
      </c>
      <c r="L275" s="19">
        <f>IFERROR(__xludf.DUMMYFUNCTION("""COMPUTED_VALUE"""),0.04025)</f>
        <v>0.04025</v>
      </c>
      <c r="O275" s="24">
        <f t="shared" si="4"/>
        <v>0</v>
      </c>
      <c r="P275" s="24"/>
      <c r="Q275" s="24">
        <f t="shared" si="6"/>
        <v>0</v>
      </c>
      <c r="R275" s="24">
        <f t="shared" si="7"/>
        <v>0</v>
      </c>
      <c r="S275" s="24"/>
      <c r="T275" s="24">
        <f t="shared" si="9"/>
        <v>0</v>
      </c>
    </row>
    <row r="276">
      <c r="A276" s="12" t="s">
        <v>365</v>
      </c>
      <c r="F276" s="19">
        <f>IFERROR(__xludf.DUMMYFUNCTION("SPLIT(A272, "" |"")"),270.0)</f>
        <v>270</v>
      </c>
      <c r="G276" s="19">
        <f>IFERROR(__xludf.DUMMYFUNCTION("""COMPUTED_VALUE"""),0.00235)</f>
        <v>0.00235</v>
      </c>
      <c r="H276" s="19" t="str">
        <f>IFERROR(__xludf.DUMMYFUNCTION("""COMPUTED_VALUE"""),"-")</f>
        <v>-</v>
      </c>
      <c r="I276" s="19">
        <f>IFERROR(__xludf.DUMMYFUNCTION("""COMPUTED_VALUE"""),0.00219)</f>
        <v>0.00219</v>
      </c>
      <c r="J276" s="19">
        <f>IFERROR(__xludf.DUMMYFUNCTION("""COMPUTED_VALUE"""),0.04739)</f>
        <v>0.04739</v>
      </c>
      <c r="K276" s="19" t="str">
        <f>IFERROR(__xludf.DUMMYFUNCTION("""COMPUTED_VALUE"""),"-")</f>
        <v>-</v>
      </c>
      <c r="L276" s="19">
        <f>IFERROR(__xludf.DUMMYFUNCTION("""COMPUTED_VALUE"""),0.04767)</f>
        <v>0.04767</v>
      </c>
      <c r="O276" s="24">
        <f t="shared" si="4"/>
        <v>0</v>
      </c>
      <c r="P276" s="24"/>
      <c r="Q276" s="24">
        <f t="shared" si="6"/>
        <v>0</v>
      </c>
      <c r="R276" s="24">
        <f t="shared" si="7"/>
        <v>0</v>
      </c>
      <c r="S276" s="24"/>
      <c r="T276" s="24">
        <f t="shared" si="9"/>
        <v>0</v>
      </c>
    </row>
    <row r="277">
      <c r="A277" s="12" t="s">
        <v>366</v>
      </c>
      <c r="F277" s="19">
        <f>IFERROR(__xludf.DUMMYFUNCTION("SPLIT(A273, "" |"")"),271.0)</f>
        <v>271</v>
      </c>
      <c r="G277" s="19">
        <f>IFERROR(__xludf.DUMMYFUNCTION("""COMPUTED_VALUE"""),0.00233)</f>
        <v>0.00233</v>
      </c>
      <c r="H277" s="19" t="str">
        <f>IFERROR(__xludf.DUMMYFUNCTION("""COMPUTED_VALUE"""),"-")</f>
        <v>-</v>
      </c>
      <c r="I277" s="19">
        <f>IFERROR(__xludf.DUMMYFUNCTION("""COMPUTED_VALUE"""),0.00213)</f>
        <v>0.00213</v>
      </c>
      <c r="J277" s="19">
        <f>IFERROR(__xludf.DUMMYFUNCTION("""COMPUTED_VALUE"""),0.04562)</f>
        <v>0.04562</v>
      </c>
      <c r="K277" s="19" t="str">
        <f>IFERROR(__xludf.DUMMYFUNCTION("""COMPUTED_VALUE"""),"-")</f>
        <v>-</v>
      </c>
      <c r="L277" s="19">
        <f>IFERROR(__xludf.DUMMYFUNCTION("""COMPUTED_VALUE"""),0.04752)</f>
        <v>0.04752</v>
      </c>
      <c r="O277" s="24">
        <f t="shared" si="4"/>
        <v>0</v>
      </c>
      <c r="P277" s="24"/>
      <c r="Q277" s="24">
        <f t="shared" si="6"/>
        <v>0</v>
      </c>
      <c r="R277" s="24">
        <f t="shared" si="7"/>
        <v>0</v>
      </c>
      <c r="S277" s="24"/>
      <c r="T277" s="24">
        <f t="shared" si="9"/>
        <v>0</v>
      </c>
    </row>
    <row r="278">
      <c r="A278" s="12" t="s">
        <v>367</v>
      </c>
      <c r="F278" s="19">
        <f>IFERROR(__xludf.DUMMYFUNCTION("SPLIT(A274, "" |"")"),272.0)</f>
        <v>272</v>
      </c>
      <c r="G278" s="19">
        <f>IFERROR(__xludf.DUMMYFUNCTION("""COMPUTED_VALUE"""),0.00237)</f>
        <v>0.00237</v>
      </c>
      <c r="H278" s="19" t="str">
        <f>IFERROR(__xludf.DUMMYFUNCTION("""COMPUTED_VALUE"""),"-")</f>
        <v>-</v>
      </c>
      <c r="I278" s="19">
        <f>IFERROR(__xludf.DUMMYFUNCTION("""COMPUTED_VALUE"""),0.00218)</f>
        <v>0.00218</v>
      </c>
      <c r="J278" s="19">
        <f>IFERROR(__xludf.DUMMYFUNCTION("""COMPUTED_VALUE"""),0.04746)</f>
        <v>0.04746</v>
      </c>
      <c r="K278" s="19" t="str">
        <f>IFERROR(__xludf.DUMMYFUNCTION("""COMPUTED_VALUE"""),"-")</f>
        <v>-</v>
      </c>
      <c r="L278" s="19">
        <f>IFERROR(__xludf.DUMMYFUNCTION("""COMPUTED_VALUE"""),0.04758)</f>
        <v>0.04758</v>
      </c>
      <c r="O278" s="24">
        <f t="shared" si="4"/>
        <v>0</v>
      </c>
      <c r="P278" s="24"/>
      <c r="Q278" s="24">
        <f t="shared" si="6"/>
        <v>0</v>
      </c>
      <c r="R278" s="24">
        <f t="shared" si="7"/>
        <v>0</v>
      </c>
      <c r="S278" s="24"/>
      <c r="T278" s="24">
        <f t="shared" si="9"/>
        <v>0</v>
      </c>
    </row>
    <row r="279">
      <c r="A279" s="12" t="s">
        <v>368</v>
      </c>
      <c r="F279" s="19">
        <f>IFERROR(__xludf.DUMMYFUNCTION("SPLIT(A275, "" |"")"),273.0)</f>
        <v>273</v>
      </c>
      <c r="G279" s="19">
        <f>IFERROR(__xludf.DUMMYFUNCTION("""COMPUTED_VALUE"""),0.00228)</f>
        <v>0.00228</v>
      </c>
      <c r="H279" s="19" t="str">
        <f>IFERROR(__xludf.DUMMYFUNCTION("""COMPUTED_VALUE"""),"-")</f>
        <v>-</v>
      </c>
      <c r="I279" s="19">
        <f>IFERROR(__xludf.DUMMYFUNCTION("""COMPUTED_VALUE"""),0.00218)</f>
        <v>0.00218</v>
      </c>
      <c r="J279" s="19">
        <f>IFERROR(__xludf.DUMMYFUNCTION("""COMPUTED_VALUE"""),0.04745)</f>
        <v>0.04745</v>
      </c>
      <c r="K279" s="19" t="str">
        <f>IFERROR(__xludf.DUMMYFUNCTION("""COMPUTED_VALUE"""),"-")</f>
        <v>-</v>
      </c>
      <c r="L279" s="19">
        <f>IFERROR(__xludf.DUMMYFUNCTION("""COMPUTED_VALUE"""),0.04753)</f>
        <v>0.04753</v>
      </c>
      <c r="O279" s="24">
        <f t="shared" si="4"/>
        <v>0</v>
      </c>
      <c r="P279" s="24"/>
      <c r="Q279" s="24">
        <f t="shared" si="6"/>
        <v>0</v>
      </c>
      <c r="R279" s="24">
        <f t="shared" si="7"/>
        <v>0</v>
      </c>
      <c r="S279" s="24"/>
      <c r="T279" s="24">
        <f t="shared" si="9"/>
        <v>0</v>
      </c>
    </row>
    <row r="280">
      <c r="A280" s="12" t="s">
        <v>369</v>
      </c>
      <c r="F280" s="19">
        <f>IFERROR(__xludf.DUMMYFUNCTION("SPLIT(A276, "" |"")"),274.0)</f>
        <v>274</v>
      </c>
      <c r="G280" s="19">
        <f>IFERROR(__xludf.DUMMYFUNCTION("""COMPUTED_VALUE"""),0.00237)</f>
        <v>0.00237</v>
      </c>
      <c r="H280" s="19" t="str">
        <f>IFERROR(__xludf.DUMMYFUNCTION("""COMPUTED_VALUE"""),"-")</f>
        <v>-</v>
      </c>
      <c r="I280" s="19">
        <f>IFERROR(__xludf.DUMMYFUNCTION("""COMPUTED_VALUE"""),0.00216)</f>
        <v>0.00216</v>
      </c>
      <c r="J280" s="19">
        <f>IFERROR(__xludf.DUMMYFUNCTION("""COMPUTED_VALUE"""),0.04747)</f>
        <v>0.04747</v>
      </c>
      <c r="K280" s="19" t="str">
        <f>IFERROR(__xludf.DUMMYFUNCTION("""COMPUTED_VALUE"""),"-")</f>
        <v>-</v>
      </c>
      <c r="L280" s="19">
        <f>IFERROR(__xludf.DUMMYFUNCTION("""COMPUTED_VALUE"""),0.04243)</f>
        <v>0.04243</v>
      </c>
      <c r="O280" s="24">
        <f t="shared" si="4"/>
        <v>0</v>
      </c>
      <c r="P280" s="24"/>
      <c r="Q280" s="24">
        <f t="shared" si="6"/>
        <v>0</v>
      </c>
      <c r="R280" s="24">
        <f t="shared" si="7"/>
        <v>0</v>
      </c>
      <c r="S280" s="24"/>
      <c r="T280" s="24">
        <f t="shared" si="9"/>
        <v>0</v>
      </c>
    </row>
    <row r="281">
      <c r="A281" s="12" t="s">
        <v>370</v>
      </c>
      <c r="F281" s="19">
        <f>IFERROR(__xludf.DUMMYFUNCTION("SPLIT(A277, "" |"")"),275.0)</f>
        <v>275</v>
      </c>
      <c r="G281" s="19">
        <f>IFERROR(__xludf.DUMMYFUNCTION("""COMPUTED_VALUE"""),0.00231)</f>
        <v>0.00231</v>
      </c>
      <c r="H281" s="19" t="str">
        <f>IFERROR(__xludf.DUMMYFUNCTION("""COMPUTED_VALUE"""),"-")</f>
        <v>-</v>
      </c>
      <c r="I281" s="19">
        <f>IFERROR(__xludf.DUMMYFUNCTION("""COMPUTED_VALUE"""),0.00214)</f>
        <v>0.00214</v>
      </c>
      <c r="J281" s="19">
        <f>IFERROR(__xludf.DUMMYFUNCTION("""COMPUTED_VALUE"""),0.0474)</f>
        <v>0.0474</v>
      </c>
      <c r="K281" s="19" t="str">
        <f>IFERROR(__xludf.DUMMYFUNCTION("""COMPUTED_VALUE"""),"-")</f>
        <v>-</v>
      </c>
      <c r="L281" s="19">
        <f>IFERROR(__xludf.DUMMYFUNCTION("""COMPUTED_VALUE"""),0.0476)</f>
        <v>0.0476</v>
      </c>
      <c r="O281" s="24">
        <f t="shared" si="4"/>
        <v>0</v>
      </c>
      <c r="P281" s="24"/>
      <c r="Q281" s="24">
        <f t="shared" si="6"/>
        <v>0</v>
      </c>
      <c r="R281" s="24">
        <f t="shared" si="7"/>
        <v>0</v>
      </c>
      <c r="S281" s="24"/>
      <c r="T281" s="24">
        <f t="shared" si="9"/>
        <v>0</v>
      </c>
    </row>
    <row r="282">
      <c r="A282" s="12" t="s">
        <v>371</v>
      </c>
      <c r="F282" s="19">
        <f>IFERROR(__xludf.DUMMYFUNCTION("SPLIT(A278, "" |"")"),276.0)</f>
        <v>276</v>
      </c>
      <c r="G282" s="19">
        <f>IFERROR(__xludf.DUMMYFUNCTION("""COMPUTED_VALUE"""),0.00232)</f>
        <v>0.00232</v>
      </c>
      <c r="H282" s="19" t="str">
        <f>IFERROR(__xludf.DUMMYFUNCTION("""COMPUTED_VALUE"""),"-")</f>
        <v>-</v>
      </c>
      <c r="I282" s="19">
        <f>IFERROR(__xludf.DUMMYFUNCTION("""COMPUTED_VALUE"""),0.00217)</f>
        <v>0.00217</v>
      </c>
      <c r="J282" s="19">
        <f>IFERROR(__xludf.DUMMYFUNCTION("""COMPUTED_VALUE"""),0.04745)</f>
        <v>0.04745</v>
      </c>
      <c r="K282" s="19" t="str">
        <f>IFERROR(__xludf.DUMMYFUNCTION("""COMPUTED_VALUE"""),"-")</f>
        <v>-</v>
      </c>
      <c r="L282" s="19">
        <f>IFERROR(__xludf.DUMMYFUNCTION("""COMPUTED_VALUE"""),0.04776)</f>
        <v>0.04776</v>
      </c>
      <c r="O282" s="24">
        <f t="shared" si="4"/>
        <v>0</v>
      </c>
      <c r="P282" s="24"/>
      <c r="Q282" s="24">
        <f t="shared" si="6"/>
        <v>0</v>
      </c>
      <c r="R282" s="24">
        <f t="shared" si="7"/>
        <v>0</v>
      </c>
      <c r="S282" s="24"/>
      <c r="T282" s="24">
        <f t="shared" si="9"/>
        <v>0</v>
      </c>
    </row>
    <row r="283">
      <c r="A283" s="12" t="s">
        <v>372</v>
      </c>
      <c r="F283" s="19">
        <f>IFERROR(__xludf.DUMMYFUNCTION("SPLIT(A279, "" |"")"),277.0)</f>
        <v>277</v>
      </c>
      <c r="G283" s="19">
        <f>IFERROR(__xludf.DUMMYFUNCTION("""COMPUTED_VALUE"""),0.00238)</f>
        <v>0.00238</v>
      </c>
      <c r="H283" s="19" t="str">
        <f>IFERROR(__xludf.DUMMYFUNCTION("""COMPUTED_VALUE"""),"-")</f>
        <v>-</v>
      </c>
      <c r="I283" s="19">
        <f>IFERROR(__xludf.DUMMYFUNCTION("""COMPUTED_VALUE"""),0.00214)</f>
        <v>0.00214</v>
      </c>
      <c r="J283" s="19">
        <f>IFERROR(__xludf.DUMMYFUNCTION("""COMPUTED_VALUE"""),0.04744)</f>
        <v>0.04744</v>
      </c>
      <c r="K283" s="19" t="str">
        <f>IFERROR(__xludf.DUMMYFUNCTION("""COMPUTED_VALUE"""),"-")</f>
        <v>-</v>
      </c>
      <c r="L283" s="19">
        <f>IFERROR(__xludf.DUMMYFUNCTION("""COMPUTED_VALUE"""),0.04758)</f>
        <v>0.04758</v>
      </c>
      <c r="O283" s="24">
        <f t="shared" si="4"/>
        <v>0</v>
      </c>
      <c r="P283" s="24"/>
      <c r="Q283" s="24">
        <f t="shared" si="6"/>
        <v>0</v>
      </c>
      <c r="R283" s="24">
        <f t="shared" si="7"/>
        <v>0</v>
      </c>
      <c r="S283" s="24"/>
      <c r="T283" s="24">
        <f t="shared" si="9"/>
        <v>0</v>
      </c>
    </row>
    <row r="284">
      <c r="A284" s="12" t="s">
        <v>373</v>
      </c>
      <c r="F284" s="19">
        <f>IFERROR(__xludf.DUMMYFUNCTION("SPLIT(A280, "" |"")"),278.0)</f>
        <v>278</v>
      </c>
      <c r="G284" s="19">
        <f>IFERROR(__xludf.DUMMYFUNCTION("""COMPUTED_VALUE"""),0.00235)</f>
        <v>0.00235</v>
      </c>
      <c r="H284" s="19" t="str">
        <f>IFERROR(__xludf.DUMMYFUNCTION("""COMPUTED_VALUE"""),"-")</f>
        <v>-</v>
      </c>
      <c r="I284" s="19">
        <f>IFERROR(__xludf.DUMMYFUNCTION("""COMPUTED_VALUE"""),0.00215)</f>
        <v>0.00215</v>
      </c>
      <c r="J284" s="19">
        <f>IFERROR(__xludf.DUMMYFUNCTION("""COMPUTED_VALUE"""),0.04739)</f>
        <v>0.04739</v>
      </c>
      <c r="K284" s="19" t="str">
        <f>IFERROR(__xludf.DUMMYFUNCTION("""COMPUTED_VALUE"""),"-")</f>
        <v>-</v>
      </c>
      <c r="L284" s="19">
        <f>IFERROR(__xludf.DUMMYFUNCTION("""COMPUTED_VALUE"""),0.04762)</f>
        <v>0.04762</v>
      </c>
      <c r="O284" s="24">
        <f t="shared" si="4"/>
        <v>0</v>
      </c>
      <c r="P284" s="24"/>
      <c r="Q284" s="24">
        <f t="shared" si="6"/>
        <v>0</v>
      </c>
      <c r="R284" s="24">
        <f t="shared" si="7"/>
        <v>0</v>
      </c>
      <c r="S284" s="24"/>
      <c r="T284" s="24">
        <f t="shared" si="9"/>
        <v>0</v>
      </c>
    </row>
    <row r="285">
      <c r="A285" s="12" t="s">
        <v>374</v>
      </c>
      <c r="F285" s="19">
        <f>IFERROR(__xludf.DUMMYFUNCTION("SPLIT(A281, "" |"")"),279.0)</f>
        <v>279</v>
      </c>
      <c r="G285" s="19">
        <f>IFERROR(__xludf.DUMMYFUNCTION("""COMPUTED_VALUE"""),0.00236)</f>
        <v>0.00236</v>
      </c>
      <c r="H285" s="19" t="str">
        <f>IFERROR(__xludf.DUMMYFUNCTION("""COMPUTED_VALUE"""),"-")</f>
        <v>-</v>
      </c>
      <c r="I285" s="19">
        <f>IFERROR(__xludf.DUMMYFUNCTION("""COMPUTED_VALUE"""),0.00216)</f>
        <v>0.00216</v>
      </c>
      <c r="J285" s="19">
        <f>IFERROR(__xludf.DUMMYFUNCTION("""COMPUTED_VALUE"""),0.04739)</f>
        <v>0.04739</v>
      </c>
      <c r="K285" s="19" t="str">
        <f>IFERROR(__xludf.DUMMYFUNCTION("""COMPUTED_VALUE"""),"-")</f>
        <v>-</v>
      </c>
      <c r="L285" s="19">
        <f>IFERROR(__xludf.DUMMYFUNCTION("""COMPUTED_VALUE"""),0.04079)</f>
        <v>0.04079</v>
      </c>
      <c r="O285" s="24">
        <f t="shared" si="4"/>
        <v>0</v>
      </c>
      <c r="P285" s="24"/>
      <c r="Q285" s="24">
        <f t="shared" si="6"/>
        <v>0</v>
      </c>
      <c r="R285" s="24">
        <f t="shared" si="7"/>
        <v>0</v>
      </c>
      <c r="S285" s="24"/>
      <c r="T285" s="24">
        <f t="shared" si="9"/>
        <v>0</v>
      </c>
    </row>
    <row r="286">
      <c r="A286" s="12" t="s">
        <v>375</v>
      </c>
      <c r="F286" s="19">
        <f>IFERROR(__xludf.DUMMYFUNCTION("SPLIT(A282, "" |"")"),280.0)</f>
        <v>280</v>
      </c>
      <c r="G286" s="19">
        <f>IFERROR(__xludf.DUMMYFUNCTION("""COMPUTED_VALUE"""),0.00233)</f>
        <v>0.00233</v>
      </c>
      <c r="H286" s="19" t="str">
        <f>IFERROR(__xludf.DUMMYFUNCTION("""COMPUTED_VALUE"""),"-")</f>
        <v>-</v>
      </c>
      <c r="I286" s="19">
        <f>IFERROR(__xludf.DUMMYFUNCTION("""COMPUTED_VALUE"""),0.00215)</f>
        <v>0.00215</v>
      </c>
      <c r="J286" s="19">
        <f>IFERROR(__xludf.DUMMYFUNCTION("""COMPUTED_VALUE"""),0.04746)</f>
        <v>0.04746</v>
      </c>
      <c r="K286" s="19" t="str">
        <f>IFERROR(__xludf.DUMMYFUNCTION("""COMPUTED_VALUE"""),"-")</f>
        <v>-</v>
      </c>
      <c r="L286" s="19">
        <f>IFERROR(__xludf.DUMMYFUNCTION("""COMPUTED_VALUE"""),0.04764)</f>
        <v>0.04764</v>
      </c>
      <c r="O286" s="24">
        <f t="shared" si="4"/>
        <v>0</v>
      </c>
      <c r="P286" s="24"/>
      <c r="Q286" s="24">
        <f t="shared" si="6"/>
        <v>0</v>
      </c>
      <c r="R286" s="24">
        <f t="shared" si="7"/>
        <v>0</v>
      </c>
      <c r="S286" s="24"/>
      <c r="T286" s="24">
        <f t="shared" si="9"/>
        <v>0</v>
      </c>
    </row>
    <row r="287">
      <c r="A287" s="12" t="s">
        <v>376</v>
      </c>
      <c r="F287" s="19">
        <f>IFERROR(__xludf.DUMMYFUNCTION("SPLIT(A283, "" |"")"),281.0)</f>
        <v>281</v>
      </c>
      <c r="G287" s="19">
        <f>IFERROR(__xludf.DUMMYFUNCTION("""COMPUTED_VALUE"""),0.00237)</f>
        <v>0.00237</v>
      </c>
      <c r="H287" s="19" t="str">
        <f>IFERROR(__xludf.DUMMYFUNCTION("""COMPUTED_VALUE"""),"-")</f>
        <v>-</v>
      </c>
      <c r="I287" s="19">
        <f>IFERROR(__xludf.DUMMYFUNCTION("""COMPUTED_VALUE"""),0.00224)</f>
        <v>0.00224</v>
      </c>
      <c r="J287" s="19">
        <f>IFERROR(__xludf.DUMMYFUNCTION("""COMPUTED_VALUE"""),0.04737)</f>
        <v>0.04737</v>
      </c>
      <c r="K287" s="19" t="str">
        <f>IFERROR(__xludf.DUMMYFUNCTION("""COMPUTED_VALUE"""),"-")</f>
        <v>-</v>
      </c>
      <c r="L287" s="19">
        <f>IFERROR(__xludf.DUMMYFUNCTION("""COMPUTED_VALUE"""),0.04368)</f>
        <v>0.04368</v>
      </c>
      <c r="O287" s="24">
        <f t="shared" si="4"/>
        <v>0</v>
      </c>
      <c r="P287" s="24"/>
      <c r="Q287" s="24">
        <f t="shared" si="6"/>
        <v>0</v>
      </c>
      <c r="R287" s="24">
        <f t="shared" si="7"/>
        <v>0</v>
      </c>
      <c r="S287" s="24"/>
      <c r="T287" s="24">
        <f t="shared" si="9"/>
        <v>0</v>
      </c>
    </row>
    <row r="288">
      <c r="A288" s="12" t="s">
        <v>377</v>
      </c>
      <c r="F288" s="19">
        <f>IFERROR(__xludf.DUMMYFUNCTION("SPLIT(A284, "" |"")"),282.0)</f>
        <v>282</v>
      </c>
      <c r="G288" s="19">
        <f>IFERROR(__xludf.DUMMYFUNCTION("""COMPUTED_VALUE"""),0.00241)</f>
        <v>0.00241</v>
      </c>
      <c r="H288" s="19" t="str">
        <f>IFERROR(__xludf.DUMMYFUNCTION("""COMPUTED_VALUE"""),"-")</f>
        <v>-</v>
      </c>
      <c r="I288" s="19">
        <f>IFERROR(__xludf.DUMMYFUNCTION("""COMPUTED_VALUE"""),0.0022)</f>
        <v>0.0022</v>
      </c>
      <c r="J288" s="19">
        <f>IFERROR(__xludf.DUMMYFUNCTION("""COMPUTED_VALUE"""),0.04746)</f>
        <v>0.04746</v>
      </c>
      <c r="K288" s="19" t="str">
        <f>IFERROR(__xludf.DUMMYFUNCTION("""COMPUTED_VALUE"""),"-")</f>
        <v>-</v>
      </c>
      <c r="L288" s="19">
        <f>IFERROR(__xludf.DUMMYFUNCTION("""COMPUTED_VALUE"""),0.04759)</f>
        <v>0.04759</v>
      </c>
      <c r="O288" s="24">
        <f t="shared" si="4"/>
        <v>0</v>
      </c>
      <c r="P288" s="24"/>
      <c r="Q288" s="24">
        <f t="shared" si="6"/>
        <v>0</v>
      </c>
      <c r="R288" s="24">
        <f t="shared" si="7"/>
        <v>0</v>
      </c>
      <c r="S288" s="24"/>
      <c r="T288" s="24">
        <f t="shared" si="9"/>
        <v>0</v>
      </c>
    </row>
    <row r="289">
      <c r="A289" s="12" t="s">
        <v>378</v>
      </c>
      <c r="F289" s="19">
        <f>IFERROR(__xludf.DUMMYFUNCTION("SPLIT(A285, "" |"")"),283.0)</f>
        <v>283</v>
      </c>
      <c r="G289" s="19">
        <f>IFERROR(__xludf.DUMMYFUNCTION("""COMPUTED_VALUE"""),0.00235)</f>
        <v>0.00235</v>
      </c>
      <c r="H289" s="19" t="str">
        <f>IFERROR(__xludf.DUMMYFUNCTION("""COMPUTED_VALUE"""),"-")</f>
        <v>-</v>
      </c>
      <c r="I289" s="19">
        <f>IFERROR(__xludf.DUMMYFUNCTION("""COMPUTED_VALUE"""),0.00215)</f>
        <v>0.00215</v>
      </c>
      <c r="J289" s="19">
        <f>IFERROR(__xludf.DUMMYFUNCTION("""COMPUTED_VALUE"""),0.04745)</f>
        <v>0.04745</v>
      </c>
      <c r="K289" s="19" t="str">
        <f>IFERROR(__xludf.DUMMYFUNCTION("""COMPUTED_VALUE"""),"-")</f>
        <v>-</v>
      </c>
      <c r="L289" s="19">
        <f>IFERROR(__xludf.DUMMYFUNCTION("""COMPUTED_VALUE"""),0.04768)</f>
        <v>0.04768</v>
      </c>
      <c r="O289" s="24">
        <f t="shared" si="4"/>
        <v>0</v>
      </c>
      <c r="P289" s="24"/>
      <c r="Q289" s="24">
        <f t="shared" si="6"/>
        <v>0</v>
      </c>
      <c r="R289" s="24">
        <f t="shared" si="7"/>
        <v>0</v>
      </c>
      <c r="S289" s="24"/>
      <c r="T289" s="24">
        <f t="shared" si="9"/>
        <v>0</v>
      </c>
    </row>
    <row r="290">
      <c r="A290" s="12" t="s">
        <v>379</v>
      </c>
      <c r="F290" s="19">
        <f>IFERROR(__xludf.DUMMYFUNCTION("SPLIT(A286, "" |"")"),284.0)</f>
        <v>284</v>
      </c>
      <c r="G290" s="19">
        <f>IFERROR(__xludf.DUMMYFUNCTION("""COMPUTED_VALUE"""),0.00238)</f>
        <v>0.00238</v>
      </c>
      <c r="H290" s="19" t="str">
        <f>IFERROR(__xludf.DUMMYFUNCTION("""COMPUTED_VALUE"""),"-")</f>
        <v>-</v>
      </c>
      <c r="I290" s="19">
        <f>IFERROR(__xludf.DUMMYFUNCTION("""COMPUTED_VALUE"""),0.00219)</f>
        <v>0.00219</v>
      </c>
      <c r="J290" s="19">
        <f>IFERROR(__xludf.DUMMYFUNCTION("""COMPUTED_VALUE"""),0.04745)</f>
        <v>0.04745</v>
      </c>
      <c r="K290" s="19" t="str">
        <f>IFERROR(__xludf.DUMMYFUNCTION("""COMPUTED_VALUE"""),"-")</f>
        <v>-</v>
      </c>
      <c r="L290" s="19">
        <f>IFERROR(__xludf.DUMMYFUNCTION("""COMPUTED_VALUE"""),0.04763)</f>
        <v>0.04763</v>
      </c>
      <c r="O290" s="24">
        <f t="shared" si="4"/>
        <v>0</v>
      </c>
      <c r="P290" s="24"/>
      <c r="Q290" s="24">
        <f t="shared" si="6"/>
        <v>0</v>
      </c>
      <c r="R290" s="24">
        <f t="shared" si="7"/>
        <v>0</v>
      </c>
      <c r="S290" s="24"/>
      <c r="T290" s="24">
        <f t="shared" si="9"/>
        <v>0</v>
      </c>
    </row>
    <row r="291">
      <c r="A291" s="12" t="s">
        <v>380</v>
      </c>
      <c r="F291" s="19">
        <f>IFERROR(__xludf.DUMMYFUNCTION("SPLIT(A287, "" |"")"),285.0)</f>
        <v>285</v>
      </c>
      <c r="G291" s="19">
        <f>IFERROR(__xludf.DUMMYFUNCTION("""COMPUTED_VALUE"""),0.00231)</f>
        <v>0.00231</v>
      </c>
      <c r="H291" s="19" t="str">
        <f>IFERROR(__xludf.DUMMYFUNCTION("""COMPUTED_VALUE"""),"-")</f>
        <v>-</v>
      </c>
      <c r="I291" s="19">
        <f>IFERROR(__xludf.DUMMYFUNCTION("""COMPUTED_VALUE"""),0.00216)</f>
        <v>0.00216</v>
      </c>
      <c r="J291" s="19">
        <f>IFERROR(__xludf.DUMMYFUNCTION("""COMPUTED_VALUE"""),0.04629)</f>
        <v>0.04629</v>
      </c>
      <c r="K291" s="19" t="str">
        <f>IFERROR(__xludf.DUMMYFUNCTION("""COMPUTED_VALUE"""),"-")</f>
        <v>-</v>
      </c>
      <c r="L291" s="19">
        <f>IFERROR(__xludf.DUMMYFUNCTION("""COMPUTED_VALUE"""),0.04765)</f>
        <v>0.04765</v>
      </c>
      <c r="O291" s="24">
        <f t="shared" si="4"/>
        <v>0</v>
      </c>
      <c r="P291" s="24"/>
      <c r="Q291" s="24">
        <f t="shared" si="6"/>
        <v>0</v>
      </c>
      <c r="R291" s="24">
        <f t="shared" si="7"/>
        <v>0</v>
      </c>
      <c r="S291" s="24"/>
      <c r="T291" s="24">
        <f t="shared" si="9"/>
        <v>0</v>
      </c>
    </row>
    <row r="292">
      <c r="A292" s="12" t="s">
        <v>381</v>
      </c>
      <c r="F292" s="19">
        <f>IFERROR(__xludf.DUMMYFUNCTION("SPLIT(A288, "" |"")"),286.0)</f>
        <v>286</v>
      </c>
      <c r="G292" s="19">
        <f>IFERROR(__xludf.DUMMYFUNCTION("""COMPUTED_VALUE"""),0.00241)</f>
        <v>0.00241</v>
      </c>
      <c r="H292" s="19" t="str">
        <f>IFERROR(__xludf.DUMMYFUNCTION("""COMPUTED_VALUE"""),"-")</f>
        <v>-</v>
      </c>
      <c r="I292" s="19">
        <f>IFERROR(__xludf.DUMMYFUNCTION("""COMPUTED_VALUE"""),0.00219)</f>
        <v>0.00219</v>
      </c>
      <c r="J292" s="19">
        <f>IFERROR(__xludf.DUMMYFUNCTION("""COMPUTED_VALUE"""),0.04544)</f>
        <v>0.04544</v>
      </c>
      <c r="K292" s="19" t="str">
        <f>IFERROR(__xludf.DUMMYFUNCTION("""COMPUTED_VALUE"""),"-")</f>
        <v>-</v>
      </c>
      <c r="L292" s="19">
        <f>IFERROR(__xludf.DUMMYFUNCTION("""COMPUTED_VALUE"""),0.0476)</f>
        <v>0.0476</v>
      </c>
      <c r="O292" s="24">
        <f t="shared" si="4"/>
        <v>0</v>
      </c>
      <c r="P292" s="24"/>
      <c r="Q292" s="24">
        <f t="shared" si="6"/>
        <v>0</v>
      </c>
      <c r="R292" s="24">
        <f t="shared" si="7"/>
        <v>0</v>
      </c>
      <c r="S292" s="24"/>
      <c r="T292" s="24">
        <f t="shared" si="9"/>
        <v>0</v>
      </c>
    </row>
    <row r="293">
      <c r="A293" s="12" t="s">
        <v>382</v>
      </c>
      <c r="F293" s="19">
        <f>IFERROR(__xludf.DUMMYFUNCTION("SPLIT(A289, "" |"")"),287.0)</f>
        <v>287</v>
      </c>
      <c r="G293" s="19">
        <f>IFERROR(__xludf.DUMMYFUNCTION("""COMPUTED_VALUE"""),0.00239)</f>
        <v>0.00239</v>
      </c>
      <c r="H293" s="19" t="str">
        <f>IFERROR(__xludf.DUMMYFUNCTION("""COMPUTED_VALUE"""),"-")</f>
        <v>-</v>
      </c>
      <c r="I293" s="19">
        <f>IFERROR(__xludf.DUMMYFUNCTION("""COMPUTED_VALUE"""),0.00221)</f>
        <v>0.00221</v>
      </c>
      <c r="J293" s="19">
        <f>IFERROR(__xludf.DUMMYFUNCTION("""COMPUTED_VALUE"""),0.04739)</f>
        <v>0.04739</v>
      </c>
      <c r="K293" s="19" t="str">
        <f>IFERROR(__xludf.DUMMYFUNCTION("""COMPUTED_VALUE"""),"-")</f>
        <v>-</v>
      </c>
      <c r="L293" s="19">
        <f>IFERROR(__xludf.DUMMYFUNCTION("""COMPUTED_VALUE"""),0.04755)</f>
        <v>0.04755</v>
      </c>
      <c r="O293" s="24">
        <f t="shared" si="4"/>
        <v>0</v>
      </c>
      <c r="P293" s="24"/>
      <c r="Q293" s="24">
        <f t="shared" si="6"/>
        <v>0</v>
      </c>
      <c r="R293" s="24">
        <f t="shared" si="7"/>
        <v>0</v>
      </c>
      <c r="S293" s="24"/>
      <c r="T293" s="24">
        <f t="shared" si="9"/>
        <v>0</v>
      </c>
    </row>
    <row r="294">
      <c r="A294" s="12" t="s">
        <v>383</v>
      </c>
      <c r="F294" s="19">
        <f>IFERROR(__xludf.DUMMYFUNCTION("SPLIT(A290, "" |"")"),288.0)</f>
        <v>288</v>
      </c>
      <c r="G294" s="19">
        <f>IFERROR(__xludf.DUMMYFUNCTION("""COMPUTED_VALUE"""),0.00235)</f>
        <v>0.00235</v>
      </c>
      <c r="H294" s="19" t="str">
        <f>IFERROR(__xludf.DUMMYFUNCTION("""COMPUTED_VALUE"""),"-")</f>
        <v>-</v>
      </c>
      <c r="I294" s="19">
        <f>IFERROR(__xludf.DUMMYFUNCTION("""COMPUTED_VALUE"""),0.00222)</f>
        <v>0.00222</v>
      </c>
      <c r="J294" s="19">
        <f>IFERROR(__xludf.DUMMYFUNCTION("""COMPUTED_VALUE"""),0.04734)</f>
        <v>0.04734</v>
      </c>
      <c r="K294" s="19" t="str">
        <f>IFERROR(__xludf.DUMMYFUNCTION("""COMPUTED_VALUE"""),"-")</f>
        <v>-</v>
      </c>
      <c r="L294" s="19">
        <f>IFERROR(__xludf.DUMMYFUNCTION("""COMPUTED_VALUE"""),0.04442)</f>
        <v>0.04442</v>
      </c>
      <c r="O294" s="24">
        <f t="shared" si="4"/>
        <v>0</v>
      </c>
      <c r="P294" s="24"/>
      <c r="Q294" s="24">
        <f t="shared" si="6"/>
        <v>0</v>
      </c>
      <c r="R294" s="24">
        <f t="shared" si="7"/>
        <v>0</v>
      </c>
      <c r="S294" s="24"/>
      <c r="T294" s="24">
        <f t="shared" si="9"/>
        <v>0</v>
      </c>
    </row>
    <row r="295">
      <c r="A295" s="12" t="s">
        <v>384</v>
      </c>
      <c r="F295" s="19">
        <f>IFERROR(__xludf.DUMMYFUNCTION("SPLIT(A291, "" |"")"),289.0)</f>
        <v>289</v>
      </c>
      <c r="G295" s="19">
        <f>IFERROR(__xludf.DUMMYFUNCTION("""COMPUTED_VALUE"""),0.00232)</f>
        <v>0.00232</v>
      </c>
      <c r="H295" s="19" t="str">
        <f>IFERROR(__xludf.DUMMYFUNCTION("""COMPUTED_VALUE"""),"-")</f>
        <v>-</v>
      </c>
      <c r="I295" s="19">
        <f>IFERROR(__xludf.DUMMYFUNCTION("""COMPUTED_VALUE"""),0.00217)</f>
        <v>0.00217</v>
      </c>
      <c r="J295" s="19">
        <f>IFERROR(__xludf.DUMMYFUNCTION("""COMPUTED_VALUE"""),0.0474)</f>
        <v>0.0474</v>
      </c>
      <c r="K295" s="19" t="str">
        <f>IFERROR(__xludf.DUMMYFUNCTION("""COMPUTED_VALUE"""),"-")</f>
        <v>-</v>
      </c>
      <c r="L295" s="19">
        <f>IFERROR(__xludf.DUMMYFUNCTION("""COMPUTED_VALUE"""),0.04762)</f>
        <v>0.04762</v>
      </c>
      <c r="O295" s="24">
        <f t="shared" si="4"/>
        <v>0</v>
      </c>
      <c r="P295" s="24"/>
      <c r="Q295" s="24">
        <f t="shared" si="6"/>
        <v>0</v>
      </c>
      <c r="R295" s="24">
        <f t="shared" si="7"/>
        <v>0</v>
      </c>
      <c r="S295" s="24"/>
      <c r="T295" s="24">
        <f t="shared" si="9"/>
        <v>0</v>
      </c>
    </row>
    <row r="296">
      <c r="A296" s="12" t="s">
        <v>385</v>
      </c>
      <c r="F296" s="19">
        <f>IFERROR(__xludf.DUMMYFUNCTION("SPLIT(A292, "" |"")"),290.0)</f>
        <v>290</v>
      </c>
      <c r="G296" s="19">
        <f>IFERROR(__xludf.DUMMYFUNCTION("""COMPUTED_VALUE"""),0.00232)</f>
        <v>0.00232</v>
      </c>
      <c r="H296" s="19" t="str">
        <f>IFERROR(__xludf.DUMMYFUNCTION("""COMPUTED_VALUE"""),"-")</f>
        <v>-</v>
      </c>
      <c r="I296" s="19">
        <f>IFERROR(__xludf.DUMMYFUNCTION("""COMPUTED_VALUE"""),0.00216)</f>
        <v>0.00216</v>
      </c>
      <c r="J296" s="19">
        <f>IFERROR(__xludf.DUMMYFUNCTION("""COMPUTED_VALUE"""),0.04701)</f>
        <v>0.04701</v>
      </c>
      <c r="K296" s="19" t="str">
        <f>IFERROR(__xludf.DUMMYFUNCTION("""COMPUTED_VALUE"""),"-")</f>
        <v>-</v>
      </c>
      <c r="L296" s="19">
        <f>IFERROR(__xludf.DUMMYFUNCTION("""COMPUTED_VALUE"""),0.04757)</f>
        <v>0.04757</v>
      </c>
      <c r="O296" s="24">
        <f t="shared" si="4"/>
        <v>0</v>
      </c>
      <c r="P296" s="24"/>
      <c r="Q296" s="24">
        <f t="shared" si="6"/>
        <v>0</v>
      </c>
      <c r="R296" s="24">
        <f t="shared" si="7"/>
        <v>0</v>
      </c>
      <c r="S296" s="24"/>
      <c r="T296" s="24">
        <f t="shared" si="9"/>
        <v>0</v>
      </c>
    </row>
    <row r="297">
      <c r="A297" s="12" t="s">
        <v>386</v>
      </c>
      <c r="F297" s="19">
        <f>IFERROR(__xludf.DUMMYFUNCTION("SPLIT(A293, "" |"")"),291.0)</f>
        <v>291</v>
      </c>
      <c r="G297" s="19">
        <f>IFERROR(__xludf.DUMMYFUNCTION("""COMPUTED_VALUE"""),0.00237)</f>
        <v>0.00237</v>
      </c>
      <c r="H297" s="19" t="str">
        <f>IFERROR(__xludf.DUMMYFUNCTION("""COMPUTED_VALUE"""),"-")</f>
        <v>-</v>
      </c>
      <c r="I297" s="19">
        <f>IFERROR(__xludf.DUMMYFUNCTION("""COMPUTED_VALUE"""),0.00215)</f>
        <v>0.00215</v>
      </c>
      <c r="J297" s="19">
        <f>IFERROR(__xludf.DUMMYFUNCTION("""COMPUTED_VALUE"""),0.04744)</f>
        <v>0.04744</v>
      </c>
      <c r="K297" s="19" t="str">
        <f>IFERROR(__xludf.DUMMYFUNCTION("""COMPUTED_VALUE"""),"-")</f>
        <v>-</v>
      </c>
      <c r="L297" s="19">
        <f>IFERROR(__xludf.DUMMYFUNCTION("""COMPUTED_VALUE"""),0.04536)</f>
        <v>0.04536</v>
      </c>
      <c r="O297" s="24">
        <f t="shared" si="4"/>
        <v>0</v>
      </c>
      <c r="P297" s="24"/>
      <c r="Q297" s="24">
        <f t="shared" si="6"/>
        <v>0</v>
      </c>
      <c r="R297" s="24">
        <f t="shared" si="7"/>
        <v>0</v>
      </c>
      <c r="S297" s="24"/>
      <c r="T297" s="24">
        <f t="shared" si="9"/>
        <v>0</v>
      </c>
    </row>
    <row r="298">
      <c r="A298" s="12" t="s">
        <v>387</v>
      </c>
      <c r="F298" s="19">
        <f>IFERROR(__xludf.DUMMYFUNCTION("SPLIT(A294, "" |"")"),292.0)</f>
        <v>292</v>
      </c>
      <c r="G298" s="19">
        <f>IFERROR(__xludf.DUMMYFUNCTION("""COMPUTED_VALUE"""),0.00238)</f>
        <v>0.00238</v>
      </c>
      <c r="H298" s="19" t="str">
        <f>IFERROR(__xludf.DUMMYFUNCTION("""COMPUTED_VALUE"""),"-")</f>
        <v>-</v>
      </c>
      <c r="I298" s="19">
        <f>IFERROR(__xludf.DUMMYFUNCTION("""COMPUTED_VALUE"""),0.00224)</f>
        <v>0.00224</v>
      </c>
      <c r="J298" s="19">
        <f>IFERROR(__xludf.DUMMYFUNCTION("""COMPUTED_VALUE"""),0.04735)</f>
        <v>0.04735</v>
      </c>
      <c r="K298" s="19" t="str">
        <f>IFERROR(__xludf.DUMMYFUNCTION("""COMPUTED_VALUE"""),"-")</f>
        <v>-</v>
      </c>
      <c r="L298" s="19">
        <f>IFERROR(__xludf.DUMMYFUNCTION("""COMPUTED_VALUE"""),0.04748)</f>
        <v>0.04748</v>
      </c>
      <c r="O298" s="24">
        <f t="shared" si="4"/>
        <v>0</v>
      </c>
      <c r="P298" s="24"/>
      <c r="Q298" s="24">
        <f t="shared" si="6"/>
        <v>0</v>
      </c>
      <c r="R298" s="24">
        <f t="shared" si="7"/>
        <v>0</v>
      </c>
      <c r="S298" s="24"/>
      <c r="T298" s="24">
        <f t="shared" si="9"/>
        <v>0</v>
      </c>
    </row>
    <row r="299">
      <c r="A299" s="12" t="s">
        <v>388</v>
      </c>
      <c r="F299" s="19">
        <f>IFERROR(__xludf.DUMMYFUNCTION("SPLIT(A295, "" |"")"),293.0)</f>
        <v>293</v>
      </c>
      <c r="G299" s="19">
        <f>IFERROR(__xludf.DUMMYFUNCTION("""COMPUTED_VALUE"""),0.0023)</f>
        <v>0.0023</v>
      </c>
      <c r="H299" s="19" t="str">
        <f>IFERROR(__xludf.DUMMYFUNCTION("""COMPUTED_VALUE"""),"-")</f>
        <v>-</v>
      </c>
      <c r="I299" s="19">
        <f>IFERROR(__xludf.DUMMYFUNCTION("""COMPUTED_VALUE"""),0.0022)</f>
        <v>0.0022</v>
      </c>
      <c r="J299" s="19">
        <f>IFERROR(__xludf.DUMMYFUNCTION("""COMPUTED_VALUE"""),0.04742)</f>
        <v>0.04742</v>
      </c>
      <c r="K299" s="19" t="str">
        <f>IFERROR(__xludf.DUMMYFUNCTION("""COMPUTED_VALUE"""),"-")</f>
        <v>-</v>
      </c>
      <c r="L299" s="19">
        <f>IFERROR(__xludf.DUMMYFUNCTION("""COMPUTED_VALUE"""),0.0475)</f>
        <v>0.0475</v>
      </c>
      <c r="O299" s="24">
        <f t="shared" si="4"/>
        <v>0</v>
      </c>
      <c r="P299" s="24"/>
      <c r="Q299" s="24">
        <f t="shared" si="6"/>
        <v>0</v>
      </c>
      <c r="R299" s="24">
        <f t="shared" si="7"/>
        <v>0</v>
      </c>
      <c r="S299" s="24"/>
      <c r="T299" s="24">
        <f t="shared" si="9"/>
        <v>0</v>
      </c>
    </row>
    <row r="300">
      <c r="A300" s="12" t="s">
        <v>389</v>
      </c>
      <c r="F300" s="19">
        <f>IFERROR(__xludf.DUMMYFUNCTION("SPLIT(A296, "" |"")"),294.0)</f>
        <v>294</v>
      </c>
      <c r="G300" s="19">
        <f>IFERROR(__xludf.DUMMYFUNCTION("""COMPUTED_VALUE"""),0.00235)</f>
        <v>0.00235</v>
      </c>
      <c r="H300" s="19" t="str">
        <f>IFERROR(__xludf.DUMMYFUNCTION("""COMPUTED_VALUE"""),"-")</f>
        <v>-</v>
      </c>
      <c r="I300" s="19">
        <f>IFERROR(__xludf.DUMMYFUNCTION("""COMPUTED_VALUE"""),0.00219)</f>
        <v>0.00219</v>
      </c>
      <c r="J300" s="19">
        <f>IFERROR(__xludf.DUMMYFUNCTION("""COMPUTED_VALUE"""),0.04747)</f>
        <v>0.04747</v>
      </c>
      <c r="K300" s="19" t="str">
        <f>IFERROR(__xludf.DUMMYFUNCTION("""COMPUTED_VALUE"""),"-")</f>
        <v>-</v>
      </c>
      <c r="L300" s="19">
        <f>IFERROR(__xludf.DUMMYFUNCTION("""COMPUTED_VALUE"""),0.04762)</f>
        <v>0.04762</v>
      </c>
      <c r="O300" s="24">
        <f t="shared" si="4"/>
        <v>0</v>
      </c>
      <c r="P300" s="24"/>
      <c r="Q300" s="24">
        <f t="shared" si="6"/>
        <v>0</v>
      </c>
      <c r="R300" s="24">
        <f t="shared" si="7"/>
        <v>0</v>
      </c>
      <c r="S300" s="24"/>
      <c r="T300" s="24">
        <f t="shared" si="9"/>
        <v>0</v>
      </c>
    </row>
    <row r="301">
      <c r="A301" s="12" t="s">
        <v>390</v>
      </c>
      <c r="F301" s="19">
        <f>IFERROR(__xludf.DUMMYFUNCTION("SPLIT(A297, "" |"")"),295.0)</f>
        <v>295</v>
      </c>
      <c r="G301" s="19">
        <f>IFERROR(__xludf.DUMMYFUNCTION("""COMPUTED_VALUE"""),0.00232)</f>
        <v>0.00232</v>
      </c>
      <c r="H301" s="19" t="str">
        <f>IFERROR(__xludf.DUMMYFUNCTION("""COMPUTED_VALUE"""),"-")</f>
        <v>-</v>
      </c>
      <c r="I301" s="19">
        <f>IFERROR(__xludf.DUMMYFUNCTION("""COMPUTED_VALUE"""),0.00216)</f>
        <v>0.00216</v>
      </c>
      <c r="J301" s="19">
        <f>IFERROR(__xludf.DUMMYFUNCTION("""COMPUTED_VALUE"""),0.04741)</f>
        <v>0.04741</v>
      </c>
      <c r="K301" s="19" t="str">
        <f>IFERROR(__xludf.DUMMYFUNCTION("""COMPUTED_VALUE"""),"-")</f>
        <v>-</v>
      </c>
      <c r="L301" s="19">
        <f>IFERROR(__xludf.DUMMYFUNCTION("""COMPUTED_VALUE"""),0.04762)</f>
        <v>0.04762</v>
      </c>
      <c r="O301" s="24">
        <f t="shared" si="4"/>
        <v>0</v>
      </c>
      <c r="P301" s="24"/>
      <c r="Q301" s="24">
        <f t="shared" si="6"/>
        <v>0</v>
      </c>
      <c r="R301" s="24">
        <f t="shared" si="7"/>
        <v>0</v>
      </c>
      <c r="S301" s="24"/>
      <c r="T301" s="24">
        <f t="shared" si="9"/>
        <v>0</v>
      </c>
    </row>
    <row r="302">
      <c r="A302" s="12" t="s">
        <v>391</v>
      </c>
      <c r="F302" s="19">
        <f>IFERROR(__xludf.DUMMYFUNCTION("SPLIT(A298, "" |"")"),296.0)</f>
        <v>296</v>
      </c>
      <c r="G302" s="19">
        <f>IFERROR(__xludf.DUMMYFUNCTION("""COMPUTED_VALUE"""),0.0024)</f>
        <v>0.0024</v>
      </c>
      <c r="H302" s="19" t="str">
        <f>IFERROR(__xludf.DUMMYFUNCTION("""COMPUTED_VALUE"""),"-")</f>
        <v>-</v>
      </c>
      <c r="I302" s="19">
        <f>IFERROR(__xludf.DUMMYFUNCTION("""COMPUTED_VALUE"""),0.00221)</f>
        <v>0.00221</v>
      </c>
      <c r="J302" s="19">
        <f>IFERROR(__xludf.DUMMYFUNCTION("""COMPUTED_VALUE"""),0.0474)</f>
        <v>0.0474</v>
      </c>
      <c r="K302" s="19" t="str">
        <f>IFERROR(__xludf.DUMMYFUNCTION("""COMPUTED_VALUE"""),"-")</f>
        <v>-</v>
      </c>
      <c r="L302" s="19">
        <f>IFERROR(__xludf.DUMMYFUNCTION("""COMPUTED_VALUE"""),0.04759)</f>
        <v>0.04759</v>
      </c>
      <c r="O302" s="24">
        <f t="shared" si="4"/>
        <v>0</v>
      </c>
      <c r="P302" s="24"/>
      <c r="Q302" s="24">
        <f t="shared" si="6"/>
        <v>0</v>
      </c>
      <c r="R302" s="24">
        <f t="shared" si="7"/>
        <v>0</v>
      </c>
      <c r="S302" s="24"/>
      <c r="T302" s="24">
        <f t="shared" si="9"/>
        <v>0</v>
      </c>
    </row>
    <row r="303">
      <c r="A303" s="12" t="s">
        <v>392</v>
      </c>
      <c r="F303" s="19">
        <f>IFERROR(__xludf.DUMMYFUNCTION("SPLIT(A299, "" |"")"),297.0)</f>
        <v>297</v>
      </c>
      <c r="G303" s="19">
        <f>IFERROR(__xludf.DUMMYFUNCTION("""COMPUTED_VALUE"""),0.00238)</f>
        <v>0.00238</v>
      </c>
      <c r="H303" s="19" t="str">
        <f>IFERROR(__xludf.DUMMYFUNCTION("""COMPUTED_VALUE"""),"-")</f>
        <v>-</v>
      </c>
      <c r="I303" s="19">
        <f>IFERROR(__xludf.DUMMYFUNCTION("""COMPUTED_VALUE"""),0.00219)</f>
        <v>0.00219</v>
      </c>
      <c r="J303" s="19">
        <f>IFERROR(__xludf.DUMMYFUNCTION("""COMPUTED_VALUE"""),0.04745)</f>
        <v>0.04745</v>
      </c>
      <c r="K303" s="19" t="str">
        <f>IFERROR(__xludf.DUMMYFUNCTION("""COMPUTED_VALUE"""),"-")</f>
        <v>-</v>
      </c>
      <c r="L303" s="19">
        <f>IFERROR(__xludf.DUMMYFUNCTION("""COMPUTED_VALUE"""),0.04751)</f>
        <v>0.04751</v>
      </c>
      <c r="O303" s="24">
        <f t="shared" si="4"/>
        <v>0</v>
      </c>
      <c r="P303" s="24"/>
      <c r="Q303" s="24">
        <f t="shared" si="6"/>
        <v>0</v>
      </c>
      <c r="R303" s="24">
        <f t="shared" si="7"/>
        <v>0</v>
      </c>
      <c r="S303" s="24"/>
      <c r="T303" s="24">
        <f t="shared" si="9"/>
        <v>0</v>
      </c>
    </row>
    <row r="304">
      <c r="A304" s="12" t="s">
        <v>393</v>
      </c>
      <c r="F304" s="19">
        <f>IFERROR(__xludf.DUMMYFUNCTION("SPLIT(A300, "" |"")"),298.0)</f>
        <v>298</v>
      </c>
      <c r="G304" s="19">
        <f>IFERROR(__xludf.DUMMYFUNCTION("""COMPUTED_VALUE"""),0.00218)</f>
        <v>0.00218</v>
      </c>
      <c r="H304" s="19" t="str">
        <f>IFERROR(__xludf.DUMMYFUNCTION("""COMPUTED_VALUE"""),"-")</f>
        <v>-</v>
      </c>
      <c r="I304" s="19">
        <f>IFERROR(__xludf.DUMMYFUNCTION("""COMPUTED_VALUE"""),0.00207)</f>
        <v>0.00207</v>
      </c>
      <c r="J304" s="19">
        <f>IFERROR(__xludf.DUMMYFUNCTION("""COMPUTED_VALUE"""),0.04729)</f>
        <v>0.04729</v>
      </c>
      <c r="K304" s="19" t="str">
        <f>IFERROR(__xludf.DUMMYFUNCTION("""COMPUTED_VALUE"""),"-")</f>
        <v>-</v>
      </c>
      <c r="L304" s="19">
        <f>IFERROR(__xludf.DUMMYFUNCTION("""COMPUTED_VALUE"""),0.04745)</f>
        <v>0.04745</v>
      </c>
      <c r="O304" s="24">
        <f t="shared" si="4"/>
        <v>0</v>
      </c>
      <c r="P304" s="24"/>
      <c r="Q304" s="24">
        <f t="shared" si="6"/>
        <v>0</v>
      </c>
      <c r="R304" s="24">
        <f t="shared" si="7"/>
        <v>0</v>
      </c>
      <c r="S304" s="24"/>
      <c r="T304" s="24">
        <f t="shared" si="9"/>
        <v>0</v>
      </c>
    </row>
    <row r="305">
      <c r="A305" s="12" t="s">
        <v>394</v>
      </c>
      <c r="F305" s="19">
        <f>IFERROR(__xludf.DUMMYFUNCTION("SPLIT(A301, "" |"")"),299.0)</f>
        <v>299</v>
      </c>
      <c r="G305" s="19">
        <f>IFERROR(__xludf.DUMMYFUNCTION("""COMPUTED_VALUE"""),0.00236)</f>
        <v>0.00236</v>
      </c>
      <c r="H305" s="19" t="str">
        <f>IFERROR(__xludf.DUMMYFUNCTION("""COMPUTED_VALUE"""),"-")</f>
        <v>-</v>
      </c>
      <c r="I305" s="19">
        <f>IFERROR(__xludf.DUMMYFUNCTION("""COMPUTED_VALUE"""),0.00223)</f>
        <v>0.00223</v>
      </c>
      <c r="J305" s="19">
        <f>IFERROR(__xludf.DUMMYFUNCTION("""COMPUTED_VALUE"""),0.04746)</f>
        <v>0.04746</v>
      </c>
      <c r="K305" s="19" t="str">
        <f>IFERROR(__xludf.DUMMYFUNCTION("""COMPUTED_VALUE"""),"-")</f>
        <v>-</v>
      </c>
      <c r="L305" s="19">
        <f>IFERROR(__xludf.DUMMYFUNCTION("""COMPUTED_VALUE"""),0.04749)</f>
        <v>0.04749</v>
      </c>
      <c r="O305" s="24">
        <f t="shared" si="4"/>
        <v>0</v>
      </c>
      <c r="P305" s="24"/>
      <c r="Q305" s="24">
        <f t="shared" si="6"/>
        <v>0</v>
      </c>
      <c r="R305" s="24">
        <f t="shared" si="7"/>
        <v>0</v>
      </c>
      <c r="S305" s="24"/>
      <c r="T305" s="24">
        <f t="shared" si="9"/>
        <v>0</v>
      </c>
    </row>
    <row r="306">
      <c r="A306" s="12" t="s">
        <v>395</v>
      </c>
      <c r="F306" s="19">
        <f>IFERROR(__xludf.DUMMYFUNCTION("SPLIT(A302, "" |"")"),300.0)</f>
        <v>300</v>
      </c>
      <c r="G306" s="19">
        <f>IFERROR(__xludf.DUMMYFUNCTION("""COMPUTED_VALUE"""),0.00225)</f>
        <v>0.00225</v>
      </c>
      <c r="H306" s="19" t="str">
        <f>IFERROR(__xludf.DUMMYFUNCTION("""COMPUTED_VALUE"""),"-")</f>
        <v>-</v>
      </c>
      <c r="I306" s="19">
        <f>IFERROR(__xludf.DUMMYFUNCTION("""COMPUTED_VALUE"""),0.00213)</f>
        <v>0.00213</v>
      </c>
      <c r="J306" s="19">
        <f>IFERROR(__xludf.DUMMYFUNCTION("""COMPUTED_VALUE"""),0.04761)</f>
        <v>0.04761</v>
      </c>
      <c r="K306" s="19" t="str">
        <f>IFERROR(__xludf.DUMMYFUNCTION("""COMPUTED_VALUE"""),"-")</f>
        <v>-</v>
      </c>
      <c r="L306" s="19">
        <f>IFERROR(__xludf.DUMMYFUNCTION("""COMPUTED_VALUE"""),0.04305)</f>
        <v>0.04305</v>
      </c>
      <c r="O306" s="24">
        <f t="shared" si="4"/>
        <v>0</v>
      </c>
      <c r="P306" s="24"/>
      <c r="Q306" s="24">
        <f t="shared" si="6"/>
        <v>0</v>
      </c>
      <c r="R306" s="24">
        <f t="shared" si="7"/>
        <v>0</v>
      </c>
      <c r="S306" s="24"/>
      <c r="T306" s="24">
        <f t="shared" si="9"/>
        <v>0</v>
      </c>
    </row>
    <row r="307">
      <c r="A307" s="12" t="s">
        <v>396</v>
      </c>
      <c r="F307" s="19">
        <f>IFERROR(__xludf.DUMMYFUNCTION("SPLIT(A303, "" |"")"),301.0)</f>
        <v>301</v>
      </c>
      <c r="G307" s="19">
        <f>IFERROR(__xludf.DUMMYFUNCTION("""COMPUTED_VALUE"""),0.00238)</f>
        <v>0.00238</v>
      </c>
      <c r="H307" s="19" t="str">
        <f>IFERROR(__xludf.DUMMYFUNCTION("""COMPUTED_VALUE"""),"-")</f>
        <v>-</v>
      </c>
      <c r="I307" s="19">
        <f>IFERROR(__xludf.DUMMYFUNCTION("""COMPUTED_VALUE"""),0.00218)</f>
        <v>0.00218</v>
      </c>
      <c r="J307" s="19">
        <f>IFERROR(__xludf.DUMMYFUNCTION("""COMPUTED_VALUE"""),0.04737)</f>
        <v>0.04737</v>
      </c>
      <c r="K307" s="19" t="str">
        <f>IFERROR(__xludf.DUMMYFUNCTION("""COMPUTED_VALUE"""),"-")</f>
        <v>-</v>
      </c>
      <c r="L307" s="19">
        <f>IFERROR(__xludf.DUMMYFUNCTION("""COMPUTED_VALUE"""),0.04745)</f>
        <v>0.04745</v>
      </c>
      <c r="O307" s="24">
        <f t="shared" si="4"/>
        <v>0</v>
      </c>
      <c r="P307" s="24"/>
      <c r="Q307" s="24">
        <f t="shared" si="6"/>
        <v>0</v>
      </c>
      <c r="R307" s="24">
        <f t="shared" si="7"/>
        <v>0</v>
      </c>
      <c r="S307" s="24"/>
      <c r="T307" s="24">
        <f t="shared" si="9"/>
        <v>0</v>
      </c>
    </row>
    <row r="308">
      <c r="A308" s="12" t="s">
        <v>397</v>
      </c>
      <c r="F308" s="19">
        <f>IFERROR(__xludf.DUMMYFUNCTION("SPLIT(A304, "" |"")"),302.0)</f>
        <v>302</v>
      </c>
      <c r="G308" s="19">
        <f>IFERROR(__xludf.DUMMYFUNCTION("""COMPUTED_VALUE"""),0.00224)</f>
        <v>0.00224</v>
      </c>
      <c r="H308" s="19" t="str">
        <f>IFERROR(__xludf.DUMMYFUNCTION("""COMPUTED_VALUE"""),"-")</f>
        <v>-</v>
      </c>
      <c r="I308" s="19">
        <f>IFERROR(__xludf.DUMMYFUNCTION("""COMPUTED_VALUE"""),0.00208)</f>
        <v>0.00208</v>
      </c>
      <c r="J308" s="19">
        <f>IFERROR(__xludf.DUMMYFUNCTION("""COMPUTED_VALUE"""),0.04735)</f>
        <v>0.04735</v>
      </c>
      <c r="K308" s="19" t="str">
        <f>IFERROR(__xludf.DUMMYFUNCTION("""COMPUTED_VALUE"""),"-")</f>
        <v>-</v>
      </c>
      <c r="L308" s="19">
        <f>IFERROR(__xludf.DUMMYFUNCTION("""COMPUTED_VALUE"""),0.04765)</f>
        <v>0.04765</v>
      </c>
      <c r="O308" s="24">
        <f t="shared" si="4"/>
        <v>0</v>
      </c>
      <c r="P308" s="24"/>
      <c r="Q308" s="24">
        <f t="shared" si="6"/>
        <v>0</v>
      </c>
      <c r="R308" s="24">
        <f t="shared" si="7"/>
        <v>0</v>
      </c>
      <c r="S308" s="24"/>
      <c r="T308" s="24">
        <f t="shared" si="9"/>
        <v>0</v>
      </c>
    </row>
    <row r="309">
      <c r="A309" s="12" t="s">
        <v>398</v>
      </c>
      <c r="F309" s="19">
        <f>IFERROR(__xludf.DUMMYFUNCTION("SPLIT(A305, "" |"")"),303.0)</f>
        <v>303</v>
      </c>
      <c r="G309" s="19">
        <f>IFERROR(__xludf.DUMMYFUNCTION("""COMPUTED_VALUE"""),0.00236)</f>
        <v>0.00236</v>
      </c>
      <c r="H309" s="19" t="str">
        <f>IFERROR(__xludf.DUMMYFUNCTION("""COMPUTED_VALUE"""),"-")</f>
        <v>-</v>
      </c>
      <c r="I309" s="19">
        <f>IFERROR(__xludf.DUMMYFUNCTION("""COMPUTED_VALUE"""),0.00216)</f>
        <v>0.00216</v>
      </c>
      <c r="J309" s="19">
        <f>IFERROR(__xludf.DUMMYFUNCTION("""COMPUTED_VALUE"""),0.04734)</f>
        <v>0.04734</v>
      </c>
      <c r="K309" s="19" t="str">
        <f>IFERROR(__xludf.DUMMYFUNCTION("""COMPUTED_VALUE"""),"-")</f>
        <v>-</v>
      </c>
      <c r="L309" s="19">
        <f>IFERROR(__xludf.DUMMYFUNCTION("""COMPUTED_VALUE"""),0.04757)</f>
        <v>0.04757</v>
      </c>
      <c r="O309" s="24">
        <f t="shared" si="4"/>
        <v>0</v>
      </c>
      <c r="P309" s="24"/>
      <c r="Q309" s="24">
        <f t="shared" si="6"/>
        <v>0</v>
      </c>
      <c r="R309" s="24">
        <f t="shared" si="7"/>
        <v>0</v>
      </c>
      <c r="S309" s="24"/>
      <c r="T309" s="24">
        <f t="shared" si="9"/>
        <v>0</v>
      </c>
    </row>
    <row r="310">
      <c r="A310" s="12" t="s">
        <v>399</v>
      </c>
      <c r="F310" s="19">
        <f>IFERROR(__xludf.DUMMYFUNCTION("SPLIT(A306, "" |"")"),304.0)</f>
        <v>304</v>
      </c>
      <c r="G310" s="19">
        <f>IFERROR(__xludf.DUMMYFUNCTION("""COMPUTED_VALUE"""),0.00239)</f>
        <v>0.00239</v>
      </c>
      <c r="H310" s="19" t="str">
        <f>IFERROR(__xludf.DUMMYFUNCTION("""COMPUTED_VALUE"""),"-")</f>
        <v>-</v>
      </c>
      <c r="I310" s="19">
        <f>IFERROR(__xludf.DUMMYFUNCTION("""COMPUTED_VALUE"""),0.00218)</f>
        <v>0.00218</v>
      </c>
      <c r="J310" s="19">
        <f>IFERROR(__xludf.DUMMYFUNCTION("""COMPUTED_VALUE"""),0.04741)</f>
        <v>0.04741</v>
      </c>
      <c r="K310" s="19" t="str">
        <f>IFERROR(__xludf.DUMMYFUNCTION("""COMPUTED_VALUE"""),"-")</f>
        <v>-</v>
      </c>
      <c r="L310" s="19">
        <f>IFERROR(__xludf.DUMMYFUNCTION("""COMPUTED_VALUE"""),0.04753)</f>
        <v>0.04753</v>
      </c>
      <c r="O310" s="24">
        <f t="shared" si="4"/>
        <v>0</v>
      </c>
      <c r="P310" s="24"/>
      <c r="Q310" s="24">
        <f t="shared" si="6"/>
        <v>0</v>
      </c>
      <c r="R310" s="24">
        <f t="shared" si="7"/>
        <v>0</v>
      </c>
      <c r="S310" s="24"/>
      <c r="T310" s="24">
        <f t="shared" si="9"/>
        <v>0</v>
      </c>
    </row>
    <row r="311">
      <c r="A311" s="12" t="s">
        <v>400</v>
      </c>
      <c r="F311" s="19">
        <f>IFERROR(__xludf.DUMMYFUNCTION("SPLIT(A307, "" |"")"),305.0)</f>
        <v>305</v>
      </c>
      <c r="G311" s="19">
        <f>IFERROR(__xludf.DUMMYFUNCTION("""COMPUTED_VALUE"""),0.00236)</f>
        <v>0.00236</v>
      </c>
      <c r="H311" s="19" t="str">
        <f>IFERROR(__xludf.DUMMYFUNCTION("""COMPUTED_VALUE"""),"-")</f>
        <v>-</v>
      </c>
      <c r="I311" s="19">
        <f>IFERROR(__xludf.DUMMYFUNCTION("""COMPUTED_VALUE"""),0.00219)</f>
        <v>0.00219</v>
      </c>
      <c r="J311" s="19">
        <f>IFERROR(__xludf.DUMMYFUNCTION("""COMPUTED_VALUE"""),0.04733)</f>
        <v>0.04733</v>
      </c>
      <c r="K311" s="19" t="str">
        <f>IFERROR(__xludf.DUMMYFUNCTION("""COMPUTED_VALUE"""),"-")</f>
        <v>-</v>
      </c>
      <c r="L311" s="19">
        <f>IFERROR(__xludf.DUMMYFUNCTION("""COMPUTED_VALUE"""),0.04775)</f>
        <v>0.04775</v>
      </c>
      <c r="O311" s="24">
        <f t="shared" si="4"/>
        <v>0</v>
      </c>
      <c r="P311" s="24"/>
      <c r="Q311" s="24">
        <f t="shared" si="6"/>
        <v>0</v>
      </c>
      <c r="R311" s="24">
        <f t="shared" si="7"/>
        <v>0</v>
      </c>
      <c r="S311" s="24"/>
      <c r="T311" s="24">
        <f t="shared" si="9"/>
        <v>0</v>
      </c>
    </row>
    <row r="312">
      <c r="A312" s="12" t="s">
        <v>401</v>
      </c>
      <c r="F312" s="19">
        <f>IFERROR(__xludf.DUMMYFUNCTION("SPLIT(A308, "" |"")"),306.0)</f>
        <v>306</v>
      </c>
      <c r="G312" s="19">
        <f>IFERROR(__xludf.DUMMYFUNCTION("""COMPUTED_VALUE"""),0.00232)</f>
        <v>0.00232</v>
      </c>
      <c r="H312" s="19" t="str">
        <f>IFERROR(__xludf.DUMMYFUNCTION("""COMPUTED_VALUE"""),"-")</f>
        <v>-</v>
      </c>
      <c r="I312" s="19">
        <f>IFERROR(__xludf.DUMMYFUNCTION("""COMPUTED_VALUE"""),0.00217)</f>
        <v>0.00217</v>
      </c>
      <c r="J312" s="19">
        <f>IFERROR(__xludf.DUMMYFUNCTION("""COMPUTED_VALUE"""),0.0474)</f>
        <v>0.0474</v>
      </c>
      <c r="K312" s="19" t="str">
        <f>IFERROR(__xludf.DUMMYFUNCTION("""COMPUTED_VALUE"""),"-")</f>
        <v>-</v>
      </c>
      <c r="L312" s="19">
        <f>IFERROR(__xludf.DUMMYFUNCTION("""COMPUTED_VALUE"""),0.04442)</f>
        <v>0.04442</v>
      </c>
      <c r="O312" s="24">
        <f t="shared" si="4"/>
        <v>0</v>
      </c>
      <c r="P312" s="24"/>
      <c r="Q312" s="24">
        <f t="shared" si="6"/>
        <v>0</v>
      </c>
      <c r="R312" s="24">
        <f t="shared" si="7"/>
        <v>0</v>
      </c>
      <c r="S312" s="24"/>
      <c r="T312" s="24">
        <f t="shared" si="9"/>
        <v>0</v>
      </c>
    </row>
    <row r="313">
      <c r="A313" s="12" t="s">
        <v>402</v>
      </c>
      <c r="F313" s="19">
        <f>IFERROR(__xludf.DUMMYFUNCTION("SPLIT(A309, "" |"")"),307.0)</f>
        <v>307</v>
      </c>
      <c r="G313" s="19">
        <f>IFERROR(__xludf.DUMMYFUNCTION("""COMPUTED_VALUE"""),0.0023)</f>
        <v>0.0023</v>
      </c>
      <c r="H313" s="19" t="str">
        <f>IFERROR(__xludf.DUMMYFUNCTION("""COMPUTED_VALUE"""),"-")</f>
        <v>-</v>
      </c>
      <c r="I313" s="19">
        <f>IFERROR(__xludf.DUMMYFUNCTION("""COMPUTED_VALUE"""),0.00227)</f>
        <v>0.00227</v>
      </c>
      <c r="J313" s="19">
        <f>IFERROR(__xludf.DUMMYFUNCTION("""COMPUTED_VALUE"""),0.04742)</f>
        <v>0.04742</v>
      </c>
      <c r="K313" s="19" t="str">
        <f>IFERROR(__xludf.DUMMYFUNCTION("""COMPUTED_VALUE"""),"-")</f>
        <v>-</v>
      </c>
      <c r="L313" s="19">
        <f>IFERROR(__xludf.DUMMYFUNCTION("""COMPUTED_VALUE"""),0.0475)</f>
        <v>0.0475</v>
      </c>
      <c r="O313" s="24">
        <f t="shared" si="4"/>
        <v>0</v>
      </c>
      <c r="P313" s="24"/>
      <c r="Q313" s="24">
        <f t="shared" si="6"/>
        <v>0</v>
      </c>
      <c r="R313" s="24">
        <f t="shared" si="7"/>
        <v>0</v>
      </c>
      <c r="S313" s="24"/>
      <c r="T313" s="24">
        <f t="shared" si="9"/>
        <v>0</v>
      </c>
    </row>
    <row r="314">
      <c r="A314" s="12" t="s">
        <v>403</v>
      </c>
      <c r="F314" s="19">
        <f>IFERROR(__xludf.DUMMYFUNCTION("SPLIT(A310, "" |"")"),308.0)</f>
        <v>308</v>
      </c>
      <c r="G314" s="19">
        <f>IFERROR(__xludf.DUMMYFUNCTION("""COMPUTED_VALUE"""),0.00238)</f>
        <v>0.00238</v>
      </c>
      <c r="H314" s="19" t="str">
        <f>IFERROR(__xludf.DUMMYFUNCTION("""COMPUTED_VALUE"""),"-")</f>
        <v>-</v>
      </c>
      <c r="I314" s="19">
        <f>IFERROR(__xludf.DUMMYFUNCTION("""COMPUTED_VALUE"""),0.00227)</f>
        <v>0.00227</v>
      </c>
      <c r="J314" s="19">
        <f>IFERROR(__xludf.DUMMYFUNCTION("""COMPUTED_VALUE"""),0.04744)</f>
        <v>0.04744</v>
      </c>
      <c r="K314" s="19" t="str">
        <f>IFERROR(__xludf.DUMMYFUNCTION("""COMPUTED_VALUE"""),"-")</f>
        <v>-</v>
      </c>
      <c r="L314" s="19">
        <f>IFERROR(__xludf.DUMMYFUNCTION("""COMPUTED_VALUE"""),0.04755)</f>
        <v>0.04755</v>
      </c>
      <c r="O314" s="24">
        <f t="shared" si="4"/>
        <v>0</v>
      </c>
      <c r="P314" s="24"/>
      <c r="Q314" s="24">
        <f t="shared" si="6"/>
        <v>0</v>
      </c>
      <c r="R314" s="24">
        <f t="shared" si="7"/>
        <v>0</v>
      </c>
      <c r="S314" s="24"/>
      <c r="T314" s="24">
        <f t="shared" si="9"/>
        <v>0</v>
      </c>
    </row>
    <row r="315">
      <c r="A315" s="12" t="s">
        <v>404</v>
      </c>
      <c r="F315" s="19">
        <f>IFERROR(__xludf.DUMMYFUNCTION("SPLIT(A311, "" |"")"),309.0)</f>
        <v>309</v>
      </c>
      <c r="G315" s="19">
        <f>IFERROR(__xludf.DUMMYFUNCTION("""COMPUTED_VALUE"""),0.00238)</f>
        <v>0.00238</v>
      </c>
      <c r="H315" s="19" t="str">
        <f>IFERROR(__xludf.DUMMYFUNCTION("""COMPUTED_VALUE"""),"-")</f>
        <v>-</v>
      </c>
      <c r="I315" s="19">
        <f>IFERROR(__xludf.DUMMYFUNCTION("""COMPUTED_VALUE"""),0.00219)</f>
        <v>0.00219</v>
      </c>
      <c r="J315" s="19">
        <f>IFERROR(__xludf.DUMMYFUNCTION("""COMPUTED_VALUE"""),0.04745)</f>
        <v>0.04745</v>
      </c>
      <c r="K315" s="19" t="str">
        <f>IFERROR(__xludf.DUMMYFUNCTION("""COMPUTED_VALUE"""),"-")</f>
        <v>-</v>
      </c>
      <c r="L315" s="19">
        <f>IFERROR(__xludf.DUMMYFUNCTION("""COMPUTED_VALUE"""),0.04764)</f>
        <v>0.04764</v>
      </c>
      <c r="O315" s="24">
        <f t="shared" si="4"/>
        <v>0</v>
      </c>
      <c r="P315" s="24"/>
      <c r="Q315" s="24">
        <f t="shared" si="6"/>
        <v>0</v>
      </c>
      <c r="R315" s="24">
        <f t="shared" si="7"/>
        <v>0</v>
      </c>
      <c r="S315" s="24"/>
      <c r="T315" s="24">
        <f t="shared" si="9"/>
        <v>0</v>
      </c>
    </row>
    <row r="316">
      <c r="A316" s="12" t="s">
        <v>405</v>
      </c>
      <c r="F316" s="19">
        <f>IFERROR(__xludf.DUMMYFUNCTION("SPLIT(A312, "" |"")"),310.0)</f>
        <v>310</v>
      </c>
      <c r="G316" s="19">
        <f>IFERROR(__xludf.DUMMYFUNCTION("""COMPUTED_VALUE"""),0.00246)</f>
        <v>0.00246</v>
      </c>
      <c r="H316" s="19" t="str">
        <f>IFERROR(__xludf.DUMMYFUNCTION("""COMPUTED_VALUE"""),"-")</f>
        <v>-</v>
      </c>
      <c r="I316" s="19">
        <f>IFERROR(__xludf.DUMMYFUNCTION("""COMPUTED_VALUE"""),0.00222)</f>
        <v>0.00222</v>
      </c>
      <c r="J316" s="19">
        <f>IFERROR(__xludf.DUMMYFUNCTION("""COMPUTED_VALUE"""),0.04237)</f>
        <v>0.04237</v>
      </c>
      <c r="K316" s="19" t="str">
        <f>IFERROR(__xludf.DUMMYFUNCTION("""COMPUTED_VALUE"""),"-")</f>
        <v>-</v>
      </c>
      <c r="L316" s="19">
        <f>IFERROR(__xludf.DUMMYFUNCTION("""COMPUTED_VALUE"""),0.04769)</f>
        <v>0.04769</v>
      </c>
      <c r="O316" s="24">
        <f t="shared" si="4"/>
        <v>0</v>
      </c>
      <c r="P316" s="24"/>
      <c r="Q316" s="24">
        <f t="shared" si="6"/>
        <v>0</v>
      </c>
      <c r="R316" s="24">
        <f t="shared" si="7"/>
        <v>1</v>
      </c>
      <c r="S316" s="24"/>
      <c r="T316" s="24">
        <f t="shared" si="9"/>
        <v>0</v>
      </c>
    </row>
    <row r="317">
      <c r="A317" s="12" t="s">
        <v>406</v>
      </c>
      <c r="F317" s="19">
        <f>IFERROR(__xludf.DUMMYFUNCTION("SPLIT(A313, "" |"")"),311.0)</f>
        <v>311</v>
      </c>
      <c r="G317" s="19">
        <f>IFERROR(__xludf.DUMMYFUNCTION("""COMPUTED_VALUE"""),0.00239)</f>
        <v>0.00239</v>
      </c>
      <c r="H317" s="19" t="str">
        <f>IFERROR(__xludf.DUMMYFUNCTION("""COMPUTED_VALUE"""),"-")</f>
        <v>-</v>
      </c>
      <c r="I317" s="19">
        <f>IFERROR(__xludf.DUMMYFUNCTION("""COMPUTED_VALUE"""),0.00221)</f>
        <v>0.00221</v>
      </c>
      <c r="J317" s="19">
        <f>IFERROR(__xludf.DUMMYFUNCTION("""COMPUTED_VALUE"""),0.04747)</f>
        <v>0.04747</v>
      </c>
      <c r="K317" s="19" t="str">
        <f>IFERROR(__xludf.DUMMYFUNCTION("""COMPUTED_VALUE"""),"-")</f>
        <v>-</v>
      </c>
      <c r="L317" s="19">
        <f>IFERROR(__xludf.DUMMYFUNCTION("""COMPUTED_VALUE"""),0.03967)</f>
        <v>0.03967</v>
      </c>
      <c r="O317" s="24">
        <f t="shared" si="4"/>
        <v>0</v>
      </c>
      <c r="P317" s="24"/>
      <c r="Q317" s="24">
        <f t="shared" si="6"/>
        <v>0</v>
      </c>
      <c r="R317" s="24">
        <f t="shared" si="7"/>
        <v>0</v>
      </c>
      <c r="S317" s="24"/>
      <c r="T317" s="24">
        <f t="shared" si="9"/>
        <v>0</v>
      </c>
    </row>
    <row r="318">
      <c r="A318" s="12" t="s">
        <v>407</v>
      </c>
      <c r="F318" s="19">
        <f>IFERROR(__xludf.DUMMYFUNCTION("SPLIT(A314, "" |"")"),312.0)</f>
        <v>312</v>
      </c>
      <c r="G318" s="19">
        <f>IFERROR(__xludf.DUMMYFUNCTION("""COMPUTED_VALUE"""),0.00236)</f>
        <v>0.00236</v>
      </c>
      <c r="H318" s="19" t="str">
        <f>IFERROR(__xludf.DUMMYFUNCTION("""COMPUTED_VALUE"""),"-")</f>
        <v>-</v>
      </c>
      <c r="I318" s="19">
        <f>IFERROR(__xludf.DUMMYFUNCTION("""COMPUTED_VALUE"""),0.0022)</f>
        <v>0.0022</v>
      </c>
      <c r="J318" s="19">
        <f>IFERROR(__xludf.DUMMYFUNCTION("""COMPUTED_VALUE"""),0.04073)</f>
        <v>0.04073</v>
      </c>
      <c r="K318" s="19" t="str">
        <f>IFERROR(__xludf.DUMMYFUNCTION("""COMPUTED_VALUE"""),"-")</f>
        <v>-</v>
      </c>
      <c r="L318" s="19">
        <f>IFERROR(__xludf.DUMMYFUNCTION("""COMPUTED_VALUE"""),0.04608)</f>
        <v>0.04608</v>
      </c>
      <c r="O318" s="24">
        <f t="shared" si="4"/>
        <v>0</v>
      </c>
      <c r="P318" s="24"/>
      <c r="Q318" s="24">
        <f t="shared" si="6"/>
        <v>0</v>
      </c>
      <c r="R318" s="24">
        <f t="shared" si="7"/>
        <v>1</v>
      </c>
      <c r="S318" s="24"/>
      <c r="T318" s="24">
        <f t="shared" si="9"/>
        <v>0</v>
      </c>
    </row>
    <row r="319">
      <c r="A319" s="12" t="s">
        <v>408</v>
      </c>
      <c r="F319" s="19">
        <f>IFERROR(__xludf.DUMMYFUNCTION("SPLIT(A315, "" |"")"),313.0)</f>
        <v>313</v>
      </c>
      <c r="G319" s="19">
        <f>IFERROR(__xludf.DUMMYFUNCTION("""COMPUTED_VALUE"""),0.00237)</f>
        <v>0.00237</v>
      </c>
      <c r="H319" s="19" t="str">
        <f>IFERROR(__xludf.DUMMYFUNCTION("""COMPUTED_VALUE"""),"-")</f>
        <v>-</v>
      </c>
      <c r="I319" s="19">
        <f>IFERROR(__xludf.DUMMYFUNCTION("""COMPUTED_VALUE"""),0.00213)</f>
        <v>0.00213</v>
      </c>
      <c r="J319" s="19">
        <f>IFERROR(__xludf.DUMMYFUNCTION("""COMPUTED_VALUE"""),0.04752)</f>
        <v>0.04752</v>
      </c>
      <c r="K319" s="19" t="str">
        <f>IFERROR(__xludf.DUMMYFUNCTION("""COMPUTED_VALUE"""),"-")</f>
        <v>-</v>
      </c>
      <c r="L319" s="19">
        <f>IFERROR(__xludf.DUMMYFUNCTION("""COMPUTED_VALUE"""),0.04761)</f>
        <v>0.04761</v>
      </c>
      <c r="O319" s="24">
        <f t="shared" si="4"/>
        <v>0</v>
      </c>
      <c r="P319" s="24"/>
      <c r="Q319" s="24">
        <f t="shared" si="6"/>
        <v>0</v>
      </c>
      <c r="R319" s="24">
        <f t="shared" si="7"/>
        <v>0</v>
      </c>
      <c r="S319" s="24"/>
      <c r="T319" s="24">
        <f t="shared" si="9"/>
        <v>0</v>
      </c>
    </row>
    <row r="320">
      <c r="A320" s="12" t="s">
        <v>409</v>
      </c>
      <c r="F320" s="19">
        <f>IFERROR(__xludf.DUMMYFUNCTION("SPLIT(A316, "" |"")"),314.0)</f>
        <v>314</v>
      </c>
      <c r="G320" s="19">
        <f>IFERROR(__xludf.DUMMYFUNCTION("""COMPUTED_VALUE"""),0.00237)</f>
        <v>0.00237</v>
      </c>
      <c r="H320" s="19" t="str">
        <f>IFERROR(__xludf.DUMMYFUNCTION("""COMPUTED_VALUE"""),"-")</f>
        <v>-</v>
      </c>
      <c r="I320" s="19">
        <f>IFERROR(__xludf.DUMMYFUNCTION("""COMPUTED_VALUE"""),0.00226)</f>
        <v>0.00226</v>
      </c>
      <c r="J320" s="19">
        <f>IFERROR(__xludf.DUMMYFUNCTION("""COMPUTED_VALUE"""),0.04743)</f>
        <v>0.04743</v>
      </c>
      <c r="K320" s="19" t="str">
        <f>IFERROR(__xludf.DUMMYFUNCTION("""COMPUTED_VALUE"""),"-")</f>
        <v>-</v>
      </c>
      <c r="L320" s="19">
        <f>IFERROR(__xludf.DUMMYFUNCTION("""COMPUTED_VALUE"""),0.04185)</f>
        <v>0.04185</v>
      </c>
      <c r="O320" s="24">
        <f t="shared" si="4"/>
        <v>0</v>
      </c>
      <c r="P320" s="24"/>
      <c r="Q320" s="24">
        <f t="shared" si="6"/>
        <v>0</v>
      </c>
      <c r="R320" s="24">
        <f t="shared" si="7"/>
        <v>0</v>
      </c>
      <c r="S320" s="24"/>
      <c r="T320" s="24">
        <f t="shared" si="9"/>
        <v>0</v>
      </c>
    </row>
    <row r="321">
      <c r="A321" s="12" t="s">
        <v>410</v>
      </c>
      <c r="F321" s="19">
        <f>IFERROR(__xludf.DUMMYFUNCTION("SPLIT(A317, "" |"")"),315.0)</f>
        <v>315</v>
      </c>
      <c r="G321" s="19">
        <f>IFERROR(__xludf.DUMMYFUNCTION("""COMPUTED_VALUE"""),0.00225)</f>
        <v>0.00225</v>
      </c>
      <c r="H321" s="19" t="str">
        <f>IFERROR(__xludf.DUMMYFUNCTION("""COMPUTED_VALUE"""),"-")</f>
        <v>-</v>
      </c>
      <c r="I321" s="19">
        <f>IFERROR(__xludf.DUMMYFUNCTION("""COMPUTED_VALUE"""),0.00211)</f>
        <v>0.00211</v>
      </c>
      <c r="J321" s="19">
        <f>IFERROR(__xludf.DUMMYFUNCTION("""COMPUTED_VALUE"""),0.04737)</f>
        <v>0.04737</v>
      </c>
      <c r="K321" s="19" t="str">
        <f>IFERROR(__xludf.DUMMYFUNCTION("""COMPUTED_VALUE"""),"-")</f>
        <v>-</v>
      </c>
      <c r="L321" s="19">
        <f>IFERROR(__xludf.DUMMYFUNCTION("""COMPUTED_VALUE"""),0.04069)</f>
        <v>0.04069</v>
      </c>
      <c r="O321" s="24">
        <f t="shared" si="4"/>
        <v>0</v>
      </c>
      <c r="P321" s="24"/>
      <c r="Q321" s="24">
        <f t="shared" si="6"/>
        <v>0</v>
      </c>
      <c r="R321" s="24">
        <f t="shared" si="7"/>
        <v>0</v>
      </c>
      <c r="S321" s="24"/>
      <c r="T321" s="24">
        <f t="shared" si="9"/>
        <v>0</v>
      </c>
    </row>
    <row r="322">
      <c r="A322" s="12" t="s">
        <v>411</v>
      </c>
      <c r="F322" s="19">
        <f>IFERROR(__xludf.DUMMYFUNCTION("SPLIT(A318, "" |"")"),316.0)</f>
        <v>316</v>
      </c>
      <c r="G322" s="19">
        <f>IFERROR(__xludf.DUMMYFUNCTION("""COMPUTED_VALUE"""),0.00216)</f>
        <v>0.00216</v>
      </c>
      <c r="H322" s="19" t="str">
        <f>IFERROR(__xludf.DUMMYFUNCTION("""COMPUTED_VALUE"""),"-")</f>
        <v>-</v>
      </c>
      <c r="I322" s="19">
        <f>IFERROR(__xludf.DUMMYFUNCTION("""COMPUTED_VALUE"""),0.00236)</f>
        <v>0.00236</v>
      </c>
      <c r="J322" s="19">
        <f>IFERROR(__xludf.DUMMYFUNCTION("""COMPUTED_VALUE"""),0.04739)</f>
        <v>0.04739</v>
      </c>
      <c r="K322" s="19" t="str">
        <f>IFERROR(__xludf.DUMMYFUNCTION("""COMPUTED_VALUE"""),"-")</f>
        <v>-</v>
      </c>
      <c r="L322" s="19">
        <f>IFERROR(__xludf.DUMMYFUNCTION("""COMPUTED_VALUE"""),0.04426)</f>
        <v>0.04426</v>
      </c>
      <c r="O322" s="24">
        <f t="shared" si="4"/>
        <v>0</v>
      </c>
      <c r="P322" s="24"/>
      <c r="Q322" s="24">
        <f t="shared" si="6"/>
        <v>0</v>
      </c>
      <c r="R322" s="24">
        <f t="shared" si="7"/>
        <v>0</v>
      </c>
      <c r="S322" s="24"/>
      <c r="T322" s="24">
        <f t="shared" si="9"/>
        <v>0</v>
      </c>
    </row>
    <row r="323">
      <c r="A323" s="12" t="s">
        <v>412</v>
      </c>
      <c r="F323" s="19">
        <f>IFERROR(__xludf.DUMMYFUNCTION("SPLIT(A319, "" |"")"),317.0)</f>
        <v>317</v>
      </c>
      <c r="G323" s="19">
        <f>IFERROR(__xludf.DUMMYFUNCTION("""COMPUTED_VALUE"""),0.00242)</f>
        <v>0.00242</v>
      </c>
      <c r="H323" s="19" t="str">
        <f>IFERROR(__xludf.DUMMYFUNCTION("""COMPUTED_VALUE"""),"-")</f>
        <v>-</v>
      </c>
      <c r="I323" s="19">
        <f>IFERROR(__xludf.DUMMYFUNCTION("""COMPUTED_VALUE"""),0.0022)</f>
        <v>0.0022</v>
      </c>
      <c r="J323" s="19">
        <f>IFERROR(__xludf.DUMMYFUNCTION("""COMPUTED_VALUE"""),0.04751)</f>
        <v>0.04751</v>
      </c>
      <c r="K323" s="19" t="str">
        <f>IFERROR(__xludf.DUMMYFUNCTION("""COMPUTED_VALUE"""),"-")</f>
        <v>-</v>
      </c>
      <c r="L323" s="19">
        <f>IFERROR(__xludf.DUMMYFUNCTION("""COMPUTED_VALUE"""),0.04765)</f>
        <v>0.04765</v>
      </c>
      <c r="O323" s="24">
        <f t="shared" si="4"/>
        <v>0</v>
      </c>
      <c r="P323" s="24"/>
      <c r="Q323" s="24">
        <f t="shared" si="6"/>
        <v>0</v>
      </c>
      <c r="R323" s="24">
        <f t="shared" si="7"/>
        <v>0</v>
      </c>
      <c r="S323" s="24"/>
      <c r="T323" s="24">
        <f t="shared" si="9"/>
        <v>0</v>
      </c>
    </row>
    <row r="324">
      <c r="A324" s="12" t="s">
        <v>413</v>
      </c>
      <c r="F324" s="19">
        <f>IFERROR(__xludf.DUMMYFUNCTION("SPLIT(A320, "" |"")"),318.0)</f>
        <v>318</v>
      </c>
      <c r="G324" s="19">
        <f>IFERROR(__xludf.DUMMYFUNCTION("""COMPUTED_VALUE"""),0.00237)</f>
        <v>0.00237</v>
      </c>
      <c r="H324" s="19" t="str">
        <f>IFERROR(__xludf.DUMMYFUNCTION("""COMPUTED_VALUE"""),"-")</f>
        <v>-</v>
      </c>
      <c r="I324" s="19">
        <f>IFERROR(__xludf.DUMMYFUNCTION("""COMPUTED_VALUE"""),0.00214)</f>
        <v>0.00214</v>
      </c>
      <c r="J324" s="19">
        <f>IFERROR(__xludf.DUMMYFUNCTION("""COMPUTED_VALUE"""),0.04752)</f>
        <v>0.04752</v>
      </c>
      <c r="K324" s="19" t="str">
        <f>IFERROR(__xludf.DUMMYFUNCTION("""COMPUTED_VALUE"""),"-")</f>
        <v>-</v>
      </c>
      <c r="L324" s="19">
        <f>IFERROR(__xludf.DUMMYFUNCTION("""COMPUTED_VALUE"""),0.04763)</f>
        <v>0.04763</v>
      </c>
      <c r="O324" s="24">
        <f t="shared" si="4"/>
        <v>0</v>
      </c>
      <c r="P324" s="24"/>
      <c r="Q324" s="24">
        <f t="shared" si="6"/>
        <v>0</v>
      </c>
      <c r="R324" s="24">
        <f t="shared" si="7"/>
        <v>0</v>
      </c>
      <c r="S324" s="24"/>
      <c r="T324" s="24">
        <f t="shared" si="9"/>
        <v>0</v>
      </c>
    </row>
    <row r="325">
      <c r="A325" s="12" t="s">
        <v>414</v>
      </c>
      <c r="F325" s="19">
        <f>IFERROR(__xludf.DUMMYFUNCTION("SPLIT(A321, "" |"")"),319.0)</f>
        <v>319</v>
      </c>
      <c r="G325" s="19">
        <f>IFERROR(__xludf.DUMMYFUNCTION("""COMPUTED_VALUE"""),0.00251)</f>
        <v>0.00251</v>
      </c>
      <c r="H325" s="19" t="str">
        <f>IFERROR(__xludf.DUMMYFUNCTION("""COMPUTED_VALUE"""),"-")</f>
        <v>-</v>
      </c>
      <c r="I325" s="19">
        <f>IFERROR(__xludf.DUMMYFUNCTION("""COMPUTED_VALUE"""),0.00217)</f>
        <v>0.00217</v>
      </c>
      <c r="J325" s="19">
        <f>IFERROR(__xludf.DUMMYFUNCTION("""COMPUTED_VALUE"""),0.04751)</f>
        <v>0.04751</v>
      </c>
      <c r="K325" s="19" t="str">
        <f>IFERROR(__xludf.DUMMYFUNCTION("""COMPUTED_VALUE"""),"-")</f>
        <v>-</v>
      </c>
      <c r="L325" s="19">
        <f>IFERROR(__xludf.DUMMYFUNCTION("""COMPUTED_VALUE"""),0.04769)</f>
        <v>0.04769</v>
      </c>
      <c r="O325" s="24">
        <f t="shared" si="4"/>
        <v>0</v>
      </c>
      <c r="P325" s="24"/>
      <c r="Q325" s="24">
        <f t="shared" si="6"/>
        <v>0</v>
      </c>
      <c r="R325" s="24">
        <f t="shared" si="7"/>
        <v>0</v>
      </c>
      <c r="S325" s="24"/>
      <c r="T325" s="24">
        <f t="shared" si="9"/>
        <v>0</v>
      </c>
    </row>
    <row r="326">
      <c r="A326" s="12" t="s">
        <v>415</v>
      </c>
      <c r="F326" s="19">
        <f>IFERROR(__xludf.DUMMYFUNCTION("SPLIT(A322, "" |"")"),320.0)</f>
        <v>320</v>
      </c>
      <c r="G326" s="19">
        <f>IFERROR(__xludf.DUMMYFUNCTION("""COMPUTED_VALUE"""),0.00232)</f>
        <v>0.00232</v>
      </c>
      <c r="H326" s="19" t="str">
        <f>IFERROR(__xludf.DUMMYFUNCTION("""COMPUTED_VALUE"""),"-")</f>
        <v>-</v>
      </c>
      <c r="I326" s="19">
        <f>IFERROR(__xludf.DUMMYFUNCTION("""COMPUTED_VALUE"""),0.00219)</f>
        <v>0.00219</v>
      </c>
      <c r="J326" s="19">
        <f>IFERROR(__xludf.DUMMYFUNCTION("""COMPUTED_VALUE"""),0.0475)</f>
        <v>0.0475</v>
      </c>
      <c r="K326" s="19" t="str">
        <f>IFERROR(__xludf.DUMMYFUNCTION("""COMPUTED_VALUE"""),"-")</f>
        <v>-</v>
      </c>
      <c r="L326" s="19">
        <f>IFERROR(__xludf.DUMMYFUNCTION("""COMPUTED_VALUE"""),0.04763)</f>
        <v>0.04763</v>
      </c>
      <c r="O326" s="24">
        <f t="shared" si="4"/>
        <v>0</v>
      </c>
      <c r="P326" s="24"/>
      <c r="Q326" s="24">
        <f t="shared" si="6"/>
        <v>0</v>
      </c>
      <c r="R326" s="24">
        <f t="shared" si="7"/>
        <v>0</v>
      </c>
      <c r="S326" s="24"/>
      <c r="T326" s="24">
        <f t="shared" si="9"/>
        <v>0</v>
      </c>
    </row>
    <row r="327">
      <c r="A327" s="12" t="s">
        <v>416</v>
      </c>
      <c r="F327" s="19">
        <f>IFERROR(__xludf.DUMMYFUNCTION("SPLIT(A323, "" |"")"),321.0)</f>
        <v>321</v>
      </c>
      <c r="G327" s="19">
        <f>IFERROR(__xludf.DUMMYFUNCTION("""COMPUTED_VALUE"""),0.0024)</f>
        <v>0.0024</v>
      </c>
      <c r="H327" s="19" t="str">
        <f>IFERROR(__xludf.DUMMYFUNCTION("""COMPUTED_VALUE"""),"-")</f>
        <v>-</v>
      </c>
      <c r="I327" s="19">
        <f>IFERROR(__xludf.DUMMYFUNCTION("""COMPUTED_VALUE"""),0.0022)</f>
        <v>0.0022</v>
      </c>
      <c r="J327" s="19">
        <f>IFERROR(__xludf.DUMMYFUNCTION("""COMPUTED_VALUE"""),0.04681)</f>
        <v>0.04681</v>
      </c>
      <c r="K327" s="19" t="str">
        <f>IFERROR(__xludf.DUMMYFUNCTION("""COMPUTED_VALUE"""),"-")</f>
        <v>-</v>
      </c>
      <c r="L327" s="19">
        <f>IFERROR(__xludf.DUMMYFUNCTION("""COMPUTED_VALUE"""),0.04755)</f>
        <v>0.04755</v>
      </c>
      <c r="O327" s="24">
        <f t="shared" si="4"/>
        <v>0</v>
      </c>
      <c r="P327" s="24"/>
      <c r="Q327" s="24">
        <f t="shared" si="6"/>
        <v>0</v>
      </c>
      <c r="R327" s="24">
        <f t="shared" si="7"/>
        <v>0</v>
      </c>
      <c r="S327" s="24"/>
      <c r="T327" s="24">
        <f t="shared" si="9"/>
        <v>0</v>
      </c>
    </row>
    <row r="328">
      <c r="A328" s="12" t="s">
        <v>417</v>
      </c>
      <c r="F328" s="19">
        <f>IFERROR(__xludf.DUMMYFUNCTION("SPLIT(A324, "" |"")"),322.0)</f>
        <v>322</v>
      </c>
      <c r="G328" s="19">
        <f>IFERROR(__xludf.DUMMYFUNCTION("""COMPUTED_VALUE"""),0.00236)</f>
        <v>0.00236</v>
      </c>
      <c r="H328" s="19" t="str">
        <f>IFERROR(__xludf.DUMMYFUNCTION("""COMPUTED_VALUE"""),"-")</f>
        <v>-</v>
      </c>
      <c r="I328" s="19">
        <f>IFERROR(__xludf.DUMMYFUNCTION("""COMPUTED_VALUE"""),0.00225)</f>
        <v>0.00225</v>
      </c>
      <c r="J328" s="19">
        <f>IFERROR(__xludf.DUMMYFUNCTION("""COMPUTED_VALUE"""),0.04238)</f>
        <v>0.04238</v>
      </c>
      <c r="K328" s="19" t="str">
        <f>IFERROR(__xludf.DUMMYFUNCTION("""COMPUTED_VALUE"""),"-")</f>
        <v>-</v>
      </c>
      <c r="L328" s="19">
        <f>IFERROR(__xludf.DUMMYFUNCTION("""COMPUTED_VALUE"""),0.04707)</f>
        <v>0.04707</v>
      </c>
      <c r="O328" s="24">
        <f t="shared" si="4"/>
        <v>0</v>
      </c>
      <c r="P328" s="24"/>
      <c r="Q328" s="24">
        <f t="shared" si="6"/>
        <v>0</v>
      </c>
      <c r="R328" s="24">
        <f t="shared" si="7"/>
        <v>1</v>
      </c>
      <c r="S328" s="24"/>
      <c r="T328" s="24">
        <f t="shared" si="9"/>
        <v>0</v>
      </c>
    </row>
    <row r="329">
      <c r="A329" s="12" t="s">
        <v>418</v>
      </c>
      <c r="F329" s="19">
        <f>IFERROR(__xludf.DUMMYFUNCTION("SPLIT(A325, "" |"")"),323.0)</f>
        <v>323</v>
      </c>
      <c r="G329" s="19">
        <f>IFERROR(__xludf.DUMMYFUNCTION("""COMPUTED_VALUE"""),0.00237)</f>
        <v>0.00237</v>
      </c>
      <c r="H329" s="19" t="str">
        <f>IFERROR(__xludf.DUMMYFUNCTION("""COMPUTED_VALUE"""),"-")</f>
        <v>-</v>
      </c>
      <c r="I329" s="19">
        <f>IFERROR(__xludf.DUMMYFUNCTION("""COMPUTED_VALUE"""),0.00238)</f>
        <v>0.00238</v>
      </c>
      <c r="J329" s="19">
        <f>IFERROR(__xludf.DUMMYFUNCTION("""COMPUTED_VALUE"""),0.04111)</f>
        <v>0.04111</v>
      </c>
      <c r="K329" s="19" t="str">
        <f>IFERROR(__xludf.DUMMYFUNCTION("""COMPUTED_VALUE"""),"-")</f>
        <v>-</v>
      </c>
      <c r="L329" s="19">
        <f>IFERROR(__xludf.DUMMYFUNCTION("""COMPUTED_VALUE"""),0.04773)</f>
        <v>0.04773</v>
      </c>
      <c r="O329" s="24">
        <f t="shared" si="4"/>
        <v>0</v>
      </c>
      <c r="P329" s="24"/>
      <c r="Q329" s="24">
        <f t="shared" si="6"/>
        <v>0</v>
      </c>
      <c r="R329" s="24">
        <f t="shared" si="7"/>
        <v>1</v>
      </c>
      <c r="S329" s="24"/>
      <c r="T329" s="24">
        <f t="shared" si="9"/>
        <v>0</v>
      </c>
    </row>
    <row r="330">
      <c r="A330" s="12" t="s">
        <v>419</v>
      </c>
      <c r="F330" s="19">
        <f>IFERROR(__xludf.DUMMYFUNCTION("SPLIT(A326, "" |"")"),324.0)</f>
        <v>324</v>
      </c>
      <c r="G330" s="19">
        <f>IFERROR(__xludf.DUMMYFUNCTION("""COMPUTED_VALUE"""),0.00243)</f>
        <v>0.00243</v>
      </c>
      <c r="H330" s="19" t="str">
        <f>IFERROR(__xludf.DUMMYFUNCTION("""COMPUTED_VALUE"""),"-")</f>
        <v>-</v>
      </c>
      <c r="I330" s="19">
        <f>IFERROR(__xludf.DUMMYFUNCTION("""COMPUTED_VALUE"""),0.00229)</f>
        <v>0.00229</v>
      </c>
      <c r="J330" s="19">
        <f>IFERROR(__xludf.DUMMYFUNCTION("""COMPUTED_VALUE"""),0.04753)</f>
        <v>0.04753</v>
      </c>
      <c r="K330" s="19" t="str">
        <f>IFERROR(__xludf.DUMMYFUNCTION("""COMPUTED_VALUE"""),"-")</f>
        <v>-</v>
      </c>
      <c r="L330" s="19">
        <f>IFERROR(__xludf.DUMMYFUNCTION("""COMPUTED_VALUE"""),0.04765)</f>
        <v>0.04765</v>
      </c>
      <c r="O330" s="24">
        <f t="shared" si="4"/>
        <v>0</v>
      </c>
      <c r="P330" s="24"/>
      <c r="Q330" s="24">
        <f t="shared" si="6"/>
        <v>0</v>
      </c>
      <c r="R330" s="24">
        <f t="shared" si="7"/>
        <v>0</v>
      </c>
      <c r="S330" s="24"/>
      <c r="T330" s="24">
        <f t="shared" si="9"/>
        <v>0</v>
      </c>
    </row>
    <row r="331">
      <c r="A331" s="12" t="s">
        <v>420</v>
      </c>
      <c r="F331" s="19">
        <f>IFERROR(__xludf.DUMMYFUNCTION("SPLIT(A327, "" |"")"),325.0)</f>
        <v>325</v>
      </c>
      <c r="G331" s="19">
        <f>IFERROR(__xludf.DUMMYFUNCTION("""COMPUTED_VALUE"""),0.0024)</f>
        <v>0.0024</v>
      </c>
      <c r="H331" s="19" t="str">
        <f>IFERROR(__xludf.DUMMYFUNCTION("""COMPUTED_VALUE"""),"-")</f>
        <v>-</v>
      </c>
      <c r="I331" s="19">
        <f>IFERROR(__xludf.DUMMYFUNCTION("""COMPUTED_VALUE"""),0.00215)</f>
        <v>0.00215</v>
      </c>
      <c r="J331" s="19">
        <f>IFERROR(__xludf.DUMMYFUNCTION("""COMPUTED_VALUE"""),0.04153)</f>
        <v>0.04153</v>
      </c>
      <c r="K331" s="19" t="str">
        <f>IFERROR(__xludf.DUMMYFUNCTION("""COMPUTED_VALUE"""),"-")</f>
        <v>-</v>
      </c>
      <c r="L331" s="19">
        <f>IFERROR(__xludf.DUMMYFUNCTION("""COMPUTED_VALUE"""),0.04385)</f>
        <v>0.04385</v>
      </c>
      <c r="O331" s="24">
        <f t="shared" si="4"/>
        <v>0</v>
      </c>
      <c r="P331" s="24"/>
      <c r="Q331" s="24">
        <f t="shared" si="6"/>
        <v>0</v>
      </c>
      <c r="R331" s="24">
        <f t="shared" si="7"/>
        <v>1</v>
      </c>
      <c r="S331" s="24"/>
      <c r="T331" s="24">
        <f t="shared" si="9"/>
        <v>0</v>
      </c>
    </row>
    <row r="332">
      <c r="A332" s="12" t="s">
        <v>421</v>
      </c>
      <c r="F332" s="19">
        <f>IFERROR(__xludf.DUMMYFUNCTION("SPLIT(A328, "" |"")"),326.0)</f>
        <v>326</v>
      </c>
      <c r="G332" s="19">
        <f>IFERROR(__xludf.DUMMYFUNCTION("""COMPUTED_VALUE"""),0.00237)</f>
        <v>0.00237</v>
      </c>
      <c r="H332" s="19" t="str">
        <f>IFERROR(__xludf.DUMMYFUNCTION("""COMPUTED_VALUE"""),"-")</f>
        <v>-</v>
      </c>
      <c r="I332" s="19">
        <f>IFERROR(__xludf.DUMMYFUNCTION("""COMPUTED_VALUE"""),0.00221)</f>
        <v>0.00221</v>
      </c>
      <c r="J332" s="19">
        <f>IFERROR(__xludf.DUMMYFUNCTION("""COMPUTED_VALUE"""),0.04755)</f>
        <v>0.04755</v>
      </c>
      <c r="K332" s="19" t="str">
        <f>IFERROR(__xludf.DUMMYFUNCTION("""COMPUTED_VALUE"""),"-")</f>
        <v>-</v>
      </c>
      <c r="L332" s="19">
        <f>IFERROR(__xludf.DUMMYFUNCTION("""COMPUTED_VALUE"""),0.04767)</f>
        <v>0.04767</v>
      </c>
      <c r="O332" s="24">
        <f t="shared" si="4"/>
        <v>0</v>
      </c>
      <c r="P332" s="24"/>
      <c r="Q332" s="24">
        <f t="shared" si="6"/>
        <v>0</v>
      </c>
      <c r="R332" s="24">
        <f t="shared" si="7"/>
        <v>0</v>
      </c>
      <c r="S332" s="24"/>
      <c r="T332" s="24">
        <f t="shared" si="9"/>
        <v>0</v>
      </c>
    </row>
    <row r="333">
      <c r="A333" s="12" t="s">
        <v>422</v>
      </c>
      <c r="F333" s="19">
        <f>IFERROR(__xludf.DUMMYFUNCTION("SPLIT(A329, "" |"")"),327.0)</f>
        <v>327</v>
      </c>
      <c r="G333" s="19">
        <f>IFERROR(__xludf.DUMMYFUNCTION("""COMPUTED_VALUE"""),0.00241)</f>
        <v>0.00241</v>
      </c>
      <c r="H333" s="19" t="str">
        <f>IFERROR(__xludf.DUMMYFUNCTION("""COMPUTED_VALUE"""),"-")</f>
        <v>-</v>
      </c>
      <c r="I333" s="19">
        <f>IFERROR(__xludf.DUMMYFUNCTION("""COMPUTED_VALUE"""),0.00224)</f>
        <v>0.00224</v>
      </c>
      <c r="J333" s="19">
        <f>IFERROR(__xludf.DUMMYFUNCTION("""COMPUTED_VALUE"""),0.04745)</f>
        <v>0.04745</v>
      </c>
      <c r="K333" s="19" t="str">
        <f>IFERROR(__xludf.DUMMYFUNCTION("""COMPUTED_VALUE"""),"-")</f>
        <v>-</v>
      </c>
      <c r="L333" s="19">
        <f>IFERROR(__xludf.DUMMYFUNCTION("""COMPUTED_VALUE"""),0.04774)</f>
        <v>0.04774</v>
      </c>
      <c r="O333" s="24">
        <f t="shared" si="4"/>
        <v>0</v>
      </c>
      <c r="P333" s="24"/>
      <c r="Q333" s="24">
        <f t="shared" si="6"/>
        <v>0</v>
      </c>
      <c r="R333" s="24">
        <f t="shared" si="7"/>
        <v>0</v>
      </c>
      <c r="S333" s="24"/>
      <c r="T333" s="24">
        <f t="shared" si="9"/>
        <v>0</v>
      </c>
    </row>
    <row r="334">
      <c r="A334" s="12" t="s">
        <v>423</v>
      </c>
      <c r="F334" s="19">
        <f>IFERROR(__xludf.DUMMYFUNCTION("SPLIT(A330, "" |"")"),328.0)</f>
        <v>328</v>
      </c>
      <c r="G334" s="19">
        <f>IFERROR(__xludf.DUMMYFUNCTION("""COMPUTED_VALUE"""),0.00243)</f>
        <v>0.00243</v>
      </c>
      <c r="H334" s="19" t="str">
        <f>IFERROR(__xludf.DUMMYFUNCTION("""COMPUTED_VALUE"""),"-")</f>
        <v>-</v>
      </c>
      <c r="I334" s="19">
        <f>IFERROR(__xludf.DUMMYFUNCTION("""COMPUTED_VALUE"""),0.00226)</f>
        <v>0.00226</v>
      </c>
      <c r="J334" s="19">
        <f>IFERROR(__xludf.DUMMYFUNCTION("""COMPUTED_VALUE"""),0.04752)</f>
        <v>0.04752</v>
      </c>
      <c r="K334" s="19" t="str">
        <f>IFERROR(__xludf.DUMMYFUNCTION("""COMPUTED_VALUE"""),"-")</f>
        <v>-</v>
      </c>
      <c r="L334" s="19">
        <f>IFERROR(__xludf.DUMMYFUNCTION("""COMPUTED_VALUE"""),0.04758)</f>
        <v>0.04758</v>
      </c>
      <c r="O334" s="24">
        <f t="shared" si="4"/>
        <v>0</v>
      </c>
      <c r="P334" s="24"/>
      <c r="Q334" s="24">
        <f t="shared" si="6"/>
        <v>0</v>
      </c>
      <c r="R334" s="24">
        <f t="shared" si="7"/>
        <v>0</v>
      </c>
      <c r="S334" s="24"/>
      <c r="T334" s="24">
        <f t="shared" si="9"/>
        <v>0</v>
      </c>
    </row>
    <row r="335">
      <c r="A335" s="12" t="s">
        <v>424</v>
      </c>
      <c r="F335" s="19">
        <f>IFERROR(__xludf.DUMMYFUNCTION("SPLIT(A331, "" |"")"),329.0)</f>
        <v>329</v>
      </c>
      <c r="G335" s="19">
        <f>IFERROR(__xludf.DUMMYFUNCTION("""COMPUTED_VALUE"""),0.00236)</f>
        <v>0.00236</v>
      </c>
      <c r="H335" s="19" t="str">
        <f>IFERROR(__xludf.DUMMYFUNCTION("""COMPUTED_VALUE"""),"-")</f>
        <v>-</v>
      </c>
      <c r="I335" s="19">
        <f>IFERROR(__xludf.DUMMYFUNCTION("""COMPUTED_VALUE"""),0.00217)</f>
        <v>0.00217</v>
      </c>
      <c r="J335" s="19">
        <f>IFERROR(__xludf.DUMMYFUNCTION("""COMPUTED_VALUE"""),0.04741)</f>
        <v>0.04741</v>
      </c>
      <c r="K335" s="19" t="str">
        <f>IFERROR(__xludf.DUMMYFUNCTION("""COMPUTED_VALUE"""),"-")</f>
        <v>-</v>
      </c>
      <c r="L335" s="19">
        <f>IFERROR(__xludf.DUMMYFUNCTION("""COMPUTED_VALUE"""),0.04748)</f>
        <v>0.04748</v>
      </c>
      <c r="O335" s="24">
        <f t="shared" si="4"/>
        <v>0</v>
      </c>
      <c r="P335" s="24"/>
      <c r="Q335" s="24">
        <f t="shared" si="6"/>
        <v>0</v>
      </c>
      <c r="R335" s="24">
        <f t="shared" si="7"/>
        <v>0</v>
      </c>
      <c r="S335" s="24"/>
      <c r="T335" s="24">
        <f t="shared" si="9"/>
        <v>0</v>
      </c>
    </row>
    <row r="336">
      <c r="A336" s="12" t="s">
        <v>425</v>
      </c>
      <c r="F336" s="19">
        <f>IFERROR(__xludf.DUMMYFUNCTION("SPLIT(A332, "" |"")"),330.0)</f>
        <v>330</v>
      </c>
      <c r="G336" s="19">
        <f>IFERROR(__xludf.DUMMYFUNCTION("""COMPUTED_VALUE"""),0.00233)</f>
        <v>0.00233</v>
      </c>
      <c r="H336" s="19" t="str">
        <f>IFERROR(__xludf.DUMMYFUNCTION("""COMPUTED_VALUE"""),"-")</f>
        <v>-</v>
      </c>
      <c r="I336" s="19">
        <f>IFERROR(__xludf.DUMMYFUNCTION("""COMPUTED_VALUE"""),0.00228)</f>
        <v>0.00228</v>
      </c>
      <c r="J336" s="19">
        <f>IFERROR(__xludf.DUMMYFUNCTION("""COMPUTED_VALUE"""),0.0475)</f>
        <v>0.0475</v>
      </c>
      <c r="K336" s="19" t="str">
        <f>IFERROR(__xludf.DUMMYFUNCTION("""COMPUTED_VALUE"""),"-")</f>
        <v>-</v>
      </c>
      <c r="L336" s="19">
        <f>IFERROR(__xludf.DUMMYFUNCTION("""COMPUTED_VALUE"""),0.04766)</f>
        <v>0.04766</v>
      </c>
      <c r="O336" s="24">
        <f t="shared" si="4"/>
        <v>0</v>
      </c>
      <c r="P336" s="24"/>
      <c r="Q336" s="24">
        <f t="shared" si="6"/>
        <v>0</v>
      </c>
      <c r="R336" s="24">
        <f t="shared" si="7"/>
        <v>0</v>
      </c>
      <c r="S336" s="24"/>
      <c r="T336" s="24">
        <f t="shared" si="9"/>
        <v>0</v>
      </c>
    </row>
    <row r="337">
      <c r="A337" s="12" t="s">
        <v>426</v>
      </c>
      <c r="F337" s="19">
        <f>IFERROR(__xludf.DUMMYFUNCTION("SPLIT(A333, "" |"")"),331.0)</f>
        <v>331</v>
      </c>
      <c r="G337" s="19">
        <f>IFERROR(__xludf.DUMMYFUNCTION("""COMPUTED_VALUE"""),0.00258)</f>
        <v>0.00258</v>
      </c>
      <c r="H337" s="19" t="str">
        <f>IFERROR(__xludf.DUMMYFUNCTION("""COMPUTED_VALUE"""),"-")</f>
        <v>-</v>
      </c>
      <c r="I337" s="19">
        <f>IFERROR(__xludf.DUMMYFUNCTION("""COMPUTED_VALUE"""),0.00238)</f>
        <v>0.00238</v>
      </c>
      <c r="J337" s="19">
        <f>IFERROR(__xludf.DUMMYFUNCTION("""COMPUTED_VALUE"""),0.04602)</f>
        <v>0.04602</v>
      </c>
      <c r="K337" s="19" t="str">
        <f>IFERROR(__xludf.DUMMYFUNCTION("""COMPUTED_VALUE"""),"-")</f>
        <v>-</v>
      </c>
      <c r="L337" s="19">
        <f>IFERROR(__xludf.DUMMYFUNCTION("""COMPUTED_VALUE"""),0.04576)</f>
        <v>0.04576</v>
      </c>
      <c r="O337" s="24">
        <f t="shared" si="4"/>
        <v>0</v>
      </c>
      <c r="P337" s="24"/>
      <c r="Q337" s="24">
        <f t="shared" si="6"/>
        <v>0</v>
      </c>
      <c r="R337" s="24">
        <f t="shared" si="7"/>
        <v>0</v>
      </c>
      <c r="S337" s="24"/>
      <c r="T337" s="24">
        <f t="shared" si="9"/>
        <v>0</v>
      </c>
    </row>
    <row r="338">
      <c r="A338" s="12" t="s">
        <v>427</v>
      </c>
      <c r="F338" s="19">
        <f>IFERROR(__xludf.DUMMYFUNCTION("SPLIT(A334, "" |"")"),332.0)</f>
        <v>332</v>
      </c>
      <c r="G338" s="19">
        <f>IFERROR(__xludf.DUMMYFUNCTION("""COMPUTED_VALUE"""),0.00239)</f>
        <v>0.00239</v>
      </c>
      <c r="H338" s="19" t="str">
        <f>IFERROR(__xludf.DUMMYFUNCTION("""COMPUTED_VALUE"""),"-")</f>
        <v>-</v>
      </c>
      <c r="I338" s="19">
        <f>IFERROR(__xludf.DUMMYFUNCTION("""COMPUTED_VALUE"""),0.00217)</f>
        <v>0.00217</v>
      </c>
      <c r="J338" s="19">
        <f>IFERROR(__xludf.DUMMYFUNCTION("""COMPUTED_VALUE"""),0.04737)</f>
        <v>0.04737</v>
      </c>
      <c r="K338" s="19" t="str">
        <f>IFERROR(__xludf.DUMMYFUNCTION("""COMPUTED_VALUE"""),"-")</f>
        <v>-</v>
      </c>
      <c r="L338" s="19">
        <f>IFERROR(__xludf.DUMMYFUNCTION("""COMPUTED_VALUE"""),0.04759)</f>
        <v>0.04759</v>
      </c>
      <c r="O338" s="24">
        <f t="shared" si="4"/>
        <v>0</v>
      </c>
      <c r="P338" s="24"/>
      <c r="Q338" s="24">
        <f t="shared" si="6"/>
        <v>0</v>
      </c>
      <c r="R338" s="24">
        <f t="shared" si="7"/>
        <v>0</v>
      </c>
      <c r="S338" s="24"/>
      <c r="T338" s="24">
        <f t="shared" si="9"/>
        <v>0</v>
      </c>
    </row>
    <row r="339">
      <c r="A339" s="12" t="s">
        <v>428</v>
      </c>
      <c r="F339" s="19">
        <f>IFERROR(__xludf.DUMMYFUNCTION("SPLIT(A335, "" |"")"),333.0)</f>
        <v>333</v>
      </c>
      <c r="G339" s="19">
        <f>IFERROR(__xludf.DUMMYFUNCTION("""COMPUTED_VALUE"""),0.0025)</f>
        <v>0.0025</v>
      </c>
      <c r="H339" s="19" t="str">
        <f>IFERROR(__xludf.DUMMYFUNCTION("""COMPUTED_VALUE"""),"-")</f>
        <v>-</v>
      </c>
      <c r="I339" s="19">
        <f>IFERROR(__xludf.DUMMYFUNCTION("""COMPUTED_VALUE"""),0.00215)</f>
        <v>0.00215</v>
      </c>
      <c r="J339" s="19">
        <f>IFERROR(__xludf.DUMMYFUNCTION("""COMPUTED_VALUE"""),0.04744)</f>
        <v>0.04744</v>
      </c>
      <c r="K339" s="19" t="str">
        <f>IFERROR(__xludf.DUMMYFUNCTION("""COMPUTED_VALUE"""),"-")</f>
        <v>-</v>
      </c>
      <c r="L339" s="19">
        <f>IFERROR(__xludf.DUMMYFUNCTION("""COMPUTED_VALUE"""),0.04761)</f>
        <v>0.04761</v>
      </c>
      <c r="O339" s="24">
        <f t="shared" si="4"/>
        <v>0</v>
      </c>
      <c r="P339" s="24"/>
      <c r="Q339" s="24">
        <f t="shared" si="6"/>
        <v>0</v>
      </c>
      <c r="R339" s="24">
        <f t="shared" si="7"/>
        <v>0</v>
      </c>
      <c r="S339" s="24"/>
      <c r="T339" s="24">
        <f t="shared" si="9"/>
        <v>0</v>
      </c>
    </row>
    <row r="340">
      <c r="A340" s="12" t="s">
        <v>429</v>
      </c>
      <c r="F340" s="19">
        <f>IFERROR(__xludf.DUMMYFUNCTION("SPLIT(A336, "" |"")"),334.0)</f>
        <v>334</v>
      </c>
      <c r="G340" s="19">
        <f>IFERROR(__xludf.DUMMYFUNCTION("""COMPUTED_VALUE"""),0.00237)</f>
        <v>0.00237</v>
      </c>
      <c r="H340" s="19" t="str">
        <f>IFERROR(__xludf.DUMMYFUNCTION("""COMPUTED_VALUE"""),"-")</f>
        <v>-</v>
      </c>
      <c r="I340" s="19">
        <f>IFERROR(__xludf.DUMMYFUNCTION("""COMPUTED_VALUE"""),0.00219)</f>
        <v>0.00219</v>
      </c>
      <c r="J340" s="19">
        <f>IFERROR(__xludf.DUMMYFUNCTION("""COMPUTED_VALUE"""),0.04744)</f>
        <v>0.04744</v>
      </c>
      <c r="K340" s="19" t="str">
        <f>IFERROR(__xludf.DUMMYFUNCTION("""COMPUTED_VALUE"""),"-")</f>
        <v>-</v>
      </c>
      <c r="L340" s="19">
        <f>IFERROR(__xludf.DUMMYFUNCTION("""COMPUTED_VALUE"""),0.04769)</f>
        <v>0.04769</v>
      </c>
      <c r="O340" s="24">
        <f t="shared" si="4"/>
        <v>0</v>
      </c>
      <c r="P340" s="24"/>
      <c r="Q340" s="24">
        <f t="shared" si="6"/>
        <v>0</v>
      </c>
      <c r="R340" s="24">
        <f t="shared" si="7"/>
        <v>0</v>
      </c>
      <c r="S340" s="24"/>
      <c r="T340" s="24">
        <f t="shared" si="9"/>
        <v>0</v>
      </c>
    </row>
    <row r="341">
      <c r="A341" s="12" t="s">
        <v>430</v>
      </c>
      <c r="F341" s="19">
        <f>IFERROR(__xludf.DUMMYFUNCTION("SPLIT(A337, "" |"")"),335.0)</f>
        <v>335</v>
      </c>
      <c r="G341" s="19">
        <f>IFERROR(__xludf.DUMMYFUNCTION("""COMPUTED_VALUE"""),0.00236)</f>
        <v>0.00236</v>
      </c>
      <c r="H341" s="19" t="str">
        <f>IFERROR(__xludf.DUMMYFUNCTION("""COMPUTED_VALUE"""),"-")</f>
        <v>-</v>
      </c>
      <c r="I341" s="19">
        <f>IFERROR(__xludf.DUMMYFUNCTION("""COMPUTED_VALUE"""),0.00225)</f>
        <v>0.00225</v>
      </c>
      <c r="J341" s="19">
        <f>IFERROR(__xludf.DUMMYFUNCTION("""COMPUTED_VALUE"""),0.0474)</f>
        <v>0.0474</v>
      </c>
      <c r="K341" s="19" t="str">
        <f>IFERROR(__xludf.DUMMYFUNCTION("""COMPUTED_VALUE"""),"-")</f>
        <v>-</v>
      </c>
      <c r="L341" s="19">
        <f>IFERROR(__xludf.DUMMYFUNCTION("""COMPUTED_VALUE"""),0.04364)</f>
        <v>0.04364</v>
      </c>
      <c r="O341" s="24">
        <f t="shared" si="4"/>
        <v>0</v>
      </c>
      <c r="P341" s="24"/>
      <c r="Q341" s="24">
        <f t="shared" si="6"/>
        <v>0</v>
      </c>
      <c r="R341" s="24">
        <f t="shared" si="7"/>
        <v>0</v>
      </c>
      <c r="S341" s="24"/>
      <c r="T341" s="24">
        <f t="shared" si="9"/>
        <v>0</v>
      </c>
    </row>
    <row r="342">
      <c r="A342" s="12" t="s">
        <v>431</v>
      </c>
      <c r="F342" s="19">
        <f>IFERROR(__xludf.DUMMYFUNCTION("SPLIT(A338, "" |"")"),336.0)</f>
        <v>336</v>
      </c>
      <c r="G342" s="19">
        <f>IFERROR(__xludf.DUMMYFUNCTION("""COMPUTED_VALUE"""),0.00236)</f>
        <v>0.00236</v>
      </c>
      <c r="H342" s="19" t="str">
        <f>IFERROR(__xludf.DUMMYFUNCTION("""COMPUTED_VALUE"""),"-")</f>
        <v>-</v>
      </c>
      <c r="I342" s="19">
        <f>IFERROR(__xludf.DUMMYFUNCTION("""COMPUTED_VALUE"""),0.00223)</f>
        <v>0.00223</v>
      </c>
      <c r="J342" s="19">
        <f>IFERROR(__xludf.DUMMYFUNCTION("""COMPUTED_VALUE"""),0.04038)</f>
        <v>0.04038</v>
      </c>
      <c r="K342" s="19" t="str">
        <f>IFERROR(__xludf.DUMMYFUNCTION("""COMPUTED_VALUE"""),"-")</f>
        <v>-</v>
      </c>
      <c r="L342" s="19">
        <f>IFERROR(__xludf.DUMMYFUNCTION("""COMPUTED_VALUE"""),0.04758)</f>
        <v>0.04758</v>
      </c>
      <c r="O342" s="24">
        <f t="shared" si="4"/>
        <v>0</v>
      </c>
      <c r="P342" s="24"/>
      <c r="Q342" s="24">
        <f t="shared" si="6"/>
        <v>0</v>
      </c>
      <c r="R342" s="24">
        <f t="shared" si="7"/>
        <v>1</v>
      </c>
      <c r="S342" s="24"/>
      <c r="T342" s="24">
        <f t="shared" si="9"/>
        <v>0</v>
      </c>
    </row>
    <row r="343">
      <c r="A343" s="12" t="s">
        <v>432</v>
      </c>
      <c r="F343" s="19">
        <f>IFERROR(__xludf.DUMMYFUNCTION("SPLIT(A339, "" |"")"),337.0)</f>
        <v>337</v>
      </c>
      <c r="G343" s="19">
        <f>IFERROR(__xludf.DUMMYFUNCTION("""COMPUTED_VALUE"""),0.00229)</f>
        <v>0.00229</v>
      </c>
      <c r="H343" s="19" t="str">
        <f>IFERROR(__xludf.DUMMYFUNCTION("""COMPUTED_VALUE"""),"-")</f>
        <v>-</v>
      </c>
      <c r="I343" s="19">
        <f>IFERROR(__xludf.DUMMYFUNCTION("""COMPUTED_VALUE"""),0.00219)</f>
        <v>0.00219</v>
      </c>
      <c r="J343" s="19">
        <f>IFERROR(__xludf.DUMMYFUNCTION("""COMPUTED_VALUE"""),0.04735)</f>
        <v>0.04735</v>
      </c>
      <c r="K343" s="19" t="str">
        <f>IFERROR(__xludf.DUMMYFUNCTION("""COMPUTED_VALUE"""),"-")</f>
        <v>-</v>
      </c>
      <c r="L343" s="19">
        <f>IFERROR(__xludf.DUMMYFUNCTION("""COMPUTED_VALUE"""),0.04752)</f>
        <v>0.04752</v>
      </c>
      <c r="O343" s="24">
        <f t="shared" si="4"/>
        <v>0</v>
      </c>
      <c r="P343" s="24"/>
      <c r="Q343" s="24">
        <f t="shared" si="6"/>
        <v>0</v>
      </c>
      <c r="R343" s="24">
        <f t="shared" si="7"/>
        <v>0</v>
      </c>
      <c r="S343" s="24"/>
      <c r="T343" s="24">
        <f t="shared" si="9"/>
        <v>0</v>
      </c>
    </row>
    <row r="344">
      <c r="A344" s="12" t="s">
        <v>433</v>
      </c>
      <c r="F344" s="19">
        <f>IFERROR(__xludf.DUMMYFUNCTION("SPLIT(A340, "" |"")"),338.0)</f>
        <v>338</v>
      </c>
      <c r="G344" s="19">
        <f>IFERROR(__xludf.DUMMYFUNCTION("""COMPUTED_VALUE"""),0.00238)</f>
        <v>0.00238</v>
      </c>
      <c r="H344" s="19" t="str">
        <f>IFERROR(__xludf.DUMMYFUNCTION("""COMPUTED_VALUE"""),"-")</f>
        <v>-</v>
      </c>
      <c r="I344" s="19">
        <f>IFERROR(__xludf.DUMMYFUNCTION("""COMPUTED_VALUE"""),0.00223)</f>
        <v>0.00223</v>
      </c>
      <c r="J344" s="19">
        <f>IFERROR(__xludf.DUMMYFUNCTION("""COMPUTED_VALUE"""),0.04734)</f>
        <v>0.04734</v>
      </c>
      <c r="K344" s="19" t="str">
        <f>IFERROR(__xludf.DUMMYFUNCTION("""COMPUTED_VALUE"""),"-")</f>
        <v>-</v>
      </c>
      <c r="L344" s="19">
        <f>IFERROR(__xludf.DUMMYFUNCTION("""COMPUTED_VALUE"""),0.04647)</f>
        <v>0.04647</v>
      </c>
      <c r="O344" s="24">
        <f t="shared" si="4"/>
        <v>0</v>
      </c>
      <c r="P344" s="24"/>
      <c r="Q344" s="24">
        <f t="shared" si="6"/>
        <v>0</v>
      </c>
      <c r="R344" s="24">
        <f t="shared" si="7"/>
        <v>0</v>
      </c>
      <c r="S344" s="24"/>
      <c r="T344" s="24">
        <f t="shared" si="9"/>
        <v>0</v>
      </c>
    </row>
    <row r="345">
      <c r="A345" s="12" t="s">
        <v>434</v>
      </c>
      <c r="F345" s="19">
        <f>IFERROR(__xludf.DUMMYFUNCTION("SPLIT(A341, "" |"")"),339.0)</f>
        <v>339</v>
      </c>
      <c r="G345" s="19">
        <f>IFERROR(__xludf.DUMMYFUNCTION("""COMPUTED_VALUE"""),0.00233)</f>
        <v>0.00233</v>
      </c>
      <c r="H345" s="19" t="str">
        <f>IFERROR(__xludf.DUMMYFUNCTION("""COMPUTED_VALUE"""),"-")</f>
        <v>-</v>
      </c>
      <c r="I345" s="19">
        <f>IFERROR(__xludf.DUMMYFUNCTION("""COMPUTED_VALUE"""),0.00221)</f>
        <v>0.00221</v>
      </c>
      <c r="J345" s="19">
        <f>IFERROR(__xludf.DUMMYFUNCTION("""COMPUTED_VALUE"""),0.04729)</f>
        <v>0.04729</v>
      </c>
      <c r="K345" s="19" t="str">
        <f>IFERROR(__xludf.DUMMYFUNCTION("""COMPUTED_VALUE"""),"-")</f>
        <v>-</v>
      </c>
      <c r="L345" s="19">
        <f>IFERROR(__xludf.DUMMYFUNCTION("""COMPUTED_VALUE"""),0.04752)</f>
        <v>0.04752</v>
      </c>
      <c r="O345" s="24">
        <f t="shared" si="4"/>
        <v>0</v>
      </c>
      <c r="P345" s="24"/>
      <c r="Q345" s="24">
        <f t="shared" si="6"/>
        <v>0</v>
      </c>
      <c r="R345" s="24">
        <f t="shared" si="7"/>
        <v>0</v>
      </c>
      <c r="S345" s="24"/>
      <c r="T345" s="24">
        <f t="shared" si="9"/>
        <v>0</v>
      </c>
    </row>
    <row r="346">
      <c r="A346" s="12" t="s">
        <v>435</v>
      </c>
      <c r="F346" s="19">
        <f>IFERROR(__xludf.DUMMYFUNCTION("SPLIT(A342, "" |"")"),340.0)</f>
        <v>340</v>
      </c>
      <c r="G346" s="19">
        <f>IFERROR(__xludf.DUMMYFUNCTION("""COMPUTED_VALUE"""),0.00237)</f>
        <v>0.00237</v>
      </c>
      <c r="H346" s="19" t="str">
        <f>IFERROR(__xludf.DUMMYFUNCTION("""COMPUTED_VALUE"""),"-")</f>
        <v>-</v>
      </c>
      <c r="I346" s="19">
        <f>IFERROR(__xludf.DUMMYFUNCTION("""COMPUTED_VALUE"""),0.00222)</f>
        <v>0.00222</v>
      </c>
      <c r="J346" s="19">
        <f>IFERROR(__xludf.DUMMYFUNCTION("""COMPUTED_VALUE"""),0.04744)</f>
        <v>0.04744</v>
      </c>
      <c r="K346" s="19" t="str">
        <f>IFERROR(__xludf.DUMMYFUNCTION("""COMPUTED_VALUE"""),"-")</f>
        <v>-</v>
      </c>
      <c r="L346" s="19">
        <f>IFERROR(__xludf.DUMMYFUNCTION("""COMPUTED_VALUE"""),0.04764)</f>
        <v>0.04764</v>
      </c>
      <c r="O346" s="24">
        <f t="shared" si="4"/>
        <v>0</v>
      </c>
      <c r="P346" s="24"/>
      <c r="Q346" s="24">
        <f t="shared" si="6"/>
        <v>0</v>
      </c>
      <c r="R346" s="24">
        <f t="shared" si="7"/>
        <v>0</v>
      </c>
      <c r="S346" s="24"/>
      <c r="T346" s="24">
        <f t="shared" si="9"/>
        <v>0</v>
      </c>
    </row>
    <row r="347">
      <c r="A347" s="12" t="s">
        <v>436</v>
      </c>
      <c r="F347" s="19">
        <f>IFERROR(__xludf.DUMMYFUNCTION("SPLIT(A343, "" |"")"),341.0)</f>
        <v>341</v>
      </c>
      <c r="G347" s="19">
        <f>IFERROR(__xludf.DUMMYFUNCTION("""COMPUTED_VALUE"""),0.00234)</f>
        <v>0.00234</v>
      </c>
      <c r="H347" s="19" t="str">
        <f>IFERROR(__xludf.DUMMYFUNCTION("""COMPUTED_VALUE"""),"-")</f>
        <v>-</v>
      </c>
      <c r="I347" s="19">
        <f>IFERROR(__xludf.DUMMYFUNCTION("""COMPUTED_VALUE"""),0.00219)</f>
        <v>0.00219</v>
      </c>
      <c r="J347" s="19">
        <f>IFERROR(__xludf.DUMMYFUNCTION("""COMPUTED_VALUE"""),0.0464)</f>
        <v>0.0464</v>
      </c>
      <c r="K347" s="19" t="str">
        <f>IFERROR(__xludf.DUMMYFUNCTION("""COMPUTED_VALUE"""),"-")</f>
        <v>-</v>
      </c>
      <c r="L347" s="19">
        <f>IFERROR(__xludf.DUMMYFUNCTION("""COMPUTED_VALUE"""),0.04487)</f>
        <v>0.04487</v>
      </c>
      <c r="O347" s="24">
        <f t="shared" si="4"/>
        <v>0</v>
      </c>
      <c r="P347" s="24"/>
      <c r="Q347" s="24">
        <f t="shared" si="6"/>
        <v>0</v>
      </c>
      <c r="R347" s="24">
        <f t="shared" si="7"/>
        <v>0</v>
      </c>
      <c r="S347" s="24"/>
      <c r="T347" s="24">
        <f t="shared" si="9"/>
        <v>0</v>
      </c>
    </row>
    <row r="348">
      <c r="A348" s="12" t="s">
        <v>437</v>
      </c>
      <c r="F348" s="19">
        <f>IFERROR(__xludf.DUMMYFUNCTION("SPLIT(A344, "" |"")"),342.0)</f>
        <v>342</v>
      </c>
      <c r="G348" s="19">
        <f>IFERROR(__xludf.DUMMYFUNCTION("""COMPUTED_VALUE"""),0.00244)</f>
        <v>0.00244</v>
      </c>
      <c r="H348" s="19" t="str">
        <f>IFERROR(__xludf.DUMMYFUNCTION("""COMPUTED_VALUE"""),"-")</f>
        <v>-</v>
      </c>
      <c r="I348" s="19">
        <f>IFERROR(__xludf.DUMMYFUNCTION("""COMPUTED_VALUE"""),0.00219)</f>
        <v>0.00219</v>
      </c>
      <c r="J348" s="19">
        <f>IFERROR(__xludf.DUMMYFUNCTION("""COMPUTED_VALUE"""),0.04741)</f>
        <v>0.04741</v>
      </c>
      <c r="K348" s="19" t="str">
        <f>IFERROR(__xludf.DUMMYFUNCTION("""COMPUTED_VALUE"""),"-")</f>
        <v>-</v>
      </c>
      <c r="L348" s="19">
        <f>IFERROR(__xludf.DUMMYFUNCTION("""COMPUTED_VALUE"""),0.04753)</f>
        <v>0.04753</v>
      </c>
      <c r="O348" s="24">
        <f t="shared" si="4"/>
        <v>0</v>
      </c>
      <c r="P348" s="24"/>
      <c r="Q348" s="24">
        <f t="shared" si="6"/>
        <v>0</v>
      </c>
      <c r="R348" s="24">
        <f t="shared" si="7"/>
        <v>0</v>
      </c>
      <c r="S348" s="24"/>
      <c r="T348" s="24">
        <f t="shared" si="9"/>
        <v>0</v>
      </c>
    </row>
    <row r="349">
      <c r="A349" s="12" t="s">
        <v>438</v>
      </c>
      <c r="F349" s="19">
        <f>IFERROR(__xludf.DUMMYFUNCTION("SPLIT(A345, "" |"")"),343.0)</f>
        <v>343</v>
      </c>
      <c r="G349" s="19">
        <f>IFERROR(__xludf.DUMMYFUNCTION("""COMPUTED_VALUE"""),0.00236)</f>
        <v>0.00236</v>
      </c>
      <c r="H349" s="19" t="str">
        <f>IFERROR(__xludf.DUMMYFUNCTION("""COMPUTED_VALUE"""),"-")</f>
        <v>-</v>
      </c>
      <c r="I349" s="19">
        <f>IFERROR(__xludf.DUMMYFUNCTION("""COMPUTED_VALUE"""),0.00217)</f>
        <v>0.00217</v>
      </c>
      <c r="J349" s="19">
        <f>IFERROR(__xludf.DUMMYFUNCTION("""COMPUTED_VALUE"""),0.04751)</f>
        <v>0.04751</v>
      </c>
      <c r="K349" s="19" t="str">
        <f>IFERROR(__xludf.DUMMYFUNCTION("""COMPUTED_VALUE"""),"-")</f>
        <v>-</v>
      </c>
      <c r="L349" s="19">
        <f>IFERROR(__xludf.DUMMYFUNCTION("""COMPUTED_VALUE"""),0.04755)</f>
        <v>0.04755</v>
      </c>
      <c r="O349" s="24">
        <f t="shared" si="4"/>
        <v>0</v>
      </c>
      <c r="P349" s="24"/>
      <c r="Q349" s="24">
        <f t="shared" si="6"/>
        <v>0</v>
      </c>
      <c r="R349" s="24">
        <f t="shared" si="7"/>
        <v>0</v>
      </c>
      <c r="S349" s="24"/>
      <c r="T349" s="24">
        <f t="shared" si="9"/>
        <v>0</v>
      </c>
    </row>
    <row r="350">
      <c r="A350" s="12" t="s">
        <v>439</v>
      </c>
      <c r="F350" s="19">
        <f>IFERROR(__xludf.DUMMYFUNCTION("SPLIT(A346, "" |"")"),344.0)</f>
        <v>344</v>
      </c>
      <c r="G350" s="19">
        <f>IFERROR(__xludf.DUMMYFUNCTION("""COMPUTED_VALUE"""),0.00242)</f>
        <v>0.00242</v>
      </c>
      <c r="H350" s="19" t="str">
        <f>IFERROR(__xludf.DUMMYFUNCTION("""COMPUTED_VALUE"""),"-")</f>
        <v>-</v>
      </c>
      <c r="I350" s="19">
        <f>IFERROR(__xludf.DUMMYFUNCTION("""COMPUTED_VALUE"""),0.00223)</f>
        <v>0.00223</v>
      </c>
      <c r="J350" s="19">
        <f>IFERROR(__xludf.DUMMYFUNCTION("""COMPUTED_VALUE"""),0.04747)</f>
        <v>0.04747</v>
      </c>
      <c r="K350" s="19" t="str">
        <f>IFERROR(__xludf.DUMMYFUNCTION("""COMPUTED_VALUE"""),"-")</f>
        <v>-</v>
      </c>
      <c r="L350" s="19">
        <f>IFERROR(__xludf.DUMMYFUNCTION("""COMPUTED_VALUE"""),0.04762)</f>
        <v>0.04762</v>
      </c>
      <c r="O350" s="24">
        <f t="shared" si="4"/>
        <v>0</v>
      </c>
      <c r="P350" s="24"/>
      <c r="Q350" s="24">
        <f t="shared" si="6"/>
        <v>0</v>
      </c>
      <c r="R350" s="24">
        <f t="shared" si="7"/>
        <v>0</v>
      </c>
      <c r="S350" s="24"/>
      <c r="T350" s="24">
        <f t="shared" si="9"/>
        <v>0</v>
      </c>
    </row>
    <row r="351">
      <c r="A351" s="12" t="s">
        <v>440</v>
      </c>
      <c r="F351" s="19">
        <f>IFERROR(__xludf.DUMMYFUNCTION("SPLIT(A347, "" |"")"),345.0)</f>
        <v>345</v>
      </c>
      <c r="G351" s="19">
        <f>IFERROR(__xludf.DUMMYFUNCTION("""COMPUTED_VALUE"""),0.00234)</f>
        <v>0.00234</v>
      </c>
      <c r="H351" s="19" t="str">
        <f>IFERROR(__xludf.DUMMYFUNCTION("""COMPUTED_VALUE"""),"-")</f>
        <v>-</v>
      </c>
      <c r="I351" s="19">
        <f>IFERROR(__xludf.DUMMYFUNCTION("""COMPUTED_VALUE"""),0.00215)</f>
        <v>0.00215</v>
      </c>
      <c r="J351" s="19">
        <f>IFERROR(__xludf.DUMMYFUNCTION("""COMPUTED_VALUE"""),0.04746)</f>
        <v>0.04746</v>
      </c>
      <c r="K351" s="19" t="str">
        <f>IFERROR(__xludf.DUMMYFUNCTION("""COMPUTED_VALUE"""),"-")</f>
        <v>-</v>
      </c>
      <c r="L351" s="19">
        <f>IFERROR(__xludf.DUMMYFUNCTION("""COMPUTED_VALUE"""),0.04756)</f>
        <v>0.04756</v>
      </c>
      <c r="O351" s="24">
        <f t="shared" si="4"/>
        <v>0</v>
      </c>
      <c r="P351" s="24"/>
      <c r="Q351" s="24">
        <f t="shared" si="6"/>
        <v>0</v>
      </c>
      <c r="R351" s="24">
        <f t="shared" si="7"/>
        <v>0</v>
      </c>
      <c r="S351" s="24"/>
      <c r="T351" s="24">
        <f t="shared" si="9"/>
        <v>0</v>
      </c>
    </row>
    <row r="352">
      <c r="A352" s="12" t="s">
        <v>441</v>
      </c>
      <c r="F352" s="19">
        <f>IFERROR(__xludf.DUMMYFUNCTION("SPLIT(A348, "" |"")"),346.0)</f>
        <v>346</v>
      </c>
      <c r="G352" s="19">
        <f>IFERROR(__xludf.DUMMYFUNCTION("""COMPUTED_VALUE"""),0.00231)</f>
        <v>0.00231</v>
      </c>
      <c r="H352" s="19" t="str">
        <f>IFERROR(__xludf.DUMMYFUNCTION("""COMPUTED_VALUE"""),"-")</f>
        <v>-</v>
      </c>
      <c r="I352" s="19">
        <f>IFERROR(__xludf.DUMMYFUNCTION("""COMPUTED_VALUE"""),0.00206)</f>
        <v>0.00206</v>
      </c>
      <c r="J352" s="19">
        <f>IFERROR(__xludf.DUMMYFUNCTION("""COMPUTED_VALUE"""),0.0442)</f>
        <v>0.0442</v>
      </c>
      <c r="K352" s="19" t="str">
        <f>IFERROR(__xludf.DUMMYFUNCTION("""COMPUTED_VALUE"""),"-")</f>
        <v>-</v>
      </c>
      <c r="L352" s="19">
        <f>IFERROR(__xludf.DUMMYFUNCTION("""COMPUTED_VALUE"""),0.04759)</f>
        <v>0.04759</v>
      </c>
      <c r="O352" s="24">
        <f t="shared" si="4"/>
        <v>0</v>
      </c>
      <c r="P352" s="24"/>
      <c r="Q352" s="24">
        <f t="shared" si="6"/>
        <v>0</v>
      </c>
      <c r="R352" s="24">
        <f t="shared" si="7"/>
        <v>1</v>
      </c>
      <c r="S352" s="24"/>
      <c r="T352" s="24">
        <f t="shared" si="9"/>
        <v>0</v>
      </c>
    </row>
    <row r="353">
      <c r="A353" s="12" t="s">
        <v>442</v>
      </c>
      <c r="F353" s="19">
        <f>IFERROR(__xludf.DUMMYFUNCTION("SPLIT(A349, "" |"")"),347.0)</f>
        <v>347</v>
      </c>
      <c r="G353" s="19">
        <f>IFERROR(__xludf.DUMMYFUNCTION("""COMPUTED_VALUE"""),0.0023)</f>
        <v>0.0023</v>
      </c>
      <c r="H353" s="19" t="str">
        <f>IFERROR(__xludf.DUMMYFUNCTION("""COMPUTED_VALUE"""),"-")</f>
        <v>-</v>
      </c>
      <c r="I353" s="19">
        <f>IFERROR(__xludf.DUMMYFUNCTION("""COMPUTED_VALUE"""),0.00219)</f>
        <v>0.00219</v>
      </c>
      <c r="J353" s="19">
        <f>IFERROR(__xludf.DUMMYFUNCTION("""COMPUTED_VALUE"""),0.04738)</f>
        <v>0.04738</v>
      </c>
      <c r="K353" s="19" t="str">
        <f>IFERROR(__xludf.DUMMYFUNCTION("""COMPUTED_VALUE"""),"-")</f>
        <v>-</v>
      </c>
      <c r="L353" s="19">
        <f>IFERROR(__xludf.DUMMYFUNCTION("""COMPUTED_VALUE"""),0.04764)</f>
        <v>0.04764</v>
      </c>
      <c r="O353" s="24">
        <f t="shared" si="4"/>
        <v>0</v>
      </c>
      <c r="P353" s="24"/>
      <c r="Q353" s="24">
        <f t="shared" si="6"/>
        <v>0</v>
      </c>
      <c r="R353" s="24">
        <f t="shared" si="7"/>
        <v>0</v>
      </c>
      <c r="S353" s="24"/>
      <c r="T353" s="24">
        <f t="shared" si="9"/>
        <v>0</v>
      </c>
    </row>
    <row r="354">
      <c r="A354" s="12" t="s">
        <v>443</v>
      </c>
      <c r="F354" s="19">
        <f>IFERROR(__xludf.DUMMYFUNCTION("SPLIT(A350, "" |"")"),348.0)</f>
        <v>348</v>
      </c>
      <c r="G354" s="19">
        <f>IFERROR(__xludf.DUMMYFUNCTION("""COMPUTED_VALUE"""),0.00235)</f>
        <v>0.00235</v>
      </c>
      <c r="H354" s="19" t="str">
        <f>IFERROR(__xludf.DUMMYFUNCTION("""COMPUTED_VALUE"""),"-")</f>
        <v>-</v>
      </c>
      <c r="I354" s="19">
        <f>IFERROR(__xludf.DUMMYFUNCTION("""COMPUTED_VALUE"""),0.00227)</f>
        <v>0.00227</v>
      </c>
      <c r="J354" s="19">
        <f>IFERROR(__xludf.DUMMYFUNCTION("""COMPUTED_VALUE"""),0.04747)</f>
        <v>0.04747</v>
      </c>
      <c r="K354" s="19" t="str">
        <f>IFERROR(__xludf.DUMMYFUNCTION("""COMPUTED_VALUE"""),"-")</f>
        <v>-</v>
      </c>
      <c r="L354" s="19">
        <f>IFERROR(__xludf.DUMMYFUNCTION("""COMPUTED_VALUE"""),0.04755)</f>
        <v>0.04755</v>
      </c>
      <c r="O354" s="24">
        <f t="shared" si="4"/>
        <v>0</v>
      </c>
      <c r="P354" s="24"/>
      <c r="Q354" s="24">
        <f t="shared" si="6"/>
        <v>0</v>
      </c>
      <c r="R354" s="24">
        <f t="shared" si="7"/>
        <v>0</v>
      </c>
      <c r="S354" s="24"/>
      <c r="T354" s="24">
        <f t="shared" si="9"/>
        <v>0</v>
      </c>
    </row>
    <row r="355">
      <c r="A355" s="12" t="s">
        <v>444</v>
      </c>
      <c r="F355" s="19">
        <f>IFERROR(__xludf.DUMMYFUNCTION("SPLIT(A351, "" |"")"),349.0)</f>
        <v>349</v>
      </c>
      <c r="G355" s="19">
        <f>IFERROR(__xludf.DUMMYFUNCTION("""COMPUTED_VALUE"""),0.0022)</f>
        <v>0.0022</v>
      </c>
      <c r="H355" s="19" t="str">
        <f>IFERROR(__xludf.DUMMYFUNCTION("""COMPUTED_VALUE"""),"-")</f>
        <v>-</v>
      </c>
      <c r="I355" s="19">
        <f>IFERROR(__xludf.DUMMYFUNCTION("""COMPUTED_VALUE"""),0.00208)</f>
        <v>0.00208</v>
      </c>
      <c r="J355" s="19">
        <f>IFERROR(__xludf.DUMMYFUNCTION("""COMPUTED_VALUE"""),0.0473)</f>
        <v>0.0473</v>
      </c>
      <c r="K355" s="19" t="str">
        <f>IFERROR(__xludf.DUMMYFUNCTION("""COMPUTED_VALUE"""),"-")</f>
        <v>-</v>
      </c>
      <c r="L355" s="19">
        <f>IFERROR(__xludf.DUMMYFUNCTION("""COMPUTED_VALUE"""),0.04395)</f>
        <v>0.04395</v>
      </c>
      <c r="O355" s="24">
        <f t="shared" si="4"/>
        <v>0</v>
      </c>
      <c r="P355" s="24"/>
      <c r="Q355" s="24">
        <f t="shared" si="6"/>
        <v>0</v>
      </c>
      <c r="R355" s="24">
        <f t="shared" si="7"/>
        <v>0</v>
      </c>
      <c r="S355" s="24"/>
      <c r="T355" s="24">
        <f t="shared" si="9"/>
        <v>0</v>
      </c>
    </row>
    <row r="356">
      <c r="A356" s="12" t="s">
        <v>445</v>
      </c>
      <c r="F356" s="19">
        <f>IFERROR(__xludf.DUMMYFUNCTION("SPLIT(A352, "" |"")"),350.0)</f>
        <v>350</v>
      </c>
      <c r="G356" s="19">
        <f>IFERROR(__xludf.DUMMYFUNCTION("""COMPUTED_VALUE"""),0.00233)</f>
        <v>0.00233</v>
      </c>
      <c r="H356" s="19" t="str">
        <f>IFERROR(__xludf.DUMMYFUNCTION("""COMPUTED_VALUE"""),"-")</f>
        <v>-</v>
      </c>
      <c r="I356" s="19">
        <f>IFERROR(__xludf.DUMMYFUNCTION("""COMPUTED_VALUE"""),0.00219)</f>
        <v>0.00219</v>
      </c>
      <c r="J356" s="19">
        <f>IFERROR(__xludf.DUMMYFUNCTION("""COMPUTED_VALUE"""),0.04741)</f>
        <v>0.04741</v>
      </c>
      <c r="K356" s="19" t="str">
        <f>IFERROR(__xludf.DUMMYFUNCTION("""COMPUTED_VALUE"""),"-")</f>
        <v>-</v>
      </c>
      <c r="L356" s="19">
        <f>IFERROR(__xludf.DUMMYFUNCTION("""COMPUTED_VALUE"""),0.04771)</f>
        <v>0.04771</v>
      </c>
      <c r="O356" s="24">
        <f t="shared" si="4"/>
        <v>0</v>
      </c>
      <c r="P356" s="24"/>
      <c r="Q356" s="24">
        <f t="shared" si="6"/>
        <v>0</v>
      </c>
      <c r="R356" s="24">
        <f t="shared" si="7"/>
        <v>0</v>
      </c>
      <c r="S356" s="24"/>
      <c r="T356" s="24">
        <f t="shared" si="9"/>
        <v>0</v>
      </c>
    </row>
    <row r="357">
      <c r="A357" s="12" t="s">
        <v>446</v>
      </c>
      <c r="F357" s="19">
        <f>IFERROR(__xludf.DUMMYFUNCTION("SPLIT(A353, "" |"")"),351.0)</f>
        <v>351</v>
      </c>
      <c r="G357" s="19">
        <f>IFERROR(__xludf.DUMMYFUNCTION("""COMPUTED_VALUE"""),0.00243)</f>
        <v>0.00243</v>
      </c>
      <c r="H357" s="19" t="str">
        <f>IFERROR(__xludf.DUMMYFUNCTION("""COMPUTED_VALUE"""),"-")</f>
        <v>-</v>
      </c>
      <c r="I357" s="19">
        <f>IFERROR(__xludf.DUMMYFUNCTION("""COMPUTED_VALUE"""),0.00221)</f>
        <v>0.00221</v>
      </c>
      <c r="J357" s="19">
        <f>IFERROR(__xludf.DUMMYFUNCTION("""COMPUTED_VALUE"""),0.04747)</f>
        <v>0.04747</v>
      </c>
      <c r="K357" s="19" t="str">
        <f>IFERROR(__xludf.DUMMYFUNCTION("""COMPUTED_VALUE"""),"-")</f>
        <v>-</v>
      </c>
      <c r="L357" s="19">
        <f>IFERROR(__xludf.DUMMYFUNCTION("""COMPUTED_VALUE"""),0.04766)</f>
        <v>0.04766</v>
      </c>
      <c r="O357" s="24">
        <f t="shared" si="4"/>
        <v>0</v>
      </c>
      <c r="P357" s="24"/>
      <c r="Q357" s="24">
        <f t="shared" si="6"/>
        <v>0</v>
      </c>
      <c r="R357" s="24">
        <f t="shared" si="7"/>
        <v>0</v>
      </c>
      <c r="S357" s="24"/>
      <c r="T357" s="24">
        <f t="shared" si="9"/>
        <v>0</v>
      </c>
    </row>
    <row r="358">
      <c r="A358" s="12" t="s">
        <v>447</v>
      </c>
      <c r="F358" s="19">
        <f>IFERROR(__xludf.DUMMYFUNCTION("SPLIT(A354, "" |"")"),352.0)</f>
        <v>352</v>
      </c>
      <c r="G358" s="19">
        <f>IFERROR(__xludf.DUMMYFUNCTION("""COMPUTED_VALUE"""),0.00236)</f>
        <v>0.00236</v>
      </c>
      <c r="H358" s="19" t="str">
        <f>IFERROR(__xludf.DUMMYFUNCTION("""COMPUTED_VALUE"""),"-")</f>
        <v>-</v>
      </c>
      <c r="I358" s="19">
        <f>IFERROR(__xludf.DUMMYFUNCTION("""COMPUTED_VALUE"""),0.00218)</f>
        <v>0.00218</v>
      </c>
      <c r="J358" s="19">
        <f>IFERROR(__xludf.DUMMYFUNCTION("""COMPUTED_VALUE"""),0.04737)</f>
        <v>0.04737</v>
      </c>
      <c r="K358" s="19" t="str">
        <f>IFERROR(__xludf.DUMMYFUNCTION("""COMPUTED_VALUE"""),"-")</f>
        <v>-</v>
      </c>
      <c r="L358" s="19">
        <f>IFERROR(__xludf.DUMMYFUNCTION("""COMPUTED_VALUE"""),0.04758)</f>
        <v>0.04758</v>
      </c>
      <c r="O358" s="24">
        <f t="shared" si="4"/>
        <v>0</v>
      </c>
      <c r="P358" s="24"/>
      <c r="Q358" s="24">
        <f t="shared" si="6"/>
        <v>0</v>
      </c>
      <c r="R358" s="24">
        <f t="shared" si="7"/>
        <v>0</v>
      </c>
      <c r="S358" s="24"/>
      <c r="T358" s="24">
        <f t="shared" si="9"/>
        <v>0</v>
      </c>
    </row>
    <row r="359">
      <c r="A359" s="12" t="s">
        <v>448</v>
      </c>
      <c r="F359" s="19">
        <f>IFERROR(__xludf.DUMMYFUNCTION("SPLIT(A355, "" |"")"),353.0)</f>
        <v>353</v>
      </c>
      <c r="G359" s="19">
        <f>IFERROR(__xludf.DUMMYFUNCTION("""COMPUTED_VALUE"""),0.00241)</f>
        <v>0.00241</v>
      </c>
      <c r="H359" s="19" t="str">
        <f>IFERROR(__xludf.DUMMYFUNCTION("""COMPUTED_VALUE"""),"-")</f>
        <v>-</v>
      </c>
      <c r="I359" s="19">
        <f>IFERROR(__xludf.DUMMYFUNCTION("""COMPUTED_VALUE"""),0.00222)</f>
        <v>0.00222</v>
      </c>
      <c r="J359" s="19">
        <f>IFERROR(__xludf.DUMMYFUNCTION("""COMPUTED_VALUE"""),0.04745)</f>
        <v>0.04745</v>
      </c>
      <c r="K359" s="19" t="str">
        <f>IFERROR(__xludf.DUMMYFUNCTION("""COMPUTED_VALUE"""),"-")</f>
        <v>-</v>
      </c>
      <c r="L359" s="19">
        <f>IFERROR(__xludf.DUMMYFUNCTION("""COMPUTED_VALUE"""),0.04753)</f>
        <v>0.04753</v>
      </c>
      <c r="O359" s="24">
        <f t="shared" si="4"/>
        <v>0</v>
      </c>
      <c r="P359" s="24"/>
      <c r="Q359" s="24">
        <f t="shared" si="6"/>
        <v>0</v>
      </c>
      <c r="R359" s="24">
        <f t="shared" si="7"/>
        <v>0</v>
      </c>
      <c r="S359" s="24"/>
      <c r="T359" s="24">
        <f t="shared" si="9"/>
        <v>0</v>
      </c>
    </row>
    <row r="360">
      <c r="A360" s="12" t="s">
        <v>449</v>
      </c>
      <c r="F360" s="19">
        <f>IFERROR(__xludf.DUMMYFUNCTION("SPLIT(A356, "" |"")"),354.0)</f>
        <v>354</v>
      </c>
      <c r="G360" s="19">
        <f>IFERROR(__xludf.DUMMYFUNCTION("""COMPUTED_VALUE"""),0.0023)</f>
        <v>0.0023</v>
      </c>
      <c r="H360" s="19" t="str">
        <f>IFERROR(__xludf.DUMMYFUNCTION("""COMPUTED_VALUE"""),"-")</f>
        <v>-</v>
      </c>
      <c r="I360" s="19">
        <f>IFERROR(__xludf.DUMMYFUNCTION("""COMPUTED_VALUE"""),0.00221)</f>
        <v>0.00221</v>
      </c>
      <c r="J360" s="19">
        <f>IFERROR(__xludf.DUMMYFUNCTION("""COMPUTED_VALUE"""),0.04747)</f>
        <v>0.04747</v>
      </c>
      <c r="K360" s="19" t="str">
        <f>IFERROR(__xludf.DUMMYFUNCTION("""COMPUTED_VALUE"""),"-")</f>
        <v>-</v>
      </c>
      <c r="L360" s="19">
        <f>IFERROR(__xludf.DUMMYFUNCTION("""COMPUTED_VALUE"""),0.04767)</f>
        <v>0.04767</v>
      </c>
      <c r="O360" s="24">
        <f t="shared" si="4"/>
        <v>0</v>
      </c>
      <c r="P360" s="24"/>
      <c r="Q360" s="24">
        <f t="shared" si="6"/>
        <v>0</v>
      </c>
      <c r="R360" s="24">
        <f t="shared" si="7"/>
        <v>0</v>
      </c>
      <c r="S360" s="24"/>
      <c r="T360" s="24">
        <f t="shared" si="9"/>
        <v>0</v>
      </c>
    </row>
    <row r="361">
      <c r="A361" s="12" t="s">
        <v>450</v>
      </c>
      <c r="F361" s="19">
        <f>IFERROR(__xludf.DUMMYFUNCTION("SPLIT(A357, "" |"")"),355.0)</f>
        <v>355</v>
      </c>
      <c r="G361" s="19">
        <f>IFERROR(__xludf.DUMMYFUNCTION("""COMPUTED_VALUE"""),0.00234)</f>
        <v>0.00234</v>
      </c>
      <c r="H361" s="19" t="str">
        <f>IFERROR(__xludf.DUMMYFUNCTION("""COMPUTED_VALUE"""),"-")</f>
        <v>-</v>
      </c>
      <c r="I361" s="19">
        <f>IFERROR(__xludf.DUMMYFUNCTION("""COMPUTED_VALUE"""),0.00216)</f>
        <v>0.00216</v>
      </c>
      <c r="J361" s="19">
        <f>IFERROR(__xludf.DUMMYFUNCTION("""COMPUTED_VALUE"""),0.04742)</f>
        <v>0.04742</v>
      </c>
      <c r="K361" s="19" t="str">
        <f>IFERROR(__xludf.DUMMYFUNCTION("""COMPUTED_VALUE"""),"-")</f>
        <v>-</v>
      </c>
      <c r="L361" s="19">
        <f>IFERROR(__xludf.DUMMYFUNCTION("""COMPUTED_VALUE"""),0.04758)</f>
        <v>0.04758</v>
      </c>
      <c r="O361" s="24">
        <f t="shared" si="4"/>
        <v>0</v>
      </c>
      <c r="P361" s="24"/>
      <c r="Q361" s="24">
        <f t="shared" si="6"/>
        <v>0</v>
      </c>
      <c r="R361" s="24">
        <f t="shared" si="7"/>
        <v>0</v>
      </c>
      <c r="S361" s="24"/>
      <c r="T361" s="24">
        <f t="shared" si="9"/>
        <v>0</v>
      </c>
    </row>
    <row r="362">
      <c r="A362" s="12" t="s">
        <v>451</v>
      </c>
      <c r="F362" s="19">
        <f>IFERROR(__xludf.DUMMYFUNCTION("SPLIT(A358, "" |"")"),356.0)</f>
        <v>356</v>
      </c>
      <c r="G362" s="19">
        <f>IFERROR(__xludf.DUMMYFUNCTION("""COMPUTED_VALUE"""),0.00236)</f>
        <v>0.00236</v>
      </c>
      <c r="H362" s="19" t="str">
        <f>IFERROR(__xludf.DUMMYFUNCTION("""COMPUTED_VALUE"""),"-")</f>
        <v>-</v>
      </c>
      <c r="I362" s="19">
        <f>IFERROR(__xludf.DUMMYFUNCTION("""COMPUTED_VALUE"""),0.00214)</f>
        <v>0.00214</v>
      </c>
      <c r="J362" s="19">
        <f>IFERROR(__xludf.DUMMYFUNCTION("""COMPUTED_VALUE"""),0.04745)</f>
        <v>0.04745</v>
      </c>
      <c r="K362" s="19" t="str">
        <f>IFERROR(__xludf.DUMMYFUNCTION("""COMPUTED_VALUE"""),"-")</f>
        <v>-</v>
      </c>
      <c r="L362" s="19">
        <f>IFERROR(__xludf.DUMMYFUNCTION("""COMPUTED_VALUE"""),0.04766)</f>
        <v>0.04766</v>
      </c>
      <c r="O362" s="24">
        <f t="shared" si="4"/>
        <v>0</v>
      </c>
      <c r="P362" s="24"/>
      <c r="Q362" s="24">
        <f t="shared" si="6"/>
        <v>0</v>
      </c>
      <c r="R362" s="24">
        <f t="shared" si="7"/>
        <v>0</v>
      </c>
      <c r="S362" s="24"/>
      <c r="T362" s="24">
        <f t="shared" si="9"/>
        <v>0</v>
      </c>
    </row>
    <row r="363">
      <c r="A363" s="12" t="s">
        <v>452</v>
      </c>
      <c r="F363" s="19">
        <f>IFERROR(__xludf.DUMMYFUNCTION("SPLIT(A359, "" |"")"),357.0)</f>
        <v>357</v>
      </c>
      <c r="G363" s="19">
        <f>IFERROR(__xludf.DUMMYFUNCTION("""COMPUTED_VALUE"""),0.00222)</f>
        <v>0.00222</v>
      </c>
      <c r="H363" s="19" t="str">
        <f>IFERROR(__xludf.DUMMYFUNCTION("""COMPUTED_VALUE"""),"-")</f>
        <v>-</v>
      </c>
      <c r="I363" s="19">
        <f>IFERROR(__xludf.DUMMYFUNCTION("""COMPUTED_VALUE"""),0.00209)</f>
        <v>0.00209</v>
      </c>
      <c r="J363" s="19">
        <f>IFERROR(__xludf.DUMMYFUNCTION("""COMPUTED_VALUE"""),0.04725)</f>
        <v>0.04725</v>
      </c>
      <c r="K363" s="19" t="str">
        <f>IFERROR(__xludf.DUMMYFUNCTION("""COMPUTED_VALUE"""),"-")</f>
        <v>-</v>
      </c>
      <c r="L363" s="19">
        <f>IFERROR(__xludf.DUMMYFUNCTION("""COMPUTED_VALUE"""),0.04052)</f>
        <v>0.04052</v>
      </c>
      <c r="O363" s="24">
        <f t="shared" si="4"/>
        <v>0</v>
      </c>
      <c r="P363" s="24"/>
      <c r="Q363" s="24">
        <f t="shared" si="6"/>
        <v>0</v>
      </c>
      <c r="R363" s="24">
        <f t="shared" si="7"/>
        <v>0</v>
      </c>
      <c r="S363" s="24"/>
      <c r="T363" s="24">
        <f t="shared" si="9"/>
        <v>0</v>
      </c>
    </row>
    <row r="364">
      <c r="A364" s="12" t="s">
        <v>453</v>
      </c>
      <c r="F364" s="19">
        <f>IFERROR(__xludf.DUMMYFUNCTION("SPLIT(A360, "" |"")"),358.0)</f>
        <v>358</v>
      </c>
      <c r="G364" s="19">
        <f>IFERROR(__xludf.DUMMYFUNCTION("""COMPUTED_VALUE"""),0.00222)</f>
        <v>0.00222</v>
      </c>
      <c r="H364" s="19" t="str">
        <f>IFERROR(__xludf.DUMMYFUNCTION("""COMPUTED_VALUE"""),"-")</f>
        <v>-</v>
      </c>
      <c r="I364" s="19">
        <f>IFERROR(__xludf.DUMMYFUNCTION("""COMPUTED_VALUE"""),0.00209)</f>
        <v>0.00209</v>
      </c>
      <c r="J364" s="19">
        <f>IFERROR(__xludf.DUMMYFUNCTION("""COMPUTED_VALUE"""),0.04731)</f>
        <v>0.04731</v>
      </c>
      <c r="K364" s="19" t="str">
        <f>IFERROR(__xludf.DUMMYFUNCTION("""COMPUTED_VALUE"""),"-")</f>
        <v>-</v>
      </c>
      <c r="L364" s="19">
        <f>IFERROR(__xludf.DUMMYFUNCTION("""COMPUTED_VALUE"""),0.04373)</f>
        <v>0.04373</v>
      </c>
      <c r="O364" s="24">
        <f t="shared" si="4"/>
        <v>0</v>
      </c>
      <c r="P364" s="24"/>
      <c r="Q364" s="24">
        <f t="shared" si="6"/>
        <v>0</v>
      </c>
      <c r="R364" s="24">
        <f t="shared" si="7"/>
        <v>0</v>
      </c>
      <c r="S364" s="24"/>
      <c r="T364" s="24">
        <f t="shared" si="9"/>
        <v>0</v>
      </c>
    </row>
    <row r="365">
      <c r="A365" s="12" t="s">
        <v>454</v>
      </c>
      <c r="F365" s="19">
        <f>IFERROR(__xludf.DUMMYFUNCTION("SPLIT(A361, "" |"")"),359.0)</f>
        <v>359</v>
      </c>
      <c r="G365" s="19">
        <f>IFERROR(__xludf.DUMMYFUNCTION("""COMPUTED_VALUE"""),0.00241)</f>
        <v>0.00241</v>
      </c>
      <c r="H365" s="19" t="str">
        <f>IFERROR(__xludf.DUMMYFUNCTION("""COMPUTED_VALUE"""),"-")</f>
        <v>-</v>
      </c>
      <c r="I365" s="19">
        <f>IFERROR(__xludf.DUMMYFUNCTION("""COMPUTED_VALUE"""),0.00214)</f>
        <v>0.00214</v>
      </c>
      <c r="J365" s="19">
        <f>IFERROR(__xludf.DUMMYFUNCTION("""COMPUTED_VALUE"""),0.04748)</f>
        <v>0.04748</v>
      </c>
      <c r="K365" s="19" t="str">
        <f>IFERROR(__xludf.DUMMYFUNCTION("""COMPUTED_VALUE"""),"-")</f>
        <v>-</v>
      </c>
      <c r="L365" s="19">
        <f>IFERROR(__xludf.DUMMYFUNCTION("""COMPUTED_VALUE"""),0.04766)</f>
        <v>0.04766</v>
      </c>
      <c r="O365" s="24">
        <f t="shared" si="4"/>
        <v>0</v>
      </c>
      <c r="P365" s="24"/>
      <c r="Q365" s="24">
        <f t="shared" si="6"/>
        <v>0</v>
      </c>
      <c r="R365" s="24">
        <f t="shared" si="7"/>
        <v>0</v>
      </c>
      <c r="S365" s="24"/>
      <c r="T365" s="24">
        <f t="shared" si="9"/>
        <v>0</v>
      </c>
    </row>
    <row r="366">
      <c r="A366" s="12" t="s">
        <v>455</v>
      </c>
      <c r="F366" s="19">
        <f>IFERROR(__xludf.DUMMYFUNCTION("SPLIT(A362, "" |"")"),360.0)</f>
        <v>360</v>
      </c>
      <c r="G366" s="19">
        <f>IFERROR(__xludf.DUMMYFUNCTION("""COMPUTED_VALUE"""),0.00239)</f>
        <v>0.00239</v>
      </c>
      <c r="H366" s="19" t="str">
        <f>IFERROR(__xludf.DUMMYFUNCTION("""COMPUTED_VALUE"""),"-")</f>
        <v>-</v>
      </c>
      <c r="I366" s="19">
        <f>IFERROR(__xludf.DUMMYFUNCTION("""COMPUTED_VALUE"""),0.00221)</f>
        <v>0.00221</v>
      </c>
      <c r="J366" s="19">
        <f>IFERROR(__xludf.DUMMYFUNCTION("""COMPUTED_VALUE"""),0.04749)</f>
        <v>0.04749</v>
      </c>
      <c r="K366" s="19" t="str">
        <f>IFERROR(__xludf.DUMMYFUNCTION("""COMPUTED_VALUE"""),"-")</f>
        <v>-</v>
      </c>
      <c r="L366" s="19">
        <f>IFERROR(__xludf.DUMMYFUNCTION("""COMPUTED_VALUE"""),0.04638)</f>
        <v>0.04638</v>
      </c>
      <c r="O366" s="24">
        <f t="shared" si="4"/>
        <v>0</v>
      </c>
      <c r="P366" s="24"/>
      <c r="Q366" s="24">
        <f t="shared" si="6"/>
        <v>0</v>
      </c>
      <c r="R366" s="24">
        <f t="shared" si="7"/>
        <v>0</v>
      </c>
      <c r="S366" s="24"/>
      <c r="T366" s="24">
        <f t="shared" si="9"/>
        <v>0</v>
      </c>
    </row>
    <row r="367">
      <c r="A367" s="12" t="s">
        <v>456</v>
      </c>
      <c r="F367" s="19">
        <f>IFERROR(__xludf.DUMMYFUNCTION("SPLIT(A363, "" |"")"),361.0)</f>
        <v>361</v>
      </c>
      <c r="G367" s="19">
        <f>IFERROR(__xludf.DUMMYFUNCTION("""COMPUTED_VALUE"""),0.00237)</f>
        <v>0.00237</v>
      </c>
      <c r="H367" s="19" t="str">
        <f>IFERROR(__xludf.DUMMYFUNCTION("""COMPUTED_VALUE"""),"-")</f>
        <v>-</v>
      </c>
      <c r="I367" s="19">
        <f>IFERROR(__xludf.DUMMYFUNCTION("""COMPUTED_VALUE"""),0.00226)</f>
        <v>0.00226</v>
      </c>
      <c r="J367" s="19">
        <f>IFERROR(__xludf.DUMMYFUNCTION("""COMPUTED_VALUE"""),0.04364)</f>
        <v>0.04364</v>
      </c>
      <c r="K367" s="19" t="str">
        <f>IFERROR(__xludf.DUMMYFUNCTION("""COMPUTED_VALUE"""),"-")</f>
        <v>-</v>
      </c>
      <c r="L367" s="19">
        <f>IFERROR(__xludf.DUMMYFUNCTION("""COMPUTED_VALUE"""),0.04773)</f>
        <v>0.04773</v>
      </c>
      <c r="O367" s="24">
        <f t="shared" si="4"/>
        <v>0</v>
      </c>
      <c r="P367" s="24"/>
      <c r="Q367" s="24">
        <f t="shared" si="6"/>
        <v>0</v>
      </c>
      <c r="R367" s="24">
        <f t="shared" si="7"/>
        <v>1</v>
      </c>
      <c r="S367" s="24"/>
      <c r="T367" s="24">
        <f t="shared" si="9"/>
        <v>0</v>
      </c>
    </row>
    <row r="368">
      <c r="A368" s="12" t="s">
        <v>457</v>
      </c>
      <c r="F368" s="19">
        <f>IFERROR(__xludf.DUMMYFUNCTION("SPLIT(A364, "" |"")"),362.0)</f>
        <v>362</v>
      </c>
      <c r="G368" s="19">
        <f>IFERROR(__xludf.DUMMYFUNCTION("""COMPUTED_VALUE"""),0.00246)</f>
        <v>0.00246</v>
      </c>
      <c r="H368" s="19" t="str">
        <f>IFERROR(__xludf.DUMMYFUNCTION("""COMPUTED_VALUE"""),"-")</f>
        <v>-</v>
      </c>
      <c r="I368" s="19">
        <f>IFERROR(__xludf.DUMMYFUNCTION("""COMPUTED_VALUE"""),0.00219)</f>
        <v>0.00219</v>
      </c>
      <c r="J368" s="19">
        <f>IFERROR(__xludf.DUMMYFUNCTION("""COMPUTED_VALUE"""),0.04755)</f>
        <v>0.04755</v>
      </c>
      <c r="K368" s="19" t="str">
        <f>IFERROR(__xludf.DUMMYFUNCTION("""COMPUTED_VALUE"""),"-")</f>
        <v>-</v>
      </c>
      <c r="L368" s="19">
        <f>IFERROR(__xludf.DUMMYFUNCTION("""COMPUTED_VALUE"""),0.04769)</f>
        <v>0.04769</v>
      </c>
      <c r="O368" s="24">
        <f t="shared" si="4"/>
        <v>0</v>
      </c>
      <c r="P368" s="24"/>
      <c r="Q368" s="24">
        <f t="shared" si="6"/>
        <v>0</v>
      </c>
      <c r="R368" s="24">
        <f t="shared" si="7"/>
        <v>0</v>
      </c>
      <c r="S368" s="24"/>
      <c r="T368" s="24">
        <f t="shared" si="9"/>
        <v>0</v>
      </c>
    </row>
    <row r="369">
      <c r="A369" s="12" t="s">
        <v>458</v>
      </c>
      <c r="F369" s="19">
        <f>IFERROR(__xludf.DUMMYFUNCTION("SPLIT(A365, "" |"")"),363.0)</f>
        <v>363</v>
      </c>
      <c r="G369" s="19">
        <f>IFERROR(__xludf.DUMMYFUNCTION("""COMPUTED_VALUE"""),0.0023)</f>
        <v>0.0023</v>
      </c>
      <c r="H369" s="19" t="str">
        <f>IFERROR(__xludf.DUMMYFUNCTION("""COMPUTED_VALUE"""),"-")</f>
        <v>-</v>
      </c>
      <c r="I369" s="19">
        <f>IFERROR(__xludf.DUMMYFUNCTION("""COMPUTED_VALUE"""),0.00213)</f>
        <v>0.00213</v>
      </c>
      <c r="J369" s="19">
        <f>IFERROR(__xludf.DUMMYFUNCTION("""COMPUTED_VALUE"""),0.04749)</f>
        <v>0.04749</v>
      </c>
      <c r="K369" s="19" t="str">
        <f>IFERROR(__xludf.DUMMYFUNCTION("""COMPUTED_VALUE"""),"-")</f>
        <v>-</v>
      </c>
      <c r="L369" s="19">
        <f>IFERROR(__xludf.DUMMYFUNCTION("""COMPUTED_VALUE"""),0.04754)</f>
        <v>0.04754</v>
      </c>
      <c r="O369" s="24">
        <f t="shared" si="4"/>
        <v>0</v>
      </c>
      <c r="P369" s="24"/>
      <c r="Q369" s="24">
        <f t="shared" si="6"/>
        <v>0</v>
      </c>
      <c r="R369" s="24">
        <f t="shared" si="7"/>
        <v>0</v>
      </c>
      <c r="S369" s="24"/>
      <c r="T369" s="24">
        <f t="shared" si="9"/>
        <v>0</v>
      </c>
    </row>
    <row r="370">
      <c r="A370" s="12" t="s">
        <v>459</v>
      </c>
      <c r="F370" s="19">
        <f>IFERROR(__xludf.DUMMYFUNCTION("SPLIT(A366, "" |"")"),364.0)</f>
        <v>364</v>
      </c>
      <c r="G370" s="19">
        <f>IFERROR(__xludf.DUMMYFUNCTION("""COMPUTED_VALUE"""),0.00228)</f>
        <v>0.00228</v>
      </c>
      <c r="H370" s="19" t="str">
        <f>IFERROR(__xludf.DUMMYFUNCTION("""COMPUTED_VALUE"""),"-")</f>
        <v>-</v>
      </c>
      <c r="I370" s="19">
        <f>IFERROR(__xludf.DUMMYFUNCTION("""COMPUTED_VALUE"""),0.00217)</f>
        <v>0.00217</v>
      </c>
      <c r="J370" s="19">
        <f>IFERROR(__xludf.DUMMYFUNCTION("""COMPUTED_VALUE"""),0.04746)</f>
        <v>0.04746</v>
      </c>
      <c r="K370" s="19" t="str">
        <f>IFERROR(__xludf.DUMMYFUNCTION("""COMPUTED_VALUE"""),"-")</f>
        <v>-</v>
      </c>
      <c r="L370" s="19">
        <f>IFERROR(__xludf.DUMMYFUNCTION("""COMPUTED_VALUE"""),0.04769)</f>
        <v>0.04769</v>
      </c>
      <c r="O370" s="24">
        <f t="shared" si="4"/>
        <v>0</v>
      </c>
      <c r="P370" s="24"/>
      <c r="Q370" s="24">
        <f t="shared" si="6"/>
        <v>0</v>
      </c>
      <c r="R370" s="24">
        <f t="shared" si="7"/>
        <v>0</v>
      </c>
      <c r="S370" s="24"/>
      <c r="T370" s="24">
        <f t="shared" si="9"/>
        <v>0</v>
      </c>
    </row>
    <row r="371">
      <c r="A371" s="12" t="s">
        <v>460</v>
      </c>
      <c r="F371" s="19">
        <f>IFERROR(__xludf.DUMMYFUNCTION("SPLIT(A367, "" |"")"),365.0)</f>
        <v>365</v>
      </c>
      <c r="G371" s="19">
        <f>IFERROR(__xludf.DUMMYFUNCTION("""COMPUTED_VALUE"""),0.00241)</f>
        <v>0.00241</v>
      </c>
      <c r="H371" s="19" t="str">
        <f>IFERROR(__xludf.DUMMYFUNCTION("""COMPUTED_VALUE"""),"-")</f>
        <v>-</v>
      </c>
      <c r="I371" s="19">
        <f>IFERROR(__xludf.DUMMYFUNCTION("""COMPUTED_VALUE"""),0.00222)</f>
        <v>0.00222</v>
      </c>
      <c r="J371" s="19">
        <f>IFERROR(__xludf.DUMMYFUNCTION("""COMPUTED_VALUE"""),0.04748)</f>
        <v>0.04748</v>
      </c>
      <c r="K371" s="19" t="str">
        <f>IFERROR(__xludf.DUMMYFUNCTION("""COMPUTED_VALUE"""),"-")</f>
        <v>-</v>
      </c>
      <c r="L371" s="19">
        <f>IFERROR(__xludf.DUMMYFUNCTION("""COMPUTED_VALUE"""),0.04757)</f>
        <v>0.04757</v>
      </c>
      <c r="O371" s="24">
        <f t="shared" si="4"/>
        <v>0</v>
      </c>
      <c r="P371" s="24"/>
      <c r="Q371" s="24">
        <f t="shared" si="6"/>
        <v>0</v>
      </c>
      <c r="R371" s="24">
        <f t="shared" si="7"/>
        <v>0</v>
      </c>
      <c r="S371" s="24"/>
      <c r="T371" s="24">
        <f t="shared" si="9"/>
        <v>0</v>
      </c>
    </row>
    <row r="372">
      <c r="A372" s="12" t="s">
        <v>461</v>
      </c>
      <c r="F372" s="19">
        <f>IFERROR(__xludf.DUMMYFUNCTION("SPLIT(A368, "" |"")"),366.0)</f>
        <v>366</v>
      </c>
      <c r="G372" s="19">
        <f>IFERROR(__xludf.DUMMYFUNCTION("""COMPUTED_VALUE"""),0.00234)</f>
        <v>0.00234</v>
      </c>
      <c r="H372" s="19" t="str">
        <f>IFERROR(__xludf.DUMMYFUNCTION("""COMPUTED_VALUE"""),"-")</f>
        <v>-</v>
      </c>
      <c r="I372" s="19">
        <f>IFERROR(__xludf.DUMMYFUNCTION("""COMPUTED_VALUE"""),0.0022)</f>
        <v>0.0022</v>
      </c>
      <c r="J372" s="19">
        <f>IFERROR(__xludf.DUMMYFUNCTION("""COMPUTED_VALUE"""),0.0475)</f>
        <v>0.0475</v>
      </c>
      <c r="K372" s="19" t="str">
        <f>IFERROR(__xludf.DUMMYFUNCTION("""COMPUTED_VALUE"""),"-")</f>
        <v>-</v>
      </c>
      <c r="L372" s="19">
        <f>IFERROR(__xludf.DUMMYFUNCTION("""COMPUTED_VALUE"""),0.04759)</f>
        <v>0.04759</v>
      </c>
      <c r="O372" s="24">
        <f t="shared" si="4"/>
        <v>0</v>
      </c>
      <c r="P372" s="24"/>
      <c r="Q372" s="24">
        <f t="shared" si="6"/>
        <v>0</v>
      </c>
      <c r="R372" s="24">
        <f t="shared" si="7"/>
        <v>0</v>
      </c>
      <c r="S372" s="24"/>
      <c r="T372" s="24">
        <f t="shared" si="9"/>
        <v>0</v>
      </c>
    </row>
    <row r="373">
      <c r="A373" s="12" t="s">
        <v>462</v>
      </c>
      <c r="F373" s="19">
        <f>IFERROR(__xludf.DUMMYFUNCTION("SPLIT(A369, "" |"")"),367.0)</f>
        <v>367</v>
      </c>
      <c r="G373" s="19">
        <f>IFERROR(__xludf.DUMMYFUNCTION("""COMPUTED_VALUE"""),0.00242)</f>
        <v>0.00242</v>
      </c>
      <c r="H373" s="19" t="str">
        <f>IFERROR(__xludf.DUMMYFUNCTION("""COMPUTED_VALUE"""),"-")</f>
        <v>-</v>
      </c>
      <c r="I373" s="19">
        <f>IFERROR(__xludf.DUMMYFUNCTION("""COMPUTED_VALUE"""),0.00221)</f>
        <v>0.00221</v>
      </c>
      <c r="J373" s="19">
        <f>IFERROR(__xludf.DUMMYFUNCTION("""COMPUTED_VALUE"""),0.04748)</f>
        <v>0.04748</v>
      </c>
      <c r="K373" s="19" t="str">
        <f>IFERROR(__xludf.DUMMYFUNCTION("""COMPUTED_VALUE"""),"-")</f>
        <v>-</v>
      </c>
      <c r="L373" s="19">
        <f>IFERROR(__xludf.DUMMYFUNCTION("""COMPUTED_VALUE"""),0.04765)</f>
        <v>0.04765</v>
      </c>
      <c r="O373" s="24">
        <f t="shared" si="4"/>
        <v>0</v>
      </c>
      <c r="P373" s="24"/>
      <c r="Q373" s="24">
        <f t="shared" si="6"/>
        <v>0</v>
      </c>
      <c r="R373" s="24">
        <f t="shared" si="7"/>
        <v>0</v>
      </c>
      <c r="S373" s="24"/>
      <c r="T373" s="24">
        <f t="shared" si="9"/>
        <v>0</v>
      </c>
    </row>
    <row r="374">
      <c r="A374" s="12" t="s">
        <v>463</v>
      </c>
      <c r="F374" s="19">
        <f>IFERROR(__xludf.DUMMYFUNCTION("SPLIT(A370, "" |"")"),368.0)</f>
        <v>368</v>
      </c>
      <c r="G374" s="19">
        <f>IFERROR(__xludf.DUMMYFUNCTION("""COMPUTED_VALUE"""),0.00239)</f>
        <v>0.00239</v>
      </c>
      <c r="H374" s="19" t="str">
        <f>IFERROR(__xludf.DUMMYFUNCTION("""COMPUTED_VALUE"""),"-")</f>
        <v>-</v>
      </c>
      <c r="I374" s="19">
        <f>IFERROR(__xludf.DUMMYFUNCTION("""COMPUTED_VALUE"""),0.00223)</f>
        <v>0.00223</v>
      </c>
      <c r="J374" s="19">
        <f>IFERROR(__xludf.DUMMYFUNCTION("""COMPUTED_VALUE"""),0.04748)</f>
        <v>0.04748</v>
      </c>
      <c r="K374" s="19" t="str">
        <f>IFERROR(__xludf.DUMMYFUNCTION("""COMPUTED_VALUE"""),"-")</f>
        <v>-</v>
      </c>
      <c r="L374" s="19">
        <f>IFERROR(__xludf.DUMMYFUNCTION("""COMPUTED_VALUE"""),0.04767)</f>
        <v>0.04767</v>
      </c>
      <c r="O374" s="24">
        <f t="shared" si="4"/>
        <v>0</v>
      </c>
      <c r="P374" s="24"/>
      <c r="Q374" s="24">
        <f t="shared" si="6"/>
        <v>0</v>
      </c>
      <c r="R374" s="24">
        <f t="shared" si="7"/>
        <v>0</v>
      </c>
      <c r="S374" s="24"/>
      <c r="T374" s="24">
        <f t="shared" si="9"/>
        <v>0</v>
      </c>
    </row>
    <row r="375">
      <c r="A375" s="12" t="s">
        <v>464</v>
      </c>
      <c r="F375" s="19">
        <f>IFERROR(__xludf.DUMMYFUNCTION("SPLIT(A371, "" |"")"),369.0)</f>
        <v>369</v>
      </c>
      <c r="G375" s="19">
        <f>IFERROR(__xludf.DUMMYFUNCTION("""COMPUTED_VALUE"""),0.00239)</f>
        <v>0.00239</v>
      </c>
      <c r="H375" s="19" t="str">
        <f>IFERROR(__xludf.DUMMYFUNCTION("""COMPUTED_VALUE"""),"-")</f>
        <v>-</v>
      </c>
      <c r="I375" s="19">
        <f>IFERROR(__xludf.DUMMYFUNCTION("""COMPUTED_VALUE"""),0.00219)</f>
        <v>0.00219</v>
      </c>
      <c r="J375" s="19">
        <f>IFERROR(__xludf.DUMMYFUNCTION("""COMPUTED_VALUE"""),0.04498)</f>
        <v>0.04498</v>
      </c>
      <c r="K375" s="19" t="str">
        <f>IFERROR(__xludf.DUMMYFUNCTION("""COMPUTED_VALUE"""),"-")</f>
        <v>-</v>
      </c>
      <c r="L375" s="19">
        <f>IFERROR(__xludf.DUMMYFUNCTION("""COMPUTED_VALUE"""),0.04753)</f>
        <v>0.04753</v>
      </c>
      <c r="O375" s="24">
        <f t="shared" si="4"/>
        <v>0</v>
      </c>
      <c r="P375" s="24"/>
      <c r="Q375" s="24">
        <f t="shared" si="6"/>
        <v>0</v>
      </c>
      <c r="R375" s="24">
        <f t="shared" si="7"/>
        <v>0</v>
      </c>
      <c r="S375" s="24"/>
      <c r="T375" s="24">
        <f t="shared" si="9"/>
        <v>0</v>
      </c>
    </row>
    <row r="376">
      <c r="A376" s="12" t="s">
        <v>465</v>
      </c>
      <c r="F376" s="19">
        <f>IFERROR(__xludf.DUMMYFUNCTION("SPLIT(A372, "" |"")"),370.0)</f>
        <v>370</v>
      </c>
      <c r="G376" s="19">
        <f>IFERROR(__xludf.DUMMYFUNCTION("""COMPUTED_VALUE"""),0.00233)</f>
        <v>0.00233</v>
      </c>
      <c r="H376" s="19" t="str">
        <f>IFERROR(__xludf.DUMMYFUNCTION("""COMPUTED_VALUE"""),"-")</f>
        <v>-</v>
      </c>
      <c r="I376" s="19">
        <f>IFERROR(__xludf.DUMMYFUNCTION("""COMPUTED_VALUE"""),0.00219)</f>
        <v>0.00219</v>
      </c>
      <c r="J376" s="19">
        <f>IFERROR(__xludf.DUMMYFUNCTION("""COMPUTED_VALUE"""),0.04738)</f>
        <v>0.04738</v>
      </c>
      <c r="K376" s="19" t="str">
        <f>IFERROR(__xludf.DUMMYFUNCTION("""COMPUTED_VALUE"""),"-")</f>
        <v>-</v>
      </c>
      <c r="L376" s="19">
        <f>IFERROR(__xludf.DUMMYFUNCTION("""COMPUTED_VALUE"""),0.04246)</f>
        <v>0.04246</v>
      </c>
      <c r="O376" s="24">
        <f t="shared" si="4"/>
        <v>0</v>
      </c>
      <c r="P376" s="24"/>
      <c r="Q376" s="24">
        <f t="shared" si="6"/>
        <v>0</v>
      </c>
      <c r="R376" s="24">
        <f t="shared" si="7"/>
        <v>0</v>
      </c>
      <c r="S376" s="24"/>
      <c r="T376" s="24">
        <f t="shared" si="9"/>
        <v>0</v>
      </c>
    </row>
    <row r="377">
      <c r="A377" s="12" t="s">
        <v>466</v>
      </c>
      <c r="F377" s="19">
        <f>IFERROR(__xludf.DUMMYFUNCTION("SPLIT(A373, "" |"")"),371.0)</f>
        <v>371</v>
      </c>
      <c r="G377" s="19">
        <f>IFERROR(__xludf.DUMMYFUNCTION("""COMPUTED_VALUE"""),0.00229)</f>
        <v>0.00229</v>
      </c>
      <c r="H377" s="19" t="str">
        <f>IFERROR(__xludf.DUMMYFUNCTION("""COMPUTED_VALUE"""),"-")</f>
        <v>-</v>
      </c>
      <c r="I377" s="19">
        <f>IFERROR(__xludf.DUMMYFUNCTION("""COMPUTED_VALUE"""),0.00219)</f>
        <v>0.00219</v>
      </c>
      <c r="J377" s="19">
        <f>IFERROR(__xludf.DUMMYFUNCTION("""COMPUTED_VALUE"""),0.04696)</f>
        <v>0.04696</v>
      </c>
      <c r="K377" s="19" t="str">
        <f>IFERROR(__xludf.DUMMYFUNCTION("""COMPUTED_VALUE"""),"-")</f>
        <v>-</v>
      </c>
      <c r="L377" s="19">
        <f>IFERROR(__xludf.DUMMYFUNCTION("""COMPUTED_VALUE"""),0.04768)</f>
        <v>0.04768</v>
      </c>
      <c r="O377" s="24">
        <f t="shared" si="4"/>
        <v>0</v>
      </c>
      <c r="P377" s="24"/>
      <c r="Q377" s="24">
        <f t="shared" si="6"/>
        <v>0</v>
      </c>
      <c r="R377" s="24">
        <f t="shared" si="7"/>
        <v>0</v>
      </c>
      <c r="S377" s="24"/>
      <c r="T377" s="24">
        <f t="shared" si="9"/>
        <v>0</v>
      </c>
    </row>
    <row r="378">
      <c r="A378" s="12" t="s">
        <v>467</v>
      </c>
      <c r="F378" s="19">
        <f>IFERROR(__xludf.DUMMYFUNCTION("SPLIT(A374, "" |"")"),372.0)</f>
        <v>372</v>
      </c>
      <c r="G378" s="19">
        <f>IFERROR(__xludf.DUMMYFUNCTION("""COMPUTED_VALUE"""),0.00241)</f>
        <v>0.00241</v>
      </c>
      <c r="H378" s="19" t="str">
        <f>IFERROR(__xludf.DUMMYFUNCTION("""COMPUTED_VALUE"""),"-")</f>
        <v>-</v>
      </c>
      <c r="I378" s="19">
        <f>IFERROR(__xludf.DUMMYFUNCTION("""COMPUTED_VALUE"""),0.00215)</f>
        <v>0.00215</v>
      </c>
      <c r="J378" s="19">
        <f>IFERROR(__xludf.DUMMYFUNCTION("""COMPUTED_VALUE"""),0.04744)</f>
        <v>0.04744</v>
      </c>
      <c r="K378" s="19" t="str">
        <f>IFERROR(__xludf.DUMMYFUNCTION("""COMPUTED_VALUE"""),"-")</f>
        <v>-</v>
      </c>
      <c r="L378" s="19">
        <f>IFERROR(__xludf.DUMMYFUNCTION("""COMPUTED_VALUE"""),0.04757)</f>
        <v>0.04757</v>
      </c>
      <c r="O378" s="24">
        <f t="shared" si="4"/>
        <v>0</v>
      </c>
      <c r="P378" s="24"/>
      <c r="Q378" s="24">
        <f t="shared" si="6"/>
        <v>0</v>
      </c>
      <c r="R378" s="24">
        <f t="shared" si="7"/>
        <v>0</v>
      </c>
      <c r="S378" s="24"/>
      <c r="T378" s="24">
        <f t="shared" si="9"/>
        <v>0</v>
      </c>
    </row>
    <row r="379">
      <c r="A379" s="12" t="s">
        <v>468</v>
      </c>
      <c r="F379" s="19">
        <f>IFERROR(__xludf.DUMMYFUNCTION("SPLIT(A375, "" |"")"),373.0)</f>
        <v>373</v>
      </c>
      <c r="G379" s="19">
        <f>IFERROR(__xludf.DUMMYFUNCTION("""COMPUTED_VALUE"""),0.00244)</f>
        <v>0.00244</v>
      </c>
      <c r="H379" s="19" t="str">
        <f>IFERROR(__xludf.DUMMYFUNCTION("""COMPUTED_VALUE"""),"-")</f>
        <v>-</v>
      </c>
      <c r="I379" s="19">
        <f>IFERROR(__xludf.DUMMYFUNCTION("""COMPUTED_VALUE"""),0.00228)</f>
        <v>0.00228</v>
      </c>
      <c r="J379" s="19">
        <f>IFERROR(__xludf.DUMMYFUNCTION("""COMPUTED_VALUE"""),0.04749)</f>
        <v>0.04749</v>
      </c>
      <c r="K379" s="19" t="str">
        <f>IFERROR(__xludf.DUMMYFUNCTION("""COMPUTED_VALUE"""),"-")</f>
        <v>-</v>
      </c>
      <c r="L379" s="19">
        <f>IFERROR(__xludf.DUMMYFUNCTION("""COMPUTED_VALUE"""),0.04757)</f>
        <v>0.04757</v>
      </c>
      <c r="O379" s="24">
        <f t="shared" si="4"/>
        <v>0</v>
      </c>
      <c r="P379" s="24"/>
      <c r="Q379" s="24">
        <f t="shared" si="6"/>
        <v>0</v>
      </c>
      <c r="R379" s="24">
        <f t="shared" si="7"/>
        <v>0</v>
      </c>
      <c r="S379" s="24"/>
      <c r="T379" s="24">
        <f t="shared" si="9"/>
        <v>0</v>
      </c>
    </row>
    <row r="380">
      <c r="A380" s="12" t="s">
        <v>469</v>
      </c>
      <c r="F380" s="19">
        <f>IFERROR(__xludf.DUMMYFUNCTION("SPLIT(A376, "" |"")"),374.0)</f>
        <v>374</v>
      </c>
      <c r="G380" s="19">
        <f>IFERROR(__xludf.DUMMYFUNCTION("""COMPUTED_VALUE"""),0.00229)</f>
        <v>0.00229</v>
      </c>
      <c r="H380" s="19" t="str">
        <f>IFERROR(__xludf.DUMMYFUNCTION("""COMPUTED_VALUE"""),"-")</f>
        <v>-</v>
      </c>
      <c r="I380" s="19">
        <f>IFERROR(__xludf.DUMMYFUNCTION("""COMPUTED_VALUE"""),0.00218)</f>
        <v>0.00218</v>
      </c>
      <c r="J380" s="19">
        <f>IFERROR(__xludf.DUMMYFUNCTION("""COMPUTED_VALUE"""),0.04746)</f>
        <v>0.04746</v>
      </c>
      <c r="K380" s="19" t="str">
        <f>IFERROR(__xludf.DUMMYFUNCTION("""COMPUTED_VALUE"""),"-")</f>
        <v>-</v>
      </c>
      <c r="L380" s="19">
        <f>IFERROR(__xludf.DUMMYFUNCTION("""COMPUTED_VALUE"""),0.04759)</f>
        <v>0.04759</v>
      </c>
      <c r="O380" s="24">
        <f t="shared" si="4"/>
        <v>0</v>
      </c>
      <c r="P380" s="24"/>
      <c r="Q380" s="24">
        <f t="shared" si="6"/>
        <v>0</v>
      </c>
      <c r="R380" s="24">
        <f t="shared" si="7"/>
        <v>0</v>
      </c>
      <c r="S380" s="24"/>
      <c r="T380" s="24">
        <f t="shared" si="9"/>
        <v>0</v>
      </c>
    </row>
    <row r="381">
      <c r="A381" s="12" t="s">
        <v>470</v>
      </c>
      <c r="F381" s="19">
        <f>IFERROR(__xludf.DUMMYFUNCTION("SPLIT(A377, "" |"")"),375.0)</f>
        <v>375</v>
      </c>
      <c r="G381" s="19">
        <f>IFERROR(__xludf.DUMMYFUNCTION("""COMPUTED_VALUE"""),0.0024)</f>
        <v>0.0024</v>
      </c>
      <c r="H381" s="19" t="str">
        <f>IFERROR(__xludf.DUMMYFUNCTION("""COMPUTED_VALUE"""),"-")</f>
        <v>-</v>
      </c>
      <c r="I381" s="19">
        <f>IFERROR(__xludf.DUMMYFUNCTION("""COMPUTED_VALUE"""),0.00222)</f>
        <v>0.00222</v>
      </c>
      <c r="J381" s="19">
        <f>IFERROR(__xludf.DUMMYFUNCTION("""COMPUTED_VALUE"""),0.0475)</f>
        <v>0.0475</v>
      </c>
      <c r="K381" s="19" t="str">
        <f>IFERROR(__xludf.DUMMYFUNCTION("""COMPUTED_VALUE"""),"-")</f>
        <v>-</v>
      </c>
      <c r="L381" s="19">
        <f>IFERROR(__xludf.DUMMYFUNCTION("""COMPUTED_VALUE"""),0.0476)</f>
        <v>0.0476</v>
      </c>
      <c r="O381" s="24">
        <f t="shared" si="4"/>
        <v>0</v>
      </c>
      <c r="P381" s="24"/>
      <c r="Q381" s="24">
        <f t="shared" si="6"/>
        <v>0</v>
      </c>
      <c r="R381" s="24">
        <f t="shared" si="7"/>
        <v>0</v>
      </c>
      <c r="S381" s="24"/>
      <c r="T381" s="24">
        <f t="shared" si="9"/>
        <v>0</v>
      </c>
    </row>
    <row r="382">
      <c r="A382" s="12" t="s">
        <v>471</v>
      </c>
      <c r="F382" s="19">
        <f>IFERROR(__xludf.DUMMYFUNCTION("SPLIT(A378, "" |"")"),376.0)</f>
        <v>376</v>
      </c>
      <c r="G382" s="19">
        <f>IFERROR(__xludf.DUMMYFUNCTION("""COMPUTED_VALUE"""),0.00227)</f>
        <v>0.00227</v>
      </c>
      <c r="H382" s="19" t="str">
        <f>IFERROR(__xludf.DUMMYFUNCTION("""COMPUTED_VALUE"""),"-")</f>
        <v>-</v>
      </c>
      <c r="I382" s="19">
        <f>IFERROR(__xludf.DUMMYFUNCTION("""COMPUTED_VALUE"""),0.00222)</f>
        <v>0.00222</v>
      </c>
      <c r="J382" s="19">
        <f>IFERROR(__xludf.DUMMYFUNCTION("""COMPUTED_VALUE"""),0.04752)</f>
        <v>0.04752</v>
      </c>
      <c r="K382" s="19" t="str">
        <f>IFERROR(__xludf.DUMMYFUNCTION("""COMPUTED_VALUE"""),"-")</f>
        <v>-</v>
      </c>
      <c r="L382" s="19">
        <f>IFERROR(__xludf.DUMMYFUNCTION("""COMPUTED_VALUE"""),0.04319)</f>
        <v>0.04319</v>
      </c>
      <c r="O382" s="24">
        <f t="shared" si="4"/>
        <v>0</v>
      </c>
      <c r="P382" s="24"/>
      <c r="Q382" s="24">
        <f t="shared" si="6"/>
        <v>0</v>
      </c>
      <c r="R382" s="24">
        <f t="shared" si="7"/>
        <v>0</v>
      </c>
      <c r="S382" s="24"/>
      <c r="T382" s="24">
        <f t="shared" si="9"/>
        <v>0</v>
      </c>
    </row>
    <row r="383">
      <c r="A383" s="12" t="s">
        <v>472</v>
      </c>
      <c r="F383" s="19">
        <f>IFERROR(__xludf.DUMMYFUNCTION("SPLIT(A379, "" |"")"),377.0)</f>
        <v>377</v>
      </c>
      <c r="G383" s="19">
        <f>IFERROR(__xludf.DUMMYFUNCTION("""COMPUTED_VALUE"""),0.00239)</f>
        <v>0.00239</v>
      </c>
      <c r="H383" s="19" t="str">
        <f>IFERROR(__xludf.DUMMYFUNCTION("""COMPUTED_VALUE"""),"-")</f>
        <v>-</v>
      </c>
      <c r="I383" s="19">
        <f>IFERROR(__xludf.DUMMYFUNCTION("""COMPUTED_VALUE"""),0.00215)</f>
        <v>0.00215</v>
      </c>
      <c r="J383" s="19">
        <f>IFERROR(__xludf.DUMMYFUNCTION("""COMPUTED_VALUE"""),0.04746)</f>
        <v>0.04746</v>
      </c>
      <c r="K383" s="19" t="str">
        <f>IFERROR(__xludf.DUMMYFUNCTION("""COMPUTED_VALUE"""),"-")</f>
        <v>-</v>
      </c>
      <c r="L383" s="19">
        <f>IFERROR(__xludf.DUMMYFUNCTION("""COMPUTED_VALUE"""),0.04209)</f>
        <v>0.04209</v>
      </c>
      <c r="O383" s="24">
        <f t="shared" si="4"/>
        <v>0</v>
      </c>
      <c r="P383" s="24"/>
      <c r="Q383" s="24">
        <f t="shared" si="6"/>
        <v>0</v>
      </c>
      <c r="R383" s="24">
        <f t="shared" si="7"/>
        <v>0</v>
      </c>
      <c r="S383" s="24"/>
      <c r="T383" s="24">
        <f t="shared" si="9"/>
        <v>0</v>
      </c>
    </row>
    <row r="384">
      <c r="A384" s="12" t="s">
        <v>473</v>
      </c>
      <c r="F384" s="19">
        <f>IFERROR(__xludf.DUMMYFUNCTION("SPLIT(A380, "" |"")"),378.0)</f>
        <v>378</v>
      </c>
      <c r="G384" s="19">
        <f>IFERROR(__xludf.DUMMYFUNCTION("""COMPUTED_VALUE"""),0.00224)</f>
        <v>0.00224</v>
      </c>
      <c r="H384" s="19" t="str">
        <f>IFERROR(__xludf.DUMMYFUNCTION("""COMPUTED_VALUE"""),"-")</f>
        <v>-</v>
      </c>
      <c r="I384" s="19">
        <f>IFERROR(__xludf.DUMMYFUNCTION("""COMPUTED_VALUE"""),0.00207)</f>
        <v>0.00207</v>
      </c>
      <c r="J384" s="19">
        <f>IFERROR(__xludf.DUMMYFUNCTION("""COMPUTED_VALUE"""),0.04715)</f>
        <v>0.04715</v>
      </c>
      <c r="K384" s="19" t="str">
        <f>IFERROR(__xludf.DUMMYFUNCTION("""COMPUTED_VALUE"""),"-")</f>
        <v>-</v>
      </c>
      <c r="L384" s="19">
        <f>IFERROR(__xludf.DUMMYFUNCTION("""COMPUTED_VALUE"""),0.04678)</f>
        <v>0.04678</v>
      </c>
      <c r="O384" s="24">
        <f t="shared" si="4"/>
        <v>0</v>
      </c>
      <c r="P384" s="24"/>
      <c r="Q384" s="24">
        <f t="shared" si="6"/>
        <v>0</v>
      </c>
      <c r="R384" s="24">
        <f t="shared" si="7"/>
        <v>0</v>
      </c>
      <c r="S384" s="24"/>
      <c r="T384" s="24">
        <f t="shared" si="9"/>
        <v>0</v>
      </c>
    </row>
    <row r="385">
      <c r="A385" s="12" t="s">
        <v>474</v>
      </c>
      <c r="F385" s="19">
        <f>IFERROR(__xludf.DUMMYFUNCTION("SPLIT(A381, "" |"")"),379.0)</f>
        <v>379</v>
      </c>
      <c r="G385" s="19">
        <f>IFERROR(__xludf.DUMMYFUNCTION("""COMPUTED_VALUE"""),0.00246)</f>
        <v>0.00246</v>
      </c>
      <c r="H385" s="19" t="str">
        <f>IFERROR(__xludf.DUMMYFUNCTION("""COMPUTED_VALUE"""),"-")</f>
        <v>-</v>
      </c>
      <c r="I385" s="19">
        <f>IFERROR(__xludf.DUMMYFUNCTION("""COMPUTED_VALUE"""),0.0022)</f>
        <v>0.0022</v>
      </c>
      <c r="J385" s="19">
        <f>IFERROR(__xludf.DUMMYFUNCTION("""COMPUTED_VALUE"""),0.04738)</f>
        <v>0.04738</v>
      </c>
      <c r="K385" s="19" t="str">
        <f>IFERROR(__xludf.DUMMYFUNCTION("""COMPUTED_VALUE"""),"-")</f>
        <v>-</v>
      </c>
      <c r="L385" s="19">
        <f>IFERROR(__xludf.DUMMYFUNCTION("""COMPUTED_VALUE"""),0.04754)</f>
        <v>0.04754</v>
      </c>
      <c r="O385" s="24">
        <f t="shared" si="4"/>
        <v>0</v>
      </c>
      <c r="P385" s="24"/>
      <c r="Q385" s="24">
        <f t="shared" si="6"/>
        <v>0</v>
      </c>
      <c r="R385" s="24">
        <f t="shared" si="7"/>
        <v>0</v>
      </c>
      <c r="S385" s="24"/>
      <c r="T385" s="24">
        <f t="shared" si="9"/>
        <v>0</v>
      </c>
    </row>
    <row r="386">
      <c r="A386" s="12" t="s">
        <v>475</v>
      </c>
      <c r="F386" s="19">
        <f>IFERROR(__xludf.DUMMYFUNCTION("SPLIT(A382, "" |"")"),380.0)</f>
        <v>380</v>
      </c>
      <c r="G386" s="19">
        <f>IFERROR(__xludf.DUMMYFUNCTION("""COMPUTED_VALUE"""),0.00233)</f>
        <v>0.00233</v>
      </c>
      <c r="H386" s="19" t="str">
        <f>IFERROR(__xludf.DUMMYFUNCTION("""COMPUTED_VALUE"""),"-")</f>
        <v>-</v>
      </c>
      <c r="I386" s="19">
        <f>IFERROR(__xludf.DUMMYFUNCTION("""COMPUTED_VALUE"""),0.00226)</f>
        <v>0.00226</v>
      </c>
      <c r="J386" s="19">
        <f>IFERROR(__xludf.DUMMYFUNCTION("""COMPUTED_VALUE"""),0.04746)</f>
        <v>0.04746</v>
      </c>
      <c r="K386" s="19" t="str">
        <f>IFERROR(__xludf.DUMMYFUNCTION("""COMPUTED_VALUE"""),"-")</f>
        <v>-</v>
      </c>
      <c r="L386" s="19">
        <f>IFERROR(__xludf.DUMMYFUNCTION("""COMPUTED_VALUE"""),0.04751)</f>
        <v>0.04751</v>
      </c>
      <c r="O386" s="24">
        <f t="shared" si="4"/>
        <v>0</v>
      </c>
      <c r="P386" s="24"/>
      <c r="Q386" s="24">
        <f t="shared" si="6"/>
        <v>0</v>
      </c>
      <c r="R386" s="24">
        <f t="shared" si="7"/>
        <v>0</v>
      </c>
      <c r="S386" s="24"/>
      <c r="T386" s="24">
        <f t="shared" si="9"/>
        <v>0</v>
      </c>
    </row>
    <row r="387">
      <c r="A387" s="12" t="s">
        <v>476</v>
      </c>
      <c r="F387" s="19">
        <f>IFERROR(__xludf.DUMMYFUNCTION("SPLIT(A383, "" |"")"),381.0)</f>
        <v>381</v>
      </c>
      <c r="G387" s="19">
        <f>IFERROR(__xludf.DUMMYFUNCTION("""COMPUTED_VALUE"""),0.0024)</f>
        <v>0.0024</v>
      </c>
      <c r="H387" s="19" t="str">
        <f>IFERROR(__xludf.DUMMYFUNCTION("""COMPUTED_VALUE"""),"-")</f>
        <v>-</v>
      </c>
      <c r="I387" s="19">
        <f>IFERROR(__xludf.DUMMYFUNCTION("""COMPUTED_VALUE"""),0.00221)</f>
        <v>0.00221</v>
      </c>
      <c r="J387" s="19">
        <f>IFERROR(__xludf.DUMMYFUNCTION("""COMPUTED_VALUE"""),0.0475)</f>
        <v>0.0475</v>
      </c>
      <c r="K387" s="19" t="str">
        <f>IFERROR(__xludf.DUMMYFUNCTION("""COMPUTED_VALUE"""),"-")</f>
        <v>-</v>
      </c>
      <c r="L387" s="19">
        <f>IFERROR(__xludf.DUMMYFUNCTION("""COMPUTED_VALUE"""),0.04763)</f>
        <v>0.04763</v>
      </c>
      <c r="O387" s="24">
        <f t="shared" si="4"/>
        <v>0</v>
      </c>
      <c r="P387" s="24"/>
      <c r="Q387" s="24">
        <f t="shared" si="6"/>
        <v>0</v>
      </c>
      <c r="R387" s="24">
        <f t="shared" si="7"/>
        <v>0</v>
      </c>
      <c r="S387" s="24"/>
      <c r="T387" s="24">
        <f t="shared" si="9"/>
        <v>0</v>
      </c>
    </row>
    <row r="388">
      <c r="A388" s="12" t="s">
        <v>477</v>
      </c>
      <c r="F388" s="19">
        <f>IFERROR(__xludf.DUMMYFUNCTION("SPLIT(A384, "" |"")"),382.0)</f>
        <v>382</v>
      </c>
      <c r="G388" s="19">
        <f>IFERROR(__xludf.DUMMYFUNCTION("""COMPUTED_VALUE"""),0.00241)</f>
        <v>0.00241</v>
      </c>
      <c r="H388" s="19" t="str">
        <f>IFERROR(__xludf.DUMMYFUNCTION("""COMPUTED_VALUE"""),"-")</f>
        <v>-</v>
      </c>
      <c r="I388" s="19">
        <f>IFERROR(__xludf.DUMMYFUNCTION("""COMPUTED_VALUE"""),0.00226)</f>
        <v>0.00226</v>
      </c>
      <c r="J388" s="19">
        <f>IFERROR(__xludf.DUMMYFUNCTION("""COMPUTED_VALUE"""),0.04748)</f>
        <v>0.04748</v>
      </c>
      <c r="K388" s="19" t="str">
        <f>IFERROR(__xludf.DUMMYFUNCTION("""COMPUTED_VALUE"""),"-")</f>
        <v>-</v>
      </c>
      <c r="L388" s="19">
        <f>IFERROR(__xludf.DUMMYFUNCTION("""COMPUTED_VALUE"""),0.04751)</f>
        <v>0.04751</v>
      </c>
      <c r="O388" s="24">
        <f t="shared" si="4"/>
        <v>0</v>
      </c>
      <c r="P388" s="24"/>
      <c r="Q388" s="24">
        <f t="shared" si="6"/>
        <v>0</v>
      </c>
      <c r="R388" s="24">
        <f t="shared" si="7"/>
        <v>0</v>
      </c>
      <c r="S388" s="24"/>
      <c r="T388" s="24">
        <f t="shared" si="9"/>
        <v>0</v>
      </c>
    </row>
    <row r="389">
      <c r="A389" s="12" t="s">
        <v>478</v>
      </c>
      <c r="F389" s="19">
        <f>IFERROR(__xludf.DUMMYFUNCTION("SPLIT(A385, "" |"")"),383.0)</f>
        <v>383</v>
      </c>
      <c r="G389" s="19">
        <f>IFERROR(__xludf.DUMMYFUNCTION("""COMPUTED_VALUE"""),0.00239)</f>
        <v>0.00239</v>
      </c>
      <c r="H389" s="19" t="str">
        <f>IFERROR(__xludf.DUMMYFUNCTION("""COMPUTED_VALUE"""),"-")</f>
        <v>-</v>
      </c>
      <c r="I389" s="19">
        <f>IFERROR(__xludf.DUMMYFUNCTION("""COMPUTED_VALUE"""),0.00223)</f>
        <v>0.00223</v>
      </c>
      <c r="J389" s="19">
        <f>IFERROR(__xludf.DUMMYFUNCTION("""COMPUTED_VALUE"""),0.04748)</f>
        <v>0.04748</v>
      </c>
      <c r="K389" s="19" t="str">
        <f>IFERROR(__xludf.DUMMYFUNCTION("""COMPUTED_VALUE"""),"-")</f>
        <v>-</v>
      </c>
      <c r="L389" s="19">
        <f>IFERROR(__xludf.DUMMYFUNCTION("""COMPUTED_VALUE"""),0.04758)</f>
        <v>0.04758</v>
      </c>
      <c r="O389" s="24">
        <f t="shared" si="4"/>
        <v>0</v>
      </c>
      <c r="P389" s="24"/>
      <c r="Q389" s="24">
        <f t="shared" si="6"/>
        <v>0</v>
      </c>
      <c r="R389" s="24">
        <f t="shared" si="7"/>
        <v>0</v>
      </c>
      <c r="S389" s="24"/>
      <c r="T389" s="24">
        <f t="shared" si="9"/>
        <v>0</v>
      </c>
    </row>
    <row r="390">
      <c r="A390" s="12" t="s">
        <v>479</v>
      </c>
      <c r="F390" s="19">
        <f>IFERROR(__xludf.DUMMYFUNCTION("SPLIT(A386, "" |"")"),384.0)</f>
        <v>384</v>
      </c>
      <c r="G390" s="19">
        <f>IFERROR(__xludf.DUMMYFUNCTION("""COMPUTED_VALUE"""),0.00239)</f>
        <v>0.00239</v>
      </c>
      <c r="H390" s="19" t="str">
        <f>IFERROR(__xludf.DUMMYFUNCTION("""COMPUTED_VALUE"""),"-")</f>
        <v>-</v>
      </c>
      <c r="I390" s="19">
        <f>IFERROR(__xludf.DUMMYFUNCTION("""COMPUTED_VALUE"""),0.00219)</f>
        <v>0.00219</v>
      </c>
      <c r="J390" s="19">
        <f>IFERROR(__xludf.DUMMYFUNCTION("""COMPUTED_VALUE"""),0.04744)</f>
        <v>0.04744</v>
      </c>
      <c r="K390" s="19" t="str">
        <f>IFERROR(__xludf.DUMMYFUNCTION("""COMPUTED_VALUE"""),"-")</f>
        <v>-</v>
      </c>
      <c r="L390" s="19">
        <f>IFERROR(__xludf.DUMMYFUNCTION("""COMPUTED_VALUE"""),0.03963)</f>
        <v>0.03963</v>
      </c>
      <c r="O390" s="24">
        <f t="shared" si="4"/>
        <v>0</v>
      </c>
      <c r="P390" s="24"/>
      <c r="Q390" s="24">
        <f t="shared" si="6"/>
        <v>0</v>
      </c>
      <c r="R390" s="24">
        <f t="shared" si="7"/>
        <v>0</v>
      </c>
      <c r="S390" s="24"/>
      <c r="T390" s="24">
        <f t="shared" si="9"/>
        <v>0</v>
      </c>
    </row>
    <row r="391">
      <c r="A391" s="12" t="s">
        <v>480</v>
      </c>
      <c r="F391" s="19">
        <f>IFERROR(__xludf.DUMMYFUNCTION("SPLIT(A387, "" |"")"),385.0)</f>
        <v>385</v>
      </c>
      <c r="G391" s="19">
        <f>IFERROR(__xludf.DUMMYFUNCTION("""COMPUTED_VALUE"""),0.00246)</f>
        <v>0.00246</v>
      </c>
      <c r="H391" s="19" t="str">
        <f>IFERROR(__xludf.DUMMYFUNCTION("""COMPUTED_VALUE"""),"-")</f>
        <v>-</v>
      </c>
      <c r="I391" s="19">
        <f>IFERROR(__xludf.DUMMYFUNCTION("""COMPUTED_VALUE"""),0.0024)</f>
        <v>0.0024</v>
      </c>
      <c r="J391" s="19">
        <f>IFERROR(__xludf.DUMMYFUNCTION("""COMPUTED_VALUE"""),0.04258)</f>
        <v>0.04258</v>
      </c>
      <c r="K391" s="19" t="str">
        <f>IFERROR(__xludf.DUMMYFUNCTION("""COMPUTED_VALUE"""),"-")</f>
        <v>-</v>
      </c>
      <c r="L391" s="19">
        <f>IFERROR(__xludf.DUMMYFUNCTION("""COMPUTED_VALUE"""),0.04759)</f>
        <v>0.04759</v>
      </c>
      <c r="O391" s="24">
        <f t="shared" si="4"/>
        <v>0</v>
      </c>
      <c r="P391" s="24"/>
      <c r="Q391" s="24">
        <f t="shared" si="6"/>
        <v>0</v>
      </c>
      <c r="R391" s="24">
        <f t="shared" si="7"/>
        <v>1</v>
      </c>
      <c r="S391" s="24"/>
      <c r="T391" s="24">
        <f t="shared" si="9"/>
        <v>0</v>
      </c>
    </row>
    <row r="392">
      <c r="A392" s="12" t="s">
        <v>481</v>
      </c>
      <c r="F392" s="19">
        <f>IFERROR(__xludf.DUMMYFUNCTION("SPLIT(A388, "" |"")"),386.0)</f>
        <v>386</v>
      </c>
      <c r="G392" s="19">
        <f>IFERROR(__xludf.DUMMYFUNCTION("""COMPUTED_VALUE"""),0.00243)</f>
        <v>0.00243</v>
      </c>
      <c r="H392" s="19" t="str">
        <f>IFERROR(__xludf.DUMMYFUNCTION("""COMPUTED_VALUE"""),"-")</f>
        <v>-</v>
      </c>
      <c r="I392" s="19">
        <f>IFERROR(__xludf.DUMMYFUNCTION("""COMPUTED_VALUE"""),0.00225)</f>
        <v>0.00225</v>
      </c>
      <c r="J392" s="19">
        <f>IFERROR(__xludf.DUMMYFUNCTION("""COMPUTED_VALUE"""),0.04751)</f>
        <v>0.04751</v>
      </c>
      <c r="K392" s="19" t="str">
        <f>IFERROR(__xludf.DUMMYFUNCTION("""COMPUTED_VALUE"""),"-")</f>
        <v>-</v>
      </c>
      <c r="L392" s="19">
        <f>IFERROR(__xludf.DUMMYFUNCTION("""COMPUTED_VALUE"""),0.04759)</f>
        <v>0.04759</v>
      </c>
      <c r="O392" s="24">
        <f t="shared" si="4"/>
        <v>0</v>
      </c>
      <c r="P392" s="24"/>
      <c r="Q392" s="24">
        <f t="shared" si="6"/>
        <v>0</v>
      </c>
      <c r="R392" s="24">
        <f t="shared" si="7"/>
        <v>0</v>
      </c>
      <c r="S392" s="24"/>
      <c r="T392" s="24">
        <f t="shared" si="9"/>
        <v>0</v>
      </c>
    </row>
    <row r="393">
      <c r="A393" s="12" t="s">
        <v>482</v>
      </c>
      <c r="F393" s="19">
        <f>IFERROR(__xludf.DUMMYFUNCTION("SPLIT(A389, "" |"")"),387.0)</f>
        <v>387</v>
      </c>
      <c r="G393" s="19">
        <f>IFERROR(__xludf.DUMMYFUNCTION("""COMPUTED_VALUE"""),0.00238)</f>
        <v>0.00238</v>
      </c>
      <c r="H393" s="19" t="str">
        <f>IFERROR(__xludf.DUMMYFUNCTION("""COMPUTED_VALUE"""),"-")</f>
        <v>-</v>
      </c>
      <c r="I393" s="19">
        <f>IFERROR(__xludf.DUMMYFUNCTION("""COMPUTED_VALUE"""),0.00224)</f>
        <v>0.00224</v>
      </c>
      <c r="J393" s="19">
        <f>IFERROR(__xludf.DUMMYFUNCTION("""COMPUTED_VALUE"""),0.04746)</f>
        <v>0.04746</v>
      </c>
      <c r="K393" s="19" t="str">
        <f>IFERROR(__xludf.DUMMYFUNCTION("""COMPUTED_VALUE"""),"-")</f>
        <v>-</v>
      </c>
      <c r="L393" s="19">
        <f>IFERROR(__xludf.DUMMYFUNCTION("""COMPUTED_VALUE"""),0.04274)</f>
        <v>0.04274</v>
      </c>
      <c r="O393" s="24">
        <f t="shared" si="4"/>
        <v>0</v>
      </c>
      <c r="P393" s="24"/>
      <c r="Q393" s="24">
        <f t="shared" si="6"/>
        <v>0</v>
      </c>
      <c r="R393" s="24">
        <f t="shared" si="7"/>
        <v>0</v>
      </c>
      <c r="S393" s="24"/>
      <c r="T393" s="24">
        <f t="shared" si="9"/>
        <v>0</v>
      </c>
    </row>
    <row r="394">
      <c r="A394" s="12" t="s">
        <v>483</v>
      </c>
      <c r="F394" s="19">
        <f>IFERROR(__xludf.DUMMYFUNCTION("SPLIT(A390, "" |"")"),388.0)</f>
        <v>388</v>
      </c>
      <c r="G394" s="19">
        <f>IFERROR(__xludf.DUMMYFUNCTION("""COMPUTED_VALUE"""),0.00237)</f>
        <v>0.00237</v>
      </c>
      <c r="H394" s="19" t="str">
        <f>IFERROR(__xludf.DUMMYFUNCTION("""COMPUTED_VALUE"""),"-")</f>
        <v>-</v>
      </c>
      <c r="I394" s="19">
        <f>IFERROR(__xludf.DUMMYFUNCTION("""COMPUTED_VALUE"""),0.0022)</f>
        <v>0.0022</v>
      </c>
      <c r="J394" s="19">
        <f>IFERROR(__xludf.DUMMYFUNCTION("""COMPUTED_VALUE"""),0.04378)</f>
        <v>0.04378</v>
      </c>
      <c r="K394" s="19" t="str">
        <f>IFERROR(__xludf.DUMMYFUNCTION("""COMPUTED_VALUE"""),"-")</f>
        <v>-</v>
      </c>
      <c r="L394" s="19">
        <f>IFERROR(__xludf.DUMMYFUNCTION("""COMPUTED_VALUE"""),0.04753)</f>
        <v>0.04753</v>
      </c>
      <c r="O394" s="24">
        <f t="shared" si="4"/>
        <v>0</v>
      </c>
      <c r="P394" s="24"/>
      <c r="Q394" s="24">
        <f t="shared" si="6"/>
        <v>0</v>
      </c>
      <c r="R394" s="24">
        <f t="shared" si="7"/>
        <v>1</v>
      </c>
      <c r="S394" s="24"/>
      <c r="T394" s="24">
        <f t="shared" si="9"/>
        <v>0</v>
      </c>
    </row>
    <row r="395">
      <c r="A395" s="12" t="s">
        <v>484</v>
      </c>
      <c r="F395" s="19">
        <f>IFERROR(__xludf.DUMMYFUNCTION("SPLIT(A391, "" |"")"),389.0)</f>
        <v>389</v>
      </c>
      <c r="G395" s="19">
        <f>IFERROR(__xludf.DUMMYFUNCTION("""COMPUTED_VALUE"""),0.0024)</f>
        <v>0.0024</v>
      </c>
      <c r="H395" s="19" t="str">
        <f>IFERROR(__xludf.DUMMYFUNCTION("""COMPUTED_VALUE"""),"-")</f>
        <v>-</v>
      </c>
      <c r="I395" s="19">
        <f>IFERROR(__xludf.DUMMYFUNCTION("""COMPUTED_VALUE"""),0.0023)</f>
        <v>0.0023</v>
      </c>
      <c r="J395" s="19">
        <f>IFERROR(__xludf.DUMMYFUNCTION("""COMPUTED_VALUE"""),0.04758)</f>
        <v>0.04758</v>
      </c>
      <c r="K395" s="19" t="str">
        <f>IFERROR(__xludf.DUMMYFUNCTION("""COMPUTED_VALUE"""),"-")</f>
        <v>-</v>
      </c>
      <c r="L395" s="19">
        <f>IFERROR(__xludf.DUMMYFUNCTION("""COMPUTED_VALUE"""),0.04751)</f>
        <v>0.04751</v>
      </c>
      <c r="O395" s="24">
        <f t="shared" si="4"/>
        <v>0</v>
      </c>
      <c r="P395" s="24"/>
      <c r="Q395" s="24">
        <f t="shared" si="6"/>
        <v>0</v>
      </c>
      <c r="R395" s="24">
        <f t="shared" si="7"/>
        <v>0</v>
      </c>
      <c r="S395" s="24"/>
      <c r="T395" s="24">
        <f t="shared" si="9"/>
        <v>0</v>
      </c>
    </row>
    <row r="396">
      <c r="A396" s="12" t="s">
        <v>485</v>
      </c>
      <c r="F396" s="19">
        <f>IFERROR(__xludf.DUMMYFUNCTION("SPLIT(A392, "" |"")"),390.0)</f>
        <v>390</v>
      </c>
      <c r="G396" s="19">
        <f>IFERROR(__xludf.DUMMYFUNCTION("""COMPUTED_VALUE"""),0.00244)</f>
        <v>0.00244</v>
      </c>
      <c r="H396" s="19" t="str">
        <f>IFERROR(__xludf.DUMMYFUNCTION("""COMPUTED_VALUE"""),"-")</f>
        <v>-</v>
      </c>
      <c r="I396" s="19">
        <f>IFERROR(__xludf.DUMMYFUNCTION("""COMPUTED_VALUE"""),0.00226)</f>
        <v>0.00226</v>
      </c>
      <c r="J396" s="19">
        <f>IFERROR(__xludf.DUMMYFUNCTION("""COMPUTED_VALUE"""),0.04734)</f>
        <v>0.04734</v>
      </c>
      <c r="K396" s="19" t="str">
        <f>IFERROR(__xludf.DUMMYFUNCTION("""COMPUTED_VALUE"""),"-")</f>
        <v>-</v>
      </c>
      <c r="L396" s="19">
        <f>IFERROR(__xludf.DUMMYFUNCTION("""COMPUTED_VALUE"""),0.04434)</f>
        <v>0.04434</v>
      </c>
      <c r="O396" s="24">
        <f t="shared" si="4"/>
        <v>0</v>
      </c>
      <c r="P396" s="24"/>
      <c r="Q396" s="24">
        <f t="shared" si="6"/>
        <v>0</v>
      </c>
      <c r="R396" s="24">
        <f t="shared" si="7"/>
        <v>0</v>
      </c>
      <c r="S396" s="24"/>
      <c r="T396" s="24">
        <f t="shared" si="9"/>
        <v>0</v>
      </c>
    </row>
    <row r="397">
      <c r="A397" s="12" t="s">
        <v>486</v>
      </c>
      <c r="F397" s="19">
        <f>IFERROR(__xludf.DUMMYFUNCTION("SPLIT(A393, "" |"")"),391.0)</f>
        <v>391</v>
      </c>
      <c r="G397" s="19">
        <f>IFERROR(__xludf.DUMMYFUNCTION("""COMPUTED_VALUE"""),0.00243)</f>
        <v>0.00243</v>
      </c>
      <c r="H397" s="19" t="str">
        <f>IFERROR(__xludf.DUMMYFUNCTION("""COMPUTED_VALUE"""),"-")</f>
        <v>-</v>
      </c>
      <c r="I397" s="19">
        <f>IFERROR(__xludf.DUMMYFUNCTION("""COMPUTED_VALUE"""),0.00224)</f>
        <v>0.00224</v>
      </c>
      <c r="J397" s="19">
        <f>IFERROR(__xludf.DUMMYFUNCTION("""COMPUTED_VALUE"""),0.04743)</f>
        <v>0.04743</v>
      </c>
      <c r="K397" s="19" t="str">
        <f>IFERROR(__xludf.DUMMYFUNCTION("""COMPUTED_VALUE"""),"-")</f>
        <v>-</v>
      </c>
      <c r="L397" s="19">
        <f>IFERROR(__xludf.DUMMYFUNCTION("""COMPUTED_VALUE"""),0.04049)</f>
        <v>0.04049</v>
      </c>
      <c r="O397" s="24">
        <f t="shared" si="4"/>
        <v>0</v>
      </c>
      <c r="P397" s="24"/>
      <c r="Q397" s="24">
        <f t="shared" si="6"/>
        <v>0</v>
      </c>
      <c r="R397" s="24">
        <f t="shared" si="7"/>
        <v>0</v>
      </c>
      <c r="S397" s="24"/>
      <c r="T397" s="24">
        <f t="shared" si="9"/>
        <v>0</v>
      </c>
    </row>
    <row r="398">
      <c r="A398" s="12" t="s">
        <v>487</v>
      </c>
      <c r="F398" s="19">
        <f>IFERROR(__xludf.DUMMYFUNCTION("SPLIT(A394, "" |"")"),392.0)</f>
        <v>392</v>
      </c>
      <c r="G398" s="19">
        <f>IFERROR(__xludf.DUMMYFUNCTION("""COMPUTED_VALUE"""),0.00223)</f>
        <v>0.00223</v>
      </c>
      <c r="H398" s="19" t="str">
        <f>IFERROR(__xludf.DUMMYFUNCTION("""COMPUTED_VALUE"""),"-")</f>
        <v>-</v>
      </c>
      <c r="I398" s="19">
        <f>IFERROR(__xludf.DUMMYFUNCTION("""COMPUTED_VALUE"""),0.00227)</f>
        <v>0.00227</v>
      </c>
      <c r="J398" s="19">
        <f>IFERROR(__xludf.DUMMYFUNCTION("""COMPUTED_VALUE"""),0.04748)</f>
        <v>0.04748</v>
      </c>
      <c r="K398" s="19" t="str">
        <f>IFERROR(__xludf.DUMMYFUNCTION("""COMPUTED_VALUE"""),"-")</f>
        <v>-</v>
      </c>
      <c r="L398" s="19">
        <f>IFERROR(__xludf.DUMMYFUNCTION("""COMPUTED_VALUE"""),0.04764)</f>
        <v>0.04764</v>
      </c>
      <c r="O398" s="24">
        <f t="shared" si="4"/>
        <v>0</v>
      </c>
      <c r="P398" s="24"/>
      <c r="Q398" s="24">
        <f t="shared" si="6"/>
        <v>0</v>
      </c>
      <c r="R398" s="24">
        <f t="shared" si="7"/>
        <v>0</v>
      </c>
      <c r="S398" s="24"/>
      <c r="T398" s="24">
        <f t="shared" si="9"/>
        <v>0</v>
      </c>
    </row>
    <row r="399">
      <c r="A399" s="12" t="s">
        <v>488</v>
      </c>
      <c r="F399" s="19">
        <f>IFERROR(__xludf.DUMMYFUNCTION("SPLIT(A395, "" |"")"),393.0)</f>
        <v>393</v>
      </c>
      <c r="G399" s="19">
        <f>IFERROR(__xludf.DUMMYFUNCTION("""COMPUTED_VALUE"""),0.00233)</f>
        <v>0.00233</v>
      </c>
      <c r="H399" s="19" t="str">
        <f>IFERROR(__xludf.DUMMYFUNCTION("""COMPUTED_VALUE"""),"-")</f>
        <v>-</v>
      </c>
      <c r="I399" s="19">
        <f>IFERROR(__xludf.DUMMYFUNCTION("""COMPUTED_VALUE"""),0.00221)</f>
        <v>0.00221</v>
      </c>
      <c r="J399" s="19">
        <f>IFERROR(__xludf.DUMMYFUNCTION("""COMPUTED_VALUE"""),0.04749)</f>
        <v>0.04749</v>
      </c>
      <c r="K399" s="19" t="str">
        <f>IFERROR(__xludf.DUMMYFUNCTION("""COMPUTED_VALUE"""),"-")</f>
        <v>-</v>
      </c>
      <c r="L399" s="19">
        <f>IFERROR(__xludf.DUMMYFUNCTION("""COMPUTED_VALUE"""),0.04764)</f>
        <v>0.04764</v>
      </c>
      <c r="O399" s="24">
        <f t="shared" si="4"/>
        <v>0</v>
      </c>
      <c r="P399" s="24"/>
      <c r="Q399" s="24">
        <f t="shared" si="6"/>
        <v>0</v>
      </c>
      <c r="R399" s="24">
        <f t="shared" si="7"/>
        <v>0</v>
      </c>
      <c r="S399" s="24"/>
      <c r="T399" s="24">
        <f t="shared" si="9"/>
        <v>0</v>
      </c>
    </row>
    <row r="400">
      <c r="A400" s="12" t="s">
        <v>489</v>
      </c>
      <c r="F400" s="19">
        <f>IFERROR(__xludf.DUMMYFUNCTION("SPLIT(A396, "" |"")"),394.0)</f>
        <v>394</v>
      </c>
      <c r="G400" s="19">
        <f>IFERROR(__xludf.DUMMYFUNCTION("""COMPUTED_VALUE"""),0.00236)</f>
        <v>0.00236</v>
      </c>
      <c r="H400" s="19" t="str">
        <f>IFERROR(__xludf.DUMMYFUNCTION("""COMPUTED_VALUE"""),"-")</f>
        <v>-</v>
      </c>
      <c r="I400" s="19">
        <f>IFERROR(__xludf.DUMMYFUNCTION("""COMPUTED_VALUE"""),0.00222)</f>
        <v>0.00222</v>
      </c>
      <c r="J400" s="19">
        <f>IFERROR(__xludf.DUMMYFUNCTION("""COMPUTED_VALUE"""),0.04747)</f>
        <v>0.04747</v>
      </c>
      <c r="K400" s="19" t="str">
        <f>IFERROR(__xludf.DUMMYFUNCTION("""COMPUTED_VALUE"""),"-")</f>
        <v>-</v>
      </c>
      <c r="L400" s="19">
        <f>IFERROR(__xludf.DUMMYFUNCTION("""COMPUTED_VALUE"""),0.04754)</f>
        <v>0.04754</v>
      </c>
      <c r="O400" s="24">
        <f t="shared" si="4"/>
        <v>0</v>
      </c>
      <c r="P400" s="24"/>
      <c r="Q400" s="24">
        <f t="shared" si="6"/>
        <v>0</v>
      </c>
      <c r="R400" s="24">
        <f t="shared" si="7"/>
        <v>0</v>
      </c>
      <c r="S400" s="24"/>
      <c r="T400" s="24">
        <f t="shared" si="9"/>
        <v>0</v>
      </c>
    </row>
    <row r="401">
      <c r="A401" s="12" t="s">
        <v>490</v>
      </c>
      <c r="F401" s="19">
        <f>IFERROR(__xludf.DUMMYFUNCTION("SPLIT(A397, "" |"")"),395.0)</f>
        <v>395</v>
      </c>
      <c r="G401" s="19">
        <f>IFERROR(__xludf.DUMMYFUNCTION("""COMPUTED_VALUE"""),0.00236)</f>
        <v>0.00236</v>
      </c>
      <c r="H401" s="19" t="str">
        <f>IFERROR(__xludf.DUMMYFUNCTION("""COMPUTED_VALUE"""),"-")</f>
        <v>-</v>
      </c>
      <c r="I401" s="19">
        <f>IFERROR(__xludf.DUMMYFUNCTION("""COMPUTED_VALUE"""),0.00218)</f>
        <v>0.00218</v>
      </c>
      <c r="J401" s="19">
        <f>IFERROR(__xludf.DUMMYFUNCTION("""COMPUTED_VALUE"""),0.04749)</f>
        <v>0.04749</v>
      </c>
      <c r="K401" s="19" t="str">
        <f>IFERROR(__xludf.DUMMYFUNCTION("""COMPUTED_VALUE"""),"-")</f>
        <v>-</v>
      </c>
      <c r="L401" s="19">
        <f>IFERROR(__xludf.DUMMYFUNCTION("""COMPUTED_VALUE"""),0.0476)</f>
        <v>0.0476</v>
      </c>
      <c r="O401" s="24">
        <f t="shared" si="4"/>
        <v>0</v>
      </c>
      <c r="P401" s="24"/>
      <c r="Q401" s="24">
        <f t="shared" si="6"/>
        <v>0</v>
      </c>
      <c r="R401" s="24">
        <f t="shared" si="7"/>
        <v>0</v>
      </c>
      <c r="S401" s="24"/>
      <c r="T401" s="24">
        <f t="shared" si="9"/>
        <v>0</v>
      </c>
    </row>
    <row r="402">
      <c r="A402" s="12" t="s">
        <v>491</v>
      </c>
      <c r="F402" s="19">
        <f>IFERROR(__xludf.DUMMYFUNCTION("SPLIT(A398, "" |"")"),396.0)</f>
        <v>396</v>
      </c>
      <c r="G402" s="19">
        <f>IFERROR(__xludf.DUMMYFUNCTION("""COMPUTED_VALUE"""),0.00242)</f>
        <v>0.00242</v>
      </c>
      <c r="H402" s="19" t="str">
        <f>IFERROR(__xludf.DUMMYFUNCTION("""COMPUTED_VALUE"""),"-")</f>
        <v>-</v>
      </c>
      <c r="I402" s="19">
        <f>IFERROR(__xludf.DUMMYFUNCTION("""COMPUTED_VALUE"""),0.00221)</f>
        <v>0.00221</v>
      </c>
      <c r="J402" s="19">
        <f>IFERROR(__xludf.DUMMYFUNCTION("""COMPUTED_VALUE"""),0.04749)</f>
        <v>0.04749</v>
      </c>
      <c r="K402" s="19" t="str">
        <f>IFERROR(__xludf.DUMMYFUNCTION("""COMPUTED_VALUE"""),"-")</f>
        <v>-</v>
      </c>
      <c r="L402" s="19">
        <f>IFERROR(__xludf.DUMMYFUNCTION("""COMPUTED_VALUE"""),0.04759)</f>
        <v>0.04759</v>
      </c>
      <c r="O402" s="24">
        <f t="shared" si="4"/>
        <v>0</v>
      </c>
      <c r="P402" s="24"/>
      <c r="Q402" s="24">
        <f t="shared" si="6"/>
        <v>0</v>
      </c>
      <c r="R402" s="24">
        <f t="shared" si="7"/>
        <v>0</v>
      </c>
      <c r="S402" s="24"/>
      <c r="T402" s="24">
        <f t="shared" si="9"/>
        <v>0</v>
      </c>
    </row>
    <row r="403">
      <c r="A403" s="12" t="s">
        <v>492</v>
      </c>
      <c r="F403" s="19">
        <f>IFERROR(__xludf.DUMMYFUNCTION("SPLIT(A399, "" |"")"),397.0)</f>
        <v>397</v>
      </c>
      <c r="G403" s="19">
        <f>IFERROR(__xludf.DUMMYFUNCTION("""COMPUTED_VALUE"""),0.00238)</f>
        <v>0.00238</v>
      </c>
      <c r="H403" s="19" t="str">
        <f>IFERROR(__xludf.DUMMYFUNCTION("""COMPUTED_VALUE"""),"-")</f>
        <v>-</v>
      </c>
      <c r="I403" s="19">
        <f>IFERROR(__xludf.DUMMYFUNCTION("""COMPUTED_VALUE"""),0.00223)</f>
        <v>0.00223</v>
      </c>
      <c r="J403" s="19">
        <f>IFERROR(__xludf.DUMMYFUNCTION("""COMPUTED_VALUE"""),0.04642)</f>
        <v>0.04642</v>
      </c>
      <c r="K403" s="19" t="str">
        <f>IFERROR(__xludf.DUMMYFUNCTION("""COMPUTED_VALUE"""),"-")</f>
        <v>-</v>
      </c>
      <c r="L403" s="19">
        <f>IFERROR(__xludf.DUMMYFUNCTION("""COMPUTED_VALUE"""),0.04774)</f>
        <v>0.04774</v>
      </c>
      <c r="O403" s="24">
        <f t="shared" si="4"/>
        <v>0</v>
      </c>
      <c r="P403" s="24"/>
      <c r="Q403" s="24">
        <f t="shared" si="6"/>
        <v>0</v>
      </c>
      <c r="R403" s="24">
        <f t="shared" si="7"/>
        <v>0</v>
      </c>
      <c r="S403" s="24"/>
      <c r="T403" s="24">
        <f t="shared" si="9"/>
        <v>0</v>
      </c>
    </row>
    <row r="404">
      <c r="A404" s="12" t="s">
        <v>493</v>
      </c>
      <c r="F404" s="19">
        <f>IFERROR(__xludf.DUMMYFUNCTION("SPLIT(A400, "" |"")"),398.0)</f>
        <v>398</v>
      </c>
      <c r="G404" s="19">
        <f>IFERROR(__xludf.DUMMYFUNCTION("""COMPUTED_VALUE"""),0.00242)</f>
        <v>0.00242</v>
      </c>
      <c r="H404" s="19" t="str">
        <f>IFERROR(__xludf.DUMMYFUNCTION("""COMPUTED_VALUE"""),"-")</f>
        <v>-</v>
      </c>
      <c r="I404" s="19">
        <f>IFERROR(__xludf.DUMMYFUNCTION("""COMPUTED_VALUE"""),0.00223)</f>
        <v>0.00223</v>
      </c>
      <c r="J404" s="19">
        <f>IFERROR(__xludf.DUMMYFUNCTION("""COMPUTED_VALUE"""),0.0474)</f>
        <v>0.0474</v>
      </c>
      <c r="K404" s="19" t="str">
        <f>IFERROR(__xludf.DUMMYFUNCTION("""COMPUTED_VALUE"""),"-")</f>
        <v>-</v>
      </c>
      <c r="L404" s="19">
        <f>IFERROR(__xludf.DUMMYFUNCTION("""COMPUTED_VALUE"""),0.04427)</f>
        <v>0.04427</v>
      </c>
      <c r="O404" s="24">
        <f t="shared" si="4"/>
        <v>0</v>
      </c>
      <c r="P404" s="24"/>
      <c r="Q404" s="24">
        <f t="shared" si="6"/>
        <v>0</v>
      </c>
      <c r="R404" s="24">
        <f t="shared" si="7"/>
        <v>0</v>
      </c>
      <c r="S404" s="24"/>
      <c r="T404" s="24">
        <f t="shared" si="9"/>
        <v>0</v>
      </c>
    </row>
    <row r="405">
      <c r="A405" s="12" t="s">
        <v>494</v>
      </c>
      <c r="F405" s="19">
        <f>IFERROR(__xludf.DUMMYFUNCTION("SPLIT(A401, "" |"")"),399.0)</f>
        <v>399</v>
      </c>
      <c r="G405" s="19">
        <f>IFERROR(__xludf.DUMMYFUNCTION("""COMPUTED_VALUE"""),0.00246)</f>
        <v>0.00246</v>
      </c>
      <c r="H405" s="19" t="str">
        <f>IFERROR(__xludf.DUMMYFUNCTION("""COMPUTED_VALUE"""),"-")</f>
        <v>-</v>
      </c>
      <c r="I405" s="19">
        <f>IFERROR(__xludf.DUMMYFUNCTION("""COMPUTED_VALUE"""),0.00234)</f>
        <v>0.00234</v>
      </c>
      <c r="J405" s="19">
        <f>IFERROR(__xludf.DUMMYFUNCTION("""COMPUTED_VALUE"""),0.04751)</f>
        <v>0.04751</v>
      </c>
      <c r="K405" s="19" t="str">
        <f>IFERROR(__xludf.DUMMYFUNCTION("""COMPUTED_VALUE"""),"-")</f>
        <v>-</v>
      </c>
      <c r="L405" s="19">
        <f>IFERROR(__xludf.DUMMYFUNCTION("""COMPUTED_VALUE"""),0.04762)</f>
        <v>0.04762</v>
      </c>
      <c r="O405" s="24">
        <f t="shared" si="4"/>
        <v>0</v>
      </c>
      <c r="P405" s="24"/>
      <c r="Q405" s="24">
        <f t="shared" si="6"/>
        <v>0</v>
      </c>
      <c r="R405" s="24">
        <f t="shared" si="7"/>
        <v>0</v>
      </c>
      <c r="S405" s="24"/>
      <c r="T405" s="24">
        <f t="shared" si="9"/>
        <v>0</v>
      </c>
    </row>
    <row r="406">
      <c r="A406" s="12" t="s">
        <v>495</v>
      </c>
      <c r="F406" s="19">
        <f>IFERROR(__xludf.DUMMYFUNCTION("SPLIT(A402, "" |"")"),400.0)</f>
        <v>400</v>
      </c>
      <c r="G406" s="19">
        <f>IFERROR(__xludf.DUMMYFUNCTION("""COMPUTED_VALUE"""),0.00223)</f>
        <v>0.00223</v>
      </c>
      <c r="H406" s="19" t="str">
        <f>IFERROR(__xludf.DUMMYFUNCTION("""COMPUTED_VALUE"""),"-")</f>
        <v>-</v>
      </c>
      <c r="I406" s="19">
        <f>IFERROR(__xludf.DUMMYFUNCTION("""COMPUTED_VALUE"""),0.00209)</f>
        <v>0.00209</v>
      </c>
      <c r="J406" s="19">
        <f>IFERROR(__xludf.DUMMYFUNCTION("""COMPUTED_VALUE"""),0.04491)</f>
        <v>0.04491</v>
      </c>
      <c r="K406" s="19" t="str">
        <f>IFERROR(__xludf.DUMMYFUNCTION("""COMPUTED_VALUE"""),"-")</f>
        <v>-</v>
      </c>
      <c r="L406" s="19">
        <f>IFERROR(__xludf.DUMMYFUNCTION("""COMPUTED_VALUE"""),0.04749)</f>
        <v>0.04749</v>
      </c>
      <c r="O406" s="24">
        <f t="shared" si="4"/>
        <v>0</v>
      </c>
      <c r="P406" s="24"/>
      <c r="Q406" s="24">
        <f t="shared" si="6"/>
        <v>0</v>
      </c>
      <c r="R406" s="24">
        <f t="shared" si="7"/>
        <v>1</v>
      </c>
      <c r="S406" s="24"/>
      <c r="T406" s="24">
        <f t="shared" si="9"/>
        <v>0</v>
      </c>
    </row>
    <row r="407">
      <c r="A407" s="12" t="s">
        <v>496</v>
      </c>
      <c r="F407" s="19">
        <f>IFERROR(__xludf.DUMMYFUNCTION("SPLIT(A403, "" |"")"),401.0)</f>
        <v>401</v>
      </c>
      <c r="G407" s="19">
        <f>IFERROR(__xludf.DUMMYFUNCTION("""COMPUTED_VALUE"""),0.00244)</f>
        <v>0.00244</v>
      </c>
      <c r="H407" s="19" t="str">
        <f>IFERROR(__xludf.DUMMYFUNCTION("""COMPUTED_VALUE"""),"-")</f>
        <v>-</v>
      </c>
      <c r="I407" s="19">
        <f>IFERROR(__xludf.DUMMYFUNCTION("""COMPUTED_VALUE"""),0.00215)</f>
        <v>0.00215</v>
      </c>
      <c r="J407" s="19">
        <f>IFERROR(__xludf.DUMMYFUNCTION("""COMPUTED_VALUE"""),0.04757)</f>
        <v>0.04757</v>
      </c>
      <c r="K407" s="19" t="str">
        <f>IFERROR(__xludf.DUMMYFUNCTION("""COMPUTED_VALUE"""),"-")</f>
        <v>-</v>
      </c>
      <c r="L407" s="19">
        <f>IFERROR(__xludf.DUMMYFUNCTION("""COMPUTED_VALUE"""),0.04765)</f>
        <v>0.04765</v>
      </c>
      <c r="O407" s="24">
        <f t="shared" si="4"/>
        <v>0</v>
      </c>
      <c r="P407" s="24"/>
      <c r="Q407" s="24">
        <f t="shared" si="6"/>
        <v>0</v>
      </c>
      <c r="R407" s="24">
        <f t="shared" si="7"/>
        <v>0</v>
      </c>
      <c r="S407" s="24"/>
      <c r="T407" s="24">
        <f t="shared" si="9"/>
        <v>0</v>
      </c>
    </row>
    <row r="408">
      <c r="A408" s="12" t="s">
        <v>497</v>
      </c>
      <c r="F408" s="19">
        <f>IFERROR(__xludf.DUMMYFUNCTION("SPLIT(A404, "" |"")"),402.0)</f>
        <v>402</v>
      </c>
      <c r="G408" s="19">
        <f>IFERROR(__xludf.DUMMYFUNCTION("""COMPUTED_VALUE"""),0.00236)</f>
        <v>0.00236</v>
      </c>
      <c r="H408" s="19" t="str">
        <f>IFERROR(__xludf.DUMMYFUNCTION("""COMPUTED_VALUE"""),"-")</f>
        <v>-</v>
      </c>
      <c r="I408" s="19">
        <f>IFERROR(__xludf.DUMMYFUNCTION("""COMPUTED_VALUE"""),0.00218)</f>
        <v>0.00218</v>
      </c>
      <c r="J408" s="19">
        <f>IFERROR(__xludf.DUMMYFUNCTION("""COMPUTED_VALUE"""),0.04744)</f>
        <v>0.04744</v>
      </c>
      <c r="K408" s="19" t="str">
        <f>IFERROR(__xludf.DUMMYFUNCTION("""COMPUTED_VALUE"""),"-")</f>
        <v>-</v>
      </c>
      <c r="L408" s="19">
        <f>IFERROR(__xludf.DUMMYFUNCTION("""COMPUTED_VALUE"""),0.04753)</f>
        <v>0.04753</v>
      </c>
      <c r="O408" s="24">
        <f t="shared" si="4"/>
        <v>0</v>
      </c>
      <c r="P408" s="24"/>
      <c r="Q408" s="24">
        <f t="shared" si="6"/>
        <v>0</v>
      </c>
      <c r="R408" s="24">
        <f t="shared" si="7"/>
        <v>0</v>
      </c>
      <c r="S408" s="24"/>
      <c r="T408" s="24">
        <f t="shared" si="9"/>
        <v>0</v>
      </c>
    </row>
    <row r="409">
      <c r="A409" s="12" t="s">
        <v>498</v>
      </c>
      <c r="F409" s="19">
        <f>IFERROR(__xludf.DUMMYFUNCTION("SPLIT(A405, "" |"")"),403.0)</f>
        <v>403</v>
      </c>
      <c r="G409" s="19">
        <f>IFERROR(__xludf.DUMMYFUNCTION("""COMPUTED_VALUE"""),0.00239)</f>
        <v>0.00239</v>
      </c>
      <c r="H409" s="19" t="str">
        <f>IFERROR(__xludf.DUMMYFUNCTION("""COMPUTED_VALUE"""),"-")</f>
        <v>-</v>
      </c>
      <c r="I409" s="19">
        <f>IFERROR(__xludf.DUMMYFUNCTION("""COMPUTED_VALUE"""),0.00215)</f>
        <v>0.00215</v>
      </c>
      <c r="J409" s="19">
        <f>IFERROR(__xludf.DUMMYFUNCTION("""COMPUTED_VALUE"""),0.04738)</f>
        <v>0.04738</v>
      </c>
      <c r="K409" s="19" t="str">
        <f>IFERROR(__xludf.DUMMYFUNCTION("""COMPUTED_VALUE"""),"-")</f>
        <v>-</v>
      </c>
      <c r="L409" s="19">
        <f>IFERROR(__xludf.DUMMYFUNCTION("""COMPUTED_VALUE"""),0.04763)</f>
        <v>0.04763</v>
      </c>
      <c r="O409" s="24">
        <f t="shared" si="4"/>
        <v>0</v>
      </c>
      <c r="P409" s="24"/>
      <c r="Q409" s="24">
        <f t="shared" si="6"/>
        <v>0</v>
      </c>
      <c r="R409" s="24">
        <f t="shared" si="7"/>
        <v>0</v>
      </c>
      <c r="S409" s="24"/>
      <c r="T409" s="24">
        <f t="shared" si="9"/>
        <v>0</v>
      </c>
    </row>
    <row r="410">
      <c r="A410" s="12" t="s">
        <v>499</v>
      </c>
      <c r="F410" s="19">
        <f>IFERROR(__xludf.DUMMYFUNCTION("SPLIT(A406, "" |"")"),404.0)</f>
        <v>404</v>
      </c>
      <c r="G410" s="19">
        <f>IFERROR(__xludf.DUMMYFUNCTION("""COMPUTED_VALUE"""),0.00239)</f>
        <v>0.00239</v>
      </c>
      <c r="H410" s="19" t="str">
        <f>IFERROR(__xludf.DUMMYFUNCTION("""COMPUTED_VALUE"""),"-")</f>
        <v>-</v>
      </c>
      <c r="I410" s="19">
        <f>IFERROR(__xludf.DUMMYFUNCTION("""COMPUTED_VALUE"""),0.00229)</f>
        <v>0.00229</v>
      </c>
      <c r="J410" s="19">
        <f>IFERROR(__xludf.DUMMYFUNCTION("""COMPUTED_VALUE"""),0.04745)</f>
        <v>0.04745</v>
      </c>
      <c r="K410" s="19" t="str">
        <f>IFERROR(__xludf.DUMMYFUNCTION("""COMPUTED_VALUE"""),"-")</f>
        <v>-</v>
      </c>
      <c r="L410" s="19">
        <f>IFERROR(__xludf.DUMMYFUNCTION("""COMPUTED_VALUE"""),0.04757)</f>
        <v>0.04757</v>
      </c>
      <c r="O410" s="24">
        <f t="shared" si="4"/>
        <v>0</v>
      </c>
      <c r="P410" s="24"/>
      <c r="Q410" s="24">
        <f t="shared" si="6"/>
        <v>0</v>
      </c>
      <c r="R410" s="24">
        <f t="shared" si="7"/>
        <v>0</v>
      </c>
      <c r="S410" s="24"/>
      <c r="T410" s="24">
        <f t="shared" si="9"/>
        <v>0</v>
      </c>
    </row>
    <row r="411">
      <c r="A411" s="12" t="s">
        <v>500</v>
      </c>
      <c r="F411" s="19">
        <f>IFERROR(__xludf.DUMMYFUNCTION("SPLIT(A407, "" |"")"),405.0)</f>
        <v>405</v>
      </c>
      <c r="G411" s="19">
        <f>IFERROR(__xludf.DUMMYFUNCTION("""COMPUTED_VALUE"""),0.00236)</f>
        <v>0.00236</v>
      </c>
      <c r="H411" s="19" t="str">
        <f>IFERROR(__xludf.DUMMYFUNCTION("""COMPUTED_VALUE"""),"-")</f>
        <v>-</v>
      </c>
      <c r="I411" s="19">
        <f>IFERROR(__xludf.DUMMYFUNCTION("""COMPUTED_VALUE"""),0.00222)</f>
        <v>0.00222</v>
      </c>
      <c r="J411" s="19">
        <f>IFERROR(__xludf.DUMMYFUNCTION("""COMPUTED_VALUE"""),0.04738)</f>
        <v>0.04738</v>
      </c>
      <c r="K411" s="19" t="str">
        <f>IFERROR(__xludf.DUMMYFUNCTION("""COMPUTED_VALUE"""),"-")</f>
        <v>-</v>
      </c>
      <c r="L411" s="19">
        <f>IFERROR(__xludf.DUMMYFUNCTION("""COMPUTED_VALUE"""),0.0475)</f>
        <v>0.0475</v>
      </c>
      <c r="O411" s="24">
        <f t="shared" si="4"/>
        <v>0</v>
      </c>
      <c r="P411" s="24"/>
      <c r="Q411" s="24">
        <f t="shared" si="6"/>
        <v>0</v>
      </c>
      <c r="R411" s="24">
        <f t="shared" si="7"/>
        <v>0</v>
      </c>
      <c r="S411" s="24"/>
      <c r="T411" s="24">
        <f t="shared" si="9"/>
        <v>0</v>
      </c>
    </row>
    <row r="412">
      <c r="A412" s="12" t="s">
        <v>501</v>
      </c>
      <c r="F412" s="19">
        <f>IFERROR(__xludf.DUMMYFUNCTION("SPLIT(A408, "" |"")"),406.0)</f>
        <v>406</v>
      </c>
      <c r="G412" s="19">
        <f>IFERROR(__xludf.DUMMYFUNCTION("""COMPUTED_VALUE"""),0.00238)</f>
        <v>0.00238</v>
      </c>
      <c r="H412" s="19" t="str">
        <f>IFERROR(__xludf.DUMMYFUNCTION("""COMPUTED_VALUE"""),"-")</f>
        <v>-</v>
      </c>
      <c r="I412" s="19">
        <f>IFERROR(__xludf.DUMMYFUNCTION("""COMPUTED_VALUE"""),0.00223)</f>
        <v>0.00223</v>
      </c>
      <c r="J412" s="19">
        <f>IFERROR(__xludf.DUMMYFUNCTION("""COMPUTED_VALUE"""),0.04749)</f>
        <v>0.04749</v>
      </c>
      <c r="K412" s="19" t="str">
        <f>IFERROR(__xludf.DUMMYFUNCTION("""COMPUTED_VALUE"""),"-")</f>
        <v>-</v>
      </c>
      <c r="L412" s="19">
        <f>IFERROR(__xludf.DUMMYFUNCTION("""COMPUTED_VALUE"""),0.04755)</f>
        <v>0.04755</v>
      </c>
      <c r="O412" s="24">
        <f t="shared" si="4"/>
        <v>0</v>
      </c>
      <c r="P412" s="24"/>
      <c r="Q412" s="24">
        <f t="shared" si="6"/>
        <v>0</v>
      </c>
      <c r="R412" s="24">
        <f t="shared" si="7"/>
        <v>0</v>
      </c>
      <c r="S412" s="24"/>
      <c r="T412" s="24">
        <f t="shared" si="9"/>
        <v>0</v>
      </c>
    </row>
    <row r="413">
      <c r="A413" s="12" t="s">
        <v>502</v>
      </c>
      <c r="F413" s="19">
        <f>IFERROR(__xludf.DUMMYFUNCTION("SPLIT(A409, "" |"")"),407.0)</f>
        <v>407</v>
      </c>
      <c r="G413" s="19">
        <f>IFERROR(__xludf.DUMMYFUNCTION("""COMPUTED_VALUE"""),0.00223)</f>
        <v>0.00223</v>
      </c>
      <c r="H413" s="19" t="str">
        <f>IFERROR(__xludf.DUMMYFUNCTION("""COMPUTED_VALUE"""),"-")</f>
        <v>-</v>
      </c>
      <c r="I413" s="19">
        <f>IFERROR(__xludf.DUMMYFUNCTION("""COMPUTED_VALUE"""),0.0021)</f>
        <v>0.0021</v>
      </c>
      <c r="J413" s="19">
        <f>IFERROR(__xludf.DUMMYFUNCTION("""COMPUTED_VALUE"""),0.04744)</f>
        <v>0.04744</v>
      </c>
      <c r="K413" s="19" t="str">
        <f>IFERROR(__xludf.DUMMYFUNCTION("""COMPUTED_VALUE"""),"-")</f>
        <v>-</v>
      </c>
      <c r="L413" s="19">
        <f>IFERROR(__xludf.DUMMYFUNCTION("""COMPUTED_VALUE"""),0.04767)</f>
        <v>0.04767</v>
      </c>
      <c r="O413" s="24">
        <f t="shared" si="4"/>
        <v>0</v>
      </c>
      <c r="P413" s="24"/>
      <c r="Q413" s="24">
        <f t="shared" si="6"/>
        <v>0</v>
      </c>
      <c r="R413" s="24">
        <f t="shared" si="7"/>
        <v>0</v>
      </c>
      <c r="S413" s="24"/>
      <c r="T413" s="24">
        <f t="shared" si="9"/>
        <v>0</v>
      </c>
    </row>
    <row r="414">
      <c r="A414" s="12" t="s">
        <v>503</v>
      </c>
      <c r="F414" s="19">
        <f>IFERROR(__xludf.DUMMYFUNCTION("SPLIT(A410, "" |"")"),408.0)</f>
        <v>408</v>
      </c>
      <c r="G414" s="19">
        <f>IFERROR(__xludf.DUMMYFUNCTION("""COMPUTED_VALUE"""),0.00237)</f>
        <v>0.00237</v>
      </c>
      <c r="H414" s="19" t="str">
        <f>IFERROR(__xludf.DUMMYFUNCTION("""COMPUTED_VALUE"""),"-")</f>
        <v>-</v>
      </c>
      <c r="I414" s="19">
        <f>IFERROR(__xludf.DUMMYFUNCTION("""COMPUTED_VALUE"""),0.00221)</f>
        <v>0.00221</v>
      </c>
      <c r="J414" s="19">
        <f>IFERROR(__xludf.DUMMYFUNCTION("""COMPUTED_VALUE"""),0.04069)</f>
        <v>0.04069</v>
      </c>
      <c r="K414" s="19" t="str">
        <f>IFERROR(__xludf.DUMMYFUNCTION("""COMPUTED_VALUE"""),"-")</f>
        <v>-</v>
      </c>
      <c r="L414" s="19">
        <f>IFERROR(__xludf.DUMMYFUNCTION("""COMPUTED_VALUE"""),0.04538)</f>
        <v>0.04538</v>
      </c>
      <c r="O414" s="24">
        <f t="shared" si="4"/>
        <v>0</v>
      </c>
      <c r="P414" s="24"/>
      <c r="Q414" s="24">
        <f t="shared" si="6"/>
        <v>0</v>
      </c>
      <c r="R414" s="24">
        <f t="shared" si="7"/>
        <v>1</v>
      </c>
      <c r="S414" s="24"/>
      <c r="T414" s="24">
        <f t="shared" si="9"/>
        <v>0</v>
      </c>
    </row>
    <row r="415">
      <c r="A415" s="12" t="s">
        <v>504</v>
      </c>
      <c r="F415" s="19">
        <f>IFERROR(__xludf.DUMMYFUNCTION("SPLIT(A411, "" |"")"),409.0)</f>
        <v>409</v>
      </c>
      <c r="G415" s="19">
        <f>IFERROR(__xludf.DUMMYFUNCTION("""COMPUTED_VALUE"""),0.00232)</f>
        <v>0.00232</v>
      </c>
      <c r="H415" s="19" t="str">
        <f>IFERROR(__xludf.DUMMYFUNCTION("""COMPUTED_VALUE"""),"-")</f>
        <v>-</v>
      </c>
      <c r="I415" s="19">
        <f>IFERROR(__xludf.DUMMYFUNCTION("""COMPUTED_VALUE"""),0.00224)</f>
        <v>0.00224</v>
      </c>
      <c r="J415" s="19">
        <f>IFERROR(__xludf.DUMMYFUNCTION("""COMPUTED_VALUE"""),0.04591)</f>
        <v>0.04591</v>
      </c>
      <c r="K415" s="19" t="str">
        <f>IFERROR(__xludf.DUMMYFUNCTION("""COMPUTED_VALUE"""),"-")</f>
        <v>-</v>
      </c>
      <c r="L415" s="19">
        <f>IFERROR(__xludf.DUMMYFUNCTION("""COMPUTED_VALUE"""),0.04764)</f>
        <v>0.04764</v>
      </c>
      <c r="O415" s="24">
        <f t="shared" si="4"/>
        <v>0</v>
      </c>
      <c r="P415" s="24"/>
      <c r="Q415" s="24">
        <f t="shared" si="6"/>
        <v>0</v>
      </c>
      <c r="R415" s="24">
        <f t="shared" si="7"/>
        <v>0</v>
      </c>
      <c r="S415" s="24"/>
      <c r="T415" s="24">
        <f t="shared" si="9"/>
        <v>0</v>
      </c>
    </row>
    <row r="416">
      <c r="A416" s="12" t="s">
        <v>505</v>
      </c>
      <c r="F416" s="19">
        <f>IFERROR(__xludf.DUMMYFUNCTION("SPLIT(A412, "" |"")"),410.0)</f>
        <v>410</v>
      </c>
      <c r="G416" s="19">
        <f>IFERROR(__xludf.DUMMYFUNCTION("""COMPUTED_VALUE"""),0.00243)</f>
        <v>0.00243</v>
      </c>
      <c r="H416" s="19" t="str">
        <f>IFERROR(__xludf.DUMMYFUNCTION("""COMPUTED_VALUE"""),"-")</f>
        <v>-</v>
      </c>
      <c r="I416" s="19">
        <f>IFERROR(__xludf.DUMMYFUNCTION("""COMPUTED_VALUE"""),0.00222)</f>
        <v>0.00222</v>
      </c>
      <c r="J416" s="19">
        <f>IFERROR(__xludf.DUMMYFUNCTION("""COMPUTED_VALUE"""),0.04751)</f>
        <v>0.04751</v>
      </c>
      <c r="K416" s="19" t="str">
        <f>IFERROR(__xludf.DUMMYFUNCTION("""COMPUTED_VALUE"""),"-")</f>
        <v>-</v>
      </c>
      <c r="L416" s="19">
        <f>IFERROR(__xludf.DUMMYFUNCTION("""COMPUTED_VALUE"""),0.04763)</f>
        <v>0.04763</v>
      </c>
      <c r="O416" s="24">
        <f t="shared" si="4"/>
        <v>0</v>
      </c>
      <c r="P416" s="24"/>
      <c r="Q416" s="24">
        <f t="shared" si="6"/>
        <v>0</v>
      </c>
      <c r="R416" s="24">
        <f t="shared" si="7"/>
        <v>0</v>
      </c>
      <c r="S416" s="24"/>
      <c r="T416" s="24">
        <f t="shared" si="9"/>
        <v>0</v>
      </c>
    </row>
    <row r="417">
      <c r="A417" s="12" t="s">
        <v>506</v>
      </c>
      <c r="F417" s="19">
        <f>IFERROR(__xludf.DUMMYFUNCTION("SPLIT(A413, "" |"")"),411.0)</f>
        <v>411</v>
      </c>
      <c r="G417" s="19">
        <f>IFERROR(__xludf.DUMMYFUNCTION("""COMPUTED_VALUE"""),0.00236)</f>
        <v>0.00236</v>
      </c>
      <c r="H417" s="19" t="str">
        <f>IFERROR(__xludf.DUMMYFUNCTION("""COMPUTED_VALUE"""),"-")</f>
        <v>-</v>
      </c>
      <c r="I417" s="19">
        <f>IFERROR(__xludf.DUMMYFUNCTION("""COMPUTED_VALUE"""),0.00226)</f>
        <v>0.00226</v>
      </c>
      <c r="J417" s="19">
        <f>IFERROR(__xludf.DUMMYFUNCTION("""COMPUTED_VALUE"""),0.04472)</f>
        <v>0.04472</v>
      </c>
      <c r="K417" s="19" t="str">
        <f>IFERROR(__xludf.DUMMYFUNCTION("""COMPUTED_VALUE"""),"-")</f>
        <v>-</v>
      </c>
      <c r="L417" s="19">
        <f>IFERROR(__xludf.DUMMYFUNCTION("""COMPUTED_VALUE"""),0.04769)</f>
        <v>0.04769</v>
      </c>
      <c r="O417" s="24">
        <f t="shared" si="4"/>
        <v>0</v>
      </c>
      <c r="P417" s="24"/>
      <c r="Q417" s="24">
        <f t="shared" si="6"/>
        <v>0</v>
      </c>
      <c r="R417" s="24">
        <f t="shared" si="7"/>
        <v>1</v>
      </c>
      <c r="S417" s="24"/>
      <c r="T417" s="24">
        <f t="shared" si="9"/>
        <v>0</v>
      </c>
    </row>
    <row r="418">
      <c r="A418" s="12" t="s">
        <v>507</v>
      </c>
      <c r="F418" s="19">
        <f>IFERROR(__xludf.DUMMYFUNCTION("SPLIT(A414, "" |"")"),412.0)</f>
        <v>412</v>
      </c>
      <c r="G418" s="19">
        <f>IFERROR(__xludf.DUMMYFUNCTION("""COMPUTED_VALUE"""),0.00235)</f>
        <v>0.00235</v>
      </c>
      <c r="H418" s="19" t="str">
        <f>IFERROR(__xludf.DUMMYFUNCTION("""COMPUTED_VALUE"""),"-")</f>
        <v>-</v>
      </c>
      <c r="I418" s="19">
        <f>IFERROR(__xludf.DUMMYFUNCTION("""COMPUTED_VALUE"""),0.00219)</f>
        <v>0.00219</v>
      </c>
      <c r="J418" s="19">
        <f>IFERROR(__xludf.DUMMYFUNCTION("""COMPUTED_VALUE"""),0.0443)</f>
        <v>0.0443</v>
      </c>
      <c r="K418" s="19" t="str">
        <f>IFERROR(__xludf.DUMMYFUNCTION("""COMPUTED_VALUE"""),"-")</f>
        <v>-</v>
      </c>
      <c r="L418" s="19">
        <f>IFERROR(__xludf.DUMMYFUNCTION("""COMPUTED_VALUE"""),0.04791)</f>
        <v>0.04791</v>
      </c>
      <c r="O418" s="24">
        <f t="shared" si="4"/>
        <v>0</v>
      </c>
      <c r="P418" s="24"/>
      <c r="Q418" s="24">
        <f t="shared" si="6"/>
        <v>0</v>
      </c>
      <c r="R418" s="24">
        <f t="shared" si="7"/>
        <v>1</v>
      </c>
      <c r="S418" s="24"/>
      <c r="T418" s="24">
        <f t="shared" si="9"/>
        <v>0</v>
      </c>
    </row>
    <row r="419">
      <c r="A419" s="12" t="s">
        <v>508</v>
      </c>
      <c r="F419" s="19">
        <f>IFERROR(__xludf.DUMMYFUNCTION("SPLIT(A415, "" |"")"),413.0)</f>
        <v>413</v>
      </c>
      <c r="G419" s="19">
        <f>IFERROR(__xludf.DUMMYFUNCTION("""COMPUTED_VALUE"""),0.00233)</f>
        <v>0.00233</v>
      </c>
      <c r="H419" s="19" t="str">
        <f>IFERROR(__xludf.DUMMYFUNCTION("""COMPUTED_VALUE"""),"-")</f>
        <v>-</v>
      </c>
      <c r="I419" s="19">
        <f>IFERROR(__xludf.DUMMYFUNCTION("""COMPUTED_VALUE"""),0.00216)</f>
        <v>0.00216</v>
      </c>
      <c r="J419" s="19">
        <f>IFERROR(__xludf.DUMMYFUNCTION("""COMPUTED_VALUE"""),0.04091)</f>
        <v>0.04091</v>
      </c>
      <c r="K419" s="19" t="str">
        <f>IFERROR(__xludf.DUMMYFUNCTION("""COMPUTED_VALUE"""),"-")</f>
        <v>-</v>
      </c>
      <c r="L419" s="19">
        <f>IFERROR(__xludf.DUMMYFUNCTION("""COMPUTED_VALUE"""),0.04584)</f>
        <v>0.04584</v>
      </c>
      <c r="O419" s="24">
        <f t="shared" si="4"/>
        <v>0</v>
      </c>
      <c r="P419" s="24"/>
      <c r="Q419" s="24">
        <f t="shared" si="6"/>
        <v>0</v>
      </c>
      <c r="R419" s="24">
        <f t="shared" si="7"/>
        <v>1</v>
      </c>
      <c r="S419" s="24"/>
      <c r="T419" s="24">
        <f t="shared" si="9"/>
        <v>0</v>
      </c>
    </row>
    <row r="420">
      <c r="A420" s="12" t="s">
        <v>509</v>
      </c>
      <c r="F420" s="19">
        <f>IFERROR(__xludf.DUMMYFUNCTION("SPLIT(A416, "" |"")"),414.0)</f>
        <v>414</v>
      </c>
      <c r="G420" s="19">
        <f>IFERROR(__xludf.DUMMYFUNCTION("""COMPUTED_VALUE"""),0.00251)</f>
        <v>0.00251</v>
      </c>
      <c r="H420" s="19" t="str">
        <f>IFERROR(__xludf.DUMMYFUNCTION("""COMPUTED_VALUE"""),"-")</f>
        <v>-</v>
      </c>
      <c r="I420" s="19">
        <f>IFERROR(__xludf.DUMMYFUNCTION("""COMPUTED_VALUE"""),0.00221)</f>
        <v>0.00221</v>
      </c>
      <c r="J420" s="19">
        <f>IFERROR(__xludf.DUMMYFUNCTION("""COMPUTED_VALUE"""),0.04731)</f>
        <v>0.04731</v>
      </c>
      <c r="K420" s="19" t="str">
        <f>IFERROR(__xludf.DUMMYFUNCTION("""COMPUTED_VALUE"""),"-")</f>
        <v>-</v>
      </c>
      <c r="L420" s="19">
        <f>IFERROR(__xludf.DUMMYFUNCTION("""COMPUTED_VALUE"""),0.04381)</f>
        <v>0.04381</v>
      </c>
      <c r="O420" s="24">
        <f t="shared" si="4"/>
        <v>0</v>
      </c>
      <c r="P420" s="24"/>
      <c r="Q420" s="24">
        <f t="shared" si="6"/>
        <v>0</v>
      </c>
      <c r="R420" s="24">
        <f t="shared" si="7"/>
        <v>0</v>
      </c>
      <c r="S420" s="24"/>
      <c r="T420" s="24">
        <f t="shared" si="9"/>
        <v>0</v>
      </c>
    </row>
    <row r="421">
      <c r="A421" s="12" t="s">
        <v>510</v>
      </c>
      <c r="F421" s="19">
        <f>IFERROR(__xludf.DUMMYFUNCTION("SPLIT(A417, "" |"")"),415.0)</f>
        <v>415</v>
      </c>
      <c r="G421" s="19">
        <f>IFERROR(__xludf.DUMMYFUNCTION("""COMPUTED_VALUE"""),0.0024)</f>
        <v>0.0024</v>
      </c>
      <c r="H421" s="19" t="str">
        <f>IFERROR(__xludf.DUMMYFUNCTION("""COMPUTED_VALUE"""),"-")</f>
        <v>-</v>
      </c>
      <c r="I421" s="19">
        <f>IFERROR(__xludf.DUMMYFUNCTION("""COMPUTED_VALUE"""),0.00224)</f>
        <v>0.00224</v>
      </c>
      <c r="J421" s="19">
        <f>IFERROR(__xludf.DUMMYFUNCTION("""COMPUTED_VALUE"""),0.0474)</f>
        <v>0.0474</v>
      </c>
      <c r="K421" s="19" t="str">
        <f>IFERROR(__xludf.DUMMYFUNCTION("""COMPUTED_VALUE"""),"-")</f>
        <v>-</v>
      </c>
      <c r="L421" s="19">
        <f>IFERROR(__xludf.DUMMYFUNCTION("""COMPUTED_VALUE"""),0.04761)</f>
        <v>0.04761</v>
      </c>
      <c r="O421" s="24">
        <f t="shared" si="4"/>
        <v>0</v>
      </c>
      <c r="P421" s="24"/>
      <c r="Q421" s="24">
        <f t="shared" si="6"/>
        <v>0</v>
      </c>
      <c r="R421" s="24">
        <f t="shared" si="7"/>
        <v>0</v>
      </c>
      <c r="S421" s="24"/>
      <c r="T421" s="24">
        <f t="shared" si="9"/>
        <v>0</v>
      </c>
    </row>
    <row r="422">
      <c r="A422" s="12" t="s">
        <v>511</v>
      </c>
      <c r="F422" s="19">
        <f>IFERROR(__xludf.DUMMYFUNCTION("SPLIT(A418, "" |"")"),416.0)</f>
        <v>416</v>
      </c>
      <c r="G422" s="19">
        <f>IFERROR(__xludf.DUMMYFUNCTION("""COMPUTED_VALUE"""),0.00224)</f>
        <v>0.00224</v>
      </c>
      <c r="H422" s="19" t="str">
        <f>IFERROR(__xludf.DUMMYFUNCTION("""COMPUTED_VALUE"""),"-")</f>
        <v>-</v>
      </c>
      <c r="I422" s="19">
        <f>IFERROR(__xludf.DUMMYFUNCTION("""COMPUTED_VALUE"""),0.00218)</f>
        <v>0.00218</v>
      </c>
      <c r="J422" s="19">
        <f>IFERROR(__xludf.DUMMYFUNCTION("""COMPUTED_VALUE"""),0.04743)</f>
        <v>0.04743</v>
      </c>
      <c r="K422" s="19" t="str">
        <f>IFERROR(__xludf.DUMMYFUNCTION("""COMPUTED_VALUE"""),"-")</f>
        <v>-</v>
      </c>
      <c r="L422" s="19">
        <f>IFERROR(__xludf.DUMMYFUNCTION("""COMPUTED_VALUE"""),0.0476)</f>
        <v>0.0476</v>
      </c>
      <c r="O422" s="24">
        <f t="shared" si="4"/>
        <v>0</v>
      </c>
      <c r="P422" s="24"/>
      <c r="Q422" s="24">
        <f t="shared" si="6"/>
        <v>0</v>
      </c>
      <c r="R422" s="24">
        <f t="shared" si="7"/>
        <v>0</v>
      </c>
      <c r="S422" s="24"/>
      <c r="T422" s="24">
        <f t="shared" si="9"/>
        <v>0</v>
      </c>
    </row>
    <row r="423">
      <c r="A423" s="12" t="s">
        <v>512</v>
      </c>
      <c r="F423" s="19">
        <f>IFERROR(__xludf.DUMMYFUNCTION("SPLIT(A419, "" |"")"),417.0)</f>
        <v>417</v>
      </c>
      <c r="G423" s="19">
        <f>IFERROR(__xludf.DUMMYFUNCTION("""COMPUTED_VALUE"""),0.0024)</f>
        <v>0.0024</v>
      </c>
      <c r="H423" s="19" t="str">
        <f>IFERROR(__xludf.DUMMYFUNCTION("""COMPUTED_VALUE"""),"-")</f>
        <v>-</v>
      </c>
      <c r="I423" s="19">
        <f>IFERROR(__xludf.DUMMYFUNCTION("""COMPUTED_VALUE"""),0.00223)</f>
        <v>0.00223</v>
      </c>
      <c r="J423" s="19">
        <f>IFERROR(__xludf.DUMMYFUNCTION("""COMPUTED_VALUE"""),0.04744)</f>
        <v>0.04744</v>
      </c>
      <c r="K423" s="19" t="str">
        <f>IFERROR(__xludf.DUMMYFUNCTION("""COMPUTED_VALUE"""),"-")</f>
        <v>-</v>
      </c>
      <c r="L423" s="19">
        <f>IFERROR(__xludf.DUMMYFUNCTION("""COMPUTED_VALUE"""),0.0476)</f>
        <v>0.0476</v>
      </c>
      <c r="O423" s="24">
        <f t="shared" si="4"/>
        <v>0</v>
      </c>
      <c r="P423" s="24"/>
      <c r="Q423" s="24">
        <f t="shared" si="6"/>
        <v>0</v>
      </c>
      <c r="R423" s="24">
        <f t="shared" si="7"/>
        <v>0</v>
      </c>
      <c r="S423" s="24"/>
      <c r="T423" s="24">
        <f t="shared" si="9"/>
        <v>0</v>
      </c>
    </row>
    <row r="424">
      <c r="A424" s="12" t="s">
        <v>513</v>
      </c>
      <c r="F424" s="19">
        <f>IFERROR(__xludf.DUMMYFUNCTION("SPLIT(A420, "" |"")"),418.0)</f>
        <v>418</v>
      </c>
      <c r="G424" s="19">
        <f>IFERROR(__xludf.DUMMYFUNCTION("""COMPUTED_VALUE"""),0.00226)</f>
        <v>0.00226</v>
      </c>
      <c r="H424" s="19" t="str">
        <f>IFERROR(__xludf.DUMMYFUNCTION("""COMPUTED_VALUE"""),"-")</f>
        <v>-</v>
      </c>
      <c r="I424" s="19">
        <f>IFERROR(__xludf.DUMMYFUNCTION("""COMPUTED_VALUE"""),0.00218)</f>
        <v>0.00218</v>
      </c>
      <c r="J424" s="19">
        <f>IFERROR(__xludf.DUMMYFUNCTION("""COMPUTED_VALUE"""),0.04743)</f>
        <v>0.04743</v>
      </c>
      <c r="K424" s="19" t="str">
        <f>IFERROR(__xludf.DUMMYFUNCTION("""COMPUTED_VALUE"""),"-")</f>
        <v>-</v>
      </c>
      <c r="L424" s="19">
        <f>IFERROR(__xludf.DUMMYFUNCTION("""COMPUTED_VALUE"""),0.04765)</f>
        <v>0.04765</v>
      </c>
      <c r="O424" s="24">
        <f t="shared" si="4"/>
        <v>0</v>
      </c>
      <c r="P424" s="24"/>
      <c r="Q424" s="24">
        <f t="shared" si="6"/>
        <v>0</v>
      </c>
      <c r="R424" s="24">
        <f t="shared" si="7"/>
        <v>0</v>
      </c>
      <c r="S424" s="24"/>
      <c r="T424" s="24">
        <f t="shared" si="9"/>
        <v>0</v>
      </c>
    </row>
    <row r="425">
      <c r="A425" s="12" t="s">
        <v>514</v>
      </c>
      <c r="F425" s="19">
        <f>IFERROR(__xludf.DUMMYFUNCTION("SPLIT(A421, "" |"")"),419.0)</f>
        <v>419</v>
      </c>
      <c r="G425" s="19">
        <f>IFERROR(__xludf.DUMMYFUNCTION("""COMPUTED_VALUE"""),0.0023)</f>
        <v>0.0023</v>
      </c>
      <c r="H425" s="19" t="str">
        <f>IFERROR(__xludf.DUMMYFUNCTION("""COMPUTED_VALUE"""),"-")</f>
        <v>-</v>
      </c>
      <c r="I425" s="19">
        <f>IFERROR(__xludf.DUMMYFUNCTION("""COMPUTED_VALUE"""),0.00214)</f>
        <v>0.00214</v>
      </c>
      <c r="J425" s="19">
        <f>IFERROR(__xludf.DUMMYFUNCTION("""COMPUTED_VALUE"""),0.04749)</f>
        <v>0.04749</v>
      </c>
      <c r="K425" s="19" t="str">
        <f>IFERROR(__xludf.DUMMYFUNCTION("""COMPUTED_VALUE"""),"-")</f>
        <v>-</v>
      </c>
      <c r="L425" s="19">
        <f>IFERROR(__xludf.DUMMYFUNCTION("""COMPUTED_VALUE"""),0.04774)</f>
        <v>0.04774</v>
      </c>
      <c r="O425" s="24">
        <f t="shared" si="4"/>
        <v>0</v>
      </c>
      <c r="P425" s="24"/>
      <c r="Q425" s="24">
        <f t="shared" si="6"/>
        <v>0</v>
      </c>
      <c r="R425" s="24">
        <f t="shared" si="7"/>
        <v>0</v>
      </c>
      <c r="S425" s="24"/>
      <c r="T425" s="24">
        <f t="shared" si="9"/>
        <v>0</v>
      </c>
    </row>
    <row r="426">
      <c r="A426" s="12" t="s">
        <v>515</v>
      </c>
      <c r="F426" s="19">
        <f>IFERROR(__xludf.DUMMYFUNCTION("SPLIT(A422, "" |"")"),420.0)</f>
        <v>420</v>
      </c>
      <c r="G426" s="19">
        <f>IFERROR(__xludf.DUMMYFUNCTION("""COMPUTED_VALUE"""),0.00231)</f>
        <v>0.00231</v>
      </c>
      <c r="H426" s="19" t="str">
        <f>IFERROR(__xludf.DUMMYFUNCTION("""COMPUTED_VALUE"""),"-")</f>
        <v>-</v>
      </c>
      <c r="I426" s="19">
        <f>IFERROR(__xludf.DUMMYFUNCTION("""COMPUTED_VALUE"""),0.00216)</f>
        <v>0.00216</v>
      </c>
      <c r="J426" s="19">
        <f>IFERROR(__xludf.DUMMYFUNCTION("""COMPUTED_VALUE"""),0.03795)</f>
        <v>0.03795</v>
      </c>
      <c r="K426" s="19" t="str">
        <f>IFERROR(__xludf.DUMMYFUNCTION("""COMPUTED_VALUE"""),"-")</f>
        <v>-</v>
      </c>
      <c r="L426" s="19">
        <f>IFERROR(__xludf.DUMMYFUNCTION("""COMPUTED_VALUE"""),0.03979)</f>
        <v>0.03979</v>
      </c>
      <c r="O426" s="24">
        <f t="shared" si="4"/>
        <v>0</v>
      </c>
      <c r="P426" s="24"/>
      <c r="Q426" s="24">
        <f t="shared" si="6"/>
        <v>0</v>
      </c>
      <c r="R426" s="24">
        <f t="shared" si="7"/>
        <v>1</v>
      </c>
      <c r="S426" s="24"/>
      <c r="T426" s="24">
        <f t="shared" si="9"/>
        <v>0</v>
      </c>
    </row>
    <row r="427">
      <c r="A427" s="12" t="s">
        <v>516</v>
      </c>
      <c r="F427" s="19">
        <f>IFERROR(__xludf.DUMMYFUNCTION("SPLIT(A423, "" |"")"),421.0)</f>
        <v>421</v>
      </c>
      <c r="G427" s="19">
        <f>IFERROR(__xludf.DUMMYFUNCTION("""COMPUTED_VALUE"""),0.00231)</f>
        <v>0.00231</v>
      </c>
      <c r="H427" s="19" t="str">
        <f>IFERROR(__xludf.DUMMYFUNCTION("""COMPUTED_VALUE"""),"-")</f>
        <v>-</v>
      </c>
      <c r="I427" s="19">
        <f>IFERROR(__xludf.DUMMYFUNCTION("""COMPUTED_VALUE"""),0.00221)</f>
        <v>0.00221</v>
      </c>
      <c r="J427" s="19">
        <f>IFERROR(__xludf.DUMMYFUNCTION("""COMPUTED_VALUE"""),0.04743)</f>
        <v>0.04743</v>
      </c>
      <c r="K427" s="19" t="str">
        <f>IFERROR(__xludf.DUMMYFUNCTION("""COMPUTED_VALUE"""),"-")</f>
        <v>-</v>
      </c>
      <c r="L427" s="19">
        <f>IFERROR(__xludf.DUMMYFUNCTION("""COMPUTED_VALUE"""),0.04514)</f>
        <v>0.04514</v>
      </c>
      <c r="O427" s="24">
        <f t="shared" si="4"/>
        <v>0</v>
      </c>
      <c r="P427" s="24"/>
      <c r="Q427" s="24">
        <f t="shared" si="6"/>
        <v>0</v>
      </c>
      <c r="R427" s="24">
        <f t="shared" si="7"/>
        <v>0</v>
      </c>
      <c r="S427" s="24"/>
      <c r="T427" s="24">
        <f t="shared" si="9"/>
        <v>0</v>
      </c>
    </row>
    <row r="428">
      <c r="A428" s="12" t="s">
        <v>517</v>
      </c>
      <c r="F428" s="19">
        <f>IFERROR(__xludf.DUMMYFUNCTION("SPLIT(A424, "" |"")"),422.0)</f>
        <v>422</v>
      </c>
      <c r="G428" s="19">
        <f>IFERROR(__xludf.DUMMYFUNCTION("""COMPUTED_VALUE"""),0.0024)</f>
        <v>0.0024</v>
      </c>
      <c r="H428" s="19" t="str">
        <f>IFERROR(__xludf.DUMMYFUNCTION("""COMPUTED_VALUE"""),"-")</f>
        <v>-</v>
      </c>
      <c r="I428" s="19">
        <f>IFERROR(__xludf.DUMMYFUNCTION("""COMPUTED_VALUE"""),0.00221)</f>
        <v>0.00221</v>
      </c>
      <c r="J428" s="19">
        <f>IFERROR(__xludf.DUMMYFUNCTION("""COMPUTED_VALUE"""),0.04743)</f>
        <v>0.04743</v>
      </c>
      <c r="K428" s="19" t="str">
        <f>IFERROR(__xludf.DUMMYFUNCTION("""COMPUTED_VALUE"""),"-")</f>
        <v>-</v>
      </c>
      <c r="L428" s="19">
        <f>IFERROR(__xludf.DUMMYFUNCTION("""COMPUTED_VALUE"""),0.04611)</f>
        <v>0.04611</v>
      </c>
      <c r="O428" s="24">
        <f t="shared" si="4"/>
        <v>0</v>
      </c>
      <c r="P428" s="24"/>
      <c r="Q428" s="24">
        <f t="shared" si="6"/>
        <v>0</v>
      </c>
      <c r="R428" s="24">
        <f t="shared" si="7"/>
        <v>0</v>
      </c>
      <c r="S428" s="24"/>
      <c r="T428" s="24">
        <f t="shared" si="9"/>
        <v>0</v>
      </c>
    </row>
    <row r="429">
      <c r="A429" s="12" t="s">
        <v>518</v>
      </c>
      <c r="F429" s="19">
        <f>IFERROR(__xludf.DUMMYFUNCTION("SPLIT(A425, "" |"")"),423.0)</f>
        <v>423</v>
      </c>
      <c r="G429" s="19">
        <f>IFERROR(__xludf.DUMMYFUNCTION("""COMPUTED_VALUE"""),0.0024)</f>
        <v>0.0024</v>
      </c>
      <c r="H429" s="19" t="str">
        <f>IFERROR(__xludf.DUMMYFUNCTION("""COMPUTED_VALUE"""),"-")</f>
        <v>-</v>
      </c>
      <c r="I429" s="19">
        <f>IFERROR(__xludf.DUMMYFUNCTION("""COMPUTED_VALUE"""),0.00229)</f>
        <v>0.00229</v>
      </c>
      <c r="J429" s="19">
        <f>IFERROR(__xludf.DUMMYFUNCTION("""COMPUTED_VALUE"""),0.04747)</f>
        <v>0.04747</v>
      </c>
      <c r="K429" s="19" t="str">
        <f>IFERROR(__xludf.DUMMYFUNCTION("""COMPUTED_VALUE"""),"-")</f>
        <v>-</v>
      </c>
      <c r="L429" s="19">
        <f>IFERROR(__xludf.DUMMYFUNCTION("""COMPUTED_VALUE"""),0.04761)</f>
        <v>0.04761</v>
      </c>
      <c r="O429" s="24">
        <f t="shared" si="4"/>
        <v>0</v>
      </c>
      <c r="P429" s="24"/>
      <c r="Q429" s="24">
        <f t="shared" si="6"/>
        <v>0</v>
      </c>
      <c r="R429" s="24">
        <f t="shared" si="7"/>
        <v>0</v>
      </c>
      <c r="S429" s="24"/>
      <c r="T429" s="24">
        <f t="shared" si="9"/>
        <v>0</v>
      </c>
    </row>
    <row r="430">
      <c r="A430" s="12" t="s">
        <v>519</v>
      </c>
      <c r="F430" s="19">
        <f>IFERROR(__xludf.DUMMYFUNCTION("SPLIT(A426, "" |"")"),424.0)</f>
        <v>424</v>
      </c>
      <c r="G430" s="19">
        <f>IFERROR(__xludf.DUMMYFUNCTION("""COMPUTED_VALUE"""),0.00235)</f>
        <v>0.00235</v>
      </c>
      <c r="H430" s="19" t="str">
        <f>IFERROR(__xludf.DUMMYFUNCTION("""COMPUTED_VALUE"""),"-")</f>
        <v>-</v>
      </c>
      <c r="I430" s="19">
        <f>IFERROR(__xludf.DUMMYFUNCTION("""COMPUTED_VALUE"""),0.00219)</f>
        <v>0.00219</v>
      </c>
      <c r="J430" s="19">
        <f>IFERROR(__xludf.DUMMYFUNCTION("""COMPUTED_VALUE"""),0.04747)</f>
        <v>0.04747</v>
      </c>
      <c r="K430" s="19" t="str">
        <f>IFERROR(__xludf.DUMMYFUNCTION("""COMPUTED_VALUE"""),"-")</f>
        <v>-</v>
      </c>
      <c r="L430" s="19">
        <f>IFERROR(__xludf.DUMMYFUNCTION("""COMPUTED_VALUE"""),0.04755)</f>
        <v>0.04755</v>
      </c>
      <c r="O430" s="24">
        <f t="shared" si="4"/>
        <v>0</v>
      </c>
      <c r="P430" s="24"/>
      <c r="Q430" s="24">
        <f t="shared" si="6"/>
        <v>0</v>
      </c>
      <c r="R430" s="24">
        <f t="shared" si="7"/>
        <v>0</v>
      </c>
      <c r="S430" s="24"/>
      <c r="T430" s="24">
        <f t="shared" si="9"/>
        <v>0</v>
      </c>
    </row>
    <row r="431">
      <c r="A431" s="12" t="s">
        <v>520</v>
      </c>
      <c r="F431" s="19">
        <f>IFERROR(__xludf.DUMMYFUNCTION("SPLIT(A427, "" |"")"),425.0)</f>
        <v>425</v>
      </c>
      <c r="G431" s="19">
        <f>IFERROR(__xludf.DUMMYFUNCTION("""COMPUTED_VALUE"""),0.00245)</f>
        <v>0.00245</v>
      </c>
      <c r="H431" s="19" t="str">
        <f>IFERROR(__xludf.DUMMYFUNCTION("""COMPUTED_VALUE"""),"-")</f>
        <v>-</v>
      </c>
      <c r="I431" s="19">
        <f>IFERROR(__xludf.DUMMYFUNCTION("""COMPUTED_VALUE"""),0.00222)</f>
        <v>0.00222</v>
      </c>
      <c r="J431" s="19">
        <f>IFERROR(__xludf.DUMMYFUNCTION("""COMPUTED_VALUE"""),0.04745)</f>
        <v>0.04745</v>
      </c>
      <c r="K431" s="19" t="str">
        <f>IFERROR(__xludf.DUMMYFUNCTION("""COMPUTED_VALUE"""),"-")</f>
        <v>-</v>
      </c>
      <c r="L431" s="19">
        <f>IFERROR(__xludf.DUMMYFUNCTION("""COMPUTED_VALUE"""),0.04683)</f>
        <v>0.04683</v>
      </c>
      <c r="O431" s="24">
        <f t="shared" si="4"/>
        <v>0</v>
      </c>
      <c r="P431" s="24"/>
      <c r="Q431" s="24">
        <f t="shared" si="6"/>
        <v>0</v>
      </c>
      <c r="R431" s="24">
        <f t="shared" si="7"/>
        <v>0</v>
      </c>
      <c r="S431" s="24"/>
      <c r="T431" s="24">
        <f t="shared" si="9"/>
        <v>0</v>
      </c>
    </row>
    <row r="432">
      <c r="A432" s="12" t="s">
        <v>521</v>
      </c>
      <c r="F432" s="19">
        <f>IFERROR(__xludf.DUMMYFUNCTION("SPLIT(A428, "" |"")"),426.0)</f>
        <v>426</v>
      </c>
      <c r="G432" s="19">
        <f>IFERROR(__xludf.DUMMYFUNCTION("""COMPUTED_VALUE"""),0.00236)</f>
        <v>0.00236</v>
      </c>
      <c r="H432" s="19" t="str">
        <f>IFERROR(__xludf.DUMMYFUNCTION("""COMPUTED_VALUE"""),"-")</f>
        <v>-</v>
      </c>
      <c r="I432" s="19">
        <f>IFERROR(__xludf.DUMMYFUNCTION("""COMPUTED_VALUE"""),0.00221)</f>
        <v>0.00221</v>
      </c>
      <c r="J432" s="19">
        <f>IFERROR(__xludf.DUMMYFUNCTION("""COMPUTED_VALUE"""),0.04749)</f>
        <v>0.04749</v>
      </c>
      <c r="K432" s="19" t="str">
        <f>IFERROR(__xludf.DUMMYFUNCTION("""COMPUTED_VALUE"""),"-")</f>
        <v>-</v>
      </c>
      <c r="L432" s="19">
        <f>IFERROR(__xludf.DUMMYFUNCTION("""COMPUTED_VALUE"""),0.04756)</f>
        <v>0.04756</v>
      </c>
      <c r="O432" s="24">
        <f t="shared" si="4"/>
        <v>0</v>
      </c>
      <c r="P432" s="24"/>
      <c r="Q432" s="24">
        <f t="shared" si="6"/>
        <v>0</v>
      </c>
      <c r="R432" s="24">
        <f t="shared" si="7"/>
        <v>0</v>
      </c>
      <c r="S432" s="24"/>
      <c r="T432" s="24">
        <f t="shared" si="9"/>
        <v>0</v>
      </c>
    </row>
    <row r="433">
      <c r="A433" s="12" t="s">
        <v>522</v>
      </c>
      <c r="F433" s="19">
        <f>IFERROR(__xludf.DUMMYFUNCTION("SPLIT(A429, "" |"")"),427.0)</f>
        <v>427</v>
      </c>
      <c r="G433" s="19">
        <f>IFERROR(__xludf.DUMMYFUNCTION("""COMPUTED_VALUE"""),0.00242)</f>
        <v>0.00242</v>
      </c>
      <c r="H433" s="19" t="str">
        <f>IFERROR(__xludf.DUMMYFUNCTION("""COMPUTED_VALUE"""),"-")</f>
        <v>-</v>
      </c>
      <c r="I433" s="19">
        <f>IFERROR(__xludf.DUMMYFUNCTION("""COMPUTED_VALUE"""),0.00223)</f>
        <v>0.00223</v>
      </c>
      <c r="J433" s="19">
        <f>IFERROR(__xludf.DUMMYFUNCTION("""COMPUTED_VALUE"""),0.04748)</f>
        <v>0.04748</v>
      </c>
      <c r="K433" s="19" t="str">
        <f>IFERROR(__xludf.DUMMYFUNCTION("""COMPUTED_VALUE"""),"-")</f>
        <v>-</v>
      </c>
      <c r="L433" s="19">
        <f>IFERROR(__xludf.DUMMYFUNCTION("""COMPUTED_VALUE"""),0.04503)</f>
        <v>0.04503</v>
      </c>
      <c r="O433" s="24">
        <f t="shared" si="4"/>
        <v>0</v>
      </c>
      <c r="P433" s="24"/>
      <c r="Q433" s="24">
        <f t="shared" si="6"/>
        <v>0</v>
      </c>
      <c r="R433" s="24">
        <f t="shared" si="7"/>
        <v>0</v>
      </c>
      <c r="S433" s="24"/>
      <c r="T433" s="24">
        <f t="shared" si="9"/>
        <v>0</v>
      </c>
    </row>
    <row r="434">
      <c r="A434" s="12" t="s">
        <v>523</v>
      </c>
      <c r="F434" s="19">
        <f>IFERROR(__xludf.DUMMYFUNCTION("SPLIT(A430, "" |"")"),428.0)</f>
        <v>428</v>
      </c>
      <c r="G434" s="19">
        <f>IFERROR(__xludf.DUMMYFUNCTION("""COMPUTED_VALUE"""),0.00241)</f>
        <v>0.00241</v>
      </c>
      <c r="H434" s="19" t="str">
        <f>IFERROR(__xludf.DUMMYFUNCTION("""COMPUTED_VALUE"""),"-")</f>
        <v>-</v>
      </c>
      <c r="I434" s="19">
        <f>IFERROR(__xludf.DUMMYFUNCTION("""COMPUTED_VALUE"""),0.00227)</f>
        <v>0.00227</v>
      </c>
      <c r="J434" s="19">
        <f>IFERROR(__xludf.DUMMYFUNCTION("""COMPUTED_VALUE"""),0.0475)</f>
        <v>0.0475</v>
      </c>
      <c r="K434" s="19" t="str">
        <f>IFERROR(__xludf.DUMMYFUNCTION("""COMPUTED_VALUE"""),"-")</f>
        <v>-</v>
      </c>
      <c r="L434" s="19">
        <f>IFERROR(__xludf.DUMMYFUNCTION("""COMPUTED_VALUE"""),0.04367)</f>
        <v>0.04367</v>
      </c>
      <c r="O434" s="24">
        <f t="shared" si="4"/>
        <v>0</v>
      </c>
      <c r="P434" s="24"/>
      <c r="Q434" s="24">
        <f t="shared" si="6"/>
        <v>0</v>
      </c>
      <c r="R434" s="24">
        <f t="shared" si="7"/>
        <v>0</v>
      </c>
      <c r="S434" s="24"/>
      <c r="T434" s="24">
        <f t="shared" si="9"/>
        <v>0</v>
      </c>
    </row>
    <row r="435">
      <c r="A435" s="12" t="s">
        <v>524</v>
      </c>
      <c r="F435" s="19">
        <f>IFERROR(__xludf.DUMMYFUNCTION("SPLIT(A431, "" |"")"),429.0)</f>
        <v>429</v>
      </c>
      <c r="G435" s="19">
        <f>IFERROR(__xludf.DUMMYFUNCTION("""COMPUTED_VALUE"""),0.00235)</f>
        <v>0.00235</v>
      </c>
      <c r="H435" s="19" t="str">
        <f>IFERROR(__xludf.DUMMYFUNCTION("""COMPUTED_VALUE"""),"-")</f>
        <v>-</v>
      </c>
      <c r="I435" s="19">
        <f>IFERROR(__xludf.DUMMYFUNCTION("""COMPUTED_VALUE"""),0.00219)</f>
        <v>0.00219</v>
      </c>
      <c r="J435" s="19">
        <f>IFERROR(__xludf.DUMMYFUNCTION("""COMPUTED_VALUE"""),0.04589)</f>
        <v>0.04589</v>
      </c>
      <c r="K435" s="19" t="str">
        <f>IFERROR(__xludf.DUMMYFUNCTION("""COMPUTED_VALUE"""),"-")</f>
        <v>-</v>
      </c>
      <c r="L435" s="19">
        <f>IFERROR(__xludf.DUMMYFUNCTION("""COMPUTED_VALUE"""),0.0418)</f>
        <v>0.0418</v>
      </c>
      <c r="O435" s="24">
        <f t="shared" si="4"/>
        <v>0</v>
      </c>
      <c r="P435" s="24"/>
      <c r="Q435" s="24">
        <f t="shared" si="6"/>
        <v>0</v>
      </c>
      <c r="R435" s="24">
        <f t="shared" si="7"/>
        <v>0</v>
      </c>
      <c r="S435" s="24"/>
      <c r="T435" s="24">
        <f t="shared" si="9"/>
        <v>0</v>
      </c>
    </row>
    <row r="436">
      <c r="A436" s="12" t="s">
        <v>525</v>
      </c>
      <c r="F436" s="19">
        <f>IFERROR(__xludf.DUMMYFUNCTION("SPLIT(A432, "" |"")"),430.0)</f>
        <v>430</v>
      </c>
      <c r="G436" s="19">
        <f>IFERROR(__xludf.DUMMYFUNCTION("""COMPUTED_VALUE"""),0.00255)</f>
        <v>0.00255</v>
      </c>
      <c r="H436" s="19" t="str">
        <f>IFERROR(__xludf.DUMMYFUNCTION("""COMPUTED_VALUE"""),"-")</f>
        <v>-</v>
      </c>
      <c r="I436" s="19">
        <f>IFERROR(__xludf.DUMMYFUNCTION("""COMPUTED_VALUE"""),0.00221)</f>
        <v>0.00221</v>
      </c>
      <c r="J436" s="19">
        <f>IFERROR(__xludf.DUMMYFUNCTION("""COMPUTED_VALUE"""),0.04748)</f>
        <v>0.04748</v>
      </c>
      <c r="K436" s="19" t="str">
        <f>IFERROR(__xludf.DUMMYFUNCTION("""COMPUTED_VALUE"""),"-")</f>
        <v>-</v>
      </c>
      <c r="L436" s="19">
        <f>IFERROR(__xludf.DUMMYFUNCTION("""COMPUTED_VALUE"""),0.04754)</f>
        <v>0.04754</v>
      </c>
      <c r="O436" s="24">
        <f t="shared" si="4"/>
        <v>0</v>
      </c>
      <c r="P436" s="24"/>
      <c r="Q436" s="24">
        <f t="shared" si="6"/>
        <v>0</v>
      </c>
      <c r="R436" s="24">
        <f t="shared" si="7"/>
        <v>0</v>
      </c>
      <c r="S436" s="24"/>
      <c r="T436" s="24">
        <f t="shared" si="9"/>
        <v>0</v>
      </c>
    </row>
    <row r="437">
      <c r="A437" s="12" t="s">
        <v>526</v>
      </c>
      <c r="F437" s="19">
        <f>IFERROR(__xludf.DUMMYFUNCTION("SPLIT(A433, "" |"")"),431.0)</f>
        <v>431</v>
      </c>
      <c r="G437" s="19">
        <f>IFERROR(__xludf.DUMMYFUNCTION("""COMPUTED_VALUE"""),0.00231)</f>
        <v>0.00231</v>
      </c>
      <c r="H437" s="19" t="str">
        <f>IFERROR(__xludf.DUMMYFUNCTION("""COMPUTED_VALUE"""),"-")</f>
        <v>-</v>
      </c>
      <c r="I437" s="19">
        <f>IFERROR(__xludf.DUMMYFUNCTION("""COMPUTED_VALUE"""),0.0022)</f>
        <v>0.0022</v>
      </c>
      <c r="J437" s="19">
        <f>IFERROR(__xludf.DUMMYFUNCTION("""COMPUTED_VALUE"""),0.04743)</f>
        <v>0.04743</v>
      </c>
      <c r="K437" s="19" t="str">
        <f>IFERROR(__xludf.DUMMYFUNCTION("""COMPUTED_VALUE"""),"-")</f>
        <v>-</v>
      </c>
      <c r="L437" s="19">
        <f>IFERROR(__xludf.DUMMYFUNCTION("""COMPUTED_VALUE"""),0.04754)</f>
        <v>0.04754</v>
      </c>
      <c r="O437" s="24">
        <f t="shared" si="4"/>
        <v>0</v>
      </c>
      <c r="P437" s="24"/>
      <c r="Q437" s="24">
        <f t="shared" si="6"/>
        <v>0</v>
      </c>
      <c r="R437" s="24">
        <f t="shared" si="7"/>
        <v>0</v>
      </c>
      <c r="S437" s="24"/>
      <c r="T437" s="24">
        <f t="shared" si="9"/>
        <v>0</v>
      </c>
    </row>
    <row r="438">
      <c r="A438" s="12" t="s">
        <v>527</v>
      </c>
      <c r="F438" s="19">
        <f>IFERROR(__xludf.DUMMYFUNCTION("SPLIT(A434, "" |"")"),432.0)</f>
        <v>432</v>
      </c>
      <c r="G438" s="19">
        <f>IFERROR(__xludf.DUMMYFUNCTION("""COMPUTED_VALUE"""),0.00233)</f>
        <v>0.00233</v>
      </c>
      <c r="H438" s="19" t="str">
        <f>IFERROR(__xludf.DUMMYFUNCTION("""COMPUTED_VALUE"""),"-")</f>
        <v>-</v>
      </c>
      <c r="I438" s="19">
        <f>IFERROR(__xludf.DUMMYFUNCTION("""COMPUTED_VALUE"""),0.00222)</f>
        <v>0.00222</v>
      </c>
      <c r="J438" s="19">
        <f>IFERROR(__xludf.DUMMYFUNCTION("""COMPUTED_VALUE"""),0.04753)</f>
        <v>0.04753</v>
      </c>
      <c r="K438" s="19" t="str">
        <f>IFERROR(__xludf.DUMMYFUNCTION("""COMPUTED_VALUE"""),"-")</f>
        <v>-</v>
      </c>
      <c r="L438" s="19">
        <f>IFERROR(__xludf.DUMMYFUNCTION("""COMPUTED_VALUE"""),0.04486)</f>
        <v>0.04486</v>
      </c>
      <c r="O438" s="24">
        <f t="shared" si="4"/>
        <v>0</v>
      </c>
      <c r="P438" s="24"/>
      <c r="Q438" s="24">
        <f t="shared" si="6"/>
        <v>0</v>
      </c>
      <c r="R438" s="24">
        <f t="shared" si="7"/>
        <v>0</v>
      </c>
      <c r="S438" s="24"/>
      <c r="T438" s="24">
        <f t="shared" si="9"/>
        <v>0</v>
      </c>
    </row>
    <row r="439">
      <c r="A439" s="12" t="s">
        <v>528</v>
      </c>
      <c r="F439" s="19">
        <f>IFERROR(__xludf.DUMMYFUNCTION("SPLIT(A435, "" |"")"),433.0)</f>
        <v>433</v>
      </c>
      <c r="G439" s="19">
        <f>IFERROR(__xludf.DUMMYFUNCTION("""COMPUTED_VALUE"""),0.00241)</f>
        <v>0.00241</v>
      </c>
      <c r="H439" s="19" t="str">
        <f>IFERROR(__xludf.DUMMYFUNCTION("""COMPUTED_VALUE"""),"-")</f>
        <v>-</v>
      </c>
      <c r="I439" s="19">
        <f>IFERROR(__xludf.DUMMYFUNCTION("""COMPUTED_VALUE"""),0.00221)</f>
        <v>0.00221</v>
      </c>
      <c r="J439" s="19">
        <f>IFERROR(__xludf.DUMMYFUNCTION("""COMPUTED_VALUE"""),0.04745)</f>
        <v>0.04745</v>
      </c>
      <c r="K439" s="19" t="str">
        <f>IFERROR(__xludf.DUMMYFUNCTION("""COMPUTED_VALUE"""),"-")</f>
        <v>-</v>
      </c>
      <c r="L439" s="19">
        <f>IFERROR(__xludf.DUMMYFUNCTION("""COMPUTED_VALUE"""),0.04754)</f>
        <v>0.04754</v>
      </c>
      <c r="O439" s="24">
        <f t="shared" si="4"/>
        <v>0</v>
      </c>
      <c r="P439" s="24"/>
      <c r="Q439" s="24">
        <f t="shared" si="6"/>
        <v>0</v>
      </c>
      <c r="R439" s="24">
        <f t="shared" si="7"/>
        <v>0</v>
      </c>
      <c r="S439" s="24"/>
      <c r="T439" s="24">
        <f t="shared" si="9"/>
        <v>0</v>
      </c>
    </row>
    <row r="440">
      <c r="A440" s="12" t="s">
        <v>529</v>
      </c>
      <c r="F440" s="19">
        <f>IFERROR(__xludf.DUMMYFUNCTION("SPLIT(A436, "" |"")"),434.0)</f>
        <v>434</v>
      </c>
      <c r="G440" s="19">
        <f>IFERROR(__xludf.DUMMYFUNCTION("""COMPUTED_VALUE"""),0.0024)</f>
        <v>0.0024</v>
      </c>
      <c r="H440" s="19" t="str">
        <f>IFERROR(__xludf.DUMMYFUNCTION("""COMPUTED_VALUE"""),"-")</f>
        <v>-</v>
      </c>
      <c r="I440" s="19">
        <f>IFERROR(__xludf.DUMMYFUNCTION("""COMPUTED_VALUE"""),0.00225)</f>
        <v>0.00225</v>
      </c>
      <c r="J440" s="19">
        <f>IFERROR(__xludf.DUMMYFUNCTION("""COMPUTED_VALUE"""),0.04736)</f>
        <v>0.04736</v>
      </c>
      <c r="K440" s="19" t="str">
        <f>IFERROR(__xludf.DUMMYFUNCTION("""COMPUTED_VALUE"""),"-")</f>
        <v>-</v>
      </c>
      <c r="L440" s="19">
        <f>IFERROR(__xludf.DUMMYFUNCTION("""COMPUTED_VALUE"""),0.04151)</f>
        <v>0.04151</v>
      </c>
      <c r="O440" s="24">
        <f t="shared" si="4"/>
        <v>0</v>
      </c>
      <c r="P440" s="24"/>
      <c r="Q440" s="24">
        <f t="shared" si="6"/>
        <v>0</v>
      </c>
      <c r="R440" s="24">
        <f t="shared" si="7"/>
        <v>0</v>
      </c>
      <c r="S440" s="24"/>
      <c r="T440" s="24">
        <f t="shared" si="9"/>
        <v>0</v>
      </c>
    </row>
    <row r="441">
      <c r="A441" s="12" t="s">
        <v>530</v>
      </c>
      <c r="F441" s="19">
        <f>IFERROR(__xludf.DUMMYFUNCTION("SPLIT(A437, "" |"")"),435.0)</f>
        <v>435</v>
      </c>
      <c r="G441" s="19">
        <f>IFERROR(__xludf.DUMMYFUNCTION("""COMPUTED_VALUE"""),0.00232)</f>
        <v>0.00232</v>
      </c>
      <c r="H441" s="19" t="str">
        <f>IFERROR(__xludf.DUMMYFUNCTION("""COMPUTED_VALUE"""),"-")</f>
        <v>-</v>
      </c>
      <c r="I441" s="19">
        <f>IFERROR(__xludf.DUMMYFUNCTION("""COMPUTED_VALUE"""),0.00218)</f>
        <v>0.00218</v>
      </c>
      <c r="J441" s="19">
        <f>IFERROR(__xludf.DUMMYFUNCTION("""COMPUTED_VALUE"""),0.04743)</f>
        <v>0.04743</v>
      </c>
      <c r="K441" s="19" t="str">
        <f>IFERROR(__xludf.DUMMYFUNCTION("""COMPUTED_VALUE"""),"-")</f>
        <v>-</v>
      </c>
      <c r="L441" s="19">
        <f>IFERROR(__xludf.DUMMYFUNCTION("""COMPUTED_VALUE"""),0.04753)</f>
        <v>0.04753</v>
      </c>
      <c r="O441" s="24">
        <f t="shared" si="4"/>
        <v>0</v>
      </c>
      <c r="P441" s="24"/>
      <c r="Q441" s="24">
        <f t="shared" si="6"/>
        <v>0</v>
      </c>
      <c r="R441" s="24">
        <f t="shared" si="7"/>
        <v>0</v>
      </c>
      <c r="S441" s="24"/>
      <c r="T441" s="24">
        <f t="shared" si="9"/>
        <v>0</v>
      </c>
    </row>
    <row r="442">
      <c r="A442" s="12" t="s">
        <v>531</v>
      </c>
      <c r="F442" s="19">
        <f>IFERROR(__xludf.DUMMYFUNCTION("SPLIT(A438, "" |"")"),436.0)</f>
        <v>436</v>
      </c>
      <c r="G442" s="19">
        <f>IFERROR(__xludf.DUMMYFUNCTION("""COMPUTED_VALUE"""),0.00233)</f>
        <v>0.00233</v>
      </c>
      <c r="H442" s="19" t="str">
        <f>IFERROR(__xludf.DUMMYFUNCTION("""COMPUTED_VALUE"""),"-")</f>
        <v>-</v>
      </c>
      <c r="I442" s="19">
        <f>IFERROR(__xludf.DUMMYFUNCTION("""COMPUTED_VALUE"""),0.00221)</f>
        <v>0.00221</v>
      </c>
      <c r="J442" s="19">
        <f>IFERROR(__xludf.DUMMYFUNCTION("""COMPUTED_VALUE"""),0.04746)</f>
        <v>0.04746</v>
      </c>
      <c r="K442" s="19" t="str">
        <f>IFERROR(__xludf.DUMMYFUNCTION("""COMPUTED_VALUE"""),"-")</f>
        <v>-</v>
      </c>
      <c r="L442" s="19">
        <f>IFERROR(__xludf.DUMMYFUNCTION("""COMPUTED_VALUE"""),0.04771)</f>
        <v>0.04771</v>
      </c>
      <c r="O442" s="24">
        <f t="shared" si="4"/>
        <v>0</v>
      </c>
      <c r="P442" s="24"/>
      <c r="Q442" s="24">
        <f t="shared" si="6"/>
        <v>0</v>
      </c>
      <c r="R442" s="24">
        <f t="shared" si="7"/>
        <v>0</v>
      </c>
      <c r="S442" s="24"/>
      <c r="T442" s="24">
        <f t="shared" si="9"/>
        <v>0</v>
      </c>
    </row>
    <row r="443">
      <c r="A443" s="12" t="s">
        <v>532</v>
      </c>
      <c r="F443" s="19">
        <f>IFERROR(__xludf.DUMMYFUNCTION("SPLIT(A439, "" |"")"),437.0)</f>
        <v>437</v>
      </c>
      <c r="G443" s="19">
        <f>IFERROR(__xludf.DUMMYFUNCTION("""COMPUTED_VALUE"""),0.00237)</f>
        <v>0.00237</v>
      </c>
      <c r="H443" s="19" t="str">
        <f>IFERROR(__xludf.DUMMYFUNCTION("""COMPUTED_VALUE"""),"-")</f>
        <v>-</v>
      </c>
      <c r="I443" s="19">
        <f>IFERROR(__xludf.DUMMYFUNCTION("""COMPUTED_VALUE"""),0.00224)</f>
        <v>0.00224</v>
      </c>
      <c r="J443" s="19">
        <f>IFERROR(__xludf.DUMMYFUNCTION("""COMPUTED_VALUE"""),0.04747)</f>
        <v>0.04747</v>
      </c>
      <c r="K443" s="19" t="str">
        <f>IFERROR(__xludf.DUMMYFUNCTION("""COMPUTED_VALUE"""),"-")</f>
        <v>-</v>
      </c>
      <c r="L443" s="19">
        <f>IFERROR(__xludf.DUMMYFUNCTION("""COMPUTED_VALUE"""),0.04766)</f>
        <v>0.04766</v>
      </c>
      <c r="O443" s="24">
        <f t="shared" si="4"/>
        <v>0</v>
      </c>
      <c r="P443" s="24"/>
      <c r="Q443" s="24">
        <f t="shared" si="6"/>
        <v>0</v>
      </c>
      <c r="R443" s="24">
        <f t="shared" si="7"/>
        <v>0</v>
      </c>
      <c r="S443" s="24"/>
      <c r="T443" s="24">
        <f t="shared" si="9"/>
        <v>0</v>
      </c>
    </row>
    <row r="444">
      <c r="A444" s="12" t="s">
        <v>533</v>
      </c>
      <c r="F444" s="19">
        <f>IFERROR(__xludf.DUMMYFUNCTION("SPLIT(A440, "" |"")"),438.0)</f>
        <v>438</v>
      </c>
      <c r="G444" s="19">
        <f>IFERROR(__xludf.DUMMYFUNCTION("""COMPUTED_VALUE"""),0.00248)</f>
        <v>0.00248</v>
      </c>
      <c r="H444" s="19" t="str">
        <f>IFERROR(__xludf.DUMMYFUNCTION("""COMPUTED_VALUE"""),"-")</f>
        <v>-</v>
      </c>
      <c r="I444" s="19">
        <f>IFERROR(__xludf.DUMMYFUNCTION("""COMPUTED_VALUE"""),0.00231)</f>
        <v>0.00231</v>
      </c>
      <c r="J444" s="19">
        <f>IFERROR(__xludf.DUMMYFUNCTION("""COMPUTED_VALUE"""),0.04752)</f>
        <v>0.04752</v>
      </c>
      <c r="K444" s="19" t="str">
        <f>IFERROR(__xludf.DUMMYFUNCTION("""COMPUTED_VALUE"""),"-")</f>
        <v>-</v>
      </c>
      <c r="L444" s="19">
        <f>IFERROR(__xludf.DUMMYFUNCTION("""COMPUTED_VALUE"""),0.04765)</f>
        <v>0.04765</v>
      </c>
      <c r="O444" s="24">
        <f t="shared" si="4"/>
        <v>0</v>
      </c>
      <c r="P444" s="24"/>
      <c r="Q444" s="24">
        <f t="shared" si="6"/>
        <v>0</v>
      </c>
      <c r="R444" s="24">
        <f t="shared" si="7"/>
        <v>0</v>
      </c>
      <c r="S444" s="24"/>
      <c r="T444" s="24">
        <f t="shared" si="9"/>
        <v>0</v>
      </c>
    </row>
    <row r="445">
      <c r="A445" s="12" t="s">
        <v>534</v>
      </c>
      <c r="F445" s="19">
        <f>IFERROR(__xludf.DUMMYFUNCTION("SPLIT(A441, "" |"")"),439.0)</f>
        <v>439</v>
      </c>
      <c r="G445" s="19">
        <f>IFERROR(__xludf.DUMMYFUNCTION("""COMPUTED_VALUE"""),0.0024)</f>
        <v>0.0024</v>
      </c>
      <c r="H445" s="19" t="str">
        <f>IFERROR(__xludf.DUMMYFUNCTION("""COMPUTED_VALUE"""),"-")</f>
        <v>-</v>
      </c>
      <c r="I445" s="19">
        <f>IFERROR(__xludf.DUMMYFUNCTION("""COMPUTED_VALUE"""),0.00231)</f>
        <v>0.00231</v>
      </c>
      <c r="J445" s="19">
        <f>IFERROR(__xludf.DUMMYFUNCTION("""COMPUTED_VALUE"""),0.04752)</f>
        <v>0.04752</v>
      </c>
      <c r="K445" s="19" t="str">
        <f>IFERROR(__xludf.DUMMYFUNCTION("""COMPUTED_VALUE"""),"-")</f>
        <v>-</v>
      </c>
      <c r="L445" s="19">
        <f>IFERROR(__xludf.DUMMYFUNCTION("""COMPUTED_VALUE"""),0.04766)</f>
        <v>0.04766</v>
      </c>
      <c r="O445" s="24">
        <f t="shared" si="4"/>
        <v>0</v>
      </c>
      <c r="P445" s="24"/>
      <c r="Q445" s="24">
        <f t="shared" si="6"/>
        <v>0</v>
      </c>
      <c r="R445" s="24">
        <f t="shared" si="7"/>
        <v>0</v>
      </c>
      <c r="S445" s="24"/>
      <c r="T445" s="24">
        <f t="shared" si="9"/>
        <v>0</v>
      </c>
    </row>
    <row r="446">
      <c r="A446" s="12" t="s">
        <v>535</v>
      </c>
      <c r="F446" s="19">
        <f>IFERROR(__xludf.DUMMYFUNCTION("SPLIT(A442, "" |"")"),440.0)</f>
        <v>440</v>
      </c>
      <c r="G446" s="19">
        <f>IFERROR(__xludf.DUMMYFUNCTION("""COMPUTED_VALUE"""),0.00242)</f>
        <v>0.00242</v>
      </c>
      <c r="H446" s="19" t="str">
        <f>IFERROR(__xludf.DUMMYFUNCTION("""COMPUTED_VALUE"""),"-")</f>
        <v>-</v>
      </c>
      <c r="I446" s="19">
        <f>IFERROR(__xludf.DUMMYFUNCTION("""COMPUTED_VALUE"""),0.00231)</f>
        <v>0.00231</v>
      </c>
      <c r="J446" s="19">
        <f>IFERROR(__xludf.DUMMYFUNCTION("""COMPUTED_VALUE"""),0.0475)</f>
        <v>0.0475</v>
      </c>
      <c r="K446" s="19" t="str">
        <f>IFERROR(__xludf.DUMMYFUNCTION("""COMPUTED_VALUE"""),"-")</f>
        <v>-</v>
      </c>
      <c r="L446" s="19">
        <f>IFERROR(__xludf.DUMMYFUNCTION("""COMPUTED_VALUE"""),0.04761)</f>
        <v>0.04761</v>
      </c>
      <c r="O446" s="24">
        <f t="shared" si="4"/>
        <v>0</v>
      </c>
      <c r="P446" s="24"/>
      <c r="Q446" s="24">
        <f t="shared" si="6"/>
        <v>0</v>
      </c>
      <c r="R446" s="24">
        <f t="shared" si="7"/>
        <v>0</v>
      </c>
      <c r="S446" s="24"/>
      <c r="T446" s="24">
        <f t="shared" si="9"/>
        <v>0</v>
      </c>
    </row>
    <row r="447">
      <c r="A447" s="12" t="s">
        <v>536</v>
      </c>
      <c r="F447" s="19">
        <f>IFERROR(__xludf.DUMMYFUNCTION("SPLIT(A443, "" |"")"),441.0)</f>
        <v>441</v>
      </c>
      <c r="G447" s="19">
        <f>IFERROR(__xludf.DUMMYFUNCTION("""COMPUTED_VALUE"""),0.00241)</f>
        <v>0.00241</v>
      </c>
      <c r="H447" s="19" t="str">
        <f>IFERROR(__xludf.DUMMYFUNCTION("""COMPUTED_VALUE"""),"-")</f>
        <v>-</v>
      </c>
      <c r="I447" s="19">
        <f>IFERROR(__xludf.DUMMYFUNCTION("""COMPUTED_VALUE"""),0.00225)</f>
        <v>0.00225</v>
      </c>
      <c r="J447" s="19">
        <f>IFERROR(__xludf.DUMMYFUNCTION("""COMPUTED_VALUE"""),0.04736)</f>
        <v>0.04736</v>
      </c>
      <c r="K447" s="19" t="str">
        <f>IFERROR(__xludf.DUMMYFUNCTION("""COMPUTED_VALUE"""),"-")</f>
        <v>-</v>
      </c>
      <c r="L447" s="19">
        <f>IFERROR(__xludf.DUMMYFUNCTION("""COMPUTED_VALUE"""),0.04764)</f>
        <v>0.04764</v>
      </c>
      <c r="O447" s="24">
        <f t="shared" si="4"/>
        <v>0</v>
      </c>
      <c r="P447" s="24"/>
      <c r="Q447" s="24">
        <f t="shared" si="6"/>
        <v>0</v>
      </c>
      <c r="R447" s="24">
        <f t="shared" si="7"/>
        <v>0</v>
      </c>
      <c r="S447" s="24"/>
      <c r="T447" s="24">
        <f t="shared" si="9"/>
        <v>0</v>
      </c>
    </row>
    <row r="448">
      <c r="A448" s="12" t="s">
        <v>537</v>
      </c>
      <c r="F448" s="19">
        <f>IFERROR(__xludf.DUMMYFUNCTION("SPLIT(A444, "" |"")"),442.0)</f>
        <v>442</v>
      </c>
      <c r="G448" s="19">
        <f>IFERROR(__xludf.DUMMYFUNCTION("""COMPUTED_VALUE"""),0.00229)</f>
        <v>0.00229</v>
      </c>
      <c r="H448" s="19" t="str">
        <f>IFERROR(__xludf.DUMMYFUNCTION("""COMPUTED_VALUE"""),"-")</f>
        <v>-</v>
      </c>
      <c r="I448" s="19">
        <f>IFERROR(__xludf.DUMMYFUNCTION("""COMPUTED_VALUE"""),0.00226)</f>
        <v>0.00226</v>
      </c>
      <c r="J448" s="19">
        <f>IFERROR(__xludf.DUMMYFUNCTION("""COMPUTED_VALUE"""),0.04559)</f>
        <v>0.04559</v>
      </c>
      <c r="K448" s="19" t="str">
        <f>IFERROR(__xludf.DUMMYFUNCTION("""COMPUTED_VALUE"""),"-")</f>
        <v>-</v>
      </c>
      <c r="L448" s="19">
        <f>IFERROR(__xludf.DUMMYFUNCTION("""COMPUTED_VALUE"""),0.03965)</f>
        <v>0.03965</v>
      </c>
      <c r="O448" s="24">
        <f t="shared" si="4"/>
        <v>0</v>
      </c>
      <c r="P448" s="24"/>
      <c r="Q448" s="24">
        <f t="shared" si="6"/>
        <v>0</v>
      </c>
      <c r="R448" s="24">
        <f t="shared" si="7"/>
        <v>0</v>
      </c>
      <c r="S448" s="24"/>
      <c r="T448" s="24">
        <f t="shared" si="9"/>
        <v>0</v>
      </c>
    </row>
    <row r="449">
      <c r="A449" s="12" t="s">
        <v>538</v>
      </c>
      <c r="F449" s="19">
        <f>IFERROR(__xludf.DUMMYFUNCTION("SPLIT(A445, "" |"")"),443.0)</f>
        <v>443</v>
      </c>
      <c r="G449" s="19">
        <f>IFERROR(__xludf.DUMMYFUNCTION("""COMPUTED_VALUE"""),0.00241)</f>
        <v>0.00241</v>
      </c>
      <c r="H449" s="19" t="str">
        <f>IFERROR(__xludf.DUMMYFUNCTION("""COMPUTED_VALUE"""),"-")</f>
        <v>-</v>
      </c>
      <c r="I449" s="19">
        <f>IFERROR(__xludf.DUMMYFUNCTION("""COMPUTED_VALUE"""),0.00222)</f>
        <v>0.00222</v>
      </c>
      <c r="J449" s="19">
        <f>IFERROR(__xludf.DUMMYFUNCTION("""COMPUTED_VALUE"""),0.04746)</f>
        <v>0.04746</v>
      </c>
      <c r="K449" s="19" t="str">
        <f>IFERROR(__xludf.DUMMYFUNCTION("""COMPUTED_VALUE"""),"-")</f>
        <v>-</v>
      </c>
      <c r="L449" s="19">
        <f>IFERROR(__xludf.DUMMYFUNCTION("""COMPUTED_VALUE"""),0.04763)</f>
        <v>0.04763</v>
      </c>
      <c r="O449" s="24">
        <f t="shared" si="4"/>
        <v>0</v>
      </c>
      <c r="P449" s="24"/>
      <c r="Q449" s="24">
        <f t="shared" si="6"/>
        <v>0</v>
      </c>
      <c r="R449" s="24">
        <f t="shared" si="7"/>
        <v>0</v>
      </c>
      <c r="S449" s="24"/>
      <c r="T449" s="24">
        <f t="shared" si="9"/>
        <v>0</v>
      </c>
    </row>
    <row r="450">
      <c r="A450" s="12" t="s">
        <v>539</v>
      </c>
      <c r="F450" s="19">
        <f>IFERROR(__xludf.DUMMYFUNCTION("SPLIT(A446, "" |"")"),444.0)</f>
        <v>444</v>
      </c>
      <c r="G450" s="19">
        <f>IFERROR(__xludf.DUMMYFUNCTION("""COMPUTED_VALUE"""),0.0023)</f>
        <v>0.0023</v>
      </c>
      <c r="H450" s="19" t="str">
        <f>IFERROR(__xludf.DUMMYFUNCTION("""COMPUTED_VALUE"""),"-")</f>
        <v>-</v>
      </c>
      <c r="I450" s="19">
        <f>IFERROR(__xludf.DUMMYFUNCTION("""COMPUTED_VALUE"""),0.00219)</f>
        <v>0.00219</v>
      </c>
      <c r="J450" s="19">
        <f>IFERROR(__xludf.DUMMYFUNCTION("""COMPUTED_VALUE"""),0.04741)</f>
        <v>0.04741</v>
      </c>
      <c r="K450" s="19" t="str">
        <f>IFERROR(__xludf.DUMMYFUNCTION("""COMPUTED_VALUE"""),"-")</f>
        <v>-</v>
      </c>
      <c r="L450" s="19">
        <f>IFERROR(__xludf.DUMMYFUNCTION("""COMPUTED_VALUE"""),0.04768)</f>
        <v>0.04768</v>
      </c>
      <c r="O450" s="24">
        <f t="shared" si="4"/>
        <v>0</v>
      </c>
      <c r="P450" s="24"/>
      <c r="Q450" s="24">
        <f t="shared" si="6"/>
        <v>0</v>
      </c>
      <c r="R450" s="24">
        <f t="shared" si="7"/>
        <v>0</v>
      </c>
      <c r="S450" s="24"/>
      <c r="T450" s="24">
        <f t="shared" si="9"/>
        <v>0</v>
      </c>
    </row>
    <row r="451">
      <c r="A451" s="12" t="s">
        <v>540</v>
      </c>
      <c r="F451" s="19">
        <f>IFERROR(__xludf.DUMMYFUNCTION("SPLIT(A447, "" |"")"),445.0)</f>
        <v>445</v>
      </c>
      <c r="G451" s="19">
        <f>IFERROR(__xludf.DUMMYFUNCTION("""COMPUTED_VALUE"""),0.00233)</f>
        <v>0.00233</v>
      </c>
      <c r="H451" s="19" t="str">
        <f>IFERROR(__xludf.DUMMYFUNCTION("""COMPUTED_VALUE"""),"-")</f>
        <v>-</v>
      </c>
      <c r="I451" s="19">
        <f>IFERROR(__xludf.DUMMYFUNCTION("""COMPUTED_VALUE"""),0.0022)</f>
        <v>0.0022</v>
      </c>
      <c r="J451" s="19">
        <f>IFERROR(__xludf.DUMMYFUNCTION("""COMPUTED_VALUE"""),0.04738)</f>
        <v>0.04738</v>
      </c>
      <c r="K451" s="19" t="str">
        <f>IFERROR(__xludf.DUMMYFUNCTION("""COMPUTED_VALUE"""),"-")</f>
        <v>-</v>
      </c>
      <c r="L451" s="19">
        <f>IFERROR(__xludf.DUMMYFUNCTION("""COMPUTED_VALUE"""),0.0476)</f>
        <v>0.0476</v>
      </c>
      <c r="O451" s="24">
        <f t="shared" si="4"/>
        <v>0</v>
      </c>
      <c r="P451" s="24"/>
      <c r="Q451" s="24">
        <f t="shared" si="6"/>
        <v>0</v>
      </c>
      <c r="R451" s="24">
        <f t="shared" si="7"/>
        <v>0</v>
      </c>
      <c r="S451" s="24"/>
      <c r="T451" s="24">
        <f t="shared" si="9"/>
        <v>0</v>
      </c>
    </row>
    <row r="452">
      <c r="A452" s="12" t="s">
        <v>541</v>
      </c>
      <c r="F452" s="19">
        <f>IFERROR(__xludf.DUMMYFUNCTION("SPLIT(A448, "" |"")"),446.0)</f>
        <v>446</v>
      </c>
      <c r="G452" s="19">
        <f>IFERROR(__xludf.DUMMYFUNCTION("""COMPUTED_VALUE"""),0.00233)</f>
        <v>0.00233</v>
      </c>
      <c r="H452" s="19" t="str">
        <f>IFERROR(__xludf.DUMMYFUNCTION("""COMPUTED_VALUE"""),"-")</f>
        <v>-</v>
      </c>
      <c r="I452" s="19">
        <f>IFERROR(__xludf.DUMMYFUNCTION("""COMPUTED_VALUE"""),0.00219)</f>
        <v>0.00219</v>
      </c>
      <c r="J452" s="19">
        <f>IFERROR(__xludf.DUMMYFUNCTION("""COMPUTED_VALUE"""),0.04742)</f>
        <v>0.04742</v>
      </c>
      <c r="K452" s="19" t="str">
        <f>IFERROR(__xludf.DUMMYFUNCTION("""COMPUTED_VALUE"""),"-")</f>
        <v>-</v>
      </c>
      <c r="L452" s="19">
        <f>IFERROR(__xludf.DUMMYFUNCTION("""COMPUTED_VALUE"""),0.04764)</f>
        <v>0.04764</v>
      </c>
      <c r="O452" s="24">
        <f t="shared" si="4"/>
        <v>0</v>
      </c>
      <c r="P452" s="24"/>
      <c r="Q452" s="24">
        <f t="shared" si="6"/>
        <v>0</v>
      </c>
      <c r="R452" s="24">
        <f t="shared" si="7"/>
        <v>0</v>
      </c>
      <c r="S452" s="24"/>
      <c r="T452" s="24">
        <f t="shared" si="9"/>
        <v>0</v>
      </c>
    </row>
    <row r="453">
      <c r="A453" s="12" t="s">
        <v>542</v>
      </c>
      <c r="F453" s="19">
        <f>IFERROR(__xludf.DUMMYFUNCTION("SPLIT(A449, "" |"")"),447.0)</f>
        <v>447</v>
      </c>
      <c r="G453" s="19">
        <f>IFERROR(__xludf.DUMMYFUNCTION("""COMPUTED_VALUE"""),0.00234)</f>
        <v>0.00234</v>
      </c>
      <c r="H453" s="19" t="str">
        <f>IFERROR(__xludf.DUMMYFUNCTION("""COMPUTED_VALUE"""),"-")</f>
        <v>-</v>
      </c>
      <c r="I453" s="19">
        <f>IFERROR(__xludf.DUMMYFUNCTION("""COMPUTED_VALUE"""),0.00221)</f>
        <v>0.00221</v>
      </c>
      <c r="J453" s="19">
        <f>IFERROR(__xludf.DUMMYFUNCTION("""COMPUTED_VALUE"""),0.04745)</f>
        <v>0.04745</v>
      </c>
      <c r="K453" s="19" t="str">
        <f>IFERROR(__xludf.DUMMYFUNCTION("""COMPUTED_VALUE"""),"-")</f>
        <v>-</v>
      </c>
      <c r="L453" s="19">
        <f>IFERROR(__xludf.DUMMYFUNCTION("""COMPUTED_VALUE"""),0.04751)</f>
        <v>0.04751</v>
      </c>
      <c r="O453" s="24">
        <f t="shared" si="4"/>
        <v>0</v>
      </c>
      <c r="P453" s="24"/>
      <c r="Q453" s="24">
        <f t="shared" si="6"/>
        <v>0</v>
      </c>
      <c r="R453" s="24">
        <f t="shared" si="7"/>
        <v>0</v>
      </c>
      <c r="S453" s="24"/>
      <c r="T453" s="24">
        <f t="shared" si="9"/>
        <v>0</v>
      </c>
    </row>
    <row r="454">
      <c r="A454" s="12" t="s">
        <v>543</v>
      </c>
      <c r="F454" s="19">
        <f>IFERROR(__xludf.DUMMYFUNCTION("SPLIT(A450, "" |"")"),448.0)</f>
        <v>448</v>
      </c>
      <c r="G454" s="19">
        <f>IFERROR(__xludf.DUMMYFUNCTION("""COMPUTED_VALUE"""),0.00234)</f>
        <v>0.00234</v>
      </c>
      <c r="H454" s="19" t="str">
        <f>IFERROR(__xludf.DUMMYFUNCTION("""COMPUTED_VALUE"""),"-")</f>
        <v>-</v>
      </c>
      <c r="I454" s="19">
        <f>IFERROR(__xludf.DUMMYFUNCTION("""COMPUTED_VALUE"""),0.00218)</f>
        <v>0.00218</v>
      </c>
      <c r="J454" s="19">
        <f>IFERROR(__xludf.DUMMYFUNCTION("""COMPUTED_VALUE"""),0.04647)</f>
        <v>0.04647</v>
      </c>
      <c r="K454" s="19" t="str">
        <f>IFERROR(__xludf.DUMMYFUNCTION("""COMPUTED_VALUE"""),"-")</f>
        <v>-</v>
      </c>
      <c r="L454" s="19">
        <f>IFERROR(__xludf.DUMMYFUNCTION("""COMPUTED_VALUE"""),0.04775)</f>
        <v>0.04775</v>
      </c>
      <c r="O454" s="24">
        <f t="shared" si="4"/>
        <v>0</v>
      </c>
      <c r="P454" s="24"/>
      <c r="Q454" s="24">
        <f t="shared" si="6"/>
        <v>0</v>
      </c>
      <c r="R454" s="24">
        <f t="shared" si="7"/>
        <v>0</v>
      </c>
      <c r="S454" s="24"/>
      <c r="T454" s="24">
        <f t="shared" si="9"/>
        <v>0</v>
      </c>
    </row>
    <row r="455">
      <c r="A455" s="12" t="s">
        <v>544</v>
      </c>
      <c r="F455" s="19">
        <f>IFERROR(__xludf.DUMMYFUNCTION("SPLIT(A451, "" |"")"),449.0)</f>
        <v>449</v>
      </c>
      <c r="G455" s="19">
        <f>IFERROR(__xludf.DUMMYFUNCTION("""COMPUTED_VALUE"""),0.00239)</f>
        <v>0.00239</v>
      </c>
      <c r="H455" s="19" t="str">
        <f>IFERROR(__xludf.DUMMYFUNCTION("""COMPUTED_VALUE"""),"-")</f>
        <v>-</v>
      </c>
      <c r="I455" s="19">
        <f>IFERROR(__xludf.DUMMYFUNCTION("""COMPUTED_VALUE"""),0.00221)</f>
        <v>0.00221</v>
      </c>
      <c r="J455" s="19">
        <f>IFERROR(__xludf.DUMMYFUNCTION("""COMPUTED_VALUE"""),0.04433)</f>
        <v>0.04433</v>
      </c>
      <c r="K455" s="19" t="str">
        <f>IFERROR(__xludf.DUMMYFUNCTION("""COMPUTED_VALUE"""),"-")</f>
        <v>-</v>
      </c>
      <c r="L455" s="19">
        <f>IFERROR(__xludf.DUMMYFUNCTION("""COMPUTED_VALUE"""),0.04204)</f>
        <v>0.04204</v>
      </c>
      <c r="O455" s="24">
        <f t="shared" si="4"/>
        <v>0</v>
      </c>
      <c r="P455" s="24"/>
      <c r="Q455" s="24">
        <f t="shared" si="6"/>
        <v>0</v>
      </c>
      <c r="R455" s="24">
        <f t="shared" si="7"/>
        <v>1</v>
      </c>
      <c r="S455" s="24"/>
      <c r="T455" s="24">
        <f t="shared" si="9"/>
        <v>0</v>
      </c>
    </row>
    <row r="456">
      <c r="A456" s="12" t="s">
        <v>545</v>
      </c>
      <c r="F456" s="19">
        <f>IFERROR(__xludf.DUMMYFUNCTION("SPLIT(A452, "" |"")"),450.0)</f>
        <v>450</v>
      </c>
      <c r="G456" s="19">
        <f>IFERROR(__xludf.DUMMYFUNCTION("""COMPUTED_VALUE"""),0.00227)</f>
        <v>0.00227</v>
      </c>
      <c r="H456" s="19" t="str">
        <f>IFERROR(__xludf.DUMMYFUNCTION("""COMPUTED_VALUE"""),"-")</f>
        <v>-</v>
      </c>
      <c r="I456" s="19">
        <f>IFERROR(__xludf.DUMMYFUNCTION("""COMPUTED_VALUE"""),0.00224)</f>
        <v>0.00224</v>
      </c>
      <c r="J456" s="19">
        <f>IFERROR(__xludf.DUMMYFUNCTION("""COMPUTED_VALUE"""),0.04759)</f>
        <v>0.04759</v>
      </c>
      <c r="K456" s="19" t="str">
        <f>IFERROR(__xludf.DUMMYFUNCTION("""COMPUTED_VALUE"""),"-")</f>
        <v>-</v>
      </c>
      <c r="L456" s="19">
        <f>IFERROR(__xludf.DUMMYFUNCTION("""COMPUTED_VALUE"""),0.04768)</f>
        <v>0.04768</v>
      </c>
      <c r="O456" s="24">
        <f t="shared" si="4"/>
        <v>0</v>
      </c>
      <c r="P456" s="24"/>
      <c r="Q456" s="24">
        <f t="shared" si="6"/>
        <v>0</v>
      </c>
      <c r="R456" s="24">
        <f t="shared" si="7"/>
        <v>0</v>
      </c>
      <c r="S456" s="24"/>
      <c r="T456" s="24">
        <f t="shared" si="9"/>
        <v>0</v>
      </c>
    </row>
    <row r="457">
      <c r="A457" s="12" t="s">
        <v>546</v>
      </c>
      <c r="F457" s="19">
        <f>IFERROR(__xludf.DUMMYFUNCTION("SPLIT(A453, "" |"")"),451.0)</f>
        <v>451</v>
      </c>
      <c r="G457" s="19">
        <f>IFERROR(__xludf.DUMMYFUNCTION("""COMPUTED_VALUE"""),0.00225)</f>
        <v>0.00225</v>
      </c>
      <c r="H457" s="19" t="str">
        <f>IFERROR(__xludf.DUMMYFUNCTION("""COMPUTED_VALUE"""),"-")</f>
        <v>-</v>
      </c>
      <c r="I457" s="19">
        <f>IFERROR(__xludf.DUMMYFUNCTION("""COMPUTED_VALUE"""),0.00209)</f>
        <v>0.00209</v>
      </c>
      <c r="J457" s="19">
        <f>IFERROR(__xludf.DUMMYFUNCTION("""COMPUTED_VALUE"""),0.04734)</f>
        <v>0.04734</v>
      </c>
      <c r="K457" s="19" t="str">
        <f>IFERROR(__xludf.DUMMYFUNCTION("""COMPUTED_VALUE"""),"-")</f>
        <v>-</v>
      </c>
      <c r="L457" s="19">
        <f>IFERROR(__xludf.DUMMYFUNCTION("""COMPUTED_VALUE"""),0.04759)</f>
        <v>0.04759</v>
      </c>
      <c r="O457" s="24">
        <f t="shared" si="4"/>
        <v>0</v>
      </c>
      <c r="P457" s="24"/>
      <c r="Q457" s="24">
        <f t="shared" si="6"/>
        <v>0</v>
      </c>
      <c r="R457" s="24">
        <f t="shared" si="7"/>
        <v>0</v>
      </c>
      <c r="S457" s="24"/>
      <c r="T457" s="24">
        <f t="shared" si="9"/>
        <v>0</v>
      </c>
    </row>
    <row r="458">
      <c r="A458" s="12" t="s">
        <v>547</v>
      </c>
      <c r="F458" s="19">
        <f>IFERROR(__xludf.DUMMYFUNCTION("SPLIT(A454, "" |"")"),452.0)</f>
        <v>452</v>
      </c>
      <c r="G458" s="19">
        <f>IFERROR(__xludf.DUMMYFUNCTION("""COMPUTED_VALUE"""),0.00246)</f>
        <v>0.00246</v>
      </c>
      <c r="H458" s="19" t="str">
        <f>IFERROR(__xludf.DUMMYFUNCTION("""COMPUTED_VALUE"""),"-")</f>
        <v>-</v>
      </c>
      <c r="I458" s="19">
        <f>IFERROR(__xludf.DUMMYFUNCTION("""COMPUTED_VALUE"""),0.00222)</f>
        <v>0.00222</v>
      </c>
      <c r="J458" s="19">
        <f>IFERROR(__xludf.DUMMYFUNCTION("""COMPUTED_VALUE"""),0.04426)</f>
        <v>0.04426</v>
      </c>
      <c r="K458" s="19" t="str">
        <f>IFERROR(__xludf.DUMMYFUNCTION("""COMPUTED_VALUE"""),"-")</f>
        <v>-</v>
      </c>
      <c r="L458" s="19">
        <f>IFERROR(__xludf.DUMMYFUNCTION("""COMPUTED_VALUE"""),0.04759)</f>
        <v>0.04759</v>
      </c>
      <c r="O458" s="24">
        <f t="shared" si="4"/>
        <v>0</v>
      </c>
      <c r="P458" s="24"/>
      <c r="Q458" s="24">
        <f t="shared" si="6"/>
        <v>0</v>
      </c>
      <c r="R458" s="24">
        <f t="shared" si="7"/>
        <v>1</v>
      </c>
      <c r="S458" s="24"/>
      <c r="T458" s="24">
        <f t="shared" si="9"/>
        <v>0</v>
      </c>
    </row>
    <row r="459">
      <c r="A459" s="12" t="s">
        <v>548</v>
      </c>
      <c r="F459" s="19">
        <f>IFERROR(__xludf.DUMMYFUNCTION("SPLIT(A455, "" |"")"),453.0)</f>
        <v>453</v>
      </c>
      <c r="G459" s="19">
        <f>IFERROR(__xludf.DUMMYFUNCTION("""COMPUTED_VALUE"""),0.00242)</f>
        <v>0.00242</v>
      </c>
      <c r="H459" s="19" t="str">
        <f>IFERROR(__xludf.DUMMYFUNCTION("""COMPUTED_VALUE"""),"-")</f>
        <v>-</v>
      </c>
      <c r="I459" s="19">
        <f>IFERROR(__xludf.DUMMYFUNCTION("""COMPUTED_VALUE"""),0.00222)</f>
        <v>0.00222</v>
      </c>
      <c r="J459" s="19">
        <f>IFERROR(__xludf.DUMMYFUNCTION("""COMPUTED_VALUE"""),0.04411)</f>
        <v>0.04411</v>
      </c>
      <c r="K459" s="19" t="str">
        <f>IFERROR(__xludf.DUMMYFUNCTION("""COMPUTED_VALUE"""),"-")</f>
        <v>-</v>
      </c>
      <c r="L459" s="19">
        <f>IFERROR(__xludf.DUMMYFUNCTION("""COMPUTED_VALUE"""),0.04749)</f>
        <v>0.04749</v>
      </c>
      <c r="O459" s="24">
        <f t="shared" si="4"/>
        <v>0</v>
      </c>
      <c r="P459" s="24"/>
      <c r="Q459" s="24">
        <f t="shared" si="6"/>
        <v>0</v>
      </c>
      <c r="R459" s="24">
        <f t="shared" si="7"/>
        <v>1</v>
      </c>
      <c r="S459" s="24"/>
      <c r="T459" s="24">
        <f t="shared" si="9"/>
        <v>0</v>
      </c>
    </row>
    <row r="460">
      <c r="A460" s="12" t="s">
        <v>549</v>
      </c>
      <c r="F460" s="19">
        <f>IFERROR(__xludf.DUMMYFUNCTION("SPLIT(A456, "" |"")"),454.0)</f>
        <v>454</v>
      </c>
      <c r="G460" s="19">
        <f>IFERROR(__xludf.DUMMYFUNCTION("""COMPUTED_VALUE"""),0.00236)</f>
        <v>0.00236</v>
      </c>
      <c r="H460" s="19" t="str">
        <f>IFERROR(__xludf.DUMMYFUNCTION("""COMPUTED_VALUE"""),"-")</f>
        <v>-</v>
      </c>
      <c r="I460" s="19">
        <f>IFERROR(__xludf.DUMMYFUNCTION("""COMPUTED_VALUE"""),0.00225)</f>
        <v>0.00225</v>
      </c>
      <c r="J460" s="19">
        <f>IFERROR(__xludf.DUMMYFUNCTION("""COMPUTED_VALUE"""),0.04741)</f>
        <v>0.04741</v>
      </c>
      <c r="K460" s="19" t="str">
        <f>IFERROR(__xludf.DUMMYFUNCTION("""COMPUTED_VALUE"""),"-")</f>
        <v>-</v>
      </c>
      <c r="L460" s="19">
        <f>IFERROR(__xludf.DUMMYFUNCTION("""COMPUTED_VALUE"""),0.04525)</f>
        <v>0.04525</v>
      </c>
      <c r="O460" s="24">
        <f t="shared" si="4"/>
        <v>0</v>
      </c>
      <c r="P460" s="24"/>
      <c r="Q460" s="24">
        <f t="shared" si="6"/>
        <v>0</v>
      </c>
      <c r="R460" s="24">
        <f t="shared" si="7"/>
        <v>0</v>
      </c>
      <c r="S460" s="24"/>
      <c r="T460" s="24">
        <f t="shared" si="9"/>
        <v>0</v>
      </c>
    </row>
    <row r="461">
      <c r="A461" s="12" t="s">
        <v>550</v>
      </c>
      <c r="F461" s="19">
        <f>IFERROR(__xludf.DUMMYFUNCTION("SPLIT(A457, "" |"")"),455.0)</f>
        <v>455</v>
      </c>
      <c r="G461" s="19">
        <f>IFERROR(__xludf.DUMMYFUNCTION("""COMPUTED_VALUE"""),0.00234)</f>
        <v>0.00234</v>
      </c>
      <c r="H461" s="19" t="str">
        <f>IFERROR(__xludf.DUMMYFUNCTION("""COMPUTED_VALUE"""),"-")</f>
        <v>-</v>
      </c>
      <c r="I461" s="19">
        <f>IFERROR(__xludf.DUMMYFUNCTION("""COMPUTED_VALUE"""),0.0022)</f>
        <v>0.0022</v>
      </c>
      <c r="J461" s="19">
        <f>IFERROR(__xludf.DUMMYFUNCTION("""COMPUTED_VALUE"""),0.04354)</f>
        <v>0.04354</v>
      </c>
      <c r="K461" s="19" t="str">
        <f>IFERROR(__xludf.DUMMYFUNCTION("""COMPUTED_VALUE"""),"-")</f>
        <v>-</v>
      </c>
      <c r="L461" s="19">
        <f>IFERROR(__xludf.DUMMYFUNCTION("""COMPUTED_VALUE"""),0.04753)</f>
        <v>0.04753</v>
      </c>
      <c r="O461" s="24">
        <f t="shared" si="4"/>
        <v>0</v>
      </c>
      <c r="P461" s="24"/>
      <c r="Q461" s="24">
        <f t="shared" si="6"/>
        <v>0</v>
      </c>
      <c r="R461" s="24">
        <f t="shared" si="7"/>
        <v>1</v>
      </c>
      <c r="S461" s="24"/>
      <c r="T461" s="24">
        <f t="shared" si="9"/>
        <v>0</v>
      </c>
    </row>
    <row r="462">
      <c r="A462" s="12" t="s">
        <v>551</v>
      </c>
      <c r="F462" s="19">
        <f>IFERROR(__xludf.DUMMYFUNCTION("SPLIT(A458, "" |"")"),456.0)</f>
        <v>456</v>
      </c>
      <c r="G462" s="19">
        <f>IFERROR(__xludf.DUMMYFUNCTION("""COMPUTED_VALUE"""),0.00231)</f>
        <v>0.00231</v>
      </c>
      <c r="H462" s="19" t="str">
        <f>IFERROR(__xludf.DUMMYFUNCTION("""COMPUTED_VALUE"""),"-")</f>
        <v>-</v>
      </c>
      <c r="I462" s="19">
        <f>IFERROR(__xludf.DUMMYFUNCTION("""COMPUTED_VALUE"""),0.00215)</f>
        <v>0.00215</v>
      </c>
      <c r="J462" s="19">
        <f>IFERROR(__xludf.DUMMYFUNCTION("""COMPUTED_VALUE"""),0.04743)</f>
        <v>0.04743</v>
      </c>
      <c r="K462" s="19" t="str">
        <f>IFERROR(__xludf.DUMMYFUNCTION("""COMPUTED_VALUE"""),"-")</f>
        <v>-</v>
      </c>
      <c r="L462" s="19">
        <f>IFERROR(__xludf.DUMMYFUNCTION("""COMPUTED_VALUE"""),0.04772)</f>
        <v>0.04772</v>
      </c>
      <c r="O462" s="24">
        <f t="shared" si="4"/>
        <v>0</v>
      </c>
      <c r="P462" s="24"/>
      <c r="Q462" s="24">
        <f t="shared" si="6"/>
        <v>0</v>
      </c>
      <c r="R462" s="24">
        <f t="shared" si="7"/>
        <v>0</v>
      </c>
      <c r="S462" s="24"/>
      <c r="T462" s="24">
        <f t="shared" si="9"/>
        <v>0</v>
      </c>
    </row>
    <row r="463">
      <c r="A463" s="12" t="s">
        <v>552</v>
      </c>
      <c r="F463" s="19">
        <f>IFERROR(__xludf.DUMMYFUNCTION("SPLIT(A459, "" |"")"),457.0)</f>
        <v>457</v>
      </c>
      <c r="G463" s="19">
        <f>IFERROR(__xludf.DUMMYFUNCTION("""COMPUTED_VALUE"""),0.00238)</f>
        <v>0.00238</v>
      </c>
      <c r="H463" s="19" t="str">
        <f>IFERROR(__xludf.DUMMYFUNCTION("""COMPUTED_VALUE"""),"-")</f>
        <v>-</v>
      </c>
      <c r="I463" s="19">
        <f>IFERROR(__xludf.DUMMYFUNCTION("""COMPUTED_VALUE"""),0.00223)</f>
        <v>0.00223</v>
      </c>
      <c r="J463" s="19">
        <f>IFERROR(__xludf.DUMMYFUNCTION("""COMPUTED_VALUE"""),0.04748)</f>
        <v>0.04748</v>
      </c>
      <c r="K463" s="19" t="str">
        <f>IFERROR(__xludf.DUMMYFUNCTION("""COMPUTED_VALUE"""),"-")</f>
        <v>-</v>
      </c>
      <c r="L463" s="19">
        <f>IFERROR(__xludf.DUMMYFUNCTION("""COMPUTED_VALUE"""),0.04768)</f>
        <v>0.04768</v>
      </c>
      <c r="O463" s="24">
        <f t="shared" si="4"/>
        <v>0</v>
      </c>
      <c r="P463" s="24"/>
      <c r="Q463" s="24">
        <f t="shared" si="6"/>
        <v>0</v>
      </c>
      <c r="R463" s="24">
        <f t="shared" si="7"/>
        <v>0</v>
      </c>
      <c r="S463" s="24"/>
      <c r="T463" s="24">
        <f t="shared" si="9"/>
        <v>0</v>
      </c>
    </row>
    <row r="464">
      <c r="A464" s="12" t="s">
        <v>553</v>
      </c>
      <c r="F464" s="19">
        <f>IFERROR(__xludf.DUMMYFUNCTION("SPLIT(A460, "" |"")"),458.0)</f>
        <v>458</v>
      </c>
      <c r="G464" s="19">
        <f>IFERROR(__xludf.DUMMYFUNCTION("""COMPUTED_VALUE"""),0.00238)</f>
        <v>0.00238</v>
      </c>
      <c r="H464" s="19" t="str">
        <f>IFERROR(__xludf.DUMMYFUNCTION("""COMPUTED_VALUE"""),"-")</f>
        <v>-</v>
      </c>
      <c r="I464" s="19">
        <f>IFERROR(__xludf.DUMMYFUNCTION("""COMPUTED_VALUE"""),0.00229)</f>
        <v>0.00229</v>
      </c>
      <c r="J464" s="19">
        <f>IFERROR(__xludf.DUMMYFUNCTION("""COMPUTED_VALUE"""),0.04744)</f>
        <v>0.04744</v>
      </c>
      <c r="K464" s="19" t="str">
        <f>IFERROR(__xludf.DUMMYFUNCTION("""COMPUTED_VALUE"""),"-")</f>
        <v>-</v>
      </c>
      <c r="L464" s="19">
        <f>IFERROR(__xludf.DUMMYFUNCTION("""COMPUTED_VALUE"""),0.04773)</f>
        <v>0.04773</v>
      </c>
      <c r="O464" s="24">
        <f t="shared" si="4"/>
        <v>0</v>
      </c>
      <c r="P464" s="24"/>
      <c r="Q464" s="24">
        <f t="shared" si="6"/>
        <v>0</v>
      </c>
      <c r="R464" s="24">
        <f t="shared" si="7"/>
        <v>0</v>
      </c>
      <c r="S464" s="24"/>
      <c r="T464" s="24">
        <f t="shared" si="9"/>
        <v>0</v>
      </c>
    </row>
    <row r="465">
      <c r="A465" s="12" t="s">
        <v>554</v>
      </c>
      <c r="F465" s="19">
        <f>IFERROR(__xludf.DUMMYFUNCTION("SPLIT(A461, "" |"")"),459.0)</f>
        <v>459</v>
      </c>
      <c r="G465" s="19">
        <f>IFERROR(__xludf.DUMMYFUNCTION("""COMPUTED_VALUE"""),0.00239)</f>
        <v>0.00239</v>
      </c>
      <c r="H465" s="19" t="str">
        <f>IFERROR(__xludf.DUMMYFUNCTION("""COMPUTED_VALUE"""),"-")</f>
        <v>-</v>
      </c>
      <c r="I465" s="19">
        <f>IFERROR(__xludf.DUMMYFUNCTION("""COMPUTED_VALUE"""),0.00222)</f>
        <v>0.00222</v>
      </c>
      <c r="J465" s="19">
        <f>IFERROR(__xludf.DUMMYFUNCTION("""COMPUTED_VALUE"""),0.04735)</f>
        <v>0.04735</v>
      </c>
      <c r="K465" s="19" t="str">
        <f>IFERROR(__xludf.DUMMYFUNCTION("""COMPUTED_VALUE"""),"-")</f>
        <v>-</v>
      </c>
      <c r="L465" s="19">
        <f>IFERROR(__xludf.DUMMYFUNCTION("""COMPUTED_VALUE"""),0.04683)</f>
        <v>0.04683</v>
      </c>
      <c r="O465" s="24">
        <f t="shared" si="4"/>
        <v>0</v>
      </c>
      <c r="P465" s="24"/>
      <c r="Q465" s="24">
        <f t="shared" si="6"/>
        <v>0</v>
      </c>
      <c r="R465" s="24">
        <f t="shared" si="7"/>
        <v>0</v>
      </c>
      <c r="S465" s="24"/>
      <c r="T465" s="24">
        <f t="shared" si="9"/>
        <v>0</v>
      </c>
    </row>
    <row r="466">
      <c r="A466" s="12" t="s">
        <v>555</v>
      </c>
      <c r="F466" s="19">
        <f>IFERROR(__xludf.DUMMYFUNCTION("SPLIT(A462, "" |"")"),460.0)</f>
        <v>460</v>
      </c>
      <c r="G466" s="19">
        <f>IFERROR(__xludf.DUMMYFUNCTION("""COMPUTED_VALUE"""),0.00231)</f>
        <v>0.00231</v>
      </c>
      <c r="H466" s="19" t="str">
        <f>IFERROR(__xludf.DUMMYFUNCTION("""COMPUTED_VALUE"""),"-")</f>
        <v>-</v>
      </c>
      <c r="I466" s="19">
        <f>IFERROR(__xludf.DUMMYFUNCTION("""COMPUTED_VALUE"""),0.00223)</f>
        <v>0.00223</v>
      </c>
      <c r="J466" s="19">
        <f>IFERROR(__xludf.DUMMYFUNCTION("""COMPUTED_VALUE"""),0.04318)</f>
        <v>0.04318</v>
      </c>
      <c r="K466" s="19" t="str">
        <f>IFERROR(__xludf.DUMMYFUNCTION("""COMPUTED_VALUE"""),"-")</f>
        <v>-</v>
      </c>
      <c r="L466" s="19">
        <f>IFERROR(__xludf.DUMMYFUNCTION("""COMPUTED_VALUE"""),0.04384)</f>
        <v>0.04384</v>
      </c>
      <c r="O466" s="24">
        <f t="shared" si="4"/>
        <v>0</v>
      </c>
      <c r="P466" s="24"/>
      <c r="Q466" s="24">
        <f t="shared" si="6"/>
        <v>0</v>
      </c>
      <c r="R466" s="24">
        <f t="shared" si="7"/>
        <v>1</v>
      </c>
      <c r="S466" s="24"/>
      <c r="T466" s="24">
        <f t="shared" si="9"/>
        <v>0</v>
      </c>
    </row>
    <row r="467">
      <c r="A467" s="12" t="s">
        <v>556</v>
      </c>
      <c r="F467" s="19">
        <f>IFERROR(__xludf.DUMMYFUNCTION("SPLIT(A463, "" |"")"),461.0)</f>
        <v>461</v>
      </c>
      <c r="G467" s="19">
        <f>IFERROR(__xludf.DUMMYFUNCTION("""COMPUTED_VALUE"""),0.00239)</f>
        <v>0.00239</v>
      </c>
      <c r="H467" s="19" t="str">
        <f>IFERROR(__xludf.DUMMYFUNCTION("""COMPUTED_VALUE"""),"-")</f>
        <v>-</v>
      </c>
      <c r="I467" s="19">
        <f>IFERROR(__xludf.DUMMYFUNCTION("""COMPUTED_VALUE"""),0.00227)</f>
        <v>0.00227</v>
      </c>
      <c r="J467" s="19">
        <f>IFERROR(__xludf.DUMMYFUNCTION("""COMPUTED_VALUE"""),0.045)</f>
        <v>0.045</v>
      </c>
      <c r="K467" s="19" t="str">
        <f>IFERROR(__xludf.DUMMYFUNCTION("""COMPUTED_VALUE"""),"-")</f>
        <v>-</v>
      </c>
      <c r="L467" s="19">
        <f>IFERROR(__xludf.DUMMYFUNCTION("""COMPUTED_VALUE"""),0.04759)</f>
        <v>0.04759</v>
      </c>
      <c r="O467" s="24">
        <f t="shared" si="4"/>
        <v>0</v>
      </c>
      <c r="P467" s="24"/>
      <c r="Q467" s="24">
        <f t="shared" si="6"/>
        <v>0</v>
      </c>
      <c r="R467" s="24">
        <f t="shared" si="7"/>
        <v>0</v>
      </c>
      <c r="S467" s="24"/>
      <c r="T467" s="24">
        <f t="shared" si="9"/>
        <v>0</v>
      </c>
    </row>
    <row r="468">
      <c r="A468" s="12" t="s">
        <v>557</v>
      </c>
      <c r="F468" s="19">
        <f>IFERROR(__xludf.DUMMYFUNCTION("SPLIT(A464, "" |"")"),462.0)</f>
        <v>462</v>
      </c>
      <c r="G468" s="19">
        <f>IFERROR(__xludf.DUMMYFUNCTION("""COMPUTED_VALUE"""),0.00234)</f>
        <v>0.00234</v>
      </c>
      <c r="H468" s="19" t="str">
        <f>IFERROR(__xludf.DUMMYFUNCTION("""COMPUTED_VALUE"""),"-")</f>
        <v>-</v>
      </c>
      <c r="I468" s="19">
        <f>IFERROR(__xludf.DUMMYFUNCTION("""COMPUTED_VALUE"""),0.00216)</f>
        <v>0.00216</v>
      </c>
      <c r="J468" s="19">
        <f>IFERROR(__xludf.DUMMYFUNCTION("""COMPUTED_VALUE"""),0.0474)</f>
        <v>0.0474</v>
      </c>
      <c r="K468" s="19" t="str">
        <f>IFERROR(__xludf.DUMMYFUNCTION("""COMPUTED_VALUE"""),"-")</f>
        <v>-</v>
      </c>
      <c r="L468" s="19">
        <f>IFERROR(__xludf.DUMMYFUNCTION("""COMPUTED_VALUE"""),0.04759)</f>
        <v>0.04759</v>
      </c>
      <c r="O468" s="24">
        <f t="shared" si="4"/>
        <v>0</v>
      </c>
      <c r="P468" s="24"/>
      <c r="Q468" s="24">
        <f t="shared" si="6"/>
        <v>0</v>
      </c>
      <c r="R468" s="24">
        <f t="shared" si="7"/>
        <v>0</v>
      </c>
      <c r="S468" s="24"/>
      <c r="T468" s="24">
        <f t="shared" si="9"/>
        <v>0</v>
      </c>
    </row>
    <row r="469">
      <c r="A469" s="12" t="s">
        <v>558</v>
      </c>
      <c r="F469" s="19">
        <f>IFERROR(__xludf.DUMMYFUNCTION("SPLIT(A465, "" |"")"),463.0)</f>
        <v>463</v>
      </c>
      <c r="G469" s="19">
        <f>IFERROR(__xludf.DUMMYFUNCTION("""COMPUTED_VALUE"""),0.00233)</f>
        <v>0.00233</v>
      </c>
      <c r="H469" s="19" t="str">
        <f>IFERROR(__xludf.DUMMYFUNCTION("""COMPUTED_VALUE"""),"-")</f>
        <v>-</v>
      </c>
      <c r="I469" s="19">
        <f>IFERROR(__xludf.DUMMYFUNCTION("""COMPUTED_VALUE"""),0.00222)</f>
        <v>0.00222</v>
      </c>
      <c r="J469" s="19">
        <f>IFERROR(__xludf.DUMMYFUNCTION("""COMPUTED_VALUE"""),0.04197)</f>
        <v>0.04197</v>
      </c>
      <c r="K469" s="19" t="str">
        <f>IFERROR(__xludf.DUMMYFUNCTION("""COMPUTED_VALUE"""),"-")</f>
        <v>-</v>
      </c>
      <c r="L469" s="19">
        <f>IFERROR(__xludf.DUMMYFUNCTION("""COMPUTED_VALUE"""),0.04391)</f>
        <v>0.04391</v>
      </c>
      <c r="O469" s="24">
        <f t="shared" si="4"/>
        <v>0</v>
      </c>
      <c r="P469" s="24"/>
      <c r="Q469" s="24">
        <f t="shared" si="6"/>
        <v>0</v>
      </c>
      <c r="R469" s="24">
        <f t="shared" si="7"/>
        <v>1</v>
      </c>
      <c r="S469" s="24"/>
      <c r="T469" s="24">
        <f t="shared" si="9"/>
        <v>0</v>
      </c>
    </row>
    <row r="470">
      <c r="A470" s="12" t="s">
        <v>559</v>
      </c>
      <c r="F470" s="19">
        <f>IFERROR(__xludf.DUMMYFUNCTION("SPLIT(A466, "" |"")"),464.0)</f>
        <v>464</v>
      </c>
      <c r="G470" s="19">
        <f>IFERROR(__xludf.DUMMYFUNCTION("""COMPUTED_VALUE"""),0.00238)</f>
        <v>0.00238</v>
      </c>
      <c r="H470" s="19" t="str">
        <f>IFERROR(__xludf.DUMMYFUNCTION("""COMPUTED_VALUE"""),"-")</f>
        <v>-</v>
      </c>
      <c r="I470" s="19">
        <f>IFERROR(__xludf.DUMMYFUNCTION("""COMPUTED_VALUE"""),0.00224)</f>
        <v>0.00224</v>
      </c>
      <c r="J470" s="19">
        <f>IFERROR(__xludf.DUMMYFUNCTION("""COMPUTED_VALUE"""),0.04746)</f>
        <v>0.04746</v>
      </c>
      <c r="K470" s="19" t="str">
        <f>IFERROR(__xludf.DUMMYFUNCTION("""COMPUTED_VALUE"""),"-")</f>
        <v>-</v>
      </c>
      <c r="L470" s="19">
        <f>IFERROR(__xludf.DUMMYFUNCTION("""COMPUTED_VALUE"""),0.04628)</f>
        <v>0.04628</v>
      </c>
      <c r="O470" s="24">
        <f t="shared" si="4"/>
        <v>0</v>
      </c>
      <c r="P470" s="24"/>
      <c r="Q470" s="24">
        <f t="shared" si="6"/>
        <v>0</v>
      </c>
      <c r="R470" s="24">
        <f t="shared" si="7"/>
        <v>0</v>
      </c>
      <c r="S470" s="24"/>
      <c r="T470" s="24">
        <f t="shared" si="9"/>
        <v>0</v>
      </c>
    </row>
    <row r="471">
      <c r="A471" s="12" t="s">
        <v>560</v>
      </c>
      <c r="F471" s="19">
        <f>IFERROR(__xludf.DUMMYFUNCTION("SPLIT(A467, "" |"")"),465.0)</f>
        <v>465</v>
      </c>
      <c r="G471" s="19">
        <f>IFERROR(__xludf.DUMMYFUNCTION("""COMPUTED_VALUE"""),0.0024)</f>
        <v>0.0024</v>
      </c>
      <c r="H471" s="19" t="str">
        <f>IFERROR(__xludf.DUMMYFUNCTION("""COMPUTED_VALUE"""),"-")</f>
        <v>-</v>
      </c>
      <c r="I471" s="19">
        <f>IFERROR(__xludf.DUMMYFUNCTION("""COMPUTED_VALUE"""),0.00221)</f>
        <v>0.00221</v>
      </c>
      <c r="J471" s="19">
        <f>IFERROR(__xludf.DUMMYFUNCTION("""COMPUTED_VALUE"""),0.04747)</f>
        <v>0.04747</v>
      </c>
      <c r="K471" s="19" t="str">
        <f>IFERROR(__xludf.DUMMYFUNCTION("""COMPUTED_VALUE"""),"-")</f>
        <v>-</v>
      </c>
      <c r="L471" s="19">
        <f>IFERROR(__xludf.DUMMYFUNCTION("""COMPUTED_VALUE"""),0.04761)</f>
        <v>0.04761</v>
      </c>
      <c r="O471" s="24">
        <f t="shared" si="4"/>
        <v>0</v>
      </c>
      <c r="P471" s="24"/>
      <c r="Q471" s="24">
        <f t="shared" si="6"/>
        <v>0</v>
      </c>
      <c r="R471" s="24">
        <f t="shared" si="7"/>
        <v>0</v>
      </c>
      <c r="S471" s="24"/>
      <c r="T471" s="24">
        <f t="shared" si="9"/>
        <v>0</v>
      </c>
    </row>
    <row r="472">
      <c r="A472" s="12" t="s">
        <v>561</v>
      </c>
      <c r="F472" s="19">
        <f>IFERROR(__xludf.DUMMYFUNCTION("SPLIT(A468, "" |"")"),466.0)</f>
        <v>466</v>
      </c>
      <c r="G472" s="19">
        <f>IFERROR(__xludf.DUMMYFUNCTION("""COMPUTED_VALUE"""),0.00233)</f>
        <v>0.00233</v>
      </c>
      <c r="H472" s="19" t="str">
        <f>IFERROR(__xludf.DUMMYFUNCTION("""COMPUTED_VALUE"""),"-")</f>
        <v>-</v>
      </c>
      <c r="I472" s="19">
        <f>IFERROR(__xludf.DUMMYFUNCTION("""COMPUTED_VALUE"""),0.00229)</f>
        <v>0.00229</v>
      </c>
      <c r="J472" s="19">
        <f>IFERROR(__xludf.DUMMYFUNCTION("""COMPUTED_VALUE"""),0.0475)</f>
        <v>0.0475</v>
      </c>
      <c r="K472" s="19" t="str">
        <f>IFERROR(__xludf.DUMMYFUNCTION("""COMPUTED_VALUE"""),"-")</f>
        <v>-</v>
      </c>
      <c r="L472" s="19">
        <f>IFERROR(__xludf.DUMMYFUNCTION("""COMPUTED_VALUE"""),0.04763)</f>
        <v>0.04763</v>
      </c>
      <c r="O472" s="24">
        <f t="shared" si="4"/>
        <v>0</v>
      </c>
      <c r="P472" s="24"/>
      <c r="Q472" s="24">
        <f t="shared" si="6"/>
        <v>0</v>
      </c>
      <c r="R472" s="24">
        <f t="shared" si="7"/>
        <v>0</v>
      </c>
      <c r="S472" s="24"/>
      <c r="T472" s="24">
        <f t="shared" si="9"/>
        <v>0</v>
      </c>
    </row>
    <row r="473">
      <c r="A473" s="12" t="s">
        <v>562</v>
      </c>
      <c r="F473" s="19">
        <f>IFERROR(__xludf.DUMMYFUNCTION("SPLIT(A469, "" |"")"),467.0)</f>
        <v>467</v>
      </c>
      <c r="G473" s="19">
        <f>IFERROR(__xludf.DUMMYFUNCTION("""COMPUTED_VALUE"""),0.00241)</f>
        <v>0.00241</v>
      </c>
      <c r="H473" s="19" t="str">
        <f>IFERROR(__xludf.DUMMYFUNCTION("""COMPUTED_VALUE"""),"-")</f>
        <v>-</v>
      </c>
      <c r="I473" s="19">
        <f>IFERROR(__xludf.DUMMYFUNCTION("""COMPUTED_VALUE"""),0.00223)</f>
        <v>0.00223</v>
      </c>
      <c r="J473" s="19">
        <f>IFERROR(__xludf.DUMMYFUNCTION("""COMPUTED_VALUE"""),0.04749)</f>
        <v>0.04749</v>
      </c>
      <c r="K473" s="19" t="str">
        <f>IFERROR(__xludf.DUMMYFUNCTION("""COMPUTED_VALUE"""),"-")</f>
        <v>-</v>
      </c>
      <c r="L473" s="19">
        <f>IFERROR(__xludf.DUMMYFUNCTION("""COMPUTED_VALUE"""),0.04756)</f>
        <v>0.04756</v>
      </c>
      <c r="O473" s="24">
        <f t="shared" si="4"/>
        <v>0</v>
      </c>
      <c r="P473" s="24"/>
      <c r="Q473" s="24">
        <f t="shared" si="6"/>
        <v>0</v>
      </c>
      <c r="R473" s="24">
        <f t="shared" si="7"/>
        <v>0</v>
      </c>
      <c r="S473" s="24"/>
      <c r="T473" s="24">
        <f t="shared" si="9"/>
        <v>0</v>
      </c>
    </row>
    <row r="474">
      <c r="A474" s="12" t="s">
        <v>563</v>
      </c>
      <c r="F474" s="19">
        <f>IFERROR(__xludf.DUMMYFUNCTION("SPLIT(A470, "" |"")"),468.0)</f>
        <v>468</v>
      </c>
      <c r="G474" s="19">
        <f>IFERROR(__xludf.DUMMYFUNCTION("""COMPUTED_VALUE"""),0.00239)</f>
        <v>0.00239</v>
      </c>
      <c r="H474" s="19" t="str">
        <f>IFERROR(__xludf.DUMMYFUNCTION("""COMPUTED_VALUE"""),"-")</f>
        <v>-</v>
      </c>
      <c r="I474" s="19">
        <f>IFERROR(__xludf.DUMMYFUNCTION("""COMPUTED_VALUE"""),0.00226)</f>
        <v>0.00226</v>
      </c>
      <c r="J474" s="19">
        <f>IFERROR(__xludf.DUMMYFUNCTION("""COMPUTED_VALUE"""),0.0449)</f>
        <v>0.0449</v>
      </c>
      <c r="K474" s="19" t="str">
        <f>IFERROR(__xludf.DUMMYFUNCTION("""COMPUTED_VALUE"""),"-")</f>
        <v>-</v>
      </c>
      <c r="L474" s="19">
        <f>IFERROR(__xludf.DUMMYFUNCTION("""COMPUTED_VALUE"""),0.04408)</f>
        <v>0.04408</v>
      </c>
      <c r="O474" s="24">
        <f t="shared" si="4"/>
        <v>0</v>
      </c>
      <c r="P474" s="24"/>
      <c r="Q474" s="24">
        <f t="shared" si="6"/>
        <v>0</v>
      </c>
      <c r="R474" s="24">
        <f t="shared" si="7"/>
        <v>1</v>
      </c>
      <c r="S474" s="24"/>
      <c r="T474" s="24">
        <f t="shared" si="9"/>
        <v>0</v>
      </c>
    </row>
    <row r="475">
      <c r="A475" s="12" t="s">
        <v>564</v>
      </c>
      <c r="F475" s="19">
        <f>IFERROR(__xludf.DUMMYFUNCTION("SPLIT(A471, "" |"")"),469.0)</f>
        <v>469</v>
      </c>
      <c r="G475" s="19">
        <f>IFERROR(__xludf.DUMMYFUNCTION("""COMPUTED_VALUE"""),0.00228)</f>
        <v>0.00228</v>
      </c>
      <c r="H475" s="19" t="str">
        <f>IFERROR(__xludf.DUMMYFUNCTION("""COMPUTED_VALUE"""),"-")</f>
        <v>-</v>
      </c>
      <c r="I475" s="19">
        <f>IFERROR(__xludf.DUMMYFUNCTION("""COMPUTED_VALUE"""),0.00211)</f>
        <v>0.00211</v>
      </c>
      <c r="J475" s="19">
        <f>IFERROR(__xludf.DUMMYFUNCTION("""COMPUTED_VALUE"""),0.04733)</f>
        <v>0.04733</v>
      </c>
      <c r="K475" s="19" t="str">
        <f>IFERROR(__xludf.DUMMYFUNCTION("""COMPUTED_VALUE"""),"-")</f>
        <v>-</v>
      </c>
      <c r="L475" s="19">
        <f>IFERROR(__xludf.DUMMYFUNCTION("""COMPUTED_VALUE"""),0.04268)</f>
        <v>0.04268</v>
      </c>
      <c r="O475" s="24">
        <f t="shared" si="4"/>
        <v>0</v>
      </c>
      <c r="P475" s="24"/>
      <c r="Q475" s="24">
        <f t="shared" si="6"/>
        <v>0</v>
      </c>
      <c r="R475" s="24">
        <f t="shared" si="7"/>
        <v>0</v>
      </c>
      <c r="S475" s="24"/>
      <c r="T475" s="24">
        <f t="shared" si="9"/>
        <v>0</v>
      </c>
    </row>
    <row r="476">
      <c r="A476" s="12" t="s">
        <v>565</v>
      </c>
      <c r="F476" s="19">
        <f>IFERROR(__xludf.DUMMYFUNCTION("SPLIT(A472, "" |"")"),470.0)</f>
        <v>470</v>
      </c>
      <c r="G476" s="19">
        <f>IFERROR(__xludf.DUMMYFUNCTION("""COMPUTED_VALUE"""),0.00232)</f>
        <v>0.00232</v>
      </c>
      <c r="H476" s="19" t="str">
        <f>IFERROR(__xludf.DUMMYFUNCTION("""COMPUTED_VALUE"""),"-")</f>
        <v>-</v>
      </c>
      <c r="I476" s="19">
        <f>IFERROR(__xludf.DUMMYFUNCTION("""COMPUTED_VALUE"""),0.00222)</f>
        <v>0.00222</v>
      </c>
      <c r="J476" s="19">
        <f>IFERROR(__xludf.DUMMYFUNCTION("""COMPUTED_VALUE"""),0.04747)</f>
        <v>0.04747</v>
      </c>
      <c r="K476" s="19" t="str">
        <f>IFERROR(__xludf.DUMMYFUNCTION("""COMPUTED_VALUE"""),"-")</f>
        <v>-</v>
      </c>
      <c r="L476" s="19">
        <f>IFERROR(__xludf.DUMMYFUNCTION("""COMPUTED_VALUE"""),0.04768)</f>
        <v>0.04768</v>
      </c>
      <c r="O476" s="24">
        <f t="shared" si="4"/>
        <v>0</v>
      </c>
      <c r="P476" s="24"/>
      <c r="Q476" s="24">
        <f t="shared" si="6"/>
        <v>0</v>
      </c>
      <c r="R476" s="24">
        <f t="shared" si="7"/>
        <v>0</v>
      </c>
      <c r="S476" s="24"/>
      <c r="T476" s="24">
        <f t="shared" si="9"/>
        <v>0</v>
      </c>
    </row>
    <row r="477">
      <c r="A477" s="12" t="s">
        <v>566</v>
      </c>
      <c r="F477" s="19">
        <f>IFERROR(__xludf.DUMMYFUNCTION("SPLIT(A473, "" |"")"),471.0)</f>
        <v>471</v>
      </c>
      <c r="G477" s="19">
        <f>IFERROR(__xludf.DUMMYFUNCTION("""COMPUTED_VALUE"""),0.00236)</f>
        <v>0.00236</v>
      </c>
      <c r="H477" s="19" t="str">
        <f>IFERROR(__xludf.DUMMYFUNCTION("""COMPUTED_VALUE"""),"-")</f>
        <v>-</v>
      </c>
      <c r="I477" s="19">
        <f>IFERROR(__xludf.DUMMYFUNCTION("""COMPUTED_VALUE"""),0.00221)</f>
        <v>0.00221</v>
      </c>
      <c r="J477" s="19">
        <f>IFERROR(__xludf.DUMMYFUNCTION("""COMPUTED_VALUE"""),0.04744)</f>
        <v>0.04744</v>
      </c>
      <c r="K477" s="19" t="str">
        <f>IFERROR(__xludf.DUMMYFUNCTION("""COMPUTED_VALUE"""),"-")</f>
        <v>-</v>
      </c>
      <c r="L477" s="19">
        <f>IFERROR(__xludf.DUMMYFUNCTION("""COMPUTED_VALUE"""),0.04755)</f>
        <v>0.04755</v>
      </c>
      <c r="O477" s="24">
        <f t="shared" si="4"/>
        <v>0</v>
      </c>
      <c r="P477" s="24"/>
      <c r="Q477" s="24">
        <f t="shared" si="6"/>
        <v>0</v>
      </c>
      <c r="R477" s="24">
        <f t="shared" si="7"/>
        <v>0</v>
      </c>
      <c r="S477" s="24"/>
      <c r="T477" s="24">
        <f t="shared" si="9"/>
        <v>0</v>
      </c>
    </row>
    <row r="478">
      <c r="A478" s="12" t="s">
        <v>567</v>
      </c>
      <c r="F478" s="19">
        <f>IFERROR(__xludf.DUMMYFUNCTION("SPLIT(A474, "" |"")"),472.0)</f>
        <v>472</v>
      </c>
      <c r="G478" s="19">
        <f>IFERROR(__xludf.DUMMYFUNCTION("""COMPUTED_VALUE"""),0.00234)</f>
        <v>0.00234</v>
      </c>
      <c r="H478" s="19" t="str">
        <f>IFERROR(__xludf.DUMMYFUNCTION("""COMPUTED_VALUE"""),"-")</f>
        <v>-</v>
      </c>
      <c r="I478" s="19">
        <f>IFERROR(__xludf.DUMMYFUNCTION("""COMPUTED_VALUE"""),0.00226)</f>
        <v>0.00226</v>
      </c>
      <c r="J478" s="19">
        <f>IFERROR(__xludf.DUMMYFUNCTION("""COMPUTED_VALUE"""),0.04426)</f>
        <v>0.04426</v>
      </c>
      <c r="K478" s="19" t="str">
        <f>IFERROR(__xludf.DUMMYFUNCTION("""COMPUTED_VALUE"""),"-")</f>
        <v>-</v>
      </c>
      <c r="L478" s="19">
        <f>IFERROR(__xludf.DUMMYFUNCTION("""COMPUTED_VALUE"""),0.04756)</f>
        <v>0.04756</v>
      </c>
      <c r="O478" s="24">
        <f t="shared" si="4"/>
        <v>0</v>
      </c>
      <c r="P478" s="24"/>
      <c r="Q478" s="24">
        <f t="shared" si="6"/>
        <v>0</v>
      </c>
      <c r="R478" s="24">
        <f t="shared" si="7"/>
        <v>1</v>
      </c>
      <c r="S478" s="24"/>
      <c r="T478" s="24">
        <f t="shared" si="9"/>
        <v>0</v>
      </c>
    </row>
    <row r="479">
      <c r="A479" s="12" t="s">
        <v>568</v>
      </c>
      <c r="F479" s="19">
        <f>IFERROR(__xludf.DUMMYFUNCTION("SPLIT(A475, "" |"")"),473.0)</f>
        <v>473</v>
      </c>
      <c r="G479" s="19">
        <f>IFERROR(__xludf.DUMMYFUNCTION("""COMPUTED_VALUE"""),0.00234)</f>
        <v>0.00234</v>
      </c>
      <c r="H479" s="19" t="str">
        <f>IFERROR(__xludf.DUMMYFUNCTION("""COMPUTED_VALUE"""),"-")</f>
        <v>-</v>
      </c>
      <c r="I479" s="19">
        <f>IFERROR(__xludf.DUMMYFUNCTION("""COMPUTED_VALUE"""),0.00219)</f>
        <v>0.00219</v>
      </c>
      <c r="J479" s="19">
        <f>IFERROR(__xludf.DUMMYFUNCTION("""COMPUTED_VALUE"""),0.04746)</f>
        <v>0.04746</v>
      </c>
      <c r="K479" s="19" t="str">
        <f>IFERROR(__xludf.DUMMYFUNCTION("""COMPUTED_VALUE"""),"-")</f>
        <v>-</v>
      </c>
      <c r="L479" s="19">
        <f>IFERROR(__xludf.DUMMYFUNCTION("""COMPUTED_VALUE"""),0.03852)</f>
        <v>0.03852</v>
      </c>
      <c r="O479" s="24">
        <f t="shared" si="4"/>
        <v>0</v>
      </c>
      <c r="P479" s="24"/>
      <c r="Q479" s="24">
        <f t="shared" si="6"/>
        <v>0</v>
      </c>
      <c r="R479" s="24">
        <f t="shared" si="7"/>
        <v>0</v>
      </c>
      <c r="S479" s="24"/>
      <c r="T479" s="24">
        <f t="shared" si="9"/>
        <v>0</v>
      </c>
    </row>
    <row r="480">
      <c r="A480" s="12" t="s">
        <v>569</v>
      </c>
      <c r="F480" s="19">
        <f>IFERROR(__xludf.DUMMYFUNCTION("SPLIT(A476, "" |"")"),474.0)</f>
        <v>474</v>
      </c>
      <c r="G480" s="19">
        <f>IFERROR(__xludf.DUMMYFUNCTION("""COMPUTED_VALUE"""),0.00234)</f>
        <v>0.00234</v>
      </c>
      <c r="H480" s="19" t="str">
        <f>IFERROR(__xludf.DUMMYFUNCTION("""COMPUTED_VALUE"""),"-")</f>
        <v>-</v>
      </c>
      <c r="I480" s="19">
        <f>IFERROR(__xludf.DUMMYFUNCTION("""COMPUTED_VALUE"""),0.00227)</f>
        <v>0.00227</v>
      </c>
      <c r="J480" s="19">
        <f>IFERROR(__xludf.DUMMYFUNCTION("""COMPUTED_VALUE"""),0.04748)</f>
        <v>0.04748</v>
      </c>
      <c r="K480" s="19" t="str">
        <f>IFERROR(__xludf.DUMMYFUNCTION("""COMPUTED_VALUE"""),"-")</f>
        <v>-</v>
      </c>
      <c r="L480" s="19">
        <f>IFERROR(__xludf.DUMMYFUNCTION("""COMPUTED_VALUE"""),0.04762)</f>
        <v>0.04762</v>
      </c>
      <c r="O480" s="24">
        <f t="shared" si="4"/>
        <v>0</v>
      </c>
      <c r="P480" s="24"/>
      <c r="Q480" s="24">
        <f t="shared" si="6"/>
        <v>0</v>
      </c>
      <c r="R480" s="24">
        <f t="shared" si="7"/>
        <v>0</v>
      </c>
      <c r="S480" s="24"/>
      <c r="T480" s="24">
        <f t="shared" si="9"/>
        <v>0</v>
      </c>
    </row>
    <row r="481">
      <c r="A481" s="12" t="s">
        <v>570</v>
      </c>
      <c r="F481" s="19">
        <f>IFERROR(__xludf.DUMMYFUNCTION("SPLIT(A477, "" |"")"),475.0)</f>
        <v>475</v>
      </c>
      <c r="G481" s="19">
        <f>IFERROR(__xludf.DUMMYFUNCTION("""COMPUTED_VALUE"""),0.00232)</f>
        <v>0.00232</v>
      </c>
      <c r="H481" s="19" t="str">
        <f>IFERROR(__xludf.DUMMYFUNCTION("""COMPUTED_VALUE"""),"-")</f>
        <v>-</v>
      </c>
      <c r="I481" s="19">
        <f>IFERROR(__xludf.DUMMYFUNCTION("""COMPUTED_VALUE"""),0.00219)</f>
        <v>0.00219</v>
      </c>
      <c r="J481" s="19">
        <f>IFERROR(__xludf.DUMMYFUNCTION("""COMPUTED_VALUE"""),0.0469)</f>
        <v>0.0469</v>
      </c>
      <c r="K481" s="19" t="str">
        <f>IFERROR(__xludf.DUMMYFUNCTION("""COMPUTED_VALUE"""),"-")</f>
        <v>-</v>
      </c>
      <c r="L481" s="19">
        <f>IFERROR(__xludf.DUMMYFUNCTION("""COMPUTED_VALUE"""),0.04762)</f>
        <v>0.04762</v>
      </c>
      <c r="O481" s="24">
        <f t="shared" si="4"/>
        <v>0</v>
      </c>
      <c r="P481" s="24"/>
      <c r="Q481" s="24">
        <f t="shared" si="6"/>
        <v>0</v>
      </c>
      <c r="R481" s="24">
        <f t="shared" si="7"/>
        <v>0</v>
      </c>
      <c r="S481" s="24"/>
      <c r="T481" s="24">
        <f t="shared" si="9"/>
        <v>0</v>
      </c>
    </row>
    <row r="482">
      <c r="A482" s="12" t="s">
        <v>571</v>
      </c>
      <c r="F482" s="19">
        <f>IFERROR(__xludf.DUMMYFUNCTION("SPLIT(A478, "" |"")"),476.0)</f>
        <v>476</v>
      </c>
      <c r="G482" s="19">
        <f>IFERROR(__xludf.DUMMYFUNCTION("""COMPUTED_VALUE"""),0.00235)</f>
        <v>0.00235</v>
      </c>
      <c r="H482" s="19" t="str">
        <f>IFERROR(__xludf.DUMMYFUNCTION("""COMPUTED_VALUE"""),"-")</f>
        <v>-</v>
      </c>
      <c r="I482" s="19">
        <f>IFERROR(__xludf.DUMMYFUNCTION("""COMPUTED_VALUE"""),0.00221)</f>
        <v>0.00221</v>
      </c>
      <c r="J482" s="19">
        <f>IFERROR(__xludf.DUMMYFUNCTION("""COMPUTED_VALUE"""),0.0475)</f>
        <v>0.0475</v>
      </c>
      <c r="K482" s="19" t="str">
        <f>IFERROR(__xludf.DUMMYFUNCTION("""COMPUTED_VALUE"""),"-")</f>
        <v>-</v>
      </c>
      <c r="L482" s="19">
        <f>IFERROR(__xludf.DUMMYFUNCTION("""COMPUTED_VALUE"""),0.0476)</f>
        <v>0.0476</v>
      </c>
      <c r="O482" s="24">
        <f t="shared" si="4"/>
        <v>0</v>
      </c>
      <c r="P482" s="24"/>
      <c r="Q482" s="24">
        <f t="shared" si="6"/>
        <v>0</v>
      </c>
      <c r="R482" s="24">
        <f t="shared" si="7"/>
        <v>0</v>
      </c>
      <c r="S482" s="24"/>
      <c r="T482" s="24">
        <f t="shared" si="9"/>
        <v>0</v>
      </c>
    </row>
    <row r="483">
      <c r="A483" s="12" t="s">
        <v>572</v>
      </c>
      <c r="F483" s="19">
        <f>IFERROR(__xludf.DUMMYFUNCTION("SPLIT(A479, "" |"")"),477.0)</f>
        <v>477</v>
      </c>
      <c r="G483" s="19">
        <f>IFERROR(__xludf.DUMMYFUNCTION("""COMPUTED_VALUE"""),0.00237)</f>
        <v>0.00237</v>
      </c>
      <c r="H483" s="19" t="str">
        <f>IFERROR(__xludf.DUMMYFUNCTION("""COMPUTED_VALUE"""),"-")</f>
        <v>-</v>
      </c>
      <c r="I483" s="19">
        <f>IFERROR(__xludf.DUMMYFUNCTION("""COMPUTED_VALUE"""),0.00222)</f>
        <v>0.00222</v>
      </c>
      <c r="J483" s="19">
        <f>IFERROR(__xludf.DUMMYFUNCTION("""COMPUTED_VALUE"""),0.04744)</f>
        <v>0.04744</v>
      </c>
      <c r="K483" s="19" t="str">
        <f>IFERROR(__xludf.DUMMYFUNCTION("""COMPUTED_VALUE"""),"-")</f>
        <v>-</v>
      </c>
      <c r="L483" s="19">
        <f>IFERROR(__xludf.DUMMYFUNCTION("""COMPUTED_VALUE"""),0.0476)</f>
        <v>0.0476</v>
      </c>
      <c r="O483" s="24">
        <f t="shared" si="4"/>
        <v>0</v>
      </c>
      <c r="P483" s="24"/>
      <c r="Q483" s="24">
        <f t="shared" si="6"/>
        <v>0</v>
      </c>
      <c r="R483" s="24">
        <f t="shared" si="7"/>
        <v>0</v>
      </c>
      <c r="S483" s="24"/>
      <c r="T483" s="24">
        <f t="shared" si="9"/>
        <v>0</v>
      </c>
    </row>
    <row r="484">
      <c r="A484" s="12" t="s">
        <v>573</v>
      </c>
      <c r="F484" s="19">
        <f>IFERROR(__xludf.DUMMYFUNCTION("SPLIT(A480, "" |"")"),478.0)</f>
        <v>478</v>
      </c>
      <c r="G484" s="19">
        <f>IFERROR(__xludf.DUMMYFUNCTION("""COMPUTED_VALUE"""),0.00232)</f>
        <v>0.00232</v>
      </c>
      <c r="H484" s="19" t="str">
        <f>IFERROR(__xludf.DUMMYFUNCTION("""COMPUTED_VALUE"""),"-")</f>
        <v>-</v>
      </c>
      <c r="I484" s="19">
        <f>IFERROR(__xludf.DUMMYFUNCTION("""COMPUTED_VALUE"""),0.00221)</f>
        <v>0.00221</v>
      </c>
      <c r="J484" s="19">
        <f>IFERROR(__xludf.DUMMYFUNCTION("""COMPUTED_VALUE"""),0.0475)</f>
        <v>0.0475</v>
      </c>
      <c r="K484" s="19" t="str">
        <f>IFERROR(__xludf.DUMMYFUNCTION("""COMPUTED_VALUE"""),"-")</f>
        <v>-</v>
      </c>
      <c r="L484" s="19">
        <f>IFERROR(__xludf.DUMMYFUNCTION("""COMPUTED_VALUE"""),0.04062)</f>
        <v>0.04062</v>
      </c>
      <c r="O484" s="24">
        <f t="shared" si="4"/>
        <v>0</v>
      </c>
      <c r="P484" s="24"/>
      <c r="Q484" s="24">
        <f t="shared" si="6"/>
        <v>0</v>
      </c>
      <c r="R484" s="24">
        <f t="shared" si="7"/>
        <v>0</v>
      </c>
      <c r="S484" s="24"/>
      <c r="T484" s="24">
        <f t="shared" si="9"/>
        <v>0</v>
      </c>
    </row>
    <row r="485">
      <c r="A485" s="12" t="s">
        <v>574</v>
      </c>
      <c r="F485" s="19">
        <f>IFERROR(__xludf.DUMMYFUNCTION("SPLIT(A481, "" |"")"),479.0)</f>
        <v>479</v>
      </c>
      <c r="G485" s="19">
        <f>IFERROR(__xludf.DUMMYFUNCTION("""COMPUTED_VALUE"""),0.00236)</f>
        <v>0.00236</v>
      </c>
      <c r="H485" s="19" t="str">
        <f>IFERROR(__xludf.DUMMYFUNCTION("""COMPUTED_VALUE"""),"-")</f>
        <v>-</v>
      </c>
      <c r="I485" s="19">
        <f>IFERROR(__xludf.DUMMYFUNCTION("""COMPUTED_VALUE"""),0.0022)</f>
        <v>0.0022</v>
      </c>
      <c r="J485" s="19">
        <f>IFERROR(__xludf.DUMMYFUNCTION("""COMPUTED_VALUE"""),0.04741)</f>
        <v>0.04741</v>
      </c>
      <c r="K485" s="19" t="str">
        <f>IFERROR(__xludf.DUMMYFUNCTION("""COMPUTED_VALUE"""),"-")</f>
        <v>-</v>
      </c>
      <c r="L485" s="19">
        <f>IFERROR(__xludf.DUMMYFUNCTION("""COMPUTED_VALUE"""),0.04763)</f>
        <v>0.04763</v>
      </c>
      <c r="O485" s="24">
        <f t="shared" si="4"/>
        <v>0</v>
      </c>
      <c r="P485" s="24"/>
      <c r="Q485" s="24">
        <f t="shared" si="6"/>
        <v>0</v>
      </c>
      <c r="R485" s="24">
        <f t="shared" si="7"/>
        <v>0</v>
      </c>
      <c r="S485" s="24"/>
      <c r="T485" s="24">
        <f t="shared" si="9"/>
        <v>0</v>
      </c>
    </row>
    <row r="486">
      <c r="A486" s="12" t="s">
        <v>575</v>
      </c>
      <c r="F486" s="19">
        <f>IFERROR(__xludf.DUMMYFUNCTION("SPLIT(A482, "" |"")"),480.0)</f>
        <v>480</v>
      </c>
      <c r="G486" s="19">
        <f>IFERROR(__xludf.DUMMYFUNCTION("""COMPUTED_VALUE"""),0.00243)</f>
        <v>0.00243</v>
      </c>
      <c r="H486" s="19" t="str">
        <f>IFERROR(__xludf.DUMMYFUNCTION("""COMPUTED_VALUE"""),"-")</f>
        <v>-</v>
      </c>
      <c r="I486" s="19">
        <f>IFERROR(__xludf.DUMMYFUNCTION("""COMPUTED_VALUE"""),0.00224)</f>
        <v>0.00224</v>
      </c>
      <c r="J486" s="19">
        <f>IFERROR(__xludf.DUMMYFUNCTION("""COMPUTED_VALUE"""),0.04745)</f>
        <v>0.04745</v>
      </c>
      <c r="K486" s="19" t="str">
        <f>IFERROR(__xludf.DUMMYFUNCTION("""COMPUTED_VALUE"""),"-")</f>
        <v>-</v>
      </c>
      <c r="L486" s="19">
        <f>IFERROR(__xludf.DUMMYFUNCTION("""COMPUTED_VALUE"""),0.04762)</f>
        <v>0.04762</v>
      </c>
      <c r="O486" s="24">
        <f t="shared" si="4"/>
        <v>0</v>
      </c>
      <c r="P486" s="24"/>
      <c r="Q486" s="24">
        <f t="shared" si="6"/>
        <v>0</v>
      </c>
      <c r="R486" s="24">
        <f t="shared" si="7"/>
        <v>0</v>
      </c>
      <c r="S486" s="24"/>
      <c r="T486" s="24">
        <f t="shared" si="9"/>
        <v>0</v>
      </c>
    </row>
    <row r="487">
      <c r="A487" s="12" t="s">
        <v>576</v>
      </c>
      <c r="F487" s="19">
        <f>IFERROR(__xludf.DUMMYFUNCTION("SPLIT(A483, "" |"")"),481.0)</f>
        <v>481</v>
      </c>
      <c r="G487" s="19">
        <f>IFERROR(__xludf.DUMMYFUNCTION("""COMPUTED_VALUE"""),0.00238)</f>
        <v>0.00238</v>
      </c>
      <c r="H487" s="19" t="str">
        <f>IFERROR(__xludf.DUMMYFUNCTION("""COMPUTED_VALUE"""),"-")</f>
        <v>-</v>
      </c>
      <c r="I487" s="19">
        <f>IFERROR(__xludf.DUMMYFUNCTION("""COMPUTED_VALUE"""),0.00215)</f>
        <v>0.00215</v>
      </c>
      <c r="J487" s="19">
        <f>IFERROR(__xludf.DUMMYFUNCTION("""COMPUTED_VALUE"""),0.04377)</f>
        <v>0.04377</v>
      </c>
      <c r="K487" s="19" t="str">
        <f>IFERROR(__xludf.DUMMYFUNCTION("""COMPUTED_VALUE"""),"-")</f>
        <v>-</v>
      </c>
      <c r="L487" s="19">
        <f>IFERROR(__xludf.DUMMYFUNCTION("""COMPUTED_VALUE"""),0.04016)</f>
        <v>0.04016</v>
      </c>
      <c r="O487" s="24">
        <f t="shared" si="4"/>
        <v>0</v>
      </c>
      <c r="P487" s="24"/>
      <c r="Q487" s="24">
        <f t="shared" si="6"/>
        <v>0</v>
      </c>
      <c r="R487" s="24">
        <f t="shared" si="7"/>
        <v>1</v>
      </c>
      <c r="S487" s="24"/>
      <c r="T487" s="24">
        <f t="shared" si="9"/>
        <v>0</v>
      </c>
    </row>
    <row r="488">
      <c r="A488" s="12" t="s">
        <v>577</v>
      </c>
      <c r="F488" s="19">
        <f>IFERROR(__xludf.DUMMYFUNCTION("SPLIT(A484, "" |"")"),482.0)</f>
        <v>482</v>
      </c>
      <c r="G488" s="19">
        <f>IFERROR(__xludf.DUMMYFUNCTION("""COMPUTED_VALUE"""),0.00233)</f>
        <v>0.00233</v>
      </c>
      <c r="H488" s="19" t="str">
        <f>IFERROR(__xludf.DUMMYFUNCTION("""COMPUTED_VALUE"""),"-")</f>
        <v>-</v>
      </c>
      <c r="I488" s="19">
        <f>IFERROR(__xludf.DUMMYFUNCTION("""COMPUTED_VALUE"""),0.00207)</f>
        <v>0.00207</v>
      </c>
      <c r="J488" s="19">
        <f>IFERROR(__xludf.DUMMYFUNCTION("""COMPUTED_VALUE"""),0.04735)</f>
        <v>0.04735</v>
      </c>
      <c r="K488" s="19" t="str">
        <f>IFERROR(__xludf.DUMMYFUNCTION("""COMPUTED_VALUE"""),"-")</f>
        <v>-</v>
      </c>
      <c r="L488" s="19">
        <f>IFERROR(__xludf.DUMMYFUNCTION("""COMPUTED_VALUE"""),0.0404)</f>
        <v>0.0404</v>
      </c>
      <c r="O488" s="24">
        <f t="shared" si="4"/>
        <v>0</v>
      </c>
      <c r="P488" s="24"/>
      <c r="Q488" s="24">
        <f t="shared" si="6"/>
        <v>0</v>
      </c>
      <c r="R488" s="24">
        <f t="shared" si="7"/>
        <v>0</v>
      </c>
      <c r="S488" s="24"/>
      <c r="T488" s="24">
        <f t="shared" si="9"/>
        <v>0</v>
      </c>
    </row>
    <row r="489">
      <c r="A489" s="12" t="s">
        <v>578</v>
      </c>
      <c r="F489" s="19">
        <f>IFERROR(__xludf.DUMMYFUNCTION("SPLIT(A485, "" |"")"),483.0)</f>
        <v>483</v>
      </c>
      <c r="G489" s="19">
        <f>IFERROR(__xludf.DUMMYFUNCTION("""COMPUTED_VALUE"""),0.00234)</f>
        <v>0.00234</v>
      </c>
      <c r="H489" s="19" t="str">
        <f>IFERROR(__xludf.DUMMYFUNCTION("""COMPUTED_VALUE"""),"-")</f>
        <v>-</v>
      </c>
      <c r="I489" s="19">
        <f>IFERROR(__xludf.DUMMYFUNCTION("""COMPUTED_VALUE"""),0.00225)</f>
        <v>0.00225</v>
      </c>
      <c r="J489" s="19">
        <f>IFERROR(__xludf.DUMMYFUNCTION("""COMPUTED_VALUE"""),0.04747)</f>
        <v>0.04747</v>
      </c>
      <c r="K489" s="19" t="str">
        <f>IFERROR(__xludf.DUMMYFUNCTION("""COMPUTED_VALUE"""),"-")</f>
        <v>-</v>
      </c>
      <c r="L489" s="19">
        <f>IFERROR(__xludf.DUMMYFUNCTION("""COMPUTED_VALUE"""),0.04774)</f>
        <v>0.04774</v>
      </c>
      <c r="O489" s="24">
        <f t="shared" si="4"/>
        <v>0</v>
      </c>
      <c r="P489" s="24"/>
      <c r="Q489" s="24">
        <f t="shared" si="6"/>
        <v>0</v>
      </c>
      <c r="R489" s="24">
        <f t="shared" si="7"/>
        <v>0</v>
      </c>
      <c r="S489" s="24"/>
      <c r="T489" s="24">
        <f t="shared" si="9"/>
        <v>0</v>
      </c>
    </row>
    <row r="490">
      <c r="A490" s="12" t="s">
        <v>579</v>
      </c>
      <c r="F490" s="19">
        <f>IFERROR(__xludf.DUMMYFUNCTION("SPLIT(A486, "" |"")"),484.0)</f>
        <v>484</v>
      </c>
      <c r="G490" s="19">
        <f>IFERROR(__xludf.DUMMYFUNCTION("""COMPUTED_VALUE"""),0.00244)</f>
        <v>0.00244</v>
      </c>
      <c r="H490" s="19" t="str">
        <f>IFERROR(__xludf.DUMMYFUNCTION("""COMPUTED_VALUE"""),"-")</f>
        <v>-</v>
      </c>
      <c r="I490" s="19">
        <f>IFERROR(__xludf.DUMMYFUNCTION("""COMPUTED_VALUE"""),0.00219)</f>
        <v>0.00219</v>
      </c>
      <c r="J490" s="19">
        <f>IFERROR(__xludf.DUMMYFUNCTION("""COMPUTED_VALUE"""),0.0476)</f>
        <v>0.0476</v>
      </c>
      <c r="K490" s="19" t="str">
        <f>IFERROR(__xludf.DUMMYFUNCTION("""COMPUTED_VALUE"""),"-")</f>
        <v>-</v>
      </c>
      <c r="L490" s="19">
        <f>IFERROR(__xludf.DUMMYFUNCTION("""COMPUTED_VALUE"""),0.04764)</f>
        <v>0.04764</v>
      </c>
      <c r="O490" s="24">
        <f t="shared" si="4"/>
        <v>0</v>
      </c>
      <c r="P490" s="24"/>
      <c r="Q490" s="24">
        <f t="shared" si="6"/>
        <v>0</v>
      </c>
      <c r="R490" s="24">
        <f t="shared" si="7"/>
        <v>0</v>
      </c>
      <c r="S490" s="24"/>
      <c r="T490" s="24">
        <f t="shared" si="9"/>
        <v>0</v>
      </c>
    </row>
    <row r="491">
      <c r="A491" s="12" t="s">
        <v>580</v>
      </c>
      <c r="F491" s="19">
        <f>IFERROR(__xludf.DUMMYFUNCTION("SPLIT(A487, "" |"")"),485.0)</f>
        <v>485</v>
      </c>
      <c r="G491" s="19">
        <f>IFERROR(__xludf.DUMMYFUNCTION("""COMPUTED_VALUE"""),0.00236)</f>
        <v>0.00236</v>
      </c>
      <c r="H491" s="19" t="str">
        <f>IFERROR(__xludf.DUMMYFUNCTION("""COMPUTED_VALUE"""),"-")</f>
        <v>-</v>
      </c>
      <c r="I491" s="19">
        <f>IFERROR(__xludf.DUMMYFUNCTION("""COMPUTED_VALUE"""),0.00227)</f>
        <v>0.00227</v>
      </c>
      <c r="J491" s="19">
        <f>IFERROR(__xludf.DUMMYFUNCTION("""COMPUTED_VALUE"""),0.04749)</f>
        <v>0.04749</v>
      </c>
      <c r="K491" s="19" t="str">
        <f>IFERROR(__xludf.DUMMYFUNCTION("""COMPUTED_VALUE"""),"-")</f>
        <v>-</v>
      </c>
      <c r="L491" s="19">
        <f>IFERROR(__xludf.DUMMYFUNCTION("""COMPUTED_VALUE"""),0.04755)</f>
        <v>0.04755</v>
      </c>
      <c r="O491" s="24">
        <f t="shared" si="4"/>
        <v>0</v>
      </c>
      <c r="P491" s="24"/>
      <c r="Q491" s="24">
        <f t="shared" si="6"/>
        <v>0</v>
      </c>
      <c r="R491" s="24">
        <f t="shared" si="7"/>
        <v>0</v>
      </c>
      <c r="S491" s="24"/>
      <c r="T491" s="24">
        <f t="shared" si="9"/>
        <v>0</v>
      </c>
    </row>
    <row r="492">
      <c r="A492" s="12" t="s">
        <v>581</v>
      </c>
      <c r="F492" s="19">
        <f>IFERROR(__xludf.DUMMYFUNCTION("SPLIT(A488, "" |"")"),486.0)</f>
        <v>486</v>
      </c>
      <c r="G492" s="19">
        <f>IFERROR(__xludf.DUMMYFUNCTION("""COMPUTED_VALUE"""),0.00236)</f>
        <v>0.00236</v>
      </c>
      <c r="H492" s="19" t="str">
        <f>IFERROR(__xludf.DUMMYFUNCTION("""COMPUTED_VALUE"""),"-")</f>
        <v>-</v>
      </c>
      <c r="I492" s="19">
        <f>IFERROR(__xludf.DUMMYFUNCTION("""COMPUTED_VALUE"""),0.0022)</f>
        <v>0.0022</v>
      </c>
      <c r="J492" s="19">
        <f>IFERROR(__xludf.DUMMYFUNCTION("""COMPUTED_VALUE"""),0.04735)</f>
        <v>0.04735</v>
      </c>
      <c r="K492" s="19" t="str">
        <f>IFERROR(__xludf.DUMMYFUNCTION("""COMPUTED_VALUE"""),"-")</f>
        <v>-</v>
      </c>
      <c r="L492" s="19">
        <f>IFERROR(__xludf.DUMMYFUNCTION("""COMPUTED_VALUE"""),0.04766)</f>
        <v>0.04766</v>
      </c>
      <c r="O492" s="24">
        <f t="shared" si="4"/>
        <v>0</v>
      </c>
      <c r="P492" s="24"/>
      <c r="Q492" s="24">
        <f t="shared" si="6"/>
        <v>0</v>
      </c>
      <c r="R492" s="24">
        <f t="shared" si="7"/>
        <v>0</v>
      </c>
      <c r="S492" s="24"/>
      <c r="T492" s="24">
        <f t="shared" si="9"/>
        <v>0</v>
      </c>
    </row>
    <row r="493">
      <c r="A493" s="12" t="s">
        <v>582</v>
      </c>
      <c r="F493" s="19">
        <f>IFERROR(__xludf.DUMMYFUNCTION("SPLIT(A489, "" |"")"),487.0)</f>
        <v>487</v>
      </c>
      <c r="G493" s="19">
        <f>IFERROR(__xludf.DUMMYFUNCTION("""COMPUTED_VALUE"""),0.00234)</f>
        <v>0.00234</v>
      </c>
      <c r="H493" s="19" t="str">
        <f>IFERROR(__xludf.DUMMYFUNCTION("""COMPUTED_VALUE"""),"-")</f>
        <v>-</v>
      </c>
      <c r="I493" s="19">
        <f>IFERROR(__xludf.DUMMYFUNCTION("""COMPUTED_VALUE"""),0.00222)</f>
        <v>0.00222</v>
      </c>
      <c r="J493" s="19">
        <f>IFERROR(__xludf.DUMMYFUNCTION("""COMPUTED_VALUE"""),0.04735)</f>
        <v>0.04735</v>
      </c>
      <c r="K493" s="19" t="str">
        <f>IFERROR(__xludf.DUMMYFUNCTION("""COMPUTED_VALUE"""),"-")</f>
        <v>-</v>
      </c>
      <c r="L493" s="19">
        <f>IFERROR(__xludf.DUMMYFUNCTION("""COMPUTED_VALUE"""),0.0476)</f>
        <v>0.0476</v>
      </c>
      <c r="O493" s="24">
        <f t="shared" si="4"/>
        <v>0</v>
      </c>
      <c r="P493" s="24"/>
      <c r="Q493" s="24">
        <f t="shared" si="6"/>
        <v>0</v>
      </c>
      <c r="R493" s="24">
        <f t="shared" si="7"/>
        <v>0</v>
      </c>
      <c r="S493" s="24"/>
      <c r="T493" s="24">
        <f t="shared" si="9"/>
        <v>0</v>
      </c>
    </row>
    <row r="494">
      <c r="A494" s="12" t="s">
        <v>583</v>
      </c>
      <c r="F494" s="19">
        <f>IFERROR(__xludf.DUMMYFUNCTION("SPLIT(A490, "" |"")"),488.0)</f>
        <v>488</v>
      </c>
      <c r="G494" s="19">
        <f>IFERROR(__xludf.DUMMYFUNCTION("""COMPUTED_VALUE"""),0.00236)</f>
        <v>0.00236</v>
      </c>
      <c r="H494" s="19" t="str">
        <f>IFERROR(__xludf.DUMMYFUNCTION("""COMPUTED_VALUE"""),"-")</f>
        <v>-</v>
      </c>
      <c r="I494" s="19">
        <f>IFERROR(__xludf.DUMMYFUNCTION("""COMPUTED_VALUE"""),0.00221)</f>
        <v>0.00221</v>
      </c>
      <c r="J494" s="19">
        <f>IFERROR(__xludf.DUMMYFUNCTION("""COMPUTED_VALUE"""),0.04746)</f>
        <v>0.04746</v>
      </c>
      <c r="K494" s="19" t="str">
        <f>IFERROR(__xludf.DUMMYFUNCTION("""COMPUTED_VALUE"""),"-")</f>
        <v>-</v>
      </c>
      <c r="L494" s="19">
        <f>IFERROR(__xludf.DUMMYFUNCTION("""COMPUTED_VALUE"""),0.04759)</f>
        <v>0.04759</v>
      </c>
      <c r="O494" s="24">
        <f t="shared" si="4"/>
        <v>0</v>
      </c>
      <c r="P494" s="24"/>
      <c r="Q494" s="24">
        <f t="shared" si="6"/>
        <v>0</v>
      </c>
      <c r="R494" s="24">
        <f t="shared" si="7"/>
        <v>0</v>
      </c>
      <c r="S494" s="24"/>
      <c r="T494" s="24">
        <f t="shared" si="9"/>
        <v>0</v>
      </c>
    </row>
    <row r="495">
      <c r="A495" s="12" t="s">
        <v>584</v>
      </c>
      <c r="F495" s="19">
        <f>IFERROR(__xludf.DUMMYFUNCTION("SPLIT(A491, "" |"")"),489.0)</f>
        <v>489</v>
      </c>
      <c r="G495" s="19">
        <f>IFERROR(__xludf.DUMMYFUNCTION("""COMPUTED_VALUE"""),0.00241)</f>
        <v>0.00241</v>
      </c>
      <c r="H495" s="19" t="str">
        <f>IFERROR(__xludf.DUMMYFUNCTION("""COMPUTED_VALUE"""),"-")</f>
        <v>-</v>
      </c>
      <c r="I495" s="19">
        <f>IFERROR(__xludf.DUMMYFUNCTION("""COMPUTED_VALUE"""),0.00221)</f>
        <v>0.00221</v>
      </c>
      <c r="J495" s="19">
        <f>IFERROR(__xludf.DUMMYFUNCTION("""COMPUTED_VALUE"""),0.04748)</f>
        <v>0.04748</v>
      </c>
      <c r="K495" s="19" t="str">
        <f>IFERROR(__xludf.DUMMYFUNCTION("""COMPUTED_VALUE"""),"-")</f>
        <v>-</v>
      </c>
      <c r="L495" s="19">
        <f>IFERROR(__xludf.DUMMYFUNCTION("""COMPUTED_VALUE"""),0.04766)</f>
        <v>0.04766</v>
      </c>
      <c r="O495" s="24">
        <f t="shared" si="4"/>
        <v>0</v>
      </c>
      <c r="P495" s="24"/>
      <c r="Q495" s="24">
        <f t="shared" si="6"/>
        <v>0</v>
      </c>
      <c r="R495" s="24">
        <f t="shared" si="7"/>
        <v>0</v>
      </c>
      <c r="S495" s="24"/>
      <c r="T495" s="24">
        <f t="shared" si="9"/>
        <v>0</v>
      </c>
    </row>
    <row r="496">
      <c r="A496" s="12" t="s">
        <v>585</v>
      </c>
      <c r="F496" s="19">
        <f>IFERROR(__xludf.DUMMYFUNCTION("SPLIT(A492, "" |"")"),490.0)</f>
        <v>490</v>
      </c>
      <c r="G496" s="19">
        <f>IFERROR(__xludf.DUMMYFUNCTION("""COMPUTED_VALUE"""),0.00244)</f>
        <v>0.00244</v>
      </c>
      <c r="H496" s="19" t="str">
        <f>IFERROR(__xludf.DUMMYFUNCTION("""COMPUTED_VALUE"""),"-")</f>
        <v>-</v>
      </c>
      <c r="I496" s="19">
        <f>IFERROR(__xludf.DUMMYFUNCTION("""COMPUTED_VALUE"""),0.00224)</f>
        <v>0.00224</v>
      </c>
      <c r="J496" s="19">
        <f>IFERROR(__xludf.DUMMYFUNCTION("""COMPUTED_VALUE"""),0.04634)</f>
        <v>0.04634</v>
      </c>
      <c r="K496" s="19" t="str">
        <f>IFERROR(__xludf.DUMMYFUNCTION("""COMPUTED_VALUE"""),"-")</f>
        <v>-</v>
      </c>
      <c r="L496" s="19">
        <f>IFERROR(__xludf.DUMMYFUNCTION("""COMPUTED_VALUE"""),0.04782)</f>
        <v>0.04782</v>
      </c>
      <c r="O496" s="24">
        <f t="shared" si="4"/>
        <v>0</v>
      </c>
      <c r="P496" s="24"/>
      <c r="Q496" s="24">
        <f t="shared" si="6"/>
        <v>0</v>
      </c>
      <c r="R496" s="24">
        <f t="shared" si="7"/>
        <v>0</v>
      </c>
      <c r="S496" s="24"/>
      <c r="T496" s="24">
        <f t="shared" si="9"/>
        <v>0</v>
      </c>
    </row>
    <row r="497">
      <c r="A497" s="12" t="s">
        <v>586</v>
      </c>
      <c r="F497" s="19">
        <f>IFERROR(__xludf.DUMMYFUNCTION("SPLIT(A493, "" |"")"),491.0)</f>
        <v>491</v>
      </c>
      <c r="G497" s="19">
        <f>IFERROR(__xludf.DUMMYFUNCTION("""COMPUTED_VALUE"""),0.00247)</f>
        <v>0.00247</v>
      </c>
      <c r="H497" s="19" t="str">
        <f>IFERROR(__xludf.DUMMYFUNCTION("""COMPUTED_VALUE"""),"-")</f>
        <v>-</v>
      </c>
      <c r="I497" s="19">
        <f>IFERROR(__xludf.DUMMYFUNCTION("""COMPUTED_VALUE"""),0.0022)</f>
        <v>0.0022</v>
      </c>
      <c r="J497" s="19">
        <f>IFERROR(__xludf.DUMMYFUNCTION("""COMPUTED_VALUE"""),0.04744)</f>
        <v>0.04744</v>
      </c>
      <c r="K497" s="19" t="str">
        <f>IFERROR(__xludf.DUMMYFUNCTION("""COMPUTED_VALUE"""),"-")</f>
        <v>-</v>
      </c>
      <c r="L497" s="19">
        <f>IFERROR(__xludf.DUMMYFUNCTION("""COMPUTED_VALUE"""),0.0476)</f>
        <v>0.0476</v>
      </c>
      <c r="O497" s="24">
        <f t="shared" si="4"/>
        <v>0</v>
      </c>
      <c r="P497" s="24"/>
      <c r="Q497" s="24">
        <f t="shared" si="6"/>
        <v>0</v>
      </c>
      <c r="R497" s="24">
        <f t="shared" si="7"/>
        <v>0</v>
      </c>
      <c r="S497" s="24"/>
      <c r="T497" s="24">
        <f t="shared" si="9"/>
        <v>0</v>
      </c>
    </row>
    <row r="498">
      <c r="A498" s="12" t="s">
        <v>587</v>
      </c>
      <c r="F498" s="19">
        <f>IFERROR(__xludf.DUMMYFUNCTION("SPLIT(A494, "" |"")"),492.0)</f>
        <v>492</v>
      </c>
      <c r="G498" s="19">
        <f>IFERROR(__xludf.DUMMYFUNCTION("""COMPUTED_VALUE"""),0.00242)</f>
        <v>0.00242</v>
      </c>
      <c r="H498" s="19" t="str">
        <f>IFERROR(__xludf.DUMMYFUNCTION("""COMPUTED_VALUE"""),"-")</f>
        <v>-</v>
      </c>
      <c r="I498" s="19">
        <f>IFERROR(__xludf.DUMMYFUNCTION("""COMPUTED_VALUE"""),0.0022)</f>
        <v>0.0022</v>
      </c>
      <c r="J498" s="19">
        <f>IFERROR(__xludf.DUMMYFUNCTION("""COMPUTED_VALUE"""),0.04736)</f>
        <v>0.04736</v>
      </c>
      <c r="K498" s="19" t="str">
        <f>IFERROR(__xludf.DUMMYFUNCTION("""COMPUTED_VALUE"""),"-")</f>
        <v>-</v>
      </c>
      <c r="L498" s="19">
        <f>IFERROR(__xludf.DUMMYFUNCTION("""COMPUTED_VALUE"""),0.04514)</f>
        <v>0.04514</v>
      </c>
      <c r="O498" s="24">
        <f t="shared" si="4"/>
        <v>0</v>
      </c>
      <c r="P498" s="24"/>
      <c r="Q498" s="24">
        <f t="shared" si="6"/>
        <v>0</v>
      </c>
      <c r="R498" s="24">
        <f t="shared" si="7"/>
        <v>0</v>
      </c>
      <c r="S498" s="24"/>
      <c r="T498" s="24">
        <f t="shared" si="9"/>
        <v>0</v>
      </c>
    </row>
    <row r="499">
      <c r="A499" s="12" t="s">
        <v>588</v>
      </c>
      <c r="F499" s="19">
        <f>IFERROR(__xludf.DUMMYFUNCTION("SPLIT(A495, "" |"")"),493.0)</f>
        <v>493</v>
      </c>
      <c r="G499" s="19">
        <f>IFERROR(__xludf.DUMMYFUNCTION("""COMPUTED_VALUE"""),0.00241)</f>
        <v>0.00241</v>
      </c>
      <c r="H499" s="19" t="str">
        <f>IFERROR(__xludf.DUMMYFUNCTION("""COMPUTED_VALUE"""),"-")</f>
        <v>-</v>
      </c>
      <c r="I499" s="19">
        <f>IFERROR(__xludf.DUMMYFUNCTION("""COMPUTED_VALUE"""),0.00234)</f>
        <v>0.00234</v>
      </c>
      <c r="J499" s="19">
        <f>IFERROR(__xludf.DUMMYFUNCTION("""COMPUTED_VALUE"""),0.04645)</f>
        <v>0.04645</v>
      </c>
      <c r="K499" s="19" t="str">
        <f>IFERROR(__xludf.DUMMYFUNCTION("""COMPUTED_VALUE"""),"-")</f>
        <v>-</v>
      </c>
      <c r="L499" s="19">
        <f>IFERROR(__xludf.DUMMYFUNCTION("""COMPUTED_VALUE"""),0.04781)</f>
        <v>0.04781</v>
      </c>
      <c r="O499" s="24">
        <f t="shared" si="4"/>
        <v>0</v>
      </c>
      <c r="P499" s="24"/>
      <c r="Q499" s="24">
        <f t="shared" si="6"/>
        <v>0</v>
      </c>
      <c r="R499" s="24">
        <f t="shared" si="7"/>
        <v>0</v>
      </c>
      <c r="S499" s="24"/>
      <c r="T499" s="24">
        <f t="shared" si="9"/>
        <v>0</v>
      </c>
    </row>
    <row r="500">
      <c r="A500" s="12" t="s">
        <v>589</v>
      </c>
      <c r="F500" s="19">
        <f>IFERROR(__xludf.DUMMYFUNCTION("SPLIT(A496, "" |"")"),494.0)</f>
        <v>494</v>
      </c>
      <c r="G500" s="19">
        <f>IFERROR(__xludf.DUMMYFUNCTION("""COMPUTED_VALUE"""),0.00245)</f>
        <v>0.00245</v>
      </c>
      <c r="H500" s="19" t="str">
        <f>IFERROR(__xludf.DUMMYFUNCTION("""COMPUTED_VALUE"""),"-")</f>
        <v>-</v>
      </c>
      <c r="I500" s="19">
        <f>IFERROR(__xludf.DUMMYFUNCTION("""COMPUTED_VALUE"""),0.00245)</f>
        <v>0.00245</v>
      </c>
      <c r="J500" s="19">
        <f>IFERROR(__xludf.DUMMYFUNCTION("""COMPUTED_VALUE"""),0.04754)</f>
        <v>0.04754</v>
      </c>
      <c r="K500" s="19" t="str">
        <f>IFERROR(__xludf.DUMMYFUNCTION("""COMPUTED_VALUE"""),"-")</f>
        <v>-</v>
      </c>
      <c r="L500" s="19">
        <f>IFERROR(__xludf.DUMMYFUNCTION("""COMPUTED_VALUE"""),0.04644)</f>
        <v>0.04644</v>
      </c>
      <c r="O500" s="24">
        <f t="shared" si="4"/>
        <v>0</v>
      </c>
      <c r="P500" s="24"/>
      <c r="Q500" s="24">
        <f t="shared" si="6"/>
        <v>0</v>
      </c>
      <c r="R500" s="24">
        <f t="shared" si="7"/>
        <v>0</v>
      </c>
      <c r="S500" s="24"/>
      <c r="T500" s="24">
        <f t="shared" si="9"/>
        <v>0</v>
      </c>
    </row>
    <row r="501">
      <c r="A501" s="12" t="s">
        <v>590</v>
      </c>
      <c r="F501" s="19">
        <f>IFERROR(__xludf.DUMMYFUNCTION("SPLIT(A497, "" |"")"),495.0)</f>
        <v>495</v>
      </c>
      <c r="G501" s="19">
        <f>IFERROR(__xludf.DUMMYFUNCTION("""COMPUTED_VALUE"""),0.00245)</f>
        <v>0.00245</v>
      </c>
      <c r="H501" s="19" t="str">
        <f>IFERROR(__xludf.DUMMYFUNCTION("""COMPUTED_VALUE"""),"-")</f>
        <v>-</v>
      </c>
      <c r="I501" s="19">
        <f>IFERROR(__xludf.DUMMYFUNCTION("""COMPUTED_VALUE"""),0.00227)</f>
        <v>0.00227</v>
      </c>
      <c r="J501" s="19">
        <f>IFERROR(__xludf.DUMMYFUNCTION("""COMPUTED_VALUE"""),0.04751)</f>
        <v>0.04751</v>
      </c>
      <c r="K501" s="19" t="str">
        <f>IFERROR(__xludf.DUMMYFUNCTION("""COMPUTED_VALUE"""),"-")</f>
        <v>-</v>
      </c>
      <c r="L501" s="19">
        <f>IFERROR(__xludf.DUMMYFUNCTION("""COMPUTED_VALUE"""),0.04479)</f>
        <v>0.04479</v>
      </c>
      <c r="O501" s="24">
        <f t="shared" si="4"/>
        <v>0</v>
      </c>
      <c r="P501" s="24"/>
      <c r="Q501" s="24">
        <f t="shared" si="6"/>
        <v>0</v>
      </c>
      <c r="R501" s="24">
        <f t="shared" si="7"/>
        <v>0</v>
      </c>
      <c r="S501" s="24"/>
      <c r="T501" s="24">
        <f t="shared" si="9"/>
        <v>0</v>
      </c>
    </row>
    <row r="502">
      <c r="A502" s="12" t="s">
        <v>591</v>
      </c>
      <c r="F502" s="19">
        <f>IFERROR(__xludf.DUMMYFUNCTION("SPLIT(A498, "" |"")"),496.0)</f>
        <v>496</v>
      </c>
      <c r="G502" s="19">
        <f>IFERROR(__xludf.DUMMYFUNCTION("""COMPUTED_VALUE"""),0.00232)</f>
        <v>0.00232</v>
      </c>
      <c r="H502" s="19" t="str">
        <f>IFERROR(__xludf.DUMMYFUNCTION("""COMPUTED_VALUE"""),"-")</f>
        <v>-</v>
      </c>
      <c r="I502" s="19">
        <f>IFERROR(__xludf.DUMMYFUNCTION("""COMPUTED_VALUE"""),0.00218)</f>
        <v>0.00218</v>
      </c>
      <c r="J502" s="19">
        <f>IFERROR(__xludf.DUMMYFUNCTION("""COMPUTED_VALUE"""),0.04615)</f>
        <v>0.04615</v>
      </c>
      <c r="K502" s="19" t="str">
        <f>IFERROR(__xludf.DUMMYFUNCTION("""COMPUTED_VALUE"""),"-")</f>
        <v>-</v>
      </c>
      <c r="L502" s="19">
        <f>IFERROR(__xludf.DUMMYFUNCTION("""COMPUTED_VALUE"""),0.04496)</f>
        <v>0.04496</v>
      </c>
      <c r="O502" s="24">
        <f t="shared" si="4"/>
        <v>0</v>
      </c>
      <c r="P502" s="24"/>
      <c r="Q502" s="24">
        <f t="shared" si="6"/>
        <v>0</v>
      </c>
      <c r="R502" s="24">
        <f t="shared" si="7"/>
        <v>0</v>
      </c>
      <c r="S502" s="24"/>
      <c r="T502" s="24">
        <f t="shared" si="9"/>
        <v>0</v>
      </c>
    </row>
    <row r="503">
      <c r="A503" s="12" t="s">
        <v>592</v>
      </c>
      <c r="F503" s="19">
        <f>IFERROR(__xludf.DUMMYFUNCTION("SPLIT(A499, "" |"")"),497.0)</f>
        <v>497</v>
      </c>
      <c r="G503" s="19">
        <f>IFERROR(__xludf.DUMMYFUNCTION("""COMPUTED_VALUE"""),0.00237)</f>
        <v>0.00237</v>
      </c>
      <c r="H503" s="19" t="str">
        <f>IFERROR(__xludf.DUMMYFUNCTION("""COMPUTED_VALUE"""),"-")</f>
        <v>-</v>
      </c>
      <c r="I503" s="19">
        <f>IFERROR(__xludf.DUMMYFUNCTION("""COMPUTED_VALUE"""),0.00226)</f>
        <v>0.00226</v>
      </c>
      <c r="J503" s="19">
        <f>IFERROR(__xludf.DUMMYFUNCTION("""COMPUTED_VALUE"""),0.04747)</f>
        <v>0.04747</v>
      </c>
      <c r="K503" s="19" t="str">
        <f>IFERROR(__xludf.DUMMYFUNCTION("""COMPUTED_VALUE"""),"-")</f>
        <v>-</v>
      </c>
      <c r="L503" s="19">
        <f>IFERROR(__xludf.DUMMYFUNCTION("""COMPUTED_VALUE"""),0.04165)</f>
        <v>0.04165</v>
      </c>
      <c r="O503" s="24">
        <f t="shared" si="4"/>
        <v>0</v>
      </c>
      <c r="P503" s="24"/>
      <c r="Q503" s="24">
        <f t="shared" si="6"/>
        <v>0</v>
      </c>
      <c r="R503" s="24">
        <f t="shared" si="7"/>
        <v>0</v>
      </c>
      <c r="S503" s="24"/>
      <c r="T503" s="24">
        <f t="shared" si="9"/>
        <v>0</v>
      </c>
    </row>
    <row r="504">
      <c r="A504" s="12" t="s">
        <v>593</v>
      </c>
      <c r="F504" s="19">
        <f>IFERROR(__xludf.DUMMYFUNCTION("SPLIT(A500, "" |"")"),498.0)</f>
        <v>498</v>
      </c>
      <c r="G504" s="19">
        <f>IFERROR(__xludf.DUMMYFUNCTION("""COMPUTED_VALUE"""),0.00244)</f>
        <v>0.00244</v>
      </c>
      <c r="H504" s="19" t="str">
        <f>IFERROR(__xludf.DUMMYFUNCTION("""COMPUTED_VALUE"""),"-")</f>
        <v>-</v>
      </c>
      <c r="I504" s="19">
        <f>IFERROR(__xludf.DUMMYFUNCTION("""COMPUTED_VALUE"""),0.0023)</f>
        <v>0.0023</v>
      </c>
      <c r="J504" s="19">
        <f>IFERROR(__xludf.DUMMYFUNCTION("""COMPUTED_VALUE"""),0.04736)</f>
        <v>0.04736</v>
      </c>
      <c r="K504" s="19" t="str">
        <f>IFERROR(__xludf.DUMMYFUNCTION("""COMPUTED_VALUE"""),"-")</f>
        <v>-</v>
      </c>
      <c r="L504" s="19">
        <f>IFERROR(__xludf.DUMMYFUNCTION("""COMPUTED_VALUE"""),0.04557)</f>
        <v>0.04557</v>
      </c>
      <c r="O504" s="24">
        <f t="shared" si="4"/>
        <v>0</v>
      </c>
      <c r="P504" s="24"/>
      <c r="Q504" s="24">
        <f t="shared" si="6"/>
        <v>0</v>
      </c>
      <c r="R504" s="24">
        <f t="shared" si="7"/>
        <v>0</v>
      </c>
      <c r="S504" s="24"/>
      <c r="T504" s="24">
        <f t="shared" si="9"/>
        <v>0</v>
      </c>
    </row>
    <row r="505">
      <c r="A505" s="12" t="s">
        <v>594</v>
      </c>
      <c r="F505" s="19">
        <f>IFERROR(__xludf.DUMMYFUNCTION("SPLIT(A501, "" |"")"),499.0)</f>
        <v>499</v>
      </c>
      <c r="G505" s="19">
        <f>IFERROR(__xludf.DUMMYFUNCTION("""COMPUTED_VALUE"""),0.00238)</f>
        <v>0.00238</v>
      </c>
      <c r="H505" s="19" t="str">
        <f>IFERROR(__xludf.DUMMYFUNCTION("""COMPUTED_VALUE"""),"-")</f>
        <v>-</v>
      </c>
      <c r="I505" s="19">
        <f>IFERROR(__xludf.DUMMYFUNCTION("""COMPUTED_VALUE"""),0.00218)</f>
        <v>0.00218</v>
      </c>
      <c r="J505" s="19">
        <f>IFERROR(__xludf.DUMMYFUNCTION("""COMPUTED_VALUE"""),0.04641)</f>
        <v>0.04641</v>
      </c>
      <c r="K505" s="19" t="str">
        <f>IFERROR(__xludf.DUMMYFUNCTION("""COMPUTED_VALUE"""),"-")</f>
        <v>-</v>
      </c>
      <c r="L505" s="19">
        <f>IFERROR(__xludf.DUMMYFUNCTION("""COMPUTED_VALUE"""),0.0439)</f>
        <v>0.0439</v>
      </c>
      <c r="O505" s="24">
        <f t="shared" si="4"/>
        <v>0</v>
      </c>
      <c r="P505" s="24"/>
      <c r="Q505" s="24">
        <f t="shared" si="6"/>
        <v>0</v>
      </c>
      <c r="R505" s="24">
        <f t="shared" si="7"/>
        <v>0</v>
      </c>
      <c r="S505" s="24"/>
      <c r="T505" s="24">
        <f t="shared" si="9"/>
        <v>0</v>
      </c>
    </row>
    <row r="506">
      <c r="A506" s="12" t="s">
        <v>595</v>
      </c>
      <c r="F506" s="19">
        <f>IFERROR(__xludf.DUMMYFUNCTION("SPLIT(A502, "" |"")"),500.0)</f>
        <v>500</v>
      </c>
      <c r="G506" s="19">
        <f>IFERROR(__xludf.DUMMYFUNCTION("""COMPUTED_VALUE"""),0.00239)</f>
        <v>0.00239</v>
      </c>
      <c r="H506" s="19" t="str">
        <f>IFERROR(__xludf.DUMMYFUNCTION("""COMPUTED_VALUE"""),"-")</f>
        <v>-</v>
      </c>
      <c r="I506" s="19">
        <f>IFERROR(__xludf.DUMMYFUNCTION("""COMPUTED_VALUE"""),0.00214)</f>
        <v>0.00214</v>
      </c>
      <c r="J506" s="19">
        <f>IFERROR(__xludf.DUMMYFUNCTION("""COMPUTED_VALUE"""),0.04751)</f>
        <v>0.04751</v>
      </c>
      <c r="K506" s="19" t="str">
        <f>IFERROR(__xludf.DUMMYFUNCTION("""COMPUTED_VALUE"""),"-")</f>
        <v>-</v>
      </c>
      <c r="L506" s="19">
        <f>IFERROR(__xludf.DUMMYFUNCTION("""COMPUTED_VALUE"""),0.0444)</f>
        <v>0.0444</v>
      </c>
      <c r="O506" s="24">
        <f t="shared" si="4"/>
        <v>0</v>
      </c>
      <c r="P506" s="24"/>
      <c r="Q506" s="24">
        <f t="shared" si="6"/>
        <v>0</v>
      </c>
      <c r="R506" s="24">
        <f t="shared" si="7"/>
        <v>0</v>
      </c>
      <c r="S506" s="24"/>
      <c r="T506" s="24">
        <f t="shared" si="9"/>
        <v>0</v>
      </c>
    </row>
    <row r="507">
      <c r="A507" s="12" t="s">
        <v>596</v>
      </c>
      <c r="F507" s="19">
        <f>IFERROR(__xludf.DUMMYFUNCTION("SPLIT(A503, "" |"")"),501.0)</f>
        <v>501</v>
      </c>
      <c r="G507" s="19">
        <f>IFERROR(__xludf.DUMMYFUNCTION("""COMPUTED_VALUE"""),0.00243)</f>
        <v>0.00243</v>
      </c>
      <c r="H507" s="19" t="str">
        <f>IFERROR(__xludf.DUMMYFUNCTION("""COMPUTED_VALUE"""),"-")</f>
        <v>-</v>
      </c>
      <c r="I507" s="19">
        <f>IFERROR(__xludf.DUMMYFUNCTION("""COMPUTED_VALUE"""),0.00289)</f>
        <v>0.00289</v>
      </c>
      <c r="J507" s="19">
        <f>IFERROR(__xludf.DUMMYFUNCTION("""COMPUTED_VALUE"""),0.04143)</f>
        <v>0.04143</v>
      </c>
      <c r="K507" s="19" t="str">
        <f>IFERROR(__xludf.DUMMYFUNCTION("""COMPUTED_VALUE"""),"-")</f>
        <v>-</v>
      </c>
      <c r="L507" s="19">
        <f>IFERROR(__xludf.DUMMYFUNCTION("""COMPUTED_VALUE"""),0.04697)</f>
        <v>0.04697</v>
      </c>
      <c r="O507" s="24">
        <f t="shared" si="4"/>
        <v>0</v>
      </c>
      <c r="P507" s="24"/>
      <c r="Q507" s="24">
        <f t="shared" si="6"/>
        <v>1</v>
      </c>
      <c r="R507" s="24">
        <f t="shared" si="7"/>
        <v>1</v>
      </c>
      <c r="S507" s="24"/>
      <c r="T507" s="24">
        <f t="shared" si="9"/>
        <v>0</v>
      </c>
    </row>
    <row r="508">
      <c r="A508" s="12" t="s">
        <v>597</v>
      </c>
      <c r="F508" s="19">
        <f>IFERROR(__xludf.DUMMYFUNCTION("SPLIT(A504, "" |"")"),502.0)</f>
        <v>502</v>
      </c>
      <c r="G508" s="19">
        <f>IFERROR(__xludf.DUMMYFUNCTION("""COMPUTED_VALUE"""),0.00248)</f>
        <v>0.00248</v>
      </c>
      <c r="H508" s="19" t="str">
        <f>IFERROR(__xludf.DUMMYFUNCTION("""COMPUTED_VALUE"""),"-")</f>
        <v>-</v>
      </c>
      <c r="I508" s="19">
        <f>IFERROR(__xludf.DUMMYFUNCTION("""COMPUTED_VALUE"""),0.00229)</f>
        <v>0.00229</v>
      </c>
      <c r="J508" s="19">
        <f>IFERROR(__xludf.DUMMYFUNCTION("""COMPUTED_VALUE"""),0.04757)</f>
        <v>0.04757</v>
      </c>
      <c r="K508" s="19" t="str">
        <f>IFERROR(__xludf.DUMMYFUNCTION("""COMPUTED_VALUE"""),"-")</f>
        <v>-</v>
      </c>
      <c r="L508" s="19">
        <f>IFERROR(__xludf.DUMMYFUNCTION("""COMPUTED_VALUE"""),0.04774)</f>
        <v>0.04774</v>
      </c>
      <c r="O508" s="24">
        <f t="shared" si="4"/>
        <v>0</v>
      </c>
      <c r="P508" s="24"/>
      <c r="Q508" s="24">
        <f t="shared" si="6"/>
        <v>0</v>
      </c>
      <c r="R508" s="24">
        <f t="shared" si="7"/>
        <v>0</v>
      </c>
      <c r="S508" s="24"/>
      <c r="T508" s="24">
        <f t="shared" si="9"/>
        <v>0</v>
      </c>
    </row>
    <row r="509">
      <c r="A509" s="12" t="s">
        <v>598</v>
      </c>
      <c r="F509" s="19">
        <f>IFERROR(__xludf.DUMMYFUNCTION("SPLIT(A505, "" |"")"),503.0)</f>
        <v>503</v>
      </c>
      <c r="G509" s="19">
        <f>IFERROR(__xludf.DUMMYFUNCTION("""COMPUTED_VALUE"""),0.00237)</f>
        <v>0.00237</v>
      </c>
      <c r="H509" s="19" t="str">
        <f>IFERROR(__xludf.DUMMYFUNCTION("""COMPUTED_VALUE"""),"-")</f>
        <v>-</v>
      </c>
      <c r="I509" s="19">
        <f>IFERROR(__xludf.DUMMYFUNCTION("""COMPUTED_VALUE"""),0.00222)</f>
        <v>0.00222</v>
      </c>
      <c r="J509" s="19">
        <f>IFERROR(__xludf.DUMMYFUNCTION("""COMPUTED_VALUE"""),0.04513)</f>
        <v>0.04513</v>
      </c>
      <c r="K509" s="19" t="str">
        <f>IFERROR(__xludf.DUMMYFUNCTION("""COMPUTED_VALUE"""),"-")</f>
        <v>-</v>
      </c>
      <c r="L509" s="19">
        <f>IFERROR(__xludf.DUMMYFUNCTION("""COMPUTED_VALUE"""),0.0476)</f>
        <v>0.0476</v>
      </c>
      <c r="O509" s="24">
        <f t="shared" si="4"/>
        <v>0</v>
      </c>
      <c r="P509" s="24"/>
      <c r="Q509" s="24">
        <f t="shared" si="6"/>
        <v>0</v>
      </c>
      <c r="R509" s="24">
        <f t="shared" si="7"/>
        <v>0</v>
      </c>
      <c r="S509" s="24"/>
      <c r="T509" s="24">
        <f t="shared" si="9"/>
        <v>0</v>
      </c>
    </row>
    <row r="510">
      <c r="A510" s="12" t="s">
        <v>599</v>
      </c>
      <c r="F510" s="19">
        <f>IFERROR(__xludf.DUMMYFUNCTION("SPLIT(A506, "" |"")"),504.0)</f>
        <v>504</v>
      </c>
      <c r="G510" s="19">
        <f>IFERROR(__xludf.DUMMYFUNCTION("""COMPUTED_VALUE"""),0.00245)</f>
        <v>0.00245</v>
      </c>
      <c r="H510" s="19" t="str">
        <f>IFERROR(__xludf.DUMMYFUNCTION("""COMPUTED_VALUE"""),"-")</f>
        <v>-</v>
      </c>
      <c r="I510" s="19">
        <f>IFERROR(__xludf.DUMMYFUNCTION("""COMPUTED_VALUE"""),0.00223)</f>
        <v>0.00223</v>
      </c>
      <c r="J510" s="19">
        <f>IFERROR(__xludf.DUMMYFUNCTION("""COMPUTED_VALUE"""),0.04738)</f>
        <v>0.04738</v>
      </c>
      <c r="K510" s="19" t="str">
        <f>IFERROR(__xludf.DUMMYFUNCTION("""COMPUTED_VALUE"""),"-")</f>
        <v>-</v>
      </c>
      <c r="L510" s="19">
        <f>IFERROR(__xludf.DUMMYFUNCTION("""COMPUTED_VALUE"""),0.04765)</f>
        <v>0.04765</v>
      </c>
      <c r="O510" s="24">
        <f t="shared" si="4"/>
        <v>0</v>
      </c>
      <c r="P510" s="24"/>
      <c r="Q510" s="24">
        <f t="shared" si="6"/>
        <v>0</v>
      </c>
      <c r="R510" s="24">
        <f t="shared" si="7"/>
        <v>0</v>
      </c>
      <c r="S510" s="24"/>
      <c r="T510" s="24">
        <f t="shared" si="9"/>
        <v>0</v>
      </c>
    </row>
    <row r="511">
      <c r="A511" s="12" t="s">
        <v>600</v>
      </c>
      <c r="F511" s="19">
        <f>IFERROR(__xludf.DUMMYFUNCTION("SPLIT(A507, "" |"")"),505.0)</f>
        <v>505</v>
      </c>
      <c r="G511" s="19">
        <f>IFERROR(__xludf.DUMMYFUNCTION("""COMPUTED_VALUE"""),0.00228)</f>
        <v>0.00228</v>
      </c>
      <c r="H511" s="19" t="str">
        <f>IFERROR(__xludf.DUMMYFUNCTION("""COMPUTED_VALUE"""),"-")</f>
        <v>-</v>
      </c>
      <c r="I511" s="19">
        <f>IFERROR(__xludf.DUMMYFUNCTION("""COMPUTED_VALUE"""),0.00209)</f>
        <v>0.00209</v>
      </c>
      <c r="J511" s="19">
        <f>IFERROR(__xludf.DUMMYFUNCTION("""COMPUTED_VALUE"""),0.04729)</f>
        <v>0.04729</v>
      </c>
      <c r="K511" s="19" t="str">
        <f>IFERROR(__xludf.DUMMYFUNCTION("""COMPUTED_VALUE"""),"-")</f>
        <v>-</v>
      </c>
      <c r="L511" s="19">
        <f>IFERROR(__xludf.DUMMYFUNCTION("""COMPUTED_VALUE"""),0.04766)</f>
        <v>0.04766</v>
      </c>
      <c r="O511" s="24">
        <f t="shared" si="4"/>
        <v>0</v>
      </c>
      <c r="P511" s="24"/>
      <c r="Q511" s="24">
        <f t="shared" si="6"/>
        <v>0</v>
      </c>
      <c r="R511" s="24">
        <f t="shared" si="7"/>
        <v>0</v>
      </c>
      <c r="S511" s="24"/>
      <c r="T511" s="24">
        <f t="shared" si="9"/>
        <v>0</v>
      </c>
    </row>
    <row r="512">
      <c r="A512" s="12" t="s">
        <v>601</v>
      </c>
      <c r="F512" s="19">
        <f>IFERROR(__xludf.DUMMYFUNCTION("SPLIT(A508, "" |"")"),506.0)</f>
        <v>506</v>
      </c>
      <c r="G512" s="19">
        <f>IFERROR(__xludf.DUMMYFUNCTION("""COMPUTED_VALUE"""),0.0024)</f>
        <v>0.0024</v>
      </c>
      <c r="H512" s="19" t="str">
        <f>IFERROR(__xludf.DUMMYFUNCTION("""COMPUTED_VALUE"""),"-")</f>
        <v>-</v>
      </c>
      <c r="I512" s="19">
        <f>IFERROR(__xludf.DUMMYFUNCTION("""COMPUTED_VALUE"""),0.00222)</f>
        <v>0.00222</v>
      </c>
      <c r="J512" s="19">
        <f>IFERROR(__xludf.DUMMYFUNCTION("""COMPUTED_VALUE"""),0.04735)</f>
        <v>0.04735</v>
      </c>
      <c r="K512" s="19" t="str">
        <f>IFERROR(__xludf.DUMMYFUNCTION("""COMPUTED_VALUE"""),"-")</f>
        <v>-</v>
      </c>
      <c r="L512" s="19">
        <f>IFERROR(__xludf.DUMMYFUNCTION("""COMPUTED_VALUE"""),0.04756)</f>
        <v>0.04756</v>
      </c>
      <c r="O512" s="24">
        <f t="shared" si="4"/>
        <v>0</v>
      </c>
      <c r="P512" s="24"/>
      <c r="Q512" s="24">
        <f t="shared" si="6"/>
        <v>0</v>
      </c>
      <c r="R512" s="24">
        <f t="shared" si="7"/>
        <v>0</v>
      </c>
      <c r="S512" s="24"/>
      <c r="T512" s="24">
        <f t="shared" si="9"/>
        <v>0</v>
      </c>
    </row>
    <row r="513">
      <c r="A513" s="12" t="s">
        <v>602</v>
      </c>
      <c r="F513" s="19">
        <f>IFERROR(__xludf.DUMMYFUNCTION("SPLIT(A509, "" |"")"),507.0)</f>
        <v>507</v>
      </c>
      <c r="G513" s="19">
        <f>IFERROR(__xludf.DUMMYFUNCTION("""COMPUTED_VALUE"""),0.00228)</f>
        <v>0.00228</v>
      </c>
      <c r="H513" s="19" t="str">
        <f>IFERROR(__xludf.DUMMYFUNCTION("""COMPUTED_VALUE"""),"-")</f>
        <v>-</v>
      </c>
      <c r="I513" s="19">
        <f>IFERROR(__xludf.DUMMYFUNCTION("""COMPUTED_VALUE"""),0.0021)</f>
        <v>0.0021</v>
      </c>
      <c r="J513" s="19">
        <f>IFERROR(__xludf.DUMMYFUNCTION("""COMPUTED_VALUE"""),0.04621)</f>
        <v>0.04621</v>
      </c>
      <c r="K513" s="19" t="str">
        <f>IFERROR(__xludf.DUMMYFUNCTION("""COMPUTED_VALUE"""),"-")</f>
        <v>-</v>
      </c>
      <c r="L513" s="19">
        <f>IFERROR(__xludf.DUMMYFUNCTION("""COMPUTED_VALUE"""),0.04772)</f>
        <v>0.04772</v>
      </c>
      <c r="O513" s="24">
        <f t="shared" si="4"/>
        <v>0</v>
      </c>
      <c r="P513" s="24"/>
      <c r="Q513" s="24">
        <f t="shared" si="6"/>
        <v>0</v>
      </c>
      <c r="R513" s="24">
        <f t="shared" si="7"/>
        <v>0</v>
      </c>
      <c r="S513" s="24"/>
      <c r="T513" s="24">
        <f t="shared" si="9"/>
        <v>0</v>
      </c>
    </row>
    <row r="514">
      <c r="A514" s="12" t="s">
        <v>603</v>
      </c>
      <c r="F514" s="19">
        <f>IFERROR(__xludf.DUMMYFUNCTION("SPLIT(A510, "" |"")"),508.0)</f>
        <v>508</v>
      </c>
      <c r="G514" s="19">
        <f>IFERROR(__xludf.DUMMYFUNCTION("""COMPUTED_VALUE"""),0.00239)</f>
        <v>0.00239</v>
      </c>
      <c r="H514" s="19" t="str">
        <f>IFERROR(__xludf.DUMMYFUNCTION("""COMPUTED_VALUE"""),"-")</f>
        <v>-</v>
      </c>
      <c r="I514" s="19">
        <f>IFERROR(__xludf.DUMMYFUNCTION("""COMPUTED_VALUE"""),0.00216)</f>
        <v>0.00216</v>
      </c>
      <c r="J514" s="19">
        <f>IFERROR(__xludf.DUMMYFUNCTION("""COMPUTED_VALUE"""),0.04744)</f>
        <v>0.04744</v>
      </c>
      <c r="K514" s="19" t="str">
        <f>IFERROR(__xludf.DUMMYFUNCTION("""COMPUTED_VALUE"""),"-")</f>
        <v>-</v>
      </c>
      <c r="L514" s="19">
        <f>IFERROR(__xludf.DUMMYFUNCTION("""COMPUTED_VALUE"""),0.04771)</f>
        <v>0.04771</v>
      </c>
      <c r="O514" s="24">
        <f t="shared" si="4"/>
        <v>0</v>
      </c>
      <c r="P514" s="24"/>
      <c r="Q514" s="24">
        <f t="shared" si="6"/>
        <v>0</v>
      </c>
      <c r="R514" s="24">
        <f t="shared" si="7"/>
        <v>0</v>
      </c>
      <c r="S514" s="24"/>
      <c r="T514" s="24">
        <f t="shared" si="9"/>
        <v>0</v>
      </c>
    </row>
    <row r="515">
      <c r="A515" s="12" t="s">
        <v>604</v>
      </c>
      <c r="F515" s="19">
        <f>IFERROR(__xludf.DUMMYFUNCTION("SPLIT(A511, "" |"")"),509.0)</f>
        <v>509</v>
      </c>
      <c r="G515" s="19">
        <f>IFERROR(__xludf.DUMMYFUNCTION("""COMPUTED_VALUE"""),0.00242)</f>
        <v>0.00242</v>
      </c>
      <c r="H515" s="19" t="str">
        <f>IFERROR(__xludf.DUMMYFUNCTION("""COMPUTED_VALUE"""),"-")</f>
        <v>-</v>
      </c>
      <c r="I515" s="19">
        <f>IFERROR(__xludf.DUMMYFUNCTION("""COMPUTED_VALUE"""),0.0022)</f>
        <v>0.0022</v>
      </c>
      <c r="J515" s="19">
        <f>IFERROR(__xludf.DUMMYFUNCTION("""COMPUTED_VALUE"""),0.04744)</f>
        <v>0.04744</v>
      </c>
      <c r="K515" s="19" t="str">
        <f>IFERROR(__xludf.DUMMYFUNCTION("""COMPUTED_VALUE"""),"-")</f>
        <v>-</v>
      </c>
      <c r="L515" s="19">
        <f>IFERROR(__xludf.DUMMYFUNCTION("""COMPUTED_VALUE"""),0.04752)</f>
        <v>0.04752</v>
      </c>
      <c r="O515" s="24">
        <f t="shared" si="4"/>
        <v>0</v>
      </c>
      <c r="P515" s="24"/>
      <c r="Q515" s="24">
        <f t="shared" si="6"/>
        <v>0</v>
      </c>
      <c r="R515" s="24">
        <f t="shared" si="7"/>
        <v>0</v>
      </c>
      <c r="S515" s="24"/>
      <c r="T515" s="24">
        <f t="shared" si="9"/>
        <v>0</v>
      </c>
    </row>
    <row r="516">
      <c r="A516" s="12" t="s">
        <v>605</v>
      </c>
      <c r="F516" s="19">
        <f>IFERROR(__xludf.DUMMYFUNCTION("SPLIT(A512, "" |"")"),510.0)</f>
        <v>510</v>
      </c>
      <c r="G516" s="19">
        <f>IFERROR(__xludf.DUMMYFUNCTION("""COMPUTED_VALUE"""),0.00239)</f>
        <v>0.00239</v>
      </c>
      <c r="H516" s="19" t="str">
        <f>IFERROR(__xludf.DUMMYFUNCTION("""COMPUTED_VALUE"""),"-")</f>
        <v>-</v>
      </c>
      <c r="I516" s="19">
        <f>IFERROR(__xludf.DUMMYFUNCTION("""COMPUTED_VALUE"""),0.00222)</f>
        <v>0.00222</v>
      </c>
      <c r="J516" s="19">
        <f>IFERROR(__xludf.DUMMYFUNCTION("""COMPUTED_VALUE"""),0.04746)</f>
        <v>0.04746</v>
      </c>
      <c r="K516" s="19" t="str">
        <f>IFERROR(__xludf.DUMMYFUNCTION("""COMPUTED_VALUE"""),"-")</f>
        <v>-</v>
      </c>
      <c r="L516" s="19">
        <f>IFERROR(__xludf.DUMMYFUNCTION("""COMPUTED_VALUE"""),0.04698)</f>
        <v>0.04698</v>
      </c>
      <c r="O516" s="24">
        <f t="shared" si="4"/>
        <v>0</v>
      </c>
      <c r="P516" s="24"/>
      <c r="Q516" s="24">
        <f t="shared" si="6"/>
        <v>0</v>
      </c>
      <c r="R516" s="24">
        <f t="shared" si="7"/>
        <v>0</v>
      </c>
      <c r="S516" s="24"/>
      <c r="T516" s="24">
        <f t="shared" si="9"/>
        <v>0</v>
      </c>
    </row>
    <row r="517">
      <c r="A517" s="12" t="s">
        <v>606</v>
      </c>
      <c r="F517" s="19">
        <f>IFERROR(__xludf.DUMMYFUNCTION("SPLIT(A513, "" |"")"),511.0)</f>
        <v>511</v>
      </c>
      <c r="G517" s="19">
        <f>IFERROR(__xludf.DUMMYFUNCTION("""COMPUTED_VALUE"""),0.00227)</f>
        <v>0.00227</v>
      </c>
      <c r="H517" s="19" t="str">
        <f>IFERROR(__xludf.DUMMYFUNCTION("""COMPUTED_VALUE"""),"-")</f>
        <v>-</v>
      </c>
      <c r="I517" s="19">
        <f>IFERROR(__xludf.DUMMYFUNCTION("""COMPUTED_VALUE"""),0.00226)</f>
        <v>0.00226</v>
      </c>
      <c r="J517" s="19">
        <f>IFERROR(__xludf.DUMMYFUNCTION("""COMPUTED_VALUE"""),0.04747)</f>
        <v>0.04747</v>
      </c>
      <c r="K517" s="19" t="str">
        <f>IFERROR(__xludf.DUMMYFUNCTION("""COMPUTED_VALUE"""),"-")</f>
        <v>-</v>
      </c>
      <c r="L517" s="19">
        <f>IFERROR(__xludf.DUMMYFUNCTION("""COMPUTED_VALUE"""),0.04761)</f>
        <v>0.04761</v>
      </c>
      <c r="O517" s="24">
        <f t="shared" si="4"/>
        <v>0</v>
      </c>
      <c r="P517" s="24"/>
      <c r="Q517" s="24">
        <f t="shared" si="6"/>
        <v>0</v>
      </c>
      <c r="R517" s="24">
        <f t="shared" si="7"/>
        <v>0</v>
      </c>
      <c r="S517" s="24"/>
      <c r="T517" s="24">
        <f t="shared" si="9"/>
        <v>0</v>
      </c>
    </row>
    <row r="518">
      <c r="A518" s="12" t="s">
        <v>607</v>
      </c>
      <c r="F518" s="19">
        <f>IFERROR(__xludf.DUMMYFUNCTION("SPLIT(A514, "" |"")"),512.0)</f>
        <v>512</v>
      </c>
      <c r="G518" s="19">
        <f>IFERROR(__xludf.DUMMYFUNCTION("""COMPUTED_VALUE"""),0.0024)</f>
        <v>0.0024</v>
      </c>
      <c r="H518" s="19" t="str">
        <f>IFERROR(__xludf.DUMMYFUNCTION("""COMPUTED_VALUE"""),"-")</f>
        <v>-</v>
      </c>
      <c r="I518" s="19">
        <f>IFERROR(__xludf.DUMMYFUNCTION("""COMPUTED_VALUE"""),0.00225)</f>
        <v>0.00225</v>
      </c>
      <c r="J518" s="19">
        <f>IFERROR(__xludf.DUMMYFUNCTION("""COMPUTED_VALUE"""),0.0474)</f>
        <v>0.0474</v>
      </c>
      <c r="K518" s="19" t="str">
        <f>IFERROR(__xludf.DUMMYFUNCTION("""COMPUTED_VALUE"""),"-")</f>
        <v>-</v>
      </c>
      <c r="L518" s="19">
        <f>IFERROR(__xludf.DUMMYFUNCTION("""COMPUTED_VALUE"""),0.04575)</f>
        <v>0.04575</v>
      </c>
      <c r="O518" s="24">
        <f t="shared" si="4"/>
        <v>0</v>
      </c>
      <c r="P518" s="24"/>
      <c r="Q518" s="24">
        <f t="shared" si="6"/>
        <v>0</v>
      </c>
      <c r="R518" s="24">
        <f t="shared" si="7"/>
        <v>0</v>
      </c>
      <c r="S518" s="24"/>
      <c r="T518" s="24">
        <f t="shared" si="9"/>
        <v>0</v>
      </c>
    </row>
    <row r="519">
      <c r="A519" s="12" t="s">
        <v>608</v>
      </c>
      <c r="F519" s="19">
        <f>IFERROR(__xludf.DUMMYFUNCTION("SPLIT(A515, "" |"")"),513.0)</f>
        <v>513</v>
      </c>
      <c r="G519" s="19">
        <f>IFERROR(__xludf.DUMMYFUNCTION("""COMPUTED_VALUE"""),0.00233)</f>
        <v>0.00233</v>
      </c>
      <c r="H519" s="19" t="str">
        <f>IFERROR(__xludf.DUMMYFUNCTION("""COMPUTED_VALUE"""),"-")</f>
        <v>-</v>
      </c>
      <c r="I519" s="19">
        <f>IFERROR(__xludf.DUMMYFUNCTION("""COMPUTED_VALUE"""),0.0022)</f>
        <v>0.0022</v>
      </c>
      <c r="J519" s="19">
        <f>IFERROR(__xludf.DUMMYFUNCTION("""COMPUTED_VALUE"""),0.0456)</f>
        <v>0.0456</v>
      </c>
      <c r="K519" s="19" t="str">
        <f>IFERROR(__xludf.DUMMYFUNCTION("""COMPUTED_VALUE"""),"-")</f>
        <v>-</v>
      </c>
      <c r="L519" s="19">
        <f>IFERROR(__xludf.DUMMYFUNCTION("""COMPUTED_VALUE"""),0.04754)</f>
        <v>0.04754</v>
      </c>
      <c r="O519" s="24">
        <f t="shared" si="4"/>
        <v>0</v>
      </c>
      <c r="P519" s="24"/>
      <c r="Q519" s="24">
        <f t="shared" si="6"/>
        <v>0</v>
      </c>
      <c r="R519" s="24">
        <f t="shared" si="7"/>
        <v>0</v>
      </c>
      <c r="S519" s="24"/>
      <c r="T519" s="24">
        <f t="shared" si="9"/>
        <v>0</v>
      </c>
    </row>
    <row r="520">
      <c r="A520" s="12" t="s">
        <v>609</v>
      </c>
      <c r="F520" s="19">
        <f>IFERROR(__xludf.DUMMYFUNCTION("SPLIT(A516, "" |"")"),514.0)</f>
        <v>514</v>
      </c>
      <c r="G520" s="19">
        <f>IFERROR(__xludf.DUMMYFUNCTION("""COMPUTED_VALUE"""),0.00234)</f>
        <v>0.00234</v>
      </c>
      <c r="H520" s="19" t="str">
        <f>IFERROR(__xludf.DUMMYFUNCTION("""COMPUTED_VALUE"""),"-")</f>
        <v>-</v>
      </c>
      <c r="I520" s="19">
        <f>IFERROR(__xludf.DUMMYFUNCTION("""COMPUTED_VALUE"""),0.00216)</f>
        <v>0.00216</v>
      </c>
      <c r="J520" s="19">
        <f>IFERROR(__xludf.DUMMYFUNCTION("""COMPUTED_VALUE"""),0.04526)</f>
        <v>0.04526</v>
      </c>
      <c r="K520" s="19" t="str">
        <f>IFERROR(__xludf.DUMMYFUNCTION("""COMPUTED_VALUE"""),"-")</f>
        <v>-</v>
      </c>
      <c r="L520" s="19">
        <f>IFERROR(__xludf.DUMMYFUNCTION("""COMPUTED_VALUE"""),0.0462)</f>
        <v>0.0462</v>
      </c>
      <c r="O520" s="24">
        <f t="shared" si="4"/>
        <v>0</v>
      </c>
      <c r="P520" s="24"/>
      <c r="Q520" s="24">
        <f t="shared" si="6"/>
        <v>0</v>
      </c>
      <c r="R520" s="24">
        <f t="shared" si="7"/>
        <v>0</v>
      </c>
      <c r="S520" s="24"/>
      <c r="T520" s="24">
        <f t="shared" si="9"/>
        <v>0</v>
      </c>
    </row>
    <row r="521">
      <c r="A521" s="12" t="s">
        <v>610</v>
      </c>
      <c r="F521" s="19">
        <f>IFERROR(__xludf.DUMMYFUNCTION("SPLIT(A517, "" |"")"),515.0)</f>
        <v>515</v>
      </c>
      <c r="G521" s="19">
        <f>IFERROR(__xludf.DUMMYFUNCTION("""COMPUTED_VALUE"""),0.0024)</f>
        <v>0.0024</v>
      </c>
      <c r="H521" s="19" t="str">
        <f>IFERROR(__xludf.DUMMYFUNCTION("""COMPUTED_VALUE"""),"-")</f>
        <v>-</v>
      </c>
      <c r="I521" s="19">
        <f>IFERROR(__xludf.DUMMYFUNCTION("""COMPUTED_VALUE"""),0.00219)</f>
        <v>0.00219</v>
      </c>
      <c r="J521" s="19">
        <f>IFERROR(__xludf.DUMMYFUNCTION("""COMPUTED_VALUE"""),0.04749)</f>
        <v>0.04749</v>
      </c>
      <c r="K521" s="19" t="str">
        <f>IFERROR(__xludf.DUMMYFUNCTION("""COMPUTED_VALUE"""),"-")</f>
        <v>-</v>
      </c>
      <c r="L521" s="19">
        <f>IFERROR(__xludf.DUMMYFUNCTION("""COMPUTED_VALUE"""),0.0476)</f>
        <v>0.0476</v>
      </c>
      <c r="O521" s="24">
        <f t="shared" si="4"/>
        <v>0</v>
      </c>
      <c r="P521" s="24"/>
      <c r="Q521" s="24">
        <f t="shared" si="6"/>
        <v>0</v>
      </c>
      <c r="R521" s="24">
        <f t="shared" si="7"/>
        <v>0</v>
      </c>
      <c r="S521" s="24"/>
      <c r="T521" s="24">
        <f t="shared" si="9"/>
        <v>0</v>
      </c>
    </row>
    <row r="522">
      <c r="A522" s="12" t="s">
        <v>611</v>
      </c>
      <c r="F522" s="19">
        <f>IFERROR(__xludf.DUMMYFUNCTION("SPLIT(A518, "" |"")"),516.0)</f>
        <v>516</v>
      </c>
      <c r="G522" s="19">
        <f>IFERROR(__xludf.DUMMYFUNCTION("""COMPUTED_VALUE"""),0.00246)</f>
        <v>0.00246</v>
      </c>
      <c r="H522" s="19" t="str">
        <f>IFERROR(__xludf.DUMMYFUNCTION("""COMPUTED_VALUE"""),"-")</f>
        <v>-</v>
      </c>
      <c r="I522" s="19">
        <f>IFERROR(__xludf.DUMMYFUNCTION("""COMPUTED_VALUE"""),0.00222)</f>
        <v>0.00222</v>
      </c>
      <c r="J522" s="19">
        <f>IFERROR(__xludf.DUMMYFUNCTION("""COMPUTED_VALUE"""),0.04739)</f>
        <v>0.04739</v>
      </c>
      <c r="K522" s="19" t="str">
        <f>IFERROR(__xludf.DUMMYFUNCTION("""COMPUTED_VALUE"""),"-")</f>
        <v>-</v>
      </c>
      <c r="L522" s="19">
        <f>IFERROR(__xludf.DUMMYFUNCTION("""COMPUTED_VALUE"""),0.04771)</f>
        <v>0.04771</v>
      </c>
      <c r="O522" s="24">
        <f t="shared" si="4"/>
        <v>0</v>
      </c>
      <c r="P522" s="24"/>
      <c r="Q522" s="24">
        <f t="shared" si="6"/>
        <v>0</v>
      </c>
      <c r="R522" s="24">
        <f t="shared" si="7"/>
        <v>0</v>
      </c>
      <c r="S522" s="24"/>
      <c r="T522" s="24">
        <f t="shared" si="9"/>
        <v>0</v>
      </c>
    </row>
    <row r="523">
      <c r="A523" s="12" t="s">
        <v>612</v>
      </c>
      <c r="F523" s="19">
        <f>IFERROR(__xludf.DUMMYFUNCTION("SPLIT(A519, "" |"")"),517.0)</f>
        <v>517</v>
      </c>
      <c r="G523" s="19">
        <f>IFERROR(__xludf.DUMMYFUNCTION("""COMPUTED_VALUE"""),0.0024)</f>
        <v>0.0024</v>
      </c>
      <c r="H523" s="19" t="str">
        <f>IFERROR(__xludf.DUMMYFUNCTION("""COMPUTED_VALUE"""),"-")</f>
        <v>-</v>
      </c>
      <c r="I523" s="19">
        <f>IFERROR(__xludf.DUMMYFUNCTION("""COMPUTED_VALUE"""),0.00219)</f>
        <v>0.00219</v>
      </c>
      <c r="J523" s="19">
        <f>IFERROR(__xludf.DUMMYFUNCTION("""COMPUTED_VALUE"""),0.04747)</f>
        <v>0.04747</v>
      </c>
      <c r="K523" s="19" t="str">
        <f>IFERROR(__xludf.DUMMYFUNCTION("""COMPUTED_VALUE"""),"-")</f>
        <v>-</v>
      </c>
      <c r="L523" s="19">
        <f>IFERROR(__xludf.DUMMYFUNCTION("""COMPUTED_VALUE"""),0.04488)</f>
        <v>0.04488</v>
      </c>
      <c r="O523" s="24">
        <f t="shared" si="4"/>
        <v>0</v>
      </c>
      <c r="P523" s="24"/>
      <c r="Q523" s="24">
        <f t="shared" si="6"/>
        <v>0</v>
      </c>
      <c r="R523" s="24">
        <f t="shared" si="7"/>
        <v>0</v>
      </c>
      <c r="S523" s="24"/>
      <c r="T523" s="24">
        <f t="shared" si="9"/>
        <v>0</v>
      </c>
    </row>
    <row r="524">
      <c r="A524" s="12" t="s">
        <v>613</v>
      </c>
      <c r="F524" s="19">
        <f>IFERROR(__xludf.DUMMYFUNCTION("SPLIT(A520, "" |"")"),518.0)</f>
        <v>518</v>
      </c>
      <c r="G524" s="19">
        <f>IFERROR(__xludf.DUMMYFUNCTION("""COMPUTED_VALUE"""),0.00231)</f>
        <v>0.00231</v>
      </c>
      <c r="H524" s="19" t="str">
        <f>IFERROR(__xludf.DUMMYFUNCTION("""COMPUTED_VALUE"""),"-")</f>
        <v>-</v>
      </c>
      <c r="I524" s="19">
        <f>IFERROR(__xludf.DUMMYFUNCTION("""COMPUTED_VALUE"""),0.00216)</f>
        <v>0.00216</v>
      </c>
      <c r="J524" s="19">
        <f>IFERROR(__xludf.DUMMYFUNCTION("""COMPUTED_VALUE"""),0.04742)</f>
        <v>0.04742</v>
      </c>
      <c r="K524" s="19" t="str">
        <f>IFERROR(__xludf.DUMMYFUNCTION("""COMPUTED_VALUE"""),"-")</f>
        <v>-</v>
      </c>
      <c r="L524" s="19">
        <f>IFERROR(__xludf.DUMMYFUNCTION("""COMPUTED_VALUE"""),0.04755)</f>
        <v>0.04755</v>
      </c>
      <c r="O524" s="24">
        <f t="shared" si="4"/>
        <v>0</v>
      </c>
      <c r="P524" s="24"/>
      <c r="Q524" s="24">
        <f t="shared" si="6"/>
        <v>0</v>
      </c>
      <c r="R524" s="24">
        <f t="shared" si="7"/>
        <v>0</v>
      </c>
      <c r="S524" s="24"/>
      <c r="T524" s="24">
        <f t="shared" si="9"/>
        <v>0</v>
      </c>
    </row>
    <row r="525">
      <c r="A525" s="12" t="s">
        <v>614</v>
      </c>
      <c r="F525" s="19">
        <f>IFERROR(__xludf.DUMMYFUNCTION("SPLIT(A521, "" |"")"),519.0)</f>
        <v>519</v>
      </c>
      <c r="G525" s="19">
        <f>IFERROR(__xludf.DUMMYFUNCTION("""COMPUTED_VALUE"""),0.00234)</f>
        <v>0.00234</v>
      </c>
      <c r="H525" s="19" t="str">
        <f>IFERROR(__xludf.DUMMYFUNCTION("""COMPUTED_VALUE"""),"-")</f>
        <v>-</v>
      </c>
      <c r="I525" s="19">
        <f>IFERROR(__xludf.DUMMYFUNCTION("""COMPUTED_VALUE"""),0.00218)</f>
        <v>0.00218</v>
      </c>
      <c r="J525" s="19">
        <f>IFERROR(__xludf.DUMMYFUNCTION("""COMPUTED_VALUE"""),0.04746)</f>
        <v>0.04746</v>
      </c>
      <c r="K525" s="19" t="str">
        <f>IFERROR(__xludf.DUMMYFUNCTION("""COMPUTED_VALUE"""),"-")</f>
        <v>-</v>
      </c>
      <c r="L525" s="19">
        <f>IFERROR(__xludf.DUMMYFUNCTION("""COMPUTED_VALUE"""),0.04714)</f>
        <v>0.04714</v>
      </c>
      <c r="O525" s="24">
        <f t="shared" si="4"/>
        <v>0</v>
      </c>
      <c r="P525" s="24"/>
      <c r="Q525" s="24">
        <f t="shared" si="6"/>
        <v>0</v>
      </c>
      <c r="R525" s="24">
        <f t="shared" si="7"/>
        <v>0</v>
      </c>
      <c r="S525" s="24"/>
      <c r="T525" s="24">
        <f t="shared" si="9"/>
        <v>0</v>
      </c>
    </row>
    <row r="526">
      <c r="A526" s="12" t="s">
        <v>615</v>
      </c>
      <c r="F526" s="19">
        <f>IFERROR(__xludf.DUMMYFUNCTION("SPLIT(A522, "" |"")"),520.0)</f>
        <v>520</v>
      </c>
      <c r="G526" s="19">
        <f>IFERROR(__xludf.DUMMYFUNCTION("""COMPUTED_VALUE"""),0.00239)</f>
        <v>0.00239</v>
      </c>
      <c r="H526" s="19" t="str">
        <f>IFERROR(__xludf.DUMMYFUNCTION("""COMPUTED_VALUE"""),"-")</f>
        <v>-</v>
      </c>
      <c r="I526" s="19">
        <f>IFERROR(__xludf.DUMMYFUNCTION("""COMPUTED_VALUE"""),0.00224)</f>
        <v>0.00224</v>
      </c>
      <c r="J526" s="19">
        <f>IFERROR(__xludf.DUMMYFUNCTION("""COMPUTED_VALUE"""),0.04557)</f>
        <v>0.04557</v>
      </c>
      <c r="K526" s="19" t="str">
        <f>IFERROR(__xludf.DUMMYFUNCTION("""COMPUTED_VALUE"""),"-")</f>
        <v>-</v>
      </c>
      <c r="L526" s="19">
        <f>IFERROR(__xludf.DUMMYFUNCTION("""COMPUTED_VALUE"""),0.0476)</f>
        <v>0.0476</v>
      </c>
      <c r="O526" s="24">
        <f t="shared" si="4"/>
        <v>0</v>
      </c>
      <c r="P526" s="24"/>
      <c r="Q526" s="24">
        <f t="shared" si="6"/>
        <v>0</v>
      </c>
      <c r="R526" s="24">
        <f t="shared" si="7"/>
        <v>0</v>
      </c>
      <c r="S526" s="24"/>
      <c r="T526" s="24">
        <f t="shared" si="9"/>
        <v>0</v>
      </c>
    </row>
    <row r="527">
      <c r="A527" s="12" t="s">
        <v>616</v>
      </c>
      <c r="F527" s="19">
        <f>IFERROR(__xludf.DUMMYFUNCTION("SPLIT(A523, "" |"")"),521.0)</f>
        <v>521</v>
      </c>
      <c r="G527" s="19">
        <f>IFERROR(__xludf.DUMMYFUNCTION("""COMPUTED_VALUE"""),0.0024)</f>
        <v>0.0024</v>
      </c>
      <c r="H527" s="19" t="str">
        <f>IFERROR(__xludf.DUMMYFUNCTION("""COMPUTED_VALUE"""),"-")</f>
        <v>-</v>
      </c>
      <c r="I527" s="19">
        <f>IFERROR(__xludf.DUMMYFUNCTION("""COMPUTED_VALUE"""),0.00217)</f>
        <v>0.00217</v>
      </c>
      <c r="J527" s="19">
        <f>IFERROR(__xludf.DUMMYFUNCTION("""COMPUTED_VALUE"""),0.04268)</f>
        <v>0.04268</v>
      </c>
      <c r="K527" s="19" t="str">
        <f>IFERROR(__xludf.DUMMYFUNCTION("""COMPUTED_VALUE"""),"-")</f>
        <v>-</v>
      </c>
      <c r="L527" s="19">
        <f>IFERROR(__xludf.DUMMYFUNCTION("""COMPUTED_VALUE"""),0.04639)</f>
        <v>0.04639</v>
      </c>
      <c r="O527" s="24">
        <f t="shared" si="4"/>
        <v>0</v>
      </c>
      <c r="P527" s="24"/>
      <c r="Q527" s="24">
        <f t="shared" si="6"/>
        <v>0</v>
      </c>
      <c r="R527" s="24">
        <f t="shared" si="7"/>
        <v>1</v>
      </c>
      <c r="S527" s="24"/>
      <c r="T527" s="24">
        <f t="shared" si="9"/>
        <v>0</v>
      </c>
    </row>
    <row r="528">
      <c r="A528" s="12" t="s">
        <v>617</v>
      </c>
      <c r="F528" s="19">
        <f>IFERROR(__xludf.DUMMYFUNCTION("SPLIT(A524, "" |"")"),522.0)</f>
        <v>522</v>
      </c>
      <c r="G528" s="19">
        <f>IFERROR(__xludf.DUMMYFUNCTION("""COMPUTED_VALUE"""),0.00244)</f>
        <v>0.00244</v>
      </c>
      <c r="H528" s="19" t="str">
        <f>IFERROR(__xludf.DUMMYFUNCTION("""COMPUTED_VALUE"""),"-")</f>
        <v>-</v>
      </c>
      <c r="I528" s="19">
        <f>IFERROR(__xludf.DUMMYFUNCTION("""COMPUTED_VALUE"""),0.00224)</f>
        <v>0.00224</v>
      </c>
      <c r="J528" s="19">
        <f>IFERROR(__xludf.DUMMYFUNCTION("""COMPUTED_VALUE"""),0.04571)</f>
        <v>0.04571</v>
      </c>
      <c r="K528" s="19" t="str">
        <f>IFERROR(__xludf.DUMMYFUNCTION("""COMPUTED_VALUE"""),"-")</f>
        <v>-</v>
      </c>
      <c r="L528" s="19">
        <f>IFERROR(__xludf.DUMMYFUNCTION("""COMPUTED_VALUE"""),0.04754)</f>
        <v>0.04754</v>
      </c>
      <c r="O528" s="24">
        <f t="shared" si="4"/>
        <v>0</v>
      </c>
      <c r="P528" s="24"/>
      <c r="Q528" s="24">
        <f t="shared" si="6"/>
        <v>0</v>
      </c>
      <c r="R528" s="24">
        <f t="shared" si="7"/>
        <v>0</v>
      </c>
      <c r="S528" s="24"/>
      <c r="T528" s="24">
        <f t="shared" si="9"/>
        <v>0</v>
      </c>
    </row>
    <row r="529">
      <c r="A529" s="12" t="s">
        <v>618</v>
      </c>
      <c r="F529" s="19">
        <f>IFERROR(__xludf.DUMMYFUNCTION("SPLIT(A525, "" |"")"),523.0)</f>
        <v>523</v>
      </c>
      <c r="G529" s="19">
        <f>IFERROR(__xludf.DUMMYFUNCTION("""COMPUTED_VALUE"""),0.00237)</f>
        <v>0.00237</v>
      </c>
      <c r="H529" s="19" t="str">
        <f>IFERROR(__xludf.DUMMYFUNCTION("""COMPUTED_VALUE"""),"-")</f>
        <v>-</v>
      </c>
      <c r="I529" s="19">
        <f>IFERROR(__xludf.DUMMYFUNCTION("""COMPUTED_VALUE"""),0.00219)</f>
        <v>0.00219</v>
      </c>
      <c r="J529" s="19">
        <f>IFERROR(__xludf.DUMMYFUNCTION("""COMPUTED_VALUE"""),0.04746)</f>
        <v>0.04746</v>
      </c>
      <c r="K529" s="19" t="str">
        <f>IFERROR(__xludf.DUMMYFUNCTION("""COMPUTED_VALUE"""),"-")</f>
        <v>-</v>
      </c>
      <c r="L529" s="19">
        <f>IFERROR(__xludf.DUMMYFUNCTION("""COMPUTED_VALUE"""),0.04756)</f>
        <v>0.04756</v>
      </c>
      <c r="O529" s="24">
        <f t="shared" si="4"/>
        <v>0</v>
      </c>
      <c r="P529" s="24"/>
      <c r="Q529" s="24">
        <f t="shared" si="6"/>
        <v>0</v>
      </c>
      <c r="R529" s="24">
        <f t="shared" si="7"/>
        <v>0</v>
      </c>
      <c r="S529" s="24"/>
      <c r="T529" s="24">
        <f t="shared" si="9"/>
        <v>0</v>
      </c>
    </row>
    <row r="530">
      <c r="A530" s="12" t="s">
        <v>619</v>
      </c>
      <c r="F530" s="19">
        <f>IFERROR(__xludf.DUMMYFUNCTION("SPLIT(A526, "" |"")"),524.0)</f>
        <v>524</v>
      </c>
      <c r="G530" s="19">
        <f>IFERROR(__xludf.DUMMYFUNCTION("""COMPUTED_VALUE"""),0.00235)</f>
        <v>0.00235</v>
      </c>
      <c r="H530" s="19" t="str">
        <f>IFERROR(__xludf.DUMMYFUNCTION("""COMPUTED_VALUE"""),"-")</f>
        <v>-</v>
      </c>
      <c r="I530" s="19">
        <f>IFERROR(__xludf.DUMMYFUNCTION("""COMPUTED_VALUE"""),0.00215)</f>
        <v>0.00215</v>
      </c>
      <c r="J530" s="19">
        <f>IFERROR(__xludf.DUMMYFUNCTION("""COMPUTED_VALUE"""),0.04743)</f>
        <v>0.04743</v>
      </c>
      <c r="K530" s="19" t="str">
        <f>IFERROR(__xludf.DUMMYFUNCTION("""COMPUTED_VALUE"""),"-")</f>
        <v>-</v>
      </c>
      <c r="L530" s="19">
        <f>IFERROR(__xludf.DUMMYFUNCTION("""COMPUTED_VALUE"""),0.04214)</f>
        <v>0.04214</v>
      </c>
      <c r="O530" s="24">
        <f t="shared" si="4"/>
        <v>0</v>
      </c>
      <c r="P530" s="24"/>
      <c r="Q530" s="24">
        <f t="shared" si="6"/>
        <v>0</v>
      </c>
      <c r="R530" s="24">
        <f t="shared" si="7"/>
        <v>0</v>
      </c>
      <c r="S530" s="24"/>
      <c r="T530" s="24">
        <f t="shared" si="9"/>
        <v>0</v>
      </c>
    </row>
    <row r="531">
      <c r="A531" s="12" t="s">
        <v>620</v>
      </c>
      <c r="F531" s="19">
        <f>IFERROR(__xludf.DUMMYFUNCTION("SPLIT(A527, "" |"")"),525.0)</f>
        <v>525</v>
      </c>
      <c r="G531" s="19">
        <f>IFERROR(__xludf.DUMMYFUNCTION("""COMPUTED_VALUE"""),0.0023)</f>
        <v>0.0023</v>
      </c>
      <c r="H531" s="19" t="str">
        <f>IFERROR(__xludf.DUMMYFUNCTION("""COMPUTED_VALUE"""),"-")</f>
        <v>-</v>
      </c>
      <c r="I531" s="19">
        <f>IFERROR(__xludf.DUMMYFUNCTION("""COMPUTED_VALUE"""),0.00208)</f>
        <v>0.00208</v>
      </c>
      <c r="J531" s="19">
        <f>IFERROR(__xludf.DUMMYFUNCTION("""COMPUTED_VALUE"""),0.04726)</f>
        <v>0.04726</v>
      </c>
      <c r="K531" s="19" t="str">
        <f>IFERROR(__xludf.DUMMYFUNCTION("""COMPUTED_VALUE"""),"-")</f>
        <v>-</v>
      </c>
      <c r="L531" s="19">
        <f>IFERROR(__xludf.DUMMYFUNCTION("""COMPUTED_VALUE"""),0.04748)</f>
        <v>0.04748</v>
      </c>
      <c r="O531" s="24">
        <f t="shared" si="4"/>
        <v>0</v>
      </c>
      <c r="P531" s="24"/>
      <c r="Q531" s="24">
        <f t="shared" si="6"/>
        <v>0</v>
      </c>
      <c r="R531" s="24">
        <f t="shared" si="7"/>
        <v>0</v>
      </c>
      <c r="S531" s="24"/>
      <c r="T531" s="24">
        <f t="shared" si="9"/>
        <v>0</v>
      </c>
    </row>
    <row r="532">
      <c r="A532" s="12" t="s">
        <v>621</v>
      </c>
      <c r="F532" s="19">
        <f>IFERROR(__xludf.DUMMYFUNCTION("SPLIT(A528, "" |"")"),526.0)</f>
        <v>526</v>
      </c>
      <c r="G532" s="19">
        <f>IFERROR(__xludf.DUMMYFUNCTION("""COMPUTED_VALUE"""),0.00243)</f>
        <v>0.00243</v>
      </c>
      <c r="H532" s="19" t="str">
        <f>IFERROR(__xludf.DUMMYFUNCTION("""COMPUTED_VALUE"""),"-")</f>
        <v>-</v>
      </c>
      <c r="I532" s="19">
        <f>IFERROR(__xludf.DUMMYFUNCTION("""COMPUTED_VALUE"""),0.00218)</f>
        <v>0.00218</v>
      </c>
      <c r="J532" s="19">
        <f>IFERROR(__xludf.DUMMYFUNCTION("""COMPUTED_VALUE"""),0.04493)</f>
        <v>0.04493</v>
      </c>
      <c r="K532" s="19" t="str">
        <f>IFERROR(__xludf.DUMMYFUNCTION("""COMPUTED_VALUE"""),"-")</f>
        <v>-</v>
      </c>
      <c r="L532" s="19">
        <f>IFERROR(__xludf.DUMMYFUNCTION("""COMPUTED_VALUE"""),0.04761)</f>
        <v>0.04761</v>
      </c>
      <c r="O532" s="24">
        <f t="shared" si="4"/>
        <v>0</v>
      </c>
      <c r="P532" s="24"/>
      <c r="Q532" s="24">
        <f t="shared" si="6"/>
        <v>0</v>
      </c>
      <c r="R532" s="24">
        <f t="shared" si="7"/>
        <v>0</v>
      </c>
      <c r="S532" s="24"/>
      <c r="T532" s="24">
        <f t="shared" si="9"/>
        <v>0</v>
      </c>
    </row>
    <row r="533">
      <c r="A533" s="12" t="s">
        <v>622</v>
      </c>
      <c r="F533" s="19">
        <f>IFERROR(__xludf.DUMMYFUNCTION("SPLIT(A529, "" |"")"),527.0)</f>
        <v>527</v>
      </c>
      <c r="G533" s="19">
        <f>IFERROR(__xludf.DUMMYFUNCTION("""COMPUTED_VALUE"""),0.00233)</f>
        <v>0.00233</v>
      </c>
      <c r="H533" s="19" t="str">
        <f>IFERROR(__xludf.DUMMYFUNCTION("""COMPUTED_VALUE"""),"-")</f>
        <v>-</v>
      </c>
      <c r="I533" s="19">
        <f>IFERROR(__xludf.DUMMYFUNCTION("""COMPUTED_VALUE"""),0.00219)</f>
        <v>0.00219</v>
      </c>
      <c r="J533" s="19">
        <f>IFERROR(__xludf.DUMMYFUNCTION("""COMPUTED_VALUE"""),0.04739)</f>
        <v>0.04739</v>
      </c>
      <c r="K533" s="19" t="str">
        <f>IFERROR(__xludf.DUMMYFUNCTION("""COMPUTED_VALUE"""),"-")</f>
        <v>-</v>
      </c>
      <c r="L533" s="19">
        <f>IFERROR(__xludf.DUMMYFUNCTION("""COMPUTED_VALUE"""),0.04762)</f>
        <v>0.04762</v>
      </c>
      <c r="O533" s="24">
        <f t="shared" si="4"/>
        <v>0</v>
      </c>
      <c r="P533" s="24"/>
      <c r="Q533" s="24">
        <f t="shared" si="6"/>
        <v>0</v>
      </c>
      <c r="R533" s="24">
        <f t="shared" si="7"/>
        <v>0</v>
      </c>
      <c r="S533" s="24"/>
      <c r="T533" s="24">
        <f t="shared" si="9"/>
        <v>0</v>
      </c>
    </row>
    <row r="534">
      <c r="A534" s="12" t="s">
        <v>623</v>
      </c>
      <c r="F534" s="19">
        <f>IFERROR(__xludf.DUMMYFUNCTION("SPLIT(A530, "" |"")"),528.0)</f>
        <v>528</v>
      </c>
      <c r="G534" s="19">
        <f>IFERROR(__xludf.DUMMYFUNCTION("""COMPUTED_VALUE"""),0.00236)</f>
        <v>0.00236</v>
      </c>
      <c r="H534" s="19" t="str">
        <f>IFERROR(__xludf.DUMMYFUNCTION("""COMPUTED_VALUE"""),"-")</f>
        <v>-</v>
      </c>
      <c r="I534" s="19">
        <f>IFERROR(__xludf.DUMMYFUNCTION("""COMPUTED_VALUE"""),0.00216)</f>
        <v>0.00216</v>
      </c>
      <c r="J534" s="19">
        <f>IFERROR(__xludf.DUMMYFUNCTION("""COMPUTED_VALUE"""),0.04747)</f>
        <v>0.04747</v>
      </c>
      <c r="K534" s="19" t="str">
        <f>IFERROR(__xludf.DUMMYFUNCTION("""COMPUTED_VALUE"""),"-")</f>
        <v>-</v>
      </c>
      <c r="L534" s="19">
        <f>IFERROR(__xludf.DUMMYFUNCTION("""COMPUTED_VALUE"""),0.04756)</f>
        <v>0.04756</v>
      </c>
      <c r="O534" s="24">
        <f t="shared" si="4"/>
        <v>0</v>
      </c>
      <c r="P534" s="24"/>
      <c r="Q534" s="24">
        <f t="shared" si="6"/>
        <v>0</v>
      </c>
      <c r="R534" s="24">
        <f t="shared" si="7"/>
        <v>0</v>
      </c>
      <c r="S534" s="24"/>
      <c r="T534" s="24">
        <f t="shared" si="9"/>
        <v>0</v>
      </c>
    </row>
    <row r="535">
      <c r="A535" s="12" t="s">
        <v>624</v>
      </c>
      <c r="F535" s="19">
        <f>IFERROR(__xludf.DUMMYFUNCTION("SPLIT(A531, "" |"")"),529.0)</f>
        <v>529</v>
      </c>
      <c r="G535" s="19">
        <f>IFERROR(__xludf.DUMMYFUNCTION("""COMPUTED_VALUE"""),0.00232)</f>
        <v>0.00232</v>
      </c>
      <c r="H535" s="19" t="str">
        <f>IFERROR(__xludf.DUMMYFUNCTION("""COMPUTED_VALUE"""),"-")</f>
        <v>-</v>
      </c>
      <c r="I535" s="19">
        <f>IFERROR(__xludf.DUMMYFUNCTION("""COMPUTED_VALUE"""),0.00214)</f>
        <v>0.00214</v>
      </c>
      <c r="J535" s="19">
        <f>IFERROR(__xludf.DUMMYFUNCTION("""COMPUTED_VALUE"""),0.04743)</f>
        <v>0.04743</v>
      </c>
      <c r="K535" s="19" t="str">
        <f>IFERROR(__xludf.DUMMYFUNCTION("""COMPUTED_VALUE"""),"-")</f>
        <v>-</v>
      </c>
      <c r="L535" s="19">
        <f>IFERROR(__xludf.DUMMYFUNCTION("""COMPUTED_VALUE"""),0.04274)</f>
        <v>0.04274</v>
      </c>
      <c r="O535" s="24">
        <f t="shared" si="4"/>
        <v>0</v>
      </c>
      <c r="P535" s="24"/>
      <c r="Q535" s="24">
        <f t="shared" si="6"/>
        <v>0</v>
      </c>
      <c r="R535" s="24">
        <f t="shared" si="7"/>
        <v>0</v>
      </c>
      <c r="S535" s="24"/>
      <c r="T535" s="24">
        <f t="shared" si="9"/>
        <v>0</v>
      </c>
    </row>
    <row r="536">
      <c r="A536" s="12" t="s">
        <v>625</v>
      </c>
      <c r="F536" s="19">
        <f>IFERROR(__xludf.DUMMYFUNCTION("SPLIT(A532, "" |"")"),530.0)</f>
        <v>530</v>
      </c>
      <c r="G536" s="19">
        <f>IFERROR(__xludf.DUMMYFUNCTION("""COMPUTED_VALUE"""),0.00235)</f>
        <v>0.00235</v>
      </c>
      <c r="H536" s="19" t="str">
        <f>IFERROR(__xludf.DUMMYFUNCTION("""COMPUTED_VALUE"""),"-")</f>
        <v>-</v>
      </c>
      <c r="I536" s="19">
        <f>IFERROR(__xludf.DUMMYFUNCTION("""COMPUTED_VALUE"""),0.00218)</f>
        <v>0.00218</v>
      </c>
      <c r="J536" s="19">
        <f>IFERROR(__xludf.DUMMYFUNCTION("""COMPUTED_VALUE"""),0.04702)</f>
        <v>0.04702</v>
      </c>
      <c r="K536" s="19" t="str">
        <f>IFERROR(__xludf.DUMMYFUNCTION("""COMPUTED_VALUE"""),"-")</f>
        <v>-</v>
      </c>
      <c r="L536" s="19">
        <f>IFERROR(__xludf.DUMMYFUNCTION("""COMPUTED_VALUE"""),0.0476)</f>
        <v>0.0476</v>
      </c>
      <c r="O536" s="24">
        <f t="shared" si="4"/>
        <v>0</v>
      </c>
      <c r="P536" s="24"/>
      <c r="Q536" s="24">
        <f t="shared" si="6"/>
        <v>0</v>
      </c>
      <c r="R536" s="24">
        <f t="shared" si="7"/>
        <v>0</v>
      </c>
      <c r="S536" s="24"/>
      <c r="T536" s="24">
        <f t="shared" si="9"/>
        <v>0</v>
      </c>
    </row>
    <row r="537">
      <c r="A537" s="12" t="s">
        <v>626</v>
      </c>
      <c r="F537" s="19">
        <f>IFERROR(__xludf.DUMMYFUNCTION("SPLIT(A533, "" |"")"),531.0)</f>
        <v>531</v>
      </c>
      <c r="G537" s="19">
        <f>IFERROR(__xludf.DUMMYFUNCTION("""COMPUTED_VALUE"""),0.00236)</f>
        <v>0.00236</v>
      </c>
      <c r="H537" s="19" t="str">
        <f>IFERROR(__xludf.DUMMYFUNCTION("""COMPUTED_VALUE"""),"-")</f>
        <v>-</v>
      </c>
      <c r="I537" s="19">
        <f>IFERROR(__xludf.DUMMYFUNCTION("""COMPUTED_VALUE"""),0.00216)</f>
        <v>0.00216</v>
      </c>
      <c r="J537" s="19">
        <f>IFERROR(__xludf.DUMMYFUNCTION("""COMPUTED_VALUE"""),0.04743)</f>
        <v>0.04743</v>
      </c>
      <c r="K537" s="19" t="str">
        <f>IFERROR(__xludf.DUMMYFUNCTION("""COMPUTED_VALUE"""),"-")</f>
        <v>-</v>
      </c>
      <c r="L537" s="19">
        <f>IFERROR(__xludf.DUMMYFUNCTION("""COMPUTED_VALUE"""),0.04756)</f>
        <v>0.04756</v>
      </c>
      <c r="O537" s="24">
        <f t="shared" si="4"/>
        <v>0</v>
      </c>
      <c r="P537" s="24"/>
      <c r="Q537" s="24">
        <f t="shared" si="6"/>
        <v>0</v>
      </c>
      <c r="R537" s="24">
        <f t="shared" si="7"/>
        <v>0</v>
      </c>
      <c r="S537" s="24"/>
      <c r="T537" s="24">
        <f t="shared" si="9"/>
        <v>0</v>
      </c>
    </row>
    <row r="538">
      <c r="A538" s="12" t="s">
        <v>627</v>
      </c>
      <c r="F538" s="19">
        <f>IFERROR(__xludf.DUMMYFUNCTION("SPLIT(A534, "" |"")"),532.0)</f>
        <v>532</v>
      </c>
      <c r="G538" s="19">
        <f>IFERROR(__xludf.DUMMYFUNCTION("""COMPUTED_VALUE"""),0.00237)</f>
        <v>0.00237</v>
      </c>
      <c r="H538" s="19" t="str">
        <f>IFERROR(__xludf.DUMMYFUNCTION("""COMPUTED_VALUE"""),"-")</f>
        <v>-</v>
      </c>
      <c r="I538" s="19">
        <f>IFERROR(__xludf.DUMMYFUNCTION("""COMPUTED_VALUE"""),0.00217)</f>
        <v>0.00217</v>
      </c>
      <c r="J538" s="19">
        <f>IFERROR(__xludf.DUMMYFUNCTION("""COMPUTED_VALUE"""),0.04746)</f>
        <v>0.04746</v>
      </c>
      <c r="K538" s="19" t="str">
        <f>IFERROR(__xludf.DUMMYFUNCTION("""COMPUTED_VALUE"""),"-")</f>
        <v>-</v>
      </c>
      <c r="L538" s="19">
        <f>IFERROR(__xludf.DUMMYFUNCTION("""COMPUTED_VALUE"""),0.04395)</f>
        <v>0.04395</v>
      </c>
      <c r="O538" s="24">
        <f t="shared" si="4"/>
        <v>0</v>
      </c>
      <c r="P538" s="24"/>
      <c r="Q538" s="24">
        <f t="shared" si="6"/>
        <v>0</v>
      </c>
      <c r="R538" s="24">
        <f t="shared" si="7"/>
        <v>0</v>
      </c>
      <c r="S538" s="24"/>
      <c r="T538" s="24">
        <f t="shared" si="9"/>
        <v>0</v>
      </c>
    </row>
    <row r="539">
      <c r="A539" s="12" t="s">
        <v>628</v>
      </c>
      <c r="F539" s="19">
        <f>IFERROR(__xludf.DUMMYFUNCTION("SPLIT(A535, "" |"")"),533.0)</f>
        <v>533</v>
      </c>
      <c r="G539" s="19">
        <f>IFERROR(__xludf.DUMMYFUNCTION("""COMPUTED_VALUE"""),0.00241)</f>
        <v>0.00241</v>
      </c>
      <c r="H539" s="19" t="str">
        <f>IFERROR(__xludf.DUMMYFUNCTION("""COMPUTED_VALUE"""),"-")</f>
        <v>-</v>
      </c>
      <c r="I539" s="19">
        <f>IFERROR(__xludf.DUMMYFUNCTION("""COMPUTED_VALUE"""),0.00219)</f>
        <v>0.00219</v>
      </c>
      <c r="J539" s="19">
        <f>IFERROR(__xludf.DUMMYFUNCTION("""COMPUTED_VALUE"""),0.0474)</f>
        <v>0.0474</v>
      </c>
      <c r="K539" s="19" t="str">
        <f>IFERROR(__xludf.DUMMYFUNCTION("""COMPUTED_VALUE"""),"-")</f>
        <v>-</v>
      </c>
      <c r="L539" s="19">
        <f>IFERROR(__xludf.DUMMYFUNCTION("""COMPUTED_VALUE"""),0.04762)</f>
        <v>0.04762</v>
      </c>
      <c r="O539" s="24">
        <f t="shared" si="4"/>
        <v>0</v>
      </c>
      <c r="P539" s="24"/>
      <c r="Q539" s="24">
        <f t="shared" si="6"/>
        <v>0</v>
      </c>
      <c r="R539" s="24">
        <f t="shared" si="7"/>
        <v>0</v>
      </c>
      <c r="S539" s="24"/>
      <c r="T539" s="24">
        <f t="shared" si="9"/>
        <v>0</v>
      </c>
    </row>
    <row r="540">
      <c r="A540" s="12" t="s">
        <v>629</v>
      </c>
      <c r="F540" s="19">
        <f>IFERROR(__xludf.DUMMYFUNCTION("SPLIT(A536, "" |"")"),534.0)</f>
        <v>534</v>
      </c>
      <c r="G540" s="19">
        <f>IFERROR(__xludf.DUMMYFUNCTION("""COMPUTED_VALUE"""),0.00237)</f>
        <v>0.00237</v>
      </c>
      <c r="H540" s="19" t="str">
        <f>IFERROR(__xludf.DUMMYFUNCTION("""COMPUTED_VALUE"""),"-")</f>
        <v>-</v>
      </c>
      <c r="I540" s="19">
        <f>IFERROR(__xludf.DUMMYFUNCTION("""COMPUTED_VALUE"""),0.00219)</f>
        <v>0.00219</v>
      </c>
      <c r="J540" s="19">
        <f>IFERROR(__xludf.DUMMYFUNCTION("""COMPUTED_VALUE"""),0.04746)</f>
        <v>0.04746</v>
      </c>
      <c r="K540" s="19" t="str">
        <f>IFERROR(__xludf.DUMMYFUNCTION("""COMPUTED_VALUE"""),"-")</f>
        <v>-</v>
      </c>
      <c r="L540" s="19">
        <f>IFERROR(__xludf.DUMMYFUNCTION("""COMPUTED_VALUE"""),0.04469)</f>
        <v>0.04469</v>
      </c>
      <c r="O540" s="24">
        <f t="shared" si="4"/>
        <v>0</v>
      </c>
      <c r="P540" s="24"/>
      <c r="Q540" s="24">
        <f t="shared" si="6"/>
        <v>0</v>
      </c>
      <c r="R540" s="24">
        <f t="shared" si="7"/>
        <v>0</v>
      </c>
      <c r="S540" s="24"/>
      <c r="T540" s="24">
        <f t="shared" si="9"/>
        <v>0</v>
      </c>
    </row>
    <row r="541">
      <c r="A541" s="12" t="s">
        <v>630</v>
      </c>
      <c r="F541" s="19">
        <f>IFERROR(__xludf.DUMMYFUNCTION("SPLIT(A537, "" |"")"),535.0)</f>
        <v>535</v>
      </c>
      <c r="G541" s="19">
        <f>IFERROR(__xludf.DUMMYFUNCTION("""COMPUTED_VALUE"""),0.0023)</f>
        <v>0.0023</v>
      </c>
      <c r="H541" s="19" t="str">
        <f>IFERROR(__xludf.DUMMYFUNCTION("""COMPUTED_VALUE"""),"-")</f>
        <v>-</v>
      </c>
      <c r="I541" s="19">
        <f>IFERROR(__xludf.DUMMYFUNCTION("""COMPUTED_VALUE"""),0.00216)</f>
        <v>0.00216</v>
      </c>
      <c r="J541" s="19">
        <f>IFERROR(__xludf.DUMMYFUNCTION("""COMPUTED_VALUE"""),0.04743)</f>
        <v>0.04743</v>
      </c>
      <c r="K541" s="19" t="str">
        <f>IFERROR(__xludf.DUMMYFUNCTION("""COMPUTED_VALUE"""),"-")</f>
        <v>-</v>
      </c>
      <c r="L541" s="19">
        <f>IFERROR(__xludf.DUMMYFUNCTION("""COMPUTED_VALUE"""),0.04116)</f>
        <v>0.04116</v>
      </c>
      <c r="O541" s="24">
        <f t="shared" si="4"/>
        <v>0</v>
      </c>
      <c r="P541" s="24"/>
      <c r="Q541" s="24">
        <f t="shared" si="6"/>
        <v>0</v>
      </c>
      <c r="R541" s="24">
        <f t="shared" si="7"/>
        <v>0</v>
      </c>
      <c r="S541" s="24"/>
      <c r="T541" s="24">
        <f t="shared" si="9"/>
        <v>0</v>
      </c>
    </row>
    <row r="542">
      <c r="A542" s="12" t="s">
        <v>631</v>
      </c>
      <c r="F542" s="19">
        <f>IFERROR(__xludf.DUMMYFUNCTION("SPLIT(A538, "" |"")"),536.0)</f>
        <v>536</v>
      </c>
      <c r="G542" s="19">
        <f>IFERROR(__xludf.DUMMYFUNCTION("""COMPUTED_VALUE"""),0.00229)</f>
        <v>0.00229</v>
      </c>
      <c r="H542" s="19" t="str">
        <f>IFERROR(__xludf.DUMMYFUNCTION("""COMPUTED_VALUE"""),"-")</f>
        <v>-</v>
      </c>
      <c r="I542" s="19">
        <f>IFERROR(__xludf.DUMMYFUNCTION("""COMPUTED_VALUE"""),0.00222)</f>
        <v>0.00222</v>
      </c>
      <c r="J542" s="19">
        <f>IFERROR(__xludf.DUMMYFUNCTION("""COMPUTED_VALUE"""),0.04742)</f>
        <v>0.04742</v>
      </c>
      <c r="K542" s="19" t="str">
        <f>IFERROR(__xludf.DUMMYFUNCTION("""COMPUTED_VALUE"""),"-")</f>
        <v>-</v>
      </c>
      <c r="L542" s="19">
        <f>IFERROR(__xludf.DUMMYFUNCTION("""COMPUTED_VALUE"""),0.04766)</f>
        <v>0.04766</v>
      </c>
      <c r="O542" s="24">
        <f t="shared" si="4"/>
        <v>0</v>
      </c>
      <c r="P542" s="24"/>
      <c r="Q542" s="24">
        <f t="shared" si="6"/>
        <v>0</v>
      </c>
      <c r="R542" s="24">
        <f t="shared" si="7"/>
        <v>0</v>
      </c>
      <c r="S542" s="24"/>
      <c r="T542" s="24">
        <f t="shared" si="9"/>
        <v>0</v>
      </c>
    </row>
    <row r="543">
      <c r="A543" s="12" t="s">
        <v>632</v>
      </c>
      <c r="F543" s="19">
        <f>IFERROR(__xludf.DUMMYFUNCTION("SPLIT(A539, "" |"")"),537.0)</f>
        <v>537</v>
      </c>
      <c r="G543" s="19">
        <f>IFERROR(__xludf.DUMMYFUNCTION("""COMPUTED_VALUE"""),0.00238)</f>
        <v>0.00238</v>
      </c>
      <c r="H543" s="19" t="str">
        <f>IFERROR(__xludf.DUMMYFUNCTION("""COMPUTED_VALUE"""),"-")</f>
        <v>-</v>
      </c>
      <c r="I543" s="19">
        <f>IFERROR(__xludf.DUMMYFUNCTION("""COMPUTED_VALUE"""),0.00212)</f>
        <v>0.00212</v>
      </c>
      <c r="J543" s="19">
        <f>IFERROR(__xludf.DUMMYFUNCTION("""COMPUTED_VALUE"""),0.04145)</f>
        <v>0.04145</v>
      </c>
      <c r="K543" s="19" t="str">
        <f>IFERROR(__xludf.DUMMYFUNCTION("""COMPUTED_VALUE"""),"-")</f>
        <v>-</v>
      </c>
      <c r="L543" s="19">
        <f>IFERROR(__xludf.DUMMYFUNCTION("""COMPUTED_VALUE"""),0.04754)</f>
        <v>0.04754</v>
      </c>
      <c r="O543" s="24">
        <f t="shared" si="4"/>
        <v>0</v>
      </c>
      <c r="P543" s="24"/>
      <c r="Q543" s="24">
        <f t="shared" si="6"/>
        <v>0</v>
      </c>
      <c r="R543" s="24">
        <f t="shared" si="7"/>
        <v>1</v>
      </c>
      <c r="S543" s="24"/>
      <c r="T543" s="24">
        <f t="shared" si="9"/>
        <v>0</v>
      </c>
    </row>
    <row r="544">
      <c r="A544" s="12" t="s">
        <v>633</v>
      </c>
      <c r="F544" s="19">
        <f>IFERROR(__xludf.DUMMYFUNCTION("SPLIT(A540, "" |"")"),538.0)</f>
        <v>538</v>
      </c>
      <c r="G544" s="19">
        <f>IFERROR(__xludf.DUMMYFUNCTION("""COMPUTED_VALUE"""),0.00239)</f>
        <v>0.00239</v>
      </c>
      <c r="H544" s="19" t="str">
        <f>IFERROR(__xludf.DUMMYFUNCTION("""COMPUTED_VALUE"""),"-")</f>
        <v>-</v>
      </c>
      <c r="I544" s="19">
        <f>IFERROR(__xludf.DUMMYFUNCTION("""COMPUTED_VALUE"""),0.00218)</f>
        <v>0.00218</v>
      </c>
      <c r="J544" s="19">
        <f>IFERROR(__xludf.DUMMYFUNCTION("""COMPUTED_VALUE"""),0.04745)</f>
        <v>0.04745</v>
      </c>
      <c r="K544" s="19" t="str">
        <f>IFERROR(__xludf.DUMMYFUNCTION("""COMPUTED_VALUE"""),"-")</f>
        <v>-</v>
      </c>
      <c r="L544" s="19">
        <f>IFERROR(__xludf.DUMMYFUNCTION("""COMPUTED_VALUE"""),0.04758)</f>
        <v>0.04758</v>
      </c>
      <c r="O544" s="24">
        <f t="shared" si="4"/>
        <v>0</v>
      </c>
      <c r="P544" s="24"/>
      <c r="Q544" s="24">
        <f t="shared" si="6"/>
        <v>0</v>
      </c>
      <c r="R544" s="24">
        <f t="shared" si="7"/>
        <v>0</v>
      </c>
      <c r="S544" s="24"/>
      <c r="T544" s="24">
        <f t="shared" si="9"/>
        <v>0</v>
      </c>
    </row>
    <row r="545">
      <c r="A545" s="12" t="s">
        <v>634</v>
      </c>
      <c r="F545" s="19">
        <f>IFERROR(__xludf.DUMMYFUNCTION("SPLIT(A541, "" |"")"),539.0)</f>
        <v>539</v>
      </c>
      <c r="G545" s="19">
        <f>IFERROR(__xludf.DUMMYFUNCTION("""COMPUTED_VALUE"""),0.00226)</f>
        <v>0.00226</v>
      </c>
      <c r="H545" s="19" t="str">
        <f>IFERROR(__xludf.DUMMYFUNCTION("""COMPUTED_VALUE"""),"-")</f>
        <v>-</v>
      </c>
      <c r="I545" s="19">
        <f>IFERROR(__xludf.DUMMYFUNCTION("""COMPUTED_VALUE"""),0.0021)</f>
        <v>0.0021</v>
      </c>
      <c r="J545" s="19">
        <f>IFERROR(__xludf.DUMMYFUNCTION("""COMPUTED_VALUE"""),0.04751)</f>
        <v>0.04751</v>
      </c>
      <c r="K545" s="19" t="str">
        <f>IFERROR(__xludf.DUMMYFUNCTION("""COMPUTED_VALUE"""),"-")</f>
        <v>-</v>
      </c>
      <c r="L545" s="19">
        <f>IFERROR(__xludf.DUMMYFUNCTION("""COMPUTED_VALUE"""),0.0477)</f>
        <v>0.0477</v>
      </c>
      <c r="O545" s="24">
        <f t="shared" si="4"/>
        <v>0</v>
      </c>
      <c r="P545" s="24"/>
      <c r="Q545" s="24">
        <f t="shared" si="6"/>
        <v>0</v>
      </c>
      <c r="R545" s="24">
        <f t="shared" si="7"/>
        <v>0</v>
      </c>
      <c r="S545" s="24"/>
      <c r="T545" s="24">
        <f t="shared" si="9"/>
        <v>0</v>
      </c>
    </row>
    <row r="546">
      <c r="A546" s="12" t="s">
        <v>635</v>
      </c>
      <c r="F546" s="19">
        <f>IFERROR(__xludf.DUMMYFUNCTION("SPLIT(A542, "" |"")"),540.0)</f>
        <v>540</v>
      </c>
      <c r="G546" s="19">
        <f>IFERROR(__xludf.DUMMYFUNCTION("""COMPUTED_VALUE"""),0.0024)</f>
        <v>0.0024</v>
      </c>
      <c r="H546" s="19" t="str">
        <f>IFERROR(__xludf.DUMMYFUNCTION("""COMPUTED_VALUE"""),"-")</f>
        <v>-</v>
      </c>
      <c r="I546" s="19">
        <f>IFERROR(__xludf.DUMMYFUNCTION("""COMPUTED_VALUE"""),0.0022)</f>
        <v>0.0022</v>
      </c>
      <c r="J546" s="19">
        <f>IFERROR(__xludf.DUMMYFUNCTION("""COMPUTED_VALUE"""),0.04707)</f>
        <v>0.04707</v>
      </c>
      <c r="K546" s="19" t="str">
        <f>IFERROR(__xludf.DUMMYFUNCTION("""COMPUTED_VALUE"""),"-")</f>
        <v>-</v>
      </c>
      <c r="L546" s="19">
        <f>IFERROR(__xludf.DUMMYFUNCTION("""COMPUTED_VALUE"""),0.04414)</f>
        <v>0.04414</v>
      </c>
      <c r="O546" s="24">
        <f t="shared" si="4"/>
        <v>0</v>
      </c>
      <c r="P546" s="24"/>
      <c r="Q546" s="24">
        <f t="shared" si="6"/>
        <v>0</v>
      </c>
      <c r="R546" s="24">
        <f t="shared" si="7"/>
        <v>0</v>
      </c>
      <c r="S546" s="24"/>
      <c r="T546" s="24">
        <f t="shared" si="9"/>
        <v>0</v>
      </c>
    </row>
    <row r="547">
      <c r="A547" s="12" t="s">
        <v>636</v>
      </c>
      <c r="F547" s="19">
        <f>IFERROR(__xludf.DUMMYFUNCTION("SPLIT(A543, "" |"")"),541.0)</f>
        <v>541</v>
      </c>
      <c r="G547" s="19">
        <f>IFERROR(__xludf.DUMMYFUNCTION("""COMPUTED_VALUE"""),0.00236)</f>
        <v>0.00236</v>
      </c>
      <c r="H547" s="19" t="str">
        <f>IFERROR(__xludf.DUMMYFUNCTION("""COMPUTED_VALUE"""),"-")</f>
        <v>-</v>
      </c>
      <c r="I547" s="19">
        <f>IFERROR(__xludf.DUMMYFUNCTION("""COMPUTED_VALUE"""),0.00216)</f>
        <v>0.00216</v>
      </c>
      <c r="J547" s="19">
        <f>IFERROR(__xludf.DUMMYFUNCTION("""COMPUTED_VALUE"""),0.04742)</f>
        <v>0.04742</v>
      </c>
      <c r="K547" s="19" t="str">
        <f>IFERROR(__xludf.DUMMYFUNCTION("""COMPUTED_VALUE"""),"-")</f>
        <v>-</v>
      </c>
      <c r="L547" s="19">
        <f>IFERROR(__xludf.DUMMYFUNCTION("""COMPUTED_VALUE"""),0.04754)</f>
        <v>0.04754</v>
      </c>
      <c r="O547" s="24">
        <f t="shared" si="4"/>
        <v>0</v>
      </c>
      <c r="P547" s="24"/>
      <c r="Q547" s="24">
        <f t="shared" si="6"/>
        <v>0</v>
      </c>
      <c r="R547" s="24">
        <f t="shared" si="7"/>
        <v>0</v>
      </c>
      <c r="S547" s="24"/>
      <c r="T547" s="24">
        <f t="shared" si="9"/>
        <v>0</v>
      </c>
    </row>
    <row r="548">
      <c r="A548" s="12" t="s">
        <v>637</v>
      </c>
      <c r="F548" s="19">
        <f>IFERROR(__xludf.DUMMYFUNCTION("SPLIT(A544, "" |"")"),542.0)</f>
        <v>542</v>
      </c>
      <c r="G548" s="19">
        <f>IFERROR(__xludf.DUMMYFUNCTION("""COMPUTED_VALUE"""),0.00226)</f>
        <v>0.00226</v>
      </c>
      <c r="H548" s="19" t="str">
        <f>IFERROR(__xludf.DUMMYFUNCTION("""COMPUTED_VALUE"""),"-")</f>
        <v>-</v>
      </c>
      <c r="I548" s="19">
        <f>IFERROR(__xludf.DUMMYFUNCTION("""COMPUTED_VALUE"""),0.0021)</f>
        <v>0.0021</v>
      </c>
      <c r="J548" s="19">
        <f>IFERROR(__xludf.DUMMYFUNCTION("""COMPUTED_VALUE"""),0.04798)</f>
        <v>0.04798</v>
      </c>
      <c r="K548" s="19" t="str">
        <f>IFERROR(__xludf.DUMMYFUNCTION("""COMPUTED_VALUE"""),"-")</f>
        <v>-</v>
      </c>
      <c r="L548" s="19">
        <f>IFERROR(__xludf.DUMMYFUNCTION("""COMPUTED_VALUE"""),0.04568)</f>
        <v>0.04568</v>
      </c>
      <c r="O548" s="24">
        <f t="shared" si="4"/>
        <v>0</v>
      </c>
      <c r="P548" s="24"/>
      <c r="Q548" s="24">
        <f t="shared" si="6"/>
        <v>0</v>
      </c>
      <c r="R548" s="24">
        <f t="shared" si="7"/>
        <v>0</v>
      </c>
      <c r="S548" s="24"/>
      <c r="T548" s="24">
        <f t="shared" si="9"/>
        <v>0</v>
      </c>
    </row>
    <row r="549">
      <c r="A549" s="12" t="s">
        <v>638</v>
      </c>
      <c r="F549" s="19">
        <f>IFERROR(__xludf.DUMMYFUNCTION("SPLIT(A545, "" |"")"),543.0)</f>
        <v>543</v>
      </c>
      <c r="G549" s="19">
        <f>IFERROR(__xludf.DUMMYFUNCTION("""COMPUTED_VALUE"""),0.00235)</f>
        <v>0.00235</v>
      </c>
      <c r="H549" s="19" t="str">
        <f>IFERROR(__xludf.DUMMYFUNCTION("""COMPUTED_VALUE"""),"-")</f>
        <v>-</v>
      </c>
      <c r="I549" s="19">
        <f>IFERROR(__xludf.DUMMYFUNCTION("""COMPUTED_VALUE"""),0.00218)</f>
        <v>0.00218</v>
      </c>
      <c r="J549" s="19">
        <f>IFERROR(__xludf.DUMMYFUNCTION("""COMPUTED_VALUE"""),0.04739)</f>
        <v>0.04739</v>
      </c>
      <c r="K549" s="19" t="str">
        <f>IFERROR(__xludf.DUMMYFUNCTION("""COMPUTED_VALUE"""),"-")</f>
        <v>-</v>
      </c>
      <c r="L549" s="19">
        <f>IFERROR(__xludf.DUMMYFUNCTION("""COMPUTED_VALUE"""),0.04572)</f>
        <v>0.04572</v>
      </c>
      <c r="O549" s="24">
        <f t="shared" si="4"/>
        <v>0</v>
      </c>
      <c r="P549" s="24"/>
      <c r="Q549" s="24">
        <f t="shared" si="6"/>
        <v>0</v>
      </c>
      <c r="R549" s="24">
        <f t="shared" si="7"/>
        <v>0</v>
      </c>
      <c r="S549" s="24"/>
      <c r="T549" s="24">
        <f t="shared" si="9"/>
        <v>0</v>
      </c>
    </row>
    <row r="550">
      <c r="A550" s="12" t="s">
        <v>639</v>
      </c>
      <c r="F550" s="19">
        <f>IFERROR(__xludf.DUMMYFUNCTION("SPLIT(A546, "" |"")"),544.0)</f>
        <v>544</v>
      </c>
      <c r="G550" s="19">
        <f>IFERROR(__xludf.DUMMYFUNCTION("""COMPUTED_VALUE"""),0.00232)</f>
        <v>0.00232</v>
      </c>
      <c r="H550" s="19" t="str">
        <f>IFERROR(__xludf.DUMMYFUNCTION("""COMPUTED_VALUE"""),"-")</f>
        <v>-</v>
      </c>
      <c r="I550" s="19">
        <f>IFERROR(__xludf.DUMMYFUNCTION("""COMPUTED_VALUE"""),0.0022)</f>
        <v>0.0022</v>
      </c>
      <c r="J550" s="19">
        <f>IFERROR(__xludf.DUMMYFUNCTION("""COMPUTED_VALUE"""),0.04743)</f>
        <v>0.04743</v>
      </c>
      <c r="K550" s="19" t="str">
        <f>IFERROR(__xludf.DUMMYFUNCTION("""COMPUTED_VALUE"""),"-")</f>
        <v>-</v>
      </c>
      <c r="L550" s="19">
        <f>IFERROR(__xludf.DUMMYFUNCTION("""COMPUTED_VALUE"""),0.04757)</f>
        <v>0.04757</v>
      </c>
      <c r="O550" s="24">
        <f t="shared" si="4"/>
        <v>0</v>
      </c>
      <c r="P550" s="24"/>
      <c r="Q550" s="24">
        <f t="shared" si="6"/>
        <v>0</v>
      </c>
      <c r="R550" s="24">
        <f t="shared" si="7"/>
        <v>0</v>
      </c>
      <c r="S550" s="24"/>
      <c r="T550" s="24">
        <f t="shared" si="9"/>
        <v>0</v>
      </c>
    </row>
    <row r="551">
      <c r="A551" s="12" t="s">
        <v>640</v>
      </c>
      <c r="F551" s="19">
        <f>IFERROR(__xludf.DUMMYFUNCTION("SPLIT(A547, "" |"")"),545.0)</f>
        <v>545</v>
      </c>
      <c r="G551" s="19">
        <f>IFERROR(__xludf.DUMMYFUNCTION("""COMPUTED_VALUE"""),0.00232)</f>
        <v>0.00232</v>
      </c>
      <c r="H551" s="19" t="str">
        <f>IFERROR(__xludf.DUMMYFUNCTION("""COMPUTED_VALUE"""),"-")</f>
        <v>-</v>
      </c>
      <c r="I551" s="19">
        <f>IFERROR(__xludf.DUMMYFUNCTION("""COMPUTED_VALUE"""),0.00213)</f>
        <v>0.00213</v>
      </c>
      <c r="J551" s="19">
        <f>IFERROR(__xludf.DUMMYFUNCTION("""COMPUTED_VALUE"""),0.03792)</f>
        <v>0.03792</v>
      </c>
      <c r="K551" s="19" t="str">
        <f>IFERROR(__xludf.DUMMYFUNCTION("""COMPUTED_VALUE"""),"-")</f>
        <v>-</v>
      </c>
      <c r="L551" s="19">
        <f>IFERROR(__xludf.DUMMYFUNCTION("""COMPUTED_VALUE"""),0.04768)</f>
        <v>0.04768</v>
      </c>
      <c r="O551" s="24">
        <f t="shared" si="4"/>
        <v>0</v>
      </c>
      <c r="P551" s="24"/>
      <c r="Q551" s="24">
        <f t="shared" si="6"/>
        <v>0</v>
      </c>
      <c r="R551" s="24">
        <f t="shared" si="7"/>
        <v>1</v>
      </c>
      <c r="S551" s="24"/>
      <c r="T551" s="24">
        <f t="shared" si="9"/>
        <v>0</v>
      </c>
    </row>
    <row r="552">
      <c r="A552" s="12" t="s">
        <v>641</v>
      </c>
      <c r="F552" s="19">
        <f>IFERROR(__xludf.DUMMYFUNCTION("SPLIT(A548, "" |"")"),546.0)</f>
        <v>546</v>
      </c>
      <c r="G552" s="19">
        <f>IFERROR(__xludf.DUMMYFUNCTION("""COMPUTED_VALUE"""),0.00242)</f>
        <v>0.00242</v>
      </c>
      <c r="H552" s="19" t="str">
        <f>IFERROR(__xludf.DUMMYFUNCTION("""COMPUTED_VALUE"""),"-")</f>
        <v>-</v>
      </c>
      <c r="I552" s="19">
        <f>IFERROR(__xludf.DUMMYFUNCTION("""COMPUTED_VALUE"""),0.00222)</f>
        <v>0.00222</v>
      </c>
      <c r="J552" s="19">
        <f>IFERROR(__xludf.DUMMYFUNCTION("""COMPUTED_VALUE"""),0.04745)</f>
        <v>0.04745</v>
      </c>
      <c r="K552" s="19" t="str">
        <f>IFERROR(__xludf.DUMMYFUNCTION("""COMPUTED_VALUE"""),"-")</f>
        <v>-</v>
      </c>
      <c r="L552" s="19">
        <f>IFERROR(__xludf.DUMMYFUNCTION("""COMPUTED_VALUE"""),0.04753)</f>
        <v>0.04753</v>
      </c>
      <c r="O552" s="24">
        <f t="shared" si="4"/>
        <v>0</v>
      </c>
      <c r="P552" s="24"/>
      <c r="Q552" s="24">
        <f t="shared" si="6"/>
        <v>0</v>
      </c>
      <c r="R552" s="24">
        <f t="shared" si="7"/>
        <v>0</v>
      </c>
      <c r="S552" s="24"/>
      <c r="T552" s="24">
        <f t="shared" si="9"/>
        <v>0</v>
      </c>
    </row>
    <row r="553">
      <c r="A553" s="12" t="s">
        <v>642</v>
      </c>
      <c r="F553" s="19">
        <f>IFERROR(__xludf.DUMMYFUNCTION("SPLIT(A549, "" |"")"),547.0)</f>
        <v>547</v>
      </c>
      <c r="G553" s="19">
        <f>IFERROR(__xludf.DUMMYFUNCTION("""COMPUTED_VALUE"""),0.00233)</f>
        <v>0.00233</v>
      </c>
      <c r="H553" s="19" t="str">
        <f>IFERROR(__xludf.DUMMYFUNCTION("""COMPUTED_VALUE"""),"-")</f>
        <v>-</v>
      </c>
      <c r="I553" s="19">
        <f>IFERROR(__xludf.DUMMYFUNCTION("""COMPUTED_VALUE"""),0.00217)</f>
        <v>0.00217</v>
      </c>
      <c r="J553" s="19">
        <f>IFERROR(__xludf.DUMMYFUNCTION("""COMPUTED_VALUE"""),0.04746)</f>
        <v>0.04746</v>
      </c>
      <c r="K553" s="19" t="str">
        <f>IFERROR(__xludf.DUMMYFUNCTION("""COMPUTED_VALUE"""),"-")</f>
        <v>-</v>
      </c>
      <c r="L553" s="19">
        <f>IFERROR(__xludf.DUMMYFUNCTION("""COMPUTED_VALUE"""),0.04766)</f>
        <v>0.04766</v>
      </c>
      <c r="O553" s="24">
        <f t="shared" si="4"/>
        <v>0</v>
      </c>
      <c r="P553" s="24"/>
      <c r="Q553" s="24">
        <f t="shared" si="6"/>
        <v>0</v>
      </c>
      <c r="R553" s="24">
        <f t="shared" si="7"/>
        <v>0</v>
      </c>
      <c r="S553" s="24"/>
      <c r="T553" s="24">
        <f t="shared" si="9"/>
        <v>0</v>
      </c>
    </row>
    <row r="554">
      <c r="A554" s="12" t="s">
        <v>643</v>
      </c>
      <c r="F554" s="19">
        <f>IFERROR(__xludf.DUMMYFUNCTION("SPLIT(A550, "" |"")"),548.0)</f>
        <v>548</v>
      </c>
      <c r="G554" s="19">
        <f>IFERROR(__xludf.DUMMYFUNCTION("""COMPUTED_VALUE"""),0.00241)</f>
        <v>0.00241</v>
      </c>
      <c r="H554" s="19" t="str">
        <f>IFERROR(__xludf.DUMMYFUNCTION("""COMPUTED_VALUE"""),"-")</f>
        <v>-</v>
      </c>
      <c r="I554" s="19">
        <f>IFERROR(__xludf.DUMMYFUNCTION("""COMPUTED_VALUE"""),0.0022)</f>
        <v>0.0022</v>
      </c>
      <c r="J554" s="19">
        <f>IFERROR(__xludf.DUMMYFUNCTION("""COMPUTED_VALUE"""),0.04744)</f>
        <v>0.04744</v>
      </c>
      <c r="K554" s="19" t="str">
        <f>IFERROR(__xludf.DUMMYFUNCTION("""COMPUTED_VALUE"""),"-")</f>
        <v>-</v>
      </c>
      <c r="L554" s="19">
        <f>IFERROR(__xludf.DUMMYFUNCTION("""COMPUTED_VALUE"""),0.04465)</f>
        <v>0.04465</v>
      </c>
      <c r="O554" s="24">
        <f t="shared" si="4"/>
        <v>0</v>
      </c>
      <c r="P554" s="24"/>
      <c r="Q554" s="24">
        <f t="shared" si="6"/>
        <v>0</v>
      </c>
      <c r="R554" s="24">
        <f t="shared" si="7"/>
        <v>0</v>
      </c>
      <c r="S554" s="24"/>
      <c r="T554" s="24">
        <f t="shared" si="9"/>
        <v>0</v>
      </c>
    </row>
    <row r="555">
      <c r="A555" s="12" t="s">
        <v>644</v>
      </c>
      <c r="F555" s="19">
        <f>IFERROR(__xludf.DUMMYFUNCTION("SPLIT(A551, "" |"")"),549.0)</f>
        <v>549</v>
      </c>
      <c r="G555" s="19">
        <f>IFERROR(__xludf.DUMMYFUNCTION("""COMPUTED_VALUE"""),0.00226)</f>
        <v>0.00226</v>
      </c>
      <c r="H555" s="19" t="str">
        <f>IFERROR(__xludf.DUMMYFUNCTION("""COMPUTED_VALUE"""),"-")</f>
        <v>-</v>
      </c>
      <c r="I555" s="19">
        <f>IFERROR(__xludf.DUMMYFUNCTION("""COMPUTED_VALUE"""),0.0022)</f>
        <v>0.0022</v>
      </c>
      <c r="J555" s="19">
        <f>IFERROR(__xludf.DUMMYFUNCTION("""COMPUTED_VALUE"""),0.04741)</f>
        <v>0.04741</v>
      </c>
      <c r="K555" s="19" t="str">
        <f>IFERROR(__xludf.DUMMYFUNCTION("""COMPUTED_VALUE"""),"-")</f>
        <v>-</v>
      </c>
      <c r="L555" s="19">
        <f>IFERROR(__xludf.DUMMYFUNCTION("""COMPUTED_VALUE"""),0.04745)</f>
        <v>0.04745</v>
      </c>
      <c r="O555" s="24">
        <f t="shared" si="4"/>
        <v>0</v>
      </c>
      <c r="P555" s="24"/>
      <c r="Q555" s="24">
        <f t="shared" si="6"/>
        <v>0</v>
      </c>
      <c r="R555" s="24">
        <f t="shared" si="7"/>
        <v>0</v>
      </c>
      <c r="S555" s="24"/>
      <c r="T555" s="24">
        <f t="shared" si="9"/>
        <v>0</v>
      </c>
    </row>
    <row r="556">
      <c r="A556" s="12" t="s">
        <v>645</v>
      </c>
      <c r="F556" s="19">
        <f>IFERROR(__xludf.DUMMYFUNCTION("SPLIT(A552, "" |"")"),550.0)</f>
        <v>550</v>
      </c>
      <c r="G556" s="19">
        <f>IFERROR(__xludf.DUMMYFUNCTION("""COMPUTED_VALUE"""),0.00243)</f>
        <v>0.00243</v>
      </c>
      <c r="H556" s="19" t="str">
        <f>IFERROR(__xludf.DUMMYFUNCTION("""COMPUTED_VALUE"""),"-")</f>
        <v>-</v>
      </c>
      <c r="I556" s="19">
        <f>IFERROR(__xludf.DUMMYFUNCTION("""COMPUTED_VALUE"""),0.00224)</f>
        <v>0.00224</v>
      </c>
      <c r="J556" s="19">
        <f>IFERROR(__xludf.DUMMYFUNCTION("""COMPUTED_VALUE"""),0.04539)</f>
        <v>0.04539</v>
      </c>
      <c r="K556" s="19" t="str">
        <f>IFERROR(__xludf.DUMMYFUNCTION("""COMPUTED_VALUE"""),"-")</f>
        <v>-</v>
      </c>
      <c r="L556" s="19">
        <f>IFERROR(__xludf.DUMMYFUNCTION("""COMPUTED_VALUE"""),0.04765)</f>
        <v>0.04765</v>
      </c>
      <c r="O556" s="24">
        <f t="shared" si="4"/>
        <v>0</v>
      </c>
      <c r="P556" s="24"/>
      <c r="Q556" s="24">
        <f t="shared" si="6"/>
        <v>0</v>
      </c>
      <c r="R556" s="24">
        <f t="shared" si="7"/>
        <v>0</v>
      </c>
      <c r="S556" s="24"/>
      <c r="T556" s="24">
        <f t="shared" si="9"/>
        <v>0</v>
      </c>
    </row>
    <row r="557">
      <c r="A557" s="12" t="s">
        <v>646</v>
      </c>
      <c r="F557" s="19">
        <f>IFERROR(__xludf.DUMMYFUNCTION("SPLIT(A553, "" |"")"),551.0)</f>
        <v>551</v>
      </c>
      <c r="G557" s="19">
        <f>IFERROR(__xludf.DUMMYFUNCTION("""COMPUTED_VALUE"""),0.00243)</f>
        <v>0.00243</v>
      </c>
      <c r="H557" s="19" t="str">
        <f>IFERROR(__xludf.DUMMYFUNCTION("""COMPUTED_VALUE"""),"-")</f>
        <v>-</v>
      </c>
      <c r="I557" s="19">
        <f>IFERROR(__xludf.DUMMYFUNCTION("""COMPUTED_VALUE"""),0.00221)</f>
        <v>0.00221</v>
      </c>
      <c r="J557" s="19">
        <f>IFERROR(__xludf.DUMMYFUNCTION("""COMPUTED_VALUE"""),0.04747)</f>
        <v>0.04747</v>
      </c>
      <c r="K557" s="19" t="str">
        <f>IFERROR(__xludf.DUMMYFUNCTION("""COMPUTED_VALUE"""),"-")</f>
        <v>-</v>
      </c>
      <c r="L557" s="19">
        <f>IFERROR(__xludf.DUMMYFUNCTION("""COMPUTED_VALUE"""),0.0476)</f>
        <v>0.0476</v>
      </c>
      <c r="O557" s="24">
        <f t="shared" si="4"/>
        <v>0</v>
      </c>
      <c r="P557" s="24"/>
      <c r="Q557" s="24">
        <f t="shared" si="6"/>
        <v>0</v>
      </c>
      <c r="R557" s="24">
        <f t="shared" si="7"/>
        <v>0</v>
      </c>
      <c r="S557" s="24"/>
      <c r="T557" s="24">
        <f t="shared" si="9"/>
        <v>0</v>
      </c>
    </row>
    <row r="558">
      <c r="A558" s="12" t="s">
        <v>647</v>
      </c>
      <c r="F558" s="19">
        <f>IFERROR(__xludf.DUMMYFUNCTION("SPLIT(A554, "" |"")"),552.0)</f>
        <v>552</v>
      </c>
      <c r="G558" s="19">
        <f>IFERROR(__xludf.DUMMYFUNCTION("""COMPUTED_VALUE"""),0.00234)</f>
        <v>0.00234</v>
      </c>
      <c r="H558" s="19" t="str">
        <f>IFERROR(__xludf.DUMMYFUNCTION("""COMPUTED_VALUE"""),"-")</f>
        <v>-</v>
      </c>
      <c r="I558" s="19">
        <f>IFERROR(__xludf.DUMMYFUNCTION("""COMPUTED_VALUE"""),0.00215)</f>
        <v>0.00215</v>
      </c>
      <c r="J558" s="19">
        <f>IFERROR(__xludf.DUMMYFUNCTION("""COMPUTED_VALUE"""),0.04085)</f>
        <v>0.04085</v>
      </c>
      <c r="K558" s="19" t="str">
        <f>IFERROR(__xludf.DUMMYFUNCTION("""COMPUTED_VALUE"""),"-")</f>
        <v>-</v>
      </c>
      <c r="L558" s="19">
        <f>IFERROR(__xludf.DUMMYFUNCTION("""COMPUTED_VALUE"""),0.04762)</f>
        <v>0.04762</v>
      </c>
      <c r="O558" s="24">
        <f t="shared" si="4"/>
        <v>0</v>
      </c>
      <c r="P558" s="24"/>
      <c r="Q558" s="24">
        <f t="shared" si="6"/>
        <v>0</v>
      </c>
      <c r="R558" s="24">
        <f t="shared" si="7"/>
        <v>1</v>
      </c>
      <c r="S558" s="24"/>
      <c r="T558" s="24">
        <f t="shared" si="9"/>
        <v>0</v>
      </c>
    </row>
    <row r="559">
      <c r="A559" s="12" t="s">
        <v>648</v>
      </c>
      <c r="F559" s="19">
        <f>IFERROR(__xludf.DUMMYFUNCTION("SPLIT(A555, "" |"")"),553.0)</f>
        <v>553</v>
      </c>
      <c r="G559" s="19">
        <f>IFERROR(__xludf.DUMMYFUNCTION("""COMPUTED_VALUE"""),0.00241)</f>
        <v>0.00241</v>
      </c>
      <c r="H559" s="19" t="str">
        <f>IFERROR(__xludf.DUMMYFUNCTION("""COMPUTED_VALUE"""),"-")</f>
        <v>-</v>
      </c>
      <c r="I559" s="19">
        <f>IFERROR(__xludf.DUMMYFUNCTION("""COMPUTED_VALUE"""),0.00219)</f>
        <v>0.00219</v>
      </c>
      <c r="J559" s="19">
        <f>IFERROR(__xludf.DUMMYFUNCTION("""COMPUTED_VALUE"""),0.03975)</f>
        <v>0.03975</v>
      </c>
      <c r="K559" s="19" t="str">
        <f>IFERROR(__xludf.DUMMYFUNCTION("""COMPUTED_VALUE"""),"-")</f>
        <v>-</v>
      </c>
      <c r="L559" s="19">
        <f>IFERROR(__xludf.DUMMYFUNCTION("""COMPUTED_VALUE"""),0.04748)</f>
        <v>0.04748</v>
      </c>
      <c r="O559" s="24">
        <f t="shared" si="4"/>
        <v>0</v>
      </c>
      <c r="P559" s="24"/>
      <c r="Q559" s="24">
        <f t="shared" si="6"/>
        <v>0</v>
      </c>
      <c r="R559" s="24">
        <f t="shared" si="7"/>
        <v>1</v>
      </c>
      <c r="S559" s="24"/>
      <c r="T559" s="24">
        <f t="shared" si="9"/>
        <v>0</v>
      </c>
    </row>
    <row r="560">
      <c r="A560" s="12" t="s">
        <v>649</v>
      </c>
      <c r="F560" s="19">
        <f>IFERROR(__xludf.DUMMYFUNCTION("SPLIT(A556, "" |"")"),554.0)</f>
        <v>554</v>
      </c>
      <c r="G560" s="19">
        <f>IFERROR(__xludf.DUMMYFUNCTION("""COMPUTED_VALUE"""),0.00239)</f>
        <v>0.00239</v>
      </c>
      <c r="H560" s="19" t="str">
        <f>IFERROR(__xludf.DUMMYFUNCTION("""COMPUTED_VALUE"""),"-")</f>
        <v>-</v>
      </c>
      <c r="I560" s="19">
        <f>IFERROR(__xludf.DUMMYFUNCTION("""COMPUTED_VALUE"""),0.00219)</f>
        <v>0.00219</v>
      </c>
      <c r="J560" s="19">
        <f>IFERROR(__xludf.DUMMYFUNCTION("""COMPUTED_VALUE"""),0.04742)</f>
        <v>0.04742</v>
      </c>
      <c r="K560" s="19" t="str">
        <f>IFERROR(__xludf.DUMMYFUNCTION("""COMPUTED_VALUE"""),"-")</f>
        <v>-</v>
      </c>
      <c r="L560" s="19">
        <f>IFERROR(__xludf.DUMMYFUNCTION("""COMPUTED_VALUE"""),0.0475)</f>
        <v>0.0475</v>
      </c>
      <c r="O560" s="24">
        <f t="shared" si="4"/>
        <v>0</v>
      </c>
      <c r="P560" s="24"/>
      <c r="Q560" s="24">
        <f t="shared" si="6"/>
        <v>0</v>
      </c>
      <c r="R560" s="24">
        <f t="shared" si="7"/>
        <v>0</v>
      </c>
      <c r="S560" s="24"/>
      <c r="T560" s="24">
        <f t="shared" si="9"/>
        <v>0</v>
      </c>
    </row>
    <row r="561">
      <c r="A561" s="12" t="s">
        <v>650</v>
      </c>
      <c r="F561" s="19">
        <f>IFERROR(__xludf.DUMMYFUNCTION("SPLIT(A557, "" |"")"),555.0)</f>
        <v>555</v>
      </c>
      <c r="G561" s="19">
        <f>IFERROR(__xludf.DUMMYFUNCTION("""COMPUTED_VALUE"""),0.00243)</f>
        <v>0.00243</v>
      </c>
      <c r="H561" s="19" t="str">
        <f>IFERROR(__xludf.DUMMYFUNCTION("""COMPUTED_VALUE"""),"-")</f>
        <v>-</v>
      </c>
      <c r="I561" s="19">
        <f>IFERROR(__xludf.DUMMYFUNCTION("""COMPUTED_VALUE"""),0.00215)</f>
        <v>0.00215</v>
      </c>
      <c r="J561" s="19">
        <f>IFERROR(__xludf.DUMMYFUNCTION("""COMPUTED_VALUE"""),0.04747)</f>
        <v>0.04747</v>
      </c>
      <c r="K561" s="19" t="str">
        <f>IFERROR(__xludf.DUMMYFUNCTION("""COMPUTED_VALUE"""),"-")</f>
        <v>-</v>
      </c>
      <c r="L561" s="19">
        <f>IFERROR(__xludf.DUMMYFUNCTION("""COMPUTED_VALUE"""),0.04381)</f>
        <v>0.04381</v>
      </c>
      <c r="O561" s="24">
        <f t="shared" si="4"/>
        <v>0</v>
      </c>
      <c r="P561" s="24"/>
      <c r="Q561" s="24">
        <f t="shared" si="6"/>
        <v>0</v>
      </c>
      <c r="R561" s="24">
        <f t="shared" si="7"/>
        <v>0</v>
      </c>
      <c r="S561" s="24"/>
      <c r="T561" s="24">
        <f t="shared" si="9"/>
        <v>0</v>
      </c>
    </row>
    <row r="562">
      <c r="A562" s="12" t="s">
        <v>651</v>
      </c>
      <c r="F562" s="19">
        <f>IFERROR(__xludf.DUMMYFUNCTION("SPLIT(A558, "" |"")"),556.0)</f>
        <v>556</v>
      </c>
      <c r="G562" s="19">
        <f>IFERROR(__xludf.DUMMYFUNCTION("""COMPUTED_VALUE"""),0.00219)</f>
        <v>0.00219</v>
      </c>
      <c r="H562" s="19" t="str">
        <f>IFERROR(__xludf.DUMMYFUNCTION("""COMPUTED_VALUE"""),"-")</f>
        <v>-</v>
      </c>
      <c r="I562" s="19">
        <f>IFERROR(__xludf.DUMMYFUNCTION("""COMPUTED_VALUE"""),0.00207)</f>
        <v>0.00207</v>
      </c>
      <c r="J562" s="19">
        <f>IFERROR(__xludf.DUMMYFUNCTION("""COMPUTED_VALUE"""),0.0473)</f>
        <v>0.0473</v>
      </c>
      <c r="K562" s="19" t="str">
        <f>IFERROR(__xludf.DUMMYFUNCTION("""COMPUTED_VALUE"""),"-")</f>
        <v>-</v>
      </c>
      <c r="L562" s="19">
        <f>IFERROR(__xludf.DUMMYFUNCTION("""COMPUTED_VALUE"""),0.04756)</f>
        <v>0.04756</v>
      </c>
      <c r="O562" s="24">
        <f t="shared" si="4"/>
        <v>0</v>
      </c>
      <c r="P562" s="24"/>
      <c r="Q562" s="24">
        <f t="shared" si="6"/>
        <v>0</v>
      </c>
      <c r="R562" s="24">
        <f t="shared" si="7"/>
        <v>0</v>
      </c>
      <c r="S562" s="24"/>
      <c r="T562" s="24">
        <f t="shared" si="9"/>
        <v>0</v>
      </c>
    </row>
    <row r="563">
      <c r="A563" s="12" t="s">
        <v>652</v>
      </c>
      <c r="F563" s="19">
        <f>IFERROR(__xludf.DUMMYFUNCTION("SPLIT(A559, "" |"")"),557.0)</f>
        <v>557</v>
      </c>
      <c r="G563" s="19">
        <f>IFERROR(__xludf.DUMMYFUNCTION("""COMPUTED_VALUE"""),0.00242)</f>
        <v>0.00242</v>
      </c>
      <c r="H563" s="19" t="str">
        <f>IFERROR(__xludf.DUMMYFUNCTION("""COMPUTED_VALUE"""),"-")</f>
        <v>-</v>
      </c>
      <c r="I563" s="19">
        <f>IFERROR(__xludf.DUMMYFUNCTION("""COMPUTED_VALUE"""),0.00221)</f>
        <v>0.00221</v>
      </c>
      <c r="J563" s="19">
        <f>IFERROR(__xludf.DUMMYFUNCTION("""COMPUTED_VALUE"""),0.04744)</f>
        <v>0.04744</v>
      </c>
      <c r="K563" s="19" t="str">
        <f>IFERROR(__xludf.DUMMYFUNCTION("""COMPUTED_VALUE"""),"-")</f>
        <v>-</v>
      </c>
      <c r="L563" s="19">
        <f>IFERROR(__xludf.DUMMYFUNCTION("""COMPUTED_VALUE"""),0.0476)</f>
        <v>0.0476</v>
      </c>
      <c r="O563" s="24">
        <f t="shared" si="4"/>
        <v>0</v>
      </c>
      <c r="P563" s="24"/>
      <c r="Q563" s="24">
        <f t="shared" si="6"/>
        <v>0</v>
      </c>
      <c r="R563" s="24">
        <f t="shared" si="7"/>
        <v>0</v>
      </c>
      <c r="S563" s="24"/>
      <c r="T563" s="24">
        <f t="shared" si="9"/>
        <v>0</v>
      </c>
    </row>
    <row r="564">
      <c r="A564" s="12" t="s">
        <v>653</v>
      </c>
      <c r="F564" s="19">
        <f>IFERROR(__xludf.DUMMYFUNCTION("SPLIT(A560, "" |"")"),558.0)</f>
        <v>558</v>
      </c>
      <c r="G564" s="19">
        <f>IFERROR(__xludf.DUMMYFUNCTION("""COMPUTED_VALUE"""),0.00234)</f>
        <v>0.00234</v>
      </c>
      <c r="H564" s="19" t="str">
        <f>IFERROR(__xludf.DUMMYFUNCTION("""COMPUTED_VALUE"""),"-")</f>
        <v>-</v>
      </c>
      <c r="I564" s="19">
        <f>IFERROR(__xludf.DUMMYFUNCTION("""COMPUTED_VALUE"""),0.0022)</f>
        <v>0.0022</v>
      </c>
      <c r="J564" s="19">
        <f>IFERROR(__xludf.DUMMYFUNCTION("""COMPUTED_VALUE"""),0.04745)</f>
        <v>0.04745</v>
      </c>
      <c r="K564" s="19" t="str">
        <f>IFERROR(__xludf.DUMMYFUNCTION("""COMPUTED_VALUE"""),"-")</f>
        <v>-</v>
      </c>
      <c r="L564" s="19">
        <f>IFERROR(__xludf.DUMMYFUNCTION("""COMPUTED_VALUE"""),0.04755)</f>
        <v>0.04755</v>
      </c>
      <c r="O564" s="24">
        <f t="shared" si="4"/>
        <v>0</v>
      </c>
      <c r="P564" s="24"/>
      <c r="Q564" s="24">
        <f t="shared" si="6"/>
        <v>0</v>
      </c>
      <c r="R564" s="24">
        <f t="shared" si="7"/>
        <v>0</v>
      </c>
      <c r="S564" s="24"/>
      <c r="T564" s="24">
        <f t="shared" si="9"/>
        <v>0</v>
      </c>
    </row>
    <row r="565">
      <c r="A565" s="12" t="s">
        <v>654</v>
      </c>
      <c r="F565" s="19">
        <f>IFERROR(__xludf.DUMMYFUNCTION("SPLIT(A561, "" |"")"),559.0)</f>
        <v>559</v>
      </c>
      <c r="G565" s="19">
        <f>IFERROR(__xludf.DUMMYFUNCTION("""COMPUTED_VALUE"""),0.0022)</f>
        <v>0.0022</v>
      </c>
      <c r="H565" s="19" t="str">
        <f>IFERROR(__xludf.DUMMYFUNCTION("""COMPUTED_VALUE"""),"-")</f>
        <v>-</v>
      </c>
      <c r="I565" s="19">
        <f>IFERROR(__xludf.DUMMYFUNCTION("""COMPUTED_VALUE"""),0.00208)</f>
        <v>0.00208</v>
      </c>
      <c r="J565" s="19">
        <f>IFERROR(__xludf.DUMMYFUNCTION("""COMPUTED_VALUE"""),0.04747)</f>
        <v>0.04747</v>
      </c>
      <c r="K565" s="19" t="str">
        <f>IFERROR(__xludf.DUMMYFUNCTION("""COMPUTED_VALUE"""),"-")</f>
        <v>-</v>
      </c>
      <c r="L565" s="19">
        <f>IFERROR(__xludf.DUMMYFUNCTION("""COMPUTED_VALUE"""),0.04761)</f>
        <v>0.04761</v>
      </c>
      <c r="O565" s="24">
        <f t="shared" si="4"/>
        <v>0</v>
      </c>
      <c r="P565" s="24"/>
      <c r="Q565" s="24">
        <f t="shared" si="6"/>
        <v>0</v>
      </c>
      <c r="R565" s="24">
        <f t="shared" si="7"/>
        <v>0</v>
      </c>
      <c r="S565" s="24"/>
      <c r="T565" s="24">
        <f t="shared" si="9"/>
        <v>0</v>
      </c>
    </row>
    <row r="566">
      <c r="A566" s="12" t="s">
        <v>655</v>
      </c>
      <c r="F566" s="19">
        <f>IFERROR(__xludf.DUMMYFUNCTION("SPLIT(A562, "" |"")"),560.0)</f>
        <v>560</v>
      </c>
      <c r="G566" s="19">
        <f>IFERROR(__xludf.DUMMYFUNCTION("""COMPUTED_VALUE"""),0.00234)</f>
        <v>0.00234</v>
      </c>
      <c r="H566" s="19" t="str">
        <f>IFERROR(__xludf.DUMMYFUNCTION("""COMPUTED_VALUE"""),"-")</f>
        <v>-</v>
      </c>
      <c r="I566" s="19">
        <f>IFERROR(__xludf.DUMMYFUNCTION("""COMPUTED_VALUE"""),0.00219)</f>
        <v>0.00219</v>
      </c>
      <c r="J566" s="19">
        <f>IFERROR(__xludf.DUMMYFUNCTION("""COMPUTED_VALUE"""),0.04741)</f>
        <v>0.04741</v>
      </c>
      <c r="K566" s="19" t="str">
        <f>IFERROR(__xludf.DUMMYFUNCTION("""COMPUTED_VALUE"""),"-")</f>
        <v>-</v>
      </c>
      <c r="L566" s="19">
        <f>IFERROR(__xludf.DUMMYFUNCTION("""COMPUTED_VALUE"""),0.0463)</f>
        <v>0.0463</v>
      </c>
      <c r="O566" s="24">
        <f t="shared" si="4"/>
        <v>0</v>
      </c>
      <c r="P566" s="24"/>
      <c r="Q566" s="24">
        <f t="shared" si="6"/>
        <v>0</v>
      </c>
      <c r="R566" s="24">
        <f t="shared" si="7"/>
        <v>0</v>
      </c>
      <c r="S566" s="24"/>
      <c r="T566" s="24">
        <f t="shared" si="9"/>
        <v>0</v>
      </c>
    </row>
    <row r="567">
      <c r="A567" s="12" t="s">
        <v>656</v>
      </c>
      <c r="F567" s="19">
        <f>IFERROR(__xludf.DUMMYFUNCTION("SPLIT(A563, "" |"")"),561.0)</f>
        <v>561</v>
      </c>
      <c r="G567" s="19">
        <f>IFERROR(__xludf.DUMMYFUNCTION("""COMPUTED_VALUE"""),0.00245)</f>
        <v>0.00245</v>
      </c>
      <c r="H567" s="19" t="str">
        <f>IFERROR(__xludf.DUMMYFUNCTION("""COMPUTED_VALUE"""),"-")</f>
        <v>-</v>
      </c>
      <c r="I567" s="19">
        <f>IFERROR(__xludf.DUMMYFUNCTION("""COMPUTED_VALUE"""),0.00218)</f>
        <v>0.00218</v>
      </c>
      <c r="J567" s="19">
        <f>IFERROR(__xludf.DUMMYFUNCTION("""COMPUTED_VALUE"""),0.04739)</f>
        <v>0.04739</v>
      </c>
      <c r="K567" s="19" t="str">
        <f>IFERROR(__xludf.DUMMYFUNCTION("""COMPUTED_VALUE"""),"-")</f>
        <v>-</v>
      </c>
      <c r="L567" s="19">
        <f>IFERROR(__xludf.DUMMYFUNCTION("""COMPUTED_VALUE"""),0.04764)</f>
        <v>0.04764</v>
      </c>
      <c r="O567" s="24">
        <f t="shared" si="4"/>
        <v>0</v>
      </c>
      <c r="P567" s="24"/>
      <c r="Q567" s="24">
        <f t="shared" si="6"/>
        <v>0</v>
      </c>
      <c r="R567" s="24">
        <f t="shared" si="7"/>
        <v>0</v>
      </c>
      <c r="S567" s="24"/>
      <c r="T567" s="24">
        <f t="shared" si="9"/>
        <v>0</v>
      </c>
    </row>
    <row r="568">
      <c r="A568" s="12" t="s">
        <v>657</v>
      </c>
      <c r="F568" s="19">
        <f>IFERROR(__xludf.DUMMYFUNCTION("SPLIT(A564, "" |"")"),562.0)</f>
        <v>562</v>
      </c>
      <c r="G568" s="19">
        <f>IFERROR(__xludf.DUMMYFUNCTION("""COMPUTED_VALUE"""),0.00234)</f>
        <v>0.00234</v>
      </c>
      <c r="H568" s="19" t="str">
        <f>IFERROR(__xludf.DUMMYFUNCTION("""COMPUTED_VALUE"""),"-")</f>
        <v>-</v>
      </c>
      <c r="I568" s="19">
        <f>IFERROR(__xludf.DUMMYFUNCTION("""COMPUTED_VALUE"""),0.00218)</f>
        <v>0.00218</v>
      </c>
      <c r="J568" s="19">
        <f>IFERROR(__xludf.DUMMYFUNCTION("""COMPUTED_VALUE"""),0.04494)</f>
        <v>0.04494</v>
      </c>
      <c r="K568" s="19" t="str">
        <f>IFERROR(__xludf.DUMMYFUNCTION("""COMPUTED_VALUE"""),"-")</f>
        <v>-</v>
      </c>
      <c r="L568" s="19">
        <f>IFERROR(__xludf.DUMMYFUNCTION("""COMPUTED_VALUE"""),0.04756)</f>
        <v>0.04756</v>
      </c>
      <c r="O568" s="24">
        <f t="shared" si="4"/>
        <v>0</v>
      </c>
      <c r="P568" s="24"/>
      <c r="Q568" s="24">
        <f t="shared" si="6"/>
        <v>0</v>
      </c>
      <c r="R568" s="24">
        <f t="shared" si="7"/>
        <v>0</v>
      </c>
      <c r="S568" s="24"/>
      <c r="T568" s="24">
        <f t="shared" si="9"/>
        <v>0</v>
      </c>
    </row>
    <row r="569">
      <c r="A569" s="12" t="s">
        <v>658</v>
      </c>
      <c r="F569" s="19">
        <f>IFERROR(__xludf.DUMMYFUNCTION("SPLIT(A565, "" |"")"),563.0)</f>
        <v>563</v>
      </c>
      <c r="G569" s="19">
        <f>IFERROR(__xludf.DUMMYFUNCTION("""COMPUTED_VALUE"""),0.00215)</f>
        <v>0.00215</v>
      </c>
      <c r="H569" s="19" t="str">
        <f>IFERROR(__xludf.DUMMYFUNCTION("""COMPUTED_VALUE"""),"-")</f>
        <v>-</v>
      </c>
      <c r="I569" s="19">
        <f>IFERROR(__xludf.DUMMYFUNCTION("""COMPUTED_VALUE"""),0.0024)</f>
        <v>0.0024</v>
      </c>
      <c r="J569" s="19">
        <f>IFERROR(__xludf.DUMMYFUNCTION("""COMPUTED_VALUE"""),0.0413)</f>
        <v>0.0413</v>
      </c>
      <c r="K569" s="19" t="str">
        <f>IFERROR(__xludf.DUMMYFUNCTION("""COMPUTED_VALUE"""),"-")</f>
        <v>-</v>
      </c>
      <c r="L569" s="19">
        <f>IFERROR(__xludf.DUMMYFUNCTION("""COMPUTED_VALUE"""),0.04753)</f>
        <v>0.04753</v>
      </c>
      <c r="O569" s="24">
        <f t="shared" si="4"/>
        <v>0</v>
      </c>
      <c r="P569" s="24"/>
      <c r="Q569" s="24">
        <f t="shared" si="6"/>
        <v>0</v>
      </c>
      <c r="R569" s="24">
        <f t="shared" si="7"/>
        <v>1</v>
      </c>
      <c r="S569" s="24"/>
      <c r="T569" s="24">
        <f t="shared" si="9"/>
        <v>0</v>
      </c>
    </row>
    <row r="570">
      <c r="A570" s="12" t="s">
        <v>659</v>
      </c>
      <c r="F570" s="19">
        <f>IFERROR(__xludf.DUMMYFUNCTION("SPLIT(A566, "" |"")"),564.0)</f>
        <v>564</v>
      </c>
      <c r="G570" s="19">
        <f>IFERROR(__xludf.DUMMYFUNCTION("""COMPUTED_VALUE"""),0.00229)</f>
        <v>0.00229</v>
      </c>
      <c r="H570" s="19" t="str">
        <f>IFERROR(__xludf.DUMMYFUNCTION("""COMPUTED_VALUE"""),"-")</f>
        <v>-</v>
      </c>
      <c r="I570" s="19">
        <f>IFERROR(__xludf.DUMMYFUNCTION("""COMPUTED_VALUE"""),0.00221)</f>
        <v>0.00221</v>
      </c>
      <c r="J570" s="19">
        <f>IFERROR(__xludf.DUMMYFUNCTION("""COMPUTED_VALUE"""),0.04741)</f>
        <v>0.04741</v>
      </c>
      <c r="K570" s="19" t="str">
        <f>IFERROR(__xludf.DUMMYFUNCTION("""COMPUTED_VALUE"""),"-")</f>
        <v>-</v>
      </c>
      <c r="L570" s="19">
        <f>IFERROR(__xludf.DUMMYFUNCTION("""COMPUTED_VALUE"""),0.04557)</f>
        <v>0.04557</v>
      </c>
      <c r="O570" s="24">
        <f t="shared" si="4"/>
        <v>0</v>
      </c>
      <c r="P570" s="24"/>
      <c r="Q570" s="24">
        <f t="shared" si="6"/>
        <v>0</v>
      </c>
      <c r="R570" s="24">
        <f t="shared" si="7"/>
        <v>0</v>
      </c>
      <c r="S570" s="24"/>
      <c r="T570" s="24">
        <f t="shared" si="9"/>
        <v>0</v>
      </c>
    </row>
    <row r="571">
      <c r="A571" s="12" t="s">
        <v>660</v>
      </c>
      <c r="F571" s="19">
        <f>IFERROR(__xludf.DUMMYFUNCTION("SPLIT(A567, "" |"")"),565.0)</f>
        <v>565</v>
      </c>
      <c r="G571" s="19">
        <f>IFERROR(__xludf.DUMMYFUNCTION("""COMPUTED_VALUE"""),0.00234)</f>
        <v>0.00234</v>
      </c>
      <c r="H571" s="19" t="str">
        <f>IFERROR(__xludf.DUMMYFUNCTION("""COMPUTED_VALUE"""),"-")</f>
        <v>-</v>
      </c>
      <c r="I571" s="19">
        <f>IFERROR(__xludf.DUMMYFUNCTION("""COMPUTED_VALUE"""),0.00219)</f>
        <v>0.00219</v>
      </c>
      <c r="J571" s="19">
        <f>IFERROR(__xludf.DUMMYFUNCTION("""COMPUTED_VALUE"""),0.0475)</f>
        <v>0.0475</v>
      </c>
      <c r="K571" s="19" t="str">
        <f>IFERROR(__xludf.DUMMYFUNCTION("""COMPUTED_VALUE"""),"-")</f>
        <v>-</v>
      </c>
      <c r="L571" s="19">
        <f>IFERROR(__xludf.DUMMYFUNCTION("""COMPUTED_VALUE"""),0.04382)</f>
        <v>0.04382</v>
      </c>
      <c r="O571" s="24">
        <f t="shared" si="4"/>
        <v>0</v>
      </c>
      <c r="P571" s="24"/>
      <c r="Q571" s="24">
        <f t="shared" si="6"/>
        <v>0</v>
      </c>
      <c r="R571" s="24">
        <f t="shared" si="7"/>
        <v>0</v>
      </c>
      <c r="S571" s="24"/>
      <c r="T571" s="24">
        <f t="shared" si="9"/>
        <v>0</v>
      </c>
    </row>
    <row r="572">
      <c r="A572" s="12" t="s">
        <v>661</v>
      </c>
      <c r="F572" s="19">
        <f>IFERROR(__xludf.DUMMYFUNCTION("SPLIT(A568, "" |"")"),566.0)</f>
        <v>566</v>
      </c>
      <c r="G572" s="19">
        <f>IFERROR(__xludf.DUMMYFUNCTION("""COMPUTED_VALUE"""),0.00244)</f>
        <v>0.00244</v>
      </c>
      <c r="H572" s="19" t="str">
        <f>IFERROR(__xludf.DUMMYFUNCTION("""COMPUTED_VALUE"""),"-")</f>
        <v>-</v>
      </c>
      <c r="I572" s="19">
        <f>IFERROR(__xludf.DUMMYFUNCTION("""COMPUTED_VALUE"""),0.00217)</f>
        <v>0.00217</v>
      </c>
      <c r="J572" s="19">
        <f>IFERROR(__xludf.DUMMYFUNCTION("""COMPUTED_VALUE"""),0.04747)</f>
        <v>0.04747</v>
      </c>
      <c r="K572" s="19" t="str">
        <f>IFERROR(__xludf.DUMMYFUNCTION("""COMPUTED_VALUE"""),"-")</f>
        <v>-</v>
      </c>
      <c r="L572" s="19">
        <f>IFERROR(__xludf.DUMMYFUNCTION("""COMPUTED_VALUE"""),0.0476)</f>
        <v>0.0476</v>
      </c>
      <c r="O572" s="24">
        <f t="shared" si="4"/>
        <v>0</v>
      </c>
      <c r="P572" s="24"/>
      <c r="Q572" s="24">
        <f t="shared" si="6"/>
        <v>0</v>
      </c>
      <c r="R572" s="24">
        <f t="shared" si="7"/>
        <v>0</v>
      </c>
      <c r="S572" s="24"/>
      <c r="T572" s="24">
        <f t="shared" si="9"/>
        <v>0</v>
      </c>
    </row>
    <row r="573">
      <c r="A573" s="12" t="s">
        <v>662</v>
      </c>
      <c r="F573" s="19">
        <f>IFERROR(__xludf.DUMMYFUNCTION("SPLIT(A569, "" |"")"),567.0)</f>
        <v>567</v>
      </c>
      <c r="G573" s="19">
        <f>IFERROR(__xludf.DUMMYFUNCTION("""COMPUTED_VALUE"""),0.00242)</f>
        <v>0.00242</v>
      </c>
      <c r="H573" s="19" t="str">
        <f>IFERROR(__xludf.DUMMYFUNCTION("""COMPUTED_VALUE"""),"-")</f>
        <v>-</v>
      </c>
      <c r="I573" s="19">
        <f>IFERROR(__xludf.DUMMYFUNCTION("""COMPUTED_VALUE"""),0.00221)</f>
        <v>0.00221</v>
      </c>
      <c r="J573" s="19">
        <f>IFERROR(__xludf.DUMMYFUNCTION("""COMPUTED_VALUE"""),0.04744)</f>
        <v>0.04744</v>
      </c>
      <c r="K573" s="19" t="str">
        <f>IFERROR(__xludf.DUMMYFUNCTION("""COMPUTED_VALUE"""),"-")</f>
        <v>-</v>
      </c>
      <c r="L573" s="19">
        <f>IFERROR(__xludf.DUMMYFUNCTION("""COMPUTED_VALUE"""),0.04762)</f>
        <v>0.04762</v>
      </c>
      <c r="O573" s="24">
        <f t="shared" si="4"/>
        <v>0</v>
      </c>
      <c r="P573" s="24"/>
      <c r="Q573" s="24">
        <f t="shared" si="6"/>
        <v>0</v>
      </c>
      <c r="R573" s="24">
        <f t="shared" si="7"/>
        <v>0</v>
      </c>
      <c r="S573" s="24"/>
      <c r="T573" s="24">
        <f t="shared" si="9"/>
        <v>0</v>
      </c>
    </row>
    <row r="574">
      <c r="A574" s="12" t="s">
        <v>663</v>
      </c>
      <c r="F574" s="19">
        <f>IFERROR(__xludf.DUMMYFUNCTION("SPLIT(A570, "" |"")"),568.0)</f>
        <v>568</v>
      </c>
      <c r="G574" s="19">
        <f>IFERROR(__xludf.DUMMYFUNCTION("""COMPUTED_VALUE"""),0.00236)</f>
        <v>0.00236</v>
      </c>
      <c r="H574" s="19" t="str">
        <f>IFERROR(__xludf.DUMMYFUNCTION("""COMPUTED_VALUE"""),"-")</f>
        <v>-</v>
      </c>
      <c r="I574" s="19">
        <f>IFERROR(__xludf.DUMMYFUNCTION("""COMPUTED_VALUE"""),0.00217)</f>
        <v>0.00217</v>
      </c>
      <c r="J574" s="19">
        <f>IFERROR(__xludf.DUMMYFUNCTION("""COMPUTED_VALUE"""),0.04745)</f>
        <v>0.04745</v>
      </c>
      <c r="K574" s="19" t="str">
        <f>IFERROR(__xludf.DUMMYFUNCTION("""COMPUTED_VALUE"""),"-")</f>
        <v>-</v>
      </c>
      <c r="L574" s="19">
        <f>IFERROR(__xludf.DUMMYFUNCTION("""COMPUTED_VALUE"""),0.04758)</f>
        <v>0.04758</v>
      </c>
      <c r="O574" s="24">
        <f t="shared" si="4"/>
        <v>0</v>
      </c>
      <c r="P574" s="24"/>
      <c r="Q574" s="24">
        <f t="shared" si="6"/>
        <v>0</v>
      </c>
      <c r="R574" s="24">
        <f t="shared" si="7"/>
        <v>0</v>
      </c>
      <c r="S574" s="24"/>
      <c r="T574" s="24">
        <f t="shared" si="9"/>
        <v>0</v>
      </c>
    </row>
    <row r="575">
      <c r="A575" s="12" t="s">
        <v>664</v>
      </c>
      <c r="F575" s="19">
        <f>IFERROR(__xludf.DUMMYFUNCTION("SPLIT(A571, "" |"")"),569.0)</f>
        <v>569</v>
      </c>
      <c r="G575" s="19">
        <f>IFERROR(__xludf.DUMMYFUNCTION("""COMPUTED_VALUE"""),0.00234)</f>
        <v>0.00234</v>
      </c>
      <c r="H575" s="19" t="str">
        <f>IFERROR(__xludf.DUMMYFUNCTION("""COMPUTED_VALUE"""),"-")</f>
        <v>-</v>
      </c>
      <c r="I575" s="19">
        <f>IFERROR(__xludf.DUMMYFUNCTION("""COMPUTED_VALUE"""),0.00225)</f>
        <v>0.00225</v>
      </c>
      <c r="J575" s="19">
        <f>IFERROR(__xludf.DUMMYFUNCTION("""COMPUTED_VALUE"""),0.04737)</f>
        <v>0.04737</v>
      </c>
      <c r="K575" s="19" t="str">
        <f>IFERROR(__xludf.DUMMYFUNCTION("""COMPUTED_VALUE"""),"-")</f>
        <v>-</v>
      </c>
      <c r="L575" s="19">
        <f>IFERROR(__xludf.DUMMYFUNCTION("""COMPUTED_VALUE"""),0.04761)</f>
        <v>0.04761</v>
      </c>
      <c r="O575" s="24">
        <f t="shared" si="4"/>
        <v>0</v>
      </c>
      <c r="P575" s="24"/>
      <c r="Q575" s="24">
        <f t="shared" si="6"/>
        <v>0</v>
      </c>
      <c r="R575" s="24">
        <f t="shared" si="7"/>
        <v>0</v>
      </c>
      <c r="S575" s="24"/>
      <c r="T575" s="24">
        <f t="shared" si="9"/>
        <v>0</v>
      </c>
    </row>
    <row r="576">
      <c r="A576" s="12" t="s">
        <v>665</v>
      </c>
      <c r="F576" s="19">
        <f>IFERROR(__xludf.DUMMYFUNCTION("SPLIT(A572, "" |"")"),570.0)</f>
        <v>570</v>
      </c>
      <c r="G576" s="19">
        <f>IFERROR(__xludf.DUMMYFUNCTION("""COMPUTED_VALUE"""),0.00242)</f>
        <v>0.00242</v>
      </c>
      <c r="H576" s="19" t="str">
        <f>IFERROR(__xludf.DUMMYFUNCTION("""COMPUTED_VALUE"""),"-")</f>
        <v>-</v>
      </c>
      <c r="I576" s="19">
        <f>IFERROR(__xludf.DUMMYFUNCTION("""COMPUTED_VALUE"""),0.0022)</f>
        <v>0.0022</v>
      </c>
      <c r="J576" s="19">
        <f>IFERROR(__xludf.DUMMYFUNCTION("""COMPUTED_VALUE"""),0.04746)</f>
        <v>0.04746</v>
      </c>
      <c r="K576" s="19" t="str">
        <f>IFERROR(__xludf.DUMMYFUNCTION("""COMPUTED_VALUE"""),"-")</f>
        <v>-</v>
      </c>
      <c r="L576" s="19">
        <f>IFERROR(__xludf.DUMMYFUNCTION("""COMPUTED_VALUE"""),0.04758)</f>
        <v>0.04758</v>
      </c>
      <c r="O576" s="24">
        <f t="shared" si="4"/>
        <v>0</v>
      </c>
      <c r="P576" s="24"/>
      <c r="Q576" s="24">
        <f t="shared" si="6"/>
        <v>0</v>
      </c>
      <c r="R576" s="24">
        <f t="shared" si="7"/>
        <v>0</v>
      </c>
      <c r="S576" s="24"/>
      <c r="T576" s="24">
        <f t="shared" si="9"/>
        <v>0</v>
      </c>
    </row>
    <row r="577">
      <c r="A577" s="12" t="s">
        <v>666</v>
      </c>
      <c r="F577" s="19">
        <f>IFERROR(__xludf.DUMMYFUNCTION("SPLIT(A573, "" |"")"),571.0)</f>
        <v>571</v>
      </c>
      <c r="G577" s="19">
        <f>IFERROR(__xludf.DUMMYFUNCTION("""COMPUTED_VALUE"""),0.00233)</f>
        <v>0.00233</v>
      </c>
      <c r="H577" s="19" t="str">
        <f>IFERROR(__xludf.DUMMYFUNCTION("""COMPUTED_VALUE"""),"-")</f>
        <v>-</v>
      </c>
      <c r="I577" s="19">
        <f>IFERROR(__xludf.DUMMYFUNCTION("""COMPUTED_VALUE"""),0.00218)</f>
        <v>0.00218</v>
      </c>
      <c r="J577" s="19">
        <f>IFERROR(__xludf.DUMMYFUNCTION("""COMPUTED_VALUE"""),0.04743)</f>
        <v>0.04743</v>
      </c>
      <c r="K577" s="19" t="str">
        <f>IFERROR(__xludf.DUMMYFUNCTION("""COMPUTED_VALUE"""),"-")</f>
        <v>-</v>
      </c>
      <c r="L577" s="19">
        <f>IFERROR(__xludf.DUMMYFUNCTION("""COMPUTED_VALUE"""),0.04761)</f>
        <v>0.04761</v>
      </c>
      <c r="O577" s="24">
        <f t="shared" si="4"/>
        <v>0</v>
      </c>
      <c r="P577" s="24"/>
      <c r="Q577" s="24">
        <f t="shared" si="6"/>
        <v>0</v>
      </c>
      <c r="R577" s="24">
        <f t="shared" si="7"/>
        <v>0</v>
      </c>
      <c r="S577" s="24"/>
      <c r="T577" s="24">
        <f t="shared" si="9"/>
        <v>0</v>
      </c>
    </row>
    <row r="578">
      <c r="A578" s="12" t="s">
        <v>667</v>
      </c>
      <c r="F578" s="19">
        <f>IFERROR(__xludf.DUMMYFUNCTION("SPLIT(A574, "" |"")"),572.0)</f>
        <v>572</v>
      </c>
      <c r="G578" s="19">
        <f>IFERROR(__xludf.DUMMYFUNCTION("""COMPUTED_VALUE"""),0.00229)</f>
        <v>0.00229</v>
      </c>
      <c r="H578" s="19" t="str">
        <f>IFERROR(__xludf.DUMMYFUNCTION("""COMPUTED_VALUE"""),"-")</f>
        <v>-</v>
      </c>
      <c r="I578" s="19">
        <f>IFERROR(__xludf.DUMMYFUNCTION("""COMPUTED_VALUE"""),0.00221)</f>
        <v>0.00221</v>
      </c>
      <c r="J578" s="19">
        <f>IFERROR(__xludf.DUMMYFUNCTION("""COMPUTED_VALUE"""),0.04747)</f>
        <v>0.04747</v>
      </c>
      <c r="K578" s="19" t="str">
        <f>IFERROR(__xludf.DUMMYFUNCTION("""COMPUTED_VALUE"""),"-")</f>
        <v>-</v>
      </c>
      <c r="L578" s="19">
        <f>IFERROR(__xludf.DUMMYFUNCTION("""COMPUTED_VALUE"""),0.04762)</f>
        <v>0.04762</v>
      </c>
      <c r="O578" s="24">
        <f t="shared" si="4"/>
        <v>0</v>
      </c>
      <c r="P578" s="24"/>
      <c r="Q578" s="24">
        <f t="shared" si="6"/>
        <v>0</v>
      </c>
      <c r="R578" s="24">
        <f t="shared" si="7"/>
        <v>0</v>
      </c>
      <c r="S578" s="24"/>
      <c r="T578" s="24">
        <f t="shared" si="9"/>
        <v>0</v>
      </c>
    </row>
    <row r="579">
      <c r="A579" s="12" t="s">
        <v>668</v>
      </c>
      <c r="F579" s="19">
        <f>IFERROR(__xludf.DUMMYFUNCTION("SPLIT(A575, "" |"")"),573.0)</f>
        <v>573</v>
      </c>
      <c r="G579" s="19">
        <f>IFERROR(__xludf.DUMMYFUNCTION("""COMPUTED_VALUE"""),0.00235)</f>
        <v>0.00235</v>
      </c>
      <c r="H579" s="19" t="str">
        <f>IFERROR(__xludf.DUMMYFUNCTION("""COMPUTED_VALUE"""),"-")</f>
        <v>-</v>
      </c>
      <c r="I579" s="19">
        <f>IFERROR(__xludf.DUMMYFUNCTION("""COMPUTED_VALUE"""),0.00224)</f>
        <v>0.00224</v>
      </c>
      <c r="J579" s="19">
        <f>IFERROR(__xludf.DUMMYFUNCTION("""COMPUTED_VALUE"""),0.04756)</f>
        <v>0.04756</v>
      </c>
      <c r="K579" s="19" t="str">
        <f>IFERROR(__xludf.DUMMYFUNCTION("""COMPUTED_VALUE"""),"-")</f>
        <v>-</v>
      </c>
      <c r="L579" s="19">
        <f>IFERROR(__xludf.DUMMYFUNCTION("""COMPUTED_VALUE"""),0.0475)</f>
        <v>0.0475</v>
      </c>
      <c r="O579" s="24">
        <f t="shared" si="4"/>
        <v>0</v>
      </c>
      <c r="P579" s="24"/>
      <c r="Q579" s="24">
        <f t="shared" si="6"/>
        <v>0</v>
      </c>
      <c r="R579" s="24">
        <f t="shared" si="7"/>
        <v>0</v>
      </c>
      <c r="S579" s="24"/>
      <c r="T579" s="24">
        <f t="shared" si="9"/>
        <v>0</v>
      </c>
    </row>
    <row r="580">
      <c r="A580" s="12" t="s">
        <v>669</v>
      </c>
      <c r="F580" s="19">
        <f>IFERROR(__xludf.DUMMYFUNCTION("SPLIT(A576, "" |"")"),574.0)</f>
        <v>574</v>
      </c>
      <c r="G580" s="19">
        <f>IFERROR(__xludf.DUMMYFUNCTION("""COMPUTED_VALUE"""),0.00236)</f>
        <v>0.00236</v>
      </c>
      <c r="H580" s="19" t="str">
        <f>IFERROR(__xludf.DUMMYFUNCTION("""COMPUTED_VALUE"""),"-")</f>
        <v>-</v>
      </c>
      <c r="I580" s="19">
        <f>IFERROR(__xludf.DUMMYFUNCTION("""COMPUTED_VALUE"""),0.00214)</f>
        <v>0.00214</v>
      </c>
      <c r="J580" s="19">
        <f>IFERROR(__xludf.DUMMYFUNCTION("""COMPUTED_VALUE"""),0.04114)</f>
        <v>0.04114</v>
      </c>
      <c r="K580" s="19" t="str">
        <f>IFERROR(__xludf.DUMMYFUNCTION("""COMPUTED_VALUE"""),"-")</f>
        <v>-</v>
      </c>
      <c r="L580" s="19">
        <f>IFERROR(__xludf.DUMMYFUNCTION("""COMPUTED_VALUE"""),0.04122)</f>
        <v>0.04122</v>
      </c>
      <c r="O580" s="24">
        <f t="shared" si="4"/>
        <v>0</v>
      </c>
      <c r="P580" s="24"/>
      <c r="Q580" s="24">
        <f t="shared" si="6"/>
        <v>0</v>
      </c>
      <c r="R580" s="24">
        <f t="shared" si="7"/>
        <v>1</v>
      </c>
      <c r="S580" s="24"/>
      <c r="T580" s="24">
        <f t="shared" si="9"/>
        <v>0</v>
      </c>
    </row>
    <row r="581">
      <c r="A581" s="12" t="s">
        <v>670</v>
      </c>
      <c r="F581" s="19">
        <f>IFERROR(__xludf.DUMMYFUNCTION("SPLIT(A577, "" |"")"),575.0)</f>
        <v>575</v>
      </c>
      <c r="G581" s="19">
        <f>IFERROR(__xludf.DUMMYFUNCTION("""COMPUTED_VALUE"""),0.00237)</f>
        <v>0.00237</v>
      </c>
      <c r="H581" s="19" t="str">
        <f>IFERROR(__xludf.DUMMYFUNCTION("""COMPUTED_VALUE"""),"-")</f>
        <v>-</v>
      </c>
      <c r="I581" s="19">
        <f>IFERROR(__xludf.DUMMYFUNCTION("""COMPUTED_VALUE"""),0.00212)</f>
        <v>0.00212</v>
      </c>
      <c r="J581" s="19">
        <f>IFERROR(__xludf.DUMMYFUNCTION("""COMPUTED_VALUE"""),0.04736)</f>
        <v>0.04736</v>
      </c>
      <c r="K581" s="19" t="str">
        <f>IFERROR(__xludf.DUMMYFUNCTION("""COMPUTED_VALUE"""),"-")</f>
        <v>-</v>
      </c>
      <c r="L581" s="19">
        <f>IFERROR(__xludf.DUMMYFUNCTION("""COMPUTED_VALUE"""),0.04763)</f>
        <v>0.04763</v>
      </c>
      <c r="O581" s="24">
        <f t="shared" si="4"/>
        <v>0</v>
      </c>
      <c r="P581" s="24"/>
      <c r="Q581" s="24">
        <f t="shared" si="6"/>
        <v>0</v>
      </c>
      <c r="R581" s="24">
        <f t="shared" si="7"/>
        <v>0</v>
      </c>
      <c r="S581" s="24"/>
      <c r="T581" s="24">
        <f t="shared" si="9"/>
        <v>0</v>
      </c>
    </row>
    <row r="582">
      <c r="A582" s="12" t="s">
        <v>671</v>
      </c>
      <c r="F582" s="19">
        <f>IFERROR(__xludf.DUMMYFUNCTION("SPLIT(A578, "" |"")"),576.0)</f>
        <v>576</v>
      </c>
      <c r="G582" s="19">
        <f>IFERROR(__xludf.DUMMYFUNCTION("""COMPUTED_VALUE"""),0.00239)</f>
        <v>0.00239</v>
      </c>
      <c r="H582" s="19" t="str">
        <f>IFERROR(__xludf.DUMMYFUNCTION("""COMPUTED_VALUE"""),"-")</f>
        <v>-</v>
      </c>
      <c r="I582" s="19">
        <f>IFERROR(__xludf.DUMMYFUNCTION("""COMPUTED_VALUE"""),0.00226)</f>
        <v>0.00226</v>
      </c>
      <c r="J582" s="19">
        <f>IFERROR(__xludf.DUMMYFUNCTION("""COMPUTED_VALUE"""),0.04222)</f>
        <v>0.04222</v>
      </c>
      <c r="K582" s="19" t="str">
        <f>IFERROR(__xludf.DUMMYFUNCTION("""COMPUTED_VALUE"""),"-")</f>
        <v>-</v>
      </c>
      <c r="L582" s="19">
        <f>IFERROR(__xludf.DUMMYFUNCTION("""COMPUTED_VALUE"""),0.04773)</f>
        <v>0.04773</v>
      </c>
      <c r="O582" s="24">
        <f t="shared" si="4"/>
        <v>0</v>
      </c>
      <c r="P582" s="24"/>
      <c r="Q582" s="24">
        <f t="shared" si="6"/>
        <v>0</v>
      </c>
      <c r="R582" s="24">
        <f t="shared" si="7"/>
        <v>1</v>
      </c>
      <c r="S582" s="24"/>
      <c r="T582" s="24">
        <f t="shared" si="9"/>
        <v>0</v>
      </c>
    </row>
    <row r="583">
      <c r="A583" s="12" t="s">
        <v>672</v>
      </c>
      <c r="F583" s="19">
        <f>IFERROR(__xludf.DUMMYFUNCTION("SPLIT(A579, "" |"")"),577.0)</f>
        <v>577</v>
      </c>
      <c r="G583" s="19">
        <f>IFERROR(__xludf.DUMMYFUNCTION("""COMPUTED_VALUE"""),0.00241)</f>
        <v>0.00241</v>
      </c>
      <c r="H583" s="19" t="str">
        <f>IFERROR(__xludf.DUMMYFUNCTION("""COMPUTED_VALUE"""),"-")</f>
        <v>-</v>
      </c>
      <c r="I583" s="19">
        <f>IFERROR(__xludf.DUMMYFUNCTION("""COMPUTED_VALUE"""),0.0022)</f>
        <v>0.0022</v>
      </c>
      <c r="J583" s="19">
        <f>IFERROR(__xludf.DUMMYFUNCTION("""COMPUTED_VALUE"""),0.04742)</f>
        <v>0.04742</v>
      </c>
      <c r="K583" s="19" t="str">
        <f>IFERROR(__xludf.DUMMYFUNCTION("""COMPUTED_VALUE"""),"-")</f>
        <v>-</v>
      </c>
      <c r="L583" s="19">
        <f>IFERROR(__xludf.DUMMYFUNCTION("""COMPUTED_VALUE"""),0.04761)</f>
        <v>0.04761</v>
      </c>
      <c r="O583" s="24">
        <f t="shared" si="4"/>
        <v>0</v>
      </c>
      <c r="P583" s="24"/>
      <c r="Q583" s="24">
        <f t="shared" si="6"/>
        <v>0</v>
      </c>
      <c r="R583" s="24">
        <f t="shared" si="7"/>
        <v>0</v>
      </c>
      <c r="S583" s="24"/>
      <c r="T583" s="24">
        <f t="shared" si="9"/>
        <v>0</v>
      </c>
    </row>
    <row r="584">
      <c r="A584" s="12" t="s">
        <v>673</v>
      </c>
      <c r="F584" s="19">
        <f>IFERROR(__xludf.DUMMYFUNCTION("SPLIT(A580, "" |"")"),578.0)</f>
        <v>578</v>
      </c>
      <c r="G584" s="19">
        <f>IFERROR(__xludf.DUMMYFUNCTION("""COMPUTED_VALUE"""),0.00233)</f>
        <v>0.00233</v>
      </c>
      <c r="H584" s="19" t="str">
        <f>IFERROR(__xludf.DUMMYFUNCTION("""COMPUTED_VALUE"""),"-")</f>
        <v>-</v>
      </c>
      <c r="I584" s="19">
        <f>IFERROR(__xludf.DUMMYFUNCTION("""COMPUTED_VALUE"""),0.00219)</f>
        <v>0.00219</v>
      </c>
      <c r="J584" s="19">
        <f>IFERROR(__xludf.DUMMYFUNCTION("""COMPUTED_VALUE"""),0.04591)</f>
        <v>0.04591</v>
      </c>
      <c r="K584" s="19" t="str">
        <f>IFERROR(__xludf.DUMMYFUNCTION("""COMPUTED_VALUE"""),"-")</f>
        <v>-</v>
      </c>
      <c r="L584" s="19">
        <f>IFERROR(__xludf.DUMMYFUNCTION("""COMPUTED_VALUE"""),0.04761)</f>
        <v>0.04761</v>
      </c>
      <c r="O584" s="24">
        <f t="shared" si="4"/>
        <v>0</v>
      </c>
      <c r="P584" s="24"/>
      <c r="Q584" s="24">
        <f t="shared" si="6"/>
        <v>0</v>
      </c>
      <c r="R584" s="24">
        <f t="shared" si="7"/>
        <v>0</v>
      </c>
      <c r="S584" s="24"/>
      <c r="T584" s="24">
        <f t="shared" si="9"/>
        <v>0</v>
      </c>
    </row>
    <row r="585">
      <c r="A585" s="12" t="s">
        <v>674</v>
      </c>
      <c r="F585" s="19">
        <f>IFERROR(__xludf.DUMMYFUNCTION("SPLIT(A581, "" |"")"),579.0)</f>
        <v>579</v>
      </c>
      <c r="G585" s="19">
        <f>IFERROR(__xludf.DUMMYFUNCTION("""COMPUTED_VALUE"""),0.00242)</f>
        <v>0.00242</v>
      </c>
      <c r="H585" s="19" t="str">
        <f>IFERROR(__xludf.DUMMYFUNCTION("""COMPUTED_VALUE"""),"-")</f>
        <v>-</v>
      </c>
      <c r="I585" s="19">
        <f>IFERROR(__xludf.DUMMYFUNCTION("""COMPUTED_VALUE"""),0.0022)</f>
        <v>0.0022</v>
      </c>
      <c r="J585" s="19">
        <f>IFERROR(__xludf.DUMMYFUNCTION("""COMPUTED_VALUE"""),0.04748)</f>
        <v>0.04748</v>
      </c>
      <c r="K585" s="19" t="str">
        <f>IFERROR(__xludf.DUMMYFUNCTION("""COMPUTED_VALUE"""),"-")</f>
        <v>-</v>
      </c>
      <c r="L585" s="19">
        <f>IFERROR(__xludf.DUMMYFUNCTION("""COMPUTED_VALUE"""),0.04765)</f>
        <v>0.04765</v>
      </c>
      <c r="O585" s="24">
        <f t="shared" si="4"/>
        <v>0</v>
      </c>
      <c r="P585" s="24"/>
      <c r="Q585" s="24">
        <f t="shared" si="6"/>
        <v>0</v>
      </c>
      <c r="R585" s="24">
        <f t="shared" si="7"/>
        <v>0</v>
      </c>
      <c r="S585" s="24"/>
      <c r="T585" s="24">
        <f t="shared" si="9"/>
        <v>0</v>
      </c>
    </row>
    <row r="586">
      <c r="A586" s="12" t="s">
        <v>675</v>
      </c>
      <c r="F586" s="19">
        <f>IFERROR(__xludf.DUMMYFUNCTION("SPLIT(A582, "" |"")"),580.0)</f>
        <v>580</v>
      </c>
      <c r="G586" s="19">
        <f>IFERROR(__xludf.DUMMYFUNCTION("""COMPUTED_VALUE"""),0.00237)</f>
        <v>0.00237</v>
      </c>
      <c r="H586" s="19" t="str">
        <f>IFERROR(__xludf.DUMMYFUNCTION("""COMPUTED_VALUE"""),"-")</f>
        <v>-</v>
      </c>
      <c r="I586" s="19">
        <f>IFERROR(__xludf.DUMMYFUNCTION("""COMPUTED_VALUE"""),0.00223)</f>
        <v>0.00223</v>
      </c>
      <c r="J586" s="19">
        <f>IFERROR(__xludf.DUMMYFUNCTION("""COMPUTED_VALUE"""),0.04747)</f>
        <v>0.04747</v>
      </c>
      <c r="K586" s="19" t="str">
        <f>IFERROR(__xludf.DUMMYFUNCTION("""COMPUTED_VALUE"""),"-")</f>
        <v>-</v>
      </c>
      <c r="L586" s="19">
        <f>IFERROR(__xludf.DUMMYFUNCTION("""COMPUTED_VALUE"""),0.04729)</f>
        <v>0.04729</v>
      </c>
      <c r="O586" s="24">
        <f t="shared" si="4"/>
        <v>0</v>
      </c>
      <c r="P586" s="24"/>
      <c r="Q586" s="24">
        <f t="shared" si="6"/>
        <v>0</v>
      </c>
      <c r="R586" s="24">
        <f t="shared" si="7"/>
        <v>0</v>
      </c>
      <c r="S586" s="24"/>
      <c r="T586" s="24">
        <f t="shared" si="9"/>
        <v>0</v>
      </c>
    </row>
    <row r="587">
      <c r="A587" s="12" t="s">
        <v>676</v>
      </c>
      <c r="F587" s="19">
        <f>IFERROR(__xludf.DUMMYFUNCTION("SPLIT(A583, "" |"")"),581.0)</f>
        <v>581</v>
      </c>
      <c r="G587" s="19">
        <f>IFERROR(__xludf.DUMMYFUNCTION("""COMPUTED_VALUE"""),0.00229)</f>
        <v>0.00229</v>
      </c>
      <c r="H587" s="19" t="str">
        <f>IFERROR(__xludf.DUMMYFUNCTION("""COMPUTED_VALUE"""),"-")</f>
        <v>-</v>
      </c>
      <c r="I587" s="19">
        <f>IFERROR(__xludf.DUMMYFUNCTION("""COMPUTED_VALUE"""),0.00213)</f>
        <v>0.00213</v>
      </c>
      <c r="J587" s="19">
        <f>IFERROR(__xludf.DUMMYFUNCTION("""COMPUTED_VALUE"""),0.04725)</f>
        <v>0.04725</v>
      </c>
      <c r="K587" s="19" t="str">
        <f>IFERROR(__xludf.DUMMYFUNCTION("""COMPUTED_VALUE"""),"-")</f>
        <v>-</v>
      </c>
      <c r="L587" s="19">
        <f>IFERROR(__xludf.DUMMYFUNCTION("""COMPUTED_VALUE"""),0.04511)</f>
        <v>0.04511</v>
      </c>
      <c r="O587" s="24">
        <f t="shared" si="4"/>
        <v>0</v>
      </c>
      <c r="P587" s="24"/>
      <c r="Q587" s="24">
        <f t="shared" si="6"/>
        <v>0</v>
      </c>
      <c r="R587" s="24">
        <f t="shared" si="7"/>
        <v>0</v>
      </c>
      <c r="S587" s="24"/>
      <c r="T587" s="24">
        <f t="shared" si="9"/>
        <v>0</v>
      </c>
    </row>
    <row r="588">
      <c r="A588" s="12" t="s">
        <v>677</v>
      </c>
      <c r="F588" s="19">
        <f>IFERROR(__xludf.DUMMYFUNCTION("SPLIT(A584, "" |"")"),582.0)</f>
        <v>582</v>
      </c>
      <c r="G588" s="19">
        <f>IFERROR(__xludf.DUMMYFUNCTION("""COMPUTED_VALUE"""),0.00245)</f>
        <v>0.00245</v>
      </c>
      <c r="H588" s="19" t="str">
        <f>IFERROR(__xludf.DUMMYFUNCTION("""COMPUTED_VALUE"""),"-")</f>
        <v>-</v>
      </c>
      <c r="I588" s="19">
        <f>IFERROR(__xludf.DUMMYFUNCTION("""COMPUTED_VALUE"""),0.00214)</f>
        <v>0.00214</v>
      </c>
      <c r="J588" s="19">
        <f>IFERROR(__xludf.DUMMYFUNCTION("""COMPUTED_VALUE"""),0.04728)</f>
        <v>0.04728</v>
      </c>
      <c r="K588" s="19" t="str">
        <f>IFERROR(__xludf.DUMMYFUNCTION("""COMPUTED_VALUE"""),"-")</f>
        <v>-</v>
      </c>
      <c r="L588" s="19">
        <f>IFERROR(__xludf.DUMMYFUNCTION("""COMPUTED_VALUE"""),0.04745)</f>
        <v>0.04745</v>
      </c>
      <c r="O588" s="24">
        <f t="shared" si="4"/>
        <v>0</v>
      </c>
      <c r="P588" s="24"/>
      <c r="Q588" s="24">
        <f t="shared" si="6"/>
        <v>0</v>
      </c>
      <c r="R588" s="24">
        <f t="shared" si="7"/>
        <v>0</v>
      </c>
      <c r="S588" s="24"/>
      <c r="T588" s="24">
        <f t="shared" si="9"/>
        <v>0</v>
      </c>
    </row>
    <row r="589">
      <c r="A589" s="12" t="s">
        <v>678</v>
      </c>
      <c r="F589" s="19">
        <f>IFERROR(__xludf.DUMMYFUNCTION("SPLIT(A585, "" |"")"),583.0)</f>
        <v>583</v>
      </c>
      <c r="G589" s="19">
        <f>IFERROR(__xludf.DUMMYFUNCTION("""COMPUTED_VALUE"""),0.00232)</f>
        <v>0.00232</v>
      </c>
      <c r="H589" s="19" t="str">
        <f>IFERROR(__xludf.DUMMYFUNCTION("""COMPUTED_VALUE"""),"-")</f>
        <v>-</v>
      </c>
      <c r="I589" s="19">
        <f>IFERROR(__xludf.DUMMYFUNCTION("""COMPUTED_VALUE"""),0.00223)</f>
        <v>0.00223</v>
      </c>
      <c r="J589" s="19">
        <f>IFERROR(__xludf.DUMMYFUNCTION("""COMPUTED_VALUE"""),0.04738)</f>
        <v>0.04738</v>
      </c>
      <c r="K589" s="19" t="str">
        <f>IFERROR(__xludf.DUMMYFUNCTION("""COMPUTED_VALUE"""),"-")</f>
        <v>-</v>
      </c>
      <c r="L589" s="19">
        <f>IFERROR(__xludf.DUMMYFUNCTION("""COMPUTED_VALUE"""),0.04757)</f>
        <v>0.04757</v>
      </c>
      <c r="O589" s="24">
        <f t="shared" si="4"/>
        <v>0</v>
      </c>
      <c r="P589" s="24"/>
      <c r="Q589" s="24">
        <f t="shared" si="6"/>
        <v>0</v>
      </c>
      <c r="R589" s="24">
        <f t="shared" si="7"/>
        <v>0</v>
      </c>
      <c r="S589" s="24"/>
      <c r="T589" s="24">
        <f t="shared" si="9"/>
        <v>0</v>
      </c>
    </row>
    <row r="590">
      <c r="A590" s="12" t="s">
        <v>679</v>
      </c>
      <c r="F590" s="19">
        <f>IFERROR(__xludf.DUMMYFUNCTION("SPLIT(A586, "" |"")"),584.0)</f>
        <v>584</v>
      </c>
      <c r="G590" s="19">
        <f>IFERROR(__xludf.DUMMYFUNCTION("""COMPUTED_VALUE"""),0.00237)</f>
        <v>0.00237</v>
      </c>
      <c r="H590" s="19" t="str">
        <f>IFERROR(__xludf.DUMMYFUNCTION("""COMPUTED_VALUE"""),"-")</f>
        <v>-</v>
      </c>
      <c r="I590" s="19">
        <f>IFERROR(__xludf.DUMMYFUNCTION("""COMPUTED_VALUE"""),0.00222)</f>
        <v>0.00222</v>
      </c>
      <c r="J590" s="19">
        <f>IFERROR(__xludf.DUMMYFUNCTION("""COMPUTED_VALUE"""),0.04398)</f>
        <v>0.04398</v>
      </c>
      <c r="K590" s="19" t="str">
        <f>IFERROR(__xludf.DUMMYFUNCTION("""COMPUTED_VALUE"""),"-")</f>
        <v>-</v>
      </c>
      <c r="L590" s="19">
        <f>IFERROR(__xludf.DUMMYFUNCTION("""COMPUTED_VALUE"""),0.04701)</f>
        <v>0.04701</v>
      </c>
      <c r="O590" s="24">
        <f t="shared" si="4"/>
        <v>0</v>
      </c>
      <c r="P590" s="24"/>
      <c r="Q590" s="24">
        <f t="shared" si="6"/>
        <v>0</v>
      </c>
      <c r="R590" s="24">
        <f t="shared" si="7"/>
        <v>1</v>
      </c>
      <c r="S590" s="24"/>
      <c r="T590" s="24">
        <f t="shared" si="9"/>
        <v>0</v>
      </c>
    </row>
    <row r="591">
      <c r="A591" s="12" t="s">
        <v>680</v>
      </c>
      <c r="F591" s="19">
        <f>IFERROR(__xludf.DUMMYFUNCTION("SPLIT(A587, "" |"")"),585.0)</f>
        <v>585</v>
      </c>
      <c r="G591" s="19">
        <f>IFERROR(__xludf.DUMMYFUNCTION("""COMPUTED_VALUE"""),0.00231)</f>
        <v>0.00231</v>
      </c>
      <c r="H591" s="19" t="str">
        <f>IFERROR(__xludf.DUMMYFUNCTION("""COMPUTED_VALUE"""),"-")</f>
        <v>-</v>
      </c>
      <c r="I591" s="19">
        <f>IFERROR(__xludf.DUMMYFUNCTION("""COMPUTED_VALUE"""),0.00219)</f>
        <v>0.00219</v>
      </c>
      <c r="J591" s="19">
        <f>IFERROR(__xludf.DUMMYFUNCTION("""COMPUTED_VALUE"""),0.04214)</f>
        <v>0.04214</v>
      </c>
      <c r="K591" s="19" t="str">
        <f>IFERROR(__xludf.DUMMYFUNCTION("""COMPUTED_VALUE"""),"-")</f>
        <v>-</v>
      </c>
      <c r="L591" s="19">
        <f>IFERROR(__xludf.DUMMYFUNCTION("""COMPUTED_VALUE"""),0.04757)</f>
        <v>0.04757</v>
      </c>
      <c r="O591" s="24">
        <f t="shared" si="4"/>
        <v>0</v>
      </c>
      <c r="P591" s="24"/>
      <c r="Q591" s="24">
        <f t="shared" si="6"/>
        <v>0</v>
      </c>
      <c r="R591" s="24">
        <f t="shared" si="7"/>
        <v>1</v>
      </c>
      <c r="S591" s="24"/>
      <c r="T591" s="24">
        <f t="shared" si="9"/>
        <v>0</v>
      </c>
    </row>
    <row r="592">
      <c r="A592" s="12" t="s">
        <v>681</v>
      </c>
      <c r="F592" s="19">
        <f>IFERROR(__xludf.DUMMYFUNCTION("SPLIT(A588, "" |"")"),586.0)</f>
        <v>586</v>
      </c>
      <c r="G592" s="19">
        <f>IFERROR(__xludf.DUMMYFUNCTION("""COMPUTED_VALUE"""),0.00237)</f>
        <v>0.00237</v>
      </c>
      <c r="H592" s="19" t="str">
        <f>IFERROR(__xludf.DUMMYFUNCTION("""COMPUTED_VALUE"""),"-")</f>
        <v>-</v>
      </c>
      <c r="I592" s="19">
        <f>IFERROR(__xludf.DUMMYFUNCTION("""COMPUTED_VALUE"""),0.0022)</f>
        <v>0.0022</v>
      </c>
      <c r="J592" s="19">
        <f>IFERROR(__xludf.DUMMYFUNCTION("""COMPUTED_VALUE"""),0.04749)</f>
        <v>0.04749</v>
      </c>
      <c r="K592" s="19" t="str">
        <f>IFERROR(__xludf.DUMMYFUNCTION("""COMPUTED_VALUE"""),"-")</f>
        <v>-</v>
      </c>
      <c r="L592" s="19">
        <f>IFERROR(__xludf.DUMMYFUNCTION("""COMPUTED_VALUE"""),0.04762)</f>
        <v>0.04762</v>
      </c>
      <c r="O592" s="24">
        <f t="shared" si="4"/>
        <v>0</v>
      </c>
      <c r="P592" s="24"/>
      <c r="Q592" s="24">
        <f t="shared" si="6"/>
        <v>0</v>
      </c>
      <c r="R592" s="24">
        <f t="shared" si="7"/>
        <v>0</v>
      </c>
      <c r="S592" s="24"/>
      <c r="T592" s="24">
        <f t="shared" si="9"/>
        <v>0</v>
      </c>
    </row>
    <row r="593">
      <c r="A593" s="12" t="s">
        <v>682</v>
      </c>
      <c r="F593" s="19">
        <f>IFERROR(__xludf.DUMMYFUNCTION("SPLIT(A589, "" |"")"),587.0)</f>
        <v>587</v>
      </c>
      <c r="G593" s="19">
        <f>IFERROR(__xludf.DUMMYFUNCTION("""COMPUTED_VALUE"""),0.00243)</f>
        <v>0.00243</v>
      </c>
      <c r="H593" s="19" t="str">
        <f>IFERROR(__xludf.DUMMYFUNCTION("""COMPUTED_VALUE"""),"-")</f>
        <v>-</v>
      </c>
      <c r="I593" s="19">
        <f>IFERROR(__xludf.DUMMYFUNCTION("""COMPUTED_VALUE"""),0.00218)</f>
        <v>0.00218</v>
      </c>
      <c r="J593" s="19">
        <f>IFERROR(__xludf.DUMMYFUNCTION("""COMPUTED_VALUE"""),0.04747)</f>
        <v>0.04747</v>
      </c>
      <c r="K593" s="19" t="str">
        <f>IFERROR(__xludf.DUMMYFUNCTION("""COMPUTED_VALUE"""),"-")</f>
        <v>-</v>
      </c>
      <c r="L593" s="19">
        <f>IFERROR(__xludf.DUMMYFUNCTION("""COMPUTED_VALUE"""),0.04484)</f>
        <v>0.04484</v>
      </c>
      <c r="O593" s="24">
        <f t="shared" si="4"/>
        <v>0</v>
      </c>
      <c r="P593" s="24"/>
      <c r="Q593" s="24">
        <f t="shared" si="6"/>
        <v>0</v>
      </c>
      <c r="R593" s="24">
        <f t="shared" si="7"/>
        <v>0</v>
      </c>
      <c r="S593" s="24"/>
      <c r="T593" s="24">
        <f t="shared" si="9"/>
        <v>0</v>
      </c>
    </row>
    <row r="594">
      <c r="A594" s="12" t="s">
        <v>683</v>
      </c>
      <c r="F594" s="19">
        <f>IFERROR(__xludf.DUMMYFUNCTION("SPLIT(A590, "" |"")"),588.0)</f>
        <v>588</v>
      </c>
      <c r="G594" s="19">
        <f>IFERROR(__xludf.DUMMYFUNCTION("""COMPUTED_VALUE"""),0.0024)</f>
        <v>0.0024</v>
      </c>
      <c r="H594" s="19" t="str">
        <f>IFERROR(__xludf.DUMMYFUNCTION("""COMPUTED_VALUE"""),"-")</f>
        <v>-</v>
      </c>
      <c r="I594" s="19">
        <f>IFERROR(__xludf.DUMMYFUNCTION("""COMPUTED_VALUE"""),0.0021)</f>
        <v>0.0021</v>
      </c>
      <c r="J594" s="19">
        <f>IFERROR(__xludf.DUMMYFUNCTION("""COMPUTED_VALUE"""),0.0474)</f>
        <v>0.0474</v>
      </c>
      <c r="K594" s="19" t="str">
        <f>IFERROR(__xludf.DUMMYFUNCTION("""COMPUTED_VALUE"""),"-")</f>
        <v>-</v>
      </c>
      <c r="L594" s="19">
        <f>IFERROR(__xludf.DUMMYFUNCTION("""COMPUTED_VALUE"""),0.04759)</f>
        <v>0.04759</v>
      </c>
      <c r="O594" s="24">
        <f t="shared" si="4"/>
        <v>0</v>
      </c>
      <c r="P594" s="24"/>
      <c r="Q594" s="24">
        <f t="shared" si="6"/>
        <v>0</v>
      </c>
      <c r="R594" s="24">
        <f t="shared" si="7"/>
        <v>0</v>
      </c>
      <c r="S594" s="24"/>
      <c r="T594" s="24">
        <f t="shared" si="9"/>
        <v>0</v>
      </c>
    </row>
    <row r="595">
      <c r="A595" s="12" t="s">
        <v>684</v>
      </c>
      <c r="F595" s="19">
        <f>IFERROR(__xludf.DUMMYFUNCTION("SPLIT(A591, "" |"")"),589.0)</f>
        <v>589</v>
      </c>
      <c r="G595" s="19">
        <f>IFERROR(__xludf.DUMMYFUNCTION("""COMPUTED_VALUE"""),0.00234)</f>
        <v>0.00234</v>
      </c>
      <c r="H595" s="19" t="str">
        <f>IFERROR(__xludf.DUMMYFUNCTION("""COMPUTED_VALUE"""),"-")</f>
        <v>-</v>
      </c>
      <c r="I595" s="19">
        <f>IFERROR(__xludf.DUMMYFUNCTION("""COMPUTED_VALUE"""),0.00218)</f>
        <v>0.00218</v>
      </c>
      <c r="J595" s="19">
        <f>IFERROR(__xludf.DUMMYFUNCTION("""COMPUTED_VALUE"""),0.04739)</f>
        <v>0.04739</v>
      </c>
      <c r="K595" s="19" t="str">
        <f>IFERROR(__xludf.DUMMYFUNCTION("""COMPUTED_VALUE"""),"-")</f>
        <v>-</v>
      </c>
      <c r="L595" s="19">
        <f>IFERROR(__xludf.DUMMYFUNCTION("""COMPUTED_VALUE"""),0.04759)</f>
        <v>0.04759</v>
      </c>
      <c r="O595" s="24">
        <f t="shared" si="4"/>
        <v>0</v>
      </c>
      <c r="P595" s="24"/>
      <c r="Q595" s="24">
        <f t="shared" si="6"/>
        <v>0</v>
      </c>
      <c r="R595" s="24">
        <f t="shared" si="7"/>
        <v>0</v>
      </c>
      <c r="S595" s="24"/>
      <c r="T595" s="24">
        <f t="shared" si="9"/>
        <v>0</v>
      </c>
    </row>
    <row r="596">
      <c r="A596" s="12" t="s">
        <v>685</v>
      </c>
      <c r="F596" s="19">
        <f>IFERROR(__xludf.DUMMYFUNCTION("SPLIT(A592, "" |"")"),590.0)</f>
        <v>590</v>
      </c>
      <c r="G596" s="19">
        <f>IFERROR(__xludf.DUMMYFUNCTION("""COMPUTED_VALUE"""),0.00232)</f>
        <v>0.00232</v>
      </c>
      <c r="H596" s="19" t="str">
        <f>IFERROR(__xludf.DUMMYFUNCTION("""COMPUTED_VALUE"""),"-")</f>
        <v>-</v>
      </c>
      <c r="I596" s="19">
        <f>IFERROR(__xludf.DUMMYFUNCTION("""COMPUTED_VALUE"""),0.0022)</f>
        <v>0.0022</v>
      </c>
      <c r="J596" s="19">
        <f>IFERROR(__xludf.DUMMYFUNCTION("""COMPUTED_VALUE"""),0.04748)</f>
        <v>0.04748</v>
      </c>
      <c r="K596" s="19" t="str">
        <f>IFERROR(__xludf.DUMMYFUNCTION("""COMPUTED_VALUE"""),"-")</f>
        <v>-</v>
      </c>
      <c r="L596" s="19">
        <f>IFERROR(__xludf.DUMMYFUNCTION("""COMPUTED_VALUE"""),0.04761)</f>
        <v>0.04761</v>
      </c>
      <c r="O596" s="24">
        <f t="shared" si="4"/>
        <v>0</v>
      </c>
      <c r="P596" s="24"/>
      <c r="Q596" s="24">
        <f t="shared" si="6"/>
        <v>0</v>
      </c>
      <c r="R596" s="24">
        <f t="shared" si="7"/>
        <v>0</v>
      </c>
      <c r="S596" s="24"/>
      <c r="T596" s="24">
        <f t="shared" si="9"/>
        <v>0</v>
      </c>
    </row>
    <row r="597">
      <c r="A597" s="12" t="s">
        <v>686</v>
      </c>
      <c r="F597" s="19">
        <f>IFERROR(__xludf.DUMMYFUNCTION("SPLIT(A593, "" |"")"),591.0)</f>
        <v>591</v>
      </c>
      <c r="G597" s="19">
        <f>IFERROR(__xludf.DUMMYFUNCTION("""COMPUTED_VALUE"""),0.0024)</f>
        <v>0.0024</v>
      </c>
      <c r="H597" s="19" t="str">
        <f>IFERROR(__xludf.DUMMYFUNCTION("""COMPUTED_VALUE"""),"-")</f>
        <v>-</v>
      </c>
      <c r="I597" s="19">
        <f>IFERROR(__xludf.DUMMYFUNCTION("""COMPUTED_VALUE"""),0.00222)</f>
        <v>0.00222</v>
      </c>
      <c r="J597" s="19">
        <f>IFERROR(__xludf.DUMMYFUNCTION("""COMPUTED_VALUE"""),0.04551)</f>
        <v>0.04551</v>
      </c>
      <c r="K597" s="19" t="str">
        <f>IFERROR(__xludf.DUMMYFUNCTION("""COMPUTED_VALUE"""),"-")</f>
        <v>-</v>
      </c>
      <c r="L597" s="19">
        <f>IFERROR(__xludf.DUMMYFUNCTION("""COMPUTED_VALUE"""),0.04747)</f>
        <v>0.04747</v>
      </c>
      <c r="O597" s="24">
        <f t="shared" si="4"/>
        <v>0</v>
      </c>
      <c r="P597" s="24"/>
      <c r="Q597" s="24">
        <f t="shared" si="6"/>
        <v>0</v>
      </c>
      <c r="R597" s="24">
        <f t="shared" si="7"/>
        <v>0</v>
      </c>
      <c r="S597" s="24"/>
      <c r="T597" s="24">
        <f t="shared" si="9"/>
        <v>0</v>
      </c>
    </row>
    <row r="598">
      <c r="A598" s="12" t="s">
        <v>687</v>
      </c>
      <c r="F598" s="19">
        <f>IFERROR(__xludf.DUMMYFUNCTION("SPLIT(A594, "" |"")"),592.0)</f>
        <v>592</v>
      </c>
      <c r="G598" s="19">
        <f>IFERROR(__xludf.DUMMYFUNCTION("""COMPUTED_VALUE"""),0.00242)</f>
        <v>0.00242</v>
      </c>
      <c r="H598" s="19" t="str">
        <f>IFERROR(__xludf.DUMMYFUNCTION("""COMPUTED_VALUE"""),"-")</f>
        <v>-</v>
      </c>
      <c r="I598" s="19">
        <f>IFERROR(__xludf.DUMMYFUNCTION("""COMPUTED_VALUE"""),0.00223)</f>
        <v>0.00223</v>
      </c>
      <c r="J598" s="19">
        <f>IFERROR(__xludf.DUMMYFUNCTION("""COMPUTED_VALUE"""),0.04741)</f>
        <v>0.04741</v>
      </c>
      <c r="K598" s="19" t="str">
        <f>IFERROR(__xludf.DUMMYFUNCTION("""COMPUTED_VALUE"""),"-")</f>
        <v>-</v>
      </c>
      <c r="L598" s="19">
        <f>IFERROR(__xludf.DUMMYFUNCTION("""COMPUTED_VALUE"""),0.04759)</f>
        <v>0.04759</v>
      </c>
      <c r="O598" s="24">
        <f t="shared" si="4"/>
        <v>0</v>
      </c>
      <c r="P598" s="24"/>
      <c r="Q598" s="24">
        <f t="shared" si="6"/>
        <v>0</v>
      </c>
      <c r="R598" s="24">
        <f t="shared" si="7"/>
        <v>0</v>
      </c>
      <c r="S598" s="24"/>
      <c r="T598" s="24">
        <f t="shared" si="9"/>
        <v>0</v>
      </c>
    </row>
    <row r="599">
      <c r="A599" s="12" t="s">
        <v>688</v>
      </c>
      <c r="F599" s="19">
        <f>IFERROR(__xludf.DUMMYFUNCTION("SPLIT(A595, "" |"")"),593.0)</f>
        <v>593</v>
      </c>
      <c r="G599" s="19">
        <f>IFERROR(__xludf.DUMMYFUNCTION("""COMPUTED_VALUE"""),0.00222)</f>
        <v>0.00222</v>
      </c>
      <c r="H599" s="19" t="str">
        <f>IFERROR(__xludf.DUMMYFUNCTION("""COMPUTED_VALUE"""),"-")</f>
        <v>-</v>
      </c>
      <c r="I599" s="19">
        <f>IFERROR(__xludf.DUMMYFUNCTION("""COMPUTED_VALUE"""),0.00207)</f>
        <v>0.00207</v>
      </c>
      <c r="J599" s="19">
        <f>IFERROR(__xludf.DUMMYFUNCTION("""COMPUTED_VALUE"""),0.04427)</f>
        <v>0.04427</v>
      </c>
      <c r="K599" s="19" t="str">
        <f>IFERROR(__xludf.DUMMYFUNCTION("""COMPUTED_VALUE"""),"-")</f>
        <v>-</v>
      </c>
      <c r="L599" s="19">
        <f>IFERROR(__xludf.DUMMYFUNCTION("""COMPUTED_VALUE"""),0.0477)</f>
        <v>0.0477</v>
      </c>
      <c r="O599" s="24">
        <f t="shared" si="4"/>
        <v>0</v>
      </c>
      <c r="P599" s="24"/>
      <c r="Q599" s="24">
        <f t="shared" si="6"/>
        <v>0</v>
      </c>
      <c r="R599" s="24">
        <f t="shared" si="7"/>
        <v>1</v>
      </c>
      <c r="S599" s="24"/>
      <c r="T599" s="24">
        <f t="shared" si="9"/>
        <v>0</v>
      </c>
    </row>
    <row r="600">
      <c r="A600" s="12" t="s">
        <v>689</v>
      </c>
      <c r="F600" s="19">
        <f>IFERROR(__xludf.DUMMYFUNCTION("SPLIT(A596, "" |"")"),594.0)</f>
        <v>594</v>
      </c>
      <c r="G600" s="19">
        <f>IFERROR(__xludf.DUMMYFUNCTION("""COMPUTED_VALUE"""),0.00233)</f>
        <v>0.00233</v>
      </c>
      <c r="H600" s="19" t="str">
        <f>IFERROR(__xludf.DUMMYFUNCTION("""COMPUTED_VALUE"""),"-")</f>
        <v>-</v>
      </c>
      <c r="I600" s="19">
        <f>IFERROR(__xludf.DUMMYFUNCTION("""COMPUTED_VALUE"""),0.00217)</f>
        <v>0.00217</v>
      </c>
      <c r="J600" s="19">
        <f>IFERROR(__xludf.DUMMYFUNCTION("""COMPUTED_VALUE"""),0.04748)</f>
        <v>0.04748</v>
      </c>
      <c r="K600" s="19" t="str">
        <f>IFERROR(__xludf.DUMMYFUNCTION("""COMPUTED_VALUE"""),"-")</f>
        <v>-</v>
      </c>
      <c r="L600" s="19">
        <f>IFERROR(__xludf.DUMMYFUNCTION("""COMPUTED_VALUE"""),0.04755)</f>
        <v>0.04755</v>
      </c>
      <c r="O600" s="24">
        <f t="shared" si="4"/>
        <v>0</v>
      </c>
      <c r="P600" s="24"/>
      <c r="Q600" s="24">
        <f t="shared" si="6"/>
        <v>0</v>
      </c>
      <c r="R600" s="24">
        <f t="shared" si="7"/>
        <v>0</v>
      </c>
      <c r="S600" s="24"/>
      <c r="T600" s="24">
        <f t="shared" si="9"/>
        <v>0</v>
      </c>
    </row>
    <row r="601">
      <c r="A601" s="12" t="s">
        <v>690</v>
      </c>
      <c r="F601" s="19">
        <f>IFERROR(__xludf.DUMMYFUNCTION("SPLIT(A597, "" |"")"),595.0)</f>
        <v>595</v>
      </c>
      <c r="G601" s="19">
        <f>IFERROR(__xludf.DUMMYFUNCTION("""COMPUTED_VALUE"""),0.00235)</f>
        <v>0.00235</v>
      </c>
      <c r="H601" s="19" t="str">
        <f>IFERROR(__xludf.DUMMYFUNCTION("""COMPUTED_VALUE"""),"-")</f>
        <v>-</v>
      </c>
      <c r="I601" s="19">
        <f>IFERROR(__xludf.DUMMYFUNCTION("""COMPUTED_VALUE"""),0.00218)</f>
        <v>0.00218</v>
      </c>
      <c r="J601" s="19">
        <f>IFERROR(__xludf.DUMMYFUNCTION("""COMPUTED_VALUE"""),0.04743)</f>
        <v>0.04743</v>
      </c>
      <c r="K601" s="19" t="str">
        <f>IFERROR(__xludf.DUMMYFUNCTION("""COMPUTED_VALUE"""),"-")</f>
        <v>-</v>
      </c>
      <c r="L601" s="19">
        <f>IFERROR(__xludf.DUMMYFUNCTION("""COMPUTED_VALUE"""),0.04438)</f>
        <v>0.04438</v>
      </c>
      <c r="O601" s="24">
        <f t="shared" si="4"/>
        <v>0</v>
      </c>
      <c r="P601" s="24"/>
      <c r="Q601" s="24">
        <f t="shared" si="6"/>
        <v>0</v>
      </c>
      <c r="R601" s="24">
        <f t="shared" si="7"/>
        <v>0</v>
      </c>
      <c r="S601" s="24"/>
      <c r="T601" s="24">
        <f t="shared" si="9"/>
        <v>0</v>
      </c>
    </row>
    <row r="602">
      <c r="A602" s="12" t="s">
        <v>691</v>
      </c>
      <c r="F602" s="19">
        <f>IFERROR(__xludf.DUMMYFUNCTION("SPLIT(A598, "" |"")"),596.0)</f>
        <v>596</v>
      </c>
      <c r="G602" s="19">
        <f>IFERROR(__xludf.DUMMYFUNCTION("""COMPUTED_VALUE"""),0.00241)</f>
        <v>0.00241</v>
      </c>
      <c r="H602" s="19" t="str">
        <f>IFERROR(__xludf.DUMMYFUNCTION("""COMPUTED_VALUE"""),"-")</f>
        <v>-</v>
      </c>
      <c r="I602" s="19">
        <f>IFERROR(__xludf.DUMMYFUNCTION("""COMPUTED_VALUE"""),0.00221)</f>
        <v>0.00221</v>
      </c>
      <c r="J602" s="19">
        <f>IFERROR(__xludf.DUMMYFUNCTION("""COMPUTED_VALUE"""),0.04471)</f>
        <v>0.04471</v>
      </c>
      <c r="K602" s="19" t="str">
        <f>IFERROR(__xludf.DUMMYFUNCTION("""COMPUTED_VALUE"""),"-")</f>
        <v>-</v>
      </c>
      <c r="L602" s="19">
        <f>IFERROR(__xludf.DUMMYFUNCTION("""COMPUTED_VALUE"""),0.04583)</f>
        <v>0.04583</v>
      </c>
      <c r="O602" s="24">
        <f t="shared" si="4"/>
        <v>0</v>
      </c>
      <c r="P602" s="24"/>
      <c r="Q602" s="24">
        <f t="shared" si="6"/>
        <v>0</v>
      </c>
      <c r="R602" s="24">
        <f t="shared" si="7"/>
        <v>1</v>
      </c>
      <c r="S602" s="24"/>
      <c r="T602" s="24">
        <f t="shared" si="9"/>
        <v>0</v>
      </c>
    </row>
    <row r="603">
      <c r="A603" s="12" t="s">
        <v>692</v>
      </c>
      <c r="F603" s="19">
        <f>IFERROR(__xludf.DUMMYFUNCTION("SPLIT(A599, "" |"")"),597.0)</f>
        <v>597</v>
      </c>
      <c r="G603" s="19">
        <f>IFERROR(__xludf.DUMMYFUNCTION("""COMPUTED_VALUE"""),0.00236)</f>
        <v>0.00236</v>
      </c>
      <c r="H603" s="19" t="str">
        <f>IFERROR(__xludf.DUMMYFUNCTION("""COMPUTED_VALUE"""),"-")</f>
        <v>-</v>
      </c>
      <c r="I603" s="19">
        <f>IFERROR(__xludf.DUMMYFUNCTION("""COMPUTED_VALUE"""),0.00215)</f>
        <v>0.00215</v>
      </c>
      <c r="J603" s="19">
        <f>IFERROR(__xludf.DUMMYFUNCTION("""COMPUTED_VALUE"""),0.04745)</f>
        <v>0.04745</v>
      </c>
      <c r="K603" s="19" t="str">
        <f>IFERROR(__xludf.DUMMYFUNCTION("""COMPUTED_VALUE"""),"-")</f>
        <v>-</v>
      </c>
      <c r="L603" s="19">
        <f>IFERROR(__xludf.DUMMYFUNCTION("""COMPUTED_VALUE"""),0.04759)</f>
        <v>0.04759</v>
      </c>
      <c r="O603" s="24">
        <f t="shared" si="4"/>
        <v>0</v>
      </c>
      <c r="P603" s="24"/>
      <c r="Q603" s="24">
        <f t="shared" si="6"/>
        <v>0</v>
      </c>
      <c r="R603" s="24">
        <f t="shared" si="7"/>
        <v>0</v>
      </c>
      <c r="S603" s="24"/>
      <c r="T603" s="24">
        <f t="shared" si="9"/>
        <v>0</v>
      </c>
    </row>
    <row r="604">
      <c r="A604" s="12" t="s">
        <v>693</v>
      </c>
      <c r="F604" s="19">
        <f>IFERROR(__xludf.DUMMYFUNCTION("SPLIT(A600, "" |"")"),598.0)</f>
        <v>598</v>
      </c>
      <c r="G604" s="19">
        <f>IFERROR(__xludf.DUMMYFUNCTION("""COMPUTED_VALUE"""),0.00231)</f>
        <v>0.00231</v>
      </c>
      <c r="H604" s="19" t="str">
        <f>IFERROR(__xludf.DUMMYFUNCTION("""COMPUTED_VALUE"""),"-")</f>
        <v>-</v>
      </c>
      <c r="I604" s="19">
        <f>IFERROR(__xludf.DUMMYFUNCTION("""COMPUTED_VALUE"""),0.00216)</f>
        <v>0.00216</v>
      </c>
      <c r="J604" s="19">
        <f>IFERROR(__xludf.DUMMYFUNCTION("""COMPUTED_VALUE"""),0.04743)</f>
        <v>0.04743</v>
      </c>
      <c r="K604" s="19" t="str">
        <f>IFERROR(__xludf.DUMMYFUNCTION("""COMPUTED_VALUE"""),"-")</f>
        <v>-</v>
      </c>
      <c r="L604" s="19">
        <f>IFERROR(__xludf.DUMMYFUNCTION("""COMPUTED_VALUE"""),0.04765)</f>
        <v>0.04765</v>
      </c>
      <c r="O604" s="24">
        <f t="shared" si="4"/>
        <v>0</v>
      </c>
      <c r="P604" s="24"/>
      <c r="Q604" s="24">
        <f t="shared" si="6"/>
        <v>0</v>
      </c>
      <c r="R604" s="24">
        <f t="shared" si="7"/>
        <v>0</v>
      </c>
      <c r="S604" s="24"/>
      <c r="T604" s="24">
        <f t="shared" si="9"/>
        <v>0</v>
      </c>
    </row>
    <row r="605">
      <c r="A605" s="12" t="s">
        <v>694</v>
      </c>
      <c r="F605" s="19">
        <f>IFERROR(__xludf.DUMMYFUNCTION("SPLIT(A601, "" |"")"),599.0)</f>
        <v>599</v>
      </c>
      <c r="G605" s="19">
        <f>IFERROR(__xludf.DUMMYFUNCTION("""COMPUTED_VALUE"""),0.0024)</f>
        <v>0.0024</v>
      </c>
      <c r="H605" s="19" t="str">
        <f>IFERROR(__xludf.DUMMYFUNCTION("""COMPUTED_VALUE"""),"-")</f>
        <v>-</v>
      </c>
      <c r="I605" s="19">
        <f>IFERROR(__xludf.DUMMYFUNCTION("""COMPUTED_VALUE"""),0.0022)</f>
        <v>0.0022</v>
      </c>
      <c r="J605" s="19">
        <f>IFERROR(__xludf.DUMMYFUNCTION("""COMPUTED_VALUE"""),0.04749)</f>
        <v>0.04749</v>
      </c>
      <c r="K605" s="19" t="str">
        <f>IFERROR(__xludf.DUMMYFUNCTION("""COMPUTED_VALUE"""),"-")</f>
        <v>-</v>
      </c>
      <c r="L605" s="19">
        <f>IFERROR(__xludf.DUMMYFUNCTION("""COMPUTED_VALUE"""),0.04758)</f>
        <v>0.04758</v>
      </c>
      <c r="O605" s="24">
        <f t="shared" si="4"/>
        <v>0</v>
      </c>
      <c r="P605" s="24"/>
      <c r="Q605" s="24">
        <f t="shared" si="6"/>
        <v>0</v>
      </c>
      <c r="R605" s="24">
        <f t="shared" si="7"/>
        <v>0</v>
      </c>
      <c r="S605" s="24"/>
      <c r="T605" s="24">
        <f t="shared" si="9"/>
        <v>0</v>
      </c>
    </row>
    <row r="606">
      <c r="A606" s="12" t="s">
        <v>695</v>
      </c>
      <c r="F606" s="19">
        <f>IFERROR(__xludf.DUMMYFUNCTION("SPLIT(A602, "" |"")"),600.0)</f>
        <v>600</v>
      </c>
      <c r="G606" s="19">
        <f>IFERROR(__xludf.DUMMYFUNCTION("""COMPUTED_VALUE"""),0.00241)</f>
        <v>0.00241</v>
      </c>
      <c r="H606" s="19" t="str">
        <f>IFERROR(__xludf.DUMMYFUNCTION("""COMPUTED_VALUE"""),"-")</f>
        <v>-</v>
      </c>
      <c r="I606" s="19">
        <f>IFERROR(__xludf.DUMMYFUNCTION("""COMPUTED_VALUE"""),0.00227)</f>
        <v>0.00227</v>
      </c>
      <c r="J606" s="19">
        <f>IFERROR(__xludf.DUMMYFUNCTION("""COMPUTED_VALUE"""),0.04746)</f>
        <v>0.04746</v>
      </c>
      <c r="K606" s="19" t="str">
        <f>IFERROR(__xludf.DUMMYFUNCTION("""COMPUTED_VALUE"""),"-")</f>
        <v>-</v>
      </c>
      <c r="L606" s="19">
        <f>IFERROR(__xludf.DUMMYFUNCTION("""COMPUTED_VALUE"""),0.04753)</f>
        <v>0.04753</v>
      </c>
      <c r="O606" s="24">
        <f t="shared" si="4"/>
        <v>0</v>
      </c>
      <c r="P606" s="24"/>
      <c r="Q606" s="24">
        <f t="shared" si="6"/>
        <v>0</v>
      </c>
      <c r="R606" s="24">
        <f t="shared" si="7"/>
        <v>0</v>
      </c>
      <c r="S606" s="24"/>
      <c r="T606" s="24">
        <f t="shared" si="9"/>
        <v>0</v>
      </c>
    </row>
    <row r="607">
      <c r="A607" s="12" t="s">
        <v>696</v>
      </c>
      <c r="F607" s="19">
        <f>IFERROR(__xludf.DUMMYFUNCTION("SPLIT(A603, "" |"")"),601.0)</f>
        <v>601</v>
      </c>
      <c r="G607" s="19">
        <f>IFERROR(__xludf.DUMMYFUNCTION("""COMPUTED_VALUE"""),0.00239)</f>
        <v>0.00239</v>
      </c>
      <c r="H607" s="19" t="str">
        <f>IFERROR(__xludf.DUMMYFUNCTION("""COMPUTED_VALUE"""),"-")</f>
        <v>-</v>
      </c>
      <c r="I607" s="19">
        <f>IFERROR(__xludf.DUMMYFUNCTION("""COMPUTED_VALUE"""),0.00218)</f>
        <v>0.00218</v>
      </c>
      <c r="J607" s="19">
        <f>IFERROR(__xludf.DUMMYFUNCTION("""COMPUTED_VALUE"""),0.04743)</f>
        <v>0.04743</v>
      </c>
      <c r="K607" s="19" t="str">
        <f>IFERROR(__xludf.DUMMYFUNCTION("""COMPUTED_VALUE"""),"-")</f>
        <v>-</v>
      </c>
      <c r="L607" s="19">
        <f>IFERROR(__xludf.DUMMYFUNCTION("""COMPUTED_VALUE"""),0.04765)</f>
        <v>0.04765</v>
      </c>
      <c r="O607" s="24">
        <f t="shared" si="4"/>
        <v>0</v>
      </c>
      <c r="P607" s="24"/>
      <c r="Q607" s="24">
        <f t="shared" si="6"/>
        <v>0</v>
      </c>
      <c r="R607" s="24">
        <f t="shared" si="7"/>
        <v>0</v>
      </c>
      <c r="S607" s="24"/>
      <c r="T607" s="24">
        <f t="shared" si="9"/>
        <v>0</v>
      </c>
    </row>
    <row r="608">
      <c r="A608" s="12" t="s">
        <v>697</v>
      </c>
      <c r="F608" s="19">
        <f>IFERROR(__xludf.DUMMYFUNCTION("SPLIT(A604, "" |"")"),602.0)</f>
        <v>602</v>
      </c>
      <c r="G608" s="19">
        <f>IFERROR(__xludf.DUMMYFUNCTION("""COMPUTED_VALUE"""),0.00242)</f>
        <v>0.00242</v>
      </c>
      <c r="H608" s="19" t="str">
        <f>IFERROR(__xludf.DUMMYFUNCTION("""COMPUTED_VALUE"""),"-")</f>
        <v>-</v>
      </c>
      <c r="I608" s="19">
        <f>IFERROR(__xludf.DUMMYFUNCTION("""COMPUTED_VALUE"""),0.00225)</f>
        <v>0.00225</v>
      </c>
      <c r="J608" s="19">
        <f>IFERROR(__xludf.DUMMYFUNCTION("""COMPUTED_VALUE"""),0.04743)</f>
        <v>0.04743</v>
      </c>
      <c r="K608" s="19" t="str">
        <f>IFERROR(__xludf.DUMMYFUNCTION("""COMPUTED_VALUE"""),"-")</f>
        <v>-</v>
      </c>
      <c r="L608" s="19">
        <f>IFERROR(__xludf.DUMMYFUNCTION("""COMPUTED_VALUE"""),0.04763)</f>
        <v>0.04763</v>
      </c>
      <c r="O608" s="24">
        <f t="shared" si="4"/>
        <v>0</v>
      </c>
      <c r="P608" s="24"/>
      <c r="Q608" s="24">
        <f t="shared" si="6"/>
        <v>0</v>
      </c>
      <c r="R608" s="24">
        <f t="shared" si="7"/>
        <v>0</v>
      </c>
      <c r="S608" s="24"/>
      <c r="T608" s="24">
        <f t="shared" si="9"/>
        <v>0</v>
      </c>
    </row>
    <row r="609">
      <c r="A609" s="12" t="s">
        <v>698</v>
      </c>
      <c r="F609" s="19">
        <f>IFERROR(__xludf.DUMMYFUNCTION("SPLIT(A605, "" |"")"),603.0)</f>
        <v>603</v>
      </c>
      <c r="G609" s="19">
        <f>IFERROR(__xludf.DUMMYFUNCTION("""COMPUTED_VALUE"""),0.00241)</f>
        <v>0.00241</v>
      </c>
      <c r="H609" s="19" t="str">
        <f>IFERROR(__xludf.DUMMYFUNCTION("""COMPUTED_VALUE"""),"-")</f>
        <v>-</v>
      </c>
      <c r="I609" s="19">
        <f>IFERROR(__xludf.DUMMYFUNCTION("""COMPUTED_VALUE"""),0.00223)</f>
        <v>0.00223</v>
      </c>
      <c r="J609" s="19">
        <f>IFERROR(__xludf.DUMMYFUNCTION("""COMPUTED_VALUE"""),0.04747)</f>
        <v>0.04747</v>
      </c>
      <c r="K609" s="19" t="str">
        <f>IFERROR(__xludf.DUMMYFUNCTION("""COMPUTED_VALUE"""),"-")</f>
        <v>-</v>
      </c>
      <c r="L609" s="19">
        <f>IFERROR(__xludf.DUMMYFUNCTION("""COMPUTED_VALUE"""),0.04755)</f>
        <v>0.04755</v>
      </c>
      <c r="O609" s="24">
        <f t="shared" si="4"/>
        <v>0</v>
      </c>
      <c r="P609" s="24"/>
      <c r="Q609" s="24">
        <f t="shared" si="6"/>
        <v>0</v>
      </c>
      <c r="R609" s="24">
        <f t="shared" si="7"/>
        <v>0</v>
      </c>
      <c r="S609" s="24"/>
      <c r="T609" s="24">
        <f t="shared" si="9"/>
        <v>0</v>
      </c>
    </row>
    <row r="610">
      <c r="A610" s="12" t="s">
        <v>699</v>
      </c>
      <c r="F610" s="19">
        <f>IFERROR(__xludf.DUMMYFUNCTION("SPLIT(A606, "" |"")"),604.0)</f>
        <v>604</v>
      </c>
      <c r="G610" s="19">
        <f>IFERROR(__xludf.DUMMYFUNCTION("""COMPUTED_VALUE"""),0.0023)</f>
        <v>0.0023</v>
      </c>
      <c r="H610" s="19" t="str">
        <f>IFERROR(__xludf.DUMMYFUNCTION("""COMPUTED_VALUE"""),"-")</f>
        <v>-</v>
      </c>
      <c r="I610" s="19">
        <f>IFERROR(__xludf.DUMMYFUNCTION("""COMPUTED_VALUE"""),0.00222)</f>
        <v>0.00222</v>
      </c>
      <c r="J610" s="19">
        <f>IFERROR(__xludf.DUMMYFUNCTION("""COMPUTED_VALUE"""),0.04543)</f>
        <v>0.04543</v>
      </c>
      <c r="K610" s="19" t="str">
        <f>IFERROR(__xludf.DUMMYFUNCTION("""COMPUTED_VALUE"""),"-")</f>
        <v>-</v>
      </c>
      <c r="L610" s="19">
        <f>IFERROR(__xludf.DUMMYFUNCTION("""COMPUTED_VALUE"""),0.04142)</f>
        <v>0.04142</v>
      </c>
      <c r="O610" s="24">
        <f t="shared" si="4"/>
        <v>0</v>
      </c>
      <c r="P610" s="24"/>
      <c r="Q610" s="24">
        <f t="shared" si="6"/>
        <v>0</v>
      </c>
      <c r="R610" s="24">
        <f t="shared" si="7"/>
        <v>0</v>
      </c>
      <c r="S610" s="24"/>
      <c r="T610" s="24">
        <f t="shared" si="9"/>
        <v>0</v>
      </c>
    </row>
    <row r="611">
      <c r="A611" s="12" t="s">
        <v>700</v>
      </c>
      <c r="F611" s="19">
        <f>IFERROR(__xludf.DUMMYFUNCTION("SPLIT(A607, "" |"")"),605.0)</f>
        <v>605</v>
      </c>
      <c r="G611" s="19">
        <f>IFERROR(__xludf.DUMMYFUNCTION("""COMPUTED_VALUE"""),0.00228)</f>
        <v>0.00228</v>
      </c>
      <c r="H611" s="19" t="str">
        <f>IFERROR(__xludf.DUMMYFUNCTION("""COMPUTED_VALUE"""),"-")</f>
        <v>-</v>
      </c>
      <c r="I611" s="19">
        <f>IFERROR(__xludf.DUMMYFUNCTION("""COMPUTED_VALUE"""),0.00218)</f>
        <v>0.00218</v>
      </c>
      <c r="J611" s="19">
        <f>IFERROR(__xludf.DUMMYFUNCTION("""COMPUTED_VALUE"""),0.04745)</f>
        <v>0.04745</v>
      </c>
      <c r="K611" s="19" t="str">
        <f>IFERROR(__xludf.DUMMYFUNCTION("""COMPUTED_VALUE"""),"-")</f>
        <v>-</v>
      </c>
      <c r="L611" s="19">
        <f>IFERROR(__xludf.DUMMYFUNCTION("""COMPUTED_VALUE"""),0.04761)</f>
        <v>0.04761</v>
      </c>
      <c r="O611" s="24">
        <f t="shared" si="4"/>
        <v>0</v>
      </c>
      <c r="P611" s="24"/>
      <c r="Q611" s="24">
        <f t="shared" si="6"/>
        <v>0</v>
      </c>
      <c r="R611" s="24">
        <f t="shared" si="7"/>
        <v>0</v>
      </c>
      <c r="S611" s="24"/>
      <c r="T611" s="24">
        <f t="shared" si="9"/>
        <v>0</v>
      </c>
    </row>
    <row r="612">
      <c r="A612" s="12" t="s">
        <v>701</v>
      </c>
      <c r="F612" s="19">
        <f>IFERROR(__xludf.DUMMYFUNCTION("SPLIT(A608, "" |"")"),606.0)</f>
        <v>606</v>
      </c>
      <c r="G612" s="19">
        <f>IFERROR(__xludf.DUMMYFUNCTION("""COMPUTED_VALUE"""),0.00236)</f>
        <v>0.00236</v>
      </c>
      <c r="H612" s="19" t="str">
        <f>IFERROR(__xludf.DUMMYFUNCTION("""COMPUTED_VALUE"""),"-")</f>
        <v>-</v>
      </c>
      <c r="I612" s="19">
        <f>IFERROR(__xludf.DUMMYFUNCTION("""COMPUTED_VALUE"""),0.00221)</f>
        <v>0.00221</v>
      </c>
      <c r="J612" s="19">
        <f>IFERROR(__xludf.DUMMYFUNCTION("""COMPUTED_VALUE"""),0.0457)</f>
        <v>0.0457</v>
      </c>
      <c r="K612" s="19" t="str">
        <f>IFERROR(__xludf.DUMMYFUNCTION("""COMPUTED_VALUE"""),"-")</f>
        <v>-</v>
      </c>
      <c r="L612" s="19">
        <f>IFERROR(__xludf.DUMMYFUNCTION("""COMPUTED_VALUE"""),0.04759)</f>
        <v>0.04759</v>
      </c>
      <c r="O612" s="24">
        <f t="shared" si="4"/>
        <v>0</v>
      </c>
      <c r="P612" s="24"/>
      <c r="Q612" s="24">
        <f t="shared" si="6"/>
        <v>0</v>
      </c>
      <c r="R612" s="24">
        <f t="shared" si="7"/>
        <v>0</v>
      </c>
      <c r="S612" s="24"/>
      <c r="T612" s="24">
        <f t="shared" si="9"/>
        <v>0</v>
      </c>
    </row>
    <row r="613">
      <c r="A613" s="12" t="s">
        <v>702</v>
      </c>
      <c r="F613" s="19">
        <f>IFERROR(__xludf.DUMMYFUNCTION("SPLIT(A609, "" |"")"),607.0)</f>
        <v>607</v>
      </c>
      <c r="G613" s="19">
        <f>IFERROR(__xludf.DUMMYFUNCTION("""COMPUTED_VALUE"""),0.00225)</f>
        <v>0.00225</v>
      </c>
      <c r="H613" s="19" t="str">
        <f>IFERROR(__xludf.DUMMYFUNCTION("""COMPUTED_VALUE"""),"-")</f>
        <v>-</v>
      </c>
      <c r="I613" s="19">
        <f>IFERROR(__xludf.DUMMYFUNCTION("""COMPUTED_VALUE"""),0.00223)</f>
        <v>0.00223</v>
      </c>
      <c r="J613" s="19">
        <f>IFERROR(__xludf.DUMMYFUNCTION("""COMPUTED_VALUE"""),0.04742)</f>
        <v>0.04742</v>
      </c>
      <c r="K613" s="19" t="str">
        <f>IFERROR(__xludf.DUMMYFUNCTION("""COMPUTED_VALUE"""),"-")</f>
        <v>-</v>
      </c>
      <c r="L613" s="19">
        <f>IFERROR(__xludf.DUMMYFUNCTION("""COMPUTED_VALUE"""),0.04755)</f>
        <v>0.04755</v>
      </c>
      <c r="O613" s="24">
        <f t="shared" si="4"/>
        <v>0</v>
      </c>
      <c r="P613" s="24"/>
      <c r="Q613" s="24">
        <f t="shared" si="6"/>
        <v>0</v>
      </c>
      <c r="R613" s="24">
        <f t="shared" si="7"/>
        <v>0</v>
      </c>
      <c r="S613" s="24"/>
      <c r="T613" s="24">
        <f t="shared" si="9"/>
        <v>0</v>
      </c>
    </row>
    <row r="614">
      <c r="A614" s="12" t="s">
        <v>703</v>
      </c>
      <c r="F614" s="19">
        <f>IFERROR(__xludf.DUMMYFUNCTION("SPLIT(A610, "" |"")"),608.0)</f>
        <v>608</v>
      </c>
      <c r="G614" s="19">
        <f>IFERROR(__xludf.DUMMYFUNCTION("""COMPUTED_VALUE"""),0.00234)</f>
        <v>0.00234</v>
      </c>
      <c r="H614" s="19" t="str">
        <f>IFERROR(__xludf.DUMMYFUNCTION("""COMPUTED_VALUE"""),"-")</f>
        <v>-</v>
      </c>
      <c r="I614" s="19">
        <f>IFERROR(__xludf.DUMMYFUNCTION("""COMPUTED_VALUE"""),0.00218)</f>
        <v>0.00218</v>
      </c>
      <c r="J614" s="19">
        <f>IFERROR(__xludf.DUMMYFUNCTION("""COMPUTED_VALUE"""),0.04754)</f>
        <v>0.04754</v>
      </c>
      <c r="K614" s="19" t="str">
        <f>IFERROR(__xludf.DUMMYFUNCTION("""COMPUTED_VALUE"""),"-")</f>
        <v>-</v>
      </c>
      <c r="L614" s="19">
        <f>IFERROR(__xludf.DUMMYFUNCTION("""COMPUTED_VALUE"""),0.04756)</f>
        <v>0.04756</v>
      </c>
      <c r="O614" s="24">
        <f t="shared" si="4"/>
        <v>0</v>
      </c>
      <c r="P614" s="24"/>
      <c r="Q614" s="24">
        <f t="shared" si="6"/>
        <v>0</v>
      </c>
      <c r="R614" s="24">
        <f t="shared" si="7"/>
        <v>0</v>
      </c>
      <c r="S614" s="24"/>
      <c r="T614" s="24">
        <f t="shared" si="9"/>
        <v>0</v>
      </c>
    </row>
    <row r="615">
      <c r="A615" s="12" t="s">
        <v>704</v>
      </c>
      <c r="F615" s="19">
        <f>IFERROR(__xludf.DUMMYFUNCTION("SPLIT(A611, "" |"")"),609.0)</f>
        <v>609</v>
      </c>
      <c r="G615" s="19">
        <f>IFERROR(__xludf.DUMMYFUNCTION("""COMPUTED_VALUE"""),0.00227)</f>
        <v>0.00227</v>
      </c>
      <c r="H615" s="19" t="str">
        <f>IFERROR(__xludf.DUMMYFUNCTION("""COMPUTED_VALUE"""),"-")</f>
        <v>-</v>
      </c>
      <c r="I615" s="19">
        <f>IFERROR(__xludf.DUMMYFUNCTION("""COMPUTED_VALUE"""),0.00219)</f>
        <v>0.00219</v>
      </c>
      <c r="J615" s="19">
        <f>IFERROR(__xludf.DUMMYFUNCTION("""COMPUTED_VALUE"""),0.04745)</f>
        <v>0.04745</v>
      </c>
      <c r="K615" s="19" t="str">
        <f>IFERROR(__xludf.DUMMYFUNCTION("""COMPUTED_VALUE"""),"-")</f>
        <v>-</v>
      </c>
      <c r="L615" s="19">
        <f>IFERROR(__xludf.DUMMYFUNCTION("""COMPUTED_VALUE"""),0.04756)</f>
        <v>0.04756</v>
      </c>
      <c r="O615" s="24">
        <f t="shared" si="4"/>
        <v>0</v>
      </c>
      <c r="P615" s="24"/>
      <c r="Q615" s="24">
        <f t="shared" si="6"/>
        <v>0</v>
      </c>
      <c r="R615" s="24">
        <f t="shared" si="7"/>
        <v>0</v>
      </c>
      <c r="S615" s="24"/>
      <c r="T615" s="24">
        <f t="shared" si="9"/>
        <v>0</v>
      </c>
    </row>
    <row r="616">
      <c r="A616" s="12" t="s">
        <v>705</v>
      </c>
      <c r="F616" s="19">
        <f>IFERROR(__xludf.DUMMYFUNCTION("SPLIT(A612, "" |"")"),610.0)</f>
        <v>610</v>
      </c>
      <c r="G616" s="19">
        <f>IFERROR(__xludf.DUMMYFUNCTION("""COMPUTED_VALUE"""),0.00232)</f>
        <v>0.00232</v>
      </c>
      <c r="H616" s="19" t="str">
        <f>IFERROR(__xludf.DUMMYFUNCTION("""COMPUTED_VALUE"""),"-")</f>
        <v>-</v>
      </c>
      <c r="I616" s="19">
        <f>IFERROR(__xludf.DUMMYFUNCTION("""COMPUTED_VALUE"""),0.00226)</f>
        <v>0.00226</v>
      </c>
      <c r="J616" s="19">
        <f>IFERROR(__xludf.DUMMYFUNCTION("""COMPUTED_VALUE"""),0.04725)</f>
        <v>0.04725</v>
      </c>
      <c r="K616" s="19" t="str">
        <f>IFERROR(__xludf.DUMMYFUNCTION("""COMPUTED_VALUE"""),"-")</f>
        <v>-</v>
      </c>
      <c r="L616" s="19">
        <f>IFERROR(__xludf.DUMMYFUNCTION("""COMPUTED_VALUE"""),0.04714)</f>
        <v>0.04714</v>
      </c>
      <c r="O616" s="24">
        <f t="shared" si="4"/>
        <v>0</v>
      </c>
      <c r="P616" s="24"/>
      <c r="Q616" s="24">
        <f t="shared" si="6"/>
        <v>0</v>
      </c>
      <c r="R616" s="24">
        <f t="shared" si="7"/>
        <v>0</v>
      </c>
      <c r="S616" s="24"/>
      <c r="T616" s="24">
        <f t="shared" si="9"/>
        <v>0</v>
      </c>
    </row>
    <row r="617">
      <c r="A617" s="12" t="s">
        <v>706</v>
      </c>
      <c r="F617" s="19">
        <f>IFERROR(__xludf.DUMMYFUNCTION("SPLIT(A613, "" |"")"),611.0)</f>
        <v>611</v>
      </c>
      <c r="G617" s="19">
        <f>IFERROR(__xludf.DUMMYFUNCTION("""COMPUTED_VALUE"""),0.00239)</f>
        <v>0.00239</v>
      </c>
      <c r="H617" s="19" t="str">
        <f>IFERROR(__xludf.DUMMYFUNCTION("""COMPUTED_VALUE"""),"-")</f>
        <v>-</v>
      </c>
      <c r="I617" s="19">
        <f>IFERROR(__xludf.DUMMYFUNCTION("""COMPUTED_VALUE"""),0.00214)</f>
        <v>0.00214</v>
      </c>
      <c r="J617" s="19">
        <f>IFERROR(__xludf.DUMMYFUNCTION("""COMPUTED_VALUE"""),0.04737)</f>
        <v>0.04737</v>
      </c>
      <c r="K617" s="19" t="str">
        <f>IFERROR(__xludf.DUMMYFUNCTION("""COMPUTED_VALUE"""),"-")</f>
        <v>-</v>
      </c>
      <c r="L617" s="19">
        <f>IFERROR(__xludf.DUMMYFUNCTION("""COMPUTED_VALUE"""),0.04664)</f>
        <v>0.04664</v>
      </c>
      <c r="O617" s="24">
        <f t="shared" si="4"/>
        <v>0</v>
      </c>
      <c r="P617" s="24"/>
      <c r="Q617" s="24">
        <f t="shared" si="6"/>
        <v>0</v>
      </c>
      <c r="R617" s="24">
        <f t="shared" si="7"/>
        <v>0</v>
      </c>
      <c r="S617" s="24"/>
      <c r="T617" s="24">
        <f t="shared" si="9"/>
        <v>0</v>
      </c>
    </row>
    <row r="618">
      <c r="A618" s="12" t="s">
        <v>707</v>
      </c>
      <c r="F618" s="19">
        <f>IFERROR(__xludf.DUMMYFUNCTION("SPLIT(A614, "" |"")"),612.0)</f>
        <v>612</v>
      </c>
      <c r="G618" s="19">
        <f>IFERROR(__xludf.DUMMYFUNCTION("""COMPUTED_VALUE"""),0.00231)</f>
        <v>0.00231</v>
      </c>
      <c r="H618" s="19" t="str">
        <f>IFERROR(__xludf.DUMMYFUNCTION("""COMPUTED_VALUE"""),"-")</f>
        <v>-</v>
      </c>
      <c r="I618" s="19">
        <f>IFERROR(__xludf.DUMMYFUNCTION("""COMPUTED_VALUE"""),0.00218)</f>
        <v>0.00218</v>
      </c>
      <c r="J618" s="19">
        <f>IFERROR(__xludf.DUMMYFUNCTION("""COMPUTED_VALUE"""),0.04744)</f>
        <v>0.04744</v>
      </c>
      <c r="K618" s="19" t="str">
        <f>IFERROR(__xludf.DUMMYFUNCTION("""COMPUTED_VALUE"""),"-")</f>
        <v>-</v>
      </c>
      <c r="L618" s="19">
        <f>IFERROR(__xludf.DUMMYFUNCTION("""COMPUTED_VALUE"""),0.0476)</f>
        <v>0.0476</v>
      </c>
      <c r="O618" s="24">
        <f t="shared" si="4"/>
        <v>0</v>
      </c>
      <c r="P618" s="24"/>
      <c r="Q618" s="24">
        <f t="shared" si="6"/>
        <v>0</v>
      </c>
      <c r="R618" s="24">
        <f t="shared" si="7"/>
        <v>0</v>
      </c>
      <c r="S618" s="24"/>
      <c r="T618" s="24">
        <f t="shared" si="9"/>
        <v>0</v>
      </c>
    </row>
    <row r="619">
      <c r="A619" s="12" t="s">
        <v>708</v>
      </c>
      <c r="F619" s="19">
        <f>IFERROR(__xludf.DUMMYFUNCTION("SPLIT(A615, "" |"")"),613.0)</f>
        <v>613</v>
      </c>
      <c r="G619" s="19">
        <f>IFERROR(__xludf.DUMMYFUNCTION("""COMPUTED_VALUE"""),0.00234)</f>
        <v>0.00234</v>
      </c>
      <c r="H619" s="19" t="str">
        <f>IFERROR(__xludf.DUMMYFUNCTION("""COMPUTED_VALUE"""),"-")</f>
        <v>-</v>
      </c>
      <c r="I619" s="19">
        <f>IFERROR(__xludf.DUMMYFUNCTION("""COMPUTED_VALUE"""),0.00217)</f>
        <v>0.00217</v>
      </c>
      <c r="J619" s="19">
        <f>IFERROR(__xludf.DUMMYFUNCTION("""COMPUTED_VALUE"""),0.04737)</f>
        <v>0.04737</v>
      </c>
      <c r="K619" s="19" t="str">
        <f>IFERROR(__xludf.DUMMYFUNCTION("""COMPUTED_VALUE"""),"-")</f>
        <v>-</v>
      </c>
      <c r="L619" s="19">
        <f>IFERROR(__xludf.DUMMYFUNCTION("""COMPUTED_VALUE"""),0.04751)</f>
        <v>0.04751</v>
      </c>
      <c r="O619" s="24">
        <f t="shared" si="4"/>
        <v>0</v>
      </c>
      <c r="P619" s="24"/>
      <c r="Q619" s="24">
        <f t="shared" si="6"/>
        <v>0</v>
      </c>
      <c r="R619" s="24">
        <f t="shared" si="7"/>
        <v>0</v>
      </c>
      <c r="S619" s="24"/>
      <c r="T619" s="24">
        <f t="shared" si="9"/>
        <v>0</v>
      </c>
    </row>
    <row r="620">
      <c r="A620" s="12" t="s">
        <v>709</v>
      </c>
      <c r="F620" s="19">
        <f>IFERROR(__xludf.DUMMYFUNCTION("SPLIT(A616, "" |"")"),614.0)</f>
        <v>614</v>
      </c>
      <c r="G620" s="19">
        <f>IFERROR(__xludf.DUMMYFUNCTION("""COMPUTED_VALUE"""),0.00231)</f>
        <v>0.00231</v>
      </c>
      <c r="H620" s="19" t="str">
        <f>IFERROR(__xludf.DUMMYFUNCTION("""COMPUTED_VALUE"""),"-")</f>
        <v>-</v>
      </c>
      <c r="I620" s="19">
        <f>IFERROR(__xludf.DUMMYFUNCTION("""COMPUTED_VALUE"""),0.00218)</f>
        <v>0.00218</v>
      </c>
      <c r="J620" s="19">
        <f>IFERROR(__xludf.DUMMYFUNCTION("""COMPUTED_VALUE"""),0.0475)</f>
        <v>0.0475</v>
      </c>
      <c r="K620" s="19" t="str">
        <f>IFERROR(__xludf.DUMMYFUNCTION("""COMPUTED_VALUE"""),"-")</f>
        <v>-</v>
      </c>
      <c r="L620" s="19">
        <f>IFERROR(__xludf.DUMMYFUNCTION("""COMPUTED_VALUE"""),0.04502)</f>
        <v>0.04502</v>
      </c>
      <c r="O620" s="24">
        <f t="shared" si="4"/>
        <v>0</v>
      </c>
      <c r="P620" s="24"/>
      <c r="Q620" s="24">
        <f t="shared" si="6"/>
        <v>0</v>
      </c>
      <c r="R620" s="24">
        <f t="shared" si="7"/>
        <v>0</v>
      </c>
      <c r="S620" s="24"/>
      <c r="T620" s="24">
        <f t="shared" si="9"/>
        <v>0</v>
      </c>
    </row>
    <row r="621">
      <c r="A621" s="12" t="s">
        <v>710</v>
      </c>
      <c r="F621" s="19">
        <f>IFERROR(__xludf.DUMMYFUNCTION("SPLIT(A617, "" |"")"),615.0)</f>
        <v>615</v>
      </c>
      <c r="G621" s="19">
        <f>IFERROR(__xludf.DUMMYFUNCTION("""COMPUTED_VALUE"""),0.00234)</f>
        <v>0.00234</v>
      </c>
      <c r="H621" s="19" t="str">
        <f>IFERROR(__xludf.DUMMYFUNCTION("""COMPUTED_VALUE"""),"-")</f>
        <v>-</v>
      </c>
      <c r="I621" s="19">
        <f>IFERROR(__xludf.DUMMYFUNCTION("""COMPUTED_VALUE"""),0.00219)</f>
        <v>0.00219</v>
      </c>
      <c r="J621" s="19">
        <f>IFERROR(__xludf.DUMMYFUNCTION("""COMPUTED_VALUE"""),0.04271)</f>
        <v>0.04271</v>
      </c>
      <c r="K621" s="19" t="str">
        <f>IFERROR(__xludf.DUMMYFUNCTION("""COMPUTED_VALUE"""),"-")</f>
        <v>-</v>
      </c>
      <c r="L621" s="19">
        <f>IFERROR(__xludf.DUMMYFUNCTION("""COMPUTED_VALUE"""),0.04751)</f>
        <v>0.04751</v>
      </c>
      <c r="O621" s="24">
        <f t="shared" si="4"/>
        <v>0</v>
      </c>
      <c r="P621" s="24"/>
      <c r="Q621" s="24">
        <f t="shared" si="6"/>
        <v>0</v>
      </c>
      <c r="R621" s="24">
        <f t="shared" si="7"/>
        <v>1</v>
      </c>
      <c r="S621" s="24"/>
      <c r="T621" s="24">
        <f t="shared" si="9"/>
        <v>0</v>
      </c>
    </row>
    <row r="622">
      <c r="A622" s="12" t="s">
        <v>711</v>
      </c>
      <c r="F622" s="19">
        <f>IFERROR(__xludf.DUMMYFUNCTION("SPLIT(A618, "" |"")"),616.0)</f>
        <v>616</v>
      </c>
      <c r="G622" s="19">
        <f>IFERROR(__xludf.DUMMYFUNCTION("""COMPUTED_VALUE"""),0.00238)</f>
        <v>0.00238</v>
      </c>
      <c r="H622" s="19" t="str">
        <f>IFERROR(__xludf.DUMMYFUNCTION("""COMPUTED_VALUE"""),"-")</f>
        <v>-</v>
      </c>
      <c r="I622" s="19">
        <f>IFERROR(__xludf.DUMMYFUNCTION("""COMPUTED_VALUE"""),0.0022)</f>
        <v>0.0022</v>
      </c>
      <c r="J622" s="19">
        <f>IFERROR(__xludf.DUMMYFUNCTION("""COMPUTED_VALUE"""),0.03988)</f>
        <v>0.03988</v>
      </c>
      <c r="K622" s="19" t="str">
        <f>IFERROR(__xludf.DUMMYFUNCTION("""COMPUTED_VALUE"""),"-")</f>
        <v>-</v>
      </c>
      <c r="L622" s="19">
        <f>IFERROR(__xludf.DUMMYFUNCTION("""COMPUTED_VALUE"""),0.04448)</f>
        <v>0.04448</v>
      </c>
      <c r="O622" s="24">
        <f t="shared" si="4"/>
        <v>0</v>
      </c>
      <c r="P622" s="24"/>
      <c r="Q622" s="24">
        <f t="shared" si="6"/>
        <v>0</v>
      </c>
      <c r="R622" s="24">
        <f t="shared" si="7"/>
        <v>1</v>
      </c>
      <c r="S622" s="24"/>
      <c r="T622" s="24">
        <f t="shared" si="9"/>
        <v>0</v>
      </c>
    </row>
    <row r="623">
      <c r="A623" s="12" t="s">
        <v>712</v>
      </c>
      <c r="F623" s="19">
        <f>IFERROR(__xludf.DUMMYFUNCTION("SPLIT(A619, "" |"")"),617.0)</f>
        <v>617</v>
      </c>
      <c r="G623" s="19">
        <f>IFERROR(__xludf.DUMMYFUNCTION("""COMPUTED_VALUE"""),0.00239)</f>
        <v>0.00239</v>
      </c>
      <c r="H623" s="19" t="str">
        <f>IFERROR(__xludf.DUMMYFUNCTION("""COMPUTED_VALUE"""),"-")</f>
        <v>-</v>
      </c>
      <c r="I623" s="19">
        <f>IFERROR(__xludf.DUMMYFUNCTION("""COMPUTED_VALUE"""),0.00219)</f>
        <v>0.00219</v>
      </c>
      <c r="J623" s="19">
        <f>IFERROR(__xludf.DUMMYFUNCTION("""COMPUTED_VALUE"""),0.04746)</f>
        <v>0.04746</v>
      </c>
      <c r="K623" s="19" t="str">
        <f>IFERROR(__xludf.DUMMYFUNCTION("""COMPUTED_VALUE"""),"-")</f>
        <v>-</v>
      </c>
      <c r="L623" s="19">
        <f>IFERROR(__xludf.DUMMYFUNCTION("""COMPUTED_VALUE"""),0.04768)</f>
        <v>0.04768</v>
      </c>
      <c r="O623" s="24">
        <f t="shared" si="4"/>
        <v>0</v>
      </c>
      <c r="P623" s="24"/>
      <c r="Q623" s="24">
        <f t="shared" si="6"/>
        <v>0</v>
      </c>
      <c r="R623" s="24">
        <f t="shared" si="7"/>
        <v>0</v>
      </c>
      <c r="S623" s="24"/>
      <c r="T623" s="24">
        <f t="shared" si="9"/>
        <v>0</v>
      </c>
    </row>
    <row r="624">
      <c r="A624" s="12" t="s">
        <v>713</v>
      </c>
      <c r="F624" s="19">
        <f>IFERROR(__xludf.DUMMYFUNCTION("SPLIT(A620, "" |"")"),618.0)</f>
        <v>618</v>
      </c>
      <c r="G624" s="19">
        <f>IFERROR(__xludf.DUMMYFUNCTION("""COMPUTED_VALUE"""),0.00235)</f>
        <v>0.00235</v>
      </c>
      <c r="H624" s="19" t="str">
        <f>IFERROR(__xludf.DUMMYFUNCTION("""COMPUTED_VALUE"""),"-")</f>
        <v>-</v>
      </c>
      <c r="I624" s="19">
        <f>IFERROR(__xludf.DUMMYFUNCTION("""COMPUTED_VALUE"""),0.0022)</f>
        <v>0.0022</v>
      </c>
      <c r="J624" s="19">
        <f>IFERROR(__xludf.DUMMYFUNCTION("""COMPUTED_VALUE"""),0.04744)</f>
        <v>0.04744</v>
      </c>
      <c r="K624" s="19" t="str">
        <f>IFERROR(__xludf.DUMMYFUNCTION("""COMPUTED_VALUE"""),"-")</f>
        <v>-</v>
      </c>
      <c r="L624" s="19">
        <f>IFERROR(__xludf.DUMMYFUNCTION("""COMPUTED_VALUE"""),0.04028)</f>
        <v>0.04028</v>
      </c>
      <c r="O624" s="24">
        <f t="shared" si="4"/>
        <v>0</v>
      </c>
      <c r="P624" s="24"/>
      <c r="Q624" s="24">
        <f t="shared" si="6"/>
        <v>0</v>
      </c>
      <c r="R624" s="24">
        <f t="shared" si="7"/>
        <v>0</v>
      </c>
      <c r="S624" s="24"/>
      <c r="T624" s="24">
        <f t="shared" si="9"/>
        <v>0</v>
      </c>
    </row>
    <row r="625">
      <c r="A625" s="12" t="s">
        <v>714</v>
      </c>
      <c r="F625" s="19">
        <f>IFERROR(__xludf.DUMMYFUNCTION("SPLIT(A621, "" |"")"),619.0)</f>
        <v>619</v>
      </c>
      <c r="G625" s="19">
        <f>IFERROR(__xludf.DUMMYFUNCTION("""COMPUTED_VALUE"""),0.00229)</f>
        <v>0.00229</v>
      </c>
      <c r="H625" s="19" t="str">
        <f>IFERROR(__xludf.DUMMYFUNCTION("""COMPUTED_VALUE"""),"-")</f>
        <v>-</v>
      </c>
      <c r="I625" s="19">
        <f>IFERROR(__xludf.DUMMYFUNCTION("""COMPUTED_VALUE"""),0.00216)</f>
        <v>0.00216</v>
      </c>
      <c r="J625" s="19">
        <f>IFERROR(__xludf.DUMMYFUNCTION("""COMPUTED_VALUE"""),0.04744)</f>
        <v>0.04744</v>
      </c>
      <c r="K625" s="19" t="str">
        <f>IFERROR(__xludf.DUMMYFUNCTION("""COMPUTED_VALUE"""),"-")</f>
        <v>-</v>
      </c>
      <c r="L625" s="19">
        <f>IFERROR(__xludf.DUMMYFUNCTION("""COMPUTED_VALUE"""),0.04765)</f>
        <v>0.04765</v>
      </c>
      <c r="O625" s="24">
        <f t="shared" si="4"/>
        <v>0</v>
      </c>
      <c r="P625" s="24"/>
      <c r="Q625" s="24">
        <f t="shared" si="6"/>
        <v>0</v>
      </c>
      <c r="R625" s="24">
        <f t="shared" si="7"/>
        <v>0</v>
      </c>
      <c r="S625" s="24"/>
      <c r="T625" s="24">
        <f t="shared" si="9"/>
        <v>0</v>
      </c>
    </row>
    <row r="626">
      <c r="A626" s="12" t="s">
        <v>715</v>
      </c>
      <c r="F626" s="19">
        <f>IFERROR(__xludf.DUMMYFUNCTION("SPLIT(A622, "" |"")"),620.0)</f>
        <v>620</v>
      </c>
      <c r="G626" s="19">
        <f>IFERROR(__xludf.DUMMYFUNCTION("""COMPUTED_VALUE"""),0.00234)</f>
        <v>0.00234</v>
      </c>
      <c r="H626" s="19" t="str">
        <f>IFERROR(__xludf.DUMMYFUNCTION("""COMPUTED_VALUE"""),"-")</f>
        <v>-</v>
      </c>
      <c r="I626" s="19">
        <f>IFERROR(__xludf.DUMMYFUNCTION("""COMPUTED_VALUE"""),0.00216)</f>
        <v>0.00216</v>
      </c>
      <c r="J626" s="19">
        <f>IFERROR(__xludf.DUMMYFUNCTION("""COMPUTED_VALUE"""),0.04171)</f>
        <v>0.04171</v>
      </c>
      <c r="K626" s="19" t="str">
        <f>IFERROR(__xludf.DUMMYFUNCTION("""COMPUTED_VALUE"""),"-")</f>
        <v>-</v>
      </c>
      <c r="L626" s="19">
        <f>IFERROR(__xludf.DUMMYFUNCTION("""COMPUTED_VALUE"""),0.04753)</f>
        <v>0.04753</v>
      </c>
      <c r="O626" s="24">
        <f t="shared" si="4"/>
        <v>0</v>
      </c>
      <c r="P626" s="24"/>
      <c r="Q626" s="24">
        <f t="shared" si="6"/>
        <v>0</v>
      </c>
      <c r="R626" s="24">
        <f t="shared" si="7"/>
        <v>1</v>
      </c>
      <c r="S626" s="24"/>
      <c r="T626" s="24">
        <f t="shared" si="9"/>
        <v>0</v>
      </c>
    </row>
    <row r="627">
      <c r="A627" s="12" t="s">
        <v>716</v>
      </c>
      <c r="F627" s="19">
        <f>IFERROR(__xludf.DUMMYFUNCTION("SPLIT(A623, "" |"")"),621.0)</f>
        <v>621</v>
      </c>
      <c r="G627" s="19">
        <f>IFERROR(__xludf.DUMMYFUNCTION("""COMPUTED_VALUE"""),0.00239)</f>
        <v>0.00239</v>
      </c>
      <c r="H627" s="19" t="str">
        <f>IFERROR(__xludf.DUMMYFUNCTION("""COMPUTED_VALUE"""),"-")</f>
        <v>-</v>
      </c>
      <c r="I627" s="19">
        <f>IFERROR(__xludf.DUMMYFUNCTION("""COMPUTED_VALUE"""),0.00217)</f>
        <v>0.00217</v>
      </c>
      <c r="J627" s="19">
        <f>IFERROR(__xludf.DUMMYFUNCTION("""COMPUTED_VALUE"""),0.0474)</f>
        <v>0.0474</v>
      </c>
      <c r="K627" s="19" t="str">
        <f>IFERROR(__xludf.DUMMYFUNCTION("""COMPUTED_VALUE"""),"-")</f>
        <v>-</v>
      </c>
      <c r="L627" s="19">
        <f>IFERROR(__xludf.DUMMYFUNCTION("""COMPUTED_VALUE"""),0.03822)</f>
        <v>0.03822</v>
      </c>
      <c r="O627" s="24">
        <f t="shared" si="4"/>
        <v>0</v>
      </c>
      <c r="P627" s="24"/>
      <c r="Q627" s="24">
        <f t="shared" si="6"/>
        <v>0</v>
      </c>
      <c r="R627" s="24">
        <f t="shared" si="7"/>
        <v>0</v>
      </c>
      <c r="S627" s="24"/>
      <c r="T627" s="24">
        <f t="shared" si="9"/>
        <v>0</v>
      </c>
    </row>
    <row r="628">
      <c r="A628" s="12" t="s">
        <v>717</v>
      </c>
      <c r="F628" s="19">
        <f>IFERROR(__xludf.DUMMYFUNCTION("SPLIT(A624, "" |"")"),622.0)</f>
        <v>622</v>
      </c>
      <c r="G628" s="19">
        <f>IFERROR(__xludf.DUMMYFUNCTION("""COMPUTED_VALUE"""),0.00238)</f>
        <v>0.00238</v>
      </c>
      <c r="H628" s="19" t="str">
        <f>IFERROR(__xludf.DUMMYFUNCTION("""COMPUTED_VALUE"""),"-")</f>
        <v>-</v>
      </c>
      <c r="I628" s="19">
        <f>IFERROR(__xludf.DUMMYFUNCTION("""COMPUTED_VALUE"""),0.00214)</f>
        <v>0.00214</v>
      </c>
      <c r="J628" s="19">
        <f>IFERROR(__xludf.DUMMYFUNCTION("""COMPUTED_VALUE"""),0.04738)</f>
        <v>0.04738</v>
      </c>
      <c r="K628" s="19" t="str">
        <f>IFERROR(__xludf.DUMMYFUNCTION("""COMPUTED_VALUE"""),"-")</f>
        <v>-</v>
      </c>
      <c r="L628" s="19">
        <f>IFERROR(__xludf.DUMMYFUNCTION("""COMPUTED_VALUE"""),0.04766)</f>
        <v>0.04766</v>
      </c>
      <c r="O628" s="24">
        <f t="shared" si="4"/>
        <v>0</v>
      </c>
      <c r="P628" s="24"/>
      <c r="Q628" s="24">
        <f t="shared" si="6"/>
        <v>0</v>
      </c>
      <c r="R628" s="24">
        <f t="shared" si="7"/>
        <v>0</v>
      </c>
      <c r="S628" s="24"/>
      <c r="T628" s="24">
        <f t="shared" si="9"/>
        <v>0</v>
      </c>
    </row>
    <row r="629">
      <c r="A629" s="12" t="s">
        <v>718</v>
      </c>
      <c r="F629" s="19">
        <f>IFERROR(__xludf.DUMMYFUNCTION("SPLIT(A625, "" |"")"),623.0)</f>
        <v>623</v>
      </c>
      <c r="G629" s="19">
        <f>IFERROR(__xludf.DUMMYFUNCTION("""COMPUTED_VALUE"""),0.00232)</f>
        <v>0.00232</v>
      </c>
      <c r="H629" s="19" t="str">
        <f>IFERROR(__xludf.DUMMYFUNCTION("""COMPUTED_VALUE"""),"-")</f>
        <v>-</v>
      </c>
      <c r="I629" s="19">
        <f>IFERROR(__xludf.DUMMYFUNCTION("""COMPUTED_VALUE"""),0.00218)</f>
        <v>0.00218</v>
      </c>
      <c r="J629" s="19">
        <f>IFERROR(__xludf.DUMMYFUNCTION("""COMPUTED_VALUE"""),0.04744)</f>
        <v>0.04744</v>
      </c>
      <c r="K629" s="19" t="str">
        <f>IFERROR(__xludf.DUMMYFUNCTION("""COMPUTED_VALUE"""),"-")</f>
        <v>-</v>
      </c>
      <c r="L629" s="19">
        <f>IFERROR(__xludf.DUMMYFUNCTION("""COMPUTED_VALUE"""),0.04762)</f>
        <v>0.04762</v>
      </c>
      <c r="O629" s="24">
        <f t="shared" si="4"/>
        <v>0</v>
      </c>
      <c r="P629" s="24"/>
      <c r="Q629" s="24">
        <f t="shared" si="6"/>
        <v>0</v>
      </c>
      <c r="R629" s="24">
        <f t="shared" si="7"/>
        <v>0</v>
      </c>
      <c r="S629" s="24"/>
      <c r="T629" s="24">
        <f t="shared" si="9"/>
        <v>0</v>
      </c>
    </row>
    <row r="630">
      <c r="A630" s="12" t="s">
        <v>719</v>
      </c>
      <c r="F630" s="19">
        <f>IFERROR(__xludf.DUMMYFUNCTION("SPLIT(A626, "" |"")"),624.0)</f>
        <v>624</v>
      </c>
      <c r="G630" s="19">
        <f>IFERROR(__xludf.DUMMYFUNCTION("""COMPUTED_VALUE"""),0.00237)</f>
        <v>0.00237</v>
      </c>
      <c r="H630" s="19" t="str">
        <f>IFERROR(__xludf.DUMMYFUNCTION("""COMPUTED_VALUE"""),"-")</f>
        <v>-</v>
      </c>
      <c r="I630" s="19">
        <f>IFERROR(__xludf.DUMMYFUNCTION("""COMPUTED_VALUE"""),0.0022)</f>
        <v>0.0022</v>
      </c>
      <c r="J630" s="19">
        <f>IFERROR(__xludf.DUMMYFUNCTION("""COMPUTED_VALUE"""),0.04604)</f>
        <v>0.04604</v>
      </c>
      <c r="K630" s="19" t="str">
        <f>IFERROR(__xludf.DUMMYFUNCTION("""COMPUTED_VALUE"""),"-")</f>
        <v>-</v>
      </c>
      <c r="L630" s="19">
        <f>IFERROR(__xludf.DUMMYFUNCTION("""COMPUTED_VALUE"""),0.04762)</f>
        <v>0.04762</v>
      </c>
      <c r="O630" s="24">
        <f t="shared" si="4"/>
        <v>0</v>
      </c>
      <c r="P630" s="24"/>
      <c r="Q630" s="24">
        <f t="shared" si="6"/>
        <v>0</v>
      </c>
      <c r="R630" s="24">
        <f t="shared" si="7"/>
        <v>0</v>
      </c>
      <c r="S630" s="24"/>
      <c r="T630" s="24">
        <f t="shared" si="9"/>
        <v>0</v>
      </c>
    </row>
    <row r="631">
      <c r="A631" s="12" t="s">
        <v>720</v>
      </c>
      <c r="F631" s="19">
        <f>IFERROR(__xludf.DUMMYFUNCTION("SPLIT(A627, "" |"")"),625.0)</f>
        <v>625</v>
      </c>
      <c r="G631" s="19">
        <f>IFERROR(__xludf.DUMMYFUNCTION("""COMPUTED_VALUE"""),0.00249)</f>
        <v>0.00249</v>
      </c>
      <c r="H631" s="19" t="str">
        <f>IFERROR(__xludf.DUMMYFUNCTION("""COMPUTED_VALUE"""),"-")</f>
        <v>-</v>
      </c>
      <c r="I631" s="19">
        <f>IFERROR(__xludf.DUMMYFUNCTION("""COMPUTED_VALUE"""),0.00216)</f>
        <v>0.00216</v>
      </c>
      <c r="J631" s="19">
        <f>IFERROR(__xludf.DUMMYFUNCTION("""COMPUTED_VALUE"""),0.04724)</f>
        <v>0.04724</v>
      </c>
      <c r="K631" s="19" t="str">
        <f>IFERROR(__xludf.DUMMYFUNCTION("""COMPUTED_VALUE"""),"-")</f>
        <v>-</v>
      </c>
      <c r="L631" s="19">
        <f>IFERROR(__xludf.DUMMYFUNCTION("""COMPUTED_VALUE"""),0.04732)</f>
        <v>0.04732</v>
      </c>
      <c r="O631" s="24">
        <f t="shared" si="4"/>
        <v>0</v>
      </c>
      <c r="P631" s="24"/>
      <c r="Q631" s="24">
        <f t="shared" si="6"/>
        <v>0</v>
      </c>
      <c r="R631" s="24">
        <f t="shared" si="7"/>
        <v>0</v>
      </c>
      <c r="S631" s="24"/>
      <c r="T631" s="24">
        <f t="shared" si="9"/>
        <v>0</v>
      </c>
    </row>
    <row r="632">
      <c r="A632" s="12" t="s">
        <v>721</v>
      </c>
      <c r="F632" s="19">
        <f>IFERROR(__xludf.DUMMYFUNCTION("SPLIT(A628, "" |"")"),626.0)</f>
        <v>626</v>
      </c>
      <c r="G632" s="19">
        <f>IFERROR(__xludf.DUMMYFUNCTION("""COMPUTED_VALUE"""),0.00232)</f>
        <v>0.00232</v>
      </c>
      <c r="H632" s="19" t="str">
        <f>IFERROR(__xludf.DUMMYFUNCTION("""COMPUTED_VALUE"""),"-")</f>
        <v>-</v>
      </c>
      <c r="I632" s="19">
        <f>IFERROR(__xludf.DUMMYFUNCTION("""COMPUTED_VALUE"""),0.00214)</f>
        <v>0.00214</v>
      </c>
      <c r="J632" s="19">
        <f>IFERROR(__xludf.DUMMYFUNCTION("""COMPUTED_VALUE"""),0.04748)</f>
        <v>0.04748</v>
      </c>
      <c r="K632" s="19" t="str">
        <f>IFERROR(__xludf.DUMMYFUNCTION("""COMPUTED_VALUE"""),"-")</f>
        <v>-</v>
      </c>
      <c r="L632" s="19">
        <f>IFERROR(__xludf.DUMMYFUNCTION("""COMPUTED_VALUE"""),0.04257)</f>
        <v>0.04257</v>
      </c>
      <c r="O632" s="24">
        <f t="shared" si="4"/>
        <v>0</v>
      </c>
      <c r="P632" s="24"/>
      <c r="Q632" s="24">
        <f t="shared" si="6"/>
        <v>0</v>
      </c>
      <c r="R632" s="24">
        <f t="shared" si="7"/>
        <v>0</v>
      </c>
      <c r="S632" s="24"/>
      <c r="T632" s="24">
        <f t="shared" si="9"/>
        <v>0</v>
      </c>
    </row>
    <row r="633">
      <c r="A633" s="12" t="s">
        <v>722</v>
      </c>
      <c r="F633" s="19">
        <f>IFERROR(__xludf.DUMMYFUNCTION("SPLIT(A629, "" |"")"),627.0)</f>
        <v>627</v>
      </c>
      <c r="G633" s="19">
        <f>IFERROR(__xludf.DUMMYFUNCTION("""COMPUTED_VALUE"""),0.00247)</f>
        <v>0.00247</v>
      </c>
      <c r="H633" s="19" t="str">
        <f>IFERROR(__xludf.DUMMYFUNCTION("""COMPUTED_VALUE"""),"-")</f>
        <v>-</v>
      </c>
      <c r="I633" s="19">
        <f>IFERROR(__xludf.DUMMYFUNCTION("""COMPUTED_VALUE"""),0.0022)</f>
        <v>0.0022</v>
      </c>
      <c r="J633" s="19">
        <f>IFERROR(__xludf.DUMMYFUNCTION("""COMPUTED_VALUE"""),0.04731)</f>
        <v>0.04731</v>
      </c>
      <c r="K633" s="19" t="str">
        <f>IFERROR(__xludf.DUMMYFUNCTION("""COMPUTED_VALUE"""),"-")</f>
        <v>-</v>
      </c>
      <c r="L633" s="19">
        <f>IFERROR(__xludf.DUMMYFUNCTION("""COMPUTED_VALUE"""),0.04769)</f>
        <v>0.04769</v>
      </c>
      <c r="O633" s="24">
        <f t="shared" si="4"/>
        <v>0</v>
      </c>
      <c r="P633" s="24"/>
      <c r="Q633" s="24">
        <f t="shared" si="6"/>
        <v>0</v>
      </c>
      <c r="R633" s="24">
        <f t="shared" si="7"/>
        <v>0</v>
      </c>
      <c r="S633" s="24"/>
      <c r="T633" s="24">
        <f t="shared" si="9"/>
        <v>0</v>
      </c>
    </row>
    <row r="634">
      <c r="A634" s="12" t="s">
        <v>723</v>
      </c>
      <c r="F634" s="19">
        <f>IFERROR(__xludf.DUMMYFUNCTION("SPLIT(A630, "" |"")"),628.0)</f>
        <v>628</v>
      </c>
      <c r="G634" s="19">
        <f>IFERROR(__xludf.DUMMYFUNCTION("""COMPUTED_VALUE"""),0.00235)</f>
        <v>0.00235</v>
      </c>
      <c r="H634" s="19" t="str">
        <f>IFERROR(__xludf.DUMMYFUNCTION("""COMPUTED_VALUE"""),"-")</f>
        <v>-</v>
      </c>
      <c r="I634" s="19">
        <f>IFERROR(__xludf.DUMMYFUNCTION("""COMPUTED_VALUE"""),0.00216)</f>
        <v>0.00216</v>
      </c>
      <c r="J634" s="19">
        <f>IFERROR(__xludf.DUMMYFUNCTION("""COMPUTED_VALUE"""),0.04743)</f>
        <v>0.04743</v>
      </c>
      <c r="K634" s="19" t="str">
        <f>IFERROR(__xludf.DUMMYFUNCTION("""COMPUTED_VALUE"""),"-")</f>
        <v>-</v>
      </c>
      <c r="L634" s="19">
        <f>IFERROR(__xludf.DUMMYFUNCTION("""COMPUTED_VALUE"""),0.04761)</f>
        <v>0.04761</v>
      </c>
      <c r="O634" s="24">
        <f t="shared" si="4"/>
        <v>0</v>
      </c>
      <c r="P634" s="24"/>
      <c r="Q634" s="24">
        <f t="shared" si="6"/>
        <v>0</v>
      </c>
      <c r="R634" s="24">
        <f t="shared" si="7"/>
        <v>0</v>
      </c>
      <c r="S634" s="24"/>
      <c r="T634" s="24">
        <f t="shared" si="9"/>
        <v>0</v>
      </c>
    </row>
    <row r="635">
      <c r="A635" s="12" t="s">
        <v>724</v>
      </c>
      <c r="F635" s="19">
        <f>IFERROR(__xludf.DUMMYFUNCTION("SPLIT(A631, "" |"")"),629.0)</f>
        <v>629</v>
      </c>
      <c r="G635" s="19">
        <f>IFERROR(__xludf.DUMMYFUNCTION("""COMPUTED_VALUE"""),0.00236)</f>
        <v>0.00236</v>
      </c>
      <c r="H635" s="19" t="str">
        <f>IFERROR(__xludf.DUMMYFUNCTION("""COMPUTED_VALUE"""),"-")</f>
        <v>-</v>
      </c>
      <c r="I635" s="19">
        <f>IFERROR(__xludf.DUMMYFUNCTION("""COMPUTED_VALUE"""),0.00224)</f>
        <v>0.00224</v>
      </c>
      <c r="J635" s="19">
        <f>IFERROR(__xludf.DUMMYFUNCTION("""COMPUTED_VALUE"""),0.03997)</f>
        <v>0.03997</v>
      </c>
      <c r="K635" s="19" t="str">
        <f>IFERROR(__xludf.DUMMYFUNCTION("""COMPUTED_VALUE"""),"-")</f>
        <v>-</v>
      </c>
      <c r="L635" s="19">
        <f>IFERROR(__xludf.DUMMYFUNCTION("""COMPUTED_VALUE"""),0.04761)</f>
        <v>0.04761</v>
      </c>
      <c r="O635" s="24">
        <f t="shared" si="4"/>
        <v>0</v>
      </c>
      <c r="P635" s="24"/>
      <c r="Q635" s="24">
        <f t="shared" si="6"/>
        <v>0</v>
      </c>
      <c r="R635" s="24">
        <f t="shared" si="7"/>
        <v>1</v>
      </c>
      <c r="S635" s="24"/>
      <c r="T635" s="24">
        <f t="shared" si="9"/>
        <v>0</v>
      </c>
    </row>
    <row r="636">
      <c r="A636" s="12" t="s">
        <v>725</v>
      </c>
      <c r="F636" s="19">
        <f>IFERROR(__xludf.DUMMYFUNCTION("SPLIT(A632, "" |"")"),630.0)</f>
        <v>630</v>
      </c>
      <c r="G636" s="19">
        <f>IFERROR(__xludf.DUMMYFUNCTION("""COMPUTED_VALUE"""),0.00235)</f>
        <v>0.00235</v>
      </c>
      <c r="H636" s="19" t="str">
        <f>IFERROR(__xludf.DUMMYFUNCTION("""COMPUTED_VALUE"""),"-")</f>
        <v>-</v>
      </c>
      <c r="I636" s="19">
        <f>IFERROR(__xludf.DUMMYFUNCTION("""COMPUTED_VALUE"""),0.00214)</f>
        <v>0.00214</v>
      </c>
      <c r="J636" s="19">
        <f>IFERROR(__xludf.DUMMYFUNCTION("""COMPUTED_VALUE"""),0.04753)</f>
        <v>0.04753</v>
      </c>
      <c r="K636" s="19" t="str">
        <f>IFERROR(__xludf.DUMMYFUNCTION("""COMPUTED_VALUE"""),"-")</f>
        <v>-</v>
      </c>
      <c r="L636" s="19">
        <f>IFERROR(__xludf.DUMMYFUNCTION("""COMPUTED_VALUE"""),0.04758)</f>
        <v>0.04758</v>
      </c>
      <c r="O636" s="24">
        <f t="shared" si="4"/>
        <v>0</v>
      </c>
      <c r="P636" s="24"/>
      <c r="Q636" s="24">
        <f t="shared" si="6"/>
        <v>0</v>
      </c>
      <c r="R636" s="24">
        <f t="shared" si="7"/>
        <v>0</v>
      </c>
      <c r="S636" s="24"/>
      <c r="T636" s="24">
        <f t="shared" si="9"/>
        <v>0</v>
      </c>
    </row>
    <row r="637">
      <c r="A637" s="12" t="s">
        <v>726</v>
      </c>
      <c r="F637" s="19">
        <f>IFERROR(__xludf.DUMMYFUNCTION("SPLIT(A633, "" |"")"),631.0)</f>
        <v>631</v>
      </c>
      <c r="G637" s="19">
        <f>IFERROR(__xludf.DUMMYFUNCTION("""COMPUTED_VALUE"""),0.00241)</f>
        <v>0.00241</v>
      </c>
      <c r="H637" s="19" t="str">
        <f>IFERROR(__xludf.DUMMYFUNCTION("""COMPUTED_VALUE"""),"-")</f>
        <v>-</v>
      </c>
      <c r="I637" s="19">
        <f>IFERROR(__xludf.DUMMYFUNCTION("""COMPUTED_VALUE"""),0.00222)</f>
        <v>0.00222</v>
      </c>
      <c r="J637" s="19">
        <f>IFERROR(__xludf.DUMMYFUNCTION("""COMPUTED_VALUE"""),0.04746)</f>
        <v>0.04746</v>
      </c>
      <c r="K637" s="19" t="str">
        <f>IFERROR(__xludf.DUMMYFUNCTION("""COMPUTED_VALUE"""),"-")</f>
        <v>-</v>
      </c>
      <c r="L637" s="19">
        <f>IFERROR(__xludf.DUMMYFUNCTION("""COMPUTED_VALUE"""),0.04757)</f>
        <v>0.04757</v>
      </c>
      <c r="O637" s="24">
        <f t="shared" si="4"/>
        <v>0</v>
      </c>
      <c r="P637" s="24"/>
      <c r="Q637" s="24">
        <f t="shared" si="6"/>
        <v>0</v>
      </c>
      <c r="R637" s="24">
        <f t="shared" si="7"/>
        <v>0</v>
      </c>
      <c r="S637" s="24"/>
      <c r="T637" s="24">
        <f t="shared" si="9"/>
        <v>0</v>
      </c>
    </row>
    <row r="638">
      <c r="A638" s="12" t="s">
        <v>727</v>
      </c>
      <c r="F638" s="19">
        <f>IFERROR(__xludf.DUMMYFUNCTION("SPLIT(A634, "" |"")"),632.0)</f>
        <v>632</v>
      </c>
      <c r="G638" s="19">
        <f>IFERROR(__xludf.DUMMYFUNCTION("""COMPUTED_VALUE"""),0.00234)</f>
        <v>0.00234</v>
      </c>
      <c r="H638" s="19" t="str">
        <f>IFERROR(__xludf.DUMMYFUNCTION("""COMPUTED_VALUE"""),"-")</f>
        <v>-</v>
      </c>
      <c r="I638" s="19">
        <f>IFERROR(__xludf.DUMMYFUNCTION("""COMPUTED_VALUE"""),0.0022)</f>
        <v>0.0022</v>
      </c>
      <c r="J638" s="19">
        <f>IFERROR(__xludf.DUMMYFUNCTION("""COMPUTED_VALUE"""),0.04755)</f>
        <v>0.04755</v>
      </c>
      <c r="K638" s="19" t="str">
        <f>IFERROR(__xludf.DUMMYFUNCTION("""COMPUTED_VALUE"""),"-")</f>
        <v>-</v>
      </c>
      <c r="L638" s="19">
        <f>IFERROR(__xludf.DUMMYFUNCTION("""COMPUTED_VALUE"""),0.0476)</f>
        <v>0.0476</v>
      </c>
      <c r="O638" s="24">
        <f t="shared" si="4"/>
        <v>0</v>
      </c>
      <c r="P638" s="24"/>
      <c r="Q638" s="24">
        <f t="shared" si="6"/>
        <v>0</v>
      </c>
      <c r="R638" s="24">
        <f t="shared" si="7"/>
        <v>0</v>
      </c>
      <c r="S638" s="24"/>
      <c r="T638" s="24">
        <f t="shared" si="9"/>
        <v>0</v>
      </c>
    </row>
    <row r="639">
      <c r="A639" s="12" t="s">
        <v>728</v>
      </c>
      <c r="F639" s="19">
        <f>IFERROR(__xludf.DUMMYFUNCTION("SPLIT(A635, "" |"")"),633.0)</f>
        <v>633</v>
      </c>
      <c r="G639" s="19">
        <f>IFERROR(__xludf.DUMMYFUNCTION("""COMPUTED_VALUE"""),0.00239)</f>
        <v>0.00239</v>
      </c>
      <c r="H639" s="19" t="str">
        <f>IFERROR(__xludf.DUMMYFUNCTION("""COMPUTED_VALUE"""),"-")</f>
        <v>-</v>
      </c>
      <c r="I639" s="19">
        <f>IFERROR(__xludf.DUMMYFUNCTION("""COMPUTED_VALUE"""),0.0022)</f>
        <v>0.0022</v>
      </c>
      <c r="J639" s="19">
        <f>IFERROR(__xludf.DUMMYFUNCTION("""COMPUTED_VALUE"""),0.04739)</f>
        <v>0.04739</v>
      </c>
      <c r="K639" s="19" t="str">
        <f>IFERROR(__xludf.DUMMYFUNCTION("""COMPUTED_VALUE"""),"-")</f>
        <v>-</v>
      </c>
      <c r="L639" s="19">
        <f>IFERROR(__xludf.DUMMYFUNCTION("""COMPUTED_VALUE"""),0.04763)</f>
        <v>0.04763</v>
      </c>
      <c r="O639" s="24">
        <f t="shared" si="4"/>
        <v>0</v>
      </c>
      <c r="P639" s="24"/>
      <c r="Q639" s="24">
        <f t="shared" si="6"/>
        <v>0</v>
      </c>
      <c r="R639" s="24">
        <f t="shared" si="7"/>
        <v>0</v>
      </c>
      <c r="S639" s="24"/>
      <c r="T639" s="24">
        <f t="shared" si="9"/>
        <v>0</v>
      </c>
    </row>
    <row r="640">
      <c r="A640" s="12" t="s">
        <v>729</v>
      </c>
      <c r="F640" s="19">
        <f>IFERROR(__xludf.DUMMYFUNCTION("SPLIT(A636, "" |"")"),634.0)</f>
        <v>634</v>
      </c>
      <c r="G640" s="19">
        <f>IFERROR(__xludf.DUMMYFUNCTION("""COMPUTED_VALUE"""),0.00233)</f>
        <v>0.00233</v>
      </c>
      <c r="H640" s="19" t="str">
        <f>IFERROR(__xludf.DUMMYFUNCTION("""COMPUTED_VALUE"""),"-")</f>
        <v>-</v>
      </c>
      <c r="I640" s="19">
        <f>IFERROR(__xludf.DUMMYFUNCTION("""COMPUTED_VALUE"""),0.00218)</f>
        <v>0.00218</v>
      </c>
      <c r="J640" s="19">
        <f>IFERROR(__xludf.DUMMYFUNCTION("""COMPUTED_VALUE"""),0.04792)</f>
        <v>0.04792</v>
      </c>
      <c r="K640" s="19" t="str">
        <f>IFERROR(__xludf.DUMMYFUNCTION("""COMPUTED_VALUE"""),"-")</f>
        <v>-</v>
      </c>
      <c r="L640" s="19">
        <f>IFERROR(__xludf.DUMMYFUNCTION("""COMPUTED_VALUE"""),0.04179)</f>
        <v>0.04179</v>
      </c>
      <c r="O640" s="24">
        <f t="shared" si="4"/>
        <v>0</v>
      </c>
      <c r="P640" s="24"/>
      <c r="Q640" s="24">
        <f t="shared" si="6"/>
        <v>0</v>
      </c>
      <c r="R640" s="24">
        <f t="shared" si="7"/>
        <v>0</v>
      </c>
      <c r="S640" s="24"/>
      <c r="T640" s="24">
        <f t="shared" si="9"/>
        <v>0</v>
      </c>
    </row>
    <row r="641">
      <c r="A641" s="12" t="s">
        <v>730</v>
      </c>
      <c r="F641" s="19">
        <f>IFERROR(__xludf.DUMMYFUNCTION("SPLIT(A637, "" |"")"),635.0)</f>
        <v>635</v>
      </c>
      <c r="G641" s="19">
        <f>IFERROR(__xludf.DUMMYFUNCTION("""COMPUTED_VALUE"""),0.00228)</f>
        <v>0.00228</v>
      </c>
      <c r="H641" s="19" t="str">
        <f>IFERROR(__xludf.DUMMYFUNCTION("""COMPUTED_VALUE"""),"-")</f>
        <v>-</v>
      </c>
      <c r="I641" s="19">
        <f>IFERROR(__xludf.DUMMYFUNCTION("""COMPUTED_VALUE"""),0.00221)</f>
        <v>0.00221</v>
      </c>
      <c r="J641" s="19">
        <f>IFERROR(__xludf.DUMMYFUNCTION("""COMPUTED_VALUE"""),0.04744)</f>
        <v>0.04744</v>
      </c>
      <c r="K641" s="19" t="str">
        <f>IFERROR(__xludf.DUMMYFUNCTION("""COMPUTED_VALUE"""),"-")</f>
        <v>-</v>
      </c>
      <c r="L641" s="19">
        <f>IFERROR(__xludf.DUMMYFUNCTION("""COMPUTED_VALUE"""),0.04754)</f>
        <v>0.04754</v>
      </c>
      <c r="O641" s="24">
        <f t="shared" si="4"/>
        <v>0</v>
      </c>
      <c r="P641" s="24"/>
      <c r="Q641" s="24">
        <f t="shared" si="6"/>
        <v>0</v>
      </c>
      <c r="R641" s="24">
        <f t="shared" si="7"/>
        <v>0</v>
      </c>
      <c r="S641" s="24"/>
      <c r="T641" s="24">
        <f t="shared" si="9"/>
        <v>0</v>
      </c>
    </row>
    <row r="642">
      <c r="A642" s="12" t="s">
        <v>731</v>
      </c>
      <c r="F642" s="19">
        <f>IFERROR(__xludf.DUMMYFUNCTION("SPLIT(A638, "" |"")"),636.0)</f>
        <v>636</v>
      </c>
      <c r="G642" s="19">
        <f>IFERROR(__xludf.DUMMYFUNCTION("""COMPUTED_VALUE"""),0.0023)</f>
        <v>0.0023</v>
      </c>
      <c r="H642" s="19" t="str">
        <f>IFERROR(__xludf.DUMMYFUNCTION("""COMPUTED_VALUE"""),"-")</f>
        <v>-</v>
      </c>
      <c r="I642" s="19">
        <f>IFERROR(__xludf.DUMMYFUNCTION("""COMPUTED_VALUE"""),0.00224)</f>
        <v>0.00224</v>
      </c>
      <c r="J642" s="19">
        <f>IFERROR(__xludf.DUMMYFUNCTION("""COMPUTED_VALUE"""),0.04017)</f>
        <v>0.04017</v>
      </c>
      <c r="K642" s="19" t="str">
        <f>IFERROR(__xludf.DUMMYFUNCTION("""COMPUTED_VALUE"""),"-")</f>
        <v>-</v>
      </c>
      <c r="L642" s="19">
        <f>IFERROR(__xludf.DUMMYFUNCTION("""COMPUTED_VALUE"""),0.04759)</f>
        <v>0.04759</v>
      </c>
      <c r="O642" s="24">
        <f t="shared" si="4"/>
        <v>0</v>
      </c>
      <c r="P642" s="24"/>
      <c r="Q642" s="24">
        <f t="shared" si="6"/>
        <v>0</v>
      </c>
      <c r="R642" s="24">
        <f t="shared" si="7"/>
        <v>1</v>
      </c>
      <c r="S642" s="24"/>
      <c r="T642" s="24">
        <f t="shared" si="9"/>
        <v>0</v>
      </c>
    </row>
    <row r="643">
      <c r="A643" s="12" t="s">
        <v>732</v>
      </c>
      <c r="F643" s="19">
        <f>IFERROR(__xludf.DUMMYFUNCTION("SPLIT(A639, "" |"")"),637.0)</f>
        <v>637</v>
      </c>
      <c r="G643" s="19">
        <f>IFERROR(__xludf.DUMMYFUNCTION("""COMPUTED_VALUE"""),0.00227)</f>
        <v>0.00227</v>
      </c>
      <c r="H643" s="19" t="str">
        <f>IFERROR(__xludf.DUMMYFUNCTION("""COMPUTED_VALUE"""),"-")</f>
        <v>-</v>
      </c>
      <c r="I643" s="19">
        <f>IFERROR(__xludf.DUMMYFUNCTION("""COMPUTED_VALUE"""),0.0021)</f>
        <v>0.0021</v>
      </c>
      <c r="J643" s="19">
        <f>IFERROR(__xludf.DUMMYFUNCTION("""COMPUTED_VALUE"""),0.04732)</f>
        <v>0.04732</v>
      </c>
      <c r="K643" s="19" t="str">
        <f>IFERROR(__xludf.DUMMYFUNCTION("""COMPUTED_VALUE"""),"-")</f>
        <v>-</v>
      </c>
      <c r="L643" s="19">
        <f>IFERROR(__xludf.DUMMYFUNCTION("""COMPUTED_VALUE"""),0.04752)</f>
        <v>0.04752</v>
      </c>
      <c r="O643" s="24">
        <f t="shared" si="4"/>
        <v>0</v>
      </c>
      <c r="P643" s="24"/>
      <c r="Q643" s="24">
        <f t="shared" si="6"/>
        <v>0</v>
      </c>
      <c r="R643" s="24">
        <f t="shared" si="7"/>
        <v>0</v>
      </c>
      <c r="S643" s="24"/>
      <c r="T643" s="24">
        <f t="shared" si="9"/>
        <v>0</v>
      </c>
    </row>
    <row r="644">
      <c r="A644" s="12" t="s">
        <v>733</v>
      </c>
      <c r="F644" s="19">
        <f>IFERROR(__xludf.DUMMYFUNCTION("SPLIT(A640, "" |"")"),638.0)</f>
        <v>638</v>
      </c>
      <c r="G644" s="19">
        <f>IFERROR(__xludf.DUMMYFUNCTION("""COMPUTED_VALUE"""),0.00226)</f>
        <v>0.00226</v>
      </c>
      <c r="H644" s="19" t="str">
        <f>IFERROR(__xludf.DUMMYFUNCTION("""COMPUTED_VALUE"""),"-")</f>
        <v>-</v>
      </c>
      <c r="I644" s="19">
        <f>IFERROR(__xludf.DUMMYFUNCTION("""COMPUTED_VALUE"""),0.00214)</f>
        <v>0.00214</v>
      </c>
      <c r="J644" s="19">
        <f>IFERROR(__xludf.DUMMYFUNCTION("""COMPUTED_VALUE"""),0.04746)</f>
        <v>0.04746</v>
      </c>
      <c r="K644" s="19" t="str">
        <f>IFERROR(__xludf.DUMMYFUNCTION("""COMPUTED_VALUE"""),"-")</f>
        <v>-</v>
      </c>
      <c r="L644" s="19">
        <f>IFERROR(__xludf.DUMMYFUNCTION("""COMPUTED_VALUE"""),0.04756)</f>
        <v>0.04756</v>
      </c>
      <c r="O644" s="24">
        <f t="shared" si="4"/>
        <v>0</v>
      </c>
      <c r="P644" s="24"/>
      <c r="Q644" s="24">
        <f t="shared" si="6"/>
        <v>0</v>
      </c>
      <c r="R644" s="24">
        <f t="shared" si="7"/>
        <v>0</v>
      </c>
      <c r="S644" s="24"/>
      <c r="T644" s="24">
        <f t="shared" si="9"/>
        <v>0</v>
      </c>
    </row>
    <row r="645">
      <c r="A645" s="12" t="s">
        <v>734</v>
      </c>
      <c r="F645" s="19">
        <f>IFERROR(__xludf.DUMMYFUNCTION("SPLIT(A641, "" |"")"),639.0)</f>
        <v>639</v>
      </c>
      <c r="G645" s="19">
        <f>IFERROR(__xludf.DUMMYFUNCTION("""COMPUTED_VALUE"""),0.00237)</f>
        <v>0.00237</v>
      </c>
      <c r="H645" s="19" t="str">
        <f>IFERROR(__xludf.DUMMYFUNCTION("""COMPUTED_VALUE"""),"-")</f>
        <v>-</v>
      </c>
      <c r="I645" s="19">
        <f>IFERROR(__xludf.DUMMYFUNCTION("""COMPUTED_VALUE"""),0.00218)</f>
        <v>0.00218</v>
      </c>
      <c r="J645" s="19">
        <f>IFERROR(__xludf.DUMMYFUNCTION("""COMPUTED_VALUE"""),0.04745)</f>
        <v>0.04745</v>
      </c>
      <c r="K645" s="19" t="str">
        <f>IFERROR(__xludf.DUMMYFUNCTION("""COMPUTED_VALUE"""),"-")</f>
        <v>-</v>
      </c>
      <c r="L645" s="19">
        <f>IFERROR(__xludf.DUMMYFUNCTION("""COMPUTED_VALUE"""),0.04764)</f>
        <v>0.04764</v>
      </c>
      <c r="O645" s="24">
        <f t="shared" si="4"/>
        <v>0</v>
      </c>
      <c r="P645" s="24"/>
      <c r="Q645" s="24">
        <f t="shared" si="6"/>
        <v>0</v>
      </c>
      <c r="R645" s="24">
        <f t="shared" si="7"/>
        <v>0</v>
      </c>
      <c r="S645" s="24"/>
      <c r="T645" s="24">
        <f t="shared" si="9"/>
        <v>0</v>
      </c>
    </row>
    <row r="646">
      <c r="A646" s="12" t="s">
        <v>735</v>
      </c>
      <c r="F646" s="19">
        <f>IFERROR(__xludf.DUMMYFUNCTION("SPLIT(A642, "" |"")"),640.0)</f>
        <v>640</v>
      </c>
      <c r="G646" s="19">
        <f>IFERROR(__xludf.DUMMYFUNCTION("""COMPUTED_VALUE"""),0.00241)</f>
        <v>0.00241</v>
      </c>
      <c r="H646" s="19" t="str">
        <f>IFERROR(__xludf.DUMMYFUNCTION("""COMPUTED_VALUE"""),"-")</f>
        <v>-</v>
      </c>
      <c r="I646" s="19">
        <f>IFERROR(__xludf.DUMMYFUNCTION("""COMPUTED_VALUE"""),0.00222)</f>
        <v>0.00222</v>
      </c>
      <c r="J646" s="19">
        <f>IFERROR(__xludf.DUMMYFUNCTION("""COMPUTED_VALUE"""),0.04743)</f>
        <v>0.04743</v>
      </c>
      <c r="K646" s="19" t="str">
        <f>IFERROR(__xludf.DUMMYFUNCTION("""COMPUTED_VALUE"""),"-")</f>
        <v>-</v>
      </c>
      <c r="L646" s="19">
        <f>IFERROR(__xludf.DUMMYFUNCTION("""COMPUTED_VALUE"""),0.04765)</f>
        <v>0.04765</v>
      </c>
      <c r="O646" s="24">
        <f t="shared" si="4"/>
        <v>0</v>
      </c>
      <c r="P646" s="24"/>
      <c r="Q646" s="24">
        <f t="shared" si="6"/>
        <v>0</v>
      </c>
      <c r="R646" s="24">
        <f t="shared" si="7"/>
        <v>0</v>
      </c>
      <c r="S646" s="24"/>
      <c r="T646" s="24">
        <f t="shared" si="9"/>
        <v>0</v>
      </c>
    </row>
    <row r="647">
      <c r="A647" s="12" t="s">
        <v>736</v>
      </c>
      <c r="F647" s="19">
        <f>IFERROR(__xludf.DUMMYFUNCTION("SPLIT(A643, "" |"")"),641.0)</f>
        <v>641</v>
      </c>
      <c r="G647" s="19">
        <f>IFERROR(__xludf.DUMMYFUNCTION("""COMPUTED_VALUE"""),0.00234)</f>
        <v>0.00234</v>
      </c>
      <c r="H647" s="19" t="str">
        <f>IFERROR(__xludf.DUMMYFUNCTION("""COMPUTED_VALUE"""),"-")</f>
        <v>-</v>
      </c>
      <c r="I647" s="19">
        <f>IFERROR(__xludf.DUMMYFUNCTION("""COMPUTED_VALUE"""),0.00216)</f>
        <v>0.00216</v>
      </c>
      <c r="J647" s="19">
        <f>IFERROR(__xludf.DUMMYFUNCTION("""COMPUTED_VALUE"""),0.0474)</f>
        <v>0.0474</v>
      </c>
      <c r="K647" s="19" t="str">
        <f>IFERROR(__xludf.DUMMYFUNCTION("""COMPUTED_VALUE"""),"-")</f>
        <v>-</v>
      </c>
      <c r="L647" s="19">
        <f>IFERROR(__xludf.DUMMYFUNCTION("""COMPUTED_VALUE"""),0.04767)</f>
        <v>0.04767</v>
      </c>
      <c r="O647" s="24">
        <f t="shared" si="4"/>
        <v>0</v>
      </c>
      <c r="P647" s="24"/>
      <c r="Q647" s="24">
        <f t="shared" si="6"/>
        <v>0</v>
      </c>
      <c r="R647" s="24">
        <f t="shared" si="7"/>
        <v>0</v>
      </c>
      <c r="S647" s="24"/>
      <c r="T647" s="24">
        <f t="shared" si="9"/>
        <v>0</v>
      </c>
    </row>
    <row r="648">
      <c r="A648" s="12" t="s">
        <v>737</v>
      </c>
      <c r="F648" s="19">
        <f>IFERROR(__xludf.DUMMYFUNCTION("SPLIT(A644, "" |"")"),642.0)</f>
        <v>642</v>
      </c>
      <c r="G648" s="19">
        <f>IFERROR(__xludf.DUMMYFUNCTION("""COMPUTED_VALUE"""),0.00243)</f>
        <v>0.00243</v>
      </c>
      <c r="H648" s="19" t="str">
        <f>IFERROR(__xludf.DUMMYFUNCTION("""COMPUTED_VALUE"""),"-")</f>
        <v>-</v>
      </c>
      <c r="I648" s="19">
        <f>IFERROR(__xludf.DUMMYFUNCTION("""COMPUTED_VALUE"""),0.00222)</f>
        <v>0.00222</v>
      </c>
      <c r="J648" s="19">
        <f>IFERROR(__xludf.DUMMYFUNCTION("""COMPUTED_VALUE"""),0.04352)</f>
        <v>0.04352</v>
      </c>
      <c r="K648" s="19" t="str">
        <f>IFERROR(__xludf.DUMMYFUNCTION("""COMPUTED_VALUE"""),"-")</f>
        <v>-</v>
      </c>
      <c r="L648" s="19">
        <f>IFERROR(__xludf.DUMMYFUNCTION("""COMPUTED_VALUE"""),0.04764)</f>
        <v>0.04764</v>
      </c>
      <c r="O648" s="24">
        <f t="shared" si="4"/>
        <v>0</v>
      </c>
      <c r="P648" s="24"/>
      <c r="Q648" s="24">
        <f t="shared" si="6"/>
        <v>0</v>
      </c>
      <c r="R648" s="24">
        <f t="shared" si="7"/>
        <v>1</v>
      </c>
      <c r="S648" s="24"/>
      <c r="T648" s="24">
        <f t="shared" si="9"/>
        <v>0</v>
      </c>
    </row>
    <row r="649">
      <c r="A649" s="12" t="s">
        <v>738</v>
      </c>
      <c r="F649" s="19">
        <f>IFERROR(__xludf.DUMMYFUNCTION("SPLIT(A645, "" |"")"),643.0)</f>
        <v>643</v>
      </c>
      <c r="G649" s="19">
        <f>IFERROR(__xludf.DUMMYFUNCTION("""COMPUTED_VALUE"""),0.00247)</f>
        <v>0.00247</v>
      </c>
      <c r="H649" s="19" t="str">
        <f>IFERROR(__xludf.DUMMYFUNCTION("""COMPUTED_VALUE"""),"-")</f>
        <v>-</v>
      </c>
      <c r="I649" s="19">
        <f>IFERROR(__xludf.DUMMYFUNCTION("""COMPUTED_VALUE"""),0.00222)</f>
        <v>0.00222</v>
      </c>
      <c r="J649" s="19">
        <f>IFERROR(__xludf.DUMMYFUNCTION("""COMPUTED_VALUE"""),0.04742)</f>
        <v>0.04742</v>
      </c>
      <c r="K649" s="19" t="str">
        <f>IFERROR(__xludf.DUMMYFUNCTION("""COMPUTED_VALUE"""),"-")</f>
        <v>-</v>
      </c>
      <c r="L649" s="19">
        <f>IFERROR(__xludf.DUMMYFUNCTION("""COMPUTED_VALUE"""),0.04767)</f>
        <v>0.04767</v>
      </c>
      <c r="O649" s="24">
        <f t="shared" si="4"/>
        <v>0</v>
      </c>
      <c r="P649" s="24"/>
      <c r="Q649" s="24">
        <f t="shared" si="6"/>
        <v>0</v>
      </c>
      <c r="R649" s="24">
        <f t="shared" si="7"/>
        <v>0</v>
      </c>
      <c r="S649" s="24"/>
      <c r="T649" s="24">
        <f t="shared" si="9"/>
        <v>0</v>
      </c>
    </row>
    <row r="650">
      <c r="A650" s="12" t="s">
        <v>739</v>
      </c>
      <c r="F650" s="19">
        <f>IFERROR(__xludf.DUMMYFUNCTION("SPLIT(A646, "" |"")"),644.0)</f>
        <v>644</v>
      </c>
      <c r="G650" s="19">
        <f>IFERROR(__xludf.DUMMYFUNCTION("""COMPUTED_VALUE"""),0.00235)</f>
        <v>0.00235</v>
      </c>
      <c r="H650" s="19" t="str">
        <f>IFERROR(__xludf.DUMMYFUNCTION("""COMPUTED_VALUE"""),"-")</f>
        <v>-</v>
      </c>
      <c r="I650" s="19">
        <f>IFERROR(__xludf.DUMMYFUNCTION("""COMPUTED_VALUE"""),0.00218)</f>
        <v>0.00218</v>
      </c>
      <c r="J650" s="19">
        <f>IFERROR(__xludf.DUMMYFUNCTION("""COMPUTED_VALUE"""),0.04738)</f>
        <v>0.04738</v>
      </c>
      <c r="K650" s="19" t="str">
        <f>IFERROR(__xludf.DUMMYFUNCTION("""COMPUTED_VALUE"""),"-")</f>
        <v>-</v>
      </c>
      <c r="L650" s="19">
        <f>IFERROR(__xludf.DUMMYFUNCTION("""COMPUTED_VALUE"""),0.04755)</f>
        <v>0.04755</v>
      </c>
      <c r="O650" s="24">
        <f t="shared" si="4"/>
        <v>0</v>
      </c>
      <c r="P650" s="24"/>
      <c r="Q650" s="24">
        <f t="shared" si="6"/>
        <v>0</v>
      </c>
      <c r="R650" s="24">
        <f t="shared" si="7"/>
        <v>0</v>
      </c>
      <c r="S650" s="24"/>
      <c r="T650" s="24">
        <f t="shared" si="9"/>
        <v>0</v>
      </c>
    </row>
    <row r="651">
      <c r="A651" s="12" t="s">
        <v>740</v>
      </c>
      <c r="F651" s="19">
        <f>IFERROR(__xludf.DUMMYFUNCTION("SPLIT(A647, "" |"")"),645.0)</f>
        <v>645</v>
      </c>
      <c r="G651" s="19">
        <f>IFERROR(__xludf.DUMMYFUNCTION("""COMPUTED_VALUE"""),0.00235)</f>
        <v>0.00235</v>
      </c>
      <c r="H651" s="19" t="str">
        <f>IFERROR(__xludf.DUMMYFUNCTION("""COMPUTED_VALUE"""),"-")</f>
        <v>-</v>
      </c>
      <c r="I651" s="19">
        <f>IFERROR(__xludf.DUMMYFUNCTION("""COMPUTED_VALUE"""),0.00224)</f>
        <v>0.00224</v>
      </c>
      <c r="J651" s="19">
        <f>IFERROR(__xludf.DUMMYFUNCTION("""COMPUTED_VALUE"""),0.04743)</f>
        <v>0.04743</v>
      </c>
      <c r="K651" s="19" t="str">
        <f>IFERROR(__xludf.DUMMYFUNCTION("""COMPUTED_VALUE"""),"-")</f>
        <v>-</v>
      </c>
      <c r="L651" s="19">
        <f>IFERROR(__xludf.DUMMYFUNCTION("""COMPUTED_VALUE"""),0.04565)</f>
        <v>0.04565</v>
      </c>
      <c r="O651" s="24">
        <f t="shared" si="4"/>
        <v>0</v>
      </c>
      <c r="P651" s="24"/>
      <c r="Q651" s="24">
        <f t="shared" si="6"/>
        <v>0</v>
      </c>
      <c r="R651" s="24">
        <f t="shared" si="7"/>
        <v>0</v>
      </c>
      <c r="S651" s="24"/>
      <c r="T651" s="24">
        <f t="shared" si="9"/>
        <v>0</v>
      </c>
    </row>
    <row r="652">
      <c r="A652" s="12" t="s">
        <v>741</v>
      </c>
      <c r="F652" s="19">
        <f>IFERROR(__xludf.DUMMYFUNCTION("SPLIT(A648, "" |"")"),646.0)</f>
        <v>646</v>
      </c>
      <c r="G652" s="19">
        <f>IFERROR(__xludf.DUMMYFUNCTION("""COMPUTED_VALUE"""),0.00233)</f>
        <v>0.00233</v>
      </c>
      <c r="H652" s="19" t="str">
        <f>IFERROR(__xludf.DUMMYFUNCTION("""COMPUTED_VALUE"""),"-")</f>
        <v>-</v>
      </c>
      <c r="I652" s="19">
        <f>IFERROR(__xludf.DUMMYFUNCTION("""COMPUTED_VALUE"""),0.00221)</f>
        <v>0.00221</v>
      </c>
      <c r="J652" s="19">
        <f>IFERROR(__xludf.DUMMYFUNCTION("""COMPUTED_VALUE"""),0.04694)</f>
        <v>0.04694</v>
      </c>
      <c r="K652" s="19" t="str">
        <f>IFERROR(__xludf.DUMMYFUNCTION("""COMPUTED_VALUE"""),"-")</f>
        <v>-</v>
      </c>
      <c r="L652" s="19">
        <f>IFERROR(__xludf.DUMMYFUNCTION("""COMPUTED_VALUE"""),0.04766)</f>
        <v>0.04766</v>
      </c>
      <c r="O652" s="24">
        <f t="shared" si="4"/>
        <v>0</v>
      </c>
      <c r="P652" s="24"/>
      <c r="Q652" s="24">
        <f t="shared" si="6"/>
        <v>0</v>
      </c>
      <c r="R652" s="24">
        <f t="shared" si="7"/>
        <v>0</v>
      </c>
      <c r="S652" s="24"/>
      <c r="T652" s="24">
        <f t="shared" si="9"/>
        <v>0</v>
      </c>
    </row>
    <row r="653">
      <c r="A653" s="12" t="s">
        <v>742</v>
      </c>
      <c r="F653" s="19">
        <f>IFERROR(__xludf.DUMMYFUNCTION("SPLIT(A649, "" |"")"),647.0)</f>
        <v>647</v>
      </c>
      <c r="G653" s="19">
        <f>IFERROR(__xludf.DUMMYFUNCTION("""COMPUTED_VALUE"""),0.00232)</f>
        <v>0.00232</v>
      </c>
      <c r="H653" s="19" t="str">
        <f>IFERROR(__xludf.DUMMYFUNCTION("""COMPUTED_VALUE"""),"-")</f>
        <v>-</v>
      </c>
      <c r="I653" s="19">
        <f>IFERROR(__xludf.DUMMYFUNCTION("""COMPUTED_VALUE"""),0.0022)</f>
        <v>0.0022</v>
      </c>
      <c r="J653" s="19">
        <f>IFERROR(__xludf.DUMMYFUNCTION("""COMPUTED_VALUE"""),0.04734)</f>
        <v>0.04734</v>
      </c>
      <c r="K653" s="19" t="str">
        <f>IFERROR(__xludf.DUMMYFUNCTION("""COMPUTED_VALUE"""),"-")</f>
        <v>-</v>
      </c>
      <c r="L653" s="19">
        <f>IFERROR(__xludf.DUMMYFUNCTION("""COMPUTED_VALUE"""),0.04767)</f>
        <v>0.04767</v>
      </c>
      <c r="O653" s="24">
        <f t="shared" si="4"/>
        <v>0</v>
      </c>
      <c r="P653" s="24"/>
      <c r="Q653" s="24">
        <f t="shared" si="6"/>
        <v>0</v>
      </c>
      <c r="R653" s="24">
        <f t="shared" si="7"/>
        <v>0</v>
      </c>
      <c r="S653" s="24"/>
      <c r="T653" s="24">
        <f t="shared" si="9"/>
        <v>0</v>
      </c>
    </row>
    <row r="654">
      <c r="A654" s="12" t="s">
        <v>743</v>
      </c>
      <c r="F654" s="19">
        <f>IFERROR(__xludf.DUMMYFUNCTION("SPLIT(A650, "" |"")"),648.0)</f>
        <v>648</v>
      </c>
      <c r="G654" s="19">
        <f>IFERROR(__xludf.DUMMYFUNCTION("""COMPUTED_VALUE"""),0.00236)</f>
        <v>0.00236</v>
      </c>
      <c r="H654" s="19" t="str">
        <f>IFERROR(__xludf.DUMMYFUNCTION("""COMPUTED_VALUE"""),"-")</f>
        <v>-</v>
      </c>
      <c r="I654" s="19">
        <f>IFERROR(__xludf.DUMMYFUNCTION("""COMPUTED_VALUE"""),0.00217)</f>
        <v>0.00217</v>
      </c>
      <c r="J654" s="19">
        <f>IFERROR(__xludf.DUMMYFUNCTION("""COMPUTED_VALUE"""),0.04567)</f>
        <v>0.04567</v>
      </c>
      <c r="K654" s="19" t="str">
        <f>IFERROR(__xludf.DUMMYFUNCTION("""COMPUTED_VALUE"""),"-")</f>
        <v>-</v>
      </c>
      <c r="L654" s="19">
        <f>IFERROR(__xludf.DUMMYFUNCTION("""COMPUTED_VALUE"""),0.04737)</f>
        <v>0.04737</v>
      </c>
      <c r="O654" s="24">
        <f t="shared" si="4"/>
        <v>0</v>
      </c>
      <c r="P654" s="24"/>
      <c r="Q654" s="24">
        <f t="shared" si="6"/>
        <v>0</v>
      </c>
      <c r="R654" s="24">
        <f t="shared" si="7"/>
        <v>0</v>
      </c>
      <c r="S654" s="24"/>
      <c r="T654" s="24">
        <f t="shared" si="9"/>
        <v>0</v>
      </c>
    </row>
    <row r="655">
      <c r="A655" s="12" t="s">
        <v>744</v>
      </c>
      <c r="F655" s="19">
        <f>IFERROR(__xludf.DUMMYFUNCTION("SPLIT(A651, "" |"")"),649.0)</f>
        <v>649</v>
      </c>
      <c r="G655" s="19">
        <f>IFERROR(__xludf.DUMMYFUNCTION("""COMPUTED_VALUE"""),0.00196)</f>
        <v>0.00196</v>
      </c>
      <c r="H655" s="19" t="str">
        <f>IFERROR(__xludf.DUMMYFUNCTION("""COMPUTED_VALUE"""),"-")</f>
        <v>-</v>
      </c>
      <c r="I655" s="19">
        <f>IFERROR(__xludf.DUMMYFUNCTION("""COMPUTED_VALUE"""),0.00227)</f>
        <v>0.00227</v>
      </c>
      <c r="J655" s="19">
        <f>IFERROR(__xludf.DUMMYFUNCTION("""COMPUTED_VALUE"""),0.04584)</f>
        <v>0.04584</v>
      </c>
      <c r="K655" s="19" t="str">
        <f>IFERROR(__xludf.DUMMYFUNCTION("""COMPUTED_VALUE"""),"-")</f>
        <v>-</v>
      </c>
      <c r="L655" s="19">
        <f>IFERROR(__xludf.DUMMYFUNCTION("""COMPUTED_VALUE"""),0.04762)</f>
        <v>0.04762</v>
      </c>
      <c r="O655" s="24">
        <f t="shared" si="4"/>
        <v>0</v>
      </c>
      <c r="P655" s="24"/>
      <c r="Q655" s="24">
        <f t="shared" si="6"/>
        <v>0</v>
      </c>
      <c r="R655" s="24">
        <f t="shared" si="7"/>
        <v>0</v>
      </c>
      <c r="S655" s="24"/>
      <c r="T655" s="24">
        <f t="shared" si="9"/>
        <v>0</v>
      </c>
    </row>
    <row r="656">
      <c r="A656" s="12" t="s">
        <v>745</v>
      </c>
      <c r="F656" s="19">
        <f>IFERROR(__xludf.DUMMYFUNCTION("SPLIT(A652, "" |"")"),650.0)</f>
        <v>650</v>
      </c>
      <c r="G656" s="19">
        <f>IFERROR(__xludf.DUMMYFUNCTION("""COMPUTED_VALUE"""),0.00242)</f>
        <v>0.00242</v>
      </c>
      <c r="H656" s="19" t="str">
        <f>IFERROR(__xludf.DUMMYFUNCTION("""COMPUTED_VALUE"""),"-")</f>
        <v>-</v>
      </c>
      <c r="I656" s="19">
        <f>IFERROR(__xludf.DUMMYFUNCTION("""COMPUTED_VALUE"""),0.00221)</f>
        <v>0.00221</v>
      </c>
      <c r="J656" s="19">
        <f>IFERROR(__xludf.DUMMYFUNCTION("""COMPUTED_VALUE"""),0.04687)</f>
        <v>0.04687</v>
      </c>
      <c r="K656" s="19" t="str">
        <f>IFERROR(__xludf.DUMMYFUNCTION("""COMPUTED_VALUE"""),"-")</f>
        <v>-</v>
      </c>
      <c r="L656" s="19">
        <f>IFERROR(__xludf.DUMMYFUNCTION("""COMPUTED_VALUE"""),0.04757)</f>
        <v>0.04757</v>
      </c>
      <c r="O656" s="24">
        <f t="shared" si="4"/>
        <v>0</v>
      </c>
      <c r="P656" s="24"/>
      <c r="Q656" s="24">
        <f t="shared" si="6"/>
        <v>0</v>
      </c>
      <c r="R656" s="24">
        <f t="shared" si="7"/>
        <v>0</v>
      </c>
      <c r="S656" s="24"/>
      <c r="T656" s="24">
        <f t="shared" si="9"/>
        <v>0</v>
      </c>
    </row>
    <row r="657">
      <c r="A657" s="12" t="s">
        <v>746</v>
      </c>
      <c r="F657" s="19">
        <f>IFERROR(__xludf.DUMMYFUNCTION("SPLIT(A653, "" |"")"),651.0)</f>
        <v>651</v>
      </c>
      <c r="G657" s="19">
        <f>IFERROR(__xludf.DUMMYFUNCTION("""COMPUTED_VALUE"""),0.0024)</f>
        <v>0.0024</v>
      </c>
      <c r="H657" s="19" t="str">
        <f>IFERROR(__xludf.DUMMYFUNCTION("""COMPUTED_VALUE"""),"-")</f>
        <v>-</v>
      </c>
      <c r="I657" s="19">
        <f>IFERROR(__xludf.DUMMYFUNCTION("""COMPUTED_VALUE"""),0.0022)</f>
        <v>0.0022</v>
      </c>
      <c r="J657" s="19">
        <f>IFERROR(__xludf.DUMMYFUNCTION("""COMPUTED_VALUE"""),0.04742)</f>
        <v>0.04742</v>
      </c>
      <c r="K657" s="19" t="str">
        <f>IFERROR(__xludf.DUMMYFUNCTION("""COMPUTED_VALUE"""),"-")</f>
        <v>-</v>
      </c>
      <c r="L657" s="19">
        <f>IFERROR(__xludf.DUMMYFUNCTION("""COMPUTED_VALUE"""),0.04757)</f>
        <v>0.04757</v>
      </c>
      <c r="O657" s="24">
        <f t="shared" si="4"/>
        <v>0</v>
      </c>
      <c r="P657" s="24"/>
      <c r="Q657" s="24">
        <f t="shared" si="6"/>
        <v>0</v>
      </c>
      <c r="R657" s="24">
        <f t="shared" si="7"/>
        <v>0</v>
      </c>
      <c r="S657" s="24"/>
      <c r="T657" s="24">
        <f t="shared" si="9"/>
        <v>0</v>
      </c>
    </row>
    <row r="658">
      <c r="A658" s="12" t="s">
        <v>747</v>
      </c>
      <c r="F658" s="19">
        <f>IFERROR(__xludf.DUMMYFUNCTION("SPLIT(A654, "" |"")"),652.0)</f>
        <v>652</v>
      </c>
      <c r="G658" s="19">
        <f>IFERROR(__xludf.DUMMYFUNCTION("""COMPUTED_VALUE"""),0.00236)</f>
        <v>0.00236</v>
      </c>
      <c r="H658" s="19" t="str">
        <f>IFERROR(__xludf.DUMMYFUNCTION("""COMPUTED_VALUE"""),"-")</f>
        <v>-</v>
      </c>
      <c r="I658" s="19">
        <f>IFERROR(__xludf.DUMMYFUNCTION("""COMPUTED_VALUE"""),0.00217)</f>
        <v>0.00217</v>
      </c>
      <c r="J658" s="19">
        <f>IFERROR(__xludf.DUMMYFUNCTION("""COMPUTED_VALUE"""),0.04009)</f>
        <v>0.04009</v>
      </c>
      <c r="K658" s="19" t="str">
        <f>IFERROR(__xludf.DUMMYFUNCTION("""COMPUTED_VALUE"""),"-")</f>
        <v>-</v>
      </c>
      <c r="L658" s="19">
        <f>IFERROR(__xludf.DUMMYFUNCTION("""COMPUTED_VALUE"""),0.04043)</f>
        <v>0.04043</v>
      </c>
      <c r="O658" s="24">
        <f t="shared" si="4"/>
        <v>0</v>
      </c>
      <c r="P658" s="24"/>
      <c r="Q658" s="24">
        <f t="shared" si="6"/>
        <v>0</v>
      </c>
      <c r="R658" s="24">
        <f t="shared" si="7"/>
        <v>1</v>
      </c>
      <c r="S658" s="24"/>
      <c r="T658" s="24">
        <f t="shared" si="9"/>
        <v>0</v>
      </c>
    </row>
    <row r="659">
      <c r="A659" s="12" t="s">
        <v>748</v>
      </c>
      <c r="F659" s="19">
        <f>IFERROR(__xludf.DUMMYFUNCTION("SPLIT(A655, "" |"")"),653.0)</f>
        <v>653</v>
      </c>
      <c r="G659" s="19">
        <f>IFERROR(__xludf.DUMMYFUNCTION("""COMPUTED_VALUE"""),0.00233)</f>
        <v>0.00233</v>
      </c>
      <c r="H659" s="19" t="str">
        <f>IFERROR(__xludf.DUMMYFUNCTION("""COMPUTED_VALUE"""),"-")</f>
        <v>-</v>
      </c>
      <c r="I659" s="19">
        <f>IFERROR(__xludf.DUMMYFUNCTION("""COMPUTED_VALUE"""),0.00217)</f>
        <v>0.00217</v>
      </c>
      <c r="J659" s="19">
        <f>IFERROR(__xludf.DUMMYFUNCTION("""COMPUTED_VALUE"""),0.0469)</f>
        <v>0.0469</v>
      </c>
      <c r="K659" s="19" t="str">
        <f>IFERROR(__xludf.DUMMYFUNCTION("""COMPUTED_VALUE"""),"-")</f>
        <v>-</v>
      </c>
      <c r="L659" s="19">
        <f>IFERROR(__xludf.DUMMYFUNCTION("""COMPUTED_VALUE"""),0.04671)</f>
        <v>0.04671</v>
      </c>
      <c r="O659" s="24">
        <f t="shared" si="4"/>
        <v>0</v>
      </c>
      <c r="P659" s="24"/>
      <c r="Q659" s="24">
        <f t="shared" si="6"/>
        <v>0</v>
      </c>
      <c r="R659" s="24">
        <f t="shared" si="7"/>
        <v>0</v>
      </c>
      <c r="S659" s="24"/>
      <c r="T659" s="24">
        <f t="shared" si="9"/>
        <v>0</v>
      </c>
    </row>
    <row r="660">
      <c r="A660" s="12" t="s">
        <v>749</v>
      </c>
      <c r="F660" s="19">
        <f>IFERROR(__xludf.DUMMYFUNCTION("SPLIT(A656, "" |"")"),654.0)</f>
        <v>654</v>
      </c>
      <c r="G660" s="19">
        <f>IFERROR(__xludf.DUMMYFUNCTION("""COMPUTED_VALUE"""),0.0024)</f>
        <v>0.0024</v>
      </c>
      <c r="H660" s="19" t="str">
        <f>IFERROR(__xludf.DUMMYFUNCTION("""COMPUTED_VALUE"""),"-")</f>
        <v>-</v>
      </c>
      <c r="I660" s="19">
        <f>IFERROR(__xludf.DUMMYFUNCTION("""COMPUTED_VALUE"""),0.00218)</f>
        <v>0.00218</v>
      </c>
      <c r="J660" s="19">
        <f>IFERROR(__xludf.DUMMYFUNCTION("""COMPUTED_VALUE"""),0.04733)</f>
        <v>0.04733</v>
      </c>
      <c r="K660" s="19" t="str">
        <f>IFERROR(__xludf.DUMMYFUNCTION("""COMPUTED_VALUE"""),"-")</f>
        <v>-</v>
      </c>
      <c r="L660" s="19">
        <f>IFERROR(__xludf.DUMMYFUNCTION("""COMPUTED_VALUE"""),0.04759)</f>
        <v>0.04759</v>
      </c>
      <c r="O660" s="24">
        <f t="shared" si="4"/>
        <v>0</v>
      </c>
      <c r="P660" s="24"/>
      <c r="Q660" s="24">
        <f t="shared" si="6"/>
        <v>0</v>
      </c>
      <c r="R660" s="24">
        <f t="shared" si="7"/>
        <v>0</v>
      </c>
      <c r="S660" s="24"/>
      <c r="T660" s="24">
        <f t="shared" si="9"/>
        <v>0</v>
      </c>
    </row>
    <row r="661">
      <c r="A661" s="12" t="s">
        <v>750</v>
      </c>
      <c r="F661" s="19">
        <f>IFERROR(__xludf.DUMMYFUNCTION("SPLIT(A657, "" |"")"),655.0)</f>
        <v>655</v>
      </c>
      <c r="G661" s="19">
        <f>IFERROR(__xludf.DUMMYFUNCTION("""COMPUTED_VALUE"""),0.00239)</f>
        <v>0.00239</v>
      </c>
      <c r="H661" s="19" t="str">
        <f>IFERROR(__xludf.DUMMYFUNCTION("""COMPUTED_VALUE"""),"-")</f>
        <v>-</v>
      </c>
      <c r="I661" s="19">
        <f>IFERROR(__xludf.DUMMYFUNCTION("""COMPUTED_VALUE"""),0.00217)</f>
        <v>0.00217</v>
      </c>
      <c r="J661" s="19">
        <f>IFERROR(__xludf.DUMMYFUNCTION("""COMPUTED_VALUE"""),0.04744)</f>
        <v>0.04744</v>
      </c>
      <c r="K661" s="19" t="str">
        <f>IFERROR(__xludf.DUMMYFUNCTION("""COMPUTED_VALUE"""),"-")</f>
        <v>-</v>
      </c>
      <c r="L661" s="19">
        <f>IFERROR(__xludf.DUMMYFUNCTION("""COMPUTED_VALUE"""),0.04747)</f>
        <v>0.04747</v>
      </c>
      <c r="O661" s="24">
        <f t="shared" si="4"/>
        <v>0</v>
      </c>
      <c r="P661" s="24"/>
      <c r="Q661" s="24">
        <f t="shared" si="6"/>
        <v>0</v>
      </c>
      <c r="R661" s="24">
        <f t="shared" si="7"/>
        <v>0</v>
      </c>
      <c r="S661" s="24"/>
      <c r="T661" s="24">
        <f t="shared" si="9"/>
        <v>0</v>
      </c>
    </row>
    <row r="662">
      <c r="A662" s="12" t="s">
        <v>751</v>
      </c>
      <c r="F662" s="19">
        <f>IFERROR(__xludf.DUMMYFUNCTION("SPLIT(A658, "" |"")"),656.0)</f>
        <v>656</v>
      </c>
      <c r="G662" s="19">
        <f>IFERROR(__xludf.DUMMYFUNCTION("""COMPUTED_VALUE"""),0.00238)</f>
        <v>0.00238</v>
      </c>
      <c r="H662" s="19" t="str">
        <f>IFERROR(__xludf.DUMMYFUNCTION("""COMPUTED_VALUE"""),"-")</f>
        <v>-</v>
      </c>
      <c r="I662" s="19">
        <f>IFERROR(__xludf.DUMMYFUNCTION("""COMPUTED_VALUE"""),0.0022)</f>
        <v>0.0022</v>
      </c>
      <c r="J662" s="19">
        <f>IFERROR(__xludf.DUMMYFUNCTION("""COMPUTED_VALUE"""),0.0474)</f>
        <v>0.0474</v>
      </c>
      <c r="K662" s="19" t="str">
        <f>IFERROR(__xludf.DUMMYFUNCTION("""COMPUTED_VALUE"""),"-")</f>
        <v>-</v>
      </c>
      <c r="L662" s="19">
        <f>IFERROR(__xludf.DUMMYFUNCTION("""COMPUTED_VALUE"""),0.04761)</f>
        <v>0.04761</v>
      </c>
      <c r="O662" s="24">
        <f t="shared" si="4"/>
        <v>0</v>
      </c>
      <c r="P662" s="24"/>
      <c r="Q662" s="24">
        <f t="shared" si="6"/>
        <v>0</v>
      </c>
      <c r="R662" s="24">
        <f t="shared" si="7"/>
        <v>0</v>
      </c>
      <c r="S662" s="24"/>
      <c r="T662" s="24">
        <f t="shared" si="9"/>
        <v>0</v>
      </c>
    </row>
    <row r="663">
      <c r="A663" s="12" t="s">
        <v>752</v>
      </c>
      <c r="F663" s="19">
        <f>IFERROR(__xludf.DUMMYFUNCTION("SPLIT(A659, "" |"")"),657.0)</f>
        <v>657</v>
      </c>
      <c r="G663" s="19">
        <f>IFERROR(__xludf.DUMMYFUNCTION("""COMPUTED_VALUE"""),0.00231)</f>
        <v>0.00231</v>
      </c>
      <c r="H663" s="19" t="str">
        <f>IFERROR(__xludf.DUMMYFUNCTION("""COMPUTED_VALUE"""),"-")</f>
        <v>-</v>
      </c>
      <c r="I663" s="19">
        <f>IFERROR(__xludf.DUMMYFUNCTION("""COMPUTED_VALUE"""),0.00214)</f>
        <v>0.00214</v>
      </c>
      <c r="J663" s="19">
        <f>IFERROR(__xludf.DUMMYFUNCTION("""COMPUTED_VALUE"""),0.04748)</f>
        <v>0.04748</v>
      </c>
      <c r="K663" s="19" t="str">
        <f>IFERROR(__xludf.DUMMYFUNCTION("""COMPUTED_VALUE"""),"-")</f>
        <v>-</v>
      </c>
      <c r="L663" s="19">
        <f>IFERROR(__xludf.DUMMYFUNCTION("""COMPUTED_VALUE"""),0.04656)</f>
        <v>0.04656</v>
      </c>
      <c r="O663" s="24">
        <f t="shared" si="4"/>
        <v>0</v>
      </c>
      <c r="P663" s="24"/>
      <c r="Q663" s="24">
        <f t="shared" si="6"/>
        <v>0</v>
      </c>
      <c r="R663" s="24">
        <f t="shared" si="7"/>
        <v>0</v>
      </c>
      <c r="S663" s="24"/>
      <c r="T663" s="24">
        <f t="shared" si="9"/>
        <v>0</v>
      </c>
    </row>
    <row r="664">
      <c r="A664" s="12" t="s">
        <v>753</v>
      </c>
      <c r="F664" s="19">
        <f>IFERROR(__xludf.DUMMYFUNCTION("SPLIT(A660, "" |"")"),658.0)</f>
        <v>658</v>
      </c>
      <c r="G664" s="19">
        <f>IFERROR(__xludf.DUMMYFUNCTION("""COMPUTED_VALUE"""),0.00232)</f>
        <v>0.00232</v>
      </c>
      <c r="H664" s="19" t="str">
        <f>IFERROR(__xludf.DUMMYFUNCTION("""COMPUTED_VALUE"""),"-")</f>
        <v>-</v>
      </c>
      <c r="I664" s="19">
        <f>IFERROR(__xludf.DUMMYFUNCTION("""COMPUTED_VALUE"""),0.00326)</f>
        <v>0.00326</v>
      </c>
      <c r="J664" s="19">
        <f>IFERROR(__xludf.DUMMYFUNCTION("""COMPUTED_VALUE"""),0.04752)</f>
        <v>0.04752</v>
      </c>
      <c r="K664" s="19" t="str">
        <f>IFERROR(__xludf.DUMMYFUNCTION("""COMPUTED_VALUE"""),"-")</f>
        <v>-</v>
      </c>
      <c r="L664" s="19">
        <f>IFERROR(__xludf.DUMMYFUNCTION("""COMPUTED_VALUE"""),0.04765)</f>
        <v>0.04765</v>
      </c>
      <c r="O664" s="24">
        <f t="shared" si="4"/>
        <v>0</v>
      </c>
      <c r="P664" s="24"/>
      <c r="Q664" s="24">
        <f t="shared" si="6"/>
        <v>1</v>
      </c>
      <c r="R664" s="24">
        <f t="shared" si="7"/>
        <v>0</v>
      </c>
      <c r="S664" s="24"/>
      <c r="T664" s="24">
        <f t="shared" si="9"/>
        <v>0</v>
      </c>
    </row>
    <row r="665">
      <c r="A665" s="12" t="s">
        <v>754</v>
      </c>
      <c r="F665" s="19">
        <f>IFERROR(__xludf.DUMMYFUNCTION("SPLIT(A661, "" |"")"),659.0)</f>
        <v>659</v>
      </c>
      <c r="G665" s="19">
        <f>IFERROR(__xludf.DUMMYFUNCTION("""COMPUTED_VALUE"""),0.00239)</f>
        <v>0.00239</v>
      </c>
      <c r="H665" s="19" t="str">
        <f>IFERROR(__xludf.DUMMYFUNCTION("""COMPUTED_VALUE"""),"-")</f>
        <v>-</v>
      </c>
      <c r="I665" s="19">
        <f>IFERROR(__xludf.DUMMYFUNCTION("""COMPUTED_VALUE"""),0.00218)</f>
        <v>0.00218</v>
      </c>
      <c r="J665" s="19">
        <f>IFERROR(__xludf.DUMMYFUNCTION("""COMPUTED_VALUE"""),0.04744)</f>
        <v>0.04744</v>
      </c>
      <c r="K665" s="19" t="str">
        <f>IFERROR(__xludf.DUMMYFUNCTION("""COMPUTED_VALUE"""),"-")</f>
        <v>-</v>
      </c>
      <c r="L665" s="19">
        <f>IFERROR(__xludf.DUMMYFUNCTION("""COMPUTED_VALUE"""),0.04759)</f>
        <v>0.04759</v>
      </c>
      <c r="O665" s="24">
        <f t="shared" si="4"/>
        <v>0</v>
      </c>
      <c r="P665" s="24"/>
      <c r="Q665" s="24">
        <f t="shared" si="6"/>
        <v>0</v>
      </c>
      <c r="R665" s="24">
        <f t="shared" si="7"/>
        <v>0</v>
      </c>
      <c r="S665" s="24"/>
      <c r="T665" s="24">
        <f t="shared" si="9"/>
        <v>0</v>
      </c>
    </row>
    <row r="666">
      <c r="A666" s="12" t="s">
        <v>755</v>
      </c>
      <c r="F666" s="19">
        <f>IFERROR(__xludf.DUMMYFUNCTION("SPLIT(A662, "" |"")"),660.0)</f>
        <v>660</v>
      </c>
      <c r="G666" s="19">
        <f>IFERROR(__xludf.DUMMYFUNCTION("""COMPUTED_VALUE"""),0.00233)</f>
        <v>0.00233</v>
      </c>
      <c r="H666" s="19" t="str">
        <f>IFERROR(__xludf.DUMMYFUNCTION("""COMPUTED_VALUE"""),"-")</f>
        <v>-</v>
      </c>
      <c r="I666" s="19">
        <f>IFERROR(__xludf.DUMMYFUNCTION("""COMPUTED_VALUE"""),0.00226)</f>
        <v>0.00226</v>
      </c>
      <c r="J666" s="19">
        <f>IFERROR(__xludf.DUMMYFUNCTION("""COMPUTED_VALUE"""),0.04748)</f>
        <v>0.04748</v>
      </c>
      <c r="K666" s="19" t="str">
        <f>IFERROR(__xludf.DUMMYFUNCTION("""COMPUTED_VALUE"""),"-")</f>
        <v>-</v>
      </c>
      <c r="L666" s="19">
        <f>IFERROR(__xludf.DUMMYFUNCTION("""COMPUTED_VALUE"""),0.04762)</f>
        <v>0.04762</v>
      </c>
      <c r="O666" s="24">
        <f t="shared" si="4"/>
        <v>0</v>
      </c>
      <c r="P666" s="24"/>
      <c r="Q666" s="24">
        <f t="shared" si="6"/>
        <v>0</v>
      </c>
      <c r="R666" s="24">
        <f t="shared" si="7"/>
        <v>0</v>
      </c>
      <c r="S666" s="24"/>
      <c r="T666" s="24">
        <f t="shared" si="9"/>
        <v>0</v>
      </c>
    </row>
    <row r="667">
      <c r="A667" s="12" t="s">
        <v>756</v>
      </c>
      <c r="F667" s="19">
        <f>IFERROR(__xludf.DUMMYFUNCTION("SPLIT(A663, "" |"")"),661.0)</f>
        <v>661</v>
      </c>
      <c r="G667" s="19">
        <f>IFERROR(__xludf.DUMMYFUNCTION("""COMPUTED_VALUE"""),0.00227)</f>
        <v>0.00227</v>
      </c>
      <c r="H667" s="19" t="str">
        <f>IFERROR(__xludf.DUMMYFUNCTION("""COMPUTED_VALUE"""),"-")</f>
        <v>-</v>
      </c>
      <c r="I667" s="19">
        <f>IFERROR(__xludf.DUMMYFUNCTION("""COMPUTED_VALUE"""),0.00213)</f>
        <v>0.00213</v>
      </c>
      <c r="J667" s="19">
        <f>IFERROR(__xludf.DUMMYFUNCTION("""COMPUTED_VALUE"""),0.04747)</f>
        <v>0.04747</v>
      </c>
      <c r="K667" s="19" t="str">
        <f>IFERROR(__xludf.DUMMYFUNCTION("""COMPUTED_VALUE"""),"-")</f>
        <v>-</v>
      </c>
      <c r="L667" s="19">
        <f>IFERROR(__xludf.DUMMYFUNCTION("""COMPUTED_VALUE"""),0.04771)</f>
        <v>0.04771</v>
      </c>
      <c r="O667" s="24">
        <f t="shared" si="4"/>
        <v>0</v>
      </c>
      <c r="P667" s="24"/>
      <c r="Q667" s="24">
        <f t="shared" si="6"/>
        <v>0</v>
      </c>
      <c r="R667" s="24">
        <f t="shared" si="7"/>
        <v>0</v>
      </c>
      <c r="S667" s="24"/>
      <c r="T667" s="24">
        <f t="shared" si="9"/>
        <v>0</v>
      </c>
    </row>
    <row r="668">
      <c r="A668" s="12" t="s">
        <v>757</v>
      </c>
      <c r="F668" s="19">
        <f>IFERROR(__xludf.DUMMYFUNCTION("SPLIT(A664, "" |"")"),662.0)</f>
        <v>662</v>
      </c>
      <c r="G668" s="19">
        <f>IFERROR(__xludf.DUMMYFUNCTION("""COMPUTED_VALUE"""),0.00233)</f>
        <v>0.00233</v>
      </c>
      <c r="H668" s="19" t="str">
        <f>IFERROR(__xludf.DUMMYFUNCTION("""COMPUTED_VALUE"""),"-")</f>
        <v>-</v>
      </c>
      <c r="I668" s="19">
        <f>IFERROR(__xludf.DUMMYFUNCTION("""COMPUTED_VALUE"""),0.00219)</f>
        <v>0.00219</v>
      </c>
      <c r="J668" s="19">
        <f>IFERROR(__xludf.DUMMYFUNCTION("""COMPUTED_VALUE"""),0.04157)</f>
        <v>0.04157</v>
      </c>
      <c r="K668" s="19" t="str">
        <f>IFERROR(__xludf.DUMMYFUNCTION("""COMPUTED_VALUE"""),"-")</f>
        <v>-</v>
      </c>
      <c r="L668" s="19">
        <f>IFERROR(__xludf.DUMMYFUNCTION("""COMPUTED_VALUE"""),0.04616)</f>
        <v>0.04616</v>
      </c>
      <c r="O668" s="24">
        <f t="shared" si="4"/>
        <v>0</v>
      </c>
      <c r="P668" s="24"/>
      <c r="Q668" s="24">
        <f t="shared" si="6"/>
        <v>0</v>
      </c>
      <c r="R668" s="24">
        <f t="shared" si="7"/>
        <v>1</v>
      </c>
      <c r="S668" s="24"/>
      <c r="T668" s="24">
        <f t="shared" si="9"/>
        <v>0</v>
      </c>
    </row>
    <row r="669">
      <c r="A669" s="12" t="s">
        <v>758</v>
      </c>
      <c r="F669" s="19">
        <f>IFERROR(__xludf.DUMMYFUNCTION("SPLIT(A665, "" |"")"),663.0)</f>
        <v>663</v>
      </c>
      <c r="G669" s="19">
        <f>IFERROR(__xludf.DUMMYFUNCTION("""COMPUTED_VALUE"""),0.00248)</f>
        <v>0.00248</v>
      </c>
      <c r="H669" s="19" t="str">
        <f>IFERROR(__xludf.DUMMYFUNCTION("""COMPUTED_VALUE"""),"-")</f>
        <v>-</v>
      </c>
      <c r="I669" s="19">
        <f>IFERROR(__xludf.DUMMYFUNCTION("""COMPUTED_VALUE"""),0.0022)</f>
        <v>0.0022</v>
      </c>
      <c r="J669" s="19">
        <f>IFERROR(__xludf.DUMMYFUNCTION("""COMPUTED_VALUE"""),0.04743)</f>
        <v>0.04743</v>
      </c>
      <c r="K669" s="19" t="str">
        <f>IFERROR(__xludf.DUMMYFUNCTION("""COMPUTED_VALUE"""),"-")</f>
        <v>-</v>
      </c>
      <c r="L669" s="19">
        <f>IFERROR(__xludf.DUMMYFUNCTION("""COMPUTED_VALUE"""),0.04766)</f>
        <v>0.04766</v>
      </c>
      <c r="O669" s="24">
        <f t="shared" si="4"/>
        <v>0</v>
      </c>
      <c r="P669" s="24"/>
      <c r="Q669" s="24">
        <f t="shared" si="6"/>
        <v>0</v>
      </c>
      <c r="R669" s="24">
        <f t="shared" si="7"/>
        <v>0</v>
      </c>
      <c r="S669" s="24"/>
      <c r="T669" s="24">
        <f t="shared" si="9"/>
        <v>0</v>
      </c>
    </row>
    <row r="670">
      <c r="A670" s="12" t="s">
        <v>759</v>
      </c>
      <c r="F670" s="19">
        <f>IFERROR(__xludf.DUMMYFUNCTION("SPLIT(A666, "" |"")"),664.0)</f>
        <v>664</v>
      </c>
      <c r="G670" s="19">
        <f>IFERROR(__xludf.DUMMYFUNCTION("""COMPUTED_VALUE"""),0.00244)</f>
        <v>0.00244</v>
      </c>
      <c r="H670" s="19" t="str">
        <f>IFERROR(__xludf.DUMMYFUNCTION("""COMPUTED_VALUE"""),"-")</f>
        <v>-</v>
      </c>
      <c r="I670" s="19">
        <f>IFERROR(__xludf.DUMMYFUNCTION("""COMPUTED_VALUE"""),0.00223)</f>
        <v>0.00223</v>
      </c>
      <c r="J670" s="19">
        <f>IFERROR(__xludf.DUMMYFUNCTION("""COMPUTED_VALUE"""),0.04748)</f>
        <v>0.04748</v>
      </c>
      <c r="K670" s="19" t="str">
        <f>IFERROR(__xludf.DUMMYFUNCTION("""COMPUTED_VALUE"""),"-")</f>
        <v>-</v>
      </c>
      <c r="L670" s="19">
        <f>IFERROR(__xludf.DUMMYFUNCTION("""COMPUTED_VALUE"""),0.04761)</f>
        <v>0.04761</v>
      </c>
      <c r="O670" s="24">
        <f t="shared" si="4"/>
        <v>0</v>
      </c>
      <c r="P670" s="24"/>
      <c r="Q670" s="24">
        <f t="shared" si="6"/>
        <v>0</v>
      </c>
      <c r="R670" s="24">
        <f t="shared" si="7"/>
        <v>0</v>
      </c>
      <c r="S670" s="24"/>
      <c r="T670" s="24">
        <f t="shared" si="9"/>
        <v>0</v>
      </c>
    </row>
    <row r="671">
      <c r="A671" s="12" t="s">
        <v>760</v>
      </c>
      <c r="F671" s="19">
        <f>IFERROR(__xludf.DUMMYFUNCTION("SPLIT(A667, "" |"")"),665.0)</f>
        <v>665</v>
      </c>
      <c r="G671" s="19">
        <f>IFERROR(__xludf.DUMMYFUNCTION("""COMPUTED_VALUE"""),0.00245)</f>
        <v>0.00245</v>
      </c>
      <c r="H671" s="19" t="str">
        <f>IFERROR(__xludf.DUMMYFUNCTION("""COMPUTED_VALUE"""),"-")</f>
        <v>-</v>
      </c>
      <c r="I671" s="19">
        <f>IFERROR(__xludf.DUMMYFUNCTION("""COMPUTED_VALUE"""),0.00231)</f>
        <v>0.00231</v>
      </c>
      <c r="J671" s="19">
        <f>IFERROR(__xludf.DUMMYFUNCTION("""COMPUTED_VALUE"""),0.04745)</f>
        <v>0.04745</v>
      </c>
      <c r="K671" s="19" t="str">
        <f>IFERROR(__xludf.DUMMYFUNCTION("""COMPUTED_VALUE"""),"-")</f>
        <v>-</v>
      </c>
      <c r="L671" s="19">
        <f>IFERROR(__xludf.DUMMYFUNCTION("""COMPUTED_VALUE"""),0.04843)</f>
        <v>0.04843</v>
      </c>
      <c r="O671" s="24">
        <f t="shared" si="4"/>
        <v>0</v>
      </c>
      <c r="P671" s="24"/>
      <c r="Q671" s="24">
        <f t="shared" si="6"/>
        <v>0</v>
      </c>
      <c r="R671" s="24">
        <f t="shared" si="7"/>
        <v>0</v>
      </c>
      <c r="S671" s="24"/>
      <c r="T671" s="24">
        <f t="shared" si="9"/>
        <v>0</v>
      </c>
    </row>
    <row r="672">
      <c r="A672" s="12" t="s">
        <v>761</v>
      </c>
      <c r="F672" s="19">
        <f>IFERROR(__xludf.DUMMYFUNCTION("SPLIT(A668, "" |"")"),666.0)</f>
        <v>666</v>
      </c>
      <c r="G672" s="19">
        <f>IFERROR(__xludf.DUMMYFUNCTION("""COMPUTED_VALUE"""),0.00242)</f>
        <v>0.00242</v>
      </c>
      <c r="H672" s="19" t="str">
        <f>IFERROR(__xludf.DUMMYFUNCTION("""COMPUTED_VALUE"""),"-")</f>
        <v>-</v>
      </c>
      <c r="I672" s="19">
        <f>IFERROR(__xludf.DUMMYFUNCTION("""COMPUTED_VALUE"""),0.00223)</f>
        <v>0.00223</v>
      </c>
      <c r="J672" s="19">
        <f>IFERROR(__xludf.DUMMYFUNCTION("""COMPUTED_VALUE"""),0.04756)</f>
        <v>0.04756</v>
      </c>
      <c r="K672" s="19" t="str">
        <f>IFERROR(__xludf.DUMMYFUNCTION("""COMPUTED_VALUE"""),"-")</f>
        <v>-</v>
      </c>
      <c r="L672" s="19">
        <f>IFERROR(__xludf.DUMMYFUNCTION("""COMPUTED_VALUE"""),0.04337)</f>
        <v>0.04337</v>
      </c>
      <c r="O672" s="24">
        <f t="shared" si="4"/>
        <v>0</v>
      </c>
      <c r="P672" s="24"/>
      <c r="Q672" s="24">
        <f t="shared" si="6"/>
        <v>0</v>
      </c>
      <c r="R672" s="24">
        <f t="shared" si="7"/>
        <v>0</v>
      </c>
      <c r="S672" s="24"/>
      <c r="T672" s="24">
        <f t="shared" si="9"/>
        <v>0</v>
      </c>
    </row>
    <row r="673">
      <c r="A673" s="12" t="s">
        <v>762</v>
      </c>
      <c r="F673" s="19">
        <f>IFERROR(__xludf.DUMMYFUNCTION("SPLIT(A669, "" |"")"),667.0)</f>
        <v>667</v>
      </c>
      <c r="G673" s="19">
        <f>IFERROR(__xludf.DUMMYFUNCTION("""COMPUTED_VALUE"""),0.00241)</f>
        <v>0.00241</v>
      </c>
      <c r="H673" s="19" t="str">
        <f>IFERROR(__xludf.DUMMYFUNCTION("""COMPUTED_VALUE"""),"-")</f>
        <v>-</v>
      </c>
      <c r="I673" s="19">
        <f>IFERROR(__xludf.DUMMYFUNCTION("""COMPUTED_VALUE"""),0.00228)</f>
        <v>0.00228</v>
      </c>
      <c r="J673" s="19">
        <f>IFERROR(__xludf.DUMMYFUNCTION("""COMPUTED_VALUE"""),0.04741)</f>
        <v>0.04741</v>
      </c>
      <c r="K673" s="19" t="str">
        <f>IFERROR(__xludf.DUMMYFUNCTION("""COMPUTED_VALUE"""),"-")</f>
        <v>-</v>
      </c>
      <c r="L673" s="19">
        <f>IFERROR(__xludf.DUMMYFUNCTION("""COMPUTED_VALUE"""),0.04547)</f>
        <v>0.04547</v>
      </c>
      <c r="O673" s="24">
        <f t="shared" si="4"/>
        <v>0</v>
      </c>
      <c r="P673" s="24"/>
      <c r="Q673" s="24">
        <f t="shared" si="6"/>
        <v>0</v>
      </c>
      <c r="R673" s="24">
        <f t="shared" si="7"/>
        <v>0</v>
      </c>
      <c r="S673" s="24"/>
      <c r="T673" s="24">
        <f t="shared" si="9"/>
        <v>0</v>
      </c>
    </row>
    <row r="674">
      <c r="A674" s="12" t="s">
        <v>763</v>
      </c>
      <c r="F674" s="19">
        <f>IFERROR(__xludf.DUMMYFUNCTION("SPLIT(A670, "" |"")"),668.0)</f>
        <v>668</v>
      </c>
      <c r="G674" s="19">
        <f>IFERROR(__xludf.DUMMYFUNCTION("""COMPUTED_VALUE"""),0.00252)</f>
        <v>0.00252</v>
      </c>
      <c r="H674" s="19" t="str">
        <f>IFERROR(__xludf.DUMMYFUNCTION("""COMPUTED_VALUE"""),"-")</f>
        <v>-</v>
      </c>
      <c r="I674" s="19">
        <f>IFERROR(__xludf.DUMMYFUNCTION("""COMPUTED_VALUE"""),0.00222)</f>
        <v>0.00222</v>
      </c>
      <c r="J674" s="19">
        <f>IFERROR(__xludf.DUMMYFUNCTION("""COMPUTED_VALUE"""),0.04452)</f>
        <v>0.04452</v>
      </c>
      <c r="K674" s="19" t="str">
        <f>IFERROR(__xludf.DUMMYFUNCTION("""COMPUTED_VALUE"""),"-")</f>
        <v>-</v>
      </c>
      <c r="L674" s="19">
        <f>IFERROR(__xludf.DUMMYFUNCTION("""COMPUTED_VALUE"""),0.04441)</f>
        <v>0.04441</v>
      </c>
      <c r="O674" s="24">
        <f t="shared" si="4"/>
        <v>0</v>
      </c>
      <c r="P674" s="24"/>
      <c r="Q674" s="24">
        <f t="shared" si="6"/>
        <v>0</v>
      </c>
      <c r="R674" s="24">
        <f t="shared" si="7"/>
        <v>1</v>
      </c>
      <c r="S674" s="24"/>
      <c r="T674" s="24">
        <f t="shared" si="9"/>
        <v>0</v>
      </c>
    </row>
    <row r="675">
      <c r="A675" s="12" t="s">
        <v>764</v>
      </c>
      <c r="F675" s="19">
        <f>IFERROR(__xludf.DUMMYFUNCTION("SPLIT(A671, "" |"")"),669.0)</f>
        <v>669</v>
      </c>
      <c r="G675" s="19">
        <f>IFERROR(__xludf.DUMMYFUNCTION("""COMPUTED_VALUE"""),0.00242)</f>
        <v>0.00242</v>
      </c>
      <c r="H675" s="19" t="str">
        <f>IFERROR(__xludf.DUMMYFUNCTION("""COMPUTED_VALUE"""),"-")</f>
        <v>-</v>
      </c>
      <c r="I675" s="19">
        <f>IFERROR(__xludf.DUMMYFUNCTION("""COMPUTED_VALUE"""),0.00218)</f>
        <v>0.00218</v>
      </c>
      <c r="J675" s="19">
        <f>IFERROR(__xludf.DUMMYFUNCTION("""COMPUTED_VALUE"""),0.04491)</f>
        <v>0.04491</v>
      </c>
      <c r="K675" s="19" t="str">
        <f>IFERROR(__xludf.DUMMYFUNCTION("""COMPUTED_VALUE"""),"-")</f>
        <v>-</v>
      </c>
      <c r="L675" s="19">
        <f>IFERROR(__xludf.DUMMYFUNCTION("""COMPUTED_VALUE"""),0.03636)</f>
        <v>0.03636</v>
      </c>
      <c r="O675" s="24">
        <f t="shared" si="4"/>
        <v>0</v>
      </c>
      <c r="P675" s="24"/>
      <c r="Q675" s="24">
        <f t="shared" si="6"/>
        <v>0</v>
      </c>
      <c r="R675" s="24">
        <f t="shared" si="7"/>
        <v>1</v>
      </c>
      <c r="S675" s="24"/>
      <c r="T675" s="24">
        <f t="shared" si="9"/>
        <v>1</v>
      </c>
    </row>
    <row r="676">
      <c r="A676" s="12" t="s">
        <v>765</v>
      </c>
      <c r="F676" s="19">
        <f>IFERROR(__xludf.DUMMYFUNCTION("SPLIT(A672, "" |"")"),670.0)</f>
        <v>670</v>
      </c>
      <c r="G676" s="19">
        <f>IFERROR(__xludf.DUMMYFUNCTION("""COMPUTED_VALUE"""),0.0023)</f>
        <v>0.0023</v>
      </c>
      <c r="H676" s="19" t="str">
        <f>IFERROR(__xludf.DUMMYFUNCTION("""COMPUTED_VALUE"""),"-")</f>
        <v>-</v>
      </c>
      <c r="I676" s="19">
        <f>IFERROR(__xludf.DUMMYFUNCTION("""COMPUTED_VALUE"""),0.00226)</f>
        <v>0.00226</v>
      </c>
      <c r="J676" s="19">
        <f>IFERROR(__xludf.DUMMYFUNCTION("""COMPUTED_VALUE"""),0.0475)</f>
        <v>0.0475</v>
      </c>
      <c r="K676" s="19" t="str">
        <f>IFERROR(__xludf.DUMMYFUNCTION("""COMPUTED_VALUE"""),"-")</f>
        <v>-</v>
      </c>
      <c r="L676" s="19">
        <f>IFERROR(__xludf.DUMMYFUNCTION("""COMPUTED_VALUE"""),0.04054)</f>
        <v>0.04054</v>
      </c>
      <c r="O676" s="24">
        <f t="shared" si="4"/>
        <v>0</v>
      </c>
      <c r="P676" s="24"/>
      <c r="Q676" s="24">
        <f t="shared" si="6"/>
        <v>0</v>
      </c>
      <c r="R676" s="24">
        <f t="shared" si="7"/>
        <v>0</v>
      </c>
      <c r="S676" s="24"/>
      <c r="T676" s="24">
        <f t="shared" si="9"/>
        <v>0</v>
      </c>
    </row>
    <row r="677">
      <c r="A677" s="12" t="s">
        <v>766</v>
      </c>
      <c r="F677" s="19">
        <f>IFERROR(__xludf.DUMMYFUNCTION("SPLIT(A673, "" |"")"),671.0)</f>
        <v>671</v>
      </c>
      <c r="G677" s="19">
        <f>IFERROR(__xludf.DUMMYFUNCTION("""COMPUTED_VALUE"""),0.0023)</f>
        <v>0.0023</v>
      </c>
      <c r="H677" s="19" t="str">
        <f>IFERROR(__xludf.DUMMYFUNCTION("""COMPUTED_VALUE"""),"-")</f>
        <v>-</v>
      </c>
      <c r="I677" s="19">
        <f>IFERROR(__xludf.DUMMYFUNCTION("""COMPUTED_VALUE"""),0.00216)</f>
        <v>0.00216</v>
      </c>
      <c r="J677" s="19">
        <f>IFERROR(__xludf.DUMMYFUNCTION("""COMPUTED_VALUE"""),0.04748)</f>
        <v>0.04748</v>
      </c>
      <c r="K677" s="19" t="str">
        <f>IFERROR(__xludf.DUMMYFUNCTION("""COMPUTED_VALUE"""),"-")</f>
        <v>-</v>
      </c>
      <c r="L677" s="19">
        <f>IFERROR(__xludf.DUMMYFUNCTION("""COMPUTED_VALUE"""),0.0446)</f>
        <v>0.0446</v>
      </c>
      <c r="O677" s="24">
        <f t="shared" si="4"/>
        <v>0</v>
      </c>
      <c r="P677" s="24"/>
      <c r="Q677" s="24">
        <f t="shared" si="6"/>
        <v>0</v>
      </c>
      <c r="R677" s="24">
        <f t="shared" si="7"/>
        <v>0</v>
      </c>
      <c r="S677" s="24"/>
      <c r="T677" s="24">
        <f t="shared" si="9"/>
        <v>0</v>
      </c>
    </row>
    <row r="678">
      <c r="A678" s="12" t="s">
        <v>767</v>
      </c>
      <c r="F678" s="19">
        <f>IFERROR(__xludf.DUMMYFUNCTION("SPLIT(A674, "" |"")"),672.0)</f>
        <v>672</v>
      </c>
      <c r="G678" s="19">
        <f>IFERROR(__xludf.DUMMYFUNCTION("""COMPUTED_VALUE"""),0.00245)</f>
        <v>0.00245</v>
      </c>
      <c r="H678" s="19" t="str">
        <f>IFERROR(__xludf.DUMMYFUNCTION("""COMPUTED_VALUE"""),"-")</f>
        <v>-</v>
      </c>
      <c r="I678" s="19">
        <f>IFERROR(__xludf.DUMMYFUNCTION("""COMPUTED_VALUE"""),0.00227)</f>
        <v>0.00227</v>
      </c>
      <c r="J678" s="19">
        <f>IFERROR(__xludf.DUMMYFUNCTION("""COMPUTED_VALUE"""),0.04654)</f>
        <v>0.04654</v>
      </c>
      <c r="K678" s="19" t="str">
        <f>IFERROR(__xludf.DUMMYFUNCTION("""COMPUTED_VALUE"""),"-")</f>
        <v>-</v>
      </c>
      <c r="L678" s="19">
        <f>IFERROR(__xludf.DUMMYFUNCTION("""COMPUTED_VALUE"""),0.04828)</f>
        <v>0.04828</v>
      </c>
      <c r="O678" s="24">
        <f t="shared" si="4"/>
        <v>0</v>
      </c>
      <c r="P678" s="24"/>
      <c r="Q678" s="24">
        <f t="shared" si="6"/>
        <v>0</v>
      </c>
      <c r="R678" s="24">
        <f t="shared" si="7"/>
        <v>0</v>
      </c>
      <c r="S678" s="24"/>
      <c r="T678" s="24">
        <f t="shared" si="9"/>
        <v>0</v>
      </c>
    </row>
    <row r="679">
      <c r="A679" s="12" t="s">
        <v>768</v>
      </c>
      <c r="F679" s="19">
        <f>IFERROR(__xludf.DUMMYFUNCTION("SPLIT(A675, "" |"")"),673.0)</f>
        <v>673</v>
      </c>
      <c r="G679" s="19">
        <f>IFERROR(__xludf.DUMMYFUNCTION("""COMPUTED_VALUE"""),0.00243)</f>
        <v>0.00243</v>
      </c>
      <c r="H679" s="19" t="str">
        <f>IFERROR(__xludf.DUMMYFUNCTION("""COMPUTED_VALUE"""),"-")</f>
        <v>-</v>
      </c>
      <c r="I679" s="19">
        <f>IFERROR(__xludf.DUMMYFUNCTION("""COMPUTED_VALUE"""),0.00223)</f>
        <v>0.00223</v>
      </c>
      <c r="J679" s="19">
        <f>IFERROR(__xludf.DUMMYFUNCTION("""COMPUTED_VALUE"""),0.04748)</f>
        <v>0.04748</v>
      </c>
      <c r="K679" s="19" t="str">
        <f>IFERROR(__xludf.DUMMYFUNCTION("""COMPUTED_VALUE"""),"-")</f>
        <v>-</v>
      </c>
      <c r="L679" s="19">
        <f>IFERROR(__xludf.DUMMYFUNCTION("""COMPUTED_VALUE"""),0.04768)</f>
        <v>0.04768</v>
      </c>
      <c r="O679" s="24">
        <f t="shared" si="4"/>
        <v>0</v>
      </c>
      <c r="P679" s="24"/>
      <c r="Q679" s="24">
        <f t="shared" si="6"/>
        <v>0</v>
      </c>
      <c r="R679" s="24">
        <f t="shared" si="7"/>
        <v>0</v>
      </c>
      <c r="S679" s="24"/>
      <c r="T679" s="24">
        <f t="shared" si="9"/>
        <v>0</v>
      </c>
    </row>
    <row r="680">
      <c r="A680" s="12" t="s">
        <v>769</v>
      </c>
      <c r="F680" s="19">
        <f>IFERROR(__xludf.DUMMYFUNCTION("SPLIT(A676, "" |"")"),674.0)</f>
        <v>674</v>
      </c>
      <c r="G680" s="19">
        <f>IFERROR(__xludf.DUMMYFUNCTION("""COMPUTED_VALUE"""),0.00242)</f>
        <v>0.00242</v>
      </c>
      <c r="H680" s="19" t="str">
        <f>IFERROR(__xludf.DUMMYFUNCTION("""COMPUTED_VALUE"""),"-")</f>
        <v>-</v>
      </c>
      <c r="I680" s="19">
        <f>IFERROR(__xludf.DUMMYFUNCTION("""COMPUTED_VALUE"""),0.00221)</f>
        <v>0.00221</v>
      </c>
      <c r="J680" s="19">
        <f>IFERROR(__xludf.DUMMYFUNCTION("""COMPUTED_VALUE"""),0.04409)</f>
        <v>0.04409</v>
      </c>
      <c r="K680" s="19" t="str">
        <f>IFERROR(__xludf.DUMMYFUNCTION("""COMPUTED_VALUE"""),"-")</f>
        <v>-</v>
      </c>
      <c r="L680" s="19">
        <f>IFERROR(__xludf.DUMMYFUNCTION("""COMPUTED_VALUE"""),0.04764)</f>
        <v>0.04764</v>
      </c>
      <c r="O680" s="24">
        <f t="shared" si="4"/>
        <v>0</v>
      </c>
      <c r="P680" s="24"/>
      <c r="Q680" s="24">
        <f t="shared" si="6"/>
        <v>0</v>
      </c>
      <c r="R680" s="24">
        <f t="shared" si="7"/>
        <v>1</v>
      </c>
      <c r="S680" s="24"/>
      <c r="T680" s="24">
        <f t="shared" si="9"/>
        <v>0</v>
      </c>
    </row>
    <row r="681">
      <c r="A681" s="12" t="s">
        <v>770</v>
      </c>
      <c r="F681" s="19">
        <f>IFERROR(__xludf.DUMMYFUNCTION("SPLIT(A677, "" |"")"),675.0)</f>
        <v>675</v>
      </c>
      <c r="G681" s="19">
        <f>IFERROR(__xludf.DUMMYFUNCTION("""COMPUTED_VALUE"""),0.0024)</f>
        <v>0.0024</v>
      </c>
      <c r="H681" s="19" t="str">
        <f>IFERROR(__xludf.DUMMYFUNCTION("""COMPUTED_VALUE"""),"-")</f>
        <v>-</v>
      </c>
      <c r="I681" s="19">
        <f>IFERROR(__xludf.DUMMYFUNCTION("""COMPUTED_VALUE"""),0.00221)</f>
        <v>0.00221</v>
      </c>
      <c r="J681" s="19">
        <f>IFERROR(__xludf.DUMMYFUNCTION("""COMPUTED_VALUE"""),0.04739)</f>
        <v>0.04739</v>
      </c>
      <c r="K681" s="19" t="str">
        <f>IFERROR(__xludf.DUMMYFUNCTION("""COMPUTED_VALUE"""),"-")</f>
        <v>-</v>
      </c>
      <c r="L681" s="19">
        <f>IFERROR(__xludf.DUMMYFUNCTION("""COMPUTED_VALUE"""),0.04775)</f>
        <v>0.04775</v>
      </c>
      <c r="O681" s="24">
        <f t="shared" si="4"/>
        <v>0</v>
      </c>
      <c r="P681" s="24"/>
      <c r="Q681" s="24">
        <f t="shared" si="6"/>
        <v>0</v>
      </c>
      <c r="R681" s="24">
        <f t="shared" si="7"/>
        <v>0</v>
      </c>
      <c r="S681" s="24"/>
      <c r="T681" s="24">
        <f t="shared" si="9"/>
        <v>0</v>
      </c>
    </row>
    <row r="682">
      <c r="A682" s="12" t="s">
        <v>771</v>
      </c>
      <c r="F682" s="19">
        <f>IFERROR(__xludf.DUMMYFUNCTION("SPLIT(A678, "" |"")"),676.0)</f>
        <v>676</v>
      </c>
      <c r="G682" s="19">
        <f>IFERROR(__xludf.DUMMYFUNCTION("""COMPUTED_VALUE"""),0.00243)</f>
        <v>0.00243</v>
      </c>
      <c r="H682" s="19" t="str">
        <f>IFERROR(__xludf.DUMMYFUNCTION("""COMPUTED_VALUE"""),"-")</f>
        <v>-</v>
      </c>
      <c r="I682" s="19">
        <f>IFERROR(__xludf.DUMMYFUNCTION("""COMPUTED_VALUE"""),0.00221)</f>
        <v>0.00221</v>
      </c>
      <c r="J682" s="19">
        <f>IFERROR(__xludf.DUMMYFUNCTION("""COMPUTED_VALUE"""),0.04742)</f>
        <v>0.04742</v>
      </c>
      <c r="K682" s="19" t="str">
        <f>IFERROR(__xludf.DUMMYFUNCTION("""COMPUTED_VALUE"""),"-")</f>
        <v>-</v>
      </c>
      <c r="L682" s="19">
        <f>IFERROR(__xludf.DUMMYFUNCTION("""COMPUTED_VALUE"""),0.04763)</f>
        <v>0.04763</v>
      </c>
      <c r="O682" s="24">
        <f t="shared" si="4"/>
        <v>0</v>
      </c>
      <c r="P682" s="24"/>
      <c r="Q682" s="24">
        <f t="shared" si="6"/>
        <v>0</v>
      </c>
      <c r="R682" s="24">
        <f t="shared" si="7"/>
        <v>0</v>
      </c>
      <c r="S682" s="24"/>
      <c r="T682" s="24">
        <f t="shared" si="9"/>
        <v>0</v>
      </c>
    </row>
    <row r="683">
      <c r="A683" s="12" t="s">
        <v>772</v>
      </c>
      <c r="F683" s="19">
        <f>IFERROR(__xludf.DUMMYFUNCTION("SPLIT(A679, "" |"")"),677.0)</f>
        <v>677</v>
      </c>
      <c r="G683" s="19">
        <f>IFERROR(__xludf.DUMMYFUNCTION("""COMPUTED_VALUE"""),0.00239)</f>
        <v>0.00239</v>
      </c>
      <c r="H683" s="19" t="str">
        <f>IFERROR(__xludf.DUMMYFUNCTION("""COMPUTED_VALUE"""),"-")</f>
        <v>-</v>
      </c>
      <c r="I683" s="19">
        <f>IFERROR(__xludf.DUMMYFUNCTION("""COMPUTED_VALUE"""),0.0021)</f>
        <v>0.0021</v>
      </c>
      <c r="J683" s="19">
        <f>IFERROR(__xludf.DUMMYFUNCTION("""COMPUTED_VALUE"""),0.04751)</f>
        <v>0.04751</v>
      </c>
      <c r="K683" s="19" t="str">
        <f>IFERROR(__xludf.DUMMYFUNCTION("""COMPUTED_VALUE"""),"-")</f>
        <v>-</v>
      </c>
      <c r="L683" s="19">
        <f>IFERROR(__xludf.DUMMYFUNCTION("""COMPUTED_VALUE"""),0.04754)</f>
        <v>0.04754</v>
      </c>
      <c r="O683" s="24">
        <f t="shared" si="4"/>
        <v>0</v>
      </c>
      <c r="P683" s="24"/>
      <c r="Q683" s="24">
        <f t="shared" si="6"/>
        <v>0</v>
      </c>
      <c r="R683" s="24">
        <f t="shared" si="7"/>
        <v>0</v>
      </c>
      <c r="S683" s="24"/>
      <c r="T683" s="24">
        <f t="shared" si="9"/>
        <v>0</v>
      </c>
    </row>
    <row r="684">
      <c r="A684" s="12" t="s">
        <v>773</v>
      </c>
      <c r="F684" s="19">
        <f>IFERROR(__xludf.DUMMYFUNCTION("SPLIT(A680, "" |"")"),678.0)</f>
        <v>678</v>
      </c>
      <c r="G684" s="19">
        <f>IFERROR(__xludf.DUMMYFUNCTION("""COMPUTED_VALUE"""),0.00242)</f>
        <v>0.00242</v>
      </c>
      <c r="H684" s="19" t="str">
        <f>IFERROR(__xludf.DUMMYFUNCTION("""COMPUTED_VALUE"""),"-")</f>
        <v>-</v>
      </c>
      <c r="I684" s="19">
        <f>IFERROR(__xludf.DUMMYFUNCTION("""COMPUTED_VALUE"""),0.00267)</f>
        <v>0.00267</v>
      </c>
      <c r="J684" s="19">
        <f>IFERROR(__xludf.DUMMYFUNCTION("""COMPUTED_VALUE"""),0.04728)</f>
        <v>0.04728</v>
      </c>
      <c r="K684" s="19" t="str">
        <f>IFERROR(__xludf.DUMMYFUNCTION("""COMPUTED_VALUE"""),"-")</f>
        <v>-</v>
      </c>
      <c r="L684" s="19">
        <f>IFERROR(__xludf.DUMMYFUNCTION("""COMPUTED_VALUE"""),0.04758)</f>
        <v>0.04758</v>
      </c>
      <c r="O684" s="24">
        <f t="shared" si="4"/>
        <v>0</v>
      </c>
      <c r="P684" s="24"/>
      <c r="Q684" s="24">
        <f t="shared" si="6"/>
        <v>0</v>
      </c>
      <c r="R684" s="24">
        <f t="shared" si="7"/>
        <v>0</v>
      </c>
      <c r="S684" s="24"/>
      <c r="T684" s="24">
        <f t="shared" si="9"/>
        <v>0</v>
      </c>
    </row>
    <row r="685">
      <c r="A685" s="12" t="s">
        <v>774</v>
      </c>
      <c r="F685" s="19">
        <f>IFERROR(__xludf.DUMMYFUNCTION("SPLIT(A681, "" |"")"),679.0)</f>
        <v>679</v>
      </c>
      <c r="G685" s="19">
        <f>IFERROR(__xludf.DUMMYFUNCTION("""COMPUTED_VALUE"""),0.00242)</f>
        <v>0.00242</v>
      </c>
      <c r="H685" s="19" t="str">
        <f>IFERROR(__xludf.DUMMYFUNCTION("""COMPUTED_VALUE"""),"-")</f>
        <v>-</v>
      </c>
      <c r="I685" s="19">
        <f>IFERROR(__xludf.DUMMYFUNCTION("""COMPUTED_VALUE"""),0.00225)</f>
        <v>0.00225</v>
      </c>
      <c r="J685" s="19">
        <f>IFERROR(__xludf.DUMMYFUNCTION("""COMPUTED_VALUE"""),0.04427)</f>
        <v>0.04427</v>
      </c>
      <c r="K685" s="19" t="str">
        <f>IFERROR(__xludf.DUMMYFUNCTION("""COMPUTED_VALUE"""),"-")</f>
        <v>-</v>
      </c>
      <c r="L685" s="19">
        <f>IFERROR(__xludf.DUMMYFUNCTION("""COMPUTED_VALUE"""),0.04755)</f>
        <v>0.04755</v>
      </c>
      <c r="O685" s="24">
        <f t="shared" si="4"/>
        <v>0</v>
      </c>
      <c r="P685" s="24"/>
      <c r="Q685" s="24">
        <f t="shared" si="6"/>
        <v>0</v>
      </c>
      <c r="R685" s="24">
        <f t="shared" si="7"/>
        <v>1</v>
      </c>
      <c r="S685" s="24"/>
      <c r="T685" s="24">
        <f t="shared" si="9"/>
        <v>0</v>
      </c>
    </row>
    <row r="686">
      <c r="A686" s="12" t="s">
        <v>775</v>
      </c>
      <c r="F686" s="19">
        <f>IFERROR(__xludf.DUMMYFUNCTION("SPLIT(A682, "" |"")"),680.0)</f>
        <v>680</v>
      </c>
      <c r="G686" s="19">
        <f>IFERROR(__xludf.DUMMYFUNCTION("""COMPUTED_VALUE"""),0.00237)</f>
        <v>0.00237</v>
      </c>
      <c r="H686" s="19" t="str">
        <f>IFERROR(__xludf.DUMMYFUNCTION("""COMPUTED_VALUE"""),"-")</f>
        <v>-</v>
      </c>
      <c r="I686" s="19">
        <f>IFERROR(__xludf.DUMMYFUNCTION("""COMPUTED_VALUE"""),0.0022)</f>
        <v>0.0022</v>
      </c>
      <c r="J686" s="19">
        <f>IFERROR(__xludf.DUMMYFUNCTION("""COMPUTED_VALUE"""),0.04744)</f>
        <v>0.04744</v>
      </c>
      <c r="K686" s="19" t="str">
        <f>IFERROR(__xludf.DUMMYFUNCTION("""COMPUTED_VALUE"""),"-")</f>
        <v>-</v>
      </c>
      <c r="L686" s="19">
        <f>IFERROR(__xludf.DUMMYFUNCTION("""COMPUTED_VALUE"""),0.0476)</f>
        <v>0.0476</v>
      </c>
      <c r="O686" s="24">
        <f t="shared" si="4"/>
        <v>0</v>
      </c>
      <c r="P686" s="24"/>
      <c r="Q686" s="24">
        <f t="shared" si="6"/>
        <v>0</v>
      </c>
      <c r="R686" s="24">
        <f t="shared" si="7"/>
        <v>0</v>
      </c>
      <c r="S686" s="24"/>
      <c r="T686" s="24">
        <f t="shared" si="9"/>
        <v>0</v>
      </c>
    </row>
    <row r="687">
      <c r="A687" s="12" t="s">
        <v>776</v>
      </c>
      <c r="F687" s="19">
        <f>IFERROR(__xludf.DUMMYFUNCTION("SPLIT(A683, "" |"")"),681.0)</f>
        <v>681</v>
      </c>
      <c r="G687" s="19">
        <f>IFERROR(__xludf.DUMMYFUNCTION("""COMPUTED_VALUE"""),0.00236)</f>
        <v>0.00236</v>
      </c>
      <c r="H687" s="19" t="str">
        <f>IFERROR(__xludf.DUMMYFUNCTION("""COMPUTED_VALUE"""),"-")</f>
        <v>-</v>
      </c>
      <c r="I687" s="19">
        <f>IFERROR(__xludf.DUMMYFUNCTION("""COMPUTED_VALUE"""),0.0022)</f>
        <v>0.0022</v>
      </c>
      <c r="J687" s="19">
        <f>IFERROR(__xludf.DUMMYFUNCTION("""COMPUTED_VALUE"""),0.04723)</f>
        <v>0.04723</v>
      </c>
      <c r="K687" s="19" t="str">
        <f>IFERROR(__xludf.DUMMYFUNCTION("""COMPUTED_VALUE"""),"-")</f>
        <v>-</v>
      </c>
      <c r="L687" s="19">
        <f>IFERROR(__xludf.DUMMYFUNCTION("""COMPUTED_VALUE"""),0.0476)</f>
        <v>0.0476</v>
      </c>
      <c r="O687" s="24">
        <f t="shared" si="4"/>
        <v>0</v>
      </c>
      <c r="P687" s="24"/>
      <c r="Q687" s="24">
        <f t="shared" si="6"/>
        <v>0</v>
      </c>
      <c r="R687" s="24">
        <f t="shared" si="7"/>
        <v>0</v>
      </c>
      <c r="S687" s="24"/>
      <c r="T687" s="24">
        <f t="shared" si="9"/>
        <v>0</v>
      </c>
    </row>
    <row r="688">
      <c r="A688" s="12" t="s">
        <v>777</v>
      </c>
      <c r="F688" s="19">
        <f>IFERROR(__xludf.DUMMYFUNCTION("SPLIT(A684, "" |"")"),682.0)</f>
        <v>682</v>
      </c>
      <c r="G688" s="19">
        <f>IFERROR(__xludf.DUMMYFUNCTION("""COMPUTED_VALUE"""),0.00231)</f>
        <v>0.00231</v>
      </c>
      <c r="H688" s="19" t="str">
        <f>IFERROR(__xludf.DUMMYFUNCTION("""COMPUTED_VALUE"""),"-")</f>
        <v>-</v>
      </c>
      <c r="I688" s="19">
        <f>IFERROR(__xludf.DUMMYFUNCTION("""COMPUTED_VALUE"""),0.00219)</f>
        <v>0.00219</v>
      </c>
      <c r="J688" s="19">
        <f>IFERROR(__xludf.DUMMYFUNCTION("""COMPUTED_VALUE"""),0.04747)</f>
        <v>0.04747</v>
      </c>
      <c r="K688" s="19" t="str">
        <f>IFERROR(__xludf.DUMMYFUNCTION("""COMPUTED_VALUE"""),"-")</f>
        <v>-</v>
      </c>
      <c r="L688" s="19">
        <f>IFERROR(__xludf.DUMMYFUNCTION("""COMPUTED_VALUE"""),0.04762)</f>
        <v>0.04762</v>
      </c>
      <c r="O688" s="24">
        <f t="shared" si="4"/>
        <v>0</v>
      </c>
      <c r="P688" s="24"/>
      <c r="Q688" s="24">
        <f t="shared" si="6"/>
        <v>0</v>
      </c>
      <c r="R688" s="24">
        <f t="shared" si="7"/>
        <v>0</v>
      </c>
      <c r="S688" s="24"/>
      <c r="T688" s="24">
        <f t="shared" si="9"/>
        <v>0</v>
      </c>
    </row>
    <row r="689">
      <c r="A689" s="12" t="s">
        <v>778</v>
      </c>
      <c r="F689" s="19">
        <f>IFERROR(__xludf.DUMMYFUNCTION("SPLIT(A685, "" |"")"),683.0)</f>
        <v>683</v>
      </c>
      <c r="G689" s="19">
        <f>IFERROR(__xludf.DUMMYFUNCTION("""COMPUTED_VALUE"""),0.00239)</f>
        <v>0.00239</v>
      </c>
      <c r="H689" s="19" t="str">
        <f>IFERROR(__xludf.DUMMYFUNCTION("""COMPUTED_VALUE"""),"-")</f>
        <v>-</v>
      </c>
      <c r="I689" s="19">
        <f>IFERROR(__xludf.DUMMYFUNCTION("""COMPUTED_VALUE"""),0.00225)</f>
        <v>0.00225</v>
      </c>
      <c r="J689" s="19">
        <f>IFERROR(__xludf.DUMMYFUNCTION("""COMPUTED_VALUE"""),0.04396)</f>
        <v>0.04396</v>
      </c>
      <c r="K689" s="19" t="str">
        <f>IFERROR(__xludf.DUMMYFUNCTION("""COMPUTED_VALUE"""),"-")</f>
        <v>-</v>
      </c>
      <c r="L689" s="19">
        <f>IFERROR(__xludf.DUMMYFUNCTION("""COMPUTED_VALUE"""),0.04637)</f>
        <v>0.04637</v>
      </c>
      <c r="O689" s="24">
        <f t="shared" si="4"/>
        <v>0</v>
      </c>
      <c r="P689" s="24"/>
      <c r="Q689" s="24">
        <f t="shared" si="6"/>
        <v>0</v>
      </c>
      <c r="R689" s="24">
        <f t="shared" si="7"/>
        <v>1</v>
      </c>
      <c r="S689" s="24"/>
      <c r="T689" s="24">
        <f t="shared" si="9"/>
        <v>0</v>
      </c>
    </row>
    <row r="690">
      <c r="A690" s="12" t="s">
        <v>779</v>
      </c>
      <c r="F690" s="19">
        <f>IFERROR(__xludf.DUMMYFUNCTION("SPLIT(A686, "" |"")"),684.0)</f>
        <v>684</v>
      </c>
      <c r="G690" s="19">
        <f>IFERROR(__xludf.DUMMYFUNCTION("""COMPUTED_VALUE"""),0.00239)</f>
        <v>0.00239</v>
      </c>
      <c r="H690" s="19" t="str">
        <f>IFERROR(__xludf.DUMMYFUNCTION("""COMPUTED_VALUE"""),"-")</f>
        <v>-</v>
      </c>
      <c r="I690" s="19">
        <f>IFERROR(__xludf.DUMMYFUNCTION("""COMPUTED_VALUE"""),0.00225)</f>
        <v>0.00225</v>
      </c>
      <c r="J690" s="19">
        <f>IFERROR(__xludf.DUMMYFUNCTION("""COMPUTED_VALUE"""),0.04572)</f>
        <v>0.04572</v>
      </c>
      <c r="K690" s="19" t="str">
        <f>IFERROR(__xludf.DUMMYFUNCTION("""COMPUTED_VALUE"""),"-")</f>
        <v>-</v>
      </c>
      <c r="L690" s="19">
        <f>IFERROR(__xludf.DUMMYFUNCTION("""COMPUTED_VALUE"""),0.04763)</f>
        <v>0.04763</v>
      </c>
      <c r="O690" s="24">
        <f t="shared" si="4"/>
        <v>0</v>
      </c>
      <c r="P690" s="24"/>
      <c r="Q690" s="24">
        <f t="shared" si="6"/>
        <v>0</v>
      </c>
      <c r="R690" s="24">
        <f t="shared" si="7"/>
        <v>0</v>
      </c>
      <c r="S690" s="24"/>
      <c r="T690" s="24">
        <f t="shared" si="9"/>
        <v>0</v>
      </c>
    </row>
    <row r="691">
      <c r="A691" s="12" t="s">
        <v>780</v>
      </c>
      <c r="F691" s="19">
        <f>IFERROR(__xludf.DUMMYFUNCTION("SPLIT(A687, "" |"")"),685.0)</f>
        <v>685</v>
      </c>
      <c r="G691" s="19">
        <f>IFERROR(__xludf.DUMMYFUNCTION("""COMPUTED_VALUE"""),0.00238)</f>
        <v>0.00238</v>
      </c>
      <c r="H691" s="19" t="str">
        <f>IFERROR(__xludf.DUMMYFUNCTION("""COMPUTED_VALUE"""),"-")</f>
        <v>-</v>
      </c>
      <c r="I691" s="19">
        <f>IFERROR(__xludf.DUMMYFUNCTION("""COMPUTED_VALUE"""),0.0022)</f>
        <v>0.0022</v>
      </c>
      <c r="J691" s="19">
        <f>IFERROR(__xludf.DUMMYFUNCTION("""COMPUTED_VALUE"""),0.04601)</f>
        <v>0.04601</v>
      </c>
      <c r="K691" s="19" t="str">
        <f>IFERROR(__xludf.DUMMYFUNCTION("""COMPUTED_VALUE"""),"-")</f>
        <v>-</v>
      </c>
      <c r="L691" s="19">
        <f>IFERROR(__xludf.DUMMYFUNCTION("""COMPUTED_VALUE"""),0.04768)</f>
        <v>0.04768</v>
      </c>
      <c r="O691" s="24">
        <f t="shared" si="4"/>
        <v>0</v>
      </c>
      <c r="P691" s="24"/>
      <c r="Q691" s="24">
        <f t="shared" si="6"/>
        <v>0</v>
      </c>
      <c r="R691" s="24">
        <f t="shared" si="7"/>
        <v>0</v>
      </c>
      <c r="S691" s="24"/>
      <c r="T691" s="24">
        <f t="shared" si="9"/>
        <v>0</v>
      </c>
    </row>
    <row r="692">
      <c r="A692" s="12" t="s">
        <v>781</v>
      </c>
      <c r="F692" s="19">
        <f>IFERROR(__xludf.DUMMYFUNCTION("SPLIT(A688, "" |"")"),686.0)</f>
        <v>686</v>
      </c>
      <c r="G692" s="19">
        <f>IFERROR(__xludf.DUMMYFUNCTION("""COMPUTED_VALUE"""),0.00238)</f>
        <v>0.00238</v>
      </c>
      <c r="H692" s="19" t="str">
        <f>IFERROR(__xludf.DUMMYFUNCTION("""COMPUTED_VALUE"""),"-")</f>
        <v>-</v>
      </c>
      <c r="I692" s="19">
        <f>IFERROR(__xludf.DUMMYFUNCTION("""COMPUTED_VALUE"""),0.00227)</f>
        <v>0.00227</v>
      </c>
      <c r="J692" s="19">
        <f>IFERROR(__xludf.DUMMYFUNCTION("""COMPUTED_VALUE"""),0.04228)</f>
        <v>0.04228</v>
      </c>
      <c r="K692" s="19" t="str">
        <f>IFERROR(__xludf.DUMMYFUNCTION("""COMPUTED_VALUE"""),"-")</f>
        <v>-</v>
      </c>
      <c r="L692" s="19">
        <f>IFERROR(__xludf.DUMMYFUNCTION("""COMPUTED_VALUE"""),0.04757)</f>
        <v>0.04757</v>
      </c>
      <c r="O692" s="24">
        <f t="shared" si="4"/>
        <v>0</v>
      </c>
      <c r="P692" s="24"/>
      <c r="Q692" s="24">
        <f t="shared" si="6"/>
        <v>0</v>
      </c>
      <c r="R692" s="24">
        <f t="shared" si="7"/>
        <v>1</v>
      </c>
      <c r="S692" s="24"/>
      <c r="T692" s="24">
        <f t="shared" si="9"/>
        <v>0</v>
      </c>
    </row>
    <row r="693">
      <c r="A693" s="12" t="s">
        <v>782</v>
      </c>
      <c r="F693" s="19">
        <f>IFERROR(__xludf.DUMMYFUNCTION("SPLIT(A689, "" |"")"),687.0)</f>
        <v>687</v>
      </c>
      <c r="G693" s="19">
        <f>IFERROR(__xludf.DUMMYFUNCTION("""COMPUTED_VALUE"""),0.00232)</f>
        <v>0.00232</v>
      </c>
      <c r="H693" s="19" t="str">
        <f>IFERROR(__xludf.DUMMYFUNCTION("""COMPUTED_VALUE"""),"-")</f>
        <v>-</v>
      </c>
      <c r="I693" s="19">
        <f>IFERROR(__xludf.DUMMYFUNCTION("""COMPUTED_VALUE"""),0.00219)</f>
        <v>0.00219</v>
      </c>
      <c r="J693" s="19">
        <f>IFERROR(__xludf.DUMMYFUNCTION("""COMPUTED_VALUE"""),0.04746)</f>
        <v>0.04746</v>
      </c>
      <c r="K693" s="19" t="str">
        <f>IFERROR(__xludf.DUMMYFUNCTION("""COMPUTED_VALUE"""),"-")</f>
        <v>-</v>
      </c>
      <c r="L693" s="19">
        <f>IFERROR(__xludf.DUMMYFUNCTION("""COMPUTED_VALUE"""),0.04756)</f>
        <v>0.04756</v>
      </c>
      <c r="O693" s="24">
        <f t="shared" si="4"/>
        <v>0</v>
      </c>
      <c r="P693" s="24"/>
      <c r="Q693" s="24">
        <f t="shared" si="6"/>
        <v>0</v>
      </c>
      <c r="R693" s="24">
        <f t="shared" si="7"/>
        <v>0</v>
      </c>
      <c r="S693" s="24"/>
      <c r="T693" s="24">
        <f t="shared" si="9"/>
        <v>0</v>
      </c>
    </row>
    <row r="694">
      <c r="A694" s="12" t="s">
        <v>783</v>
      </c>
      <c r="F694" s="19">
        <f>IFERROR(__xludf.DUMMYFUNCTION("SPLIT(A690, "" |"")"),688.0)</f>
        <v>688</v>
      </c>
      <c r="G694" s="19">
        <f>IFERROR(__xludf.DUMMYFUNCTION("""COMPUTED_VALUE"""),0.00231)</f>
        <v>0.00231</v>
      </c>
      <c r="H694" s="19" t="str">
        <f>IFERROR(__xludf.DUMMYFUNCTION("""COMPUTED_VALUE"""),"-")</f>
        <v>-</v>
      </c>
      <c r="I694" s="19">
        <f>IFERROR(__xludf.DUMMYFUNCTION("""COMPUTED_VALUE"""),0.00221)</f>
        <v>0.00221</v>
      </c>
      <c r="J694" s="19">
        <f>IFERROR(__xludf.DUMMYFUNCTION("""COMPUTED_VALUE"""),0.04752)</f>
        <v>0.04752</v>
      </c>
      <c r="K694" s="19" t="str">
        <f>IFERROR(__xludf.DUMMYFUNCTION("""COMPUTED_VALUE"""),"-")</f>
        <v>-</v>
      </c>
      <c r="L694" s="19">
        <f>IFERROR(__xludf.DUMMYFUNCTION("""COMPUTED_VALUE"""),0.04771)</f>
        <v>0.04771</v>
      </c>
      <c r="O694" s="24">
        <f t="shared" si="4"/>
        <v>0</v>
      </c>
      <c r="P694" s="24"/>
      <c r="Q694" s="24">
        <f t="shared" si="6"/>
        <v>0</v>
      </c>
      <c r="R694" s="24">
        <f t="shared" si="7"/>
        <v>0</v>
      </c>
      <c r="S694" s="24"/>
      <c r="T694" s="24">
        <f t="shared" si="9"/>
        <v>0</v>
      </c>
    </row>
    <row r="695">
      <c r="A695" s="12" t="s">
        <v>784</v>
      </c>
      <c r="F695" s="19">
        <f>IFERROR(__xludf.DUMMYFUNCTION("SPLIT(A691, "" |"")"),689.0)</f>
        <v>689</v>
      </c>
      <c r="G695" s="19">
        <f>IFERROR(__xludf.DUMMYFUNCTION("""COMPUTED_VALUE"""),0.00238)</f>
        <v>0.00238</v>
      </c>
      <c r="H695" s="19" t="str">
        <f>IFERROR(__xludf.DUMMYFUNCTION("""COMPUTED_VALUE"""),"-")</f>
        <v>-</v>
      </c>
      <c r="I695" s="19">
        <f>IFERROR(__xludf.DUMMYFUNCTION("""COMPUTED_VALUE"""),0.00223)</f>
        <v>0.00223</v>
      </c>
      <c r="J695" s="19">
        <f>IFERROR(__xludf.DUMMYFUNCTION("""COMPUTED_VALUE"""),0.04748)</f>
        <v>0.04748</v>
      </c>
      <c r="K695" s="19" t="str">
        <f>IFERROR(__xludf.DUMMYFUNCTION("""COMPUTED_VALUE"""),"-")</f>
        <v>-</v>
      </c>
      <c r="L695" s="19">
        <f>IFERROR(__xludf.DUMMYFUNCTION("""COMPUTED_VALUE"""),0.04771)</f>
        <v>0.04771</v>
      </c>
      <c r="O695" s="24">
        <f t="shared" si="4"/>
        <v>0</v>
      </c>
      <c r="P695" s="24"/>
      <c r="Q695" s="24">
        <f t="shared" si="6"/>
        <v>0</v>
      </c>
      <c r="R695" s="24">
        <f t="shared" si="7"/>
        <v>0</v>
      </c>
      <c r="S695" s="24"/>
      <c r="T695" s="24">
        <f t="shared" si="9"/>
        <v>0</v>
      </c>
    </row>
    <row r="696">
      <c r="A696" s="12" t="s">
        <v>785</v>
      </c>
      <c r="F696" s="19">
        <f>IFERROR(__xludf.DUMMYFUNCTION("SPLIT(A692, "" |"")"),690.0)</f>
        <v>690</v>
      </c>
      <c r="G696" s="19">
        <f>IFERROR(__xludf.DUMMYFUNCTION("""COMPUTED_VALUE"""),0.00239)</f>
        <v>0.00239</v>
      </c>
      <c r="H696" s="19" t="str">
        <f>IFERROR(__xludf.DUMMYFUNCTION("""COMPUTED_VALUE"""),"-")</f>
        <v>-</v>
      </c>
      <c r="I696" s="19">
        <f>IFERROR(__xludf.DUMMYFUNCTION("""COMPUTED_VALUE"""),0.00226)</f>
        <v>0.00226</v>
      </c>
      <c r="J696" s="19">
        <f>IFERROR(__xludf.DUMMYFUNCTION("""COMPUTED_VALUE"""),0.04752)</f>
        <v>0.04752</v>
      </c>
      <c r="K696" s="19" t="str">
        <f>IFERROR(__xludf.DUMMYFUNCTION("""COMPUTED_VALUE"""),"-")</f>
        <v>-</v>
      </c>
      <c r="L696" s="19">
        <f>IFERROR(__xludf.DUMMYFUNCTION("""COMPUTED_VALUE"""),0.04639)</f>
        <v>0.04639</v>
      </c>
      <c r="O696" s="24">
        <f t="shared" si="4"/>
        <v>0</v>
      </c>
      <c r="P696" s="24"/>
      <c r="Q696" s="24">
        <f t="shared" si="6"/>
        <v>0</v>
      </c>
      <c r="R696" s="24">
        <f t="shared" si="7"/>
        <v>0</v>
      </c>
      <c r="S696" s="24"/>
      <c r="T696" s="24">
        <f t="shared" si="9"/>
        <v>0</v>
      </c>
    </row>
    <row r="697">
      <c r="A697" s="12" t="s">
        <v>786</v>
      </c>
      <c r="F697" s="19">
        <f>IFERROR(__xludf.DUMMYFUNCTION("SPLIT(A693, "" |"")"),691.0)</f>
        <v>691</v>
      </c>
      <c r="G697" s="19">
        <f>IFERROR(__xludf.DUMMYFUNCTION("""COMPUTED_VALUE"""),0.00227)</f>
        <v>0.00227</v>
      </c>
      <c r="H697" s="19" t="str">
        <f>IFERROR(__xludf.DUMMYFUNCTION("""COMPUTED_VALUE"""),"-")</f>
        <v>-</v>
      </c>
      <c r="I697" s="19">
        <f>IFERROR(__xludf.DUMMYFUNCTION("""COMPUTED_VALUE"""),0.00227)</f>
        <v>0.00227</v>
      </c>
      <c r="J697" s="19">
        <f>IFERROR(__xludf.DUMMYFUNCTION("""COMPUTED_VALUE"""),0.0474)</f>
        <v>0.0474</v>
      </c>
      <c r="K697" s="19" t="str">
        <f>IFERROR(__xludf.DUMMYFUNCTION("""COMPUTED_VALUE"""),"-")</f>
        <v>-</v>
      </c>
      <c r="L697" s="19">
        <f>IFERROR(__xludf.DUMMYFUNCTION("""COMPUTED_VALUE"""),0.04753)</f>
        <v>0.04753</v>
      </c>
      <c r="O697" s="24">
        <f t="shared" si="4"/>
        <v>0</v>
      </c>
      <c r="P697" s="24"/>
      <c r="Q697" s="24">
        <f t="shared" si="6"/>
        <v>0</v>
      </c>
      <c r="R697" s="24">
        <f t="shared" si="7"/>
        <v>0</v>
      </c>
      <c r="S697" s="24"/>
      <c r="T697" s="24">
        <f t="shared" si="9"/>
        <v>0</v>
      </c>
    </row>
    <row r="698">
      <c r="A698" s="12" t="s">
        <v>787</v>
      </c>
      <c r="F698" s="19">
        <f>IFERROR(__xludf.DUMMYFUNCTION("SPLIT(A694, "" |"")"),692.0)</f>
        <v>692</v>
      </c>
      <c r="G698" s="19">
        <f>IFERROR(__xludf.DUMMYFUNCTION("""COMPUTED_VALUE"""),0.00238)</f>
        <v>0.00238</v>
      </c>
      <c r="H698" s="19" t="str">
        <f>IFERROR(__xludf.DUMMYFUNCTION("""COMPUTED_VALUE"""),"-")</f>
        <v>-</v>
      </c>
      <c r="I698" s="19">
        <f>IFERROR(__xludf.DUMMYFUNCTION("""COMPUTED_VALUE"""),0.00226)</f>
        <v>0.00226</v>
      </c>
      <c r="J698" s="19">
        <f>IFERROR(__xludf.DUMMYFUNCTION("""COMPUTED_VALUE"""),0.0426)</f>
        <v>0.0426</v>
      </c>
      <c r="K698" s="19" t="str">
        <f>IFERROR(__xludf.DUMMYFUNCTION("""COMPUTED_VALUE"""),"-")</f>
        <v>-</v>
      </c>
      <c r="L698" s="19">
        <f>IFERROR(__xludf.DUMMYFUNCTION("""COMPUTED_VALUE"""),0.0475)</f>
        <v>0.0475</v>
      </c>
      <c r="O698" s="24">
        <f t="shared" si="4"/>
        <v>0</v>
      </c>
      <c r="P698" s="24"/>
      <c r="Q698" s="24">
        <f t="shared" si="6"/>
        <v>0</v>
      </c>
      <c r="R698" s="24">
        <f t="shared" si="7"/>
        <v>1</v>
      </c>
      <c r="S698" s="24"/>
      <c r="T698" s="24">
        <f t="shared" si="9"/>
        <v>0</v>
      </c>
    </row>
    <row r="699">
      <c r="A699" s="12" t="s">
        <v>788</v>
      </c>
      <c r="F699" s="19">
        <f>IFERROR(__xludf.DUMMYFUNCTION("SPLIT(A695, "" |"")"),693.0)</f>
        <v>693</v>
      </c>
      <c r="G699" s="19">
        <f>IFERROR(__xludf.DUMMYFUNCTION("""COMPUTED_VALUE"""),0.00227)</f>
        <v>0.00227</v>
      </c>
      <c r="H699" s="19" t="str">
        <f>IFERROR(__xludf.DUMMYFUNCTION("""COMPUTED_VALUE"""),"-")</f>
        <v>-</v>
      </c>
      <c r="I699" s="19">
        <f>IFERROR(__xludf.DUMMYFUNCTION("""COMPUTED_VALUE"""),0.0021)</f>
        <v>0.0021</v>
      </c>
      <c r="J699" s="19">
        <f>IFERROR(__xludf.DUMMYFUNCTION("""COMPUTED_VALUE"""),0.04174)</f>
        <v>0.04174</v>
      </c>
      <c r="K699" s="19" t="str">
        <f>IFERROR(__xludf.DUMMYFUNCTION("""COMPUTED_VALUE"""),"-")</f>
        <v>-</v>
      </c>
      <c r="L699" s="19">
        <f>IFERROR(__xludf.DUMMYFUNCTION("""COMPUTED_VALUE"""),0.04667)</f>
        <v>0.04667</v>
      </c>
      <c r="O699" s="24">
        <f t="shared" si="4"/>
        <v>0</v>
      </c>
      <c r="P699" s="24"/>
      <c r="Q699" s="24">
        <f t="shared" si="6"/>
        <v>0</v>
      </c>
      <c r="R699" s="24">
        <f t="shared" si="7"/>
        <v>1</v>
      </c>
      <c r="S699" s="24"/>
      <c r="T699" s="24">
        <f t="shared" si="9"/>
        <v>0</v>
      </c>
    </row>
    <row r="700">
      <c r="A700" s="12" t="s">
        <v>789</v>
      </c>
      <c r="F700" s="19">
        <f>IFERROR(__xludf.DUMMYFUNCTION("SPLIT(A696, "" |"")"),694.0)</f>
        <v>694</v>
      </c>
      <c r="G700" s="19">
        <f>IFERROR(__xludf.DUMMYFUNCTION("""COMPUTED_VALUE"""),0.00232)</f>
        <v>0.00232</v>
      </c>
      <c r="H700" s="19" t="str">
        <f>IFERROR(__xludf.DUMMYFUNCTION("""COMPUTED_VALUE"""),"-")</f>
        <v>-</v>
      </c>
      <c r="I700" s="19">
        <f>IFERROR(__xludf.DUMMYFUNCTION("""COMPUTED_VALUE"""),0.0022)</f>
        <v>0.0022</v>
      </c>
      <c r="J700" s="19">
        <f>IFERROR(__xludf.DUMMYFUNCTION("""COMPUTED_VALUE"""),0.04746)</f>
        <v>0.04746</v>
      </c>
      <c r="K700" s="19" t="str">
        <f>IFERROR(__xludf.DUMMYFUNCTION("""COMPUTED_VALUE"""),"-")</f>
        <v>-</v>
      </c>
      <c r="L700" s="19">
        <f>IFERROR(__xludf.DUMMYFUNCTION("""COMPUTED_VALUE"""),0.04766)</f>
        <v>0.04766</v>
      </c>
      <c r="O700" s="24">
        <f t="shared" si="4"/>
        <v>0</v>
      </c>
      <c r="P700" s="24"/>
      <c r="Q700" s="24">
        <f t="shared" si="6"/>
        <v>0</v>
      </c>
      <c r="R700" s="24">
        <f t="shared" si="7"/>
        <v>0</v>
      </c>
      <c r="S700" s="24"/>
      <c r="T700" s="24">
        <f t="shared" si="9"/>
        <v>0</v>
      </c>
    </row>
    <row r="701">
      <c r="A701" s="12" t="s">
        <v>790</v>
      </c>
      <c r="F701" s="19">
        <f>IFERROR(__xludf.DUMMYFUNCTION("SPLIT(A697, "" |"")"),695.0)</f>
        <v>695</v>
      </c>
      <c r="G701" s="19">
        <f>IFERROR(__xludf.DUMMYFUNCTION("""COMPUTED_VALUE"""),0.00239)</f>
        <v>0.00239</v>
      </c>
      <c r="H701" s="19" t="str">
        <f>IFERROR(__xludf.DUMMYFUNCTION("""COMPUTED_VALUE"""),"-")</f>
        <v>-</v>
      </c>
      <c r="I701" s="19">
        <f>IFERROR(__xludf.DUMMYFUNCTION("""COMPUTED_VALUE"""),0.00222)</f>
        <v>0.00222</v>
      </c>
      <c r="J701" s="19">
        <f>IFERROR(__xludf.DUMMYFUNCTION("""COMPUTED_VALUE"""),0.04739)</f>
        <v>0.04739</v>
      </c>
      <c r="K701" s="19" t="str">
        <f>IFERROR(__xludf.DUMMYFUNCTION("""COMPUTED_VALUE"""),"-")</f>
        <v>-</v>
      </c>
      <c r="L701" s="19">
        <f>IFERROR(__xludf.DUMMYFUNCTION("""COMPUTED_VALUE"""),0.04758)</f>
        <v>0.04758</v>
      </c>
      <c r="O701" s="24">
        <f t="shared" si="4"/>
        <v>0</v>
      </c>
      <c r="P701" s="24"/>
      <c r="Q701" s="24">
        <f t="shared" si="6"/>
        <v>0</v>
      </c>
      <c r="R701" s="24">
        <f t="shared" si="7"/>
        <v>0</v>
      </c>
      <c r="S701" s="24"/>
      <c r="T701" s="24">
        <f t="shared" si="9"/>
        <v>0</v>
      </c>
    </row>
    <row r="702">
      <c r="A702" s="12" t="s">
        <v>791</v>
      </c>
      <c r="F702" s="19">
        <f>IFERROR(__xludf.DUMMYFUNCTION("SPLIT(A698, "" |"")"),696.0)</f>
        <v>696</v>
      </c>
      <c r="G702" s="19">
        <f>IFERROR(__xludf.DUMMYFUNCTION("""COMPUTED_VALUE"""),0.0024)</f>
        <v>0.0024</v>
      </c>
      <c r="H702" s="19" t="str">
        <f>IFERROR(__xludf.DUMMYFUNCTION("""COMPUTED_VALUE"""),"-")</f>
        <v>-</v>
      </c>
      <c r="I702" s="19">
        <f>IFERROR(__xludf.DUMMYFUNCTION("""COMPUTED_VALUE"""),0.00219)</f>
        <v>0.00219</v>
      </c>
      <c r="J702" s="19">
        <f>IFERROR(__xludf.DUMMYFUNCTION("""COMPUTED_VALUE"""),0.04746)</f>
        <v>0.04746</v>
      </c>
      <c r="K702" s="19" t="str">
        <f>IFERROR(__xludf.DUMMYFUNCTION("""COMPUTED_VALUE"""),"-")</f>
        <v>-</v>
      </c>
      <c r="L702" s="19">
        <f>IFERROR(__xludf.DUMMYFUNCTION("""COMPUTED_VALUE"""),0.04762)</f>
        <v>0.04762</v>
      </c>
      <c r="O702" s="24">
        <f t="shared" si="4"/>
        <v>0</v>
      </c>
      <c r="P702" s="24"/>
      <c r="Q702" s="24">
        <f t="shared" si="6"/>
        <v>0</v>
      </c>
      <c r="R702" s="24">
        <f t="shared" si="7"/>
        <v>0</v>
      </c>
      <c r="S702" s="24"/>
      <c r="T702" s="24">
        <f t="shared" si="9"/>
        <v>0</v>
      </c>
    </row>
    <row r="703">
      <c r="A703" s="12" t="s">
        <v>792</v>
      </c>
      <c r="F703" s="19">
        <f>IFERROR(__xludf.DUMMYFUNCTION("SPLIT(A699, "" |"")"),697.0)</f>
        <v>697</v>
      </c>
      <c r="G703" s="19">
        <f>IFERROR(__xludf.DUMMYFUNCTION("""COMPUTED_VALUE"""),0.00247)</f>
        <v>0.00247</v>
      </c>
      <c r="H703" s="19" t="str">
        <f>IFERROR(__xludf.DUMMYFUNCTION("""COMPUTED_VALUE"""),"-")</f>
        <v>-</v>
      </c>
      <c r="I703" s="19">
        <f>IFERROR(__xludf.DUMMYFUNCTION("""COMPUTED_VALUE"""),0.00231)</f>
        <v>0.00231</v>
      </c>
      <c r="J703" s="19">
        <f>IFERROR(__xludf.DUMMYFUNCTION("""COMPUTED_VALUE"""),0.04738)</f>
        <v>0.04738</v>
      </c>
      <c r="K703" s="19" t="str">
        <f>IFERROR(__xludf.DUMMYFUNCTION("""COMPUTED_VALUE"""),"-")</f>
        <v>-</v>
      </c>
      <c r="L703" s="19">
        <f>IFERROR(__xludf.DUMMYFUNCTION("""COMPUTED_VALUE"""),0.04758)</f>
        <v>0.04758</v>
      </c>
      <c r="O703" s="24">
        <f t="shared" si="4"/>
        <v>0</v>
      </c>
      <c r="P703" s="24"/>
      <c r="Q703" s="24">
        <f t="shared" si="6"/>
        <v>0</v>
      </c>
      <c r="R703" s="24">
        <f t="shared" si="7"/>
        <v>0</v>
      </c>
      <c r="S703" s="24"/>
      <c r="T703" s="24">
        <f t="shared" si="9"/>
        <v>0</v>
      </c>
    </row>
    <row r="704">
      <c r="A704" s="12" t="s">
        <v>793</v>
      </c>
      <c r="F704" s="19">
        <f>IFERROR(__xludf.DUMMYFUNCTION("SPLIT(A700, "" |"")"),698.0)</f>
        <v>698</v>
      </c>
      <c r="G704" s="19">
        <f>IFERROR(__xludf.DUMMYFUNCTION("""COMPUTED_VALUE"""),0.00241)</f>
        <v>0.00241</v>
      </c>
      <c r="H704" s="19" t="str">
        <f>IFERROR(__xludf.DUMMYFUNCTION("""COMPUTED_VALUE"""),"-")</f>
        <v>-</v>
      </c>
      <c r="I704" s="19">
        <f>IFERROR(__xludf.DUMMYFUNCTION("""COMPUTED_VALUE"""),0.00224)</f>
        <v>0.00224</v>
      </c>
      <c r="J704" s="19">
        <f>IFERROR(__xludf.DUMMYFUNCTION("""COMPUTED_VALUE"""),0.04143)</f>
        <v>0.04143</v>
      </c>
      <c r="K704" s="19" t="str">
        <f>IFERROR(__xludf.DUMMYFUNCTION("""COMPUTED_VALUE"""),"-")</f>
        <v>-</v>
      </c>
      <c r="L704" s="19">
        <f>IFERROR(__xludf.DUMMYFUNCTION("""COMPUTED_VALUE"""),0.03972)</f>
        <v>0.03972</v>
      </c>
      <c r="O704" s="24">
        <f t="shared" si="4"/>
        <v>0</v>
      </c>
      <c r="P704" s="24"/>
      <c r="Q704" s="24">
        <f t="shared" si="6"/>
        <v>0</v>
      </c>
      <c r="R704" s="24">
        <f t="shared" si="7"/>
        <v>1</v>
      </c>
      <c r="S704" s="24"/>
      <c r="T704" s="24">
        <f t="shared" si="9"/>
        <v>0</v>
      </c>
    </row>
    <row r="705">
      <c r="A705" s="12" t="s">
        <v>794</v>
      </c>
      <c r="F705" s="19">
        <f>IFERROR(__xludf.DUMMYFUNCTION("SPLIT(A701, "" |"")"),699.0)</f>
        <v>699</v>
      </c>
      <c r="G705" s="19">
        <f>IFERROR(__xludf.DUMMYFUNCTION("""COMPUTED_VALUE"""),0.00231)</f>
        <v>0.00231</v>
      </c>
      <c r="H705" s="19" t="str">
        <f>IFERROR(__xludf.DUMMYFUNCTION("""COMPUTED_VALUE"""),"-")</f>
        <v>-</v>
      </c>
      <c r="I705" s="19">
        <f>IFERROR(__xludf.DUMMYFUNCTION("""COMPUTED_VALUE"""),0.00215)</f>
        <v>0.00215</v>
      </c>
      <c r="J705" s="19">
        <f>IFERROR(__xludf.DUMMYFUNCTION("""COMPUTED_VALUE"""),0.04422)</f>
        <v>0.04422</v>
      </c>
      <c r="K705" s="19" t="str">
        <f>IFERROR(__xludf.DUMMYFUNCTION("""COMPUTED_VALUE"""),"-")</f>
        <v>-</v>
      </c>
      <c r="L705" s="19">
        <f>IFERROR(__xludf.DUMMYFUNCTION("""COMPUTED_VALUE"""),0.0451)</f>
        <v>0.0451</v>
      </c>
      <c r="O705" s="24">
        <f t="shared" si="4"/>
        <v>0</v>
      </c>
      <c r="P705" s="24"/>
      <c r="Q705" s="24">
        <f t="shared" si="6"/>
        <v>0</v>
      </c>
      <c r="R705" s="24">
        <f t="shared" si="7"/>
        <v>1</v>
      </c>
      <c r="S705" s="24"/>
      <c r="T705" s="24">
        <f t="shared" si="9"/>
        <v>0</v>
      </c>
    </row>
    <row r="706">
      <c r="A706" s="12" t="s">
        <v>795</v>
      </c>
      <c r="F706" s="19">
        <f>IFERROR(__xludf.DUMMYFUNCTION("SPLIT(A702, "" |"")"),700.0)</f>
        <v>700</v>
      </c>
      <c r="G706" s="19">
        <f>IFERROR(__xludf.DUMMYFUNCTION("""COMPUTED_VALUE"""),0.00239)</f>
        <v>0.00239</v>
      </c>
      <c r="H706" s="19" t="str">
        <f>IFERROR(__xludf.DUMMYFUNCTION("""COMPUTED_VALUE"""),"-")</f>
        <v>-</v>
      </c>
      <c r="I706" s="19">
        <f>IFERROR(__xludf.DUMMYFUNCTION("""COMPUTED_VALUE"""),0.00229)</f>
        <v>0.00229</v>
      </c>
      <c r="J706" s="19">
        <f>IFERROR(__xludf.DUMMYFUNCTION("""COMPUTED_VALUE"""),0.04517)</f>
        <v>0.04517</v>
      </c>
      <c r="K706" s="19" t="str">
        <f>IFERROR(__xludf.DUMMYFUNCTION("""COMPUTED_VALUE"""),"-")</f>
        <v>-</v>
      </c>
      <c r="L706" s="19">
        <f>IFERROR(__xludf.DUMMYFUNCTION("""COMPUTED_VALUE"""),0.0447)</f>
        <v>0.0447</v>
      </c>
      <c r="O706" s="24">
        <f t="shared" si="4"/>
        <v>0</v>
      </c>
      <c r="P706" s="24"/>
      <c r="Q706" s="24">
        <f t="shared" si="6"/>
        <v>0</v>
      </c>
      <c r="R706" s="24">
        <f t="shared" si="7"/>
        <v>0</v>
      </c>
      <c r="S706" s="24"/>
      <c r="T706" s="24">
        <f t="shared" si="9"/>
        <v>0</v>
      </c>
    </row>
    <row r="707">
      <c r="A707" s="12" t="s">
        <v>796</v>
      </c>
      <c r="F707" s="19">
        <f>IFERROR(__xludf.DUMMYFUNCTION("SPLIT(A703, "" |"")"),701.0)</f>
        <v>701</v>
      </c>
      <c r="G707" s="19">
        <f>IFERROR(__xludf.DUMMYFUNCTION("""COMPUTED_VALUE"""),0.00235)</f>
        <v>0.00235</v>
      </c>
      <c r="H707" s="19" t="str">
        <f>IFERROR(__xludf.DUMMYFUNCTION("""COMPUTED_VALUE"""),"-")</f>
        <v>-</v>
      </c>
      <c r="I707" s="19">
        <f>IFERROR(__xludf.DUMMYFUNCTION("""COMPUTED_VALUE"""),0.00217)</f>
        <v>0.00217</v>
      </c>
      <c r="J707" s="19">
        <f>IFERROR(__xludf.DUMMYFUNCTION("""COMPUTED_VALUE"""),0.04739)</f>
        <v>0.04739</v>
      </c>
      <c r="K707" s="19" t="str">
        <f>IFERROR(__xludf.DUMMYFUNCTION("""COMPUTED_VALUE"""),"-")</f>
        <v>-</v>
      </c>
      <c r="L707" s="19">
        <f>IFERROR(__xludf.DUMMYFUNCTION("""COMPUTED_VALUE"""),0.04763)</f>
        <v>0.04763</v>
      </c>
      <c r="O707" s="24">
        <f t="shared" si="4"/>
        <v>0</v>
      </c>
      <c r="P707" s="24"/>
      <c r="Q707" s="24">
        <f t="shared" si="6"/>
        <v>0</v>
      </c>
      <c r="R707" s="24">
        <f t="shared" si="7"/>
        <v>0</v>
      </c>
      <c r="S707" s="24"/>
      <c r="T707" s="24">
        <f t="shared" si="9"/>
        <v>0</v>
      </c>
    </row>
    <row r="708">
      <c r="A708" s="12" t="s">
        <v>797</v>
      </c>
      <c r="F708" s="19">
        <f>IFERROR(__xludf.DUMMYFUNCTION("SPLIT(A704, "" |"")"),702.0)</f>
        <v>702</v>
      </c>
      <c r="G708" s="19">
        <f>IFERROR(__xludf.DUMMYFUNCTION("""COMPUTED_VALUE"""),0.00231)</f>
        <v>0.00231</v>
      </c>
      <c r="H708" s="19" t="str">
        <f>IFERROR(__xludf.DUMMYFUNCTION("""COMPUTED_VALUE"""),"-")</f>
        <v>-</v>
      </c>
      <c r="I708" s="19">
        <f>IFERROR(__xludf.DUMMYFUNCTION("""COMPUTED_VALUE"""),0.00224)</f>
        <v>0.00224</v>
      </c>
      <c r="J708" s="19">
        <f>IFERROR(__xludf.DUMMYFUNCTION("""COMPUTED_VALUE"""),0.04646)</f>
        <v>0.04646</v>
      </c>
      <c r="K708" s="19" t="str">
        <f>IFERROR(__xludf.DUMMYFUNCTION("""COMPUTED_VALUE"""),"-")</f>
        <v>-</v>
      </c>
      <c r="L708" s="19">
        <f>IFERROR(__xludf.DUMMYFUNCTION("""COMPUTED_VALUE"""),0.04759)</f>
        <v>0.04759</v>
      </c>
      <c r="O708" s="24">
        <f t="shared" si="4"/>
        <v>0</v>
      </c>
      <c r="P708" s="24"/>
      <c r="Q708" s="24">
        <f t="shared" si="6"/>
        <v>0</v>
      </c>
      <c r="R708" s="24">
        <f t="shared" si="7"/>
        <v>0</v>
      </c>
      <c r="S708" s="24"/>
      <c r="T708" s="24">
        <f t="shared" si="9"/>
        <v>0</v>
      </c>
    </row>
    <row r="709">
      <c r="A709" s="12" t="s">
        <v>798</v>
      </c>
      <c r="F709" s="19">
        <f>IFERROR(__xludf.DUMMYFUNCTION("SPLIT(A705, "" |"")"),703.0)</f>
        <v>703</v>
      </c>
      <c r="G709" s="19">
        <f>IFERROR(__xludf.DUMMYFUNCTION("""COMPUTED_VALUE"""),0.00235)</f>
        <v>0.00235</v>
      </c>
      <c r="H709" s="19" t="str">
        <f>IFERROR(__xludf.DUMMYFUNCTION("""COMPUTED_VALUE"""),"-")</f>
        <v>-</v>
      </c>
      <c r="I709" s="19">
        <f>IFERROR(__xludf.DUMMYFUNCTION("""COMPUTED_VALUE"""),0.00219)</f>
        <v>0.00219</v>
      </c>
      <c r="J709" s="19">
        <f>IFERROR(__xludf.DUMMYFUNCTION("""COMPUTED_VALUE"""),0.04748)</f>
        <v>0.04748</v>
      </c>
      <c r="K709" s="19" t="str">
        <f>IFERROR(__xludf.DUMMYFUNCTION("""COMPUTED_VALUE"""),"-")</f>
        <v>-</v>
      </c>
      <c r="L709" s="19">
        <f>IFERROR(__xludf.DUMMYFUNCTION("""COMPUTED_VALUE"""),0.04467)</f>
        <v>0.04467</v>
      </c>
      <c r="O709" s="24">
        <f t="shared" si="4"/>
        <v>0</v>
      </c>
      <c r="P709" s="24"/>
      <c r="Q709" s="24">
        <f t="shared" si="6"/>
        <v>0</v>
      </c>
      <c r="R709" s="24">
        <f t="shared" si="7"/>
        <v>0</v>
      </c>
      <c r="S709" s="24"/>
      <c r="T709" s="24">
        <f t="shared" si="9"/>
        <v>0</v>
      </c>
    </row>
    <row r="710">
      <c r="A710" s="12" t="s">
        <v>799</v>
      </c>
      <c r="F710" s="19">
        <f>IFERROR(__xludf.DUMMYFUNCTION("SPLIT(A706, "" |"")"),704.0)</f>
        <v>704</v>
      </c>
      <c r="G710" s="19">
        <f>IFERROR(__xludf.DUMMYFUNCTION("""COMPUTED_VALUE"""),0.00241)</f>
        <v>0.00241</v>
      </c>
      <c r="H710" s="19" t="str">
        <f>IFERROR(__xludf.DUMMYFUNCTION("""COMPUTED_VALUE"""),"-")</f>
        <v>-</v>
      </c>
      <c r="I710" s="19">
        <f>IFERROR(__xludf.DUMMYFUNCTION("""COMPUTED_VALUE"""),0.00221)</f>
        <v>0.00221</v>
      </c>
      <c r="J710" s="19">
        <f>IFERROR(__xludf.DUMMYFUNCTION("""COMPUTED_VALUE"""),0.0462)</f>
        <v>0.0462</v>
      </c>
      <c r="K710" s="19" t="str">
        <f>IFERROR(__xludf.DUMMYFUNCTION("""COMPUTED_VALUE"""),"-")</f>
        <v>-</v>
      </c>
      <c r="L710" s="19">
        <f>IFERROR(__xludf.DUMMYFUNCTION("""COMPUTED_VALUE"""),0.0476)</f>
        <v>0.0476</v>
      </c>
      <c r="O710" s="24">
        <f t="shared" si="4"/>
        <v>0</v>
      </c>
      <c r="P710" s="24"/>
      <c r="Q710" s="24">
        <f t="shared" si="6"/>
        <v>0</v>
      </c>
      <c r="R710" s="24">
        <f t="shared" si="7"/>
        <v>0</v>
      </c>
      <c r="S710" s="24"/>
      <c r="T710" s="24">
        <f t="shared" si="9"/>
        <v>0</v>
      </c>
    </row>
    <row r="711">
      <c r="A711" s="12" t="s">
        <v>800</v>
      </c>
      <c r="F711" s="19">
        <f>IFERROR(__xludf.DUMMYFUNCTION("SPLIT(A707, "" |"")"),705.0)</f>
        <v>705</v>
      </c>
      <c r="G711" s="19">
        <f>IFERROR(__xludf.DUMMYFUNCTION("""COMPUTED_VALUE"""),0.00237)</f>
        <v>0.00237</v>
      </c>
      <c r="H711" s="19" t="str">
        <f>IFERROR(__xludf.DUMMYFUNCTION("""COMPUTED_VALUE"""),"-")</f>
        <v>-</v>
      </c>
      <c r="I711" s="19">
        <f>IFERROR(__xludf.DUMMYFUNCTION("""COMPUTED_VALUE"""),0.00219)</f>
        <v>0.00219</v>
      </c>
      <c r="J711" s="19">
        <f>IFERROR(__xludf.DUMMYFUNCTION("""COMPUTED_VALUE"""),0.0475)</f>
        <v>0.0475</v>
      </c>
      <c r="K711" s="19" t="str">
        <f>IFERROR(__xludf.DUMMYFUNCTION("""COMPUTED_VALUE"""),"-")</f>
        <v>-</v>
      </c>
      <c r="L711" s="19">
        <f>IFERROR(__xludf.DUMMYFUNCTION("""COMPUTED_VALUE"""),0.03992)</f>
        <v>0.03992</v>
      </c>
      <c r="O711" s="24">
        <f t="shared" si="4"/>
        <v>0</v>
      </c>
      <c r="P711" s="24"/>
      <c r="Q711" s="24">
        <f t="shared" si="6"/>
        <v>0</v>
      </c>
      <c r="R711" s="24">
        <f t="shared" si="7"/>
        <v>0</v>
      </c>
      <c r="S711" s="24"/>
      <c r="T711" s="24">
        <f t="shared" si="9"/>
        <v>0</v>
      </c>
    </row>
    <row r="712">
      <c r="A712" s="12" t="s">
        <v>801</v>
      </c>
      <c r="F712" s="19">
        <f>IFERROR(__xludf.DUMMYFUNCTION("SPLIT(A708, "" |"")"),706.0)</f>
        <v>706</v>
      </c>
      <c r="G712" s="19">
        <f>IFERROR(__xludf.DUMMYFUNCTION("""COMPUTED_VALUE"""),0.00225)</f>
        <v>0.00225</v>
      </c>
      <c r="H712" s="19" t="str">
        <f>IFERROR(__xludf.DUMMYFUNCTION("""COMPUTED_VALUE"""),"-")</f>
        <v>-</v>
      </c>
      <c r="I712" s="19">
        <f>IFERROR(__xludf.DUMMYFUNCTION("""COMPUTED_VALUE"""),0.00224)</f>
        <v>0.00224</v>
      </c>
      <c r="J712" s="19">
        <f>IFERROR(__xludf.DUMMYFUNCTION("""COMPUTED_VALUE"""),0.04734)</f>
        <v>0.04734</v>
      </c>
      <c r="K712" s="19" t="str">
        <f>IFERROR(__xludf.DUMMYFUNCTION("""COMPUTED_VALUE"""),"-")</f>
        <v>-</v>
      </c>
      <c r="L712" s="19">
        <f>IFERROR(__xludf.DUMMYFUNCTION("""COMPUTED_VALUE"""),0.04762)</f>
        <v>0.04762</v>
      </c>
      <c r="O712" s="24">
        <f t="shared" si="4"/>
        <v>0</v>
      </c>
      <c r="P712" s="24"/>
      <c r="Q712" s="24">
        <f t="shared" si="6"/>
        <v>0</v>
      </c>
      <c r="R712" s="24">
        <f t="shared" si="7"/>
        <v>0</v>
      </c>
      <c r="S712" s="24"/>
      <c r="T712" s="24">
        <f t="shared" si="9"/>
        <v>0</v>
      </c>
    </row>
    <row r="713">
      <c r="A713" s="12" t="s">
        <v>802</v>
      </c>
      <c r="F713" s="19">
        <f>IFERROR(__xludf.DUMMYFUNCTION("SPLIT(A709, "" |"")"),707.0)</f>
        <v>707</v>
      </c>
      <c r="G713" s="19">
        <f>IFERROR(__xludf.DUMMYFUNCTION("""COMPUTED_VALUE"""),0.00227)</f>
        <v>0.00227</v>
      </c>
      <c r="H713" s="19" t="str">
        <f>IFERROR(__xludf.DUMMYFUNCTION("""COMPUTED_VALUE"""),"-")</f>
        <v>-</v>
      </c>
      <c r="I713" s="19">
        <f>IFERROR(__xludf.DUMMYFUNCTION("""COMPUTED_VALUE"""),0.00207)</f>
        <v>0.00207</v>
      </c>
      <c r="J713" s="19">
        <f>IFERROR(__xludf.DUMMYFUNCTION("""COMPUTED_VALUE"""),0.04563)</f>
        <v>0.04563</v>
      </c>
      <c r="K713" s="19" t="str">
        <f>IFERROR(__xludf.DUMMYFUNCTION("""COMPUTED_VALUE"""),"-")</f>
        <v>-</v>
      </c>
      <c r="L713" s="19">
        <f>IFERROR(__xludf.DUMMYFUNCTION("""COMPUTED_VALUE"""),0.04761)</f>
        <v>0.04761</v>
      </c>
      <c r="O713" s="24">
        <f t="shared" si="4"/>
        <v>0</v>
      </c>
      <c r="P713" s="24"/>
      <c r="Q713" s="24">
        <f t="shared" si="6"/>
        <v>0</v>
      </c>
      <c r="R713" s="24">
        <f t="shared" si="7"/>
        <v>0</v>
      </c>
      <c r="S713" s="24"/>
      <c r="T713" s="24">
        <f t="shared" si="9"/>
        <v>0</v>
      </c>
    </row>
    <row r="714">
      <c r="A714" s="12" t="s">
        <v>803</v>
      </c>
      <c r="F714" s="19">
        <f>IFERROR(__xludf.DUMMYFUNCTION("SPLIT(A710, "" |"")"),708.0)</f>
        <v>708</v>
      </c>
      <c r="G714" s="19">
        <f>IFERROR(__xludf.DUMMYFUNCTION("""COMPUTED_VALUE"""),0.00243)</f>
        <v>0.00243</v>
      </c>
      <c r="H714" s="19" t="str">
        <f>IFERROR(__xludf.DUMMYFUNCTION("""COMPUTED_VALUE"""),"-")</f>
        <v>-</v>
      </c>
      <c r="I714" s="19">
        <f>IFERROR(__xludf.DUMMYFUNCTION("""COMPUTED_VALUE"""),0.00221)</f>
        <v>0.00221</v>
      </c>
      <c r="J714" s="19">
        <f>IFERROR(__xludf.DUMMYFUNCTION("""COMPUTED_VALUE"""),0.0474)</f>
        <v>0.0474</v>
      </c>
      <c r="K714" s="19" t="str">
        <f>IFERROR(__xludf.DUMMYFUNCTION("""COMPUTED_VALUE"""),"-")</f>
        <v>-</v>
      </c>
      <c r="L714" s="19">
        <f>IFERROR(__xludf.DUMMYFUNCTION("""COMPUTED_VALUE"""),0.0475)</f>
        <v>0.0475</v>
      </c>
      <c r="O714" s="24">
        <f t="shared" si="4"/>
        <v>0</v>
      </c>
      <c r="P714" s="24"/>
      <c r="Q714" s="24">
        <f t="shared" si="6"/>
        <v>0</v>
      </c>
      <c r="R714" s="24">
        <f t="shared" si="7"/>
        <v>0</v>
      </c>
      <c r="S714" s="24"/>
      <c r="T714" s="24">
        <f t="shared" si="9"/>
        <v>0</v>
      </c>
    </row>
    <row r="715">
      <c r="A715" s="12" t="s">
        <v>804</v>
      </c>
      <c r="F715" s="19">
        <f>IFERROR(__xludf.DUMMYFUNCTION("SPLIT(A711, "" |"")"),709.0)</f>
        <v>709</v>
      </c>
      <c r="G715" s="19">
        <f>IFERROR(__xludf.DUMMYFUNCTION("""COMPUTED_VALUE"""),0.00239)</f>
        <v>0.00239</v>
      </c>
      <c r="H715" s="19" t="str">
        <f>IFERROR(__xludf.DUMMYFUNCTION("""COMPUTED_VALUE"""),"-")</f>
        <v>-</v>
      </c>
      <c r="I715" s="19">
        <f>IFERROR(__xludf.DUMMYFUNCTION("""COMPUTED_VALUE"""),0.00225)</f>
        <v>0.00225</v>
      </c>
      <c r="J715" s="19">
        <f>IFERROR(__xludf.DUMMYFUNCTION("""COMPUTED_VALUE"""),0.04744)</f>
        <v>0.04744</v>
      </c>
      <c r="K715" s="19" t="str">
        <f>IFERROR(__xludf.DUMMYFUNCTION("""COMPUTED_VALUE"""),"-")</f>
        <v>-</v>
      </c>
      <c r="L715" s="19">
        <f>IFERROR(__xludf.DUMMYFUNCTION("""COMPUTED_VALUE"""),0.04509)</f>
        <v>0.04509</v>
      </c>
      <c r="O715" s="24">
        <f t="shared" si="4"/>
        <v>0</v>
      </c>
      <c r="P715" s="24"/>
      <c r="Q715" s="24">
        <f t="shared" si="6"/>
        <v>0</v>
      </c>
      <c r="R715" s="24">
        <f t="shared" si="7"/>
        <v>0</v>
      </c>
      <c r="S715" s="24"/>
      <c r="T715" s="24">
        <f t="shared" si="9"/>
        <v>0</v>
      </c>
    </row>
    <row r="716">
      <c r="A716" s="12" t="s">
        <v>805</v>
      </c>
      <c r="F716" s="19">
        <f>IFERROR(__xludf.DUMMYFUNCTION("SPLIT(A712, "" |"")"),710.0)</f>
        <v>710</v>
      </c>
      <c r="G716" s="19">
        <f>IFERROR(__xludf.DUMMYFUNCTION("""COMPUTED_VALUE"""),0.00235)</f>
        <v>0.00235</v>
      </c>
      <c r="H716" s="19" t="str">
        <f>IFERROR(__xludf.DUMMYFUNCTION("""COMPUTED_VALUE"""),"-")</f>
        <v>-</v>
      </c>
      <c r="I716" s="19">
        <f>IFERROR(__xludf.DUMMYFUNCTION("""COMPUTED_VALUE"""),0.00224)</f>
        <v>0.00224</v>
      </c>
      <c r="J716" s="19">
        <f>IFERROR(__xludf.DUMMYFUNCTION("""COMPUTED_VALUE"""),0.04728)</f>
        <v>0.04728</v>
      </c>
      <c r="K716" s="19" t="str">
        <f>IFERROR(__xludf.DUMMYFUNCTION("""COMPUTED_VALUE"""),"-")</f>
        <v>-</v>
      </c>
      <c r="L716" s="19">
        <f>IFERROR(__xludf.DUMMYFUNCTION("""COMPUTED_VALUE"""),0.04759)</f>
        <v>0.04759</v>
      </c>
      <c r="O716" s="24">
        <f t="shared" si="4"/>
        <v>0</v>
      </c>
      <c r="P716" s="24"/>
      <c r="Q716" s="24">
        <f t="shared" si="6"/>
        <v>0</v>
      </c>
      <c r="R716" s="24">
        <f t="shared" si="7"/>
        <v>0</v>
      </c>
      <c r="S716" s="24"/>
      <c r="T716" s="24">
        <f t="shared" si="9"/>
        <v>0</v>
      </c>
    </row>
    <row r="717">
      <c r="A717" s="12" t="s">
        <v>806</v>
      </c>
      <c r="F717" s="19">
        <f>IFERROR(__xludf.DUMMYFUNCTION("SPLIT(A713, "" |"")"),711.0)</f>
        <v>711</v>
      </c>
      <c r="G717" s="19">
        <f>IFERROR(__xludf.DUMMYFUNCTION("""COMPUTED_VALUE"""),0.00236)</f>
        <v>0.00236</v>
      </c>
      <c r="H717" s="19" t="str">
        <f>IFERROR(__xludf.DUMMYFUNCTION("""COMPUTED_VALUE"""),"-")</f>
        <v>-</v>
      </c>
      <c r="I717" s="19">
        <f>IFERROR(__xludf.DUMMYFUNCTION("""COMPUTED_VALUE"""),0.00218)</f>
        <v>0.00218</v>
      </c>
      <c r="J717" s="19">
        <f>IFERROR(__xludf.DUMMYFUNCTION("""COMPUTED_VALUE"""),0.04745)</f>
        <v>0.04745</v>
      </c>
      <c r="K717" s="19" t="str">
        <f>IFERROR(__xludf.DUMMYFUNCTION("""COMPUTED_VALUE"""),"-")</f>
        <v>-</v>
      </c>
      <c r="L717" s="19">
        <f>IFERROR(__xludf.DUMMYFUNCTION("""COMPUTED_VALUE"""),0.04763)</f>
        <v>0.04763</v>
      </c>
      <c r="O717" s="24">
        <f t="shared" si="4"/>
        <v>0</v>
      </c>
      <c r="P717" s="24"/>
      <c r="Q717" s="24">
        <f t="shared" si="6"/>
        <v>0</v>
      </c>
      <c r="R717" s="24">
        <f t="shared" si="7"/>
        <v>0</v>
      </c>
      <c r="S717" s="24"/>
      <c r="T717" s="24">
        <f t="shared" si="9"/>
        <v>0</v>
      </c>
    </row>
    <row r="718">
      <c r="A718" s="12" t="s">
        <v>807</v>
      </c>
      <c r="F718" s="19">
        <f>IFERROR(__xludf.DUMMYFUNCTION("SPLIT(A714, "" |"")"),712.0)</f>
        <v>712</v>
      </c>
      <c r="G718" s="19">
        <f>IFERROR(__xludf.DUMMYFUNCTION("""COMPUTED_VALUE"""),0.00237)</f>
        <v>0.00237</v>
      </c>
      <c r="H718" s="19" t="str">
        <f>IFERROR(__xludf.DUMMYFUNCTION("""COMPUTED_VALUE"""),"-")</f>
        <v>-</v>
      </c>
      <c r="I718" s="19">
        <f>IFERROR(__xludf.DUMMYFUNCTION("""COMPUTED_VALUE"""),0.00209)</f>
        <v>0.00209</v>
      </c>
      <c r="J718" s="19">
        <f>IFERROR(__xludf.DUMMYFUNCTION("""COMPUTED_VALUE"""),0.04812)</f>
        <v>0.04812</v>
      </c>
      <c r="K718" s="19" t="str">
        <f>IFERROR(__xludf.DUMMYFUNCTION("""COMPUTED_VALUE"""),"-")</f>
        <v>-</v>
      </c>
      <c r="L718" s="19">
        <f>IFERROR(__xludf.DUMMYFUNCTION("""COMPUTED_VALUE"""),0.04753)</f>
        <v>0.04753</v>
      </c>
      <c r="O718" s="24">
        <f t="shared" si="4"/>
        <v>0</v>
      </c>
      <c r="P718" s="24"/>
      <c r="Q718" s="24">
        <f t="shared" si="6"/>
        <v>0</v>
      </c>
      <c r="R718" s="24">
        <f t="shared" si="7"/>
        <v>0</v>
      </c>
      <c r="S718" s="24"/>
      <c r="T718" s="24">
        <f t="shared" si="9"/>
        <v>0</v>
      </c>
    </row>
    <row r="719">
      <c r="A719" s="12" t="s">
        <v>808</v>
      </c>
      <c r="F719" s="19">
        <f>IFERROR(__xludf.DUMMYFUNCTION("SPLIT(A715, "" |"")"),713.0)</f>
        <v>713</v>
      </c>
      <c r="G719" s="19">
        <f>IFERROR(__xludf.DUMMYFUNCTION("""COMPUTED_VALUE"""),0.00236)</f>
        <v>0.00236</v>
      </c>
      <c r="H719" s="19" t="str">
        <f>IFERROR(__xludf.DUMMYFUNCTION("""COMPUTED_VALUE"""),"-")</f>
        <v>-</v>
      </c>
      <c r="I719" s="19">
        <f>IFERROR(__xludf.DUMMYFUNCTION("""COMPUTED_VALUE"""),0.00215)</f>
        <v>0.00215</v>
      </c>
      <c r="J719" s="19">
        <f>IFERROR(__xludf.DUMMYFUNCTION("""COMPUTED_VALUE"""),0.0474)</f>
        <v>0.0474</v>
      </c>
      <c r="K719" s="19" t="str">
        <f>IFERROR(__xludf.DUMMYFUNCTION("""COMPUTED_VALUE"""),"-")</f>
        <v>-</v>
      </c>
      <c r="L719" s="19">
        <f>IFERROR(__xludf.DUMMYFUNCTION("""COMPUTED_VALUE"""),0.03883)</f>
        <v>0.03883</v>
      </c>
      <c r="O719" s="24">
        <f t="shared" si="4"/>
        <v>0</v>
      </c>
      <c r="P719" s="24"/>
      <c r="Q719" s="24">
        <f t="shared" si="6"/>
        <v>0</v>
      </c>
      <c r="R719" s="24">
        <f t="shared" si="7"/>
        <v>0</v>
      </c>
      <c r="S719" s="24"/>
      <c r="T719" s="24">
        <f t="shared" si="9"/>
        <v>0</v>
      </c>
    </row>
    <row r="720">
      <c r="A720" s="12" t="s">
        <v>809</v>
      </c>
      <c r="F720" s="19">
        <f>IFERROR(__xludf.DUMMYFUNCTION("SPLIT(A716, "" |"")"),714.0)</f>
        <v>714</v>
      </c>
      <c r="G720" s="19">
        <f>IFERROR(__xludf.DUMMYFUNCTION("""COMPUTED_VALUE"""),0.00226)</f>
        <v>0.00226</v>
      </c>
      <c r="H720" s="19" t="str">
        <f>IFERROR(__xludf.DUMMYFUNCTION("""COMPUTED_VALUE"""),"-")</f>
        <v>-</v>
      </c>
      <c r="I720" s="19">
        <f>IFERROR(__xludf.DUMMYFUNCTION("""COMPUTED_VALUE"""),0.00205)</f>
        <v>0.00205</v>
      </c>
      <c r="J720" s="19">
        <f>IFERROR(__xludf.DUMMYFUNCTION("""COMPUTED_VALUE"""),0.04569)</f>
        <v>0.04569</v>
      </c>
      <c r="K720" s="19" t="str">
        <f>IFERROR(__xludf.DUMMYFUNCTION("""COMPUTED_VALUE"""),"-")</f>
        <v>-</v>
      </c>
      <c r="L720" s="19">
        <f>IFERROR(__xludf.DUMMYFUNCTION("""COMPUTED_VALUE"""),0.04697)</f>
        <v>0.04697</v>
      </c>
      <c r="O720" s="24">
        <f t="shared" si="4"/>
        <v>0</v>
      </c>
      <c r="P720" s="24"/>
      <c r="Q720" s="24">
        <f t="shared" si="6"/>
        <v>0</v>
      </c>
      <c r="R720" s="24">
        <f t="shared" si="7"/>
        <v>0</v>
      </c>
      <c r="S720" s="24"/>
      <c r="T720" s="24">
        <f t="shared" si="9"/>
        <v>0</v>
      </c>
    </row>
    <row r="721">
      <c r="A721" s="12" t="s">
        <v>810</v>
      </c>
      <c r="F721" s="19">
        <f>IFERROR(__xludf.DUMMYFUNCTION("SPLIT(A717, "" |"")"),715.0)</f>
        <v>715</v>
      </c>
      <c r="G721" s="19">
        <f>IFERROR(__xludf.DUMMYFUNCTION("""COMPUTED_VALUE"""),0.0022)</f>
        <v>0.0022</v>
      </c>
      <c r="H721" s="19" t="str">
        <f>IFERROR(__xludf.DUMMYFUNCTION("""COMPUTED_VALUE"""),"-")</f>
        <v>-</v>
      </c>
      <c r="I721" s="19">
        <f>IFERROR(__xludf.DUMMYFUNCTION("""COMPUTED_VALUE"""),0.0021)</f>
        <v>0.0021</v>
      </c>
      <c r="J721" s="19">
        <f>IFERROR(__xludf.DUMMYFUNCTION("""COMPUTED_VALUE"""),0.04733)</f>
        <v>0.04733</v>
      </c>
      <c r="K721" s="19" t="str">
        <f>IFERROR(__xludf.DUMMYFUNCTION("""COMPUTED_VALUE"""),"-")</f>
        <v>-</v>
      </c>
      <c r="L721" s="19">
        <f>IFERROR(__xludf.DUMMYFUNCTION("""COMPUTED_VALUE"""),0.04645)</f>
        <v>0.04645</v>
      </c>
      <c r="O721" s="24">
        <f t="shared" si="4"/>
        <v>0</v>
      </c>
      <c r="P721" s="24"/>
      <c r="Q721" s="24">
        <f t="shared" si="6"/>
        <v>0</v>
      </c>
      <c r="R721" s="24">
        <f t="shared" si="7"/>
        <v>0</v>
      </c>
      <c r="S721" s="24"/>
      <c r="T721" s="24">
        <f t="shared" si="9"/>
        <v>0</v>
      </c>
    </row>
    <row r="722">
      <c r="A722" s="12" t="s">
        <v>811</v>
      </c>
      <c r="F722" s="19">
        <f>IFERROR(__xludf.DUMMYFUNCTION("SPLIT(A718, "" |"")"),716.0)</f>
        <v>716</v>
      </c>
      <c r="G722" s="19">
        <f>IFERROR(__xludf.DUMMYFUNCTION("""COMPUTED_VALUE"""),0.00236)</f>
        <v>0.00236</v>
      </c>
      <c r="H722" s="19" t="str">
        <f>IFERROR(__xludf.DUMMYFUNCTION("""COMPUTED_VALUE"""),"-")</f>
        <v>-</v>
      </c>
      <c r="I722" s="19">
        <f>IFERROR(__xludf.DUMMYFUNCTION("""COMPUTED_VALUE"""),0.00222)</f>
        <v>0.00222</v>
      </c>
      <c r="J722" s="19">
        <f>IFERROR(__xludf.DUMMYFUNCTION("""COMPUTED_VALUE"""),0.04752)</f>
        <v>0.04752</v>
      </c>
      <c r="K722" s="19" t="str">
        <f>IFERROR(__xludf.DUMMYFUNCTION("""COMPUTED_VALUE"""),"-")</f>
        <v>-</v>
      </c>
      <c r="L722" s="19">
        <f>IFERROR(__xludf.DUMMYFUNCTION("""COMPUTED_VALUE"""),0.04762)</f>
        <v>0.04762</v>
      </c>
      <c r="O722" s="24">
        <f t="shared" si="4"/>
        <v>0</v>
      </c>
      <c r="P722" s="24"/>
      <c r="Q722" s="24">
        <f t="shared" si="6"/>
        <v>0</v>
      </c>
      <c r="R722" s="24">
        <f t="shared" si="7"/>
        <v>0</v>
      </c>
      <c r="S722" s="24"/>
      <c r="T722" s="24">
        <f t="shared" si="9"/>
        <v>0</v>
      </c>
    </row>
    <row r="723">
      <c r="A723" s="12" t="s">
        <v>812</v>
      </c>
      <c r="F723" s="19">
        <f>IFERROR(__xludf.DUMMYFUNCTION("SPLIT(A719, "" |"")"),717.0)</f>
        <v>717</v>
      </c>
      <c r="G723" s="19">
        <f>IFERROR(__xludf.DUMMYFUNCTION("""COMPUTED_VALUE"""),0.00237)</f>
        <v>0.00237</v>
      </c>
      <c r="H723" s="19" t="str">
        <f>IFERROR(__xludf.DUMMYFUNCTION("""COMPUTED_VALUE"""),"-")</f>
        <v>-</v>
      </c>
      <c r="I723" s="19">
        <f>IFERROR(__xludf.DUMMYFUNCTION("""COMPUTED_VALUE"""),0.0022)</f>
        <v>0.0022</v>
      </c>
      <c r="J723" s="19">
        <f>IFERROR(__xludf.DUMMYFUNCTION("""COMPUTED_VALUE"""),0.04746)</f>
        <v>0.04746</v>
      </c>
      <c r="K723" s="19" t="str">
        <f>IFERROR(__xludf.DUMMYFUNCTION("""COMPUTED_VALUE"""),"-")</f>
        <v>-</v>
      </c>
      <c r="L723" s="19">
        <f>IFERROR(__xludf.DUMMYFUNCTION("""COMPUTED_VALUE"""),0.04762)</f>
        <v>0.04762</v>
      </c>
      <c r="O723" s="24">
        <f t="shared" si="4"/>
        <v>0</v>
      </c>
      <c r="P723" s="24"/>
      <c r="Q723" s="24">
        <f t="shared" si="6"/>
        <v>0</v>
      </c>
      <c r="R723" s="24">
        <f t="shared" si="7"/>
        <v>0</v>
      </c>
      <c r="S723" s="24"/>
      <c r="T723" s="24">
        <f t="shared" si="9"/>
        <v>0</v>
      </c>
    </row>
    <row r="724">
      <c r="A724" s="12" t="s">
        <v>813</v>
      </c>
      <c r="F724" s="19">
        <f>IFERROR(__xludf.DUMMYFUNCTION("SPLIT(A720, "" |"")"),718.0)</f>
        <v>718</v>
      </c>
      <c r="G724" s="19">
        <f>IFERROR(__xludf.DUMMYFUNCTION("""COMPUTED_VALUE"""),0.00242)</f>
        <v>0.00242</v>
      </c>
      <c r="H724" s="19" t="str">
        <f>IFERROR(__xludf.DUMMYFUNCTION("""COMPUTED_VALUE"""),"-")</f>
        <v>-</v>
      </c>
      <c r="I724" s="19">
        <f>IFERROR(__xludf.DUMMYFUNCTION("""COMPUTED_VALUE"""),0.00222)</f>
        <v>0.00222</v>
      </c>
      <c r="J724" s="19">
        <f>IFERROR(__xludf.DUMMYFUNCTION("""COMPUTED_VALUE"""),0.04751)</f>
        <v>0.04751</v>
      </c>
      <c r="K724" s="19" t="str">
        <f>IFERROR(__xludf.DUMMYFUNCTION("""COMPUTED_VALUE"""),"-")</f>
        <v>-</v>
      </c>
      <c r="L724" s="19">
        <f>IFERROR(__xludf.DUMMYFUNCTION("""COMPUTED_VALUE"""),0.04289)</f>
        <v>0.04289</v>
      </c>
      <c r="O724" s="24">
        <f t="shared" si="4"/>
        <v>0</v>
      </c>
      <c r="P724" s="24"/>
      <c r="Q724" s="24">
        <f t="shared" si="6"/>
        <v>0</v>
      </c>
      <c r="R724" s="24">
        <f t="shared" si="7"/>
        <v>0</v>
      </c>
      <c r="S724" s="24"/>
      <c r="T724" s="24">
        <f t="shared" si="9"/>
        <v>0</v>
      </c>
    </row>
    <row r="725">
      <c r="A725" s="12" t="s">
        <v>814</v>
      </c>
      <c r="F725" s="19">
        <f>IFERROR(__xludf.DUMMYFUNCTION("SPLIT(A721, "" |"")"),719.0)</f>
        <v>719</v>
      </c>
      <c r="G725" s="19">
        <f>IFERROR(__xludf.DUMMYFUNCTION("""COMPUTED_VALUE"""),0.00238)</f>
        <v>0.00238</v>
      </c>
      <c r="H725" s="19" t="str">
        <f>IFERROR(__xludf.DUMMYFUNCTION("""COMPUTED_VALUE"""),"-")</f>
        <v>-</v>
      </c>
      <c r="I725" s="19">
        <f>IFERROR(__xludf.DUMMYFUNCTION("""COMPUTED_VALUE"""),0.00215)</f>
        <v>0.00215</v>
      </c>
      <c r="J725" s="19">
        <f>IFERROR(__xludf.DUMMYFUNCTION("""COMPUTED_VALUE"""),0.0475)</f>
        <v>0.0475</v>
      </c>
      <c r="K725" s="19" t="str">
        <f>IFERROR(__xludf.DUMMYFUNCTION("""COMPUTED_VALUE"""),"-")</f>
        <v>-</v>
      </c>
      <c r="L725" s="19">
        <f>IFERROR(__xludf.DUMMYFUNCTION("""COMPUTED_VALUE"""),0.04752)</f>
        <v>0.04752</v>
      </c>
      <c r="O725" s="24">
        <f t="shared" si="4"/>
        <v>0</v>
      </c>
      <c r="P725" s="24"/>
      <c r="Q725" s="24">
        <f t="shared" si="6"/>
        <v>0</v>
      </c>
      <c r="R725" s="24">
        <f t="shared" si="7"/>
        <v>0</v>
      </c>
      <c r="S725" s="24"/>
      <c r="T725" s="24">
        <f t="shared" si="9"/>
        <v>0</v>
      </c>
    </row>
    <row r="726">
      <c r="A726" s="12" t="s">
        <v>815</v>
      </c>
      <c r="F726" s="19">
        <f>IFERROR(__xludf.DUMMYFUNCTION("SPLIT(A722, "" |"")"),720.0)</f>
        <v>720</v>
      </c>
      <c r="G726" s="19">
        <f>IFERROR(__xludf.DUMMYFUNCTION("""COMPUTED_VALUE"""),0.00235)</f>
        <v>0.00235</v>
      </c>
      <c r="H726" s="19" t="str">
        <f>IFERROR(__xludf.DUMMYFUNCTION("""COMPUTED_VALUE"""),"-")</f>
        <v>-</v>
      </c>
      <c r="I726" s="19">
        <f>IFERROR(__xludf.DUMMYFUNCTION("""COMPUTED_VALUE"""),0.00218)</f>
        <v>0.00218</v>
      </c>
      <c r="J726" s="19">
        <f>IFERROR(__xludf.DUMMYFUNCTION("""COMPUTED_VALUE"""),0.04736)</f>
        <v>0.04736</v>
      </c>
      <c r="K726" s="19" t="str">
        <f>IFERROR(__xludf.DUMMYFUNCTION("""COMPUTED_VALUE"""),"-")</f>
        <v>-</v>
      </c>
      <c r="L726" s="19">
        <f>IFERROR(__xludf.DUMMYFUNCTION("""COMPUTED_VALUE"""),0.04763)</f>
        <v>0.04763</v>
      </c>
      <c r="O726" s="24">
        <f t="shared" si="4"/>
        <v>0</v>
      </c>
      <c r="P726" s="24"/>
      <c r="Q726" s="24">
        <f t="shared" si="6"/>
        <v>0</v>
      </c>
      <c r="R726" s="24">
        <f t="shared" si="7"/>
        <v>0</v>
      </c>
      <c r="S726" s="24"/>
      <c r="T726" s="24">
        <f t="shared" si="9"/>
        <v>0</v>
      </c>
    </row>
    <row r="727">
      <c r="A727" s="12" t="s">
        <v>816</v>
      </c>
      <c r="F727" s="19">
        <f>IFERROR(__xludf.DUMMYFUNCTION("SPLIT(A723, "" |"")"),721.0)</f>
        <v>721</v>
      </c>
      <c r="G727" s="19">
        <f>IFERROR(__xludf.DUMMYFUNCTION("""COMPUTED_VALUE"""),0.00236)</f>
        <v>0.00236</v>
      </c>
      <c r="H727" s="19" t="str">
        <f>IFERROR(__xludf.DUMMYFUNCTION("""COMPUTED_VALUE"""),"-")</f>
        <v>-</v>
      </c>
      <c r="I727" s="19">
        <f>IFERROR(__xludf.DUMMYFUNCTION("""COMPUTED_VALUE"""),0.00224)</f>
        <v>0.00224</v>
      </c>
      <c r="J727" s="19">
        <f>IFERROR(__xludf.DUMMYFUNCTION("""COMPUTED_VALUE"""),0.04731)</f>
        <v>0.04731</v>
      </c>
      <c r="K727" s="19" t="str">
        <f>IFERROR(__xludf.DUMMYFUNCTION("""COMPUTED_VALUE"""),"-")</f>
        <v>-</v>
      </c>
      <c r="L727" s="19">
        <f>IFERROR(__xludf.DUMMYFUNCTION("""COMPUTED_VALUE"""),0.04756)</f>
        <v>0.04756</v>
      </c>
      <c r="O727" s="24">
        <f t="shared" si="4"/>
        <v>0</v>
      </c>
      <c r="P727" s="24"/>
      <c r="Q727" s="24">
        <f t="shared" si="6"/>
        <v>0</v>
      </c>
      <c r="R727" s="24">
        <f t="shared" si="7"/>
        <v>0</v>
      </c>
      <c r="S727" s="24"/>
      <c r="T727" s="24">
        <f t="shared" si="9"/>
        <v>0</v>
      </c>
    </row>
    <row r="728">
      <c r="A728" s="12" t="s">
        <v>817</v>
      </c>
      <c r="F728" s="19">
        <f>IFERROR(__xludf.DUMMYFUNCTION("SPLIT(A724, "" |"")"),722.0)</f>
        <v>722</v>
      </c>
      <c r="G728" s="19">
        <f>IFERROR(__xludf.DUMMYFUNCTION("""COMPUTED_VALUE"""),0.00237)</f>
        <v>0.00237</v>
      </c>
      <c r="H728" s="19" t="str">
        <f>IFERROR(__xludf.DUMMYFUNCTION("""COMPUTED_VALUE"""),"-")</f>
        <v>-</v>
      </c>
      <c r="I728" s="19">
        <f>IFERROR(__xludf.DUMMYFUNCTION("""COMPUTED_VALUE"""),0.0022)</f>
        <v>0.0022</v>
      </c>
      <c r="J728" s="19">
        <f>IFERROR(__xludf.DUMMYFUNCTION("""COMPUTED_VALUE"""),0.04749)</f>
        <v>0.04749</v>
      </c>
      <c r="K728" s="19" t="str">
        <f>IFERROR(__xludf.DUMMYFUNCTION("""COMPUTED_VALUE"""),"-")</f>
        <v>-</v>
      </c>
      <c r="L728" s="19">
        <f>IFERROR(__xludf.DUMMYFUNCTION("""COMPUTED_VALUE"""),0.04758)</f>
        <v>0.04758</v>
      </c>
      <c r="O728" s="24">
        <f t="shared" si="4"/>
        <v>0</v>
      </c>
      <c r="P728" s="24"/>
      <c r="Q728" s="24">
        <f t="shared" si="6"/>
        <v>0</v>
      </c>
      <c r="R728" s="24">
        <f t="shared" si="7"/>
        <v>0</v>
      </c>
      <c r="S728" s="24"/>
      <c r="T728" s="24">
        <f t="shared" si="9"/>
        <v>0</v>
      </c>
    </row>
    <row r="729">
      <c r="A729" s="12" t="s">
        <v>818</v>
      </c>
      <c r="F729" s="19">
        <f>IFERROR(__xludf.DUMMYFUNCTION("SPLIT(A725, "" |"")"),723.0)</f>
        <v>723</v>
      </c>
      <c r="G729" s="19">
        <f>IFERROR(__xludf.DUMMYFUNCTION("""COMPUTED_VALUE"""),0.0024)</f>
        <v>0.0024</v>
      </c>
      <c r="H729" s="19" t="str">
        <f>IFERROR(__xludf.DUMMYFUNCTION("""COMPUTED_VALUE"""),"-")</f>
        <v>-</v>
      </c>
      <c r="I729" s="19">
        <f>IFERROR(__xludf.DUMMYFUNCTION("""COMPUTED_VALUE"""),0.00221)</f>
        <v>0.00221</v>
      </c>
      <c r="J729" s="19">
        <f>IFERROR(__xludf.DUMMYFUNCTION("""COMPUTED_VALUE"""),0.04749)</f>
        <v>0.04749</v>
      </c>
      <c r="K729" s="19" t="str">
        <f>IFERROR(__xludf.DUMMYFUNCTION("""COMPUTED_VALUE"""),"-")</f>
        <v>-</v>
      </c>
      <c r="L729" s="19">
        <f>IFERROR(__xludf.DUMMYFUNCTION("""COMPUTED_VALUE"""),0.04136)</f>
        <v>0.04136</v>
      </c>
      <c r="O729" s="24">
        <f t="shared" si="4"/>
        <v>0</v>
      </c>
      <c r="P729" s="24"/>
      <c r="Q729" s="24">
        <f t="shared" si="6"/>
        <v>0</v>
      </c>
      <c r="R729" s="24">
        <f t="shared" si="7"/>
        <v>0</v>
      </c>
      <c r="S729" s="24"/>
      <c r="T729" s="24">
        <f t="shared" si="9"/>
        <v>0</v>
      </c>
    </row>
    <row r="730">
      <c r="A730" s="12" t="s">
        <v>819</v>
      </c>
      <c r="F730" s="19">
        <f>IFERROR(__xludf.DUMMYFUNCTION("SPLIT(A726, "" |"")"),724.0)</f>
        <v>724</v>
      </c>
      <c r="G730" s="19">
        <f>IFERROR(__xludf.DUMMYFUNCTION("""COMPUTED_VALUE"""),0.00235)</f>
        <v>0.00235</v>
      </c>
      <c r="H730" s="19" t="str">
        <f>IFERROR(__xludf.DUMMYFUNCTION("""COMPUTED_VALUE"""),"-")</f>
        <v>-</v>
      </c>
      <c r="I730" s="19">
        <f>IFERROR(__xludf.DUMMYFUNCTION("""COMPUTED_VALUE"""),0.00218)</f>
        <v>0.00218</v>
      </c>
      <c r="J730" s="19">
        <f>IFERROR(__xludf.DUMMYFUNCTION("""COMPUTED_VALUE"""),0.04676)</f>
        <v>0.04676</v>
      </c>
      <c r="K730" s="19" t="str">
        <f>IFERROR(__xludf.DUMMYFUNCTION("""COMPUTED_VALUE"""),"-")</f>
        <v>-</v>
      </c>
      <c r="L730" s="19">
        <f>IFERROR(__xludf.DUMMYFUNCTION("""COMPUTED_VALUE"""),0.04664)</f>
        <v>0.04664</v>
      </c>
      <c r="O730" s="24">
        <f t="shared" si="4"/>
        <v>0</v>
      </c>
      <c r="P730" s="24"/>
      <c r="Q730" s="24">
        <f t="shared" si="6"/>
        <v>0</v>
      </c>
      <c r="R730" s="24">
        <f t="shared" si="7"/>
        <v>0</v>
      </c>
      <c r="S730" s="24"/>
      <c r="T730" s="24">
        <f t="shared" si="9"/>
        <v>0</v>
      </c>
    </row>
    <row r="731">
      <c r="A731" s="12" t="s">
        <v>820</v>
      </c>
      <c r="F731" s="19">
        <f>IFERROR(__xludf.DUMMYFUNCTION("SPLIT(A727, "" |"")"),725.0)</f>
        <v>725</v>
      </c>
      <c r="G731" s="19">
        <f>IFERROR(__xludf.DUMMYFUNCTION("""COMPUTED_VALUE"""),0.00223)</f>
        <v>0.00223</v>
      </c>
      <c r="H731" s="19" t="str">
        <f>IFERROR(__xludf.DUMMYFUNCTION("""COMPUTED_VALUE"""),"-")</f>
        <v>-</v>
      </c>
      <c r="I731" s="19">
        <f>IFERROR(__xludf.DUMMYFUNCTION("""COMPUTED_VALUE"""),0.00208)</f>
        <v>0.00208</v>
      </c>
      <c r="J731" s="19">
        <f>IFERROR(__xludf.DUMMYFUNCTION("""COMPUTED_VALUE"""),0.04732)</f>
        <v>0.04732</v>
      </c>
      <c r="K731" s="19" t="str">
        <f>IFERROR(__xludf.DUMMYFUNCTION("""COMPUTED_VALUE"""),"-")</f>
        <v>-</v>
      </c>
      <c r="L731" s="19">
        <f>IFERROR(__xludf.DUMMYFUNCTION("""COMPUTED_VALUE"""),0.04762)</f>
        <v>0.04762</v>
      </c>
      <c r="O731" s="24">
        <f t="shared" si="4"/>
        <v>0</v>
      </c>
      <c r="P731" s="24"/>
      <c r="Q731" s="24">
        <f t="shared" si="6"/>
        <v>0</v>
      </c>
      <c r="R731" s="24">
        <f t="shared" si="7"/>
        <v>0</v>
      </c>
      <c r="S731" s="24"/>
      <c r="T731" s="24">
        <f t="shared" si="9"/>
        <v>0</v>
      </c>
    </row>
    <row r="732">
      <c r="A732" s="12" t="s">
        <v>821</v>
      </c>
      <c r="F732" s="19">
        <f>IFERROR(__xludf.DUMMYFUNCTION("SPLIT(A728, "" |"")"),726.0)</f>
        <v>726</v>
      </c>
      <c r="G732" s="19">
        <f>IFERROR(__xludf.DUMMYFUNCTION("""COMPUTED_VALUE"""),0.00238)</f>
        <v>0.00238</v>
      </c>
      <c r="H732" s="19" t="str">
        <f>IFERROR(__xludf.DUMMYFUNCTION("""COMPUTED_VALUE"""),"-")</f>
        <v>-</v>
      </c>
      <c r="I732" s="19">
        <f>IFERROR(__xludf.DUMMYFUNCTION("""COMPUTED_VALUE"""),0.00221)</f>
        <v>0.00221</v>
      </c>
      <c r="J732" s="19">
        <f>IFERROR(__xludf.DUMMYFUNCTION("""COMPUTED_VALUE"""),0.04745)</f>
        <v>0.04745</v>
      </c>
      <c r="K732" s="19" t="str">
        <f>IFERROR(__xludf.DUMMYFUNCTION("""COMPUTED_VALUE"""),"-")</f>
        <v>-</v>
      </c>
      <c r="L732" s="19">
        <f>IFERROR(__xludf.DUMMYFUNCTION("""COMPUTED_VALUE"""),0.04704)</f>
        <v>0.04704</v>
      </c>
      <c r="O732" s="24">
        <f t="shared" si="4"/>
        <v>0</v>
      </c>
      <c r="P732" s="24"/>
      <c r="Q732" s="24">
        <f t="shared" si="6"/>
        <v>0</v>
      </c>
      <c r="R732" s="24">
        <f t="shared" si="7"/>
        <v>0</v>
      </c>
      <c r="S732" s="24"/>
      <c r="T732" s="24">
        <f t="shared" si="9"/>
        <v>0</v>
      </c>
    </row>
    <row r="733">
      <c r="A733" s="12" t="s">
        <v>822</v>
      </c>
      <c r="F733" s="19">
        <f>IFERROR(__xludf.DUMMYFUNCTION("SPLIT(A729, "" |"")"),727.0)</f>
        <v>727</v>
      </c>
      <c r="G733" s="19">
        <f>IFERROR(__xludf.DUMMYFUNCTION("""COMPUTED_VALUE"""),0.00229)</f>
        <v>0.00229</v>
      </c>
      <c r="H733" s="19" t="str">
        <f>IFERROR(__xludf.DUMMYFUNCTION("""COMPUTED_VALUE"""),"-")</f>
        <v>-</v>
      </c>
      <c r="I733" s="19">
        <f>IFERROR(__xludf.DUMMYFUNCTION("""COMPUTED_VALUE"""),0.00208)</f>
        <v>0.00208</v>
      </c>
      <c r="J733" s="19">
        <f>IFERROR(__xludf.DUMMYFUNCTION("""COMPUTED_VALUE"""),0.04724)</f>
        <v>0.04724</v>
      </c>
      <c r="K733" s="19" t="str">
        <f>IFERROR(__xludf.DUMMYFUNCTION("""COMPUTED_VALUE"""),"-")</f>
        <v>-</v>
      </c>
      <c r="L733" s="19">
        <f>IFERROR(__xludf.DUMMYFUNCTION("""COMPUTED_VALUE"""),0.04732)</f>
        <v>0.04732</v>
      </c>
      <c r="O733" s="24">
        <f t="shared" si="4"/>
        <v>0</v>
      </c>
      <c r="P733" s="24"/>
      <c r="Q733" s="24">
        <f t="shared" si="6"/>
        <v>0</v>
      </c>
      <c r="R733" s="24">
        <f t="shared" si="7"/>
        <v>0</v>
      </c>
      <c r="S733" s="24"/>
      <c r="T733" s="24">
        <f t="shared" si="9"/>
        <v>0</v>
      </c>
    </row>
    <row r="734">
      <c r="A734" s="12" t="s">
        <v>823</v>
      </c>
      <c r="F734" s="19">
        <f>IFERROR(__xludf.DUMMYFUNCTION("SPLIT(A730, "" |"")"),728.0)</f>
        <v>728</v>
      </c>
      <c r="G734" s="19">
        <f>IFERROR(__xludf.DUMMYFUNCTION("""COMPUTED_VALUE"""),0.00237)</f>
        <v>0.00237</v>
      </c>
      <c r="H734" s="19" t="str">
        <f>IFERROR(__xludf.DUMMYFUNCTION("""COMPUTED_VALUE"""),"-")</f>
        <v>-</v>
      </c>
      <c r="I734" s="19">
        <f>IFERROR(__xludf.DUMMYFUNCTION("""COMPUTED_VALUE"""),0.00218)</f>
        <v>0.00218</v>
      </c>
      <c r="J734" s="19">
        <f>IFERROR(__xludf.DUMMYFUNCTION("""COMPUTED_VALUE"""),0.03995)</f>
        <v>0.03995</v>
      </c>
      <c r="K734" s="19" t="str">
        <f>IFERROR(__xludf.DUMMYFUNCTION("""COMPUTED_VALUE"""),"-")</f>
        <v>-</v>
      </c>
      <c r="L734" s="19">
        <f>IFERROR(__xludf.DUMMYFUNCTION("""COMPUTED_VALUE"""),0.04749)</f>
        <v>0.04749</v>
      </c>
      <c r="O734" s="24">
        <f t="shared" si="4"/>
        <v>0</v>
      </c>
      <c r="P734" s="24"/>
      <c r="Q734" s="24">
        <f t="shared" si="6"/>
        <v>0</v>
      </c>
      <c r="R734" s="24">
        <f t="shared" si="7"/>
        <v>1</v>
      </c>
      <c r="S734" s="24"/>
      <c r="T734" s="24">
        <f t="shared" si="9"/>
        <v>0</v>
      </c>
    </row>
    <row r="735">
      <c r="A735" s="12" t="s">
        <v>824</v>
      </c>
      <c r="F735" s="19">
        <f>IFERROR(__xludf.DUMMYFUNCTION("SPLIT(A731, "" |"")"),729.0)</f>
        <v>729</v>
      </c>
      <c r="G735" s="19">
        <f>IFERROR(__xludf.DUMMYFUNCTION("""COMPUTED_VALUE"""),0.00235)</f>
        <v>0.00235</v>
      </c>
      <c r="H735" s="19" t="str">
        <f>IFERROR(__xludf.DUMMYFUNCTION("""COMPUTED_VALUE"""),"-")</f>
        <v>-</v>
      </c>
      <c r="I735" s="19">
        <f>IFERROR(__xludf.DUMMYFUNCTION("""COMPUTED_VALUE"""),0.00218)</f>
        <v>0.00218</v>
      </c>
      <c r="J735" s="19">
        <f>IFERROR(__xludf.DUMMYFUNCTION("""COMPUTED_VALUE"""),0.04751)</f>
        <v>0.04751</v>
      </c>
      <c r="K735" s="19" t="str">
        <f>IFERROR(__xludf.DUMMYFUNCTION("""COMPUTED_VALUE"""),"-")</f>
        <v>-</v>
      </c>
      <c r="L735" s="19">
        <f>IFERROR(__xludf.DUMMYFUNCTION("""COMPUTED_VALUE"""),0.04571)</f>
        <v>0.04571</v>
      </c>
      <c r="O735" s="24">
        <f t="shared" si="4"/>
        <v>0</v>
      </c>
      <c r="P735" s="24"/>
      <c r="Q735" s="24">
        <f t="shared" si="6"/>
        <v>0</v>
      </c>
      <c r="R735" s="24">
        <f t="shared" si="7"/>
        <v>0</v>
      </c>
      <c r="S735" s="24"/>
      <c r="T735" s="24">
        <f t="shared" si="9"/>
        <v>0</v>
      </c>
    </row>
    <row r="736">
      <c r="A736" s="12" t="s">
        <v>825</v>
      </c>
      <c r="F736" s="19">
        <f>IFERROR(__xludf.DUMMYFUNCTION("SPLIT(A732, "" |"")"),730.0)</f>
        <v>730</v>
      </c>
      <c r="G736" s="19">
        <f>IFERROR(__xludf.DUMMYFUNCTION("""COMPUTED_VALUE"""),0.0024)</f>
        <v>0.0024</v>
      </c>
      <c r="H736" s="19" t="str">
        <f>IFERROR(__xludf.DUMMYFUNCTION("""COMPUTED_VALUE"""),"-")</f>
        <v>-</v>
      </c>
      <c r="I736" s="19">
        <f>IFERROR(__xludf.DUMMYFUNCTION("""COMPUTED_VALUE"""),0.00225)</f>
        <v>0.00225</v>
      </c>
      <c r="J736" s="19">
        <f>IFERROR(__xludf.DUMMYFUNCTION("""COMPUTED_VALUE"""),0.04738)</f>
        <v>0.04738</v>
      </c>
      <c r="K736" s="19" t="str">
        <f>IFERROR(__xludf.DUMMYFUNCTION("""COMPUTED_VALUE"""),"-")</f>
        <v>-</v>
      </c>
      <c r="L736" s="19">
        <f>IFERROR(__xludf.DUMMYFUNCTION("""COMPUTED_VALUE"""),0.04763)</f>
        <v>0.04763</v>
      </c>
      <c r="O736" s="24">
        <f t="shared" si="4"/>
        <v>0</v>
      </c>
      <c r="P736" s="24"/>
      <c r="Q736" s="24">
        <f t="shared" si="6"/>
        <v>0</v>
      </c>
      <c r="R736" s="24">
        <f t="shared" si="7"/>
        <v>0</v>
      </c>
      <c r="S736" s="24"/>
      <c r="T736" s="24">
        <f t="shared" si="9"/>
        <v>0</v>
      </c>
    </row>
    <row r="737">
      <c r="A737" s="12" t="s">
        <v>826</v>
      </c>
      <c r="F737" s="19">
        <f>IFERROR(__xludf.DUMMYFUNCTION("SPLIT(A733, "" |"")"),731.0)</f>
        <v>731</v>
      </c>
      <c r="G737" s="19">
        <f>IFERROR(__xludf.DUMMYFUNCTION("""COMPUTED_VALUE"""),0.00237)</f>
        <v>0.00237</v>
      </c>
      <c r="H737" s="19" t="str">
        <f>IFERROR(__xludf.DUMMYFUNCTION("""COMPUTED_VALUE"""),"-")</f>
        <v>-</v>
      </c>
      <c r="I737" s="19">
        <f>IFERROR(__xludf.DUMMYFUNCTION("""COMPUTED_VALUE"""),0.0022)</f>
        <v>0.0022</v>
      </c>
      <c r="J737" s="19">
        <f>IFERROR(__xludf.DUMMYFUNCTION("""COMPUTED_VALUE"""),0.04535)</f>
        <v>0.04535</v>
      </c>
      <c r="K737" s="19" t="str">
        <f>IFERROR(__xludf.DUMMYFUNCTION("""COMPUTED_VALUE"""),"-")</f>
        <v>-</v>
      </c>
      <c r="L737" s="19">
        <f>IFERROR(__xludf.DUMMYFUNCTION("""COMPUTED_VALUE"""),0.04752)</f>
        <v>0.04752</v>
      </c>
      <c r="O737" s="24">
        <f t="shared" si="4"/>
        <v>0</v>
      </c>
      <c r="P737" s="24"/>
      <c r="Q737" s="24">
        <f t="shared" si="6"/>
        <v>0</v>
      </c>
      <c r="R737" s="24">
        <f t="shared" si="7"/>
        <v>0</v>
      </c>
      <c r="S737" s="24"/>
      <c r="T737" s="24">
        <f t="shared" si="9"/>
        <v>0</v>
      </c>
    </row>
    <row r="738">
      <c r="A738" s="12" t="s">
        <v>827</v>
      </c>
      <c r="F738" s="19">
        <f>IFERROR(__xludf.DUMMYFUNCTION("SPLIT(A734, "" |"")"),732.0)</f>
        <v>732</v>
      </c>
      <c r="G738" s="19">
        <f>IFERROR(__xludf.DUMMYFUNCTION("""COMPUTED_VALUE"""),0.00224)</f>
        <v>0.00224</v>
      </c>
      <c r="H738" s="19" t="str">
        <f>IFERROR(__xludf.DUMMYFUNCTION("""COMPUTED_VALUE"""),"-")</f>
        <v>-</v>
      </c>
      <c r="I738" s="19">
        <f>IFERROR(__xludf.DUMMYFUNCTION("""COMPUTED_VALUE"""),0.00231)</f>
        <v>0.00231</v>
      </c>
      <c r="J738" s="19">
        <f>IFERROR(__xludf.DUMMYFUNCTION("""COMPUTED_VALUE"""),0.04689)</f>
        <v>0.04689</v>
      </c>
      <c r="K738" s="19" t="str">
        <f>IFERROR(__xludf.DUMMYFUNCTION("""COMPUTED_VALUE"""),"-")</f>
        <v>-</v>
      </c>
      <c r="L738" s="19">
        <f>IFERROR(__xludf.DUMMYFUNCTION("""COMPUTED_VALUE"""),0.04766)</f>
        <v>0.04766</v>
      </c>
      <c r="O738" s="24">
        <f t="shared" si="4"/>
        <v>0</v>
      </c>
      <c r="P738" s="24"/>
      <c r="Q738" s="24">
        <f t="shared" si="6"/>
        <v>0</v>
      </c>
      <c r="R738" s="24">
        <f t="shared" si="7"/>
        <v>0</v>
      </c>
      <c r="S738" s="24"/>
      <c r="T738" s="24">
        <f t="shared" si="9"/>
        <v>0</v>
      </c>
    </row>
    <row r="739">
      <c r="A739" s="12" t="s">
        <v>828</v>
      </c>
      <c r="F739" s="19">
        <f>IFERROR(__xludf.DUMMYFUNCTION("SPLIT(A735, "" |"")"),733.0)</f>
        <v>733</v>
      </c>
      <c r="G739" s="19">
        <f>IFERROR(__xludf.DUMMYFUNCTION("""COMPUTED_VALUE"""),0.00236)</f>
        <v>0.00236</v>
      </c>
      <c r="H739" s="19" t="str">
        <f>IFERROR(__xludf.DUMMYFUNCTION("""COMPUTED_VALUE"""),"-")</f>
        <v>-</v>
      </c>
      <c r="I739" s="19">
        <f>IFERROR(__xludf.DUMMYFUNCTION("""COMPUTED_VALUE"""),0.00223)</f>
        <v>0.00223</v>
      </c>
      <c r="J739" s="19">
        <f>IFERROR(__xludf.DUMMYFUNCTION("""COMPUTED_VALUE"""),0.04749)</f>
        <v>0.04749</v>
      </c>
      <c r="K739" s="19" t="str">
        <f>IFERROR(__xludf.DUMMYFUNCTION("""COMPUTED_VALUE"""),"-")</f>
        <v>-</v>
      </c>
      <c r="L739" s="19">
        <f>IFERROR(__xludf.DUMMYFUNCTION("""COMPUTED_VALUE"""),0.04768)</f>
        <v>0.04768</v>
      </c>
      <c r="O739" s="24">
        <f t="shared" si="4"/>
        <v>0</v>
      </c>
      <c r="P739" s="24"/>
      <c r="Q739" s="24">
        <f t="shared" si="6"/>
        <v>0</v>
      </c>
      <c r="R739" s="24">
        <f t="shared" si="7"/>
        <v>0</v>
      </c>
      <c r="S739" s="24"/>
      <c r="T739" s="24">
        <f t="shared" si="9"/>
        <v>0</v>
      </c>
    </row>
    <row r="740">
      <c r="A740" s="12" t="s">
        <v>829</v>
      </c>
      <c r="F740" s="19">
        <f>IFERROR(__xludf.DUMMYFUNCTION("SPLIT(A736, "" |"")"),734.0)</f>
        <v>734</v>
      </c>
      <c r="G740" s="19">
        <f>IFERROR(__xludf.DUMMYFUNCTION("""COMPUTED_VALUE"""),0.00235)</f>
        <v>0.00235</v>
      </c>
      <c r="H740" s="19" t="str">
        <f>IFERROR(__xludf.DUMMYFUNCTION("""COMPUTED_VALUE"""),"-")</f>
        <v>-</v>
      </c>
      <c r="I740" s="19">
        <f>IFERROR(__xludf.DUMMYFUNCTION("""COMPUTED_VALUE"""),0.00221)</f>
        <v>0.00221</v>
      </c>
      <c r="J740" s="19">
        <f>IFERROR(__xludf.DUMMYFUNCTION("""COMPUTED_VALUE"""),0.04661)</f>
        <v>0.04661</v>
      </c>
      <c r="K740" s="19" t="str">
        <f>IFERROR(__xludf.DUMMYFUNCTION("""COMPUTED_VALUE"""),"-")</f>
        <v>-</v>
      </c>
      <c r="L740" s="19">
        <f>IFERROR(__xludf.DUMMYFUNCTION("""COMPUTED_VALUE"""),0.0476)</f>
        <v>0.0476</v>
      </c>
      <c r="O740" s="24">
        <f t="shared" si="4"/>
        <v>0</v>
      </c>
      <c r="P740" s="24"/>
      <c r="Q740" s="24">
        <f t="shared" si="6"/>
        <v>0</v>
      </c>
      <c r="R740" s="24">
        <f t="shared" si="7"/>
        <v>0</v>
      </c>
      <c r="S740" s="24"/>
      <c r="T740" s="24">
        <f t="shared" si="9"/>
        <v>0</v>
      </c>
    </row>
    <row r="741">
      <c r="A741" s="12" t="s">
        <v>830</v>
      </c>
      <c r="F741" s="19">
        <f>IFERROR(__xludf.DUMMYFUNCTION("SPLIT(A737, "" |"")"),735.0)</f>
        <v>735</v>
      </c>
      <c r="G741" s="19">
        <f>IFERROR(__xludf.DUMMYFUNCTION("""COMPUTED_VALUE"""),0.00234)</f>
        <v>0.00234</v>
      </c>
      <c r="H741" s="19" t="str">
        <f>IFERROR(__xludf.DUMMYFUNCTION("""COMPUTED_VALUE"""),"-")</f>
        <v>-</v>
      </c>
      <c r="I741" s="19">
        <f>IFERROR(__xludf.DUMMYFUNCTION("""COMPUTED_VALUE"""),0.00217)</f>
        <v>0.00217</v>
      </c>
      <c r="J741" s="19">
        <f>IFERROR(__xludf.DUMMYFUNCTION("""COMPUTED_VALUE"""),0.04634)</f>
        <v>0.04634</v>
      </c>
      <c r="K741" s="19" t="str">
        <f>IFERROR(__xludf.DUMMYFUNCTION("""COMPUTED_VALUE"""),"-")</f>
        <v>-</v>
      </c>
      <c r="L741" s="19">
        <f>IFERROR(__xludf.DUMMYFUNCTION("""COMPUTED_VALUE"""),0.04763)</f>
        <v>0.04763</v>
      </c>
      <c r="O741" s="24">
        <f t="shared" si="4"/>
        <v>0</v>
      </c>
      <c r="P741" s="24"/>
      <c r="Q741" s="24">
        <f t="shared" si="6"/>
        <v>0</v>
      </c>
      <c r="R741" s="24">
        <f t="shared" si="7"/>
        <v>0</v>
      </c>
      <c r="S741" s="24"/>
      <c r="T741" s="24">
        <f t="shared" si="9"/>
        <v>0</v>
      </c>
    </row>
    <row r="742">
      <c r="A742" s="12" t="s">
        <v>831</v>
      </c>
      <c r="F742" s="19">
        <f>IFERROR(__xludf.DUMMYFUNCTION("SPLIT(A738, "" |"")"),736.0)</f>
        <v>736</v>
      </c>
      <c r="G742" s="19">
        <f>IFERROR(__xludf.DUMMYFUNCTION("""COMPUTED_VALUE"""),0.00235)</f>
        <v>0.00235</v>
      </c>
      <c r="H742" s="19" t="str">
        <f>IFERROR(__xludf.DUMMYFUNCTION("""COMPUTED_VALUE"""),"-")</f>
        <v>-</v>
      </c>
      <c r="I742" s="19">
        <f>IFERROR(__xludf.DUMMYFUNCTION("""COMPUTED_VALUE"""),0.0022)</f>
        <v>0.0022</v>
      </c>
      <c r="J742" s="19">
        <f>IFERROR(__xludf.DUMMYFUNCTION("""COMPUTED_VALUE"""),0.04742)</f>
        <v>0.04742</v>
      </c>
      <c r="K742" s="19" t="str">
        <f>IFERROR(__xludf.DUMMYFUNCTION("""COMPUTED_VALUE"""),"-")</f>
        <v>-</v>
      </c>
      <c r="L742" s="19">
        <f>IFERROR(__xludf.DUMMYFUNCTION("""COMPUTED_VALUE"""),0.04756)</f>
        <v>0.04756</v>
      </c>
      <c r="O742" s="24">
        <f t="shared" si="4"/>
        <v>0</v>
      </c>
      <c r="P742" s="24"/>
      <c r="Q742" s="24">
        <f t="shared" si="6"/>
        <v>0</v>
      </c>
      <c r="R742" s="24">
        <f t="shared" si="7"/>
        <v>0</v>
      </c>
      <c r="S742" s="24"/>
      <c r="T742" s="24">
        <f t="shared" si="9"/>
        <v>0</v>
      </c>
    </row>
    <row r="743">
      <c r="A743" s="12" t="s">
        <v>832</v>
      </c>
      <c r="F743" s="19">
        <f>IFERROR(__xludf.DUMMYFUNCTION("SPLIT(A739, "" |"")"),737.0)</f>
        <v>737</v>
      </c>
      <c r="G743" s="19">
        <f>IFERROR(__xludf.DUMMYFUNCTION("""COMPUTED_VALUE"""),0.00237)</f>
        <v>0.00237</v>
      </c>
      <c r="H743" s="19" t="str">
        <f>IFERROR(__xludf.DUMMYFUNCTION("""COMPUTED_VALUE"""),"-")</f>
        <v>-</v>
      </c>
      <c r="I743" s="19">
        <f>IFERROR(__xludf.DUMMYFUNCTION("""COMPUTED_VALUE"""),0.00215)</f>
        <v>0.00215</v>
      </c>
      <c r="J743" s="19">
        <f>IFERROR(__xludf.DUMMYFUNCTION("""COMPUTED_VALUE"""),0.04747)</f>
        <v>0.04747</v>
      </c>
      <c r="K743" s="19" t="str">
        <f>IFERROR(__xludf.DUMMYFUNCTION("""COMPUTED_VALUE"""),"-")</f>
        <v>-</v>
      </c>
      <c r="L743" s="19">
        <f>IFERROR(__xludf.DUMMYFUNCTION("""COMPUTED_VALUE"""),0.0476)</f>
        <v>0.0476</v>
      </c>
      <c r="O743" s="24">
        <f t="shared" si="4"/>
        <v>0</v>
      </c>
      <c r="P743" s="24"/>
      <c r="Q743" s="24">
        <f t="shared" si="6"/>
        <v>0</v>
      </c>
      <c r="R743" s="24">
        <f t="shared" si="7"/>
        <v>0</v>
      </c>
      <c r="S743" s="24"/>
      <c r="T743" s="24">
        <f t="shared" si="9"/>
        <v>0</v>
      </c>
    </row>
    <row r="744">
      <c r="A744" s="12" t="s">
        <v>833</v>
      </c>
      <c r="F744" s="19">
        <f>IFERROR(__xludf.DUMMYFUNCTION("SPLIT(A740, "" |"")"),738.0)</f>
        <v>738</v>
      </c>
      <c r="G744" s="19">
        <f>IFERROR(__xludf.DUMMYFUNCTION("""COMPUTED_VALUE"""),0.00239)</f>
        <v>0.00239</v>
      </c>
      <c r="H744" s="19" t="str">
        <f>IFERROR(__xludf.DUMMYFUNCTION("""COMPUTED_VALUE"""),"-")</f>
        <v>-</v>
      </c>
      <c r="I744" s="19">
        <f>IFERROR(__xludf.DUMMYFUNCTION("""COMPUTED_VALUE"""),0.00222)</f>
        <v>0.00222</v>
      </c>
      <c r="J744" s="19">
        <f>IFERROR(__xludf.DUMMYFUNCTION("""COMPUTED_VALUE"""),0.04749)</f>
        <v>0.04749</v>
      </c>
      <c r="K744" s="19" t="str">
        <f>IFERROR(__xludf.DUMMYFUNCTION("""COMPUTED_VALUE"""),"-")</f>
        <v>-</v>
      </c>
      <c r="L744" s="19">
        <f>IFERROR(__xludf.DUMMYFUNCTION("""COMPUTED_VALUE"""),0.04759)</f>
        <v>0.04759</v>
      </c>
      <c r="O744" s="24">
        <f t="shared" si="4"/>
        <v>0</v>
      </c>
      <c r="P744" s="24"/>
      <c r="Q744" s="24">
        <f t="shared" si="6"/>
        <v>0</v>
      </c>
      <c r="R744" s="24">
        <f t="shared" si="7"/>
        <v>0</v>
      </c>
      <c r="S744" s="24"/>
      <c r="T744" s="24">
        <f t="shared" si="9"/>
        <v>0</v>
      </c>
    </row>
    <row r="745">
      <c r="A745" s="12" t="s">
        <v>834</v>
      </c>
      <c r="F745" s="19">
        <f>IFERROR(__xludf.DUMMYFUNCTION("SPLIT(A741, "" |"")"),739.0)</f>
        <v>739</v>
      </c>
      <c r="G745" s="19">
        <f>IFERROR(__xludf.DUMMYFUNCTION("""COMPUTED_VALUE"""),0.00242)</f>
        <v>0.00242</v>
      </c>
      <c r="H745" s="19" t="str">
        <f>IFERROR(__xludf.DUMMYFUNCTION("""COMPUTED_VALUE"""),"-")</f>
        <v>-</v>
      </c>
      <c r="I745" s="19">
        <f>IFERROR(__xludf.DUMMYFUNCTION("""COMPUTED_VALUE"""),0.00222)</f>
        <v>0.00222</v>
      </c>
      <c r="J745" s="19">
        <f>IFERROR(__xludf.DUMMYFUNCTION("""COMPUTED_VALUE"""),0.04752)</f>
        <v>0.04752</v>
      </c>
      <c r="K745" s="19" t="str">
        <f>IFERROR(__xludf.DUMMYFUNCTION("""COMPUTED_VALUE"""),"-")</f>
        <v>-</v>
      </c>
      <c r="L745" s="19">
        <f>IFERROR(__xludf.DUMMYFUNCTION("""COMPUTED_VALUE"""),0.04767)</f>
        <v>0.04767</v>
      </c>
      <c r="O745" s="24">
        <f t="shared" si="4"/>
        <v>0</v>
      </c>
      <c r="P745" s="24"/>
      <c r="Q745" s="24">
        <f t="shared" si="6"/>
        <v>0</v>
      </c>
      <c r="R745" s="24">
        <f t="shared" si="7"/>
        <v>0</v>
      </c>
      <c r="S745" s="24"/>
      <c r="T745" s="24">
        <f t="shared" si="9"/>
        <v>0</v>
      </c>
    </row>
    <row r="746">
      <c r="A746" s="12" t="s">
        <v>835</v>
      </c>
      <c r="F746" s="19">
        <f>IFERROR(__xludf.DUMMYFUNCTION("SPLIT(A742, "" |"")"),740.0)</f>
        <v>740</v>
      </c>
      <c r="G746" s="19">
        <f>IFERROR(__xludf.DUMMYFUNCTION("""COMPUTED_VALUE"""),0.0025)</f>
        <v>0.0025</v>
      </c>
      <c r="H746" s="19" t="str">
        <f>IFERROR(__xludf.DUMMYFUNCTION("""COMPUTED_VALUE"""),"-")</f>
        <v>-</v>
      </c>
      <c r="I746" s="19">
        <f>IFERROR(__xludf.DUMMYFUNCTION("""COMPUTED_VALUE"""),0.00226)</f>
        <v>0.00226</v>
      </c>
      <c r="J746" s="19">
        <f>IFERROR(__xludf.DUMMYFUNCTION("""COMPUTED_VALUE"""),0.04752)</f>
        <v>0.04752</v>
      </c>
      <c r="K746" s="19" t="str">
        <f>IFERROR(__xludf.DUMMYFUNCTION("""COMPUTED_VALUE"""),"-")</f>
        <v>-</v>
      </c>
      <c r="L746" s="19">
        <f>IFERROR(__xludf.DUMMYFUNCTION("""COMPUTED_VALUE"""),0.04685)</f>
        <v>0.04685</v>
      </c>
      <c r="O746" s="24">
        <f t="shared" si="4"/>
        <v>0</v>
      </c>
      <c r="P746" s="24"/>
      <c r="Q746" s="24">
        <f t="shared" si="6"/>
        <v>0</v>
      </c>
      <c r="R746" s="24">
        <f t="shared" si="7"/>
        <v>0</v>
      </c>
      <c r="S746" s="24"/>
      <c r="T746" s="24">
        <f t="shared" si="9"/>
        <v>0</v>
      </c>
    </row>
    <row r="747">
      <c r="A747" s="12" t="s">
        <v>836</v>
      </c>
      <c r="F747" s="19">
        <f>IFERROR(__xludf.DUMMYFUNCTION("SPLIT(A743, "" |"")"),741.0)</f>
        <v>741</v>
      </c>
      <c r="G747" s="19">
        <f>IFERROR(__xludf.DUMMYFUNCTION("""COMPUTED_VALUE"""),0.00235)</f>
        <v>0.00235</v>
      </c>
      <c r="H747" s="19" t="str">
        <f>IFERROR(__xludf.DUMMYFUNCTION("""COMPUTED_VALUE"""),"-")</f>
        <v>-</v>
      </c>
      <c r="I747" s="19">
        <f>IFERROR(__xludf.DUMMYFUNCTION("""COMPUTED_VALUE"""),0.0023)</f>
        <v>0.0023</v>
      </c>
      <c r="J747" s="19">
        <f>IFERROR(__xludf.DUMMYFUNCTION("""COMPUTED_VALUE"""),0.04753)</f>
        <v>0.04753</v>
      </c>
      <c r="K747" s="19" t="str">
        <f>IFERROR(__xludf.DUMMYFUNCTION("""COMPUTED_VALUE"""),"-")</f>
        <v>-</v>
      </c>
      <c r="L747" s="19">
        <f>IFERROR(__xludf.DUMMYFUNCTION("""COMPUTED_VALUE"""),0.0477)</f>
        <v>0.0477</v>
      </c>
      <c r="O747" s="24">
        <f t="shared" si="4"/>
        <v>0</v>
      </c>
      <c r="P747" s="24"/>
      <c r="Q747" s="24">
        <f t="shared" si="6"/>
        <v>0</v>
      </c>
      <c r="R747" s="24">
        <f t="shared" si="7"/>
        <v>0</v>
      </c>
      <c r="S747" s="24"/>
      <c r="T747" s="24">
        <f t="shared" si="9"/>
        <v>0</v>
      </c>
    </row>
    <row r="748">
      <c r="A748" s="12" t="s">
        <v>837</v>
      </c>
      <c r="F748" s="19">
        <f>IFERROR(__xludf.DUMMYFUNCTION("SPLIT(A744, "" |"")"),742.0)</f>
        <v>742</v>
      </c>
      <c r="G748" s="19">
        <f>IFERROR(__xludf.DUMMYFUNCTION("""COMPUTED_VALUE"""),0.00235)</f>
        <v>0.00235</v>
      </c>
      <c r="H748" s="19" t="str">
        <f>IFERROR(__xludf.DUMMYFUNCTION("""COMPUTED_VALUE"""),"-")</f>
        <v>-</v>
      </c>
      <c r="I748" s="19">
        <f>IFERROR(__xludf.DUMMYFUNCTION("""COMPUTED_VALUE"""),0.00221)</f>
        <v>0.00221</v>
      </c>
      <c r="J748" s="19">
        <f>IFERROR(__xludf.DUMMYFUNCTION("""COMPUTED_VALUE"""),0.04749)</f>
        <v>0.04749</v>
      </c>
      <c r="K748" s="19" t="str">
        <f>IFERROR(__xludf.DUMMYFUNCTION("""COMPUTED_VALUE"""),"-")</f>
        <v>-</v>
      </c>
      <c r="L748" s="19">
        <f>IFERROR(__xludf.DUMMYFUNCTION("""COMPUTED_VALUE"""),0.04766)</f>
        <v>0.04766</v>
      </c>
      <c r="O748" s="24">
        <f t="shared" si="4"/>
        <v>0</v>
      </c>
      <c r="P748" s="24"/>
      <c r="Q748" s="24">
        <f t="shared" si="6"/>
        <v>0</v>
      </c>
      <c r="R748" s="24">
        <f t="shared" si="7"/>
        <v>0</v>
      </c>
      <c r="S748" s="24"/>
      <c r="T748" s="24">
        <f t="shared" si="9"/>
        <v>0</v>
      </c>
    </row>
    <row r="749">
      <c r="A749" s="12" t="s">
        <v>838</v>
      </c>
      <c r="F749" s="19">
        <f>IFERROR(__xludf.DUMMYFUNCTION("SPLIT(A745, "" |"")"),743.0)</f>
        <v>743</v>
      </c>
      <c r="G749" s="19">
        <f>IFERROR(__xludf.DUMMYFUNCTION("""COMPUTED_VALUE"""),0.00239)</f>
        <v>0.00239</v>
      </c>
      <c r="H749" s="19" t="str">
        <f>IFERROR(__xludf.DUMMYFUNCTION("""COMPUTED_VALUE"""),"-")</f>
        <v>-</v>
      </c>
      <c r="I749" s="19">
        <f>IFERROR(__xludf.DUMMYFUNCTION("""COMPUTED_VALUE"""),0.00216)</f>
        <v>0.00216</v>
      </c>
      <c r="J749" s="19">
        <f>IFERROR(__xludf.DUMMYFUNCTION("""COMPUTED_VALUE"""),0.04579)</f>
        <v>0.04579</v>
      </c>
      <c r="K749" s="19" t="str">
        <f>IFERROR(__xludf.DUMMYFUNCTION("""COMPUTED_VALUE"""),"-")</f>
        <v>-</v>
      </c>
      <c r="L749" s="19">
        <f>IFERROR(__xludf.DUMMYFUNCTION("""COMPUTED_VALUE"""),0.04761)</f>
        <v>0.04761</v>
      </c>
      <c r="O749" s="24">
        <f t="shared" si="4"/>
        <v>0</v>
      </c>
      <c r="P749" s="24"/>
      <c r="Q749" s="24">
        <f t="shared" si="6"/>
        <v>0</v>
      </c>
      <c r="R749" s="24">
        <f t="shared" si="7"/>
        <v>0</v>
      </c>
      <c r="S749" s="24"/>
      <c r="T749" s="24">
        <f t="shared" si="9"/>
        <v>0</v>
      </c>
    </row>
    <row r="750">
      <c r="A750" s="12" t="s">
        <v>839</v>
      </c>
      <c r="F750" s="19">
        <f>IFERROR(__xludf.DUMMYFUNCTION("SPLIT(A746, "" |"")"),744.0)</f>
        <v>744</v>
      </c>
      <c r="G750" s="19">
        <f>IFERROR(__xludf.DUMMYFUNCTION("""COMPUTED_VALUE"""),0.00241)</f>
        <v>0.00241</v>
      </c>
      <c r="H750" s="19" t="str">
        <f>IFERROR(__xludf.DUMMYFUNCTION("""COMPUTED_VALUE"""),"-")</f>
        <v>-</v>
      </c>
      <c r="I750" s="19">
        <f>IFERROR(__xludf.DUMMYFUNCTION("""COMPUTED_VALUE"""),0.00221)</f>
        <v>0.00221</v>
      </c>
      <c r="J750" s="19">
        <f>IFERROR(__xludf.DUMMYFUNCTION("""COMPUTED_VALUE"""),0.04749)</f>
        <v>0.04749</v>
      </c>
      <c r="K750" s="19" t="str">
        <f>IFERROR(__xludf.DUMMYFUNCTION("""COMPUTED_VALUE"""),"-")</f>
        <v>-</v>
      </c>
      <c r="L750" s="19">
        <f>IFERROR(__xludf.DUMMYFUNCTION("""COMPUTED_VALUE"""),0.04678)</f>
        <v>0.04678</v>
      </c>
      <c r="O750" s="24">
        <f t="shared" si="4"/>
        <v>0</v>
      </c>
      <c r="P750" s="24"/>
      <c r="Q750" s="24">
        <f t="shared" si="6"/>
        <v>0</v>
      </c>
      <c r="R750" s="24">
        <f t="shared" si="7"/>
        <v>0</v>
      </c>
      <c r="S750" s="24"/>
      <c r="T750" s="24">
        <f t="shared" si="9"/>
        <v>0</v>
      </c>
    </row>
    <row r="751">
      <c r="A751" s="12" t="s">
        <v>840</v>
      </c>
      <c r="F751" s="19">
        <f>IFERROR(__xludf.DUMMYFUNCTION("SPLIT(A747, "" |"")"),745.0)</f>
        <v>745</v>
      </c>
      <c r="G751" s="19">
        <f>IFERROR(__xludf.DUMMYFUNCTION("""COMPUTED_VALUE"""),0.00237)</f>
        <v>0.00237</v>
      </c>
      <c r="H751" s="19" t="str">
        <f>IFERROR(__xludf.DUMMYFUNCTION("""COMPUTED_VALUE"""),"-")</f>
        <v>-</v>
      </c>
      <c r="I751" s="19">
        <f>IFERROR(__xludf.DUMMYFUNCTION("""COMPUTED_VALUE"""),0.00225)</f>
        <v>0.00225</v>
      </c>
      <c r="J751" s="19">
        <f>IFERROR(__xludf.DUMMYFUNCTION("""COMPUTED_VALUE"""),0.04739)</f>
        <v>0.04739</v>
      </c>
      <c r="K751" s="19" t="str">
        <f>IFERROR(__xludf.DUMMYFUNCTION("""COMPUTED_VALUE"""),"-")</f>
        <v>-</v>
      </c>
      <c r="L751" s="19">
        <f>IFERROR(__xludf.DUMMYFUNCTION("""COMPUTED_VALUE"""),0.04771)</f>
        <v>0.04771</v>
      </c>
      <c r="O751" s="24">
        <f t="shared" si="4"/>
        <v>0</v>
      </c>
      <c r="P751" s="24"/>
      <c r="Q751" s="24">
        <f t="shared" si="6"/>
        <v>0</v>
      </c>
      <c r="R751" s="24">
        <f t="shared" si="7"/>
        <v>0</v>
      </c>
      <c r="S751" s="24"/>
      <c r="T751" s="24">
        <f t="shared" si="9"/>
        <v>0</v>
      </c>
    </row>
    <row r="752">
      <c r="A752" s="12" t="s">
        <v>841</v>
      </c>
      <c r="F752" s="19">
        <f>IFERROR(__xludf.DUMMYFUNCTION("SPLIT(A748, "" |"")"),746.0)</f>
        <v>746</v>
      </c>
      <c r="G752" s="19">
        <f>IFERROR(__xludf.DUMMYFUNCTION("""COMPUTED_VALUE"""),0.00244)</f>
        <v>0.00244</v>
      </c>
      <c r="H752" s="19" t="str">
        <f>IFERROR(__xludf.DUMMYFUNCTION("""COMPUTED_VALUE"""),"-")</f>
        <v>-</v>
      </c>
      <c r="I752" s="19">
        <f>IFERROR(__xludf.DUMMYFUNCTION("""COMPUTED_VALUE"""),0.00227)</f>
        <v>0.00227</v>
      </c>
      <c r="J752" s="19">
        <f>IFERROR(__xludf.DUMMYFUNCTION("""COMPUTED_VALUE"""),0.04749)</f>
        <v>0.04749</v>
      </c>
      <c r="K752" s="19" t="str">
        <f>IFERROR(__xludf.DUMMYFUNCTION("""COMPUTED_VALUE"""),"-")</f>
        <v>-</v>
      </c>
      <c r="L752" s="19">
        <f>IFERROR(__xludf.DUMMYFUNCTION("""COMPUTED_VALUE"""),0.04763)</f>
        <v>0.04763</v>
      </c>
      <c r="O752" s="24">
        <f t="shared" si="4"/>
        <v>0</v>
      </c>
      <c r="P752" s="24"/>
      <c r="Q752" s="24">
        <f t="shared" si="6"/>
        <v>0</v>
      </c>
      <c r="R752" s="24">
        <f t="shared" si="7"/>
        <v>0</v>
      </c>
      <c r="S752" s="24"/>
      <c r="T752" s="24">
        <f t="shared" si="9"/>
        <v>0</v>
      </c>
    </row>
    <row r="753">
      <c r="A753" s="12" t="s">
        <v>842</v>
      </c>
      <c r="F753" s="19">
        <f>IFERROR(__xludf.DUMMYFUNCTION("SPLIT(A749, "" |"")"),747.0)</f>
        <v>747</v>
      </c>
      <c r="G753" s="19">
        <f>IFERROR(__xludf.DUMMYFUNCTION("""COMPUTED_VALUE"""),0.0025)</f>
        <v>0.0025</v>
      </c>
      <c r="H753" s="19" t="str">
        <f>IFERROR(__xludf.DUMMYFUNCTION("""COMPUTED_VALUE"""),"-")</f>
        <v>-</v>
      </c>
      <c r="I753" s="19">
        <f>IFERROR(__xludf.DUMMYFUNCTION("""COMPUTED_VALUE"""),0.00222)</f>
        <v>0.00222</v>
      </c>
      <c r="J753" s="19">
        <f>IFERROR(__xludf.DUMMYFUNCTION("""COMPUTED_VALUE"""),0.04749)</f>
        <v>0.04749</v>
      </c>
      <c r="K753" s="19" t="str">
        <f>IFERROR(__xludf.DUMMYFUNCTION("""COMPUTED_VALUE"""),"-")</f>
        <v>-</v>
      </c>
      <c r="L753" s="19">
        <f>IFERROR(__xludf.DUMMYFUNCTION("""COMPUTED_VALUE"""),0.04765)</f>
        <v>0.04765</v>
      </c>
      <c r="O753" s="24">
        <f t="shared" si="4"/>
        <v>0</v>
      </c>
      <c r="P753" s="24"/>
      <c r="Q753" s="24">
        <f t="shared" si="6"/>
        <v>0</v>
      </c>
      <c r="R753" s="24">
        <f t="shared" si="7"/>
        <v>0</v>
      </c>
      <c r="S753" s="24"/>
      <c r="T753" s="24">
        <f t="shared" si="9"/>
        <v>0</v>
      </c>
    </row>
    <row r="754">
      <c r="A754" s="12" t="s">
        <v>843</v>
      </c>
      <c r="F754" s="19">
        <f>IFERROR(__xludf.DUMMYFUNCTION("SPLIT(A750, "" |"")"),748.0)</f>
        <v>748</v>
      </c>
      <c r="G754" s="19">
        <f>IFERROR(__xludf.DUMMYFUNCTION("""COMPUTED_VALUE"""),0.00233)</f>
        <v>0.00233</v>
      </c>
      <c r="H754" s="19" t="str">
        <f>IFERROR(__xludf.DUMMYFUNCTION("""COMPUTED_VALUE"""),"-")</f>
        <v>-</v>
      </c>
      <c r="I754" s="19">
        <f>IFERROR(__xludf.DUMMYFUNCTION("""COMPUTED_VALUE"""),0.00222)</f>
        <v>0.00222</v>
      </c>
      <c r="J754" s="19">
        <f>IFERROR(__xludf.DUMMYFUNCTION("""COMPUTED_VALUE"""),0.04745)</f>
        <v>0.04745</v>
      </c>
      <c r="K754" s="19" t="str">
        <f>IFERROR(__xludf.DUMMYFUNCTION("""COMPUTED_VALUE"""),"-")</f>
        <v>-</v>
      </c>
      <c r="L754" s="19">
        <f>IFERROR(__xludf.DUMMYFUNCTION("""COMPUTED_VALUE"""),0.04752)</f>
        <v>0.04752</v>
      </c>
      <c r="O754" s="24">
        <f t="shared" si="4"/>
        <v>0</v>
      </c>
      <c r="P754" s="24"/>
      <c r="Q754" s="24">
        <f t="shared" si="6"/>
        <v>0</v>
      </c>
      <c r="R754" s="24">
        <f t="shared" si="7"/>
        <v>0</v>
      </c>
      <c r="S754" s="24"/>
      <c r="T754" s="24">
        <f t="shared" si="9"/>
        <v>0</v>
      </c>
    </row>
    <row r="755">
      <c r="A755" s="12" t="s">
        <v>844</v>
      </c>
      <c r="F755" s="19">
        <f>IFERROR(__xludf.DUMMYFUNCTION("SPLIT(A751, "" |"")"),749.0)</f>
        <v>749</v>
      </c>
      <c r="G755" s="19">
        <f>IFERROR(__xludf.DUMMYFUNCTION("""COMPUTED_VALUE"""),0.00228)</f>
        <v>0.00228</v>
      </c>
      <c r="H755" s="19" t="str">
        <f>IFERROR(__xludf.DUMMYFUNCTION("""COMPUTED_VALUE"""),"-")</f>
        <v>-</v>
      </c>
      <c r="I755" s="19">
        <f>IFERROR(__xludf.DUMMYFUNCTION("""COMPUTED_VALUE"""),0.0021)</f>
        <v>0.0021</v>
      </c>
      <c r="J755" s="19">
        <f>IFERROR(__xludf.DUMMYFUNCTION("""COMPUTED_VALUE"""),0.04724)</f>
        <v>0.04724</v>
      </c>
      <c r="K755" s="19" t="str">
        <f>IFERROR(__xludf.DUMMYFUNCTION("""COMPUTED_VALUE"""),"-")</f>
        <v>-</v>
      </c>
      <c r="L755" s="19">
        <f>IFERROR(__xludf.DUMMYFUNCTION("""COMPUTED_VALUE"""),0.03962)</f>
        <v>0.03962</v>
      </c>
      <c r="O755" s="24">
        <f t="shared" si="4"/>
        <v>0</v>
      </c>
      <c r="P755" s="24"/>
      <c r="Q755" s="24">
        <f t="shared" si="6"/>
        <v>0</v>
      </c>
      <c r="R755" s="24">
        <f t="shared" si="7"/>
        <v>0</v>
      </c>
      <c r="S755" s="24"/>
      <c r="T755" s="24">
        <f t="shared" si="9"/>
        <v>0</v>
      </c>
    </row>
    <row r="756">
      <c r="A756" s="12" t="s">
        <v>845</v>
      </c>
      <c r="F756" s="19">
        <f>IFERROR(__xludf.DUMMYFUNCTION("SPLIT(A752, "" |"")"),750.0)</f>
        <v>750</v>
      </c>
      <c r="G756" s="19">
        <f>IFERROR(__xludf.DUMMYFUNCTION("""COMPUTED_VALUE"""),0.00244)</f>
        <v>0.00244</v>
      </c>
      <c r="H756" s="19" t="str">
        <f>IFERROR(__xludf.DUMMYFUNCTION("""COMPUTED_VALUE"""),"-")</f>
        <v>-</v>
      </c>
      <c r="I756" s="19">
        <f>IFERROR(__xludf.DUMMYFUNCTION("""COMPUTED_VALUE"""),0.00222)</f>
        <v>0.00222</v>
      </c>
      <c r="J756" s="19">
        <f>IFERROR(__xludf.DUMMYFUNCTION("""COMPUTED_VALUE"""),0.04737)</f>
        <v>0.04737</v>
      </c>
      <c r="K756" s="19" t="str">
        <f>IFERROR(__xludf.DUMMYFUNCTION("""COMPUTED_VALUE"""),"-")</f>
        <v>-</v>
      </c>
      <c r="L756" s="19">
        <f>IFERROR(__xludf.DUMMYFUNCTION("""COMPUTED_VALUE"""),0.04755)</f>
        <v>0.04755</v>
      </c>
      <c r="O756" s="24">
        <f t="shared" si="4"/>
        <v>0</v>
      </c>
      <c r="P756" s="24"/>
      <c r="Q756" s="24">
        <f t="shared" si="6"/>
        <v>0</v>
      </c>
      <c r="R756" s="24">
        <f t="shared" si="7"/>
        <v>0</v>
      </c>
      <c r="S756" s="24"/>
      <c r="T756" s="24">
        <f t="shared" si="9"/>
        <v>0</v>
      </c>
    </row>
    <row r="757">
      <c r="A757" s="12" t="s">
        <v>846</v>
      </c>
      <c r="F757" s="19">
        <f>IFERROR(__xludf.DUMMYFUNCTION("SPLIT(A753, "" |"")"),751.0)</f>
        <v>751</v>
      </c>
      <c r="G757" s="19">
        <f>IFERROR(__xludf.DUMMYFUNCTION("""COMPUTED_VALUE"""),0.00238)</f>
        <v>0.00238</v>
      </c>
      <c r="H757" s="19" t="str">
        <f>IFERROR(__xludf.DUMMYFUNCTION("""COMPUTED_VALUE"""),"-")</f>
        <v>-</v>
      </c>
      <c r="I757" s="19">
        <f>IFERROR(__xludf.DUMMYFUNCTION("""COMPUTED_VALUE"""),0.00219)</f>
        <v>0.00219</v>
      </c>
      <c r="J757" s="19">
        <f>IFERROR(__xludf.DUMMYFUNCTION("""COMPUTED_VALUE"""),0.0466)</f>
        <v>0.0466</v>
      </c>
      <c r="K757" s="19" t="str">
        <f>IFERROR(__xludf.DUMMYFUNCTION("""COMPUTED_VALUE"""),"-")</f>
        <v>-</v>
      </c>
      <c r="L757" s="19">
        <f>IFERROR(__xludf.DUMMYFUNCTION("""COMPUTED_VALUE"""),0.04757)</f>
        <v>0.04757</v>
      </c>
      <c r="O757" s="24">
        <f t="shared" si="4"/>
        <v>0</v>
      </c>
      <c r="P757" s="24"/>
      <c r="Q757" s="24">
        <f t="shared" si="6"/>
        <v>0</v>
      </c>
      <c r="R757" s="24">
        <f t="shared" si="7"/>
        <v>0</v>
      </c>
      <c r="S757" s="24"/>
      <c r="T757" s="24">
        <f t="shared" si="9"/>
        <v>0</v>
      </c>
    </row>
    <row r="758">
      <c r="A758" s="12" t="s">
        <v>847</v>
      </c>
      <c r="F758" s="19">
        <f>IFERROR(__xludf.DUMMYFUNCTION("SPLIT(A754, "" |"")"),752.0)</f>
        <v>752</v>
      </c>
      <c r="G758" s="19">
        <f>IFERROR(__xludf.DUMMYFUNCTION("""COMPUTED_VALUE"""),0.0024)</f>
        <v>0.0024</v>
      </c>
      <c r="H758" s="19" t="str">
        <f>IFERROR(__xludf.DUMMYFUNCTION("""COMPUTED_VALUE"""),"-")</f>
        <v>-</v>
      </c>
      <c r="I758" s="19">
        <f>IFERROR(__xludf.DUMMYFUNCTION("""COMPUTED_VALUE"""),0.00222)</f>
        <v>0.00222</v>
      </c>
      <c r="J758" s="19">
        <f>IFERROR(__xludf.DUMMYFUNCTION("""COMPUTED_VALUE"""),0.04688)</f>
        <v>0.04688</v>
      </c>
      <c r="K758" s="19" t="str">
        <f>IFERROR(__xludf.DUMMYFUNCTION("""COMPUTED_VALUE"""),"-")</f>
        <v>-</v>
      </c>
      <c r="L758" s="19">
        <f>IFERROR(__xludf.DUMMYFUNCTION("""COMPUTED_VALUE"""),0.04751)</f>
        <v>0.04751</v>
      </c>
      <c r="O758" s="24">
        <f t="shared" si="4"/>
        <v>0</v>
      </c>
      <c r="P758" s="24"/>
      <c r="Q758" s="24">
        <f t="shared" si="6"/>
        <v>0</v>
      </c>
      <c r="R758" s="24">
        <f t="shared" si="7"/>
        <v>0</v>
      </c>
      <c r="S758" s="24"/>
      <c r="T758" s="24">
        <f t="shared" si="9"/>
        <v>0</v>
      </c>
    </row>
    <row r="759">
      <c r="A759" s="12" t="s">
        <v>848</v>
      </c>
      <c r="F759" s="19">
        <f>IFERROR(__xludf.DUMMYFUNCTION("SPLIT(A755, "" |"")"),753.0)</f>
        <v>753</v>
      </c>
      <c r="G759" s="19">
        <f>IFERROR(__xludf.DUMMYFUNCTION("""COMPUTED_VALUE"""),0.00243)</f>
        <v>0.00243</v>
      </c>
      <c r="H759" s="19" t="str">
        <f>IFERROR(__xludf.DUMMYFUNCTION("""COMPUTED_VALUE"""),"-")</f>
        <v>-</v>
      </c>
      <c r="I759" s="19">
        <f>IFERROR(__xludf.DUMMYFUNCTION("""COMPUTED_VALUE"""),0.00223)</f>
        <v>0.00223</v>
      </c>
      <c r="J759" s="19">
        <f>IFERROR(__xludf.DUMMYFUNCTION("""COMPUTED_VALUE"""),0.04668)</f>
        <v>0.04668</v>
      </c>
      <c r="K759" s="19" t="str">
        <f>IFERROR(__xludf.DUMMYFUNCTION("""COMPUTED_VALUE"""),"-")</f>
        <v>-</v>
      </c>
      <c r="L759" s="19">
        <f>IFERROR(__xludf.DUMMYFUNCTION("""COMPUTED_VALUE"""),0.04754)</f>
        <v>0.04754</v>
      </c>
      <c r="O759" s="24">
        <f t="shared" si="4"/>
        <v>0</v>
      </c>
      <c r="P759" s="24"/>
      <c r="Q759" s="24">
        <f t="shared" si="6"/>
        <v>0</v>
      </c>
      <c r="R759" s="24">
        <f t="shared" si="7"/>
        <v>0</v>
      </c>
      <c r="S759" s="24"/>
      <c r="T759" s="24">
        <f t="shared" si="9"/>
        <v>0</v>
      </c>
    </row>
    <row r="760">
      <c r="A760" s="12" t="s">
        <v>849</v>
      </c>
      <c r="F760" s="19">
        <f>IFERROR(__xludf.DUMMYFUNCTION("SPLIT(A756, "" |"")"),754.0)</f>
        <v>754</v>
      </c>
      <c r="G760" s="19">
        <f>IFERROR(__xludf.DUMMYFUNCTION("""COMPUTED_VALUE"""),0.00241)</f>
        <v>0.00241</v>
      </c>
      <c r="H760" s="19" t="str">
        <f>IFERROR(__xludf.DUMMYFUNCTION("""COMPUTED_VALUE"""),"-")</f>
        <v>-</v>
      </c>
      <c r="I760" s="19">
        <f>IFERROR(__xludf.DUMMYFUNCTION("""COMPUTED_VALUE"""),0.00222)</f>
        <v>0.00222</v>
      </c>
      <c r="J760" s="19">
        <f>IFERROR(__xludf.DUMMYFUNCTION("""COMPUTED_VALUE"""),0.0401)</f>
        <v>0.0401</v>
      </c>
      <c r="K760" s="19" t="str">
        <f>IFERROR(__xludf.DUMMYFUNCTION("""COMPUTED_VALUE"""),"-")</f>
        <v>-</v>
      </c>
      <c r="L760" s="19">
        <f>IFERROR(__xludf.DUMMYFUNCTION("""COMPUTED_VALUE"""),0.04138)</f>
        <v>0.04138</v>
      </c>
      <c r="O760" s="24">
        <f t="shared" si="4"/>
        <v>0</v>
      </c>
      <c r="P760" s="24"/>
      <c r="Q760" s="24">
        <f t="shared" si="6"/>
        <v>0</v>
      </c>
      <c r="R760" s="24">
        <f t="shared" si="7"/>
        <v>1</v>
      </c>
      <c r="S760" s="24"/>
      <c r="T760" s="24">
        <f t="shared" si="9"/>
        <v>0</v>
      </c>
    </row>
    <row r="761">
      <c r="A761" s="12" t="s">
        <v>850</v>
      </c>
      <c r="F761" s="19">
        <f>IFERROR(__xludf.DUMMYFUNCTION("SPLIT(A757, "" |"")"),755.0)</f>
        <v>755</v>
      </c>
      <c r="G761" s="19">
        <f>IFERROR(__xludf.DUMMYFUNCTION("""COMPUTED_VALUE"""),0.00238)</f>
        <v>0.00238</v>
      </c>
      <c r="H761" s="19" t="str">
        <f>IFERROR(__xludf.DUMMYFUNCTION("""COMPUTED_VALUE"""),"-")</f>
        <v>-</v>
      </c>
      <c r="I761" s="19">
        <f>IFERROR(__xludf.DUMMYFUNCTION("""COMPUTED_VALUE"""),0.00219)</f>
        <v>0.00219</v>
      </c>
      <c r="J761" s="19">
        <f>IFERROR(__xludf.DUMMYFUNCTION("""COMPUTED_VALUE"""),0.04747)</f>
        <v>0.04747</v>
      </c>
      <c r="K761" s="19" t="str">
        <f>IFERROR(__xludf.DUMMYFUNCTION("""COMPUTED_VALUE"""),"-")</f>
        <v>-</v>
      </c>
      <c r="L761" s="19">
        <f>IFERROR(__xludf.DUMMYFUNCTION("""COMPUTED_VALUE"""),0.04592)</f>
        <v>0.04592</v>
      </c>
      <c r="O761" s="24">
        <f t="shared" si="4"/>
        <v>0</v>
      </c>
      <c r="P761" s="24"/>
      <c r="Q761" s="24">
        <f t="shared" si="6"/>
        <v>0</v>
      </c>
      <c r="R761" s="24">
        <f t="shared" si="7"/>
        <v>0</v>
      </c>
      <c r="S761" s="24"/>
      <c r="T761" s="24">
        <f t="shared" si="9"/>
        <v>0</v>
      </c>
    </row>
    <row r="762">
      <c r="A762" s="12" t="s">
        <v>851</v>
      </c>
      <c r="F762" s="19">
        <f>IFERROR(__xludf.DUMMYFUNCTION("SPLIT(A758, "" |"")"),756.0)</f>
        <v>756</v>
      </c>
      <c r="G762" s="19">
        <f>IFERROR(__xludf.DUMMYFUNCTION("""COMPUTED_VALUE"""),0.00242)</f>
        <v>0.00242</v>
      </c>
      <c r="H762" s="19" t="str">
        <f>IFERROR(__xludf.DUMMYFUNCTION("""COMPUTED_VALUE"""),"-")</f>
        <v>-</v>
      </c>
      <c r="I762" s="19">
        <f>IFERROR(__xludf.DUMMYFUNCTION("""COMPUTED_VALUE"""),0.00229)</f>
        <v>0.00229</v>
      </c>
      <c r="J762" s="19">
        <f>IFERROR(__xludf.DUMMYFUNCTION("""COMPUTED_VALUE"""),0.04746)</f>
        <v>0.04746</v>
      </c>
      <c r="K762" s="19" t="str">
        <f>IFERROR(__xludf.DUMMYFUNCTION("""COMPUTED_VALUE"""),"-")</f>
        <v>-</v>
      </c>
      <c r="L762" s="19">
        <f>IFERROR(__xludf.DUMMYFUNCTION("""COMPUTED_VALUE"""),0.04585)</f>
        <v>0.04585</v>
      </c>
      <c r="O762" s="24">
        <f t="shared" si="4"/>
        <v>0</v>
      </c>
      <c r="P762" s="24"/>
      <c r="Q762" s="24">
        <f t="shared" si="6"/>
        <v>0</v>
      </c>
      <c r="R762" s="24">
        <f t="shared" si="7"/>
        <v>0</v>
      </c>
      <c r="S762" s="24"/>
      <c r="T762" s="24">
        <f t="shared" si="9"/>
        <v>0</v>
      </c>
    </row>
    <row r="763">
      <c r="A763" s="12" t="s">
        <v>852</v>
      </c>
      <c r="F763" s="19">
        <f>IFERROR(__xludf.DUMMYFUNCTION("SPLIT(A759, "" |"")"),757.0)</f>
        <v>757</v>
      </c>
      <c r="G763" s="19">
        <f>IFERROR(__xludf.DUMMYFUNCTION("""COMPUTED_VALUE"""),0.00233)</f>
        <v>0.00233</v>
      </c>
      <c r="H763" s="19" t="str">
        <f>IFERROR(__xludf.DUMMYFUNCTION("""COMPUTED_VALUE"""),"-")</f>
        <v>-</v>
      </c>
      <c r="I763" s="19">
        <f>IFERROR(__xludf.DUMMYFUNCTION("""COMPUTED_VALUE"""),0.00231)</f>
        <v>0.00231</v>
      </c>
      <c r="J763" s="19">
        <f>IFERROR(__xludf.DUMMYFUNCTION("""COMPUTED_VALUE"""),0.04398)</f>
        <v>0.04398</v>
      </c>
      <c r="K763" s="19" t="str">
        <f>IFERROR(__xludf.DUMMYFUNCTION("""COMPUTED_VALUE"""),"-")</f>
        <v>-</v>
      </c>
      <c r="L763" s="19">
        <f>IFERROR(__xludf.DUMMYFUNCTION("""COMPUTED_VALUE"""),0.04742)</f>
        <v>0.04742</v>
      </c>
      <c r="O763" s="24">
        <f t="shared" si="4"/>
        <v>0</v>
      </c>
      <c r="P763" s="24"/>
      <c r="Q763" s="24">
        <f t="shared" si="6"/>
        <v>0</v>
      </c>
      <c r="R763" s="24">
        <f t="shared" si="7"/>
        <v>1</v>
      </c>
      <c r="S763" s="24"/>
      <c r="T763" s="24">
        <f t="shared" si="9"/>
        <v>0</v>
      </c>
    </row>
    <row r="764">
      <c r="A764" s="12" t="s">
        <v>853</v>
      </c>
      <c r="F764" s="19">
        <f>IFERROR(__xludf.DUMMYFUNCTION("SPLIT(A760, "" |"")"),758.0)</f>
        <v>758</v>
      </c>
      <c r="G764" s="19">
        <f>IFERROR(__xludf.DUMMYFUNCTION("""COMPUTED_VALUE"""),0.00225)</f>
        <v>0.00225</v>
      </c>
      <c r="H764" s="19" t="str">
        <f>IFERROR(__xludf.DUMMYFUNCTION("""COMPUTED_VALUE"""),"-")</f>
        <v>-</v>
      </c>
      <c r="I764" s="19">
        <f>IFERROR(__xludf.DUMMYFUNCTION("""COMPUTED_VALUE"""),0.00209)</f>
        <v>0.00209</v>
      </c>
      <c r="J764" s="19">
        <f>IFERROR(__xludf.DUMMYFUNCTION("""COMPUTED_VALUE"""),0.04727)</f>
        <v>0.04727</v>
      </c>
      <c r="K764" s="19" t="str">
        <f>IFERROR(__xludf.DUMMYFUNCTION("""COMPUTED_VALUE"""),"-")</f>
        <v>-</v>
      </c>
      <c r="L764" s="19">
        <f>IFERROR(__xludf.DUMMYFUNCTION("""COMPUTED_VALUE"""),0.04746)</f>
        <v>0.04746</v>
      </c>
      <c r="O764" s="24">
        <f t="shared" si="4"/>
        <v>0</v>
      </c>
      <c r="P764" s="24"/>
      <c r="Q764" s="24">
        <f t="shared" si="6"/>
        <v>0</v>
      </c>
      <c r="R764" s="24">
        <f t="shared" si="7"/>
        <v>0</v>
      </c>
      <c r="S764" s="24"/>
      <c r="T764" s="24">
        <f t="shared" si="9"/>
        <v>0</v>
      </c>
    </row>
    <row r="765">
      <c r="A765" s="12" t="s">
        <v>854</v>
      </c>
      <c r="F765" s="19">
        <f>IFERROR(__xludf.DUMMYFUNCTION("SPLIT(A761, "" |"")"),759.0)</f>
        <v>759</v>
      </c>
      <c r="G765" s="19">
        <f>IFERROR(__xludf.DUMMYFUNCTION("""COMPUTED_VALUE"""),0.00231)</f>
        <v>0.00231</v>
      </c>
      <c r="H765" s="19" t="str">
        <f>IFERROR(__xludf.DUMMYFUNCTION("""COMPUTED_VALUE"""),"-")</f>
        <v>-</v>
      </c>
      <c r="I765" s="19">
        <f>IFERROR(__xludf.DUMMYFUNCTION("""COMPUTED_VALUE"""),0.00222)</f>
        <v>0.00222</v>
      </c>
      <c r="J765" s="19">
        <f>IFERROR(__xludf.DUMMYFUNCTION("""COMPUTED_VALUE"""),0.04737)</f>
        <v>0.04737</v>
      </c>
      <c r="K765" s="19" t="str">
        <f>IFERROR(__xludf.DUMMYFUNCTION("""COMPUTED_VALUE"""),"-")</f>
        <v>-</v>
      </c>
      <c r="L765" s="19">
        <f>IFERROR(__xludf.DUMMYFUNCTION("""COMPUTED_VALUE"""),0.04767)</f>
        <v>0.04767</v>
      </c>
      <c r="O765" s="24">
        <f t="shared" si="4"/>
        <v>0</v>
      </c>
      <c r="P765" s="24"/>
      <c r="Q765" s="24">
        <f t="shared" si="6"/>
        <v>0</v>
      </c>
      <c r="R765" s="24">
        <f t="shared" si="7"/>
        <v>0</v>
      </c>
      <c r="S765" s="24"/>
      <c r="T765" s="24">
        <f t="shared" si="9"/>
        <v>0</v>
      </c>
    </row>
    <row r="766">
      <c r="A766" s="12" t="s">
        <v>855</v>
      </c>
      <c r="F766" s="19">
        <f>IFERROR(__xludf.DUMMYFUNCTION("SPLIT(A762, "" |"")"),760.0)</f>
        <v>760</v>
      </c>
      <c r="G766" s="19">
        <f>IFERROR(__xludf.DUMMYFUNCTION("""COMPUTED_VALUE"""),0.00232)</f>
        <v>0.00232</v>
      </c>
      <c r="H766" s="19" t="str">
        <f>IFERROR(__xludf.DUMMYFUNCTION("""COMPUTED_VALUE"""),"-")</f>
        <v>-</v>
      </c>
      <c r="I766" s="19">
        <f>IFERROR(__xludf.DUMMYFUNCTION("""COMPUTED_VALUE"""),0.00209)</f>
        <v>0.00209</v>
      </c>
      <c r="J766" s="19">
        <f>IFERROR(__xludf.DUMMYFUNCTION("""COMPUTED_VALUE"""),0.04734)</f>
        <v>0.04734</v>
      </c>
      <c r="K766" s="19" t="str">
        <f>IFERROR(__xludf.DUMMYFUNCTION("""COMPUTED_VALUE"""),"-")</f>
        <v>-</v>
      </c>
      <c r="L766" s="19">
        <f>IFERROR(__xludf.DUMMYFUNCTION("""COMPUTED_VALUE"""),0.04089)</f>
        <v>0.04089</v>
      </c>
      <c r="O766" s="24">
        <f t="shared" si="4"/>
        <v>0</v>
      </c>
      <c r="P766" s="24"/>
      <c r="Q766" s="24">
        <f t="shared" si="6"/>
        <v>0</v>
      </c>
      <c r="R766" s="24">
        <f t="shared" si="7"/>
        <v>0</v>
      </c>
      <c r="S766" s="24"/>
      <c r="T766" s="24">
        <f t="shared" si="9"/>
        <v>0</v>
      </c>
    </row>
    <row r="767">
      <c r="A767" s="12" t="s">
        <v>856</v>
      </c>
      <c r="F767" s="19">
        <f>IFERROR(__xludf.DUMMYFUNCTION("SPLIT(A763, "" |"")"),761.0)</f>
        <v>761</v>
      </c>
      <c r="G767" s="19">
        <f>IFERROR(__xludf.DUMMYFUNCTION("""COMPUTED_VALUE"""),0.00237)</f>
        <v>0.00237</v>
      </c>
      <c r="H767" s="19" t="str">
        <f>IFERROR(__xludf.DUMMYFUNCTION("""COMPUTED_VALUE"""),"-")</f>
        <v>-</v>
      </c>
      <c r="I767" s="19">
        <f>IFERROR(__xludf.DUMMYFUNCTION("""COMPUTED_VALUE"""),0.00217)</f>
        <v>0.00217</v>
      </c>
      <c r="J767" s="19">
        <f>IFERROR(__xludf.DUMMYFUNCTION("""COMPUTED_VALUE"""),0.0474)</f>
        <v>0.0474</v>
      </c>
      <c r="K767" s="19" t="str">
        <f>IFERROR(__xludf.DUMMYFUNCTION("""COMPUTED_VALUE"""),"-")</f>
        <v>-</v>
      </c>
      <c r="L767" s="19">
        <f>IFERROR(__xludf.DUMMYFUNCTION("""COMPUTED_VALUE"""),0.0461)</f>
        <v>0.0461</v>
      </c>
      <c r="O767" s="24">
        <f t="shared" si="4"/>
        <v>0</v>
      </c>
      <c r="P767" s="24"/>
      <c r="Q767" s="24">
        <f t="shared" si="6"/>
        <v>0</v>
      </c>
      <c r="R767" s="24">
        <f t="shared" si="7"/>
        <v>0</v>
      </c>
      <c r="S767" s="24"/>
      <c r="T767" s="24">
        <f t="shared" si="9"/>
        <v>0</v>
      </c>
    </row>
    <row r="768">
      <c r="A768" s="12" t="s">
        <v>857</v>
      </c>
      <c r="F768" s="19">
        <f>IFERROR(__xludf.DUMMYFUNCTION("SPLIT(A764, "" |"")"),762.0)</f>
        <v>762</v>
      </c>
      <c r="G768" s="19">
        <f>IFERROR(__xludf.DUMMYFUNCTION("""COMPUTED_VALUE"""),0.0023)</f>
        <v>0.0023</v>
      </c>
      <c r="H768" s="19" t="str">
        <f>IFERROR(__xludf.DUMMYFUNCTION("""COMPUTED_VALUE"""),"-")</f>
        <v>-</v>
      </c>
      <c r="I768" s="19">
        <f>IFERROR(__xludf.DUMMYFUNCTION("""COMPUTED_VALUE"""),0.00214)</f>
        <v>0.00214</v>
      </c>
      <c r="J768" s="19">
        <f>IFERROR(__xludf.DUMMYFUNCTION("""COMPUTED_VALUE"""),0.04736)</f>
        <v>0.04736</v>
      </c>
      <c r="K768" s="19" t="str">
        <f>IFERROR(__xludf.DUMMYFUNCTION("""COMPUTED_VALUE"""),"-")</f>
        <v>-</v>
      </c>
      <c r="L768" s="19">
        <f>IFERROR(__xludf.DUMMYFUNCTION("""COMPUTED_VALUE"""),0.04416)</f>
        <v>0.04416</v>
      </c>
      <c r="O768" s="24">
        <f t="shared" si="4"/>
        <v>0</v>
      </c>
      <c r="P768" s="24"/>
      <c r="Q768" s="24">
        <f t="shared" si="6"/>
        <v>0</v>
      </c>
      <c r="R768" s="24">
        <f t="shared" si="7"/>
        <v>0</v>
      </c>
      <c r="S768" s="24"/>
      <c r="T768" s="24">
        <f t="shared" si="9"/>
        <v>0</v>
      </c>
    </row>
    <row r="769">
      <c r="A769" s="12" t="s">
        <v>858</v>
      </c>
      <c r="F769" s="19">
        <f>IFERROR(__xludf.DUMMYFUNCTION("SPLIT(A765, "" |"")"),763.0)</f>
        <v>763</v>
      </c>
      <c r="G769" s="19">
        <f>IFERROR(__xludf.DUMMYFUNCTION("""COMPUTED_VALUE"""),0.00234)</f>
        <v>0.00234</v>
      </c>
      <c r="H769" s="19" t="str">
        <f>IFERROR(__xludf.DUMMYFUNCTION("""COMPUTED_VALUE"""),"-")</f>
        <v>-</v>
      </c>
      <c r="I769" s="19">
        <f>IFERROR(__xludf.DUMMYFUNCTION("""COMPUTED_VALUE"""),0.00222)</f>
        <v>0.00222</v>
      </c>
      <c r="J769" s="19">
        <f>IFERROR(__xludf.DUMMYFUNCTION("""COMPUTED_VALUE"""),0.04745)</f>
        <v>0.04745</v>
      </c>
      <c r="K769" s="19" t="str">
        <f>IFERROR(__xludf.DUMMYFUNCTION("""COMPUTED_VALUE"""),"-")</f>
        <v>-</v>
      </c>
      <c r="L769" s="19">
        <f>IFERROR(__xludf.DUMMYFUNCTION("""COMPUTED_VALUE"""),0.0462)</f>
        <v>0.0462</v>
      </c>
      <c r="O769" s="24">
        <f t="shared" si="4"/>
        <v>0</v>
      </c>
      <c r="P769" s="24"/>
      <c r="Q769" s="24">
        <f t="shared" si="6"/>
        <v>0</v>
      </c>
      <c r="R769" s="24">
        <f t="shared" si="7"/>
        <v>0</v>
      </c>
      <c r="S769" s="24"/>
      <c r="T769" s="24">
        <f t="shared" si="9"/>
        <v>0</v>
      </c>
    </row>
    <row r="770">
      <c r="A770" s="12" t="s">
        <v>859</v>
      </c>
      <c r="F770" s="19">
        <f>IFERROR(__xludf.DUMMYFUNCTION("SPLIT(A766, "" |"")"),764.0)</f>
        <v>764</v>
      </c>
      <c r="G770" s="19">
        <f>IFERROR(__xludf.DUMMYFUNCTION("""COMPUTED_VALUE"""),0.00233)</f>
        <v>0.00233</v>
      </c>
      <c r="H770" s="19" t="str">
        <f>IFERROR(__xludf.DUMMYFUNCTION("""COMPUTED_VALUE"""),"-")</f>
        <v>-</v>
      </c>
      <c r="I770" s="19">
        <f>IFERROR(__xludf.DUMMYFUNCTION("""COMPUTED_VALUE"""),0.00224)</f>
        <v>0.00224</v>
      </c>
      <c r="J770" s="19">
        <f>IFERROR(__xludf.DUMMYFUNCTION("""COMPUTED_VALUE"""),0.04749)</f>
        <v>0.04749</v>
      </c>
      <c r="K770" s="19" t="str">
        <f>IFERROR(__xludf.DUMMYFUNCTION("""COMPUTED_VALUE"""),"-")</f>
        <v>-</v>
      </c>
      <c r="L770" s="19">
        <f>IFERROR(__xludf.DUMMYFUNCTION("""COMPUTED_VALUE"""),0.04683)</f>
        <v>0.04683</v>
      </c>
      <c r="O770" s="24">
        <f t="shared" si="4"/>
        <v>0</v>
      </c>
      <c r="P770" s="24"/>
      <c r="Q770" s="24">
        <f t="shared" si="6"/>
        <v>0</v>
      </c>
      <c r="R770" s="24">
        <f t="shared" si="7"/>
        <v>0</v>
      </c>
      <c r="S770" s="24"/>
      <c r="T770" s="24">
        <f t="shared" si="9"/>
        <v>0</v>
      </c>
    </row>
    <row r="771">
      <c r="A771" s="12" t="s">
        <v>860</v>
      </c>
      <c r="F771" s="19">
        <f>IFERROR(__xludf.DUMMYFUNCTION("SPLIT(A767, "" |"")"),765.0)</f>
        <v>765</v>
      </c>
      <c r="G771" s="19">
        <f>IFERROR(__xludf.DUMMYFUNCTION("""COMPUTED_VALUE"""),0.0023)</f>
        <v>0.0023</v>
      </c>
      <c r="H771" s="19" t="str">
        <f>IFERROR(__xludf.DUMMYFUNCTION("""COMPUTED_VALUE"""),"-")</f>
        <v>-</v>
      </c>
      <c r="I771" s="19">
        <f>IFERROR(__xludf.DUMMYFUNCTION("""COMPUTED_VALUE"""),0.00223)</f>
        <v>0.00223</v>
      </c>
      <c r="J771" s="19">
        <f>IFERROR(__xludf.DUMMYFUNCTION("""COMPUTED_VALUE"""),0.04755)</f>
        <v>0.04755</v>
      </c>
      <c r="K771" s="19" t="str">
        <f>IFERROR(__xludf.DUMMYFUNCTION("""COMPUTED_VALUE"""),"-")</f>
        <v>-</v>
      </c>
      <c r="L771" s="19">
        <f>IFERROR(__xludf.DUMMYFUNCTION("""COMPUTED_VALUE"""),0.04759)</f>
        <v>0.04759</v>
      </c>
      <c r="O771" s="24">
        <f t="shared" si="4"/>
        <v>0</v>
      </c>
      <c r="P771" s="24"/>
      <c r="Q771" s="24">
        <f t="shared" si="6"/>
        <v>0</v>
      </c>
      <c r="R771" s="24">
        <f t="shared" si="7"/>
        <v>0</v>
      </c>
      <c r="S771" s="24"/>
      <c r="T771" s="24">
        <f t="shared" si="9"/>
        <v>0</v>
      </c>
    </row>
    <row r="772">
      <c r="A772" s="12" t="s">
        <v>861</v>
      </c>
      <c r="F772" s="19">
        <f>IFERROR(__xludf.DUMMYFUNCTION("SPLIT(A768, "" |"")"),766.0)</f>
        <v>766</v>
      </c>
      <c r="G772" s="19">
        <f>IFERROR(__xludf.DUMMYFUNCTION("""COMPUTED_VALUE"""),0.0024)</f>
        <v>0.0024</v>
      </c>
      <c r="H772" s="19" t="str">
        <f>IFERROR(__xludf.DUMMYFUNCTION("""COMPUTED_VALUE"""),"-")</f>
        <v>-</v>
      </c>
      <c r="I772" s="19">
        <f>IFERROR(__xludf.DUMMYFUNCTION("""COMPUTED_VALUE"""),0.00224)</f>
        <v>0.00224</v>
      </c>
      <c r="J772" s="19">
        <f>IFERROR(__xludf.DUMMYFUNCTION("""COMPUTED_VALUE"""),0.04751)</f>
        <v>0.04751</v>
      </c>
      <c r="K772" s="19" t="str">
        <f>IFERROR(__xludf.DUMMYFUNCTION("""COMPUTED_VALUE"""),"-")</f>
        <v>-</v>
      </c>
      <c r="L772" s="19">
        <f>IFERROR(__xludf.DUMMYFUNCTION("""COMPUTED_VALUE"""),0.04196)</f>
        <v>0.04196</v>
      </c>
      <c r="O772" s="24">
        <f t="shared" si="4"/>
        <v>0</v>
      </c>
      <c r="P772" s="24"/>
      <c r="Q772" s="24">
        <f t="shared" si="6"/>
        <v>0</v>
      </c>
      <c r="R772" s="24">
        <f t="shared" si="7"/>
        <v>0</v>
      </c>
      <c r="S772" s="24"/>
      <c r="T772" s="24">
        <f t="shared" si="9"/>
        <v>0</v>
      </c>
    </row>
    <row r="773">
      <c r="A773" s="12" t="s">
        <v>862</v>
      </c>
      <c r="F773" s="19">
        <f>IFERROR(__xludf.DUMMYFUNCTION("SPLIT(A769, "" |"")"),767.0)</f>
        <v>767</v>
      </c>
      <c r="G773" s="19">
        <f>IFERROR(__xludf.DUMMYFUNCTION("""COMPUTED_VALUE"""),0.00235)</f>
        <v>0.00235</v>
      </c>
      <c r="H773" s="19" t="str">
        <f>IFERROR(__xludf.DUMMYFUNCTION("""COMPUTED_VALUE"""),"-")</f>
        <v>-</v>
      </c>
      <c r="I773" s="19">
        <f>IFERROR(__xludf.DUMMYFUNCTION("""COMPUTED_VALUE"""),0.00221)</f>
        <v>0.00221</v>
      </c>
      <c r="J773" s="19">
        <f>IFERROR(__xludf.DUMMYFUNCTION("""COMPUTED_VALUE"""),0.04752)</f>
        <v>0.04752</v>
      </c>
      <c r="K773" s="19" t="str">
        <f>IFERROR(__xludf.DUMMYFUNCTION("""COMPUTED_VALUE"""),"-")</f>
        <v>-</v>
      </c>
      <c r="L773" s="19">
        <f>IFERROR(__xludf.DUMMYFUNCTION("""COMPUTED_VALUE"""),0.04641)</f>
        <v>0.04641</v>
      </c>
      <c r="O773" s="24">
        <f t="shared" si="4"/>
        <v>0</v>
      </c>
      <c r="P773" s="24"/>
      <c r="Q773" s="24">
        <f t="shared" si="6"/>
        <v>0</v>
      </c>
      <c r="R773" s="24">
        <f t="shared" si="7"/>
        <v>0</v>
      </c>
      <c r="S773" s="24"/>
      <c r="T773" s="24">
        <f t="shared" si="9"/>
        <v>0</v>
      </c>
    </row>
    <row r="774">
      <c r="A774" s="12" t="s">
        <v>863</v>
      </c>
      <c r="F774" s="19">
        <f>IFERROR(__xludf.DUMMYFUNCTION("SPLIT(A770, "" |"")"),768.0)</f>
        <v>768</v>
      </c>
      <c r="G774" s="19">
        <f>IFERROR(__xludf.DUMMYFUNCTION("""COMPUTED_VALUE"""),0.00226)</f>
        <v>0.00226</v>
      </c>
      <c r="H774" s="19" t="str">
        <f>IFERROR(__xludf.DUMMYFUNCTION("""COMPUTED_VALUE"""),"-")</f>
        <v>-</v>
      </c>
      <c r="I774" s="19">
        <f>IFERROR(__xludf.DUMMYFUNCTION("""COMPUTED_VALUE"""),0.00215)</f>
        <v>0.00215</v>
      </c>
      <c r="J774" s="19">
        <f>IFERROR(__xludf.DUMMYFUNCTION("""COMPUTED_VALUE"""),0.04745)</f>
        <v>0.04745</v>
      </c>
      <c r="K774" s="19" t="str">
        <f>IFERROR(__xludf.DUMMYFUNCTION("""COMPUTED_VALUE"""),"-")</f>
        <v>-</v>
      </c>
      <c r="L774" s="19">
        <f>IFERROR(__xludf.DUMMYFUNCTION("""COMPUTED_VALUE"""),0.04756)</f>
        <v>0.04756</v>
      </c>
      <c r="O774" s="24">
        <f t="shared" si="4"/>
        <v>0</v>
      </c>
      <c r="P774" s="24"/>
      <c r="Q774" s="24">
        <f t="shared" si="6"/>
        <v>0</v>
      </c>
      <c r="R774" s="24">
        <f t="shared" si="7"/>
        <v>0</v>
      </c>
      <c r="S774" s="24"/>
      <c r="T774" s="24">
        <f t="shared" si="9"/>
        <v>0</v>
      </c>
    </row>
    <row r="775">
      <c r="A775" s="12" t="s">
        <v>864</v>
      </c>
      <c r="F775" s="19">
        <f>IFERROR(__xludf.DUMMYFUNCTION("SPLIT(A771, "" |"")"),769.0)</f>
        <v>769</v>
      </c>
      <c r="G775" s="19">
        <f>IFERROR(__xludf.DUMMYFUNCTION("""COMPUTED_VALUE"""),0.00232)</f>
        <v>0.00232</v>
      </c>
      <c r="H775" s="19" t="str">
        <f>IFERROR(__xludf.DUMMYFUNCTION("""COMPUTED_VALUE"""),"-")</f>
        <v>-</v>
      </c>
      <c r="I775" s="19">
        <f>IFERROR(__xludf.DUMMYFUNCTION("""COMPUTED_VALUE"""),0.00219)</f>
        <v>0.00219</v>
      </c>
      <c r="J775" s="19">
        <f>IFERROR(__xludf.DUMMYFUNCTION("""COMPUTED_VALUE"""),0.045)</f>
        <v>0.045</v>
      </c>
      <c r="K775" s="19" t="str">
        <f>IFERROR(__xludf.DUMMYFUNCTION("""COMPUTED_VALUE"""),"-")</f>
        <v>-</v>
      </c>
      <c r="L775" s="19">
        <f>IFERROR(__xludf.DUMMYFUNCTION("""COMPUTED_VALUE"""),0.04027)</f>
        <v>0.04027</v>
      </c>
      <c r="O775" s="24">
        <f t="shared" si="4"/>
        <v>0</v>
      </c>
      <c r="P775" s="24"/>
      <c r="Q775" s="24">
        <f t="shared" si="6"/>
        <v>0</v>
      </c>
      <c r="R775" s="24">
        <f t="shared" si="7"/>
        <v>0</v>
      </c>
      <c r="S775" s="24"/>
      <c r="T775" s="24">
        <f t="shared" si="9"/>
        <v>0</v>
      </c>
    </row>
    <row r="776">
      <c r="A776" s="12" t="s">
        <v>865</v>
      </c>
      <c r="F776" s="19">
        <f>IFERROR(__xludf.DUMMYFUNCTION("SPLIT(A772, "" |"")"),770.0)</f>
        <v>770</v>
      </c>
      <c r="G776" s="19">
        <f>IFERROR(__xludf.DUMMYFUNCTION("""COMPUTED_VALUE"""),0.00234)</f>
        <v>0.00234</v>
      </c>
      <c r="H776" s="19" t="str">
        <f>IFERROR(__xludf.DUMMYFUNCTION("""COMPUTED_VALUE"""),"-")</f>
        <v>-</v>
      </c>
      <c r="I776" s="19">
        <f>IFERROR(__xludf.DUMMYFUNCTION("""COMPUTED_VALUE"""),0.00228)</f>
        <v>0.00228</v>
      </c>
      <c r="J776" s="19">
        <f>IFERROR(__xludf.DUMMYFUNCTION("""COMPUTED_VALUE"""),0.04749)</f>
        <v>0.04749</v>
      </c>
      <c r="K776" s="19" t="str">
        <f>IFERROR(__xludf.DUMMYFUNCTION("""COMPUTED_VALUE"""),"-")</f>
        <v>-</v>
      </c>
      <c r="L776" s="19">
        <f>IFERROR(__xludf.DUMMYFUNCTION("""COMPUTED_VALUE"""),0.04761)</f>
        <v>0.04761</v>
      </c>
      <c r="O776" s="24">
        <f t="shared" si="4"/>
        <v>0</v>
      </c>
      <c r="P776" s="24"/>
      <c r="Q776" s="24">
        <f t="shared" si="6"/>
        <v>0</v>
      </c>
      <c r="R776" s="24">
        <f t="shared" si="7"/>
        <v>0</v>
      </c>
      <c r="S776" s="24"/>
      <c r="T776" s="24">
        <f t="shared" si="9"/>
        <v>0</v>
      </c>
    </row>
    <row r="777">
      <c r="A777" s="12" t="s">
        <v>866</v>
      </c>
      <c r="F777" s="19">
        <f>IFERROR(__xludf.DUMMYFUNCTION("SPLIT(A773, "" |"")"),771.0)</f>
        <v>771</v>
      </c>
      <c r="G777" s="19">
        <f>IFERROR(__xludf.DUMMYFUNCTION("""COMPUTED_VALUE"""),0.00237)</f>
        <v>0.00237</v>
      </c>
      <c r="H777" s="19" t="str">
        <f>IFERROR(__xludf.DUMMYFUNCTION("""COMPUTED_VALUE"""),"-")</f>
        <v>-</v>
      </c>
      <c r="I777" s="19">
        <f>IFERROR(__xludf.DUMMYFUNCTION("""COMPUTED_VALUE"""),0.00216)</f>
        <v>0.00216</v>
      </c>
      <c r="J777" s="19">
        <f>IFERROR(__xludf.DUMMYFUNCTION("""COMPUTED_VALUE"""),0.04751)</f>
        <v>0.04751</v>
      </c>
      <c r="K777" s="19" t="str">
        <f>IFERROR(__xludf.DUMMYFUNCTION("""COMPUTED_VALUE"""),"-")</f>
        <v>-</v>
      </c>
      <c r="L777" s="19">
        <f>IFERROR(__xludf.DUMMYFUNCTION("""COMPUTED_VALUE"""),0.04766)</f>
        <v>0.04766</v>
      </c>
      <c r="O777" s="24">
        <f t="shared" si="4"/>
        <v>0</v>
      </c>
      <c r="P777" s="24"/>
      <c r="Q777" s="24">
        <f t="shared" si="6"/>
        <v>0</v>
      </c>
      <c r="R777" s="24">
        <f t="shared" si="7"/>
        <v>0</v>
      </c>
      <c r="S777" s="24"/>
      <c r="T777" s="24">
        <f t="shared" si="9"/>
        <v>0</v>
      </c>
    </row>
    <row r="778">
      <c r="A778" s="12" t="s">
        <v>867</v>
      </c>
      <c r="F778" s="19">
        <f>IFERROR(__xludf.DUMMYFUNCTION("SPLIT(A774, "" |"")"),772.0)</f>
        <v>772</v>
      </c>
      <c r="G778" s="19">
        <f>IFERROR(__xludf.DUMMYFUNCTION("""COMPUTED_VALUE"""),0.0024)</f>
        <v>0.0024</v>
      </c>
      <c r="H778" s="19" t="str">
        <f>IFERROR(__xludf.DUMMYFUNCTION("""COMPUTED_VALUE"""),"-")</f>
        <v>-</v>
      </c>
      <c r="I778" s="19">
        <f>IFERROR(__xludf.DUMMYFUNCTION("""COMPUTED_VALUE"""),0.00227)</f>
        <v>0.00227</v>
      </c>
      <c r="J778" s="19">
        <f>IFERROR(__xludf.DUMMYFUNCTION("""COMPUTED_VALUE"""),0.03986)</f>
        <v>0.03986</v>
      </c>
      <c r="K778" s="19" t="str">
        <f>IFERROR(__xludf.DUMMYFUNCTION("""COMPUTED_VALUE"""),"-")</f>
        <v>-</v>
      </c>
      <c r="L778" s="19">
        <f>IFERROR(__xludf.DUMMYFUNCTION("""COMPUTED_VALUE"""),0.04015)</f>
        <v>0.04015</v>
      </c>
      <c r="O778" s="24">
        <f t="shared" si="4"/>
        <v>0</v>
      </c>
      <c r="P778" s="24"/>
      <c r="Q778" s="24">
        <f t="shared" si="6"/>
        <v>0</v>
      </c>
      <c r="R778" s="24">
        <f t="shared" si="7"/>
        <v>1</v>
      </c>
      <c r="S778" s="24"/>
      <c r="T778" s="24">
        <f t="shared" si="9"/>
        <v>0</v>
      </c>
    </row>
    <row r="779">
      <c r="A779" s="12" t="s">
        <v>868</v>
      </c>
      <c r="F779" s="19">
        <f>IFERROR(__xludf.DUMMYFUNCTION("SPLIT(A775, "" |"")"),773.0)</f>
        <v>773</v>
      </c>
      <c r="G779" s="19">
        <f>IFERROR(__xludf.DUMMYFUNCTION("""COMPUTED_VALUE"""),0.00238)</f>
        <v>0.00238</v>
      </c>
      <c r="H779" s="19" t="str">
        <f>IFERROR(__xludf.DUMMYFUNCTION("""COMPUTED_VALUE"""),"-")</f>
        <v>-</v>
      </c>
      <c r="I779" s="19">
        <f>IFERROR(__xludf.DUMMYFUNCTION("""COMPUTED_VALUE"""),0.00221)</f>
        <v>0.00221</v>
      </c>
      <c r="J779" s="19">
        <f>IFERROR(__xludf.DUMMYFUNCTION("""COMPUTED_VALUE"""),0.04011)</f>
        <v>0.04011</v>
      </c>
      <c r="K779" s="19" t="str">
        <f>IFERROR(__xludf.DUMMYFUNCTION("""COMPUTED_VALUE"""),"-")</f>
        <v>-</v>
      </c>
      <c r="L779" s="19">
        <f>IFERROR(__xludf.DUMMYFUNCTION("""COMPUTED_VALUE"""),0.04761)</f>
        <v>0.04761</v>
      </c>
      <c r="O779" s="24">
        <f t="shared" si="4"/>
        <v>0</v>
      </c>
      <c r="P779" s="24"/>
      <c r="Q779" s="24">
        <f t="shared" si="6"/>
        <v>0</v>
      </c>
      <c r="R779" s="24">
        <f t="shared" si="7"/>
        <v>1</v>
      </c>
      <c r="S779" s="24"/>
      <c r="T779" s="24">
        <f t="shared" si="9"/>
        <v>0</v>
      </c>
    </row>
    <row r="780">
      <c r="A780" s="12" t="s">
        <v>869</v>
      </c>
      <c r="F780" s="19">
        <f>IFERROR(__xludf.DUMMYFUNCTION("SPLIT(A776, "" |"")"),774.0)</f>
        <v>774</v>
      </c>
      <c r="G780" s="19">
        <f>IFERROR(__xludf.DUMMYFUNCTION("""COMPUTED_VALUE"""),0.00242)</f>
        <v>0.00242</v>
      </c>
      <c r="H780" s="19" t="str">
        <f>IFERROR(__xludf.DUMMYFUNCTION("""COMPUTED_VALUE"""),"-")</f>
        <v>-</v>
      </c>
      <c r="I780" s="19">
        <f>IFERROR(__xludf.DUMMYFUNCTION("""COMPUTED_VALUE"""),0.00221)</f>
        <v>0.00221</v>
      </c>
      <c r="J780" s="19">
        <f>IFERROR(__xludf.DUMMYFUNCTION("""COMPUTED_VALUE"""),0.04743)</f>
        <v>0.04743</v>
      </c>
      <c r="K780" s="19" t="str">
        <f>IFERROR(__xludf.DUMMYFUNCTION("""COMPUTED_VALUE"""),"-")</f>
        <v>-</v>
      </c>
      <c r="L780" s="19">
        <f>IFERROR(__xludf.DUMMYFUNCTION("""COMPUTED_VALUE"""),0.04194)</f>
        <v>0.04194</v>
      </c>
      <c r="O780" s="24">
        <f t="shared" si="4"/>
        <v>0</v>
      </c>
      <c r="P780" s="24"/>
      <c r="Q780" s="24">
        <f t="shared" si="6"/>
        <v>0</v>
      </c>
      <c r="R780" s="24">
        <f t="shared" si="7"/>
        <v>0</v>
      </c>
      <c r="S780" s="24"/>
      <c r="T780" s="24">
        <f t="shared" si="9"/>
        <v>0</v>
      </c>
    </row>
    <row r="781">
      <c r="A781" s="12" t="s">
        <v>870</v>
      </c>
      <c r="F781" s="19">
        <f>IFERROR(__xludf.DUMMYFUNCTION("SPLIT(A777, "" |"")"),775.0)</f>
        <v>775</v>
      </c>
      <c r="G781" s="19">
        <f>IFERROR(__xludf.DUMMYFUNCTION("""COMPUTED_VALUE"""),0.00234)</f>
        <v>0.00234</v>
      </c>
      <c r="H781" s="19" t="str">
        <f>IFERROR(__xludf.DUMMYFUNCTION("""COMPUTED_VALUE"""),"-")</f>
        <v>-</v>
      </c>
      <c r="I781" s="19">
        <f>IFERROR(__xludf.DUMMYFUNCTION("""COMPUTED_VALUE"""),0.00227)</f>
        <v>0.00227</v>
      </c>
      <c r="J781" s="19">
        <f>IFERROR(__xludf.DUMMYFUNCTION("""COMPUTED_VALUE"""),0.04227)</f>
        <v>0.04227</v>
      </c>
      <c r="K781" s="19" t="str">
        <f>IFERROR(__xludf.DUMMYFUNCTION("""COMPUTED_VALUE"""),"-")</f>
        <v>-</v>
      </c>
      <c r="L781" s="19">
        <f>IFERROR(__xludf.DUMMYFUNCTION("""COMPUTED_VALUE"""),0.04763)</f>
        <v>0.04763</v>
      </c>
      <c r="O781" s="24">
        <f t="shared" si="4"/>
        <v>0</v>
      </c>
      <c r="P781" s="24"/>
      <c r="Q781" s="24">
        <f t="shared" si="6"/>
        <v>0</v>
      </c>
      <c r="R781" s="24">
        <f t="shared" si="7"/>
        <v>1</v>
      </c>
      <c r="S781" s="24"/>
      <c r="T781" s="24">
        <f t="shared" si="9"/>
        <v>0</v>
      </c>
    </row>
    <row r="782">
      <c r="A782" s="12" t="s">
        <v>871</v>
      </c>
      <c r="F782" s="19">
        <f>IFERROR(__xludf.DUMMYFUNCTION("SPLIT(A778, "" |"")"),776.0)</f>
        <v>776</v>
      </c>
      <c r="G782" s="19">
        <f>IFERROR(__xludf.DUMMYFUNCTION("""COMPUTED_VALUE"""),0.00245)</f>
        <v>0.00245</v>
      </c>
      <c r="H782" s="19" t="str">
        <f>IFERROR(__xludf.DUMMYFUNCTION("""COMPUTED_VALUE"""),"-")</f>
        <v>-</v>
      </c>
      <c r="I782" s="19">
        <f>IFERROR(__xludf.DUMMYFUNCTION("""COMPUTED_VALUE"""),0.0022)</f>
        <v>0.0022</v>
      </c>
      <c r="J782" s="19">
        <f>IFERROR(__xludf.DUMMYFUNCTION("""COMPUTED_VALUE"""),0.04746)</f>
        <v>0.04746</v>
      </c>
      <c r="K782" s="19" t="str">
        <f>IFERROR(__xludf.DUMMYFUNCTION("""COMPUTED_VALUE"""),"-")</f>
        <v>-</v>
      </c>
      <c r="L782" s="19">
        <f>IFERROR(__xludf.DUMMYFUNCTION("""COMPUTED_VALUE"""),0.04764)</f>
        <v>0.04764</v>
      </c>
      <c r="O782" s="24">
        <f t="shared" si="4"/>
        <v>0</v>
      </c>
      <c r="P782" s="24"/>
      <c r="Q782" s="24">
        <f t="shared" si="6"/>
        <v>0</v>
      </c>
      <c r="R782" s="24">
        <f t="shared" si="7"/>
        <v>0</v>
      </c>
      <c r="S782" s="24"/>
      <c r="T782" s="24">
        <f t="shared" si="9"/>
        <v>0</v>
      </c>
    </row>
    <row r="783">
      <c r="A783" s="12" t="s">
        <v>872</v>
      </c>
      <c r="F783" s="19">
        <f>IFERROR(__xludf.DUMMYFUNCTION("SPLIT(A779, "" |"")"),777.0)</f>
        <v>777</v>
      </c>
      <c r="G783" s="19">
        <f>IFERROR(__xludf.DUMMYFUNCTION("""COMPUTED_VALUE"""),0.00243)</f>
        <v>0.00243</v>
      </c>
      <c r="H783" s="19" t="str">
        <f>IFERROR(__xludf.DUMMYFUNCTION("""COMPUTED_VALUE"""),"-")</f>
        <v>-</v>
      </c>
      <c r="I783" s="19">
        <f>IFERROR(__xludf.DUMMYFUNCTION("""COMPUTED_VALUE"""),0.00223)</f>
        <v>0.00223</v>
      </c>
      <c r="J783" s="19">
        <f>IFERROR(__xludf.DUMMYFUNCTION("""COMPUTED_VALUE"""),0.04748)</f>
        <v>0.04748</v>
      </c>
      <c r="K783" s="19" t="str">
        <f>IFERROR(__xludf.DUMMYFUNCTION("""COMPUTED_VALUE"""),"-")</f>
        <v>-</v>
      </c>
      <c r="L783" s="19">
        <f>IFERROR(__xludf.DUMMYFUNCTION("""COMPUTED_VALUE"""),0.04763)</f>
        <v>0.04763</v>
      </c>
      <c r="O783" s="24">
        <f t="shared" si="4"/>
        <v>0</v>
      </c>
      <c r="P783" s="24"/>
      <c r="Q783" s="24">
        <f t="shared" si="6"/>
        <v>0</v>
      </c>
      <c r="R783" s="24">
        <f t="shared" si="7"/>
        <v>0</v>
      </c>
      <c r="S783" s="24"/>
      <c r="T783" s="24">
        <f t="shared" si="9"/>
        <v>0</v>
      </c>
    </row>
    <row r="784">
      <c r="A784" s="12" t="s">
        <v>873</v>
      </c>
      <c r="F784" s="19">
        <f>IFERROR(__xludf.DUMMYFUNCTION("SPLIT(A780, "" |"")"),778.0)</f>
        <v>778</v>
      </c>
      <c r="G784" s="19">
        <f>IFERROR(__xludf.DUMMYFUNCTION("""COMPUTED_VALUE"""),0.00252)</f>
        <v>0.00252</v>
      </c>
      <c r="H784" s="19" t="str">
        <f>IFERROR(__xludf.DUMMYFUNCTION("""COMPUTED_VALUE"""),"-")</f>
        <v>-</v>
      </c>
      <c r="I784" s="19">
        <f>IFERROR(__xludf.DUMMYFUNCTION("""COMPUTED_VALUE"""),0.00221)</f>
        <v>0.00221</v>
      </c>
      <c r="J784" s="19">
        <f>IFERROR(__xludf.DUMMYFUNCTION("""COMPUTED_VALUE"""),0.04746)</f>
        <v>0.04746</v>
      </c>
      <c r="K784" s="19" t="str">
        <f>IFERROR(__xludf.DUMMYFUNCTION("""COMPUTED_VALUE"""),"-")</f>
        <v>-</v>
      </c>
      <c r="L784" s="19">
        <f>IFERROR(__xludf.DUMMYFUNCTION("""COMPUTED_VALUE"""),0.04771)</f>
        <v>0.04771</v>
      </c>
      <c r="O784" s="24">
        <f t="shared" si="4"/>
        <v>0</v>
      </c>
      <c r="P784" s="24"/>
      <c r="Q784" s="24">
        <f t="shared" si="6"/>
        <v>0</v>
      </c>
      <c r="R784" s="24">
        <f t="shared" si="7"/>
        <v>0</v>
      </c>
      <c r="S784" s="24"/>
      <c r="T784" s="24">
        <f t="shared" si="9"/>
        <v>0</v>
      </c>
    </row>
    <row r="785">
      <c r="A785" s="12" t="s">
        <v>874</v>
      </c>
      <c r="F785" s="19">
        <f>IFERROR(__xludf.DUMMYFUNCTION("SPLIT(A781, "" |"")"),779.0)</f>
        <v>779</v>
      </c>
      <c r="G785" s="19">
        <f>IFERROR(__xludf.DUMMYFUNCTION("""COMPUTED_VALUE"""),0.00244)</f>
        <v>0.00244</v>
      </c>
      <c r="H785" s="19" t="str">
        <f>IFERROR(__xludf.DUMMYFUNCTION("""COMPUTED_VALUE"""),"-")</f>
        <v>-</v>
      </c>
      <c r="I785" s="19">
        <f>IFERROR(__xludf.DUMMYFUNCTION("""COMPUTED_VALUE"""),0.00223)</f>
        <v>0.00223</v>
      </c>
      <c r="J785" s="19">
        <f>IFERROR(__xludf.DUMMYFUNCTION("""COMPUTED_VALUE"""),0.0475)</f>
        <v>0.0475</v>
      </c>
      <c r="K785" s="19" t="str">
        <f>IFERROR(__xludf.DUMMYFUNCTION("""COMPUTED_VALUE"""),"-")</f>
        <v>-</v>
      </c>
      <c r="L785" s="19">
        <f>IFERROR(__xludf.DUMMYFUNCTION("""COMPUTED_VALUE"""),0.03999)</f>
        <v>0.03999</v>
      </c>
      <c r="O785" s="24">
        <f t="shared" si="4"/>
        <v>0</v>
      </c>
      <c r="P785" s="24"/>
      <c r="Q785" s="24">
        <f t="shared" si="6"/>
        <v>0</v>
      </c>
      <c r="R785" s="24">
        <f t="shared" si="7"/>
        <v>0</v>
      </c>
      <c r="S785" s="24"/>
      <c r="T785" s="24">
        <f t="shared" si="9"/>
        <v>0</v>
      </c>
    </row>
    <row r="786">
      <c r="A786" s="12" t="s">
        <v>875</v>
      </c>
      <c r="F786" s="19">
        <f>IFERROR(__xludf.DUMMYFUNCTION("SPLIT(A782, "" |"")"),780.0)</f>
        <v>780</v>
      </c>
      <c r="G786" s="19">
        <f>IFERROR(__xludf.DUMMYFUNCTION("""COMPUTED_VALUE"""),0.00232)</f>
        <v>0.00232</v>
      </c>
      <c r="H786" s="19" t="str">
        <f>IFERROR(__xludf.DUMMYFUNCTION("""COMPUTED_VALUE"""),"-")</f>
        <v>-</v>
      </c>
      <c r="I786" s="19">
        <f>IFERROR(__xludf.DUMMYFUNCTION("""COMPUTED_VALUE"""),0.00225)</f>
        <v>0.00225</v>
      </c>
      <c r="J786" s="19">
        <f>IFERROR(__xludf.DUMMYFUNCTION("""COMPUTED_VALUE"""),0.04738)</f>
        <v>0.04738</v>
      </c>
      <c r="K786" s="19" t="str">
        <f>IFERROR(__xludf.DUMMYFUNCTION("""COMPUTED_VALUE"""),"-")</f>
        <v>-</v>
      </c>
      <c r="L786" s="19">
        <f>IFERROR(__xludf.DUMMYFUNCTION("""COMPUTED_VALUE"""),0.04755)</f>
        <v>0.04755</v>
      </c>
      <c r="O786" s="24">
        <f t="shared" si="4"/>
        <v>0</v>
      </c>
      <c r="P786" s="24"/>
      <c r="Q786" s="24">
        <f t="shared" si="6"/>
        <v>0</v>
      </c>
      <c r="R786" s="24">
        <f t="shared" si="7"/>
        <v>0</v>
      </c>
      <c r="S786" s="24"/>
      <c r="T786" s="24">
        <f t="shared" si="9"/>
        <v>0</v>
      </c>
    </row>
    <row r="787">
      <c r="A787" s="12" t="s">
        <v>876</v>
      </c>
      <c r="F787" s="19">
        <f>IFERROR(__xludf.DUMMYFUNCTION("SPLIT(A783, "" |"")"),781.0)</f>
        <v>781</v>
      </c>
      <c r="G787" s="19">
        <f>IFERROR(__xludf.DUMMYFUNCTION("""COMPUTED_VALUE"""),0.0024)</f>
        <v>0.0024</v>
      </c>
      <c r="H787" s="19" t="str">
        <f>IFERROR(__xludf.DUMMYFUNCTION("""COMPUTED_VALUE"""),"-")</f>
        <v>-</v>
      </c>
      <c r="I787" s="19">
        <f>IFERROR(__xludf.DUMMYFUNCTION("""COMPUTED_VALUE"""),0.00217)</f>
        <v>0.00217</v>
      </c>
      <c r="J787" s="19">
        <f>IFERROR(__xludf.DUMMYFUNCTION("""COMPUTED_VALUE"""),0.04751)</f>
        <v>0.04751</v>
      </c>
      <c r="K787" s="19" t="str">
        <f>IFERROR(__xludf.DUMMYFUNCTION("""COMPUTED_VALUE"""),"-")</f>
        <v>-</v>
      </c>
      <c r="L787" s="19">
        <f>IFERROR(__xludf.DUMMYFUNCTION("""COMPUTED_VALUE"""),0.04766)</f>
        <v>0.04766</v>
      </c>
      <c r="O787" s="24">
        <f t="shared" si="4"/>
        <v>0</v>
      </c>
      <c r="P787" s="24"/>
      <c r="Q787" s="24">
        <f t="shared" si="6"/>
        <v>0</v>
      </c>
      <c r="R787" s="24">
        <f t="shared" si="7"/>
        <v>0</v>
      </c>
      <c r="S787" s="24"/>
      <c r="T787" s="24">
        <f t="shared" si="9"/>
        <v>0</v>
      </c>
    </row>
    <row r="788">
      <c r="A788" s="12" t="s">
        <v>877</v>
      </c>
      <c r="F788" s="19">
        <f>IFERROR(__xludf.DUMMYFUNCTION("SPLIT(A784, "" |"")"),782.0)</f>
        <v>782</v>
      </c>
      <c r="G788" s="19">
        <f>IFERROR(__xludf.DUMMYFUNCTION("""COMPUTED_VALUE"""),0.0024)</f>
        <v>0.0024</v>
      </c>
      <c r="H788" s="19" t="str">
        <f>IFERROR(__xludf.DUMMYFUNCTION("""COMPUTED_VALUE"""),"-")</f>
        <v>-</v>
      </c>
      <c r="I788" s="19">
        <f>IFERROR(__xludf.DUMMYFUNCTION("""COMPUTED_VALUE"""),0.00222)</f>
        <v>0.00222</v>
      </c>
      <c r="J788" s="19">
        <f>IFERROR(__xludf.DUMMYFUNCTION("""COMPUTED_VALUE"""),0.04173)</f>
        <v>0.04173</v>
      </c>
      <c r="K788" s="19" t="str">
        <f>IFERROR(__xludf.DUMMYFUNCTION("""COMPUTED_VALUE"""),"-")</f>
        <v>-</v>
      </c>
      <c r="L788" s="19">
        <f>IFERROR(__xludf.DUMMYFUNCTION("""COMPUTED_VALUE"""),0.04762)</f>
        <v>0.04762</v>
      </c>
      <c r="O788" s="24">
        <f t="shared" si="4"/>
        <v>0</v>
      </c>
      <c r="P788" s="24"/>
      <c r="Q788" s="24">
        <f t="shared" si="6"/>
        <v>0</v>
      </c>
      <c r="R788" s="24">
        <f t="shared" si="7"/>
        <v>1</v>
      </c>
      <c r="S788" s="24"/>
      <c r="T788" s="24">
        <f t="shared" si="9"/>
        <v>0</v>
      </c>
    </row>
    <row r="789">
      <c r="A789" s="12" t="s">
        <v>878</v>
      </c>
      <c r="F789" s="19">
        <f>IFERROR(__xludf.DUMMYFUNCTION("SPLIT(A785, "" |"")"),783.0)</f>
        <v>783</v>
      </c>
      <c r="G789" s="19">
        <f>IFERROR(__xludf.DUMMYFUNCTION("""COMPUTED_VALUE"""),0.00237)</f>
        <v>0.00237</v>
      </c>
      <c r="H789" s="19" t="str">
        <f>IFERROR(__xludf.DUMMYFUNCTION("""COMPUTED_VALUE"""),"-")</f>
        <v>-</v>
      </c>
      <c r="I789" s="19">
        <f>IFERROR(__xludf.DUMMYFUNCTION("""COMPUTED_VALUE"""),0.00231)</f>
        <v>0.00231</v>
      </c>
      <c r="J789" s="19">
        <f>IFERROR(__xludf.DUMMYFUNCTION("""COMPUTED_VALUE"""),0.04753)</f>
        <v>0.04753</v>
      </c>
      <c r="K789" s="19" t="str">
        <f>IFERROR(__xludf.DUMMYFUNCTION("""COMPUTED_VALUE"""),"-")</f>
        <v>-</v>
      </c>
      <c r="L789" s="19">
        <f>IFERROR(__xludf.DUMMYFUNCTION("""COMPUTED_VALUE"""),0.04595)</f>
        <v>0.04595</v>
      </c>
      <c r="O789" s="24">
        <f t="shared" si="4"/>
        <v>0</v>
      </c>
      <c r="P789" s="24"/>
      <c r="Q789" s="24">
        <f t="shared" si="6"/>
        <v>0</v>
      </c>
      <c r="R789" s="24">
        <f t="shared" si="7"/>
        <v>0</v>
      </c>
      <c r="S789" s="24"/>
      <c r="T789" s="24">
        <f t="shared" si="9"/>
        <v>0</v>
      </c>
    </row>
    <row r="790">
      <c r="A790" s="12" t="s">
        <v>879</v>
      </c>
      <c r="F790" s="19">
        <f>IFERROR(__xludf.DUMMYFUNCTION("SPLIT(A786, "" |"")"),784.0)</f>
        <v>784</v>
      </c>
      <c r="G790" s="19">
        <f>IFERROR(__xludf.DUMMYFUNCTION("""COMPUTED_VALUE"""),0.00229)</f>
        <v>0.00229</v>
      </c>
      <c r="H790" s="19" t="str">
        <f>IFERROR(__xludf.DUMMYFUNCTION("""COMPUTED_VALUE"""),"-")</f>
        <v>-</v>
      </c>
      <c r="I790" s="19">
        <f>IFERROR(__xludf.DUMMYFUNCTION("""COMPUTED_VALUE"""),0.00222)</f>
        <v>0.00222</v>
      </c>
      <c r="J790" s="19">
        <f>IFERROR(__xludf.DUMMYFUNCTION("""COMPUTED_VALUE"""),0.04744)</f>
        <v>0.04744</v>
      </c>
      <c r="K790" s="19" t="str">
        <f>IFERROR(__xludf.DUMMYFUNCTION("""COMPUTED_VALUE"""),"-")</f>
        <v>-</v>
      </c>
      <c r="L790" s="19">
        <f>IFERROR(__xludf.DUMMYFUNCTION("""COMPUTED_VALUE"""),0.04761)</f>
        <v>0.04761</v>
      </c>
      <c r="O790" s="24">
        <f t="shared" si="4"/>
        <v>0</v>
      </c>
      <c r="P790" s="24"/>
      <c r="Q790" s="24">
        <f t="shared" si="6"/>
        <v>0</v>
      </c>
      <c r="R790" s="24">
        <f t="shared" si="7"/>
        <v>0</v>
      </c>
      <c r="S790" s="24"/>
      <c r="T790" s="24">
        <f t="shared" si="9"/>
        <v>0</v>
      </c>
    </row>
    <row r="791">
      <c r="A791" s="12" t="s">
        <v>880</v>
      </c>
      <c r="F791" s="19">
        <f>IFERROR(__xludf.DUMMYFUNCTION("SPLIT(A787, "" |"")"),785.0)</f>
        <v>785</v>
      </c>
      <c r="G791" s="19">
        <f>IFERROR(__xludf.DUMMYFUNCTION("""COMPUTED_VALUE"""),0.00242)</f>
        <v>0.00242</v>
      </c>
      <c r="H791" s="19" t="str">
        <f>IFERROR(__xludf.DUMMYFUNCTION("""COMPUTED_VALUE"""),"-")</f>
        <v>-</v>
      </c>
      <c r="I791" s="19">
        <f>IFERROR(__xludf.DUMMYFUNCTION("""COMPUTED_VALUE"""),0.00225)</f>
        <v>0.00225</v>
      </c>
      <c r="J791" s="19">
        <f>IFERROR(__xludf.DUMMYFUNCTION("""COMPUTED_VALUE"""),0.04572)</f>
        <v>0.04572</v>
      </c>
      <c r="K791" s="19" t="str">
        <f>IFERROR(__xludf.DUMMYFUNCTION("""COMPUTED_VALUE"""),"-")</f>
        <v>-</v>
      </c>
      <c r="L791" s="19">
        <f>IFERROR(__xludf.DUMMYFUNCTION("""COMPUTED_VALUE"""),0.04639)</f>
        <v>0.04639</v>
      </c>
      <c r="O791" s="24">
        <f t="shared" si="4"/>
        <v>0</v>
      </c>
      <c r="P791" s="24"/>
      <c r="Q791" s="24">
        <f t="shared" si="6"/>
        <v>0</v>
      </c>
      <c r="R791" s="24">
        <f t="shared" si="7"/>
        <v>0</v>
      </c>
      <c r="S791" s="24"/>
      <c r="T791" s="24">
        <f t="shared" si="9"/>
        <v>0</v>
      </c>
    </row>
    <row r="792">
      <c r="A792" s="12" t="s">
        <v>881</v>
      </c>
      <c r="F792" s="19">
        <f>IFERROR(__xludf.DUMMYFUNCTION("SPLIT(A788, "" |"")"),786.0)</f>
        <v>786</v>
      </c>
      <c r="G792" s="19">
        <f>IFERROR(__xludf.DUMMYFUNCTION("""COMPUTED_VALUE"""),0.00237)</f>
        <v>0.00237</v>
      </c>
      <c r="H792" s="19" t="str">
        <f>IFERROR(__xludf.DUMMYFUNCTION("""COMPUTED_VALUE"""),"-")</f>
        <v>-</v>
      </c>
      <c r="I792" s="19">
        <f>IFERROR(__xludf.DUMMYFUNCTION("""COMPUTED_VALUE"""),0.00216)</f>
        <v>0.00216</v>
      </c>
      <c r="J792" s="19">
        <f>IFERROR(__xludf.DUMMYFUNCTION("""COMPUTED_VALUE"""),0.04748)</f>
        <v>0.04748</v>
      </c>
      <c r="K792" s="19" t="str">
        <f>IFERROR(__xludf.DUMMYFUNCTION("""COMPUTED_VALUE"""),"-")</f>
        <v>-</v>
      </c>
      <c r="L792" s="19">
        <f>IFERROR(__xludf.DUMMYFUNCTION("""COMPUTED_VALUE"""),0.04754)</f>
        <v>0.04754</v>
      </c>
      <c r="O792" s="24">
        <f t="shared" si="4"/>
        <v>0</v>
      </c>
      <c r="P792" s="24"/>
      <c r="Q792" s="24">
        <f t="shared" si="6"/>
        <v>0</v>
      </c>
      <c r="R792" s="24">
        <f t="shared" si="7"/>
        <v>0</v>
      </c>
      <c r="S792" s="24"/>
      <c r="T792" s="24">
        <f t="shared" si="9"/>
        <v>0</v>
      </c>
    </row>
    <row r="793">
      <c r="A793" s="12" t="s">
        <v>882</v>
      </c>
      <c r="F793" s="19">
        <f>IFERROR(__xludf.DUMMYFUNCTION("SPLIT(A789, "" |"")"),787.0)</f>
        <v>787</v>
      </c>
      <c r="G793" s="19">
        <f>IFERROR(__xludf.DUMMYFUNCTION("""COMPUTED_VALUE"""),0.0024)</f>
        <v>0.0024</v>
      </c>
      <c r="H793" s="19" t="str">
        <f>IFERROR(__xludf.DUMMYFUNCTION("""COMPUTED_VALUE"""),"-")</f>
        <v>-</v>
      </c>
      <c r="I793" s="19">
        <f>IFERROR(__xludf.DUMMYFUNCTION("""COMPUTED_VALUE"""),0.00223)</f>
        <v>0.00223</v>
      </c>
      <c r="J793" s="19">
        <f>IFERROR(__xludf.DUMMYFUNCTION("""COMPUTED_VALUE"""),0.04749)</f>
        <v>0.04749</v>
      </c>
      <c r="K793" s="19" t="str">
        <f>IFERROR(__xludf.DUMMYFUNCTION("""COMPUTED_VALUE"""),"-")</f>
        <v>-</v>
      </c>
      <c r="L793" s="19">
        <f>IFERROR(__xludf.DUMMYFUNCTION("""COMPUTED_VALUE"""),0.04763)</f>
        <v>0.04763</v>
      </c>
      <c r="O793" s="24">
        <f t="shared" si="4"/>
        <v>0</v>
      </c>
      <c r="P793" s="24"/>
      <c r="Q793" s="24">
        <f t="shared" si="6"/>
        <v>0</v>
      </c>
      <c r="R793" s="24">
        <f t="shared" si="7"/>
        <v>0</v>
      </c>
      <c r="S793" s="24"/>
      <c r="T793" s="24">
        <f t="shared" si="9"/>
        <v>0</v>
      </c>
    </row>
    <row r="794">
      <c r="A794" s="12" t="s">
        <v>883</v>
      </c>
      <c r="F794" s="19">
        <f>IFERROR(__xludf.DUMMYFUNCTION("SPLIT(A790, "" |"")"),788.0)</f>
        <v>788</v>
      </c>
      <c r="G794" s="19">
        <f>IFERROR(__xludf.DUMMYFUNCTION("""COMPUTED_VALUE"""),0.00239)</f>
        <v>0.00239</v>
      </c>
      <c r="H794" s="19" t="str">
        <f>IFERROR(__xludf.DUMMYFUNCTION("""COMPUTED_VALUE"""),"-")</f>
        <v>-</v>
      </c>
      <c r="I794" s="19">
        <f>IFERROR(__xludf.DUMMYFUNCTION("""COMPUTED_VALUE"""),0.00226)</f>
        <v>0.00226</v>
      </c>
      <c r="J794" s="19">
        <f>IFERROR(__xludf.DUMMYFUNCTION("""COMPUTED_VALUE"""),0.04409)</f>
        <v>0.04409</v>
      </c>
      <c r="K794" s="19" t="str">
        <f>IFERROR(__xludf.DUMMYFUNCTION("""COMPUTED_VALUE"""),"-")</f>
        <v>-</v>
      </c>
      <c r="L794" s="19">
        <f>IFERROR(__xludf.DUMMYFUNCTION("""COMPUTED_VALUE"""),0.04756)</f>
        <v>0.04756</v>
      </c>
      <c r="O794" s="24">
        <f t="shared" si="4"/>
        <v>0</v>
      </c>
      <c r="P794" s="24"/>
      <c r="Q794" s="24">
        <f t="shared" si="6"/>
        <v>0</v>
      </c>
      <c r="R794" s="24">
        <f t="shared" si="7"/>
        <v>1</v>
      </c>
      <c r="S794" s="24"/>
      <c r="T794" s="24">
        <f t="shared" si="9"/>
        <v>0</v>
      </c>
    </row>
    <row r="795">
      <c r="A795" s="12" t="s">
        <v>884</v>
      </c>
      <c r="F795" s="19">
        <f>IFERROR(__xludf.DUMMYFUNCTION("SPLIT(A791, "" |"")"),789.0)</f>
        <v>789</v>
      </c>
      <c r="G795" s="19">
        <f>IFERROR(__xludf.DUMMYFUNCTION("""COMPUTED_VALUE"""),0.00233)</f>
        <v>0.00233</v>
      </c>
      <c r="H795" s="19" t="str">
        <f>IFERROR(__xludf.DUMMYFUNCTION("""COMPUTED_VALUE"""),"-")</f>
        <v>-</v>
      </c>
      <c r="I795" s="19">
        <f>IFERROR(__xludf.DUMMYFUNCTION("""COMPUTED_VALUE"""),0.00221)</f>
        <v>0.00221</v>
      </c>
      <c r="J795" s="19">
        <f>IFERROR(__xludf.DUMMYFUNCTION("""COMPUTED_VALUE"""),0.04747)</f>
        <v>0.04747</v>
      </c>
      <c r="K795" s="19" t="str">
        <f>IFERROR(__xludf.DUMMYFUNCTION("""COMPUTED_VALUE"""),"-")</f>
        <v>-</v>
      </c>
      <c r="L795" s="19">
        <f>IFERROR(__xludf.DUMMYFUNCTION("""COMPUTED_VALUE"""),0.0476)</f>
        <v>0.0476</v>
      </c>
      <c r="O795" s="24">
        <f t="shared" si="4"/>
        <v>0</v>
      </c>
      <c r="P795" s="24"/>
      <c r="Q795" s="24">
        <f t="shared" si="6"/>
        <v>0</v>
      </c>
      <c r="R795" s="24">
        <f t="shared" si="7"/>
        <v>0</v>
      </c>
      <c r="S795" s="24"/>
      <c r="T795" s="24">
        <f t="shared" si="9"/>
        <v>0</v>
      </c>
    </row>
    <row r="796">
      <c r="A796" s="12" t="s">
        <v>885</v>
      </c>
      <c r="F796" s="19">
        <f>IFERROR(__xludf.DUMMYFUNCTION("SPLIT(A792, "" |"")"),790.0)</f>
        <v>790</v>
      </c>
      <c r="G796" s="19">
        <f>IFERROR(__xludf.DUMMYFUNCTION("""COMPUTED_VALUE"""),0.00241)</f>
        <v>0.00241</v>
      </c>
      <c r="H796" s="19" t="str">
        <f>IFERROR(__xludf.DUMMYFUNCTION("""COMPUTED_VALUE"""),"-")</f>
        <v>-</v>
      </c>
      <c r="I796" s="19">
        <f>IFERROR(__xludf.DUMMYFUNCTION("""COMPUTED_VALUE"""),0.00223)</f>
        <v>0.00223</v>
      </c>
      <c r="J796" s="19">
        <f>IFERROR(__xludf.DUMMYFUNCTION("""COMPUTED_VALUE"""),0.04741)</f>
        <v>0.04741</v>
      </c>
      <c r="K796" s="19" t="str">
        <f>IFERROR(__xludf.DUMMYFUNCTION("""COMPUTED_VALUE"""),"-")</f>
        <v>-</v>
      </c>
      <c r="L796" s="19">
        <f>IFERROR(__xludf.DUMMYFUNCTION("""COMPUTED_VALUE"""),0.04748)</f>
        <v>0.04748</v>
      </c>
      <c r="O796" s="24">
        <f t="shared" si="4"/>
        <v>0</v>
      </c>
      <c r="P796" s="24"/>
      <c r="Q796" s="24">
        <f t="shared" si="6"/>
        <v>0</v>
      </c>
      <c r="R796" s="24">
        <f t="shared" si="7"/>
        <v>0</v>
      </c>
      <c r="S796" s="24"/>
      <c r="T796" s="24">
        <f t="shared" si="9"/>
        <v>0</v>
      </c>
    </row>
    <row r="797">
      <c r="A797" s="12" t="s">
        <v>886</v>
      </c>
      <c r="F797" s="19">
        <f>IFERROR(__xludf.DUMMYFUNCTION("SPLIT(A793, "" |"")"),791.0)</f>
        <v>791</v>
      </c>
      <c r="G797" s="19">
        <f>IFERROR(__xludf.DUMMYFUNCTION("""COMPUTED_VALUE"""),0.00241)</f>
        <v>0.00241</v>
      </c>
      <c r="H797" s="19" t="str">
        <f>IFERROR(__xludf.DUMMYFUNCTION("""COMPUTED_VALUE"""),"-")</f>
        <v>-</v>
      </c>
      <c r="I797" s="19">
        <f>IFERROR(__xludf.DUMMYFUNCTION("""COMPUTED_VALUE"""),0.00223)</f>
        <v>0.00223</v>
      </c>
      <c r="J797" s="19">
        <f>IFERROR(__xludf.DUMMYFUNCTION("""COMPUTED_VALUE"""),0.04741)</f>
        <v>0.04741</v>
      </c>
      <c r="K797" s="19" t="str">
        <f>IFERROR(__xludf.DUMMYFUNCTION("""COMPUTED_VALUE"""),"-")</f>
        <v>-</v>
      </c>
      <c r="L797" s="19">
        <f>IFERROR(__xludf.DUMMYFUNCTION("""COMPUTED_VALUE"""),0.04026)</f>
        <v>0.04026</v>
      </c>
      <c r="O797" s="24">
        <f t="shared" si="4"/>
        <v>0</v>
      </c>
      <c r="P797" s="24"/>
      <c r="Q797" s="24">
        <f t="shared" si="6"/>
        <v>0</v>
      </c>
      <c r="R797" s="24">
        <f t="shared" si="7"/>
        <v>0</v>
      </c>
      <c r="S797" s="24"/>
      <c r="T797" s="24">
        <f t="shared" si="9"/>
        <v>0</v>
      </c>
    </row>
    <row r="798">
      <c r="A798" s="12" t="s">
        <v>887</v>
      </c>
      <c r="F798" s="19">
        <f>IFERROR(__xludf.DUMMYFUNCTION("SPLIT(A794, "" |"")"),792.0)</f>
        <v>792</v>
      </c>
      <c r="G798" s="19">
        <f>IFERROR(__xludf.DUMMYFUNCTION("""COMPUTED_VALUE"""),0.00234)</f>
        <v>0.00234</v>
      </c>
      <c r="H798" s="19" t="str">
        <f>IFERROR(__xludf.DUMMYFUNCTION("""COMPUTED_VALUE"""),"-")</f>
        <v>-</v>
      </c>
      <c r="I798" s="19">
        <f>IFERROR(__xludf.DUMMYFUNCTION("""COMPUTED_VALUE"""),0.00217)</f>
        <v>0.00217</v>
      </c>
      <c r="J798" s="19">
        <f>IFERROR(__xludf.DUMMYFUNCTION("""COMPUTED_VALUE"""),0.04745)</f>
        <v>0.04745</v>
      </c>
      <c r="K798" s="19" t="str">
        <f>IFERROR(__xludf.DUMMYFUNCTION("""COMPUTED_VALUE"""),"-")</f>
        <v>-</v>
      </c>
      <c r="L798" s="19">
        <f>IFERROR(__xludf.DUMMYFUNCTION("""COMPUTED_VALUE"""),0.04763)</f>
        <v>0.04763</v>
      </c>
      <c r="O798" s="24">
        <f t="shared" si="4"/>
        <v>0</v>
      </c>
      <c r="P798" s="24"/>
      <c r="Q798" s="24">
        <f t="shared" si="6"/>
        <v>0</v>
      </c>
      <c r="R798" s="24">
        <f t="shared" si="7"/>
        <v>0</v>
      </c>
      <c r="S798" s="24"/>
      <c r="T798" s="24">
        <f t="shared" si="9"/>
        <v>0</v>
      </c>
    </row>
    <row r="799">
      <c r="A799" s="12" t="s">
        <v>888</v>
      </c>
      <c r="F799" s="19">
        <f>IFERROR(__xludf.DUMMYFUNCTION("SPLIT(A795, "" |"")"),793.0)</f>
        <v>793</v>
      </c>
      <c r="G799" s="19">
        <f>IFERROR(__xludf.DUMMYFUNCTION("""COMPUTED_VALUE"""),0.00234)</f>
        <v>0.00234</v>
      </c>
      <c r="H799" s="19" t="str">
        <f>IFERROR(__xludf.DUMMYFUNCTION("""COMPUTED_VALUE"""),"-")</f>
        <v>-</v>
      </c>
      <c r="I799" s="19">
        <f>IFERROR(__xludf.DUMMYFUNCTION("""COMPUTED_VALUE"""),0.00219)</f>
        <v>0.00219</v>
      </c>
      <c r="J799" s="19">
        <f>IFERROR(__xludf.DUMMYFUNCTION("""COMPUTED_VALUE"""),0.04747)</f>
        <v>0.04747</v>
      </c>
      <c r="K799" s="19" t="str">
        <f>IFERROR(__xludf.DUMMYFUNCTION("""COMPUTED_VALUE"""),"-")</f>
        <v>-</v>
      </c>
      <c r="L799" s="19">
        <f>IFERROR(__xludf.DUMMYFUNCTION("""COMPUTED_VALUE"""),0.04764)</f>
        <v>0.04764</v>
      </c>
      <c r="O799" s="24">
        <f t="shared" si="4"/>
        <v>0</v>
      </c>
      <c r="P799" s="24"/>
      <c r="Q799" s="24">
        <f t="shared" si="6"/>
        <v>0</v>
      </c>
      <c r="R799" s="24">
        <f t="shared" si="7"/>
        <v>0</v>
      </c>
      <c r="S799" s="24"/>
      <c r="T799" s="24">
        <f t="shared" si="9"/>
        <v>0</v>
      </c>
    </row>
    <row r="800">
      <c r="A800" s="12" t="s">
        <v>889</v>
      </c>
      <c r="F800" s="19">
        <f>IFERROR(__xludf.DUMMYFUNCTION("SPLIT(A796, "" |"")"),794.0)</f>
        <v>794</v>
      </c>
      <c r="G800" s="19">
        <f>IFERROR(__xludf.DUMMYFUNCTION("""COMPUTED_VALUE"""),0.00243)</f>
        <v>0.00243</v>
      </c>
      <c r="H800" s="19" t="str">
        <f>IFERROR(__xludf.DUMMYFUNCTION("""COMPUTED_VALUE"""),"-")</f>
        <v>-</v>
      </c>
      <c r="I800" s="19">
        <f>IFERROR(__xludf.DUMMYFUNCTION("""COMPUTED_VALUE"""),0.00221)</f>
        <v>0.00221</v>
      </c>
      <c r="J800" s="19">
        <f>IFERROR(__xludf.DUMMYFUNCTION("""COMPUTED_VALUE"""),0.04746)</f>
        <v>0.04746</v>
      </c>
      <c r="K800" s="19" t="str">
        <f>IFERROR(__xludf.DUMMYFUNCTION("""COMPUTED_VALUE"""),"-")</f>
        <v>-</v>
      </c>
      <c r="L800" s="19">
        <f>IFERROR(__xludf.DUMMYFUNCTION("""COMPUTED_VALUE"""),0.04766)</f>
        <v>0.04766</v>
      </c>
      <c r="O800" s="24">
        <f t="shared" si="4"/>
        <v>0</v>
      </c>
      <c r="P800" s="24"/>
      <c r="Q800" s="24">
        <f t="shared" si="6"/>
        <v>0</v>
      </c>
      <c r="R800" s="24">
        <f t="shared" si="7"/>
        <v>0</v>
      </c>
      <c r="S800" s="24"/>
      <c r="T800" s="24">
        <f t="shared" si="9"/>
        <v>0</v>
      </c>
    </row>
    <row r="801">
      <c r="A801" s="12" t="s">
        <v>890</v>
      </c>
      <c r="F801" s="19">
        <f>IFERROR(__xludf.DUMMYFUNCTION("SPLIT(A797, "" |"")"),795.0)</f>
        <v>795</v>
      </c>
      <c r="G801" s="19">
        <f>IFERROR(__xludf.DUMMYFUNCTION("""COMPUTED_VALUE"""),0.00237)</f>
        <v>0.00237</v>
      </c>
      <c r="H801" s="19" t="str">
        <f>IFERROR(__xludf.DUMMYFUNCTION("""COMPUTED_VALUE"""),"-")</f>
        <v>-</v>
      </c>
      <c r="I801" s="19">
        <f>IFERROR(__xludf.DUMMYFUNCTION("""COMPUTED_VALUE"""),0.00225)</f>
        <v>0.00225</v>
      </c>
      <c r="J801" s="19">
        <f>IFERROR(__xludf.DUMMYFUNCTION("""COMPUTED_VALUE"""),0.04263)</f>
        <v>0.04263</v>
      </c>
      <c r="K801" s="19" t="str">
        <f>IFERROR(__xludf.DUMMYFUNCTION("""COMPUTED_VALUE"""),"-")</f>
        <v>-</v>
      </c>
      <c r="L801" s="19">
        <f>IFERROR(__xludf.DUMMYFUNCTION("""COMPUTED_VALUE"""),0.04772)</f>
        <v>0.04772</v>
      </c>
      <c r="O801" s="24">
        <f t="shared" si="4"/>
        <v>0</v>
      </c>
      <c r="P801" s="24"/>
      <c r="Q801" s="24">
        <f t="shared" si="6"/>
        <v>0</v>
      </c>
      <c r="R801" s="24">
        <f t="shared" si="7"/>
        <v>1</v>
      </c>
      <c r="S801" s="24"/>
      <c r="T801" s="24">
        <f t="shared" si="9"/>
        <v>0</v>
      </c>
    </row>
    <row r="802">
      <c r="A802" s="12" t="s">
        <v>891</v>
      </c>
      <c r="F802" s="19">
        <f>IFERROR(__xludf.DUMMYFUNCTION("SPLIT(A798, "" |"")"),796.0)</f>
        <v>796</v>
      </c>
      <c r="G802" s="19">
        <f>IFERROR(__xludf.DUMMYFUNCTION("""COMPUTED_VALUE"""),0.00239)</f>
        <v>0.00239</v>
      </c>
      <c r="H802" s="19" t="str">
        <f>IFERROR(__xludf.DUMMYFUNCTION("""COMPUTED_VALUE"""),"-")</f>
        <v>-</v>
      </c>
      <c r="I802" s="19">
        <f>IFERROR(__xludf.DUMMYFUNCTION("""COMPUTED_VALUE"""),0.0022)</f>
        <v>0.0022</v>
      </c>
      <c r="J802" s="19">
        <f>IFERROR(__xludf.DUMMYFUNCTION("""COMPUTED_VALUE"""),0.04744)</f>
        <v>0.04744</v>
      </c>
      <c r="K802" s="19" t="str">
        <f>IFERROR(__xludf.DUMMYFUNCTION("""COMPUTED_VALUE"""),"-")</f>
        <v>-</v>
      </c>
      <c r="L802" s="19">
        <f>IFERROR(__xludf.DUMMYFUNCTION("""COMPUTED_VALUE"""),0.04765)</f>
        <v>0.04765</v>
      </c>
      <c r="O802" s="24">
        <f t="shared" si="4"/>
        <v>0</v>
      </c>
      <c r="P802" s="24"/>
      <c r="Q802" s="24">
        <f t="shared" si="6"/>
        <v>0</v>
      </c>
      <c r="R802" s="24">
        <f t="shared" si="7"/>
        <v>0</v>
      </c>
      <c r="S802" s="24"/>
      <c r="T802" s="24">
        <f t="shared" si="9"/>
        <v>0</v>
      </c>
    </row>
    <row r="803">
      <c r="A803" s="12" t="s">
        <v>892</v>
      </c>
      <c r="F803" s="19">
        <f>IFERROR(__xludf.DUMMYFUNCTION("SPLIT(A799, "" |"")"),797.0)</f>
        <v>797</v>
      </c>
      <c r="G803" s="19">
        <f>IFERROR(__xludf.DUMMYFUNCTION("""COMPUTED_VALUE"""),0.00247)</f>
        <v>0.00247</v>
      </c>
      <c r="H803" s="19" t="str">
        <f>IFERROR(__xludf.DUMMYFUNCTION("""COMPUTED_VALUE"""),"-")</f>
        <v>-</v>
      </c>
      <c r="I803" s="19">
        <f>IFERROR(__xludf.DUMMYFUNCTION("""COMPUTED_VALUE"""),0.0023)</f>
        <v>0.0023</v>
      </c>
      <c r="J803" s="19">
        <f>IFERROR(__xludf.DUMMYFUNCTION("""COMPUTED_VALUE"""),0.04748)</f>
        <v>0.04748</v>
      </c>
      <c r="K803" s="19" t="str">
        <f>IFERROR(__xludf.DUMMYFUNCTION("""COMPUTED_VALUE"""),"-")</f>
        <v>-</v>
      </c>
      <c r="L803" s="19">
        <f>IFERROR(__xludf.DUMMYFUNCTION("""COMPUTED_VALUE"""),0.04763)</f>
        <v>0.04763</v>
      </c>
      <c r="O803" s="24">
        <f t="shared" si="4"/>
        <v>0</v>
      </c>
      <c r="P803" s="24"/>
      <c r="Q803" s="24">
        <f t="shared" si="6"/>
        <v>0</v>
      </c>
      <c r="R803" s="24">
        <f t="shared" si="7"/>
        <v>0</v>
      </c>
      <c r="S803" s="24"/>
      <c r="T803" s="24">
        <f t="shared" si="9"/>
        <v>0</v>
      </c>
    </row>
    <row r="804">
      <c r="A804" s="12" t="s">
        <v>893</v>
      </c>
      <c r="F804" s="19">
        <f>IFERROR(__xludf.DUMMYFUNCTION("SPLIT(A800, "" |"")"),798.0)</f>
        <v>798</v>
      </c>
      <c r="G804" s="19">
        <f>IFERROR(__xludf.DUMMYFUNCTION("""COMPUTED_VALUE"""),0.00238)</f>
        <v>0.00238</v>
      </c>
      <c r="H804" s="19" t="str">
        <f>IFERROR(__xludf.DUMMYFUNCTION("""COMPUTED_VALUE"""),"-")</f>
        <v>-</v>
      </c>
      <c r="I804" s="19">
        <f>IFERROR(__xludf.DUMMYFUNCTION("""COMPUTED_VALUE"""),0.0021)</f>
        <v>0.0021</v>
      </c>
      <c r="J804" s="19">
        <f>IFERROR(__xludf.DUMMYFUNCTION("""COMPUTED_VALUE"""),0.04734)</f>
        <v>0.04734</v>
      </c>
      <c r="K804" s="19" t="str">
        <f>IFERROR(__xludf.DUMMYFUNCTION("""COMPUTED_VALUE"""),"-")</f>
        <v>-</v>
      </c>
      <c r="L804" s="19">
        <f>IFERROR(__xludf.DUMMYFUNCTION("""COMPUTED_VALUE"""),0.04763)</f>
        <v>0.04763</v>
      </c>
      <c r="O804" s="24">
        <f t="shared" si="4"/>
        <v>0</v>
      </c>
      <c r="P804" s="24"/>
      <c r="Q804" s="24">
        <f t="shared" si="6"/>
        <v>0</v>
      </c>
      <c r="R804" s="24">
        <f t="shared" si="7"/>
        <v>0</v>
      </c>
      <c r="S804" s="24"/>
      <c r="T804" s="24">
        <f t="shared" si="9"/>
        <v>0</v>
      </c>
    </row>
    <row r="805">
      <c r="A805" s="12" t="s">
        <v>894</v>
      </c>
      <c r="F805" s="19">
        <f>IFERROR(__xludf.DUMMYFUNCTION("SPLIT(A801, "" |"")"),799.0)</f>
        <v>799</v>
      </c>
      <c r="G805" s="19">
        <f>IFERROR(__xludf.DUMMYFUNCTION("""COMPUTED_VALUE"""),0.00232)</f>
        <v>0.00232</v>
      </c>
      <c r="H805" s="19" t="str">
        <f>IFERROR(__xludf.DUMMYFUNCTION("""COMPUTED_VALUE"""),"-")</f>
        <v>-</v>
      </c>
      <c r="I805" s="19">
        <f>IFERROR(__xludf.DUMMYFUNCTION("""COMPUTED_VALUE"""),0.00214)</f>
        <v>0.00214</v>
      </c>
      <c r="J805" s="19">
        <f>IFERROR(__xludf.DUMMYFUNCTION("""COMPUTED_VALUE"""),0.04737)</f>
        <v>0.04737</v>
      </c>
      <c r="K805" s="19" t="str">
        <f>IFERROR(__xludf.DUMMYFUNCTION("""COMPUTED_VALUE"""),"-")</f>
        <v>-</v>
      </c>
      <c r="L805" s="19">
        <f>IFERROR(__xludf.DUMMYFUNCTION("""COMPUTED_VALUE"""),0.04762)</f>
        <v>0.04762</v>
      </c>
      <c r="O805" s="24">
        <f t="shared" si="4"/>
        <v>0</v>
      </c>
      <c r="P805" s="24"/>
      <c r="Q805" s="24">
        <f t="shared" si="6"/>
        <v>0</v>
      </c>
      <c r="R805" s="24">
        <f t="shared" si="7"/>
        <v>0</v>
      </c>
      <c r="S805" s="24"/>
      <c r="T805" s="24">
        <f t="shared" si="9"/>
        <v>0</v>
      </c>
    </row>
    <row r="806">
      <c r="A806" s="12" t="s">
        <v>895</v>
      </c>
      <c r="F806" s="19">
        <f>IFERROR(__xludf.DUMMYFUNCTION("SPLIT(A802, "" |"")"),800.0)</f>
        <v>800</v>
      </c>
      <c r="G806" s="19">
        <f>IFERROR(__xludf.DUMMYFUNCTION("""COMPUTED_VALUE"""),0.00239)</f>
        <v>0.00239</v>
      </c>
      <c r="H806" s="19" t="str">
        <f>IFERROR(__xludf.DUMMYFUNCTION("""COMPUTED_VALUE"""),"-")</f>
        <v>-</v>
      </c>
      <c r="I806" s="19">
        <f>IFERROR(__xludf.DUMMYFUNCTION("""COMPUTED_VALUE"""),0.00225)</f>
        <v>0.00225</v>
      </c>
      <c r="J806" s="19">
        <f>IFERROR(__xludf.DUMMYFUNCTION("""COMPUTED_VALUE"""),0.04741)</f>
        <v>0.04741</v>
      </c>
      <c r="K806" s="19" t="str">
        <f>IFERROR(__xludf.DUMMYFUNCTION("""COMPUTED_VALUE"""),"-")</f>
        <v>-</v>
      </c>
      <c r="L806" s="19">
        <f>IFERROR(__xludf.DUMMYFUNCTION("""COMPUTED_VALUE"""),0.04363)</f>
        <v>0.04363</v>
      </c>
      <c r="O806" s="24">
        <f t="shared" si="4"/>
        <v>0</v>
      </c>
      <c r="P806" s="24"/>
      <c r="Q806" s="24">
        <f t="shared" si="6"/>
        <v>0</v>
      </c>
      <c r="R806" s="24">
        <f t="shared" si="7"/>
        <v>0</v>
      </c>
      <c r="S806" s="24"/>
      <c r="T806" s="24">
        <f t="shared" si="9"/>
        <v>0</v>
      </c>
    </row>
    <row r="807">
      <c r="A807" s="12" t="s">
        <v>896</v>
      </c>
      <c r="F807" s="19">
        <f>IFERROR(__xludf.DUMMYFUNCTION("SPLIT(A803, "" |"")"),801.0)</f>
        <v>801</v>
      </c>
      <c r="G807" s="19">
        <f>IFERROR(__xludf.DUMMYFUNCTION("""COMPUTED_VALUE"""),0.0024)</f>
        <v>0.0024</v>
      </c>
      <c r="H807" s="19" t="str">
        <f>IFERROR(__xludf.DUMMYFUNCTION("""COMPUTED_VALUE"""),"-")</f>
        <v>-</v>
      </c>
      <c r="I807" s="19">
        <f>IFERROR(__xludf.DUMMYFUNCTION("""COMPUTED_VALUE"""),0.00216)</f>
        <v>0.00216</v>
      </c>
      <c r="J807" s="19">
        <f>IFERROR(__xludf.DUMMYFUNCTION("""COMPUTED_VALUE"""),0.04745)</f>
        <v>0.04745</v>
      </c>
      <c r="K807" s="19" t="str">
        <f>IFERROR(__xludf.DUMMYFUNCTION("""COMPUTED_VALUE"""),"-")</f>
        <v>-</v>
      </c>
      <c r="L807" s="19">
        <f>IFERROR(__xludf.DUMMYFUNCTION("""COMPUTED_VALUE"""),0.04759)</f>
        <v>0.04759</v>
      </c>
      <c r="O807" s="24">
        <f t="shared" si="4"/>
        <v>0</v>
      </c>
      <c r="P807" s="24"/>
      <c r="Q807" s="24">
        <f t="shared" si="6"/>
        <v>0</v>
      </c>
      <c r="R807" s="24">
        <f t="shared" si="7"/>
        <v>0</v>
      </c>
      <c r="S807" s="24"/>
      <c r="T807" s="24">
        <f t="shared" si="9"/>
        <v>0</v>
      </c>
    </row>
    <row r="808">
      <c r="A808" s="12" t="s">
        <v>897</v>
      </c>
      <c r="F808" s="19">
        <f>IFERROR(__xludf.DUMMYFUNCTION("SPLIT(A804, "" |"")"),802.0)</f>
        <v>802</v>
      </c>
      <c r="G808" s="19">
        <f>IFERROR(__xludf.DUMMYFUNCTION("""COMPUTED_VALUE"""),0.00232)</f>
        <v>0.00232</v>
      </c>
      <c r="H808" s="19" t="str">
        <f>IFERROR(__xludf.DUMMYFUNCTION("""COMPUTED_VALUE"""),"-")</f>
        <v>-</v>
      </c>
      <c r="I808" s="19">
        <f>IFERROR(__xludf.DUMMYFUNCTION("""COMPUTED_VALUE"""),0.00224)</f>
        <v>0.00224</v>
      </c>
      <c r="J808" s="19">
        <f>IFERROR(__xludf.DUMMYFUNCTION("""COMPUTED_VALUE"""),0.04742)</f>
        <v>0.04742</v>
      </c>
      <c r="K808" s="19" t="str">
        <f>IFERROR(__xludf.DUMMYFUNCTION("""COMPUTED_VALUE"""),"-")</f>
        <v>-</v>
      </c>
      <c r="L808" s="19">
        <f>IFERROR(__xludf.DUMMYFUNCTION("""COMPUTED_VALUE"""),0.04758)</f>
        <v>0.04758</v>
      </c>
      <c r="O808" s="24">
        <f t="shared" si="4"/>
        <v>0</v>
      </c>
      <c r="P808" s="24"/>
      <c r="Q808" s="24">
        <f t="shared" si="6"/>
        <v>0</v>
      </c>
      <c r="R808" s="24">
        <f t="shared" si="7"/>
        <v>0</v>
      </c>
      <c r="S808" s="24"/>
      <c r="T808" s="24">
        <f t="shared" si="9"/>
        <v>0</v>
      </c>
    </row>
    <row r="809">
      <c r="A809" s="12" t="s">
        <v>898</v>
      </c>
      <c r="F809" s="19">
        <f>IFERROR(__xludf.DUMMYFUNCTION("SPLIT(A805, "" |"")"),803.0)</f>
        <v>803</v>
      </c>
      <c r="G809" s="19">
        <f>IFERROR(__xludf.DUMMYFUNCTION("""COMPUTED_VALUE"""),0.00235)</f>
        <v>0.00235</v>
      </c>
      <c r="H809" s="19" t="str">
        <f>IFERROR(__xludf.DUMMYFUNCTION("""COMPUTED_VALUE"""),"-")</f>
        <v>-</v>
      </c>
      <c r="I809" s="19">
        <f>IFERROR(__xludf.DUMMYFUNCTION("""COMPUTED_VALUE"""),0.00218)</f>
        <v>0.00218</v>
      </c>
      <c r="J809" s="19">
        <f>IFERROR(__xludf.DUMMYFUNCTION("""COMPUTED_VALUE"""),0.04746)</f>
        <v>0.04746</v>
      </c>
      <c r="K809" s="19" t="str">
        <f>IFERROR(__xludf.DUMMYFUNCTION("""COMPUTED_VALUE"""),"-")</f>
        <v>-</v>
      </c>
      <c r="L809" s="19">
        <f>IFERROR(__xludf.DUMMYFUNCTION("""COMPUTED_VALUE"""),0.04777)</f>
        <v>0.04777</v>
      </c>
      <c r="O809" s="24">
        <f t="shared" si="4"/>
        <v>0</v>
      </c>
      <c r="P809" s="24"/>
      <c r="Q809" s="24">
        <f t="shared" si="6"/>
        <v>0</v>
      </c>
      <c r="R809" s="24">
        <f t="shared" si="7"/>
        <v>0</v>
      </c>
      <c r="S809" s="24"/>
      <c r="T809" s="24">
        <f t="shared" si="9"/>
        <v>0</v>
      </c>
    </row>
    <row r="810">
      <c r="A810" s="12" t="s">
        <v>899</v>
      </c>
      <c r="F810" s="19">
        <f>IFERROR(__xludf.DUMMYFUNCTION("SPLIT(A806, "" |"")"),804.0)</f>
        <v>804</v>
      </c>
      <c r="G810" s="19">
        <f>IFERROR(__xludf.DUMMYFUNCTION("""COMPUTED_VALUE"""),0.00238)</f>
        <v>0.00238</v>
      </c>
      <c r="H810" s="19" t="str">
        <f>IFERROR(__xludf.DUMMYFUNCTION("""COMPUTED_VALUE"""),"-")</f>
        <v>-</v>
      </c>
      <c r="I810" s="19">
        <f>IFERROR(__xludf.DUMMYFUNCTION("""COMPUTED_VALUE"""),0.00223)</f>
        <v>0.00223</v>
      </c>
      <c r="J810" s="19">
        <f>IFERROR(__xludf.DUMMYFUNCTION("""COMPUTED_VALUE"""),0.04744)</f>
        <v>0.04744</v>
      </c>
      <c r="K810" s="19" t="str">
        <f>IFERROR(__xludf.DUMMYFUNCTION("""COMPUTED_VALUE"""),"-")</f>
        <v>-</v>
      </c>
      <c r="L810" s="19">
        <f>IFERROR(__xludf.DUMMYFUNCTION("""COMPUTED_VALUE"""),0.04756)</f>
        <v>0.04756</v>
      </c>
      <c r="O810" s="24">
        <f t="shared" si="4"/>
        <v>0</v>
      </c>
      <c r="P810" s="24"/>
      <c r="Q810" s="24">
        <f t="shared" si="6"/>
        <v>0</v>
      </c>
      <c r="R810" s="24">
        <f t="shared" si="7"/>
        <v>0</v>
      </c>
      <c r="S810" s="24"/>
      <c r="T810" s="24">
        <f t="shared" si="9"/>
        <v>0</v>
      </c>
    </row>
    <row r="811">
      <c r="A811" s="12" t="s">
        <v>900</v>
      </c>
      <c r="F811" s="19">
        <f>IFERROR(__xludf.DUMMYFUNCTION("SPLIT(A807, "" |"")"),805.0)</f>
        <v>805</v>
      </c>
      <c r="G811" s="19">
        <f>IFERROR(__xludf.DUMMYFUNCTION("""COMPUTED_VALUE"""),0.00228)</f>
        <v>0.00228</v>
      </c>
      <c r="H811" s="19" t="str">
        <f>IFERROR(__xludf.DUMMYFUNCTION("""COMPUTED_VALUE"""),"-")</f>
        <v>-</v>
      </c>
      <c r="I811" s="19">
        <f>IFERROR(__xludf.DUMMYFUNCTION("""COMPUTED_VALUE"""),0.00212)</f>
        <v>0.00212</v>
      </c>
      <c r="J811" s="19">
        <f>IFERROR(__xludf.DUMMYFUNCTION("""COMPUTED_VALUE"""),0.04735)</f>
        <v>0.04735</v>
      </c>
      <c r="K811" s="19" t="str">
        <f>IFERROR(__xludf.DUMMYFUNCTION("""COMPUTED_VALUE"""),"-")</f>
        <v>-</v>
      </c>
      <c r="L811" s="19">
        <f>IFERROR(__xludf.DUMMYFUNCTION("""COMPUTED_VALUE"""),0.04756)</f>
        <v>0.04756</v>
      </c>
      <c r="O811" s="24">
        <f t="shared" si="4"/>
        <v>0</v>
      </c>
      <c r="P811" s="24"/>
      <c r="Q811" s="24">
        <f t="shared" si="6"/>
        <v>0</v>
      </c>
      <c r="R811" s="24">
        <f t="shared" si="7"/>
        <v>0</v>
      </c>
      <c r="S811" s="24"/>
      <c r="T811" s="24">
        <f t="shared" si="9"/>
        <v>0</v>
      </c>
    </row>
    <row r="812">
      <c r="A812" s="12" t="s">
        <v>901</v>
      </c>
      <c r="F812" s="19">
        <f>IFERROR(__xludf.DUMMYFUNCTION("SPLIT(A808, "" |"")"),806.0)</f>
        <v>806</v>
      </c>
      <c r="G812" s="19">
        <f>IFERROR(__xludf.DUMMYFUNCTION("""COMPUTED_VALUE"""),0.00242)</f>
        <v>0.00242</v>
      </c>
      <c r="H812" s="19" t="str">
        <f>IFERROR(__xludf.DUMMYFUNCTION("""COMPUTED_VALUE"""),"-")</f>
        <v>-</v>
      </c>
      <c r="I812" s="19">
        <f>IFERROR(__xludf.DUMMYFUNCTION("""COMPUTED_VALUE"""),0.00226)</f>
        <v>0.00226</v>
      </c>
      <c r="J812" s="19">
        <f>IFERROR(__xludf.DUMMYFUNCTION("""COMPUTED_VALUE"""),0.04079)</f>
        <v>0.04079</v>
      </c>
      <c r="K812" s="19" t="str">
        <f>IFERROR(__xludf.DUMMYFUNCTION("""COMPUTED_VALUE"""),"-")</f>
        <v>-</v>
      </c>
      <c r="L812" s="19">
        <f>IFERROR(__xludf.DUMMYFUNCTION("""COMPUTED_VALUE"""),0.04765)</f>
        <v>0.04765</v>
      </c>
      <c r="O812" s="24">
        <f t="shared" si="4"/>
        <v>0</v>
      </c>
      <c r="P812" s="24"/>
      <c r="Q812" s="24">
        <f t="shared" si="6"/>
        <v>0</v>
      </c>
      <c r="R812" s="24">
        <f t="shared" si="7"/>
        <v>1</v>
      </c>
      <c r="S812" s="24"/>
      <c r="T812" s="24">
        <f t="shared" si="9"/>
        <v>0</v>
      </c>
    </row>
    <row r="813">
      <c r="A813" s="12" t="s">
        <v>902</v>
      </c>
      <c r="F813" s="19">
        <f>IFERROR(__xludf.DUMMYFUNCTION("SPLIT(A809, "" |"")"),807.0)</f>
        <v>807</v>
      </c>
      <c r="G813" s="19">
        <f>IFERROR(__xludf.DUMMYFUNCTION("""COMPUTED_VALUE"""),0.00236)</f>
        <v>0.00236</v>
      </c>
      <c r="H813" s="19" t="str">
        <f>IFERROR(__xludf.DUMMYFUNCTION("""COMPUTED_VALUE"""),"-")</f>
        <v>-</v>
      </c>
      <c r="I813" s="19">
        <f>IFERROR(__xludf.DUMMYFUNCTION("""COMPUTED_VALUE"""),0.00221)</f>
        <v>0.00221</v>
      </c>
      <c r="J813" s="19">
        <f>IFERROR(__xludf.DUMMYFUNCTION("""COMPUTED_VALUE"""),0.04742)</f>
        <v>0.04742</v>
      </c>
      <c r="K813" s="19" t="str">
        <f>IFERROR(__xludf.DUMMYFUNCTION("""COMPUTED_VALUE"""),"-")</f>
        <v>-</v>
      </c>
      <c r="L813" s="19">
        <f>IFERROR(__xludf.DUMMYFUNCTION("""COMPUTED_VALUE"""),0.04755)</f>
        <v>0.04755</v>
      </c>
      <c r="O813" s="24">
        <f t="shared" si="4"/>
        <v>0</v>
      </c>
      <c r="P813" s="24"/>
      <c r="Q813" s="24">
        <f t="shared" si="6"/>
        <v>0</v>
      </c>
      <c r="R813" s="24">
        <f t="shared" si="7"/>
        <v>0</v>
      </c>
      <c r="S813" s="24"/>
      <c r="T813" s="24">
        <f t="shared" si="9"/>
        <v>0</v>
      </c>
    </row>
    <row r="814">
      <c r="A814" s="12" t="s">
        <v>903</v>
      </c>
      <c r="F814" s="19">
        <f>IFERROR(__xludf.DUMMYFUNCTION("SPLIT(A810, "" |"")"),808.0)</f>
        <v>808</v>
      </c>
      <c r="G814" s="19">
        <f>IFERROR(__xludf.DUMMYFUNCTION("""COMPUTED_VALUE"""),0.0023)</f>
        <v>0.0023</v>
      </c>
      <c r="H814" s="19" t="str">
        <f>IFERROR(__xludf.DUMMYFUNCTION("""COMPUTED_VALUE"""),"-")</f>
        <v>-</v>
      </c>
      <c r="I814" s="19">
        <f>IFERROR(__xludf.DUMMYFUNCTION("""COMPUTED_VALUE"""),0.00225)</f>
        <v>0.00225</v>
      </c>
      <c r="J814" s="19">
        <f>IFERROR(__xludf.DUMMYFUNCTION("""COMPUTED_VALUE"""),0.04743)</f>
        <v>0.04743</v>
      </c>
      <c r="K814" s="19" t="str">
        <f>IFERROR(__xludf.DUMMYFUNCTION("""COMPUTED_VALUE"""),"-")</f>
        <v>-</v>
      </c>
      <c r="L814" s="19">
        <f>IFERROR(__xludf.DUMMYFUNCTION("""COMPUTED_VALUE"""),0.04752)</f>
        <v>0.04752</v>
      </c>
      <c r="O814" s="24">
        <f t="shared" si="4"/>
        <v>0</v>
      </c>
      <c r="P814" s="24"/>
      <c r="Q814" s="24">
        <f t="shared" si="6"/>
        <v>0</v>
      </c>
      <c r="R814" s="24">
        <f t="shared" si="7"/>
        <v>0</v>
      </c>
      <c r="S814" s="24"/>
      <c r="T814" s="24">
        <f t="shared" si="9"/>
        <v>0</v>
      </c>
    </row>
    <row r="815">
      <c r="A815" s="12" t="s">
        <v>904</v>
      </c>
      <c r="F815" s="19">
        <f>IFERROR(__xludf.DUMMYFUNCTION("SPLIT(A811, "" |"")"),809.0)</f>
        <v>809</v>
      </c>
      <c r="G815" s="19">
        <f>IFERROR(__xludf.DUMMYFUNCTION("""COMPUTED_VALUE"""),0.00225)</f>
        <v>0.00225</v>
      </c>
      <c r="H815" s="19" t="str">
        <f>IFERROR(__xludf.DUMMYFUNCTION("""COMPUTED_VALUE"""),"-")</f>
        <v>-</v>
      </c>
      <c r="I815" s="19">
        <f>IFERROR(__xludf.DUMMYFUNCTION("""COMPUTED_VALUE"""),0.00208)</f>
        <v>0.00208</v>
      </c>
      <c r="J815" s="19">
        <f>IFERROR(__xludf.DUMMYFUNCTION("""COMPUTED_VALUE"""),0.0473)</f>
        <v>0.0473</v>
      </c>
      <c r="K815" s="19" t="str">
        <f>IFERROR(__xludf.DUMMYFUNCTION("""COMPUTED_VALUE"""),"-")</f>
        <v>-</v>
      </c>
      <c r="L815" s="19">
        <f>IFERROR(__xludf.DUMMYFUNCTION("""COMPUTED_VALUE"""),0.04455)</f>
        <v>0.04455</v>
      </c>
      <c r="O815" s="24">
        <f t="shared" si="4"/>
        <v>0</v>
      </c>
      <c r="P815" s="24"/>
      <c r="Q815" s="24">
        <f t="shared" si="6"/>
        <v>0</v>
      </c>
      <c r="R815" s="24">
        <f t="shared" si="7"/>
        <v>0</v>
      </c>
      <c r="S815" s="24"/>
      <c r="T815" s="24">
        <f t="shared" si="9"/>
        <v>0</v>
      </c>
    </row>
    <row r="816">
      <c r="A816" s="12" t="s">
        <v>905</v>
      </c>
      <c r="F816" s="19">
        <f>IFERROR(__xludf.DUMMYFUNCTION("SPLIT(A812, "" |"")"),810.0)</f>
        <v>810</v>
      </c>
      <c r="G816" s="19">
        <f>IFERROR(__xludf.DUMMYFUNCTION("""COMPUTED_VALUE"""),0.00233)</f>
        <v>0.00233</v>
      </c>
      <c r="H816" s="19" t="str">
        <f>IFERROR(__xludf.DUMMYFUNCTION("""COMPUTED_VALUE"""),"-")</f>
        <v>-</v>
      </c>
      <c r="I816" s="19">
        <f>IFERROR(__xludf.DUMMYFUNCTION("""COMPUTED_VALUE"""),0.00219)</f>
        <v>0.00219</v>
      </c>
      <c r="J816" s="19">
        <f>IFERROR(__xludf.DUMMYFUNCTION("""COMPUTED_VALUE"""),0.04745)</f>
        <v>0.04745</v>
      </c>
      <c r="K816" s="19" t="str">
        <f>IFERROR(__xludf.DUMMYFUNCTION("""COMPUTED_VALUE"""),"-")</f>
        <v>-</v>
      </c>
      <c r="L816" s="19">
        <f>IFERROR(__xludf.DUMMYFUNCTION("""COMPUTED_VALUE"""),0.04663)</f>
        <v>0.04663</v>
      </c>
      <c r="O816" s="24">
        <f t="shared" si="4"/>
        <v>0</v>
      </c>
      <c r="P816" s="24"/>
      <c r="Q816" s="24">
        <f t="shared" si="6"/>
        <v>0</v>
      </c>
      <c r="R816" s="24">
        <f t="shared" si="7"/>
        <v>0</v>
      </c>
      <c r="S816" s="24"/>
      <c r="T816" s="24">
        <f t="shared" si="9"/>
        <v>0</v>
      </c>
    </row>
    <row r="817">
      <c r="A817" s="12" t="s">
        <v>906</v>
      </c>
      <c r="F817" s="19">
        <f>IFERROR(__xludf.DUMMYFUNCTION("SPLIT(A813, "" |"")"),811.0)</f>
        <v>811</v>
      </c>
      <c r="G817" s="19">
        <f>IFERROR(__xludf.DUMMYFUNCTION("""COMPUTED_VALUE"""),0.00239)</f>
        <v>0.00239</v>
      </c>
      <c r="H817" s="19" t="str">
        <f>IFERROR(__xludf.DUMMYFUNCTION("""COMPUTED_VALUE"""),"-")</f>
        <v>-</v>
      </c>
      <c r="I817" s="19">
        <f>IFERROR(__xludf.DUMMYFUNCTION("""COMPUTED_VALUE"""),0.00218)</f>
        <v>0.00218</v>
      </c>
      <c r="J817" s="19">
        <f>IFERROR(__xludf.DUMMYFUNCTION("""COMPUTED_VALUE"""),0.04739)</f>
        <v>0.04739</v>
      </c>
      <c r="K817" s="19" t="str">
        <f>IFERROR(__xludf.DUMMYFUNCTION("""COMPUTED_VALUE"""),"-")</f>
        <v>-</v>
      </c>
      <c r="L817" s="19">
        <f>IFERROR(__xludf.DUMMYFUNCTION("""COMPUTED_VALUE"""),0.04765)</f>
        <v>0.04765</v>
      </c>
      <c r="O817" s="24">
        <f t="shared" si="4"/>
        <v>0</v>
      </c>
      <c r="P817" s="24"/>
      <c r="Q817" s="24">
        <f t="shared" si="6"/>
        <v>0</v>
      </c>
      <c r="R817" s="24">
        <f t="shared" si="7"/>
        <v>0</v>
      </c>
      <c r="S817" s="24"/>
      <c r="T817" s="24">
        <f t="shared" si="9"/>
        <v>0</v>
      </c>
    </row>
    <row r="818">
      <c r="A818" s="12" t="s">
        <v>907</v>
      </c>
      <c r="F818" s="19">
        <f>IFERROR(__xludf.DUMMYFUNCTION("SPLIT(A814, "" |"")"),812.0)</f>
        <v>812</v>
      </c>
      <c r="G818" s="19">
        <f>IFERROR(__xludf.DUMMYFUNCTION("""COMPUTED_VALUE"""),0.00251)</f>
        <v>0.00251</v>
      </c>
      <c r="H818" s="19" t="str">
        <f>IFERROR(__xludf.DUMMYFUNCTION("""COMPUTED_VALUE"""),"-")</f>
        <v>-</v>
      </c>
      <c r="I818" s="19">
        <f>IFERROR(__xludf.DUMMYFUNCTION("""COMPUTED_VALUE"""),0.00223)</f>
        <v>0.00223</v>
      </c>
      <c r="J818" s="19">
        <f>IFERROR(__xludf.DUMMYFUNCTION("""COMPUTED_VALUE"""),0.0475)</f>
        <v>0.0475</v>
      </c>
      <c r="K818" s="19" t="str">
        <f>IFERROR(__xludf.DUMMYFUNCTION("""COMPUTED_VALUE"""),"-")</f>
        <v>-</v>
      </c>
      <c r="L818" s="19">
        <f>IFERROR(__xludf.DUMMYFUNCTION("""COMPUTED_VALUE"""),0.04764)</f>
        <v>0.04764</v>
      </c>
      <c r="O818" s="24">
        <f t="shared" si="4"/>
        <v>0</v>
      </c>
      <c r="P818" s="24"/>
      <c r="Q818" s="24">
        <f t="shared" si="6"/>
        <v>0</v>
      </c>
      <c r="R818" s="24">
        <f t="shared" si="7"/>
        <v>0</v>
      </c>
      <c r="S818" s="24"/>
      <c r="T818" s="24">
        <f t="shared" si="9"/>
        <v>0</v>
      </c>
    </row>
    <row r="819">
      <c r="A819" s="12" t="s">
        <v>908</v>
      </c>
      <c r="F819" s="19">
        <f>IFERROR(__xludf.DUMMYFUNCTION("SPLIT(A815, "" |"")"),813.0)</f>
        <v>813</v>
      </c>
      <c r="G819" s="19">
        <f>IFERROR(__xludf.DUMMYFUNCTION("""COMPUTED_VALUE"""),0.00227)</f>
        <v>0.00227</v>
      </c>
      <c r="H819" s="19" t="str">
        <f>IFERROR(__xludf.DUMMYFUNCTION("""COMPUTED_VALUE"""),"-")</f>
        <v>-</v>
      </c>
      <c r="I819" s="19">
        <f>IFERROR(__xludf.DUMMYFUNCTION("""COMPUTED_VALUE"""),0.00211)</f>
        <v>0.00211</v>
      </c>
      <c r="J819" s="19">
        <f>IFERROR(__xludf.DUMMYFUNCTION("""COMPUTED_VALUE"""),0.04735)</f>
        <v>0.04735</v>
      </c>
      <c r="K819" s="19" t="str">
        <f>IFERROR(__xludf.DUMMYFUNCTION("""COMPUTED_VALUE"""),"-")</f>
        <v>-</v>
      </c>
      <c r="L819" s="19">
        <f>IFERROR(__xludf.DUMMYFUNCTION("""COMPUTED_VALUE"""),0.04686)</f>
        <v>0.04686</v>
      </c>
      <c r="O819" s="24">
        <f t="shared" si="4"/>
        <v>0</v>
      </c>
      <c r="P819" s="24"/>
      <c r="Q819" s="24">
        <f t="shared" si="6"/>
        <v>0</v>
      </c>
      <c r="R819" s="24">
        <f t="shared" si="7"/>
        <v>0</v>
      </c>
      <c r="S819" s="24"/>
      <c r="T819" s="24">
        <f t="shared" si="9"/>
        <v>0</v>
      </c>
    </row>
    <row r="820">
      <c r="A820" s="12" t="s">
        <v>909</v>
      </c>
      <c r="F820" s="19">
        <f>IFERROR(__xludf.DUMMYFUNCTION("SPLIT(A816, "" |"")"),814.0)</f>
        <v>814</v>
      </c>
      <c r="G820" s="19">
        <f>IFERROR(__xludf.DUMMYFUNCTION("""COMPUTED_VALUE"""),0.00242)</f>
        <v>0.00242</v>
      </c>
      <c r="H820" s="19" t="str">
        <f>IFERROR(__xludf.DUMMYFUNCTION("""COMPUTED_VALUE"""),"-")</f>
        <v>-</v>
      </c>
      <c r="I820" s="19">
        <f>IFERROR(__xludf.DUMMYFUNCTION("""COMPUTED_VALUE"""),0.00219)</f>
        <v>0.00219</v>
      </c>
      <c r="J820" s="19">
        <f>IFERROR(__xludf.DUMMYFUNCTION("""COMPUTED_VALUE"""),0.04743)</f>
        <v>0.04743</v>
      </c>
      <c r="K820" s="19" t="str">
        <f>IFERROR(__xludf.DUMMYFUNCTION("""COMPUTED_VALUE"""),"-")</f>
        <v>-</v>
      </c>
      <c r="L820" s="19">
        <f>IFERROR(__xludf.DUMMYFUNCTION("""COMPUTED_VALUE"""),0.04756)</f>
        <v>0.04756</v>
      </c>
      <c r="O820" s="24">
        <f t="shared" si="4"/>
        <v>0</v>
      </c>
      <c r="P820" s="24"/>
      <c r="Q820" s="24">
        <f t="shared" si="6"/>
        <v>0</v>
      </c>
      <c r="R820" s="24">
        <f t="shared" si="7"/>
        <v>0</v>
      </c>
      <c r="S820" s="24"/>
      <c r="T820" s="24">
        <f t="shared" si="9"/>
        <v>0</v>
      </c>
    </row>
    <row r="821">
      <c r="A821" s="12" t="s">
        <v>910</v>
      </c>
      <c r="F821" s="19">
        <f>IFERROR(__xludf.DUMMYFUNCTION("SPLIT(A817, "" |"")"),815.0)</f>
        <v>815</v>
      </c>
      <c r="G821" s="19">
        <f>IFERROR(__xludf.DUMMYFUNCTION("""COMPUTED_VALUE"""),0.00243)</f>
        <v>0.00243</v>
      </c>
      <c r="H821" s="19" t="str">
        <f>IFERROR(__xludf.DUMMYFUNCTION("""COMPUTED_VALUE"""),"-")</f>
        <v>-</v>
      </c>
      <c r="I821" s="19">
        <f>IFERROR(__xludf.DUMMYFUNCTION("""COMPUTED_VALUE"""),0.00222)</f>
        <v>0.00222</v>
      </c>
      <c r="J821" s="19">
        <f>IFERROR(__xludf.DUMMYFUNCTION("""COMPUTED_VALUE"""),0.04754)</f>
        <v>0.04754</v>
      </c>
      <c r="K821" s="19" t="str">
        <f>IFERROR(__xludf.DUMMYFUNCTION("""COMPUTED_VALUE"""),"-")</f>
        <v>-</v>
      </c>
      <c r="L821" s="19">
        <f>IFERROR(__xludf.DUMMYFUNCTION("""COMPUTED_VALUE"""),0.04755)</f>
        <v>0.04755</v>
      </c>
      <c r="O821" s="24">
        <f t="shared" si="4"/>
        <v>0</v>
      </c>
      <c r="P821" s="24"/>
      <c r="Q821" s="24">
        <f t="shared" si="6"/>
        <v>0</v>
      </c>
      <c r="R821" s="24">
        <f t="shared" si="7"/>
        <v>0</v>
      </c>
      <c r="S821" s="24"/>
      <c r="T821" s="24">
        <f t="shared" si="9"/>
        <v>0</v>
      </c>
    </row>
    <row r="822">
      <c r="A822" s="12" t="s">
        <v>911</v>
      </c>
      <c r="F822" s="19">
        <f>IFERROR(__xludf.DUMMYFUNCTION("SPLIT(A818, "" |"")"),816.0)</f>
        <v>816</v>
      </c>
      <c r="G822" s="19">
        <f>IFERROR(__xludf.DUMMYFUNCTION("""COMPUTED_VALUE"""),0.00245)</f>
        <v>0.00245</v>
      </c>
      <c r="H822" s="19" t="str">
        <f>IFERROR(__xludf.DUMMYFUNCTION("""COMPUTED_VALUE"""),"-")</f>
        <v>-</v>
      </c>
      <c r="I822" s="19">
        <f>IFERROR(__xludf.DUMMYFUNCTION("""COMPUTED_VALUE"""),0.00219)</f>
        <v>0.00219</v>
      </c>
      <c r="J822" s="19">
        <f>IFERROR(__xludf.DUMMYFUNCTION("""COMPUTED_VALUE"""),0.04743)</f>
        <v>0.04743</v>
      </c>
      <c r="K822" s="19" t="str">
        <f>IFERROR(__xludf.DUMMYFUNCTION("""COMPUTED_VALUE"""),"-")</f>
        <v>-</v>
      </c>
      <c r="L822" s="19">
        <f>IFERROR(__xludf.DUMMYFUNCTION("""COMPUTED_VALUE"""),0.04761)</f>
        <v>0.04761</v>
      </c>
      <c r="O822" s="24">
        <f t="shared" si="4"/>
        <v>0</v>
      </c>
      <c r="P822" s="24"/>
      <c r="Q822" s="24">
        <f t="shared" si="6"/>
        <v>0</v>
      </c>
      <c r="R822" s="24">
        <f t="shared" si="7"/>
        <v>0</v>
      </c>
      <c r="S822" s="24"/>
      <c r="T822" s="24">
        <f t="shared" si="9"/>
        <v>0</v>
      </c>
    </row>
    <row r="823">
      <c r="A823" s="12" t="s">
        <v>912</v>
      </c>
      <c r="F823" s="19">
        <f>IFERROR(__xludf.DUMMYFUNCTION("SPLIT(A819, "" |"")"),817.0)</f>
        <v>817</v>
      </c>
      <c r="G823" s="19">
        <f>IFERROR(__xludf.DUMMYFUNCTION("""COMPUTED_VALUE"""),0.00237)</f>
        <v>0.00237</v>
      </c>
      <c r="H823" s="19" t="str">
        <f>IFERROR(__xludf.DUMMYFUNCTION("""COMPUTED_VALUE"""),"-")</f>
        <v>-</v>
      </c>
      <c r="I823" s="19">
        <f>IFERROR(__xludf.DUMMYFUNCTION("""COMPUTED_VALUE"""),0.00225)</f>
        <v>0.00225</v>
      </c>
      <c r="J823" s="19">
        <f>IFERROR(__xludf.DUMMYFUNCTION("""COMPUTED_VALUE"""),0.04742)</f>
        <v>0.04742</v>
      </c>
      <c r="K823" s="19" t="str">
        <f>IFERROR(__xludf.DUMMYFUNCTION("""COMPUTED_VALUE"""),"-")</f>
        <v>-</v>
      </c>
      <c r="L823" s="19">
        <f>IFERROR(__xludf.DUMMYFUNCTION("""COMPUTED_VALUE"""),0.04769)</f>
        <v>0.04769</v>
      </c>
      <c r="O823" s="24">
        <f t="shared" si="4"/>
        <v>0</v>
      </c>
      <c r="P823" s="24"/>
      <c r="Q823" s="24">
        <f t="shared" si="6"/>
        <v>0</v>
      </c>
      <c r="R823" s="24">
        <f t="shared" si="7"/>
        <v>0</v>
      </c>
      <c r="S823" s="24"/>
      <c r="T823" s="24">
        <f t="shared" si="9"/>
        <v>0</v>
      </c>
    </row>
    <row r="824">
      <c r="A824" s="12" t="s">
        <v>913</v>
      </c>
      <c r="F824" s="19">
        <f>IFERROR(__xludf.DUMMYFUNCTION("SPLIT(A820, "" |"")"),818.0)</f>
        <v>818</v>
      </c>
      <c r="G824" s="19">
        <f>IFERROR(__xludf.DUMMYFUNCTION("""COMPUTED_VALUE"""),0.00233)</f>
        <v>0.00233</v>
      </c>
      <c r="H824" s="19" t="str">
        <f>IFERROR(__xludf.DUMMYFUNCTION("""COMPUTED_VALUE"""),"-")</f>
        <v>-</v>
      </c>
      <c r="I824" s="19">
        <f>IFERROR(__xludf.DUMMYFUNCTION("""COMPUTED_VALUE"""),0.0022)</f>
        <v>0.0022</v>
      </c>
      <c r="J824" s="19">
        <f>IFERROR(__xludf.DUMMYFUNCTION("""COMPUTED_VALUE"""),0.04734)</f>
        <v>0.04734</v>
      </c>
      <c r="K824" s="19" t="str">
        <f>IFERROR(__xludf.DUMMYFUNCTION("""COMPUTED_VALUE"""),"-")</f>
        <v>-</v>
      </c>
      <c r="L824" s="19">
        <f>IFERROR(__xludf.DUMMYFUNCTION("""COMPUTED_VALUE"""),0.04759)</f>
        <v>0.04759</v>
      </c>
      <c r="O824" s="24">
        <f t="shared" si="4"/>
        <v>0</v>
      </c>
      <c r="P824" s="24"/>
      <c r="Q824" s="24">
        <f t="shared" si="6"/>
        <v>0</v>
      </c>
      <c r="R824" s="24">
        <f t="shared" si="7"/>
        <v>0</v>
      </c>
      <c r="S824" s="24"/>
      <c r="T824" s="24">
        <f t="shared" si="9"/>
        <v>0</v>
      </c>
    </row>
    <row r="825">
      <c r="A825" s="12" t="s">
        <v>914</v>
      </c>
      <c r="F825" s="19">
        <f>IFERROR(__xludf.DUMMYFUNCTION("SPLIT(A821, "" |"")"),819.0)</f>
        <v>819</v>
      </c>
      <c r="G825" s="19">
        <f>IFERROR(__xludf.DUMMYFUNCTION("""COMPUTED_VALUE"""),0.00238)</f>
        <v>0.00238</v>
      </c>
      <c r="H825" s="19" t="str">
        <f>IFERROR(__xludf.DUMMYFUNCTION("""COMPUTED_VALUE"""),"-")</f>
        <v>-</v>
      </c>
      <c r="I825" s="19">
        <f>IFERROR(__xludf.DUMMYFUNCTION("""COMPUTED_VALUE"""),0.0022)</f>
        <v>0.0022</v>
      </c>
      <c r="J825" s="19">
        <f>IFERROR(__xludf.DUMMYFUNCTION("""COMPUTED_VALUE"""),0.04748)</f>
        <v>0.04748</v>
      </c>
      <c r="K825" s="19" t="str">
        <f>IFERROR(__xludf.DUMMYFUNCTION("""COMPUTED_VALUE"""),"-")</f>
        <v>-</v>
      </c>
      <c r="L825" s="19">
        <f>IFERROR(__xludf.DUMMYFUNCTION("""COMPUTED_VALUE"""),0.04766)</f>
        <v>0.04766</v>
      </c>
      <c r="O825" s="24">
        <f t="shared" si="4"/>
        <v>0</v>
      </c>
      <c r="P825" s="24"/>
      <c r="Q825" s="24">
        <f t="shared" si="6"/>
        <v>0</v>
      </c>
      <c r="R825" s="24">
        <f t="shared" si="7"/>
        <v>0</v>
      </c>
      <c r="S825" s="24"/>
      <c r="T825" s="24">
        <f t="shared" si="9"/>
        <v>0</v>
      </c>
    </row>
    <row r="826">
      <c r="A826" s="12" t="s">
        <v>915</v>
      </c>
      <c r="F826" s="19">
        <f>IFERROR(__xludf.DUMMYFUNCTION("SPLIT(A822, "" |"")"),820.0)</f>
        <v>820</v>
      </c>
      <c r="G826" s="19">
        <f>IFERROR(__xludf.DUMMYFUNCTION("""COMPUTED_VALUE"""),0.00237)</f>
        <v>0.00237</v>
      </c>
      <c r="H826" s="19" t="str">
        <f>IFERROR(__xludf.DUMMYFUNCTION("""COMPUTED_VALUE"""),"-")</f>
        <v>-</v>
      </c>
      <c r="I826" s="19">
        <f>IFERROR(__xludf.DUMMYFUNCTION("""COMPUTED_VALUE"""),0.00222)</f>
        <v>0.00222</v>
      </c>
      <c r="J826" s="19">
        <f>IFERROR(__xludf.DUMMYFUNCTION("""COMPUTED_VALUE"""),0.04751)</f>
        <v>0.04751</v>
      </c>
      <c r="K826" s="19" t="str">
        <f>IFERROR(__xludf.DUMMYFUNCTION("""COMPUTED_VALUE"""),"-")</f>
        <v>-</v>
      </c>
      <c r="L826" s="19">
        <f>IFERROR(__xludf.DUMMYFUNCTION("""COMPUTED_VALUE"""),0.04767)</f>
        <v>0.04767</v>
      </c>
      <c r="O826" s="24">
        <f t="shared" si="4"/>
        <v>0</v>
      </c>
      <c r="P826" s="24"/>
      <c r="Q826" s="24">
        <f t="shared" si="6"/>
        <v>0</v>
      </c>
      <c r="R826" s="24">
        <f t="shared" si="7"/>
        <v>0</v>
      </c>
      <c r="S826" s="24"/>
      <c r="T826" s="24">
        <f t="shared" si="9"/>
        <v>0</v>
      </c>
    </row>
    <row r="827">
      <c r="A827" s="12" t="s">
        <v>916</v>
      </c>
      <c r="F827" s="19">
        <f>IFERROR(__xludf.DUMMYFUNCTION("SPLIT(A823, "" |"")"),821.0)</f>
        <v>821</v>
      </c>
      <c r="G827" s="19">
        <f>IFERROR(__xludf.DUMMYFUNCTION("""COMPUTED_VALUE"""),0.00228)</f>
        <v>0.00228</v>
      </c>
      <c r="H827" s="19" t="str">
        <f>IFERROR(__xludf.DUMMYFUNCTION("""COMPUTED_VALUE"""),"-")</f>
        <v>-</v>
      </c>
      <c r="I827" s="19">
        <f>IFERROR(__xludf.DUMMYFUNCTION("""COMPUTED_VALUE"""),0.0021)</f>
        <v>0.0021</v>
      </c>
      <c r="J827" s="19">
        <f>IFERROR(__xludf.DUMMYFUNCTION("""COMPUTED_VALUE"""),0.04748)</f>
        <v>0.04748</v>
      </c>
      <c r="K827" s="19" t="str">
        <f>IFERROR(__xludf.DUMMYFUNCTION("""COMPUTED_VALUE"""),"-")</f>
        <v>-</v>
      </c>
      <c r="L827" s="19">
        <f>IFERROR(__xludf.DUMMYFUNCTION("""COMPUTED_VALUE"""),0.04765)</f>
        <v>0.04765</v>
      </c>
      <c r="O827" s="24">
        <f t="shared" si="4"/>
        <v>0</v>
      </c>
      <c r="P827" s="24"/>
      <c r="Q827" s="24">
        <f t="shared" si="6"/>
        <v>0</v>
      </c>
      <c r="R827" s="24">
        <f t="shared" si="7"/>
        <v>0</v>
      </c>
      <c r="S827" s="24"/>
      <c r="T827" s="24">
        <f t="shared" si="9"/>
        <v>0</v>
      </c>
    </row>
    <row r="828">
      <c r="A828" s="12" t="s">
        <v>917</v>
      </c>
      <c r="F828" s="19">
        <f>IFERROR(__xludf.DUMMYFUNCTION("SPLIT(A824, "" |"")"),822.0)</f>
        <v>822</v>
      </c>
      <c r="G828" s="19">
        <f>IFERROR(__xludf.DUMMYFUNCTION("""COMPUTED_VALUE"""),0.00244)</f>
        <v>0.00244</v>
      </c>
      <c r="H828" s="19" t="str">
        <f>IFERROR(__xludf.DUMMYFUNCTION("""COMPUTED_VALUE"""),"-")</f>
        <v>-</v>
      </c>
      <c r="I828" s="19">
        <f>IFERROR(__xludf.DUMMYFUNCTION("""COMPUTED_VALUE"""),0.00224)</f>
        <v>0.00224</v>
      </c>
      <c r="J828" s="19">
        <f>IFERROR(__xludf.DUMMYFUNCTION("""COMPUTED_VALUE"""),0.04748)</f>
        <v>0.04748</v>
      </c>
      <c r="K828" s="19" t="str">
        <f>IFERROR(__xludf.DUMMYFUNCTION("""COMPUTED_VALUE"""),"-")</f>
        <v>-</v>
      </c>
      <c r="L828" s="19">
        <f>IFERROR(__xludf.DUMMYFUNCTION("""COMPUTED_VALUE"""),0.04763)</f>
        <v>0.04763</v>
      </c>
      <c r="O828" s="24">
        <f t="shared" si="4"/>
        <v>0</v>
      </c>
      <c r="P828" s="24"/>
      <c r="Q828" s="24">
        <f t="shared" si="6"/>
        <v>0</v>
      </c>
      <c r="R828" s="24">
        <f t="shared" si="7"/>
        <v>0</v>
      </c>
      <c r="S828" s="24"/>
      <c r="T828" s="24">
        <f t="shared" si="9"/>
        <v>0</v>
      </c>
    </row>
    <row r="829">
      <c r="A829" s="12" t="s">
        <v>918</v>
      </c>
      <c r="F829" s="19">
        <f>IFERROR(__xludf.DUMMYFUNCTION("SPLIT(A825, "" |"")"),823.0)</f>
        <v>823</v>
      </c>
      <c r="G829" s="19">
        <f>IFERROR(__xludf.DUMMYFUNCTION("""COMPUTED_VALUE"""),0.00236)</f>
        <v>0.00236</v>
      </c>
      <c r="H829" s="19" t="str">
        <f>IFERROR(__xludf.DUMMYFUNCTION("""COMPUTED_VALUE"""),"-")</f>
        <v>-</v>
      </c>
      <c r="I829" s="19">
        <f>IFERROR(__xludf.DUMMYFUNCTION("""COMPUTED_VALUE"""),0.00228)</f>
        <v>0.00228</v>
      </c>
      <c r="J829" s="19">
        <f>IFERROR(__xludf.DUMMYFUNCTION("""COMPUTED_VALUE"""),0.04425)</f>
        <v>0.04425</v>
      </c>
      <c r="K829" s="19" t="str">
        <f>IFERROR(__xludf.DUMMYFUNCTION("""COMPUTED_VALUE"""),"-")</f>
        <v>-</v>
      </c>
      <c r="L829" s="19">
        <f>IFERROR(__xludf.DUMMYFUNCTION("""COMPUTED_VALUE"""),0.04758)</f>
        <v>0.04758</v>
      </c>
      <c r="O829" s="24">
        <f t="shared" si="4"/>
        <v>0</v>
      </c>
      <c r="P829" s="24"/>
      <c r="Q829" s="24">
        <f t="shared" si="6"/>
        <v>0</v>
      </c>
      <c r="R829" s="24">
        <f t="shared" si="7"/>
        <v>1</v>
      </c>
      <c r="S829" s="24"/>
      <c r="T829" s="24">
        <f t="shared" si="9"/>
        <v>0</v>
      </c>
    </row>
    <row r="830">
      <c r="A830" s="12" t="s">
        <v>919</v>
      </c>
      <c r="F830" s="19">
        <f>IFERROR(__xludf.DUMMYFUNCTION("SPLIT(A826, "" |"")"),824.0)</f>
        <v>824</v>
      </c>
      <c r="G830" s="19">
        <f>IFERROR(__xludf.DUMMYFUNCTION("""COMPUTED_VALUE"""),0.00243)</f>
        <v>0.00243</v>
      </c>
      <c r="H830" s="19" t="str">
        <f>IFERROR(__xludf.DUMMYFUNCTION("""COMPUTED_VALUE"""),"-")</f>
        <v>-</v>
      </c>
      <c r="I830" s="19">
        <f>IFERROR(__xludf.DUMMYFUNCTION("""COMPUTED_VALUE"""),0.00222)</f>
        <v>0.00222</v>
      </c>
      <c r="J830" s="19">
        <f>IFERROR(__xludf.DUMMYFUNCTION("""COMPUTED_VALUE"""),0.04751)</f>
        <v>0.04751</v>
      </c>
      <c r="K830" s="19" t="str">
        <f>IFERROR(__xludf.DUMMYFUNCTION("""COMPUTED_VALUE"""),"-")</f>
        <v>-</v>
      </c>
      <c r="L830" s="19">
        <f>IFERROR(__xludf.DUMMYFUNCTION("""COMPUTED_VALUE"""),0.04762)</f>
        <v>0.04762</v>
      </c>
      <c r="O830" s="24">
        <f t="shared" si="4"/>
        <v>0</v>
      </c>
      <c r="P830" s="24"/>
      <c r="Q830" s="24">
        <f t="shared" si="6"/>
        <v>0</v>
      </c>
      <c r="R830" s="24">
        <f t="shared" si="7"/>
        <v>0</v>
      </c>
      <c r="S830" s="24"/>
      <c r="T830" s="24">
        <f t="shared" si="9"/>
        <v>0</v>
      </c>
    </row>
    <row r="831">
      <c r="A831" s="12" t="s">
        <v>920</v>
      </c>
      <c r="F831" s="19">
        <f>IFERROR(__xludf.DUMMYFUNCTION("SPLIT(A827, "" |"")"),825.0)</f>
        <v>825</v>
      </c>
      <c r="G831" s="19">
        <f>IFERROR(__xludf.DUMMYFUNCTION("""COMPUTED_VALUE"""),0.00237)</f>
        <v>0.00237</v>
      </c>
      <c r="H831" s="19" t="str">
        <f>IFERROR(__xludf.DUMMYFUNCTION("""COMPUTED_VALUE"""),"-")</f>
        <v>-</v>
      </c>
      <c r="I831" s="19">
        <f>IFERROR(__xludf.DUMMYFUNCTION("""COMPUTED_VALUE"""),0.00227)</f>
        <v>0.00227</v>
      </c>
      <c r="J831" s="19">
        <f>IFERROR(__xludf.DUMMYFUNCTION("""COMPUTED_VALUE"""),0.04637)</f>
        <v>0.04637</v>
      </c>
      <c r="K831" s="19" t="str">
        <f>IFERROR(__xludf.DUMMYFUNCTION("""COMPUTED_VALUE"""),"-")</f>
        <v>-</v>
      </c>
      <c r="L831" s="19">
        <f>IFERROR(__xludf.DUMMYFUNCTION("""COMPUTED_VALUE"""),0.04531)</f>
        <v>0.04531</v>
      </c>
      <c r="O831" s="24">
        <f t="shared" si="4"/>
        <v>0</v>
      </c>
      <c r="P831" s="24"/>
      <c r="Q831" s="24">
        <f t="shared" si="6"/>
        <v>0</v>
      </c>
      <c r="R831" s="24">
        <f t="shared" si="7"/>
        <v>0</v>
      </c>
      <c r="S831" s="24"/>
      <c r="T831" s="24">
        <f t="shared" si="9"/>
        <v>0</v>
      </c>
    </row>
    <row r="832">
      <c r="A832" s="12" t="s">
        <v>921</v>
      </c>
      <c r="F832" s="19">
        <f>IFERROR(__xludf.DUMMYFUNCTION("SPLIT(A828, "" |"")"),826.0)</f>
        <v>826</v>
      </c>
      <c r="G832" s="19">
        <f>IFERROR(__xludf.DUMMYFUNCTION("""COMPUTED_VALUE"""),0.00239)</f>
        <v>0.00239</v>
      </c>
      <c r="H832" s="19" t="str">
        <f>IFERROR(__xludf.DUMMYFUNCTION("""COMPUTED_VALUE"""),"-")</f>
        <v>-</v>
      </c>
      <c r="I832" s="19">
        <f>IFERROR(__xludf.DUMMYFUNCTION("""COMPUTED_VALUE"""),0.00217)</f>
        <v>0.00217</v>
      </c>
      <c r="J832" s="19">
        <f>IFERROR(__xludf.DUMMYFUNCTION("""COMPUTED_VALUE"""),0.04749)</f>
        <v>0.04749</v>
      </c>
      <c r="K832" s="19" t="str">
        <f>IFERROR(__xludf.DUMMYFUNCTION("""COMPUTED_VALUE"""),"-")</f>
        <v>-</v>
      </c>
      <c r="L832" s="19">
        <f>IFERROR(__xludf.DUMMYFUNCTION("""COMPUTED_VALUE"""),0.04759)</f>
        <v>0.04759</v>
      </c>
      <c r="O832" s="24">
        <f t="shared" si="4"/>
        <v>0</v>
      </c>
      <c r="P832" s="24"/>
      <c r="Q832" s="24">
        <f t="shared" si="6"/>
        <v>0</v>
      </c>
      <c r="R832" s="24">
        <f t="shared" si="7"/>
        <v>0</v>
      </c>
      <c r="S832" s="24"/>
      <c r="T832" s="24">
        <f t="shared" si="9"/>
        <v>0</v>
      </c>
    </row>
    <row r="833">
      <c r="A833" s="12" t="s">
        <v>922</v>
      </c>
      <c r="F833" s="19">
        <f>IFERROR(__xludf.DUMMYFUNCTION("SPLIT(A829, "" |"")"),827.0)</f>
        <v>827</v>
      </c>
      <c r="G833" s="19">
        <f>IFERROR(__xludf.DUMMYFUNCTION("""COMPUTED_VALUE"""),0.00243)</f>
        <v>0.00243</v>
      </c>
      <c r="H833" s="19" t="str">
        <f>IFERROR(__xludf.DUMMYFUNCTION("""COMPUTED_VALUE"""),"-")</f>
        <v>-</v>
      </c>
      <c r="I833" s="19">
        <f>IFERROR(__xludf.DUMMYFUNCTION("""COMPUTED_VALUE"""),0.00224)</f>
        <v>0.00224</v>
      </c>
      <c r="J833" s="19">
        <f>IFERROR(__xludf.DUMMYFUNCTION("""COMPUTED_VALUE"""),0.04749)</f>
        <v>0.04749</v>
      </c>
      <c r="K833" s="19" t="str">
        <f>IFERROR(__xludf.DUMMYFUNCTION("""COMPUTED_VALUE"""),"-")</f>
        <v>-</v>
      </c>
      <c r="L833" s="19">
        <f>IFERROR(__xludf.DUMMYFUNCTION("""COMPUTED_VALUE"""),0.04759)</f>
        <v>0.04759</v>
      </c>
      <c r="O833" s="24">
        <f t="shared" si="4"/>
        <v>0</v>
      </c>
      <c r="P833" s="24"/>
      <c r="Q833" s="24">
        <f t="shared" si="6"/>
        <v>0</v>
      </c>
      <c r="R833" s="24">
        <f t="shared" si="7"/>
        <v>0</v>
      </c>
      <c r="S833" s="24"/>
      <c r="T833" s="24">
        <f t="shared" si="9"/>
        <v>0</v>
      </c>
    </row>
    <row r="834">
      <c r="A834" s="12" t="s">
        <v>923</v>
      </c>
      <c r="F834" s="19">
        <f>IFERROR(__xludf.DUMMYFUNCTION("SPLIT(A830, "" |"")"),828.0)</f>
        <v>828</v>
      </c>
      <c r="G834" s="19">
        <f>IFERROR(__xludf.DUMMYFUNCTION("""COMPUTED_VALUE"""),0.0024)</f>
        <v>0.0024</v>
      </c>
      <c r="H834" s="19" t="str">
        <f>IFERROR(__xludf.DUMMYFUNCTION("""COMPUTED_VALUE"""),"-")</f>
        <v>-</v>
      </c>
      <c r="I834" s="19">
        <f>IFERROR(__xludf.DUMMYFUNCTION("""COMPUTED_VALUE"""),0.00224)</f>
        <v>0.00224</v>
      </c>
      <c r="J834" s="19">
        <f>IFERROR(__xludf.DUMMYFUNCTION("""COMPUTED_VALUE"""),0.04744)</f>
        <v>0.04744</v>
      </c>
      <c r="K834" s="19" t="str">
        <f>IFERROR(__xludf.DUMMYFUNCTION("""COMPUTED_VALUE"""),"-")</f>
        <v>-</v>
      </c>
      <c r="L834" s="19">
        <f>IFERROR(__xludf.DUMMYFUNCTION("""COMPUTED_VALUE"""),0.04782)</f>
        <v>0.04782</v>
      </c>
      <c r="O834" s="24">
        <f t="shared" si="4"/>
        <v>0</v>
      </c>
      <c r="P834" s="24"/>
      <c r="Q834" s="24">
        <f t="shared" si="6"/>
        <v>0</v>
      </c>
      <c r="R834" s="24">
        <f t="shared" si="7"/>
        <v>0</v>
      </c>
      <c r="S834" s="24"/>
      <c r="T834" s="24">
        <f t="shared" si="9"/>
        <v>0</v>
      </c>
    </row>
    <row r="835">
      <c r="A835" s="12" t="s">
        <v>924</v>
      </c>
      <c r="F835" s="19">
        <f>IFERROR(__xludf.DUMMYFUNCTION("SPLIT(A831, "" |"")"),829.0)</f>
        <v>829</v>
      </c>
      <c r="G835" s="19">
        <f>IFERROR(__xludf.DUMMYFUNCTION("""COMPUTED_VALUE"""),0.00229)</f>
        <v>0.00229</v>
      </c>
      <c r="H835" s="19" t="str">
        <f>IFERROR(__xludf.DUMMYFUNCTION("""COMPUTED_VALUE"""),"-")</f>
        <v>-</v>
      </c>
      <c r="I835" s="19">
        <f>IFERROR(__xludf.DUMMYFUNCTION("""COMPUTED_VALUE"""),0.00212)</f>
        <v>0.00212</v>
      </c>
      <c r="J835" s="19">
        <f>IFERROR(__xludf.DUMMYFUNCTION("""COMPUTED_VALUE"""),0.04735)</f>
        <v>0.04735</v>
      </c>
      <c r="K835" s="19" t="str">
        <f>IFERROR(__xludf.DUMMYFUNCTION("""COMPUTED_VALUE"""),"-")</f>
        <v>-</v>
      </c>
      <c r="L835" s="19">
        <f>IFERROR(__xludf.DUMMYFUNCTION("""COMPUTED_VALUE"""),0.04756)</f>
        <v>0.04756</v>
      </c>
      <c r="O835" s="24">
        <f t="shared" si="4"/>
        <v>0</v>
      </c>
      <c r="P835" s="24"/>
      <c r="Q835" s="24">
        <f t="shared" si="6"/>
        <v>0</v>
      </c>
      <c r="R835" s="24">
        <f t="shared" si="7"/>
        <v>0</v>
      </c>
      <c r="S835" s="24"/>
      <c r="T835" s="24">
        <f t="shared" si="9"/>
        <v>0</v>
      </c>
    </row>
    <row r="836">
      <c r="A836" s="12" t="s">
        <v>925</v>
      </c>
      <c r="F836" s="19">
        <f>IFERROR(__xludf.DUMMYFUNCTION("SPLIT(A832, "" |"")"),830.0)</f>
        <v>830</v>
      </c>
      <c r="G836" s="19">
        <f>IFERROR(__xludf.DUMMYFUNCTION("""COMPUTED_VALUE"""),0.00241)</f>
        <v>0.00241</v>
      </c>
      <c r="H836" s="19" t="str">
        <f>IFERROR(__xludf.DUMMYFUNCTION("""COMPUTED_VALUE"""),"-")</f>
        <v>-</v>
      </c>
      <c r="I836" s="19">
        <f>IFERROR(__xludf.DUMMYFUNCTION("""COMPUTED_VALUE"""),0.00227)</f>
        <v>0.00227</v>
      </c>
      <c r="J836" s="19">
        <f>IFERROR(__xludf.DUMMYFUNCTION("""COMPUTED_VALUE"""),0.04741)</f>
        <v>0.04741</v>
      </c>
      <c r="K836" s="19" t="str">
        <f>IFERROR(__xludf.DUMMYFUNCTION("""COMPUTED_VALUE"""),"-")</f>
        <v>-</v>
      </c>
      <c r="L836" s="19">
        <f>IFERROR(__xludf.DUMMYFUNCTION("""COMPUTED_VALUE"""),0.04761)</f>
        <v>0.04761</v>
      </c>
      <c r="O836" s="24">
        <f t="shared" si="4"/>
        <v>0</v>
      </c>
      <c r="P836" s="24"/>
      <c r="Q836" s="24">
        <f t="shared" si="6"/>
        <v>0</v>
      </c>
      <c r="R836" s="24">
        <f t="shared" si="7"/>
        <v>0</v>
      </c>
      <c r="S836" s="24"/>
      <c r="T836" s="24">
        <f t="shared" si="9"/>
        <v>0</v>
      </c>
    </row>
    <row r="837">
      <c r="A837" s="12" t="s">
        <v>926</v>
      </c>
      <c r="F837" s="19">
        <f>IFERROR(__xludf.DUMMYFUNCTION("SPLIT(A833, "" |"")"),831.0)</f>
        <v>831</v>
      </c>
      <c r="G837" s="19">
        <f>IFERROR(__xludf.DUMMYFUNCTION("""COMPUTED_VALUE"""),0.00239)</f>
        <v>0.00239</v>
      </c>
      <c r="H837" s="19" t="str">
        <f>IFERROR(__xludf.DUMMYFUNCTION("""COMPUTED_VALUE"""),"-")</f>
        <v>-</v>
      </c>
      <c r="I837" s="19">
        <f>IFERROR(__xludf.DUMMYFUNCTION("""COMPUTED_VALUE"""),0.00228)</f>
        <v>0.00228</v>
      </c>
      <c r="J837" s="19">
        <f>IFERROR(__xludf.DUMMYFUNCTION("""COMPUTED_VALUE"""),0.04745)</f>
        <v>0.04745</v>
      </c>
      <c r="K837" s="19" t="str">
        <f>IFERROR(__xludf.DUMMYFUNCTION("""COMPUTED_VALUE"""),"-")</f>
        <v>-</v>
      </c>
      <c r="L837" s="19">
        <f>IFERROR(__xludf.DUMMYFUNCTION("""COMPUTED_VALUE"""),0.03664)</f>
        <v>0.03664</v>
      </c>
      <c r="O837" s="24">
        <f t="shared" si="4"/>
        <v>0</v>
      </c>
      <c r="P837" s="24"/>
      <c r="Q837" s="24">
        <f t="shared" si="6"/>
        <v>0</v>
      </c>
      <c r="R837" s="24">
        <f t="shared" si="7"/>
        <v>0</v>
      </c>
      <c r="S837" s="24"/>
      <c r="T837" s="24">
        <f t="shared" si="9"/>
        <v>1</v>
      </c>
    </row>
    <row r="838">
      <c r="A838" s="12" t="s">
        <v>927</v>
      </c>
      <c r="F838" s="19">
        <f>IFERROR(__xludf.DUMMYFUNCTION("SPLIT(A834, "" |"")"),832.0)</f>
        <v>832</v>
      </c>
      <c r="G838" s="19">
        <f>IFERROR(__xludf.DUMMYFUNCTION("""COMPUTED_VALUE"""),0.00227)</f>
        <v>0.00227</v>
      </c>
      <c r="H838" s="19" t="str">
        <f>IFERROR(__xludf.DUMMYFUNCTION("""COMPUTED_VALUE"""),"-")</f>
        <v>-</v>
      </c>
      <c r="I838" s="19">
        <f>IFERROR(__xludf.DUMMYFUNCTION("""COMPUTED_VALUE"""),0.00224)</f>
        <v>0.00224</v>
      </c>
      <c r="J838" s="19">
        <f>IFERROR(__xludf.DUMMYFUNCTION("""COMPUTED_VALUE"""),0.04747)</f>
        <v>0.04747</v>
      </c>
      <c r="K838" s="19" t="str">
        <f>IFERROR(__xludf.DUMMYFUNCTION("""COMPUTED_VALUE"""),"-")</f>
        <v>-</v>
      </c>
      <c r="L838" s="19">
        <f>IFERROR(__xludf.DUMMYFUNCTION("""COMPUTED_VALUE"""),0.04764)</f>
        <v>0.04764</v>
      </c>
      <c r="O838" s="24">
        <f t="shared" si="4"/>
        <v>0</v>
      </c>
      <c r="P838" s="24"/>
      <c r="Q838" s="24">
        <f t="shared" si="6"/>
        <v>0</v>
      </c>
      <c r="R838" s="24">
        <f t="shared" si="7"/>
        <v>0</v>
      </c>
      <c r="S838" s="24"/>
      <c r="T838" s="24">
        <f t="shared" si="9"/>
        <v>0</v>
      </c>
    </row>
    <row r="839">
      <c r="A839" s="12" t="s">
        <v>928</v>
      </c>
      <c r="F839" s="19">
        <f>IFERROR(__xludf.DUMMYFUNCTION("SPLIT(A835, "" |"")"),833.0)</f>
        <v>833</v>
      </c>
      <c r="G839" s="19">
        <f>IFERROR(__xludf.DUMMYFUNCTION("""COMPUTED_VALUE"""),0.00245)</f>
        <v>0.00245</v>
      </c>
      <c r="H839" s="19" t="str">
        <f>IFERROR(__xludf.DUMMYFUNCTION("""COMPUTED_VALUE"""),"-")</f>
        <v>-</v>
      </c>
      <c r="I839" s="19">
        <f>IFERROR(__xludf.DUMMYFUNCTION("""COMPUTED_VALUE"""),0.00219)</f>
        <v>0.00219</v>
      </c>
      <c r="J839" s="19">
        <f>IFERROR(__xludf.DUMMYFUNCTION("""COMPUTED_VALUE"""),0.04748)</f>
        <v>0.04748</v>
      </c>
      <c r="K839" s="19" t="str">
        <f>IFERROR(__xludf.DUMMYFUNCTION("""COMPUTED_VALUE"""),"-")</f>
        <v>-</v>
      </c>
      <c r="L839" s="19">
        <f>IFERROR(__xludf.DUMMYFUNCTION("""COMPUTED_VALUE"""),0.04766)</f>
        <v>0.04766</v>
      </c>
      <c r="O839" s="24">
        <f t="shared" si="4"/>
        <v>0</v>
      </c>
      <c r="P839" s="24"/>
      <c r="Q839" s="24">
        <f t="shared" si="6"/>
        <v>0</v>
      </c>
      <c r="R839" s="24">
        <f t="shared" si="7"/>
        <v>0</v>
      </c>
      <c r="S839" s="24"/>
      <c r="T839" s="24">
        <f t="shared" si="9"/>
        <v>0</v>
      </c>
    </row>
    <row r="840">
      <c r="A840" s="12" t="s">
        <v>929</v>
      </c>
      <c r="F840" s="19">
        <f>IFERROR(__xludf.DUMMYFUNCTION("SPLIT(A836, "" |"")"),834.0)</f>
        <v>834</v>
      </c>
      <c r="G840" s="19">
        <f>IFERROR(__xludf.DUMMYFUNCTION("""COMPUTED_VALUE"""),0.00241)</f>
        <v>0.00241</v>
      </c>
      <c r="H840" s="19" t="str">
        <f>IFERROR(__xludf.DUMMYFUNCTION("""COMPUTED_VALUE"""),"-")</f>
        <v>-</v>
      </c>
      <c r="I840" s="19">
        <f>IFERROR(__xludf.DUMMYFUNCTION("""COMPUTED_VALUE"""),0.00222)</f>
        <v>0.00222</v>
      </c>
      <c r="J840" s="19">
        <f>IFERROR(__xludf.DUMMYFUNCTION("""COMPUTED_VALUE"""),0.04751)</f>
        <v>0.04751</v>
      </c>
      <c r="K840" s="19" t="str">
        <f>IFERROR(__xludf.DUMMYFUNCTION("""COMPUTED_VALUE"""),"-")</f>
        <v>-</v>
      </c>
      <c r="L840" s="19">
        <f>IFERROR(__xludf.DUMMYFUNCTION("""COMPUTED_VALUE"""),0.04759)</f>
        <v>0.04759</v>
      </c>
      <c r="O840" s="24">
        <f t="shared" si="4"/>
        <v>0</v>
      </c>
      <c r="P840" s="24"/>
      <c r="Q840" s="24">
        <f t="shared" si="6"/>
        <v>0</v>
      </c>
      <c r="R840" s="24">
        <f t="shared" si="7"/>
        <v>0</v>
      </c>
      <c r="S840" s="24"/>
      <c r="T840" s="24">
        <f t="shared" si="9"/>
        <v>0</v>
      </c>
    </row>
    <row r="841">
      <c r="A841" s="12" t="s">
        <v>930</v>
      </c>
      <c r="F841" s="19">
        <f>IFERROR(__xludf.DUMMYFUNCTION("SPLIT(A837, "" |"")"),835.0)</f>
        <v>835</v>
      </c>
      <c r="G841" s="19">
        <f>IFERROR(__xludf.DUMMYFUNCTION("""COMPUTED_VALUE"""),0.00239)</f>
        <v>0.00239</v>
      </c>
      <c r="H841" s="19" t="str">
        <f>IFERROR(__xludf.DUMMYFUNCTION("""COMPUTED_VALUE"""),"-")</f>
        <v>-</v>
      </c>
      <c r="I841" s="19">
        <f>IFERROR(__xludf.DUMMYFUNCTION("""COMPUTED_VALUE"""),0.00221)</f>
        <v>0.00221</v>
      </c>
      <c r="J841" s="19">
        <f>IFERROR(__xludf.DUMMYFUNCTION("""COMPUTED_VALUE"""),0.04745)</f>
        <v>0.04745</v>
      </c>
      <c r="K841" s="19" t="str">
        <f>IFERROR(__xludf.DUMMYFUNCTION("""COMPUTED_VALUE"""),"-")</f>
        <v>-</v>
      </c>
      <c r="L841" s="19">
        <f>IFERROR(__xludf.DUMMYFUNCTION("""COMPUTED_VALUE"""),0.04758)</f>
        <v>0.04758</v>
      </c>
      <c r="O841" s="24">
        <f t="shared" si="4"/>
        <v>0</v>
      </c>
      <c r="P841" s="24"/>
      <c r="Q841" s="24">
        <f t="shared" si="6"/>
        <v>0</v>
      </c>
      <c r="R841" s="24">
        <f t="shared" si="7"/>
        <v>0</v>
      </c>
      <c r="S841" s="24"/>
      <c r="T841" s="24">
        <f t="shared" si="9"/>
        <v>0</v>
      </c>
    </row>
    <row r="842">
      <c r="A842" s="12" t="s">
        <v>931</v>
      </c>
      <c r="F842" s="19">
        <f>IFERROR(__xludf.DUMMYFUNCTION("SPLIT(A838, "" |"")"),836.0)</f>
        <v>836</v>
      </c>
      <c r="G842" s="19">
        <f>IFERROR(__xludf.DUMMYFUNCTION("""COMPUTED_VALUE"""),0.00248)</f>
        <v>0.00248</v>
      </c>
      <c r="H842" s="19" t="str">
        <f>IFERROR(__xludf.DUMMYFUNCTION("""COMPUTED_VALUE"""),"-")</f>
        <v>-</v>
      </c>
      <c r="I842" s="19">
        <f>IFERROR(__xludf.DUMMYFUNCTION("""COMPUTED_VALUE"""),0.00223)</f>
        <v>0.00223</v>
      </c>
      <c r="J842" s="19">
        <f>IFERROR(__xludf.DUMMYFUNCTION("""COMPUTED_VALUE"""),0.04746)</f>
        <v>0.04746</v>
      </c>
      <c r="K842" s="19" t="str">
        <f>IFERROR(__xludf.DUMMYFUNCTION("""COMPUTED_VALUE"""),"-")</f>
        <v>-</v>
      </c>
      <c r="L842" s="19">
        <f>IFERROR(__xludf.DUMMYFUNCTION("""COMPUTED_VALUE"""),0.04713)</f>
        <v>0.04713</v>
      </c>
      <c r="O842" s="24">
        <f t="shared" si="4"/>
        <v>0</v>
      </c>
      <c r="P842" s="24"/>
      <c r="Q842" s="24">
        <f t="shared" si="6"/>
        <v>0</v>
      </c>
      <c r="R842" s="24">
        <f t="shared" si="7"/>
        <v>0</v>
      </c>
      <c r="S842" s="24"/>
      <c r="T842" s="24">
        <f t="shared" si="9"/>
        <v>0</v>
      </c>
    </row>
    <row r="843">
      <c r="A843" s="12" t="s">
        <v>932</v>
      </c>
      <c r="F843" s="19">
        <f>IFERROR(__xludf.DUMMYFUNCTION("SPLIT(A839, "" |"")"),837.0)</f>
        <v>837</v>
      </c>
      <c r="G843" s="19">
        <f>IFERROR(__xludf.DUMMYFUNCTION("""COMPUTED_VALUE"""),0.00226)</f>
        <v>0.00226</v>
      </c>
      <c r="H843" s="19" t="str">
        <f>IFERROR(__xludf.DUMMYFUNCTION("""COMPUTED_VALUE"""),"-")</f>
        <v>-</v>
      </c>
      <c r="I843" s="19">
        <f>IFERROR(__xludf.DUMMYFUNCTION("""COMPUTED_VALUE"""),0.00252)</f>
        <v>0.00252</v>
      </c>
      <c r="J843" s="19">
        <f>IFERROR(__xludf.DUMMYFUNCTION("""COMPUTED_VALUE"""),0.04754)</f>
        <v>0.04754</v>
      </c>
      <c r="K843" s="19" t="str">
        <f>IFERROR(__xludf.DUMMYFUNCTION("""COMPUTED_VALUE"""),"-")</f>
        <v>-</v>
      </c>
      <c r="L843" s="19">
        <f>IFERROR(__xludf.DUMMYFUNCTION("""COMPUTED_VALUE"""),0.04769)</f>
        <v>0.04769</v>
      </c>
      <c r="O843" s="24">
        <f t="shared" si="4"/>
        <v>0</v>
      </c>
      <c r="P843" s="24"/>
      <c r="Q843" s="24">
        <f t="shared" si="6"/>
        <v>0</v>
      </c>
      <c r="R843" s="24">
        <f t="shared" si="7"/>
        <v>0</v>
      </c>
      <c r="S843" s="24"/>
      <c r="T843" s="24">
        <f t="shared" si="9"/>
        <v>0</v>
      </c>
    </row>
    <row r="844">
      <c r="A844" s="12" t="s">
        <v>933</v>
      </c>
      <c r="F844" s="19">
        <f>IFERROR(__xludf.DUMMYFUNCTION("SPLIT(A840, "" |"")"),838.0)</f>
        <v>838</v>
      </c>
      <c r="G844" s="19">
        <f>IFERROR(__xludf.DUMMYFUNCTION("""COMPUTED_VALUE"""),0.00235)</f>
        <v>0.00235</v>
      </c>
      <c r="H844" s="19" t="str">
        <f>IFERROR(__xludf.DUMMYFUNCTION("""COMPUTED_VALUE"""),"-")</f>
        <v>-</v>
      </c>
      <c r="I844" s="19">
        <f>IFERROR(__xludf.DUMMYFUNCTION("""COMPUTED_VALUE"""),0.00219)</f>
        <v>0.00219</v>
      </c>
      <c r="J844" s="19">
        <f>IFERROR(__xludf.DUMMYFUNCTION("""COMPUTED_VALUE"""),0.04738)</f>
        <v>0.04738</v>
      </c>
      <c r="K844" s="19" t="str">
        <f>IFERROR(__xludf.DUMMYFUNCTION("""COMPUTED_VALUE"""),"-")</f>
        <v>-</v>
      </c>
      <c r="L844" s="19">
        <f>IFERROR(__xludf.DUMMYFUNCTION("""COMPUTED_VALUE"""),0.04761)</f>
        <v>0.04761</v>
      </c>
      <c r="O844" s="24">
        <f t="shared" si="4"/>
        <v>0</v>
      </c>
      <c r="P844" s="24"/>
      <c r="Q844" s="24">
        <f t="shared" si="6"/>
        <v>0</v>
      </c>
      <c r="R844" s="24">
        <f t="shared" si="7"/>
        <v>0</v>
      </c>
      <c r="S844" s="24"/>
      <c r="T844" s="24">
        <f t="shared" si="9"/>
        <v>0</v>
      </c>
    </row>
    <row r="845">
      <c r="A845" s="12" t="s">
        <v>934</v>
      </c>
      <c r="F845" s="19">
        <f>IFERROR(__xludf.DUMMYFUNCTION("SPLIT(A841, "" |"")"),839.0)</f>
        <v>839</v>
      </c>
      <c r="G845" s="19">
        <f>IFERROR(__xludf.DUMMYFUNCTION("""COMPUTED_VALUE"""),0.00243)</f>
        <v>0.00243</v>
      </c>
      <c r="H845" s="19" t="str">
        <f>IFERROR(__xludf.DUMMYFUNCTION("""COMPUTED_VALUE"""),"-")</f>
        <v>-</v>
      </c>
      <c r="I845" s="19">
        <f>IFERROR(__xludf.DUMMYFUNCTION("""COMPUTED_VALUE"""),0.00229)</f>
        <v>0.00229</v>
      </c>
      <c r="J845" s="19">
        <f>IFERROR(__xludf.DUMMYFUNCTION("""COMPUTED_VALUE"""),0.04747)</f>
        <v>0.04747</v>
      </c>
      <c r="K845" s="19" t="str">
        <f>IFERROR(__xludf.DUMMYFUNCTION("""COMPUTED_VALUE"""),"-")</f>
        <v>-</v>
      </c>
      <c r="L845" s="19">
        <f>IFERROR(__xludf.DUMMYFUNCTION("""COMPUTED_VALUE"""),0.0475)</f>
        <v>0.0475</v>
      </c>
      <c r="O845" s="24">
        <f t="shared" si="4"/>
        <v>0</v>
      </c>
      <c r="P845" s="24"/>
      <c r="Q845" s="24">
        <f t="shared" si="6"/>
        <v>0</v>
      </c>
      <c r="R845" s="24">
        <f t="shared" si="7"/>
        <v>0</v>
      </c>
      <c r="S845" s="24"/>
      <c r="T845" s="24">
        <f t="shared" si="9"/>
        <v>0</v>
      </c>
    </row>
    <row r="846">
      <c r="A846" s="12" t="s">
        <v>935</v>
      </c>
      <c r="F846" s="19">
        <f>IFERROR(__xludf.DUMMYFUNCTION("SPLIT(A842, "" |"")"),840.0)</f>
        <v>840</v>
      </c>
      <c r="G846" s="19">
        <f>IFERROR(__xludf.DUMMYFUNCTION("""COMPUTED_VALUE"""),0.00238)</f>
        <v>0.00238</v>
      </c>
      <c r="H846" s="19" t="str">
        <f>IFERROR(__xludf.DUMMYFUNCTION("""COMPUTED_VALUE"""),"-")</f>
        <v>-</v>
      </c>
      <c r="I846" s="19">
        <f>IFERROR(__xludf.DUMMYFUNCTION("""COMPUTED_VALUE"""),0.0022)</f>
        <v>0.0022</v>
      </c>
      <c r="J846" s="19">
        <f>IFERROR(__xludf.DUMMYFUNCTION("""COMPUTED_VALUE"""),0.0474)</f>
        <v>0.0474</v>
      </c>
      <c r="K846" s="19" t="str">
        <f>IFERROR(__xludf.DUMMYFUNCTION("""COMPUTED_VALUE"""),"-")</f>
        <v>-</v>
      </c>
      <c r="L846" s="19">
        <f>IFERROR(__xludf.DUMMYFUNCTION("""COMPUTED_VALUE"""),0.041)</f>
        <v>0.041</v>
      </c>
      <c r="O846" s="24">
        <f t="shared" si="4"/>
        <v>0</v>
      </c>
      <c r="P846" s="24"/>
      <c r="Q846" s="24">
        <f t="shared" si="6"/>
        <v>0</v>
      </c>
      <c r="R846" s="24">
        <f t="shared" si="7"/>
        <v>0</v>
      </c>
      <c r="S846" s="24"/>
      <c r="T846" s="24">
        <f t="shared" si="9"/>
        <v>0</v>
      </c>
    </row>
    <row r="847">
      <c r="A847" s="12" t="s">
        <v>936</v>
      </c>
      <c r="F847" s="19">
        <f>IFERROR(__xludf.DUMMYFUNCTION("SPLIT(A843, "" |"")"),841.0)</f>
        <v>841</v>
      </c>
      <c r="G847" s="19">
        <f>IFERROR(__xludf.DUMMYFUNCTION("""COMPUTED_VALUE"""),0.00234)</f>
        <v>0.00234</v>
      </c>
      <c r="H847" s="19" t="str">
        <f>IFERROR(__xludf.DUMMYFUNCTION("""COMPUTED_VALUE"""),"-")</f>
        <v>-</v>
      </c>
      <c r="I847" s="19">
        <f>IFERROR(__xludf.DUMMYFUNCTION("""COMPUTED_VALUE"""),0.00225)</f>
        <v>0.00225</v>
      </c>
      <c r="J847" s="19">
        <f>IFERROR(__xludf.DUMMYFUNCTION("""COMPUTED_VALUE"""),0.04738)</f>
        <v>0.04738</v>
      </c>
      <c r="K847" s="19" t="str">
        <f>IFERROR(__xludf.DUMMYFUNCTION("""COMPUTED_VALUE"""),"-")</f>
        <v>-</v>
      </c>
      <c r="L847" s="19">
        <f>IFERROR(__xludf.DUMMYFUNCTION("""COMPUTED_VALUE"""),0.04442)</f>
        <v>0.04442</v>
      </c>
      <c r="O847" s="24">
        <f t="shared" si="4"/>
        <v>0</v>
      </c>
      <c r="P847" s="24"/>
      <c r="Q847" s="24">
        <f t="shared" si="6"/>
        <v>0</v>
      </c>
      <c r="R847" s="24">
        <f t="shared" si="7"/>
        <v>0</v>
      </c>
      <c r="S847" s="24"/>
      <c r="T847" s="24">
        <f t="shared" si="9"/>
        <v>0</v>
      </c>
    </row>
    <row r="848">
      <c r="A848" s="12" t="s">
        <v>937</v>
      </c>
      <c r="F848" s="19">
        <f>IFERROR(__xludf.DUMMYFUNCTION("SPLIT(A844, "" |"")"),842.0)</f>
        <v>842</v>
      </c>
      <c r="G848" s="19">
        <f>IFERROR(__xludf.DUMMYFUNCTION("""COMPUTED_VALUE"""),0.00242)</f>
        <v>0.00242</v>
      </c>
      <c r="H848" s="19" t="str">
        <f>IFERROR(__xludf.DUMMYFUNCTION("""COMPUTED_VALUE"""),"-")</f>
        <v>-</v>
      </c>
      <c r="I848" s="19">
        <f>IFERROR(__xludf.DUMMYFUNCTION("""COMPUTED_VALUE"""),0.00226)</f>
        <v>0.00226</v>
      </c>
      <c r="J848" s="19">
        <f>IFERROR(__xludf.DUMMYFUNCTION("""COMPUTED_VALUE"""),0.04752)</f>
        <v>0.04752</v>
      </c>
      <c r="K848" s="19" t="str">
        <f>IFERROR(__xludf.DUMMYFUNCTION("""COMPUTED_VALUE"""),"-")</f>
        <v>-</v>
      </c>
      <c r="L848" s="19">
        <f>IFERROR(__xludf.DUMMYFUNCTION("""COMPUTED_VALUE"""),0.04774)</f>
        <v>0.04774</v>
      </c>
      <c r="O848" s="24">
        <f t="shared" si="4"/>
        <v>0</v>
      </c>
      <c r="P848" s="24"/>
      <c r="Q848" s="24">
        <f t="shared" si="6"/>
        <v>0</v>
      </c>
      <c r="R848" s="24">
        <f t="shared" si="7"/>
        <v>0</v>
      </c>
      <c r="S848" s="24"/>
      <c r="T848" s="24">
        <f t="shared" si="9"/>
        <v>0</v>
      </c>
    </row>
    <row r="849">
      <c r="A849" s="12" t="s">
        <v>938</v>
      </c>
      <c r="F849" s="19">
        <f>IFERROR(__xludf.DUMMYFUNCTION("SPLIT(A845, "" |"")"),843.0)</f>
        <v>843</v>
      </c>
      <c r="G849" s="19">
        <f>IFERROR(__xludf.DUMMYFUNCTION("""COMPUTED_VALUE"""),0.00243)</f>
        <v>0.00243</v>
      </c>
      <c r="H849" s="19" t="str">
        <f>IFERROR(__xludf.DUMMYFUNCTION("""COMPUTED_VALUE"""),"-")</f>
        <v>-</v>
      </c>
      <c r="I849" s="19">
        <f>IFERROR(__xludf.DUMMYFUNCTION("""COMPUTED_VALUE"""),0.00225)</f>
        <v>0.00225</v>
      </c>
      <c r="J849" s="19">
        <f>IFERROR(__xludf.DUMMYFUNCTION("""COMPUTED_VALUE"""),0.04318)</f>
        <v>0.04318</v>
      </c>
      <c r="K849" s="19" t="str">
        <f>IFERROR(__xludf.DUMMYFUNCTION("""COMPUTED_VALUE"""),"-")</f>
        <v>-</v>
      </c>
      <c r="L849" s="19">
        <f>IFERROR(__xludf.DUMMYFUNCTION("""COMPUTED_VALUE"""),0.04757)</f>
        <v>0.04757</v>
      </c>
      <c r="O849" s="24">
        <f t="shared" si="4"/>
        <v>0</v>
      </c>
      <c r="P849" s="24"/>
      <c r="Q849" s="24">
        <f t="shared" si="6"/>
        <v>0</v>
      </c>
      <c r="R849" s="24">
        <f t="shared" si="7"/>
        <v>1</v>
      </c>
      <c r="S849" s="24"/>
      <c r="T849" s="24">
        <f t="shared" si="9"/>
        <v>0</v>
      </c>
    </row>
    <row r="850">
      <c r="A850" s="12" t="s">
        <v>939</v>
      </c>
      <c r="F850" s="19">
        <f>IFERROR(__xludf.DUMMYFUNCTION("SPLIT(A846, "" |"")"),844.0)</f>
        <v>844</v>
      </c>
      <c r="G850" s="19">
        <f>IFERROR(__xludf.DUMMYFUNCTION("""COMPUTED_VALUE"""),0.0024)</f>
        <v>0.0024</v>
      </c>
      <c r="H850" s="19" t="str">
        <f>IFERROR(__xludf.DUMMYFUNCTION("""COMPUTED_VALUE"""),"-")</f>
        <v>-</v>
      </c>
      <c r="I850" s="19">
        <f>IFERROR(__xludf.DUMMYFUNCTION("""COMPUTED_VALUE"""),0.00225)</f>
        <v>0.00225</v>
      </c>
      <c r="J850" s="19">
        <f>IFERROR(__xludf.DUMMYFUNCTION("""COMPUTED_VALUE"""),0.04748)</f>
        <v>0.04748</v>
      </c>
      <c r="K850" s="19" t="str">
        <f>IFERROR(__xludf.DUMMYFUNCTION("""COMPUTED_VALUE"""),"-")</f>
        <v>-</v>
      </c>
      <c r="L850" s="19">
        <f>IFERROR(__xludf.DUMMYFUNCTION("""COMPUTED_VALUE"""),0.04759)</f>
        <v>0.04759</v>
      </c>
      <c r="O850" s="24">
        <f t="shared" si="4"/>
        <v>0</v>
      </c>
      <c r="P850" s="24"/>
      <c r="Q850" s="24">
        <f t="shared" si="6"/>
        <v>0</v>
      </c>
      <c r="R850" s="24">
        <f t="shared" si="7"/>
        <v>0</v>
      </c>
      <c r="S850" s="24"/>
      <c r="T850" s="24">
        <f t="shared" si="9"/>
        <v>0</v>
      </c>
    </row>
    <row r="851">
      <c r="A851" s="12" t="s">
        <v>940</v>
      </c>
      <c r="F851" s="19">
        <f>IFERROR(__xludf.DUMMYFUNCTION("SPLIT(A847, "" |"")"),845.0)</f>
        <v>845</v>
      </c>
      <c r="G851" s="19">
        <f>IFERROR(__xludf.DUMMYFUNCTION("""COMPUTED_VALUE"""),0.0024)</f>
        <v>0.0024</v>
      </c>
      <c r="H851" s="19" t="str">
        <f>IFERROR(__xludf.DUMMYFUNCTION("""COMPUTED_VALUE"""),"-")</f>
        <v>-</v>
      </c>
      <c r="I851" s="19">
        <f>IFERROR(__xludf.DUMMYFUNCTION("""COMPUTED_VALUE"""),0.00223)</f>
        <v>0.00223</v>
      </c>
      <c r="J851" s="19">
        <f>IFERROR(__xludf.DUMMYFUNCTION("""COMPUTED_VALUE"""),0.04745)</f>
        <v>0.04745</v>
      </c>
      <c r="K851" s="19" t="str">
        <f>IFERROR(__xludf.DUMMYFUNCTION("""COMPUTED_VALUE"""),"-")</f>
        <v>-</v>
      </c>
      <c r="L851" s="19">
        <f>IFERROR(__xludf.DUMMYFUNCTION("""COMPUTED_VALUE"""),0.04761)</f>
        <v>0.04761</v>
      </c>
      <c r="O851" s="24">
        <f t="shared" si="4"/>
        <v>0</v>
      </c>
      <c r="P851" s="24"/>
      <c r="Q851" s="24">
        <f t="shared" si="6"/>
        <v>0</v>
      </c>
      <c r="R851" s="24">
        <f t="shared" si="7"/>
        <v>0</v>
      </c>
      <c r="S851" s="24"/>
      <c r="T851" s="24">
        <f t="shared" si="9"/>
        <v>0</v>
      </c>
    </row>
    <row r="852">
      <c r="A852" s="12" t="s">
        <v>941</v>
      </c>
      <c r="F852" s="19">
        <f>IFERROR(__xludf.DUMMYFUNCTION("SPLIT(A848, "" |"")"),846.0)</f>
        <v>846</v>
      </c>
      <c r="G852" s="19">
        <f>IFERROR(__xludf.DUMMYFUNCTION("""COMPUTED_VALUE"""),0.00245)</f>
        <v>0.00245</v>
      </c>
      <c r="H852" s="19" t="str">
        <f>IFERROR(__xludf.DUMMYFUNCTION("""COMPUTED_VALUE"""),"-")</f>
        <v>-</v>
      </c>
      <c r="I852" s="19">
        <f>IFERROR(__xludf.DUMMYFUNCTION("""COMPUTED_VALUE"""),0.00223)</f>
        <v>0.00223</v>
      </c>
      <c r="J852" s="19">
        <f>IFERROR(__xludf.DUMMYFUNCTION("""COMPUTED_VALUE"""),0.04751)</f>
        <v>0.04751</v>
      </c>
      <c r="K852" s="19" t="str">
        <f>IFERROR(__xludf.DUMMYFUNCTION("""COMPUTED_VALUE"""),"-")</f>
        <v>-</v>
      </c>
      <c r="L852" s="19">
        <f>IFERROR(__xludf.DUMMYFUNCTION("""COMPUTED_VALUE"""),0.04776)</f>
        <v>0.04776</v>
      </c>
      <c r="O852" s="24">
        <f t="shared" si="4"/>
        <v>0</v>
      </c>
      <c r="P852" s="24"/>
      <c r="Q852" s="24">
        <f t="shared" si="6"/>
        <v>0</v>
      </c>
      <c r="R852" s="24">
        <f t="shared" si="7"/>
        <v>0</v>
      </c>
      <c r="S852" s="24"/>
      <c r="T852" s="24">
        <f t="shared" si="9"/>
        <v>0</v>
      </c>
    </row>
    <row r="853">
      <c r="A853" s="12" t="s">
        <v>942</v>
      </c>
      <c r="F853" s="19">
        <f>IFERROR(__xludf.DUMMYFUNCTION("SPLIT(A849, "" |"")"),847.0)</f>
        <v>847</v>
      </c>
      <c r="G853" s="19">
        <f>IFERROR(__xludf.DUMMYFUNCTION("""COMPUTED_VALUE"""),0.00237)</f>
        <v>0.00237</v>
      </c>
      <c r="H853" s="19" t="str">
        <f>IFERROR(__xludf.DUMMYFUNCTION("""COMPUTED_VALUE"""),"-")</f>
        <v>-</v>
      </c>
      <c r="I853" s="19">
        <f>IFERROR(__xludf.DUMMYFUNCTION("""COMPUTED_VALUE"""),0.00228)</f>
        <v>0.00228</v>
      </c>
      <c r="J853" s="19">
        <f>IFERROR(__xludf.DUMMYFUNCTION("""COMPUTED_VALUE"""),0.04449)</f>
        <v>0.04449</v>
      </c>
      <c r="K853" s="19" t="str">
        <f>IFERROR(__xludf.DUMMYFUNCTION("""COMPUTED_VALUE"""),"-")</f>
        <v>-</v>
      </c>
      <c r="L853" s="19">
        <f>IFERROR(__xludf.DUMMYFUNCTION("""COMPUTED_VALUE"""),0.04762)</f>
        <v>0.04762</v>
      </c>
      <c r="O853" s="24">
        <f t="shared" si="4"/>
        <v>0</v>
      </c>
      <c r="P853" s="24"/>
      <c r="Q853" s="24">
        <f t="shared" si="6"/>
        <v>0</v>
      </c>
      <c r="R853" s="24">
        <f t="shared" si="7"/>
        <v>1</v>
      </c>
      <c r="S853" s="24"/>
      <c r="T853" s="24">
        <f t="shared" si="9"/>
        <v>0</v>
      </c>
    </row>
    <row r="854">
      <c r="A854" s="12" t="s">
        <v>943</v>
      </c>
      <c r="F854" s="19">
        <f>IFERROR(__xludf.DUMMYFUNCTION("SPLIT(A850, "" |"")"),848.0)</f>
        <v>848</v>
      </c>
      <c r="G854" s="19">
        <f>IFERROR(__xludf.DUMMYFUNCTION("""COMPUTED_VALUE"""),0.00243)</f>
        <v>0.00243</v>
      </c>
      <c r="H854" s="19" t="str">
        <f>IFERROR(__xludf.DUMMYFUNCTION("""COMPUTED_VALUE"""),"-")</f>
        <v>-</v>
      </c>
      <c r="I854" s="19">
        <f>IFERROR(__xludf.DUMMYFUNCTION("""COMPUTED_VALUE"""),0.0022)</f>
        <v>0.0022</v>
      </c>
      <c r="J854" s="19">
        <f>IFERROR(__xludf.DUMMYFUNCTION("""COMPUTED_VALUE"""),0.0475)</f>
        <v>0.0475</v>
      </c>
      <c r="K854" s="19" t="str">
        <f>IFERROR(__xludf.DUMMYFUNCTION("""COMPUTED_VALUE"""),"-")</f>
        <v>-</v>
      </c>
      <c r="L854" s="19">
        <f>IFERROR(__xludf.DUMMYFUNCTION("""COMPUTED_VALUE"""),0.04751)</f>
        <v>0.04751</v>
      </c>
      <c r="O854" s="24">
        <f t="shared" si="4"/>
        <v>0</v>
      </c>
      <c r="P854" s="24"/>
      <c r="Q854" s="24">
        <f t="shared" si="6"/>
        <v>0</v>
      </c>
      <c r="R854" s="24">
        <f t="shared" si="7"/>
        <v>0</v>
      </c>
      <c r="S854" s="24"/>
      <c r="T854" s="24">
        <f t="shared" si="9"/>
        <v>0</v>
      </c>
    </row>
    <row r="855">
      <c r="A855" s="12" t="s">
        <v>944</v>
      </c>
      <c r="F855" s="19">
        <f>IFERROR(__xludf.DUMMYFUNCTION("SPLIT(A851, "" |"")"),849.0)</f>
        <v>849</v>
      </c>
      <c r="G855" s="19">
        <f>IFERROR(__xludf.DUMMYFUNCTION("""COMPUTED_VALUE"""),0.00244)</f>
        <v>0.00244</v>
      </c>
      <c r="H855" s="19" t="str">
        <f>IFERROR(__xludf.DUMMYFUNCTION("""COMPUTED_VALUE"""),"-")</f>
        <v>-</v>
      </c>
      <c r="I855" s="19">
        <f>IFERROR(__xludf.DUMMYFUNCTION("""COMPUTED_VALUE"""),0.00229)</f>
        <v>0.00229</v>
      </c>
      <c r="J855" s="19">
        <f>IFERROR(__xludf.DUMMYFUNCTION("""COMPUTED_VALUE"""),0.04745)</f>
        <v>0.04745</v>
      </c>
      <c r="K855" s="19" t="str">
        <f>IFERROR(__xludf.DUMMYFUNCTION("""COMPUTED_VALUE"""),"-")</f>
        <v>-</v>
      </c>
      <c r="L855" s="19">
        <f>IFERROR(__xludf.DUMMYFUNCTION("""COMPUTED_VALUE"""),0.04761)</f>
        <v>0.04761</v>
      </c>
      <c r="O855" s="24">
        <f t="shared" si="4"/>
        <v>0</v>
      </c>
      <c r="P855" s="24"/>
      <c r="Q855" s="24">
        <f t="shared" si="6"/>
        <v>0</v>
      </c>
      <c r="R855" s="24">
        <f t="shared" si="7"/>
        <v>0</v>
      </c>
      <c r="S855" s="24"/>
      <c r="T855" s="24">
        <f t="shared" si="9"/>
        <v>0</v>
      </c>
    </row>
    <row r="856">
      <c r="A856" s="12" t="s">
        <v>945</v>
      </c>
      <c r="F856" s="19">
        <f>IFERROR(__xludf.DUMMYFUNCTION("SPLIT(A852, "" |"")"),850.0)</f>
        <v>850</v>
      </c>
      <c r="G856" s="19">
        <f>IFERROR(__xludf.DUMMYFUNCTION("""COMPUTED_VALUE"""),0.0023)</f>
        <v>0.0023</v>
      </c>
      <c r="H856" s="19" t="str">
        <f>IFERROR(__xludf.DUMMYFUNCTION("""COMPUTED_VALUE"""),"-")</f>
        <v>-</v>
      </c>
      <c r="I856" s="19">
        <f>IFERROR(__xludf.DUMMYFUNCTION("""COMPUTED_VALUE"""),0.00226)</f>
        <v>0.00226</v>
      </c>
      <c r="J856" s="19">
        <f>IFERROR(__xludf.DUMMYFUNCTION("""COMPUTED_VALUE"""),0.04743)</f>
        <v>0.04743</v>
      </c>
      <c r="K856" s="19" t="str">
        <f>IFERROR(__xludf.DUMMYFUNCTION("""COMPUTED_VALUE"""),"-")</f>
        <v>-</v>
      </c>
      <c r="L856" s="19">
        <f>IFERROR(__xludf.DUMMYFUNCTION("""COMPUTED_VALUE"""),0.0475)</f>
        <v>0.0475</v>
      </c>
      <c r="O856" s="24">
        <f t="shared" si="4"/>
        <v>0</v>
      </c>
      <c r="P856" s="24"/>
      <c r="Q856" s="24">
        <f t="shared" si="6"/>
        <v>0</v>
      </c>
      <c r="R856" s="24">
        <f t="shared" si="7"/>
        <v>0</v>
      </c>
      <c r="S856" s="24"/>
      <c r="T856" s="24">
        <f t="shared" si="9"/>
        <v>0</v>
      </c>
    </row>
    <row r="857">
      <c r="A857" s="12" t="s">
        <v>946</v>
      </c>
      <c r="F857" s="19">
        <f>IFERROR(__xludf.DUMMYFUNCTION("SPLIT(A853, "" |"")"),851.0)</f>
        <v>851</v>
      </c>
      <c r="G857" s="19">
        <f>IFERROR(__xludf.DUMMYFUNCTION("""COMPUTED_VALUE"""),0.00229)</f>
        <v>0.00229</v>
      </c>
      <c r="H857" s="19" t="str">
        <f>IFERROR(__xludf.DUMMYFUNCTION("""COMPUTED_VALUE"""),"-")</f>
        <v>-</v>
      </c>
      <c r="I857" s="19">
        <f>IFERROR(__xludf.DUMMYFUNCTION("""COMPUTED_VALUE"""),0.00221)</f>
        <v>0.00221</v>
      </c>
      <c r="J857" s="19">
        <f>IFERROR(__xludf.DUMMYFUNCTION("""COMPUTED_VALUE"""),0.04713)</f>
        <v>0.04713</v>
      </c>
      <c r="K857" s="19" t="str">
        <f>IFERROR(__xludf.DUMMYFUNCTION("""COMPUTED_VALUE"""),"-")</f>
        <v>-</v>
      </c>
      <c r="L857" s="19">
        <f>IFERROR(__xludf.DUMMYFUNCTION("""COMPUTED_VALUE"""),0.04747)</f>
        <v>0.04747</v>
      </c>
      <c r="O857" s="24">
        <f t="shared" si="4"/>
        <v>0</v>
      </c>
      <c r="P857" s="24"/>
      <c r="Q857" s="24">
        <f t="shared" si="6"/>
        <v>0</v>
      </c>
      <c r="R857" s="24">
        <f t="shared" si="7"/>
        <v>0</v>
      </c>
      <c r="S857" s="24"/>
      <c r="T857" s="24">
        <f t="shared" si="9"/>
        <v>0</v>
      </c>
    </row>
    <row r="858">
      <c r="A858" s="12" t="s">
        <v>947</v>
      </c>
      <c r="F858" s="19">
        <f>IFERROR(__xludf.DUMMYFUNCTION("SPLIT(A854, "" |"")"),852.0)</f>
        <v>852</v>
      </c>
      <c r="G858" s="19">
        <f>IFERROR(__xludf.DUMMYFUNCTION("""COMPUTED_VALUE"""),0.00237)</f>
        <v>0.00237</v>
      </c>
      <c r="H858" s="19" t="str">
        <f>IFERROR(__xludf.DUMMYFUNCTION("""COMPUTED_VALUE"""),"-")</f>
        <v>-</v>
      </c>
      <c r="I858" s="19">
        <f>IFERROR(__xludf.DUMMYFUNCTION("""COMPUTED_VALUE"""),0.00222)</f>
        <v>0.00222</v>
      </c>
      <c r="J858" s="19">
        <f>IFERROR(__xludf.DUMMYFUNCTION("""COMPUTED_VALUE"""),0.0474)</f>
        <v>0.0474</v>
      </c>
      <c r="K858" s="19" t="str">
        <f>IFERROR(__xludf.DUMMYFUNCTION("""COMPUTED_VALUE"""),"-")</f>
        <v>-</v>
      </c>
      <c r="L858" s="19">
        <f>IFERROR(__xludf.DUMMYFUNCTION("""COMPUTED_VALUE"""),0.04579)</f>
        <v>0.04579</v>
      </c>
      <c r="O858" s="24">
        <f t="shared" si="4"/>
        <v>0</v>
      </c>
      <c r="P858" s="24"/>
      <c r="Q858" s="24">
        <f t="shared" si="6"/>
        <v>0</v>
      </c>
      <c r="R858" s="24">
        <f t="shared" si="7"/>
        <v>0</v>
      </c>
      <c r="S858" s="24"/>
      <c r="T858" s="24">
        <f t="shared" si="9"/>
        <v>0</v>
      </c>
    </row>
    <row r="859">
      <c r="A859" s="12" t="s">
        <v>948</v>
      </c>
      <c r="F859" s="19">
        <f>IFERROR(__xludf.DUMMYFUNCTION("SPLIT(A855, "" |"")"),853.0)</f>
        <v>853</v>
      </c>
      <c r="G859" s="19">
        <f>IFERROR(__xludf.DUMMYFUNCTION("""COMPUTED_VALUE"""),0.00223)</f>
        <v>0.00223</v>
      </c>
      <c r="H859" s="19" t="str">
        <f>IFERROR(__xludf.DUMMYFUNCTION("""COMPUTED_VALUE"""),"-")</f>
        <v>-</v>
      </c>
      <c r="I859" s="19">
        <f>IFERROR(__xludf.DUMMYFUNCTION("""COMPUTED_VALUE"""),0.00227)</f>
        <v>0.00227</v>
      </c>
      <c r="J859" s="19">
        <f>IFERROR(__xludf.DUMMYFUNCTION("""COMPUTED_VALUE"""),0.04053)</f>
        <v>0.04053</v>
      </c>
      <c r="K859" s="19" t="str">
        <f>IFERROR(__xludf.DUMMYFUNCTION("""COMPUTED_VALUE"""),"-")</f>
        <v>-</v>
      </c>
      <c r="L859" s="19">
        <f>IFERROR(__xludf.DUMMYFUNCTION("""COMPUTED_VALUE"""),0.04765)</f>
        <v>0.04765</v>
      </c>
      <c r="O859" s="24">
        <f t="shared" si="4"/>
        <v>0</v>
      </c>
      <c r="P859" s="24"/>
      <c r="Q859" s="24">
        <f t="shared" si="6"/>
        <v>0</v>
      </c>
      <c r="R859" s="24">
        <f t="shared" si="7"/>
        <v>1</v>
      </c>
      <c r="S859" s="24"/>
      <c r="T859" s="24">
        <f t="shared" si="9"/>
        <v>0</v>
      </c>
    </row>
    <row r="860">
      <c r="A860" s="12" t="s">
        <v>949</v>
      </c>
      <c r="F860" s="19">
        <f>IFERROR(__xludf.DUMMYFUNCTION("SPLIT(A856, "" |"")"),854.0)</f>
        <v>854</v>
      </c>
      <c r="G860" s="19">
        <f>IFERROR(__xludf.DUMMYFUNCTION("""COMPUTED_VALUE"""),0.00245)</f>
        <v>0.00245</v>
      </c>
      <c r="H860" s="19" t="str">
        <f>IFERROR(__xludf.DUMMYFUNCTION("""COMPUTED_VALUE"""),"-")</f>
        <v>-</v>
      </c>
      <c r="I860" s="19">
        <f>IFERROR(__xludf.DUMMYFUNCTION("""COMPUTED_VALUE"""),0.00221)</f>
        <v>0.00221</v>
      </c>
      <c r="J860" s="19">
        <f>IFERROR(__xludf.DUMMYFUNCTION("""COMPUTED_VALUE"""),0.04518)</f>
        <v>0.04518</v>
      </c>
      <c r="K860" s="19" t="str">
        <f>IFERROR(__xludf.DUMMYFUNCTION("""COMPUTED_VALUE"""),"-")</f>
        <v>-</v>
      </c>
      <c r="L860" s="19">
        <f>IFERROR(__xludf.DUMMYFUNCTION("""COMPUTED_VALUE"""),0.04761)</f>
        <v>0.04761</v>
      </c>
      <c r="O860" s="24">
        <f t="shared" si="4"/>
        <v>0</v>
      </c>
      <c r="P860" s="24"/>
      <c r="Q860" s="24">
        <f t="shared" si="6"/>
        <v>0</v>
      </c>
      <c r="R860" s="24">
        <f t="shared" si="7"/>
        <v>0</v>
      </c>
      <c r="S860" s="24"/>
      <c r="T860" s="24">
        <f t="shared" si="9"/>
        <v>0</v>
      </c>
    </row>
    <row r="861">
      <c r="A861" s="12" t="s">
        <v>950</v>
      </c>
      <c r="F861" s="19">
        <f>IFERROR(__xludf.DUMMYFUNCTION("SPLIT(A857, "" |"")"),855.0)</f>
        <v>855</v>
      </c>
      <c r="G861" s="19">
        <f>IFERROR(__xludf.DUMMYFUNCTION("""COMPUTED_VALUE"""),0.00235)</f>
        <v>0.00235</v>
      </c>
      <c r="H861" s="19" t="str">
        <f>IFERROR(__xludf.DUMMYFUNCTION("""COMPUTED_VALUE"""),"-")</f>
        <v>-</v>
      </c>
      <c r="I861" s="19">
        <f>IFERROR(__xludf.DUMMYFUNCTION("""COMPUTED_VALUE"""),0.00224)</f>
        <v>0.00224</v>
      </c>
      <c r="J861" s="19">
        <f>IFERROR(__xludf.DUMMYFUNCTION("""COMPUTED_VALUE"""),0.04746)</f>
        <v>0.04746</v>
      </c>
      <c r="K861" s="19" t="str">
        <f>IFERROR(__xludf.DUMMYFUNCTION("""COMPUTED_VALUE"""),"-")</f>
        <v>-</v>
      </c>
      <c r="L861" s="19">
        <f>IFERROR(__xludf.DUMMYFUNCTION("""COMPUTED_VALUE"""),0.04759)</f>
        <v>0.04759</v>
      </c>
      <c r="O861" s="24">
        <f t="shared" si="4"/>
        <v>0</v>
      </c>
      <c r="P861" s="24"/>
      <c r="Q861" s="24">
        <f t="shared" si="6"/>
        <v>0</v>
      </c>
      <c r="R861" s="24">
        <f t="shared" si="7"/>
        <v>0</v>
      </c>
      <c r="S861" s="24"/>
      <c r="T861" s="24">
        <f t="shared" si="9"/>
        <v>0</v>
      </c>
    </row>
    <row r="862">
      <c r="A862" s="12" t="s">
        <v>951</v>
      </c>
      <c r="F862" s="19">
        <f>IFERROR(__xludf.DUMMYFUNCTION("SPLIT(A858, "" |"")"),856.0)</f>
        <v>856</v>
      </c>
      <c r="G862" s="19">
        <f>IFERROR(__xludf.DUMMYFUNCTION("""COMPUTED_VALUE"""),0.00238)</f>
        <v>0.00238</v>
      </c>
      <c r="H862" s="19" t="str">
        <f>IFERROR(__xludf.DUMMYFUNCTION("""COMPUTED_VALUE"""),"-")</f>
        <v>-</v>
      </c>
      <c r="I862" s="19">
        <f>IFERROR(__xludf.DUMMYFUNCTION("""COMPUTED_VALUE"""),0.00223)</f>
        <v>0.00223</v>
      </c>
      <c r="J862" s="19">
        <f>IFERROR(__xludf.DUMMYFUNCTION("""COMPUTED_VALUE"""),0.04079)</f>
        <v>0.04079</v>
      </c>
      <c r="K862" s="19" t="str">
        <f>IFERROR(__xludf.DUMMYFUNCTION("""COMPUTED_VALUE"""),"-")</f>
        <v>-</v>
      </c>
      <c r="L862" s="19">
        <f>IFERROR(__xludf.DUMMYFUNCTION("""COMPUTED_VALUE"""),0.04768)</f>
        <v>0.04768</v>
      </c>
      <c r="O862" s="24">
        <f t="shared" si="4"/>
        <v>0</v>
      </c>
      <c r="P862" s="24"/>
      <c r="Q862" s="24">
        <f t="shared" si="6"/>
        <v>0</v>
      </c>
      <c r="R862" s="24">
        <f t="shared" si="7"/>
        <v>1</v>
      </c>
      <c r="S862" s="24"/>
      <c r="T862" s="24">
        <f t="shared" si="9"/>
        <v>0</v>
      </c>
    </row>
    <row r="863">
      <c r="A863" s="12" t="s">
        <v>952</v>
      </c>
      <c r="F863" s="19">
        <f>IFERROR(__xludf.DUMMYFUNCTION("SPLIT(A859, "" |"")"),857.0)</f>
        <v>857</v>
      </c>
      <c r="G863" s="19">
        <f>IFERROR(__xludf.DUMMYFUNCTION("""COMPUTED_VALUE"""),0.00247)</f>
        <v>0.00247</v>
      </c>
      <c r="H863" s="19" t="str">
        <f>IFERROR(__xludf.DUMMYFUNCTION("""COMPUTED_VALUE"""),"-")</f>
        <v>-</v>
      </c>
      <c r="I863" s="19">
        <f>IFERROR(__xludf.DUMMYFUNCTION("""COMPUTED_VALUE"""),0.00219)</f>
        <v>0.00219</v>
      </c>
      <c r="J863" s="19">
        <f>IFERROR(__xludf.DUMMYFUNCTION("""COMPUTED_VALUE"""),0.04279)</f>
        <v>0.04279</v>
      </c>
      <c r="K863" s="19" t="str">
        <f>IFERROR(__xludf.DUMMYFUNCTION("""COMPUTED_VALUE"""),"-")</f>
        <v>-</v>
      </c>
      <c r="L863" s="19">
        <f>IFERROR(__xludf.DUMMYFUNCTION("""COMPUTED_VALUE"""),0.04758)</f>
        <v>0.04758</v>
      </c>
      <c r="O863" s="24">
        <f t="shared" si="4"/>
        <v>0</v>
      </c>
      <c r="P863" s="24"/>
      <c r="Q863" s="24">
        <f t="shared" si="6"/>
        <v>0</v>
      </c>
      <c r="R863" s="24">
        <f t="shared" si="7"/>
        <v>1</v>
      </c>
      <c r="S863" s="24"/>
      <c r="T863" s="24">
        <f t="shared" si="9"/>
        <v>0</v>
      </c>
    </row>
    <row r="864">
      <c r="A864" s="12" t="s">
        <v>953</v>
      </c>
      <c r="F864" s="19">
        <f>IFERROR(__xludf.DUMMYFUNCTION("SPLIT(A860, "" |"")"),858.0)</f>
        <v>858</v>
      </c>
      <c r="G864" s="19">
        <f>IFERROR(__xludf.DUMMYFUNCTION("""COMPUTED_VALUE"""),0.00237)</f>
        <v>0.00237</v>
      </c>
      <c r="H864" s="19" t="str">
        <f>IFERROR(__xludf.DUMMYFUNCTION("""COMPUTED_VALUE"""),"-")</f>
        <v>-</v>
      </c>
      <c r="I864" s="19">
        <f>IFERROR(__xludf.DUMMYFUNCTION("""COMPUTED_VALUE"""),0.00219)</f>
        <v>0.00219</v>
      </c>
      <c r="J864" s="19">
        <f>IFERROR(__xludf.DUMMYFUNCTION("""COMPUTED_VALUE"""),0.04746)</f>
        <v>0.04746</v>
      </c>
      <c r="K864" s="19" t="str">
        <f>IFERROR(__xludf.DUMMYFUNCTION("""COMPUTED_VALUE"""),"-")</f>
        <v>-</v>
      </c>
      <c r="L864" s="19">
        <f>IFERROR(__xludf.DUMMYFUNCTION("""COMPUTED_VALUE"""),0.04768)</f>
        <v>0.04768</v>
      </c>
      <c r="O864" s="24">
        <f t="shared" si="4"/>
        <v>0</v>
      </c>
      <c r="P864" s="24"/>
      <c r="Q864" s="24">
        <f t="shared" si="6"/>
        <v>0</v>
      </c>
      <c r="R864" s="24">
        <f t="shared" si="7"/>
        <v>0</v>
      </c>
      <c r="S864" s="24"/>
      <c r="T864" s="24">
        <f t="shared" si="9"/>
        <v>0</v>
      </c>
    </row>
    <row r="865">
      <c r="A865" s="12" t="s">
        <v>954</v>
      </c>
      <c r="F865" s="19">
        <f>IFERROR(__xludf.DUMMYFUNCTION("SPLIT(A861, "" |"")"),859.0)</f>
        <v>859</v>
      </c>
      <c r="G865" s="19">
        <f>IFERROR(__xludf.DUMMYFUNCTION("""COMPUTED_VALUE"""),0.00242)</f>
        <v>0.00242</v>
      </c>
      <c r="H865" s="19" t="str">
        <f>IFERROR(__xludf.DUMMYFUNCTION("""COMPUTED_VALUE"""),"-")</f>
        <v>-</v>
      </c>
      <c r="I865" s="19">
        <f>IFERROR(__xludf.DUMMYFUNCTION("""COMPUTED_VALUE"""),0.00223)</f>
        <v>0.00223</v>
      </c>
      <c r="J865" s="19">
        <f>IFERROR(__xludf.DUMMYFUNCTION("""COMPUTED_VALUE"""),0.04735)</f>
        <v>0.04735</v>
      </c>
      <c r="K865" s="19" t="str">
        <f>IFERROR(__xludf.DUMMYFUNCTION("""COMPUTED_VALUE"""),"-")</f>
        <v>-</v>
      </c>
      <c r="L865" s="19">
        <f>IFERROR(__xludf.DUMMYFUNCTION("""COMPUTED_VALUE"""),0.04611)</f>
        <v>0.04611</v>
      </c>
      <c r="O865" s="24">
        <f t="shared" si="4"/>
        <v>0</v>
      </c>
      <c r="P865" s="24"/>
      <c r="Q865" s="24">
        <f t="shared" si="6"/>
        <v>0</v>
      </c>
      <c r="R865" s="24">
        <f t="shared" si="7"/>
        <v>0</v>
      </c>
      <c r="S865" s="24"/>
      <c r="T865" s="24">
        <f t="shared" si="9"/>
        <v>0</v>
      </c>
    </row>
    <row r="866">
      <c r="A866" s="12" t="s">
        <v>955</v>
      </c>
      <c r="F866" s="19">
        <f>IFERROR(__xludf.DUMMYFUNCTION("SPLIT(A862, "" |"")"),860.0)</f>
        <v>860</v>
      </c>
      <c r="G866" s="19">
        <f>IFERROR(__xludf.DUMMYFUNCTION("""COMPUTED_VALUE"""),0.00239)</f>
        <v>0.00239</v>
      </c>
      <c r="H866" s="19" t="str">
        <f>IFERROR(__xludf.DUMMYFUNCTION("""COMPUTED_VALUE"""),"-")</f>
        <v>-</v>
      </c>
      <c r="I866" s="19">
        <f>IFERROR(__xludf.DUMMYFUNCTION("""COMPUTED_VALUE"""),0.00225)</f>
        <v>0.00225</v>
      </c>
      <c r="J866" s="19">
        <f>IFERROR(__xludf.DUMMYFUNCTION("""COMPUTED_VALUE"""),0.04745)</f>
        <v>0.04745</v>
      </c>
      <c r="K866" s="19" t="str">
        <f>IFERROR(__xludf.DUMMYFUNCTION("""COMPUTED_VALUE"""),"-")</f>
        <v>-</v>
      </c>
      <c r="L866" s="19">
        <f>IFERROR(__xludf.DUMMYFUNCTION("""COMPUTED_VALUE"""),0.04746)</f>
        <v>0.04746</v>
      </c>
      <c r="O866" s="24">
        <f t="shared" si="4"/>
        <v>0</v>
      </c>
      <c r="P866" s="24"/>
      <c r="Q866" s="24">
        <f t="shared" si="6"/>
        <v>0</v>
      </c>
      <c r="R866" s="24">
        <f t="shared" si="7"/>
        <v>0</v>
      </c>
      <c r="S866" s="24"/>
      <c r="T866" s="24">
        <f t="shared" si="9"/>
        <v>0</v>
      </c>
    </row>
    <row r="867">
      <c r="A867" s="12" t="s">
        <v>956</v>
      </c>
      <c r="F867" s="19">
        <f>IFERROR(__xludf.DUMMYFUNCTION("SPLIT(A863, "" |"")"),861.0)</f>
        <v>861</v>
      </c>
      <c r="G867" s="19">
        <f>IFERROR(__xludf.DUMMYFUNCTION("""COMPUTED_VALUE"""),0.00223)</f>
        <v>0.00223</v>
      </c>
      <c r="H867" s="19" t="str">
        <f>IFERROR(__xludf.DUMMYFUNCTION("""COMPUTED_VALUE"""),"-")</f>
        <v>-</v>
      </c>
      <c r="I867" s="19">
        <f>IFERROR(__xludf.DUMMYFUNCTION("""COMPUTED_VALUE"""),0.00209)</f>
        <v>0.00209</v>
      </c>
      <c r="J867" s="19">
        <f>IFERROR(__xludf.DUMMYFUNCTION("""COMPUTED_VALUE"""),0.04728)</f>
        <v>0.04728</v>
      </c>
      <c r="K867" s="19" t="str">
        <f>IFERROR(__xludf.DUMMYFUNCTION("""COMPUTED_VALUE"""),"-")</f>
        <v>-</v>
      </c>
      <c r="L867" s="19">
        <f>IFERROR(__xludf.DUMMYFUNCTION("""COMPUTED_VALUE"""),0.04753)</f>
        <v>0.04753</v>
      </c>
      <c r="O867" s="24">
        <f t="shared" si="4"/>
        <v>0</v>
      </c>
      <c r="P867" s="24"/>
      <c r="Q867" s="24">
        <f t="shared" si="6"/>
        <v>0</v>
      </c>
      <c r="R867" s="24">
        <f t="shared" si="7"/>
        <v>0</v>
      </c>
      <c r="S867" s="24"/>
      <c r="T867" s="24">
        <f t="shared" si="9"/>
        <v>0</v>
      </c>
    </row>
    <row r="868">
      <c r="A868" s="12" t="s">
        <v>957</v>
      </c>
      <c r="F868" s="19">
        <f>IFERROR(__xludf.DUMMYFUNCTION("SPLIT(A864, "" |"")"),862.0)</f>
        <v>862</v>
      </c>
      <c r="G868" s="19">
        <f>IFERROR(__xludf.DUMMYFUNCTION("""COMPUTED_VALUE"""),0.00226)</f>
        <v>0.00226</v>
      </c>
      <c r="H868" s="19" t="str">
        <f>IFERROR(__xludf.DUMMYFUNCTION("""COMPUTED_VALUE"""),"-")</f>
        <v>-</v>
      </c>
      <c r="I868" s="19">
        <f>IFERROR(__xludf.DUMMYFUNCTION("""COMPUTED_VALUE"""),0.00209)</f>
        <v>0.00209</v>
      </c>
      <c r="J868" s="19">
        <f>IFERROR(__xludf.DUMMYFUNCTION("""COMPUTED_VALUE"""),0.04605)</f>
        <v>0.04605</v>
      </c>
      <c r="K868" s="19" t="str">
        <f>IFERROR(__xludf.DUMMYFUNCTION("""COMPUTED_VALUE"""),"-")</f>
        <v>-</v>
      </c>
      <c r="L868" s="19">
        <f>IFERROR(__xludf.DUMMYFUNCTION("""COMPUTED_VALUE"""),0.04763)</f>
        <v>0.04763</v>
      </c>
      <c r="O868" s="24">
        <f t="shared" si="4"/>
        <v>0</v>
      </c>
      <c r="P868" s="24"/>
      <c r="Q868" s="24">
        <f t="shared" si="6"/>
        <v>0</v>
      </c>
      <c r="R868" s="24">
        <f t="shared" si="7"/>
        <v>0</v>
      </c>
      <c r="S868" s="24"/>
      <c r="T868" s="24">
        <f t="shared" si="9"/>
        <v>0</v>
      </c>
    </row>
    <row r="869">
      <c r="A869" s="12" t="s">
        <v>958</v>
      </c>
      <c r="F869" s="19">
        <f>IFERROR(__xludf.DUMMYFUNCTION("SPLIT(A865, "" |"")"),863.0)</f>
        <v>863</v>
      </c>
      <c r="G869" s="19">
        <f>IFERROR(__xludf.DUMMYFUNCTION("""COMPUTED_VALUE"""),0.00244)</f>
        <v>0.00244</v>
      </c>
      <c r="H869" s="19" t="str">
        <f>IFERROR(__xludf.DUMMYFUNCTION("""COMPUTED_VALUE"""),"-")</f>
        <v>-</v>
      </c>
      <c r="I869" s="19">
        <f>IFERROR(__xludf.DUMMYFUNCTION("""COMPUTED_VALUE"""),0.00225)</f>
        <v>0.00225</v>
      </c>
      <c r="J869" s="19">
        <f>IFERROR(__xludf.DUMMYFUNCTION("""COMPUTED_VALUE"""),0.04747)</f>
        <v>0.04747</v>
      </c>
      <c r="K869" s="19" t="str">
        <f>IFERROR(__xludf.DUMMYFUNCTION("""COMPUTED_VALUE"""),"-")</f>
        <v>-</v>
      </c>
      <c r="L869" s="19">
        <f>IFERROR(__xludf.DUMMYFUNCTION("""COMPUTED_VALUE"""),0.0476)</f>
        <v>0.0476</v>
      </c>
      <c r="O869" s="24">
        <f t="shared" si="4"/>
        <v>0</v>
      </c>
      <c r="P869" s="24"/>
      <c r="Q869" s="24">
        <f t="shared" si="6"/>
        <v>0</v>
      </c>
      <c r="R869" s="24">
        <f t="shared" si="7"/>
        <v>0</v>
      </c>
      <c r="S869" s="24"/>
      <c r="T869" s="24">
        <f t="shared" si="9"/>
        <v>0</v>
      </c>
    </row>
    <row r="870">
      <c r="A870" s="12" t="s">
        <v>959</v>
      </c>
      <c r="F870" s="19">
        <f>IFERROR(__xludf.DUMMYFUNCTION("SPLIT(A866, "" |"")"),864.0)</f>
        <v>864</v>
      </c>
      <c r="G870" s="19">
        <f>IFERROR(__xludf.DUMMYFUNCTION("""COMPUTED_VALUE"""),0.00235)</f>
        <v>0.00235</v>
      </c>
      <c r="H870" s="19" t="str">
        <f>IFERROR(__xludf.DUMMYFUNCTION("""COMPUTED_VALUE"""),"-")</f>
        <v>-</v>
      </c>
      <c r="I870" s="19">
        <f>IFERROR(__xludf.DUMMYFUNCTION("""COMPUTED_VALUE"""),0.00226)</f>
        <v>0.00226</v>
      </c>
      <c r="J870" s="19">
        <f>IFERROR(__xludf.DUMMYFUNCTION("""COMPUTED_VALUE"""),0.04748)</f>
        <v>0.04748</v>
      </c>
      <c r="K870" s="19" t="str">
        <f>IFERROR(__xludf.DUMMYFUNCTION("""COMPUTED_VALUE"""),"-")</f>
        <v>-</v>
      </c>
      <c r="L870" s="19">
        <f>IFERROR(__xludf.DUMMYFUNCTION("""COMPUTED_VALUE"""),0.04758)</f>
        <v>0.04758</v>
      </c>
      <c r="O870" s="24">
        <f t="shared" si="4"/>
        <v>0</v>
      </c>
      <c r="P870" s="24"/>
      <c r="Q870" s="24">
        <f t="shared" si="6"/>
        <v>0</v>
      </c>
      <c r="R870" s="24">
        <f t="shared" si="7"/>
        <v>0</v>
      </c>
      <c r="S870" s="24"/>
      <c r="T870" s="24">
        <f t="shared" si="9"/>
        <v>0</v>
      </c>
    </row>
    <row r="871">
      <c r="A871" s="12" t="s">
        <v>960</v>
      </c>
      <c r="F871" s="19">
        <f>IFERROR(__xludf.DUMMYFUNCTION("SPLIT(A867, "" |"")"),865.0)</f>
        <v>865</v>
      </c>
      <c r="G871" s="19">
        <f>IFERROR(__xludf.DUMMYFUNCTION("""COMPUTED_VALUE"""),0.00224)</f>
        <v>0.00224</v>
      </c>
      <c r="H871" s="19" t="str">
        <f>IFERROR(__xludf.DUMMYFUNCTION("""COMPUTED_VALUE"""),"-")</f>
        <v>-</v>
      </c>
      <c r="I871" s="19">
        <f>IFERROR(__xludf.DUMMYFUNCTION("""COMPUTED_VALUE"""),0.00208)</f>
        <v>0.00208</v>
      </c>
      <c r="J871" s="19">
        <f>IFERROR(__xludf.DUMMYFUNCTION("""COMPUTED_VALUE"""),0.04729)</f>
        <v>0.04729</v>
      </c>
      <c r="K871" s="19" t="str">
        <f>IFERROR(__xludf.DUMMYFUNCTION("""COMPUTED_VALUE"""),"-")</f>
        <v>-</v>
      </c>
      <c r="L871" s="19">
        <f>IFERROR(__xludf.DUMMYFUNCTION("""COMPUTED_VALUE"""),0.04774)</f>
        <v>0.04774</v>
      </c>
      <c r="O871" s="24">
        <f t="shared" si="4"/>
        <v>0</v>
      </c>
      <c r="P871" s="24"/>
      <c r="Q871" s="24">
        <f t="shared" si="6"/>
        <v>0</v>
      </c>
      <c r="R871" s="24">
        <f t="shared" si="7"/>
        <v>0</v>
      </c>
      <c r="S871" s="24"/>
      <c r="T871" s="24">
        <f t="shared" si="9"/>
        <v>0</v>
      </c>
    </row>
    <row r="872">
      <c r="A872" s="12" t="s">
        <v>961</v>
      </c>
      <c r="F872" s="19">
        <f>IFERROR(__xludf.DUMMYFUNCTION("SPLIT(A868, "" |"")"),866.0)</f>
        <v>866</v>
      </c>
      <c r="G872" s="19">
        <f>IFERROR(__xludf.DUMMYFUNCTION("""COMPUTED_VALUE"""),0.00235)</f>
        <v>0.00235</v>
      </c>
      <c r="H872" s="19" t="str">
        <f>IFERROR(__xludf.DUMMYFUNCTION("""COMPUTED_VALUE"""),"-")</f>
        <v>-</v>
      </c>
      <c r="I872" s="19">
        <f>IFERROR(__xludf.DUMMYFUNCTION("""COMPUTED_VALUE"""),0.00229)</f>
        <v>0.00229</v>
      </c>
      <c r="J872" s="19">
        <f>IFERROR(__xludf.DUMMYFUNCTION("""COMPUTED_VALUE"""),0.04741)</f>
        <v>0.04741</v>
      </c>
      <c r="K872" s="19" t="str">
        <f>IFERROR(__xludf.DUMMYFUNCTION("""COMPUTED_VALUE"""),"-")</f>
        <v>-</v>
      </c>
      <c r="L872" s="19">
        <f>IFERROR(__xludf.DUMMYFUNCTION("""COMPUTED_VALUE"""),0.0432)</f>
        <v>0.0432</v>
      </c>
      <c r="O872" s="24">
        <f t="shared" si="4"/>
        <v>0</v>
      </c>
      <c r="P872" s="24"/>
      <c r="Q872" s="24">
        <f t="shared" si="6"/>
        <v>0</v>
      </c>
      <c r="R872" s="24">
        <f t="shared" si="7"/>
        <v>0</v>
      </c>
      <c r="S872" s="24"/>
      <c r="T872" s="24">
        <f t="shared" si="9"/>
        <v>0</v>
      </c>
    </row>
    <row r="873">
      <c r="A873" s="12" t="s">
        <v>962</v>
      </c>
      <c r="F873" s="19">
        <f>IFERROR(__xludf.DUMMYFUNCTION("SPLIT(A869, "" |"")"),867.0)</f>
        <v>867</v>
      </c>
      <c r="G873" s="19">
        <f>IFERROR(__xludf.DUMMYFUNCTION("""COMPUTED_VALUE"""),0.00241)</f>
        <v>0.00241</v>
      </c>
      <c r="H873" s="19" t="str">
        <f>IFERROR(__xludf.DUMMYFUNCTION("""COMPUTED_VALUE"""),"-")</f>
        <v>-</v>
      </c>
      <c r="I873" s="19">
        <f>IFERROR(__xludf.DUMMYFUNCTION("""COMPUTED_VALUE"""),0.00224)</f>
        <v>0.00224</v>
      </c>
      <c r="J873" s="19">
        <f>IFERROR(__xludf.DUMMYFUNCTION("""COMPUTED_VALUE"""),0.04736)</f>
        <v>0.04736</v>
      </c>
      <c r="K873" s="19" t="str">
        <f>IFERROR(__xludf.DUMMYFUNCTION("""COMPUTED_VALUE"""),"-")</f>
        <v>-</v>
      </c>
      <c r="L873" s="19">
        <f>IFERROR(__xludf.DUMMYFUNCTION("""COMPUTED_VALUE"""),0.04761)</f>
        <v>0.04761</v>
      </c>
      <c r="O873" s="24">
        <f t="shared" si="4"/>
        <v>0</v>
      </c>
      <c r="P873" s="24"/>
      <c r="Q873" s="24">
        <f t="shared" si="6"/>
        <v>0</v>
      </c>
      <c r="R873" s="24">
        <f t="shared" si="7"/>
        <v>0</v>
      </c>
      <c r="S873" s="24"/>
      <c r="T873" s="24">
        <f t="shared" si="9"/>
        <v>0</v>
      </c>
    </row>
    <row r="874">
      <c r="A874" s="12" t="s">
        <v>963</v>
      </c>
      <c r="F874" s="19">
        <f>IFERROR(__xludf.DUMMYFUNCTION("SPLIT(A870, "" |"")"),868.0)</f>
        <v>868</v>
      </c>
      <c r="G874" s="19">
        <f>IFERROR(__xludf.DUMMYFUNCTION("""COMPUTED_VALUE"""),0.00235)</f>
        <v>0.00235</v>
      </c>
      <c r="H874" s="19" t="str">
        <f>IFERROR(__xludf.DUMMYFUNCTION("""COMPUTED_VALUE"""),"-")</f>
        <v>-</v>
      </c>
      <c r="I874" s="19">
        <f>IFERROR(__xludf.DUMMYFUNCTION("""COMPUTED_VALUE"""),0.00226)</f>
        <v>0.00226</v>
      </c>
      <c r="J874" s="19">
        <f>IFERROR(__xludf.DUMMYFUNCTION("""COMPUTED_VALUE"""),0.04742)</f>
        <v>0.04742</v>
      </c>
      <c r="K874" s="19" t="str">
        <f>IFERROR(__xludf.DUMMYFUNCTION("""COMPUTED_VALUE"""),"-")</f>
        <v>-</v>
      </c>
      <c r="L874" s="19">
        <f>IFERROR(__xludf.DUMMYFUNCTION("""COMPUTED_VALUE"""),0.04751)</f>
        <v>0.04751</v>
      </c>
      <c r="O874" s="24">
        <f t="shared" si="4"/>
        <v>0</v>
      </c>
      <c r="P874" s="24"/>
      <c r="Q874" s="24">
        <f t="shared" si="6"/>
        <v>0</v>
      </c>
      <c r="R874" s="24">
        <f t="shared" si="7"/>
        <v>0</v>
      </c>
      <c r="S874" s="24"/>
      <c r="T874" s="24">
        <f t="shared" si="9"/>
        <v>0</v>
      </c>
    </row>
    <row r="875">
      <c r="A875" s="12" t="s">
        <v>964</v>
      </c>
      <c r="F875" s="19">
        <f>IFERROR(__xludf.DUMMYFUNCTION("SPLIT(A871, "" |"")"),869.0)</f>
        <v>869</v>
      </c>
      <c r="G875" s="19">
        <f>IFERROR(__xludf.DUMMYFUNCTION("""COMPUTED_VALUE"""),0.00236)</f>
        <v>0.00236</v>
      </c>
      <c r="H875" s="19" t="str">
        <f>IFERROR(__xludf.DUMMYFUNCTION("""COMPUTED_VALUE"""),"-")</f>
        <v>-</v>
      </c>
      <c r="I875" s="19">
        <f>IFERROR(__xludf.DUMMYFUNCTION("""COMPUTED_VALUE"""),0.0022)</f>
        <v>0.0022</v>
      </c>
      <c r="J875" s="19">
        <f>IFERROR(__xludf.DUMMYFUNCTION("""COMPUTED_VALUE"""),0.04751)</f>
        <v>0.04751</v>
      </c>
      <c r="K875" s="19" t="str">
        <f>IFERROR(__xludf.DUMMYFUNCTION("""COMPUTED_VALUE"""),"-")</f>
        <v>-</v>
      </c>
      <c r="L875" s="19">
        <f>IFERROR(__xludf.DUMMYFUNCTION("""COMPUTED_VALUE"""),0.04782)</f>
        <v>0.04782</v>
      </c>
      <c r="O875" s="24">
        <f t="shared" si="4"/>
        <v>0</v>
      </c>
      <c r="P875" s="24"/>
      <c r="Q875" s="24">
        <f t="shared" si="6"/>
        <v>0</v>
      </c>
      <c r="R875" s="24">
        <f t="shared" si="7"/>
        <v>0</v>
      </c>
      <c r="S875" s="24"/>
      <c r="T875" s="24">
        <f t="shared" si="9"/>
        <v>0</v>
      </c>
    </row>
    <row r="876">
      <c r="A876" s="12" t="s">
        <v>965</v>
      </c>
      <c r="F876" s="19">
        <f>IFERROR(__xludf.DUMMYFUNCTION("SPLIT(A872, "" |"")"),870.0)</f>
        <v>870</v>
      </c>
      <c r="G876" s="19">
        <f>IFERROR(__xludf.DUMMYFUNCTION("""COMPUTED_VALUE"""),0.00242)</f>
        <v>0.00242</v>
      </c>
      <c r="H876" s="19" t="str">
        <f>IFERROR(__xludf.DUMMYFUNCTION("""COMPUTED_VALUE"""),"-")</f>
        <v>-</v>
      </c>
      <c r="I876" s="19">
        <f>IFERROR(__xludf.DUMMYFUNCTION("""COMPUTED_VALUE"""),0.00229)</f>
        <v>0.00229</v>
      </c>
      <c r="J876" s="19">
        <f>IFERROR(__xludf.DUMMYFUNCTION("""COMPUTED_VALUE"""),0.04748)</f>
        <v>0.04748</v>
      </c>
      <c r="K876" s="19" t="str">
        <f>IFERROR(__xludf.DUMMYFUNCTION("""COMPUTED_VALUE"""),"-")</f>
        <v>-</v>
      </c>
      <c r="L876" s="19">
        <f>IFERROR(__xludf.DUMMYFUNCTION("""COMPUTED_VALUE"""),0.04775)</f>
        <v>0.04775</v>
      </c>
      <c r="O876" s="24">
        <f t="shared" si="4"/>
        <v>0</v>
      </c>
      <c r="P876" s="24"/>
      <c r="Q876" s="24">
        <f t="shared" si="6"/>
        <v>0</v>
      </c>
      <c r="R876" s="24">
        <f t="shared" si="7"/>
        <v>0</v>
      </c>
      <c r="S876" s="24"/>
      <c r="T876" s="24">
        <f t="shared" si="9"/>
        <v>0</v>
      </c>
    </row>
    <row r="877">
      <c r="A877" s="12" t="s">
        <v>966</v>
      </c>
      <c r="F877" s="19">
        <f>IFERROR(__xludf.DUMMYFUNCTION("SPLIT(A873, "" |"")"),871.0)</f>
        <v>871</v>
      </c>
      <c r="G877" s="19">
        <f>IFERROR(__xludf.DUMMYFUNCTION("""COMPUTED_VALUE"""),0.00234)</f>
        <v>0.00234</v>
      </c>
      <c r="H877" s="19" t="str">
        <f>IFERROR(__xludf.DUMMYFUNCTION("""COMPUTED_VALUE"""),"-")</f>
        <v>-</v>
      </c>
      <c r="I877" s="19">
        <f>IFERROR(__xludf.DUMMYFUNCTION("""COMPUTED_VALUE"""),0.00227)</f>
        <v>0.00227</v>
      </c>
      <c r="J877" s="19">
        <f>IFERROR(__xludf.DUMMYFUNCTION("""COMPUTED_VALUE"""),0.04749)</f>
        <v>0.04749</v>
      </c>
      <c r="K877" s="19" t="str">
        <f>IFERROR(__xludf.DUMMYFUNCTION("""COMPUTED_VALUE"""),"-")</f>
        <v>-</v>
      </c>
      <c r="L877" s="19">
        <f>IFERROR(__xludf.DUMMYFUNCTION("""COMPUTED_VALUE"""),0.04771)</f>
        <v>0.04771</v>
      </c>
      <c r="O877" s="24">
        <f t="shared" si="4"/>
        <v>0</v>
      </c>
      <c r="P877" s="24"/>
      <c r="Q877" s="24">
        <f t="shared" si="6"/>
        <v>0</v>
      </c>
      <c r="R877" s="24">
        <f t="shared" si="7"/>
        <v>0</v>
      </c>
      <c r="S877" s="24"/>
      <c r="T877" s="24">
        <f t="shared" si="9"/>
        <v>0</v>
      </c>
    </row>
    <row r="878">
      <c r="A878" s="12" t="s">
        <v>967</v>
      </c>
      <c r="F878" s="19">
        <f>IFERROR(__xludf.DUMMYFUNCTION("SPLIT(A874, "" |"")"),872.0)</f>
        <v>872</v>
      </c>
      <c r="G878" s="19">
        <f>IFERROR(__xludf.DUMMYFUNCTION("""COMPUTED_VALUE"""),0.00239)</f>
        <v>0.00239</v>
      </c>
      <c r="H878" s="19" t="str">
        <f>IFERROR(__xludf.DUMMYFUNCTION("""COMPUTED_VALUE"""),"-")</f>
        <v>-</v>
      </c>
      <c r="I878" s="19">
        <f>IFERROR(__xludf.DUMMYFUNCTION("""COMPUTED_VALUE"""),0.00228)</f>
        <v>0.00228</v>
      </c>
      <c r="J878" s="19">
        <f>IFERROR(__xludf.DUMMYFUNCTION("""COMPUTED_VALUE"""),0.0475)</f>
        <v>0.0475</v>
      </c>
      <c r="K878" s="19" t="str">
        <f>IFERROR(__xludf.DUMMYFUNCTION("""COMPUTED_VALUE"""),"-")</f>
        <v>-</v>
      </c>
      <c r="L878" s="19">
        <f>IFERROR(__xludf.DUMMYFUNCTION("""COMPUTED_VALUE"""),0.04766)</f>
        <v>0.04766</v>
      </c>
      <c r="O878" s="24">
        <f t="shared" si="4"/>
        <v>0</v>
      </c>
      <c r="P878" s="24"/>
      <c r="Q878" s="24">
        <f t="shared" si="6"/>
        <v>0</v>
      </c>
      <c r="R878" s="24">
        <f t="shared" si="7"/>
        <v>0</v>
      </c>
      <c r="S878" s="24"/>
      <c r="T878" s="24">
        <f t="shared" si="9"/>
        <v>0</v>
      </c>
    </row>
    <row r="879">
      <c r="A879" s="12" t="s">
        <v>968</v>
      </c>
      <c r="F879" s="19">
        <f>IFERROR(__xludf.DUMMYFUNCTION("SPLIT(A875, "" |"")"),873.0)</f>
        <v>873</v>
      </c>
      <c r="G879" s="19">
        <f>IFERROR(__xludf.DUMMYFUNCTION("""COMPUTED_VALUE"""),0.00237)</f>
        <v>0.00237</v>
      </c>
      <c r="H879" s="19" t="str">
        <f>IFERROR(__xludf.DUMMYFUNCTION("""COMPUTED_VALUE"""),"-")</f>
        <v>-</v>
      </c>
      <c r="I879" s="19">
        <f>IFERROR(__xludf.DUMMYFUNCTION("""COMPUTED_VALUE"""),0.00223)</f>
        <v>0.00223</v>
      </c>
      <c r="J879" s="19">
        <f>IFERROR(__xludf.DUMMYFUNCTION("""COMPUTED_VALUE"""),0.04749)</f>
        <v>0.04749</v>
      </c>
      <c r="K879" s="19" t="str">
        <f>IFERROR(__xludf.DUMMYFUNCTION("""COMPUTED_VALUE"""),"-")</f>
        <v>-</v>
      </c>
      <c r="L879" s="19">
        <f>IFERROR(__xludf.DUMMYFUNCTION("""COMPUTED_VALUE"""),0.04758)</f>
        <v>0.04758</v>
      </c>
      <c r="O879" s="24">
        <f t="shared" si="4"/>
        <v>0</v>
      </c>
      <c r="P879" s="24"/>
      <c r="Q879" s="24">
        <f t="shared" si="6"/>
        <v>0</v>
      </c>
      <c r="R879" s="24">
        <f t="shared" si="7"/>
        <v>0</v>
      </c>
      <c r="S879" s="24"/>
      <c r="T879" s="24">
        <f t="shared" si="9"/>
        <v>0</v>
      </c>
    </row>
    <row r="880">
      <c r="A880" s="12" t="s">
        <v>969</v>
      </c>
      <c r="F880" s="19">
        <f>IFERROR(__xludf.DUMMYFUNCTION("SPLIT(A876, "" |"")"),874.0)</f>
        <v>874</v>
      </c>
      <c r="G880" s="19">
        <f>IFERROR(__xludf.DUMMYFUNCTION("""COMPUTED_VALUE"""),0.00232)</f>
        <v>0.00232</v>
      </c>
      <c r="H880" s="19" t="str">
        <f>IFERROR(__xludf.DUMMYFUNCTION("""COMPUTED_VALUE"""),"-")</f>
        <v>-</v>
      </c>
      <c r="I880" s="19">
        <f>IFERROR(__xludf.DUMMYFUNCTION("""COMPUTED_VALUE"""),0.00221)</f>
        <v>0.00221</v>
      </c>
      <c r="J880" s="19">
        <f>IFERROR(__xludf.DUMMYFUNCTION("""COMPUTED_VALUE"""),0.04047)</f>
        <v>0.04047</v>
      </c>
      <c r="K880" s="19" t="str">
        <f>IFERROR(__xludf.DUMMYFUNCTION("""COMPUTED_VALUE"""),"-")</f>
        <v>-</v>
      </c>
      <c r="L880" s="19">
        <f>IFERROR(__xludf.DUMMYFUNCTION("""COMPUTED_VALUE"""),0.04755)</f>
        <v>0.04755</v>
      </c>
      <c r="O880" s="24">
        <f t="shared" si="4"/>
        <v>0</v>
      </c>
      <c r="P880" s="24"/>
      <c r="Q880" s="24">
        <f t="shared" si="6"/>
        <v>0</v>
      </c>
      <c r="R880" s="24">
        <f t="shared" si="7"/>
        <v>1</v>
      </c>
      <c r="S880" s="24"/>
      <c r="T880" s="24">
        <f t="shared" si="9"/>
        <v>0</v>
      </c>
    </row>
    <row r="881">
      <c r="A881" s="12" t="s">
        <v>970</v>
      </c>
      <c r="F881" s="19">
        <f>IFERROR(__xludf.DUMMYFUNCTION("SPLIT(A877, "" |"")"),875.0)</f>
        <v>875</v>
      </c>
      <c r="G881" s="19">
        <f>IFERROR(__xludf.DUMMYFUNCTION("""COMPUTED_VALUE"""),0.00242)</f>
        <v>0.00242</v>
      </c>
      <c r="H881" s="19" t="str">
        <f>IFERROR(__xludf.DUMMYFUNCTION("""COMPUTED_VALUE"""),"-")</f>
        <v>-</v>
      </c>
      <c r="I881" s="19">
        <f>IFERROR(__xludf.DUMMYFUNCTION("""COMPUTED_VALUE"""),0.00222)</f>
        <v>0.00222</v>
      </c>
      <c r="J881" s="19">
        <f>IFERROR(__xludf.DUMMYFUNCTION("""COMPUTED_VALUE"""),0.04744)</f>
        <v>0.04744</v>
      </c>
      <c r="K881" s="19" t="str">
        <f>IFERROR(__xludf.DUMMYFUNCTION("""COMPUTED_VALUE"""),"-")</f>
        <v>-</v>
      </c>
      <c r="L881" s="19">
        <f>IFERROR(__xludf.DUMMYFUNCTION("""COMPUTED_VALUE"""),0.04775)</f>
        <v>0.04775</v>
      </c>
      <c r="O881" s="24">
        <f t="shared" si="4"/>
        <v>0</v>
      </c>
      <c r="P881" s="24"/>
      <c r="Q881" s="24">
        <f t="shared" si="6"/>
        <v>0</v>
      </c>
      <c r="R881" s="24">
        <f t="shared" si="7"/>
        <v>0</v>
      </c>
      <c r="S881" s="24"/>
      <c r="T881" s="24">
        <f t="shared" si="9"/>
        <v>0</v>
      </c>
    </row>
    <row r="882">
      <c r="A882" s="12" t="s">
        <v>971</v>
      </c>
      <c r="F882" s="19">
        <f>IFERROR(__xludf.DUMMYFUNCTION("SPLIT(A878, "" |"")"),876.0)</f>
        <v>876</v>
      </c>
      <c r="G882" s="19">
        <f>IFERROR(__xludf.DUMMYFUNCTION("""COMPUTED_VALUE"""),0.00238)</f>
        <v>0.00238</v>
      </c>
      <c r="H882" s="19" t="str">
        <f>IFERROR(__xludf.DUMMYFUNCTION("""COMPUTED_VALUE"""),"-")</f>
        <v>-</v>
      </c>
      <c r="I882" s="19">
        <f>IFERROR(__xludf.DUMMYFUNCTION("""COMPUTED_VALUE"""),0.00231)</f>
        <v>0.00231</v>
      </c>
      <c r="J882" s="19">
        <f>IFERROR(__xludf.DUMMYFUNCTION("""COMPUTED_VALUE"""),0.04095)</f>
        <v>0.04095</v>
      </c>
      <c r="K882" s="19" t="str">
        <f>IFERROR(__xludf.DUMMYFUNCTION("""COMPUTED_VALUE"""),"-")</f>
        <v>-</v>
      </c>
      <c r="L882" s="19">
        <f>IFERROR(__xludf.DUMMYFUNCTION("""COMPUTED_VALUE"""),0.04767)</f>
        <v>0.04767</v>
      </c>
      <c r="O882" s="24">
        <f t="shared" si="4"/>
        <v>0</v>
      </c>
      <c r="P882" s="24"/>
      <c r="Q882" s="24">
        <f t="shared" si="6"/>
        <v>0</v>
      </c>
      <c r="R882" s="24">
        <f t="shared" si="7"/>
        <v>1</v>
      </c>
      <c r="S882" s="24"/>
      <c r="T882" s="24">
        <f t="shared" si="9"/>
        <v>0</v>
      </c>
    </row>
    <row r="883">
      <c r="A883" s="12" t="s">
        <v>972</v>
      </c>
      <c r="F883" s="19">
        <f>IFERROR(__xludf.DUMMYFUNCTION("SPLIT(A879, "" |"")"),877.0)</f>
        <v>877</v>
      </c>
      <c r="G883" s="19">
        <f>IFERROR(__xludf.DUMMYFUNCTION("""COMPUTED_VALUE"""),0.00242)</f>
        <v>0.00242</v>
      </c>
      <c r="H883" s="19" t="str">
        <f>IFERROR(__xludf.DUMMYFUNCTION("""COMPUTED_VALUE"""),"-")</f>
        <v>-</v>
      </c>
      <c r="I883" s="19">
        <f>IFERROR(__xludf.DUMMYFUNCTION("""COMPUTED_VALUE"""),0.0022)</f>
        <v>0.0022</v>
      </c>
      <c r="J883" s="19">
        <f>IFERROR(__xludf.DUMMYFUNCTION("""COMPUTED_VALUE"""),0.04741)</f>
        <v>0.04741</v>
      </c>
      <c r="K883" s="19" t="str">
        <f>IFERROR(__xludf.DUMMYFUNCTION("""COMPUTED_VALUE"""),"-")</f>
        <v>-</v>
      </c>
      <c r="L883" s="19">
        <f>IFERROR(__xludf.DUMMYFUNCTION("""COMPUTED_VALUE"""),0.042)</f>
        <v>0.042</v>
      </c>
      <c r="O883" s="24">
        <f t="shared" si="4"/>
        <v>0</v>
      </c>
      <c r="P883" s="24"/>
      <c r="Q883" s="24">
        <f t="shared" si="6"/>
        <v>0</v>
      </c>
      <c r="R883" s="24">
        <f t="shared" si="7"/>
        <v>0</v>
      </c>
      <c r="S883" s="24"/>
      <c r="T883" s="24">
        <f t="shared" si="9"/>
        <v>0</v>
      </c>
    </row>
    <row r="884">
      <c r="A884" s="12" t="s">
        <v>973</v>
      </c>
      <c r="F884" s="19">
        <f>IFERROR(__xludf.DUMMYFUNCTION("SPLIT(A880, "" |"")"),878.0)</f>
        <v>878</v>
      </c>
      <c r="G884" s="19">
        <f>IFERROR(__xludf.DUMMYFUNCTION("""COMPUTED_VALUE"""),0.00234)</f>
        <v>0.00234</v>
      </c>
      <c r="H884" s="19" t="str">
        <f>IFERROR(__xludf.DUMMYFUNCTION("""COMPUTED_VALUE"""),"-")</f>
        <v>-</v>
      </c>
      <c r="I884" s="19">
        <f>IFERROR(__xludf.DUMMYFUNCTION("""COMPUTED_VALUE"""),0.0022)</f>
        <v>0.0022</v>
      </c>
      <c r="J884" s="19">
        <f>IFERROR(__xludf.DUMMYFUNCTION("""COMPUTED_VALUE"""),0.04745)</f>
        <v>0.04745</v>
      </c>
      <c r="K884" s="19" t="str">
        <f>IFERROR(__xludf.DUMMYFUNCTION("""COMPUTED_VALUE"""),"-")</f>
        <v>-</v>
      </c>
      <c r="L884" s="19">
        <f>IFERROR(__xludf.DUMMYFUNCTION("""COMPUTED_VALUE"""),0.0477)</f>
        <v>0.0477</v>
      </c>
      <c r="O884" s="24">
        <f t="shared" si="4"/>
        <v>0</v>
      </c>
      <c r="P884" s="24"/>
      <c r="Q884" s="24">
        <f t="shared" si="6"/>
        <v>0</v>
      </c>
      <c r="R884" s="24">
        <f t="shared" si="7"/>
        <v>0</v>
      </c>
      <c r="S884" s="24"/>
      <c r="T884" s="24">
        <f t="shared" si="9"/>
        <v>0</v>
      </c>
    </row>
    <row r="885">
      <c r="A885" s="12" t="s">
        <v>974</v>
      </c>
      <c r="F885" s="19">
        <f>IFERROR(__xludf.DUMMYFUNCTION("SPLIT(A881, "" |"")"),879.0)</f>
        <v>879</v>
      </c>
      <c r="G885" s="19">
        <f>IFERROR(__xludf.DUMMYFUNCTION("""COMPUTED_VALUE"""),0.00238)</f>
        <v>0.00238</v>
      </c>
      <c r="H885" s="19" t="str">
        <f>IFERROR(__xludf.DUMMYFUNCTION("""COMPUTED_VALUE"""),"-")</f>
        <v>-</v>
      </c>
      <c r="I885" s="19">
        <f>IFERROR(__xludf.DUMMYFUNCTION("""COMPUTED_VALUE"""),0.00213)</f>
        <v>0.00213</v>
      </c>
      <c r="J885" s="19">
        <f>IFERROR(__xludf.DUMMYFUNCTION("""COMPUTED_VALUE"""),0.04631)</f>
        <v>0.04631</v>
      </c>
      <c r="K885" s="19" t="str">
        <f>IFERROR(__xludf.DUMMYFUNCTION("""COMPUTED_VALUE"""),"-")</f>
        <v>-</v>
      </c>
      <c r="L885" s="19">
        <f>IFERROR(__xludf.DUMMYFUNCTION("""COMPUTED_VALUE"""),0.04465)</f>
        <v>0.04465</v>
      </c>
      <c r="O885" s="24">
        <f t="shared" si="4"/>
        <v>0</v>
      </c>
      <c r="P885" s="24"/>
      <c r="Q885" s="24">
        <f t="shared" si="6"/>
        <v>0</v>
      </c>
      <c r="R885" s="24">
        <f t="shared" si="7"/>
        <v>0</v>
      </c>
      <c r="S885" s="24"/>
      <c r="T885" s="24">
        <f t="shared" si="9"/>
        <v>0</v>
      </c>
    </row>
    <row r="886">
      <c r="A886" s="12" t="s">
        <v>975</v>
      </c>
      <c r="F886" s="19">
        <f>IFERROR(__xludf.DUMMYFUNCTION("SPLIT(A882, "" |"")"),880.0)</f>
        <v>880</v>
      </c>
      <c r="G886" s="19">
        <f>IFERROR(__xludf.DUMMYFUNCTION("""COMPUTED_VALUE"""),0.00233)</f>
        <v>0.00233</v>
      </c>
      <c r="H886" s="19" t="str">
        <f>IFERROR(__xludf.DUMMYFUNCTION("""COMPUTED_VALUE"""),"-")</f>
        <v>-</v>
      </c>
      <c r="I886" s="19">
        <f>IFERROR(__xludf.DUMMYFUNCTION("""COMPUTED_VALUE"""),0.00219)</f>
        <v>0.00219</v>
      </c>
      <c r="J886" s="19">
        <f>IFERROR(__xludf.DUMMYFUNCTION("""COMPUTED_VALUE"""),0.03953)</f>
        <v>0.03953</v>
      </c>
      <c r="K886" s="19" t="str">
        <f>IFERROR(__xludf.DUMMYFUNCTION("""COMPUTED_VALUE"""),"-")</f>
        <v>-</v>
      </c>
      <c r="L886" s="19">
        <f>IFERROR(__xludf.DUMMYFUNCTION("""COMPUTED_VALUE"""),0.04754)</f>
        <v>0.04754</v>
      </c>
      <c r="O886" s="24">
        <f t="shared" si="4"/>
        <v>0</v>
      </c>
      <c r="P886" s="24"/>
      <c r="Q886" s="24">
        <f t="shared" si="6"/>
        <v>0</v>
      </c>
      <c r="R886" s="24">
        <f t="shared" si="7"/>
        <v>1</v>
      </c>
      <c r="S886" s="24"/>
      <c r="T886" s="24">
        <f t="shared" si="9"/>
        <v>0</v>
      </c>
    </row>
    <row r="887">
      <c r="A887" s="12" t="s">
        <v>976</v>
      </c>
      <c r="F887" s="19">
        <f>IFERROR(__xludf.DUMMYFUNCTION("SPLIT(A883, "" |"")"),881.0)</f>
        <v>881</v>
      </c>
      <c r="G887" s="19">
        <f>IFERROR(__xludf.DUMMYFUNCTION("""COMPUTED_VALUE"""),0.00234)</f>
        <v>0.00234</v>
      </c>
      <c r="H887" s="19" t="str">
        <f>IFERROR(__xludf.DUMMYFUNCTION("""COMPUTED_VALUE"""),"-")</f>
        <v>-</v>
      </c>
      <c r="I887" s="19">
        <f>IFERROR(__xludf.DUMMYFUNCTION("""COMPUTED_VALUE"""),0.00226)</f>
        <v>0.00226</v>
      </c>
      <c r="J887" s="19">
        <f>IFERROR(__xludf.DUMMYFUNCTION("""COMPUTED_VALUE"""),0.04739)</f>
        <v>0.04739</v>
      </c>
      <c r="K887" s="19" t="str">
        <f>IFERROR(__xludf.DUMMYFUNCTION("""COMPUTED_VALUE"""),"-")</f>
        <v>-</v>
      </c>
      <c r="L887" s="19">
        <f>IFERROR(__xludf.DUMMYFUNCTION("""COMPUTED_VALUE"""),0.04726)</f>
        <v>0.04726</v>
      </c>
      <c r="O887" s="24">
        <f t="shared" si="4"/>
        <v>0</v>
      </c>
      <c r="P887" s="24"/>
      <c r="Q887" s="24">
        <f t="shared" si="6"/>
        <v>0</v>
      </c>
      <c r="R887" s="24">
        <f t="shared" si="7"/>
        <v>0</v>
      </c>
      <c r="S887" s="24"/>
      <c r="T887" s="24">
        <f t="shared" si="9"/>
        <v>0</v>
      </c>
    </row>
    <row r="888">
      <c r="A888" s="12" t="s">
        <v>977</v>
      </c>
      <c r="F888" s="19">
        <f>IFERROR(__xludf.DUMMYFUNCTION("SPLIT(A884, "" |"")"),882.0)</f>
        <v>882</v>
      </c>
      <c r="G888" s="19">
        <f>IFERROR(__xludf.DUMMYFUNCTION("""COMPUTED_VALUE"""),0.00247)</f>
        <v>0.00247</v>
      </c>
      <c r="H888" s="19" t="str">
        <f>IFERROR(__xludf.DUMMYFUNCTION("""COMPUTED_VALUE"""),"-")</f>
        <v>-</v>
      </c>
      <c r="I888" s="19">
        <f>IFERROR(__xludf.DUMMYFUNCTION("""COMPUTED_VALUE"""),0.00222)</f>
        <v>0.00222</v>
      </c>
      <c r="J888" s="19">
        <f>IFERROR(__xludf.DUMMYFUNCTION("""COMPUTED_VALUE"""),0.04269)</f>
        <v>0.04269</v>
      </c>
      <c r="K888" s="19" t="str">
        <f>IFERROR(__xludf.DUMMYFUNCTION("""COMPUTED_VALUE"""),"-")</f>
        <v>-</v>
      </c>
      <c r="L888" s="19">
        <f>IFERROR(__xludf.DUMMYFUNCTION("""COMPUTED_VALUE"""),0.04747)</f>
        <v>0.04747</v>
      </c>
      <c r="O888" s="24">
        <f t="shared" si="4"/>
        <v>0</v>
      </c>
      <c r="P888" s="24"/>
      <c r="Q888" s="24">
        <f t="shared" si="6"/>
        <v>0</v>
      </c>
      <c r="R888" s="24">
        <f t="shared" si="7"/>
        <v>1</v>
      </c>
      <c r="S888" s="24"/>
      <c r="T888" s="24">
        <f t="shared" si="9"/>
        <v>0</v>
      </c>
    </row>
    <row r="889">
      <c r="A889" s="12" t="s">
        <v>978</v>
      </c>
      <c r="F889" s="19">
        <f>IFERROR(__xludf.DUMMYFUNCTION("SPLIT(A885, "" |"")"),883.0)</f>
        <v>883</v>
      </c>
      <c r="G889" s="19">
        <f>IFERROR(__xludf.DUMMYFUNCTION("""COMPUTED_VALUE"""),0.00236)</f>
        <v>0.00236</v>
      </c>
      <c r="H889" s="19" t="str">
        <f>IFERROR(__xludf.DUMMYFUNCTION("""COMPUTED_VALUE"""),"-")</f>
        <v>-</v>
      </c>
      <c r="I889" s="19">
        <f>IFERROR(__xludf.DUMMYFUNCTION("""COMPUTED_VALUE"""),0.00223)</f>
        <v>0.00223</v>
      </c>
      <c r="J889" s="19">
        <f>IFERROR(__xludf.DUMMYFUNCTION("""COMPUTED_VALUE"""),0.04185)</f>
        <v>0.04185</v>
      </c>
      <c r="K889" s="19" t="str">
        <f>IFERROR(__xludf.DUMMYFUNCTION("""COMPUTED_VALUE"""),"-")</f>
        <v>-</v>
      </c>
      <c r="L889" s="19">
        <f>IFERROR(__xludf.DUMMYFUNCTION("""COMPUTED_VALUE"""),0.04752)</f>
        <v>0.04752</v>
      </c>
      <c r="O889" s="24">
        <f t="shared" si="4"/>
        <v>0</v>
      </c>
      <c r="P889" s="24"/>
      <c r="Q889" s="24">
        <f t="shared" si="6"/>
        <v>0</v>
      </c>
      <c r="R889" s="24">
        <f t="shared" si="7"/>
        <v>1</v>
      </c>
      <c r="S889" s="24"/>
      <c r="T889" s="24">
        <f t="shared" si="9"/>
        <v>0</v>
      </c>
    </row>
    <row r="890">
      <c r="A890" s="12" t="s">
        <v>979</v>
      </c>
      <c r="F890" s="19">
        <f>IFERROR(__xludf.DUMMYFUNCTION("SPLIT(A886, "" |"")"),884.0)</f>
        <v>884</v>
      </c>
      <c r="G890" s="19">
        <f>IFERROR(__xludf.DUMMYFUNCTION("""COMPUTED_VALUE"""),0.00236)</f>
        <v>0.00236</v>
      </c>
      <c r="H890" s="19" t="str">
        <f>IFERROR(__xludf.DUMMYFUNCTION("""COMPUTED_VALUE"""),"-")</f>
        <v>-</v>
      </c>
      <c r="I890" s="19">
        <f>IFERROR(__xludf.DUMMYFUNCTION("""COMPUTED_VALUE"""),0.00221)</f>
        <v>0.00221</v>
      </c>
      <c r="J890" s="19">
        <f>IFERROR(__xludf.DUMMYFUNCTION("""COMPUTED_VALUE"""),0.0474)</f>
        <v>0.0474</v>
      </c>
      <c r="K890" s="19" t="str">
        <f>IFERROR(__xludf.DUMMYFUNCTION("""COMPUTED_VALUE"""),"-")</f>
        <v>-</v>
      </c>
      <c r="L890" s="19">
        <f>IFERROR(__xludf.DUMMYFUNCTION("""COMPUTED_VALUE"""),0.0471)</f>
        <v>0.0471</v>
      </c>
      <c r="O890" s="24">
        <f t="shared" si="4"/>
        <v>0</v>
      </c>
      <c r="P890" s="24"/>
      <c r="Q890" s="24">
        <f t="shared" si="6"/>
        <v>0</v>
      </c>
      <c r="R890" s="24">
        <f t="shared" si="7"/>
        <v>0</v>
      </c>
      <c r="S890" s="24"/>
      <c r="T890" s="24">
        <f t="shared" si="9"/>
        <v>0</v>
      </c>
    </row>
    <row r="891">
      <c r="A891" s="12" t="s">
        <v>980</v>
      </c>
      <c r="F891" s="19">
        <f>IFERROR(__xludf.DUMMYFUNCTION("SPLIT(A887, "" |"")"),885.0)</f>
        <v>885</v>
      </c>
      <c r="G891" s="19">
        <f>IFERROR(__xludf.DUMMYFUNCTION("""COMPUTED_VALUE"""),0.00238)</f>
        <v>0.00238</v>
      </c>
      <c r="H891" s="19" t="str">
        <f>IFERROR(__xludf.DUMMYFUNCTION("""COMPUTED_VALUE"""),"-")</f>
        <v>-</v>
      </c>
      <c r="I891" s="19">
        <f>IFERROR(__xludf.DUMMYFUNCTION("""COMPUTED_VALUE"""),0.00228)</f>
        <v>0.00228</v>
      </c>
      <c r="J891" s="19">
        <f>IFERROR(__xludf.DUMMYFUNCTION("""COMPUTED_VALUE"""),0.0475)</f>
        <v>0.0475</v>
      </c>
      <c r="K891" s="19" t="str">
        <f>IFERROR(__xludf.DUMMYFUNCTION("""COMPUTED_VALUE"""),"-")</f>
        <v>-</v>
      </c>
      <c r="L891" s="19">
        <f>IFERROR(__xludf.DUMMYFUNCTION("""COMPUTED_VALUE"""),0.04657)</f>
        <v>0.04657</v>
      </c>
      <c r="O891" s="24">
        <f t="shared" si="4"/>
        <v>0</v>
      </c>
      <c r="P891" s="24"/>
      <c r="Q891" s="24">
        <f t="shared" si="6"/>
        <v>0</v>
      </c>
      <c r="R891" s="24">
        <f t="shared" si="7"/>
        <v>0</v>
      </c>
      <c r="S891" s="24"/>
      <c r="T891" s="24">
        <f t="shared" si="9"/>
        <v>0</v>
      </c>
    </row>
    <row r="892">
      <c r="A892" s="12" t="s">
        <v>981</v>
      </c>
      <c r="F892" s="19">
        <f>IFERROR(__xludf.DUMMYFUNCTION("SPLIT(A888, "" |"")"),886.0)</f>
        <v>886</v>
      </c>
      <c r="G892" s="19">
        <f>IFERROR(__xludf.DUMMYFUNCTION("""COMPUTED_VALUE"""),0.00238)</f>
        <v>0.00238</v>
      </c>
      <c r="H892" s="19" t="str">
        <f>IFERROR(__xludf.DUMMYFUNCTION("""COMPUTED_VALUE"""),"-")</f>
        <v>-</v>
      </c>
      <c r="I892" s="19">
        <f>IFERROR(__xludf.DUMMYFUNCTION("""COMPUTED_VALUE"""),0.00228)</f>
        <v>0.00228</v>
      </c>
      <c r="J892" s="19">
        <f>IFERROR(__xludf.DUMMYFUNCTION("""COMPUTED_VALUE"""),0.04526)</f>
        <v>0.04526</v>
      </c>
      <c r="K892" s="19" t="str">
        <f>IFERROR(__xludf.DUMMYFUNCTION("""COMPUTED_VALUE"""),"-")</f>
        <v>-</v>
      </c>
      <c r="L892" s="19">
        <f>IFERROR(__xludf.DUMMYFUNCTION("""COMPUTED_VALUE"""),0.0477)</f>
        <v>0.0477</v>
      </c>
      <c r="O892" s="24">
        <f t="shared" si="4"/>
        <v>0</v>
      </c>
      <c r="P892" s="24"/>
      <c r="Q892" s="24">
        <f t="shared" si="6"/>
        <v>0</v>
      </c>
      <c r="R892" s="24">
        <f t="shared" si="7"/>
        <v>0</v>
      </c>
      <c r="S892" s="24"/>
      <c r="T892" s="24">
        <f t="shared" si="9"/>
        <v>0</v>
      </c>
    </row>
    <row r="893">
      <c r="A893" s="12" t="s">
        <v>982</v>
      </c>
      <c r="F893" s="19">
        <f>IFERROR(__xludf.DUMMYFUNCTION("SPLIT(A889, "" |"")"),887.0)</f>
        <v>887</v>
      </c>
      <c r="G893" s="19">
        <f>IFERROR(__xludf.DUMMYFUNCTION("""COMPUTED_VALUE"""),0.00237)</f>
        <v>0.00237</v>
      </c>
      <c r="H893" s="19" t="str">
        <f>IFERROR(__xludf.DUMMYFUNCTION("""COMPUTED_VALUE"""),"-")</f>
        <v>-</v>
      </c>
      <c r="I893" s="19">
        <f>IFERROR(__xludf.DUMMYFUNCTION("""COMPUTED_VALUE"""),0.00222)</f>
        <v>0.00222</v>
      </c>
      <c r="J893" s="19">
        <f>IFERROR(__xludf.DUMMYFUNCTION("""COMPUTED_VALUE"""),0.04639)</f>
        <v>0.04639</v>
      </c>
      <c r="K893" s="19" t="str">
        <f>IFERROR(__xludf.DUMMYFUNCTION("""COMPUTED_VALUE"""),"-")</f>
        <v>-</v>
      </c>
      <c r="L893" s="19">
        <f>IFERROR(__xludf.DUMMYFUNCTION("""COMPUTED_VALUE"""),0.04765)</f>
        <v>0.04765</v>
      </c>
      <c r="O893" s="24">
        <f t="shared" si="4"/>
        <v>0</v>
      </c>
      <c r="P893" s="24"/>
      <c r="Q893" s="24">
        <f t="shared" si="6"/>
        <v>0</v>
      </c>
      <c r="R893" s="24">
        <f t="shared" si="7"/>
        <v>0</v>
      </c>
      <c r="S893" s="24"/>
      <c r="T893" s="24">
        <f t="shared" si="9"/>
        <v>0</v>
      </c>
    </row>
    <row r="894">
      <c r="A894" s="12" t="s">
        <v>983</v>
      </c>
      <c r="F894" s="19">
        <f>IFERROR(__xludf.DUMMYFUNCTION("SPLIT(A890, "" |"")"),888.0)</f>
        <v>888</v>
      </c>
      <c r="G894" s="19">
        <f>IFERROR(__xludf.DUMMYFUNCTION("""COMPUTED_VALUE"""),0.00232)</f>
        <v>0.00232</v>
      </c>
      <c r="H894" s="19" t="str">
        <f>IFERROR(__xludf.DUMMYFUNCTION("""COMPUTED_VALUE"""),"-")</f>
        <v>-</v>
      </c>
      <c r="I894" s="19">
        <f>IFERROR(__xludf.DUMMYFUNCTION("""COMPUTED_VALUE"""),0.00223)</f>
        <v>0.00223</v>
      </c>
      <c r="J894" s="19">
        <f>IFERROR(__xludf.DUMMYFUNCTION("""COMPUTED_VALUE"""),0.04744)</f>
        <v>0.04744</v>
      </c>
      <c r="K894" s="19" t="str">
        <f>IFERROR(__xludf.DUMMYFUNCTION("""COMPUTED_VALUE"""),"-")</f>
        <v>-</v>
      </c>
      <c r="L894" s="19">
        <f>IFERROR(__xludf.DUMMYFUNCTION("""COMPUTED_VALUE"""),0.04761)</f>
        <v>0.04761</v>
      </c>
      <c r="O894" s="24">
        <f t="shared" si="4"/>
        <v>0</v>
      </c>
      <c r="P894" s="24"/>
      <c r="Q894" s="24">
        <f t="shared" si="6"/>
        <v>0</v>
      </c>
      <c r="R894" s="24">
        <f t="shared" si="7"/>
        <v>0</v>
      </c>
      <c r="S894" s="24"/>
      <c r="T894" s="24">
        <f t="shared" si="9"/>
        <v>0</v>
      </c>
    </row>
    <row r="895">
      <c r="A895" s="12" t="s">
        <v>984</v>
      </c>
      <c r="F895" s="19">
        <f>IFERROR(__xludf.DUMMYFUNCTION("SPLIT(A891, "" |"")"),889.0)</f>
        <v>889</v>
      </c>
      <c r="G895" s="19">
        <f>IFERROR(__xludf.DUMMYFUNCTION("""COMPUTED_VALUE"""),0.00243)</f>
        <v>0.00243</v>
      </c>
      <c r="H895" s="19" t="str">
        <f>IFERROR(__xludf.DUMMYFUNCTION("""COMPUTED_VALUE"""),"-")</f>
        <v>-</v>
      </c>
      <c r="I895" s="19">
        <f>IFERROR(__xludf.DUMMYFUNCTION("""COMPUTED_VALUE"""),0.00228)</f>
        <v>0.00228</v>
      </c>
      <c r="J895" s="19">
        <f>IFERROR(__xludf.DUMMYFUNCTION("""COMPUTED_VALUE"""),0.04745)</f>
        <v>0.04745</v>
      </c>
      <c r="K895" s="19" t="str">
        <f>IFERROR(__xludf.DUMMYFUNCTION("""COMPUTED_VALUE"""),"-")</f>
        <v>-</v>
      </c>
      <c r="L895" s="19">
        <f>IFERROR(__xludf.DUMMYFUNCTION("""COMPUTED_VALUE"""),0.04764)</f>
        <v>0.04764</v>
      </c>
      <c r="O895" s="24">
        <f t="shared" si="4"/>
        <v>0</v>
      </c>
      <c r="P895" s="24"/>
      <c r="Q895" s="24">
        <f t="shared" si="6"/>
        <v>0</v>
      </c>
      <c r="R895" s="24">
        <f t="shared" si="7"/>
        <v>0</v>
      </c>
      <c r="S895" s="24"/>
      <c r="T895" s="24">
        <f t="shared" si="9"/>
        <v>0</v>
      </c>
    </row>
    <row r="896">
      <c r="A896" s="12" t="s">
        <v>985</v>
      </c>
      <c r="F896" s="19">
        <f>IFERROR(__xludf.DUMMYFUNCTION("SPLIT(A892, "" |"")"),890.0)</f>
        <v>890</v>
      </c>
      <c r="G896" s="19">
        <f>IFERROR(__xludf.DUMMYFUNCTION("""COMPUTED_VALUE"""),0.00249)</f>
        <v>0.00249</v>
      </c>
      <c r="H896" s="19" t="str">
        <f>IFERROR(__xludf.DUMMYFUNCTION("""COMPUTED_VALUE"""),"-")</f>
        <v>-</v>
      </c>
      <c r="I896" s="19">
        <f>IFERROR(__xludf.DUMMYFUNCTION("""COMPUTED_VALUE"""),0.00214)</f>
        <v>0.00214</v>
      </c>
      <c r="J896" s="19">
        <f>IFERROR(__xludf.DUMMYFUNCTION("""COMPUTED_VALUE"""),0.04743)</f>
        <v>0.04743</v>
      </c>
      <c r="K896" s="19" t="str">
        <f>IFERROR(__xludf.DUMMYFUNCTION("""COMPUTED_VALUE"""),"-")</f>
        <v>-</v>
      </c>
      <c r="L896" s="19">
        <f>IFERROR(__xludf.DUMMYFUNCTION("""COMPUTED_VALUE"""),0.04756)</f>
        <v>0.04756</v>
      </c>
      <c r="O896" s="24">
        <f t="shared" si="4"/>
        <v>0</v>
      </c>
      <c r="P896" s="24"/>
      <c r="Q896" s="24">
        <f t="shared" si="6"/>
        <v>0</v>
      </c>
      <c r="R896" s="24">
        <f t="shared" si="7"/>
        <v>0</v>
      </c>
      <c r="S896" s="24"/>
      <c r="T896" s="24">
        <f t="shared" si="9"/>
        <v>0</v>
      </c>
    </row>
    <row r="897">
      <c r="A897" s="12" t="s">
        <v>986</v>
      </c>
      <c r="F897" s="19">
        <f>IFERROR(__xludf.DUMMYFUNCTION("SPLIT(A893, "" |"")"),891.0)</f>
        <v>891</v>
      </c>
      <c r="G897" s="19">
        <f>IFERROR(__xludf.DUMMYFUNCTION("""COMPUTED_VALUE"""),0.0023)</f>
        <v>0.0023</v>
      </c>
      <c r="H897" s="19" t="str">
        <f>IFERROR(__xludf.DUMMYFUNCTION("""COMPUTED_VALUE"""),"-")</f>
        <v>-</v>
      </c>
      <c r="I897" s="19">
        <f>IFERROR(__xludf.DUMMYFUNCTION("""COMPUTED_VALUE"""),0.0022)</f>
        <v>0.0022</v>
      </c>
      <c r="J897" s="19">
        <f>IFERROR(__xludf.DUMMYFUNCTION("""COMPUTED_VALUE"""),0.04742)</f>
        <v>0.04742</v>
      </c>
      <c r="K897" s="19" t="str">
        <f>IFERROR(__xludf.DUMMYFUNCTION("""COMPUTED_VALUE"""),"-")</f>
        <v>-</v>
      </c>
      <c r="L897" s="19">
        <f>IFERROR(__xludf.DUMMYFUNCTION("""COMPUTED_VALUE"""),0.04757)</f>
        <v>0.04757</v>
      </c>
      <c r="O897" s="24">
        <f t="shared" si="4"/>
        <v>0</v>
      </c>
      <c r="P897" s="24"/>
      <c r="Q897" s="24">
        <f t="shared" si="6"/>
        <v>0</v>
      </c>
      <c r="R897" s="24">
        <f t="shared" si="7"/>
        <v>0</v>
      </c>
      <c r="S897" s="24"/>
      <c r="T897" s="24">
        <f t="shared" si="9"/>
        <v>0</v>
      </c>
    </row>
    <row r="898">
      <c r="A898" s="12" t="s">
        <v>987</v>
      </c>
      <c r="F898" s="19">
        <f>IFERROR(__xludf.DUMMYFUNCTION("SPLIT(A894, "" |"")"),892.0)</f>
        <v>892</v>
      </c>
      <c r="G898" s="19">
        <f>IFERROR(__xludf.DUMMYFUNCTION("""COMPUTED_VALUE"""),0.00236)</f>
        <v>0.00236</v>
      </c>
      <c r="H898" s="19" t="str">
        <f>IFERROR(__xludf.DUMMYFUNCTION("""COMPUTED_VALUE"""),"-")</f>
        <v>-</v>
      </c>
      <c r="I898" s="19">
        <f>IFERROR(__xludf.DUMMYFUNCTION("""COMPUTED_VALUE"""),0.00225)</f>
        <v>0.00225</v>
      </c>
      <c r="J898" s="19">
        <f>IFERROR(__xludf.DUMMYFUNCTION("""COMPUTED_VALUE"""),0.04523)</f>
        <v>0.04523</v>
      </c>
      <c r="K898" s="19" t="str">
        <f>IFERROR(__xludf.DUMMYFUNCTION("""COMPUTED_VALUE"""),"-")</f>
        <v>-</v>
      </c>
      <c r="L898" s="19">
        <f>IFERROR(__xludf.DUMMYFUNCTION("""COMPUTED_VALUE"""),0.04461)</f>
        <v>0.04461</v>
      </c>
      <c r="O898" s="24">
        <f t="shared" si="4"/>
        <v>0</v>
      </c>
      <c r="P898" s="24"/>
      <c r="Q898" s="24">
        <f t="shared" si="6"/>
        <v>0</v>
      </c>
      <c r="R898" s="24">
        <f t="shared" si="7"/>
        <v>0</v>
      </c>
      <c r="S898" s="24"/>
      <c r="T898" s="24">
        <f t="shared" si="9"/>
        <v>0</v>
      </c>
    </row>
    <row r="899">
      <c r="A899" s="12" t="s">
        <v>988</v>
      </c>
      <c r="F899" s="19">
        <f>IFERROR(__xludf.DUMMYFUNCTION("SPLIT(A895, "" |"")"),893.0)</f>
        <v>893</v>
      </c>
      <c r="G899" s="19">
        <f>IFERROR(__xludf.DUMMYFUNCTION("""COMPUTED_VALUE"""),0.00248)</f>
        <v>0.00248</v>
      </c>
      <c r="H899" s="19" t="str">
        <f>IFERROR(__xludf.DUMMYFUNCTION("""COMPUTED_VALUE"""),"-")</f>
        <v>-</v>
      </c>
      <c r="I899" s="19">
        <f>IFERROR(__xludf.DUMMYFUNCTION("""COMPUTED_VALUE"""),0.00224)</f>
        <v>0.00224</v>
      </c>
      <c r="J899" s="19">
        <f>IFERROR(__xludf.DUMMYFUNCTION("""COMPUTED_VALUE"""),0.04747)</f>
        <v>0.04747</v>
      </c>
      <c r="K899" s="19" t="str">
        <f>IFERROR(__xludf.DUMMYFUNCTION("""COMPUTED_VALUE"""),"-")</f>
        <v>-</v>
      </c>
      <c r="L899" s="19">
        <f>IFERROR(__xludf.DUMMYFUNCTION("""COMPUTED_VALUE"""),0.04775)</f>
        <v>0.04775</v>
      </c>
      <c r="O899" s="24">
        <f t="shared" si="4"/>
        <v>0</v>
      </c>
      <c r="P899" s="24"/>
      <c r="Q899" s="24">
        <f t="shared" si="6"/>
        <v>0</v>
      </c>
      <c r="R899" s="24">
        <f t="shared" si="7"/>
        <v>0</v>
      </c>
      <c r="S899" s="24"/>
      <c r="T899" s="24">
        <f t="shared" si="9"/>
        <v>0</v>
      </c>
    </row>
    <row r="900">
      <c r="A900" s="12" t="s">
        <v>989</v>
      </c>
      <c r="F900" s="19">
        <f>IFERROR(__xludf.DUMMYFUNCTION("SPLIT(A896, "" |"")"),894.0)</f>
        <v>894</v>
      </c>
      <c r="G900" s="19">
        <f>IFERROR(__xludf.DUMMYFUNCTION("""COMPUTED_VALUE"""),0.00243)</f>
        <v>0.00243</v>
      </c>
      <c r="H900" s="19" t="str">
        <f>IFERROR(__xludf.DUMMYFUNCTION("""COMPUTED_VALUE"""),"-")</f>
        <v>-</v>
      </c>
      <c r="I900" s="19">
        <f>IFERROR(__xludf.DUMMYFUNCTION("""COMPUTED_VALUE"""),0.00226)</f>
        <v>0.00226</v>
      </c>
      <c r="J900" s="19">
        <f>IFERROR(__xludf.DUMMYFUNCTION("""COMPUTED_VALUE"""),0.04626)</f>
        <v>0.04626</v>
      </c>
      <c r="K900" s="19" t="str">
        <f>IFERROR(__xludf.DUMMYFUNCTION("""COMPUTED_VALUE"""),"-")</f>
        <v>-</v>
      </c>
      <c r="L900" s="19">
        <f>IFERROR(__xludf.DUMMYFUNCTION("""COMPUTED_VALUE"""),0.04762)</f>
        <v>0.04762</v>
      </c>
      <c r="O900" s="24">
        <f t="shared" si="4"/>
        <v>0</v>
      </c>
      <c r="P900" s="24"/>
      <c r="Q900" s="24">
        <f t="shared" si="6"/>
        <v>0</v>
      </c>
      <c r="R900" s="24">
        <f t="shared" si="7"/>
        <v>0</v>
      </c>
      <c r="S900" s="24"/>
      <c r="T900" s="24">
        <f t="shared" si="9"/>
        <v>0</v>
      </c>
    </row>
    <row r="901">
      <c r="A901" s="12" t="s">
        <v>990</v>
      </c>
      <c r="F901" s="19">
        <f>IFERROR(__xludf.DUMMYFUNCTION("SPLIT(A897, "" |"")"),895.0)</f>
        <v>895</v>
      </c>
      <c r="G901" s="19">
        <f>IFERROR(__xludf.DUMMYFUNCTION("""COMPUTED_VALUE"""),0.00231)</f>
        <v>0.00231</v>
      </c>
      <c r="H901" s="19" t="str">
        <f>IFERROR(__xludf.DUMMYFUNCTION("""COMPUTED_VALUE"""),"-")</f>
        <v>-</v>
      </c>
      <c r="I901" s="19">
        <f>IFERROR(__xludf.DUMMYFUNCTION("""COMPUTED_VALUE"""),0.00222)</f>
        <v>0.00222</v>
      </c>
      <c r="J901" s="19">
        <f>IFERROR(__xludf.DUMMYFUNCTION("""COMPUTED_VALUE"""),0.04747)</f>
        <v>0.04747</v>
      </c>
      <c r="K901" s="19" t="str">
        <f>IFERROR(__xludf.DUMMYFUNCTION("""COMPUTED_VALUE"""),"-")</f>
        <v>-</v>
      </c>
      <c r="L901" s="19">
        <f>IFERROR(__xludf.DUMMYFUNCTION("""COMPUTED_VALUE"""),0.04747)</f>
        <v>0.04747</v>
      </c>
      <c r="O901" s="24">
        <f t="shared" si="4"/>
        <v>0</v>
      </c>
      <c r="P901" s="24"/>
      <c r="Q901" s="24">
        <f t="shared" si="6"/>
        <v>0</v>
      </c>
      <c r="R901" s="24">
        <f t="shared" si="7"/>
        <v>0</v>
      </c>
      <c r="S901" s="24"/>
      <c r="T901" s="24">
        <f t="shared" si="9"/>
        <v>0</v>
      </c>
    </row>
    <row r="902">
      <c r="A902" s="12" t="s">
        <v>991</v>
      </c>
      <c r="F902" s="19">
        <f>IFERROR(__xludf.DUMMYFUNCTION("SPLIT(A898, "" |"")"),896.0)</f>
        <v>896</v>
      </c>
      <c r="G902" s="19">
        <f>IFERROR(__xludf.DUMMYFUNCTION("""COMPUTED_VALUE"""),0.00221)</f>
        <v>0.00221</v>
      </c>
      <c r="H902" s="19" t="str">
        <f>IFERROR(__xludf.DUMMYFUNCTION("""COMPUTED_VALUE"""),"-")</f>
        <v>-</v>
      </c>
      <c r="I902" s="19">
        <f>IFERROR(__xludf.DUMMYFUNCTION("""COMPUTED_VALUE"""),0.00208)</f>
        <v>0.00208</v>
      </c>
      <c r="J902" s="19">
        <f>IFERROR(__xludf.DUMMYFUNCTION("""COMPUTED_VALUE"""),0.0431)</f>
        <v>0.0431</v>
      </c>
      <c r="K902" s="19" t="str">
        <f>IFERROR(__xludf.DUMMYFUNCTION("""COMPUTED_VALUE"""),"-")</f>
        <v>-</v>
      </c>
      <c r="L902" s="19">
        <f>IFERROR(__xludf.DUMMYFUNCTION("""COMPUTED_VALUE"""),0.04748)</f>
        <v>0.04748</v>
      </c>
      <c r="O902" s="24">
        <f t="shared" si="4"/>
        <v>0</v>
      </c>
      <c r="P902" s="24"/>
      <c r="Q902" s="24">
        <f t="shared" si="6"/>
        <v>0</v>
      </c>
      <c r="R902" s="24">
        <f t="shared" si="7"/>
        <v>1</v>
      </c>
      <c r="S902" s="24"/>
      <c r="T902" s="24">
        <f t="shared" si="9"/>
        <v>0</v>
      </c>
    </row>
    <row r="903">
      <c r="A903" s="12" t="s">
        <v>992</v>
      </c>
      <c r="F903" s="19">
        <f>IFERROR(__xludf.DUMMYFUNCTION("SPLIT(A899, "" |"")"),897.0)</f>
        <v>897</v>
      </c>
      <c r="G903" s="19">
        <f>IFERROR(__xludf.DUMMYFUNCTION("""COMPUTED_VALUE"""),0.00234)</f>
        <v>0.00234</v>
      </c>
      <c r="H903" s="19" t="str">
        <f>IFERROR(__xludf.DUMMYFUNCTION("""COMPUTED_VALUE"""),"-")</f>
        <v>-</v>
      </c>
      <c r="I903" s="19">
        <f>IFERROR(__xludf.DUMMYFUNCTION("""COMPUTED_VALUE"""),0.00223)</f>
        <v>0.00223</v>
      </c>
      <c r="J903" s="19">
        <f>IFERROR(__xludf.DUMMYFUNCTION("""COMPUTED_VALUE"""),0.04238)</f>
        <v>0.04238</v>
      </c>
      <c r="K903" s="19" t="str">
        <f>IFERROR(__xludf.DUMMYFUNCTION("""COMPUTED_VALUE"""),"-")</f>
        <v>-</v>
      </c>
      <c r="L903" s="19">
        <f>IFERROR(__xludf.DUMMYFUNCTION("""COMPUTED_VALUE"""),0.04627)</f>
        <v>0.04627</v>
      </c>
      <c r="O903" s="24">
        <f t="shared" si="4"/>
        <v>0</v>
      </c>
      <c r="P903" s="24"/>
      <c r="Q903" s="24">
        <f t="shared" si="6"/>
        <v>0</v>
      </c>
      <c r="R903" s="24">
        <f t="shared" si="7"/>
        <v>1</v>
      </c>
      <c r="S903" s="24"/>
      <c r="T903" s="24">
        <f t="shared" si="9"/>
        <v>0</v>
      </c>
    </row>
    <row r="904">
      <c r="A904" s="12" t="s">
        <v>993</v>
      </c>
      <c r="F904" s="19">
        <f>IFERROR(__xludf.DUMMYFUNCTION("SPLIT(A900, "" |"")"),898.0)</f>
        <v>898</v>
      </c>
      <c r="G904" s="19">
        <f>IFERROR(__xludf.DUMMYFUNCTION("""COMPUTED_VALUE"""),0.00225)</f>
        <v>0.00225</v>
      </c>
      <c r="H904" s="19" t="str">
        <f>IFERROR(__xludf.DUMMYFUNCTION("""COMPUTED_VALUE"""),"-")</f>
        <v>-</v>
      </c>
      <c r="I904" s="19">
        <f>IFERROR(__xludf.DUMMYFUNCTION("""COMPUTED_VALUE"""),0.0021)</f>
        <v>0.0021</v>
      </c>
      <c r="J904" s="19">
        <f>IFERROR(__xludf.DUMMYFUNCTION("""COMPUTED_VALUE"""),0.04738)</f>
        <v>0.04738</v>
      </c>
      <c r="K904" s="19" t="str">
        <f>IFERROR(__xludf.DUMMYFUNCTION("""COMPUTED_VALUE"""),"-")</f>
        <v>-</v>
      </c>
      <c r="L904" s="19">
        <f>IFERROR(__xludf.DUMMYFUNCTION("""COMPUTED_VALUE"""),0.04753)</f>
        <v>0.04753</v>
      </c>
      <c r="O904" s="24">
        <f t="shared" si="4"/>
        <v>0</v>
      </c>
      <c r="P904" s="24"/>
      <c r="Q904" s="24">
        <f t="shared" si="6"/>
        <v>0</v>
      </c>
      <c r="R904" s="24">
        <f t="shared" si="7"/>
        <v>0</v>
      </c>
      <c r="S904" s="24"/>
      <c r="T904" s="24">
        <f t="shared" si="9"/>
        <v>0</v>
      </c>
    </row>
    <row r="905">
      <c r="A905" s="12" t="s">
        <v>994</v>
      </c>
      <c r="F905" s="19">
        <f>IFERROR(__xludf.DUMMYFUNCTION("SPLIT(A901, "" |"")"),899.0)</f>
        <v>899</v>
      </c>
      <c r="G905" s="19">
        <f>IFERROR(__xludf.DUMMYFUNCTION("""COMPUTED_VALUE"""),0.00223)</f>
        <v>0.00223</v>
      </c>
      <c r="H905" s="19" t="str">
        <f>IFERROR(__xludf.DUMMYFUNCTION("""COMPUTED_VALUE"""),"-")</f>
        <v>-</v>
      </c>
      <c r="I905" s="19">
        <f>IFERROR(__xludf.DUMMYFUNCTION("""COMPUTED_VALUE"""),0.0021)</f>
        <v>0.0021</v>
      </c>
      <c r="J905" s="19">
        <f>IFERROR(__xludf.DUMMYFUNCTION("""COMPUTED_VALUE"""),0.04731)</f>
        <v>0.04731</v>
      </c>
      <c r="K905" s="19" t="str">
        <f>IFERROR(__xludf.DUMMYFUNCTION("""COMPUTED_VALUE"""),"-")</f>
        <v>-</v>
      </c>
      <c r="L905" s="19">
        <f>IFERROR(__xludf.DUMMYFUNCTION("""COMPUTED_VALUE"""),0.04749)</f>
        <v>0.04749</v>
      </c>
      <c r="O905" s="24">
        <f t="shared" si="4"/>
        <v>0</v>
      </c>
      <c r="P905" s="24"/>
      <c r="Q905" s="24">
        <f t="shared" si="6"/>
        <v>0</v>
      </c>
      <c r="R905" s="24">
        <f t="shared" si="7"/>
        <v>0</v>
      </c>
      <c r="S905" s="24"/>
      <c r="T905" s="24">
        <f t="shared" si="9"/>
        <v>0</v>
      </c>
    </row>
    <row r="906">
      <c r="A906" s="12" t="s">
        <v>995</v>
      </c>
      <c r="F906" s="19">
        <f>IFERROR(__xludf.DUMMYFUNCTION("SPLIT(A902, "" |"")"),900.0)</f>
        <v>900</v>
      </c>
      <c r="G906" s="19">
        <f>IFERROR(__xludf.DUMMYFUNCTION("""COMPUTED_VALUE"""),0.00232)</f>
        <v>0.00232</v>
      </c>
      <c r="H906" s="19" t="str">
        <f>IFERROR(__xludf.DUMMYFUNCTION("""COMPUTED_VALUE"""),"-")</f>
        <v>-</v>
      </c>
      <c r="I906" s="19">
        <f>IFERROR(__xludf.DUMMYFUNCTION("""COMPUTED_VALUE"""),0.0021)</f>
        <v>0.0021</v>
      </c>
      <c r="J906" s="19">
        <f>IFERROR(__xludf.DUMMYFUNCTION("""COMPUTED_VALUE"""),0.04732)</f>
        <v>0.04732</v>
      </c>
      <c r="K906" s="19" t="str">
        <f>IFERROR(__xludf.DUMMYFUNCTION("""COMPUTED_VALUE"""),"-")</f>
        <v>-</v>
      </c>
      <c r="L906" s="19">
        <f>IFERROR(__xludf.DUMMYFUNCTION("""COMPUTED_VALUE"""),0.04444)</f>
        <v>0.04444</v>
      </c>
      <c r="O906" s="24">
        <f t="shared" si="4"/>
        <v>0</v>
      </c>
      <c r="P906" s="24"/>
      <c r="Q906" s="24">
        <f t="shared" si="6"/>
        <v>0</v>
      </c>
      <c r="R906" s="24">
        <f t="shared" si="7"/>
        <v>0</v>
      </c>
      <c r="S906" s="24"/>
      <c r="T906" s="24">
        <f t="shared" si="9"/>
        <v>0</v>
      </c>
    </row>
    <row r="907">
      <c r="A907" s="12" t="s">
        <v>996</v>
      </c>
      <c r="F907" s="19">
        <f>IFERROR(__xludf.DUMMYFUNCTION("SPLIT(A903, "" |"")"),901.0)</f>
        <v>901</v>
      </c>
      <c r="G907" s="19">
        <f>IFERROR(__xludf.DUMMYFUNCTION("""COMPUTED_VALUE"""),0.00223)</f>
        <v>0.00223</v>
      </c>
      <c r="H907" s="19" t="str">
        <f>IFERROR(__xludf.DUMMYFUNCTION("""COMPUTED_VALUE"""),"-")</f>
        <v>-</v>
      </c>
      <c r="I907" s="19">
        <f>IFERROR(__xludf.DUMMYFUNCTION("""COMPUTED_VALUE"""),0.0021)</f>
        <v>0.0021</v>
      </c>
      <c r="J907" s="19">
        <f>IFERROR(__xludf.DUMMYFUNCTION("""COMPUTED_VALUE"""),0.04729)</f>
        <v>0.04729</v>
      </c>
      <c r="K907" s="19" t="str">
        <f>IFERROR(__xludf.DUMMYFUNCTION("""COMPUTED_VALUE"""),"-")</f>
        <v>-</v>
      </c>
      <c r="L907" s="19">
        <f>IFERROR(__xludf.DUMMYFUNCTION("""COMPUTED_VALUE"""),0.04745)</f>
        <v>0.04745</v>
      </c>
      <c r="O907" s="24">
        <f t="shared" si="4"/>
        <v>0</v>
      </c>
      <c r="P907" s="24"/>
      <c r="Q907" s="24">
        <f t="shared" si="6"/>
        <v>0</v>
      </c>
      <c r="R907" s="24">
        <f t="shared" si="7"/>
        <v>0</v>
      </c>
      <c r="S907" s="24"/>
      <c r="T907" s="24">
        <f t="shared" si="9"/>
        <v>0</v>
      </c>
    </row>
    <row r="908">
      <c r="A908" s="12" t="s">
        <v>997</v>
      </c>
      <c r="F908" s="19">
        <f>IFERROR(__xludf.DUMMYFUNCTION("SPLIT(A904, "" |"")"),902.0)</f>
        <v>902</v>
      </c>
      <c r="G908" s="19">
        <f>IFERROR(__xludf.DUMMYFUNCTION("""COMPUTED_VALUE"""),0.00221)</f>
        <v>0.00221</v>
      </c>
      <c r="H908" s="19" t="str">
        <f>IFERROR(__xludf.DUMMYFUNCTION("""COMPUTED_VALUE"""),"-")</f>
        <v>-</v>
      </c>
      <c r="I908" s="19">
        <f>IFERROR(__xludf.DUMMYFUNCTION("""COMPUTED_VALUE"""),0.00212)</f>
        <v>0.00212</v>
      </c>
      <c r="J908" s="19">
        <f>IFERROR(__xludf.DUMMYFUNCTION("""COMPUTED_VALUE"""),0.04612)</f>
        <v>0.04612</v>
      </c>
      <c r="K908" s="19" t="str">
        <f>IFERROR(__xludf.DUMMYFUNCTION("""COMPUTED_VALUE"""),"-")</f>
        <v>-</v>
      </c>
      <c r="L908" s="19">
        <f>IFERROR(__xludf.DUMMYFUNCTION("""COMPUTED_VALUE"""),0.04768)</f>
        <v>0.04768</v>
      </c>
      <c r="O908" s="24">
        <f t="shared" si="4"/>
        <v>0</v>
      </c>
      <c r="P908" s="24"/>
      <c r="Q908" s="24">
        <f t="shared" si="6"/>
        <v>0</v>
      </c>
      <c r="R908" s="24">
        <f t="shared" si="7"/>
        <v>0</v>
      </c>
      <c r="S908" s="24"/>
      <c r="T908" s="24">
        <f t="shared" si="9"/>
        <v>0</v>
      </c>
    </row>
    <row r="909">
      <c r="A909" s="12" t="s">
        <v>998</v>
      </c>
      <c r="F909" s="19">
        <f>IFERROR(__xludf.DUMMYFUNCTION("SPLIT(A905, "" |"")"),903.0)</f>
        <v>903</v>
      </c>
      <c r="G909" s="19">
        <f>IFERROR(__xludf.DUMMYFUNCTION("""COMPUTED_VALUE"""),0.00235)</f>
        <v>0.00235</v>
      </c>
      <c r="H909" s="19" t="str">
        <f>IFERROR(__xludf.DUMMYFUNCTION("""COMPUTED_VALUE"""),"-")</f>
        <v>-</v>
      </c>
      <c r="I909" s="19">
        <f>IFERROR(__xludf.DUMMYFUNCTION("""COMPUTED_VALUE"""),0.00221)</f>
        <v>0.00221</v>
      </c>
      <c r="J909" s="19">
        <f>IFERROR(__xludf.DUMMYFUNCTION("""COMPUTED_VALUE"""),0.04748)</f>
        <v>0.04748</v>
      </c>
      <c r="K909" s="19" t="str">
        <f>IFERROR(__xludf.DUMMYFUNCTION("""COMPUTED_VALUE"""),"-")</f>
        <v>-</v>
      </c>
      <c r="L909" s="19">
        <f>IFERROR(__xludf.DUMMYFUNCTION("""COMPUTED_VALUE"""),0.04775)</f>
        <v>0.04775</v>
      </c>
      <c r="O909" s="24">
        <f t="shared" si="4"/>
        <v>0</v>
      </c>
      <c r="P909" s="24"/>
      <c r="Q909" s="24">
        <f t="shared" si="6"/>
        <v>0</v>
      </c>
      <c r="R909" s="24">
        <f t="shared" si="7"/>
        <v>0</v>
      </c>
      <c r="S909" s="24"/>
      <c r="T909" s="24">
        <f t="shared" si="9"/>
        <v>0</v>
      </c>
    </row>
    <row r="910">
      <c r="A910" s="12" t="s">
        <v>999</v>
      </c>
      <c r="F910" s="19">
        <f>IFERROR(__xludf.DUMMYFUNCTION("SPLIT(A906, "" |"")"),904.0)</f>
        <v>904</v>
      </c>
      <c r="G910" s="19">
        <f>IFERROR(__xludf.DUMMYFUNCTION("""COMPUTED_VALUE"""),0.00234)</f>
        <v>0.00234</v>
      </c>
      <c r="H910" s="19" t="str">
        <f>IFERROR(__xludf.DUMMYFUNCTION("""COMPUTED_VALUE"""),"-")</f>
        <v>-</v>
      </c>
      <c r="I910" s="19">
        <f>IFERROR(__xludf.DUMMYFUNCTION("""COMPUTED_VALUE"""),0.00222)</f>
        <v>0.00222</v>
      </c>
      <c r="J910" s="19">
        <f>IFERROR(__xludf.DUMMYFUNCTION("""COMPUTED_VALUE"""),0.04744)</f>
        <v>0.04744</v>
      </c>
      <c r="K910" s="19" t="str">
        <f>IFERROR(__xludf.DUMMYFUNCTION("""COMPUTED_VALUE"""),"-")</f>
        <v>-</v>
      </c>
      <c r="L910" s="19">
        <f>IFERROR(__xludf.DUMMYFUNCTION("""COMPUTED_VALUE"""),0.04763)</f>
        <v>0.04763</v>
      </c>
      <c r="O910" s="24">
        <f t="shared" si="4"/>
        <v>0</v>
      </c>
      <c r="P910" s="24"/>
      <c r="Q910" s="24">
        <f t="shared" si="6"/>
        <v>0</v>
      </c>
      <c r="R910" s="24">
        <f t="shared" si="7"/>
        <v>0</v>
      </c>
      <c r="S910" s="24"/>
      <c r="T910" s="24">
        <f t="shared" si="9"/>
        <v>0</v>
      </c>
    </row>
    <row r="911">
      <c r="A911" s="12" t="s">
        <v>1000</v>
      </c>
      <c r="F911" s="19">
        <f>IFERROR(__xludf.DUMMYFUNCTION("SPLIT(A907, "" |"")"),905.0)</f>
        <v>905</v>
      </c>
      <c r="G911" s="19">
        <f>IFERROR(__xludf.DUMMYFUNCTION("""COMPUTED_VALUE"""),0.00241)</f>
        <v>0.00241</v>
      </c>
      <c r="H911" s="19" t="str">
        <f>IFERROR(__xludf.DUMMYFUNCTION("""COMPUTED_VALUE"""),"-")</f>
        <v>-</v>
      </c>
      <c r="I911" s="19">
        <f>IFERROR(__xludf.DUMMYFUNCTION("""COMPUTED_VALUE"""),0.00223)</f>
        <v>0.00223</v>
      </c>
      <c r="J911" s="19">
        <f>IFERROR(__xludf.DUMMYFUNCTION("""COMPUTED_VALUE"""),0.04745)</f>
        <v>0.04745</v>
      </c>
      <c r="K911" s="19" t="str">
        <f>IFERROR(__xludf.DUMMYFUNCTION("""COMPUTED_VALUE"""),"-")</f>
        <v>-</v>
      </c>
      <c r="L911" s="19">
        <f>IFERROR(__xludf.DUMMYFUNCTION("""COMPUTED_VALUE"""),0.04665)</f>
        <v>0.04665</v>
      </c>
      <c r="O911" s="24">
        <f t="shared" si="4"/>
        <v>0</v>
      </c>
      <c r="P911" s="24"/>
      <c r="Q911" s="24">
        <f t="shared" si="6"/>
        <v>0</v>
      </c>
      <c r="R911" s="24">
        <f t="shared" si="7"/>
        <v>0</v>
      </c>
      <c r="S911" s="24"/>
      <c r="T911" s="24">
        <f t="shared" si="9"/>
        <v>0</v>
      </c>
    </row>
    <row r="912">
      <c r="A912" s="12" t="s">
        <v>1001</v>
      </c>
      <c r="F912" s="19">
        <f>IFERROR(__xludf.DUMMYFUNCTION("SPLIT(A908, "" |"")"),906.0)</f>
        <v>906</v>
      </c>
      <c r="G912" s="19">
        <f>IFERROR(__xludf.DUMMYFUNCTION("""COMPUTED_VALUE"""),0.00236)</f>
        <v>0.00236</v>
      </c>
      <c r="H912" s="19" t="str">
        <f>IFERROR(__xludf.DUMMYFUNCTION("""COMPUTED_VALUE"""),"-")</f>
        <v>-</v>
      </c>
      <c r="I912" s="19">
        <f>IFERROR(__xludf.DUMMYFUNCTION("""COMPUTED_VALUE"""),0.00223)</f>
        <v>0.00223</v>
      </c>
      <c r="J912" s="19">
        <f>IFERROR(__xludf.DUMMYFUNCTION("""COMPUTED_VALUE"""),0.04363)</f>
        <v>0.04363</v>
      </c>
      <c r="K912" s="19" t="str">
        <f>IFERROR(__xludf.DUMMYFUNCTION("""COMPUTED_VALUE"""),"-")</f>
        <v>-</v>
      </c>
      <c r="L912" s="19">
        <f>IFERROR(__xludf.DUMMYFUNCTION("""COMPUTED_VALUE"""),0.04762)</f>
        <v>0.04762</v>
      </c>
      <c r="O912" s="24">
        <f t="shared" si="4"/>
        <v>0</v>
      </c>
      <c r="P912" s="24"/>
      <c r="Q912" s="24">
        <f t="shared" si="6"/>
        <v>0</v>
      </c>
      <c r="R912" s="24">
        <f t="shared" si="7"/>
        <v>1</v>
      </c>
      <c r="S912" s="24"/>
      <c r="T912" s="24">
        <f t="shared" si="9"/>
        <v>0</v>
      </c>
    </row>
    <row r="913">
      <c r="A913" s="12" t="s">
        <v>1002</v>
      </c>
      <c r="F913" s="19">
        <f>IFERROR(__xludf.DUMMYFUNCTION("SPLIT(A909, "" |"")"),907.0)</f>
        <v>907</v>
      </c>
      <c r="G913" s="19">
        <f>IFERROR(__xludf.DUMMYFUNCTION("""COMPUTED_VALUE"""),0.00235)</f>
        <v>0.00235</v>
      </c>
      <c r="H913" s="19" t="str">
        <f>IFERROR(__xludf.DUMMYFUNCTION("""COMPUTED_VALUE"""),"-")</f>
        <v>-</v>
      </c>
      <c r="I913" s="19">
        <f>IFERROR(__xludf.DUMMYFUNCTION("""COMPUTED_VALUE"""),0.00221)</f>
        <v>0.00221</v>
      </c>
      <c r="J913" s="19">
        <f>IFERROR(__xludf.DUMMYFUNCTION("""COMPUTED_VALUE"""),0.04522)</f>
        <v>0.04522</v>
      </c>
      <c r="K913" s="19" t="str">
        <f>IFERROR(__xludf.DUMMYFUNCTION("""COMPUTED_VALUE"""),"-")</f>
        <v>-</v>
      </c>
      <c r="L913" s="19">
        <f>IFERROR(__xludf.DUMMYFUNCTION("""COMPUTED_VALUE"""),0.04766)</f>
        <v>0.04766</v>
      </c>
      <c r="O913" s="24">
        <f t="shared" si="4"/>
        <v>0</v>
      </c>
      <c r="P913" s="24"/>
      <c r="Q913" s="24">
        <f t="shared" si="6"/>
        <v>0</v>
      </c>
      <c r="R913" s="24">
        <f t="shared" si="7"/>
        <v>0</v>
      </c>
      <c r="S913" s="24"/>
      <c r="T913" s="24">
        <f t="shared" si="9"/>
        <v>0</v>
      </c>
    </row>
    <row r="914">
      <c r="A914" s="12" t="s">
        <v>1003</v>
      </c>
      <c r="F914" s="19">
        <f>IFERROR(__xludf.DUMMYFUNCTION("SPLIT(A910, "" |"")"),908.0)</f>
        <v>908</v>
      </c>
      <c r="G914" s="19">
        <f>IFERROR(__xludf.DUMMYFUNCTION("""COMPUTED_VALUE"""),0.00239)</f>
        <v>0.00239</v>
      </c>
      <c r="H914" s="19" t="str">
        <f>IFERROR(__xludf.DUMMYFUNCTION("""COMPUTED_VALUE"""),"-")</f>
        <v>-</v>
      </c>
      <c r="I914" s="19">
        <f>IFERROR(__xludf.DUMMYFUNCTION("""COMPUTED_VALUE"""),0.00223)</f>
        <v>0.00223</v>
      </c>
      <c r="J914" s="19">
        <f>IFERROR(__xludf.DUMMYFUNCTION("""COMPUTED_VALUE"""),0.04745)</f>
        <v>0.04745</v>
      </c>
      <c r="K914" s="19" t="str">
        <f>IFERROR(__xludf.DUMMYFUNCTION("""COMPUTED_VALUE"""),"-")</f>
        <v>-</v>
      </c>
      <c r="L914" s="19">
        <f>IFERROR(__xludf.DUMMYFUNCTION("""COMPUTED_VALUE"""),0.04752)</f>
        <v>0.04752</v>
      </c>
      <c r="O914" s="24">
        <f t="shared" si="4"/>
        <v>0</v>
      </c>
      <c r="P914" s="24"/>
      <c r="Q914" s="24">
        <f t="shared" si="6"/>
        <v>0</v>
      </c>
      <c r="R914" s="24">
        <f t="shared" si="7"/>
        <v>0</v>
      </c>
      <c r="S914" s="24"/>
      <c r="T914" s="24">
        <f t="shared" si="9"/>
        <v>0</v>
      </c>
    </row>
    <row r="915">
      <c r="A915" s="12" t="s">
        <v>1004</v>
      </c>
      <c r="F915" s="19">
        <f>IFERROR(__xludf.DUMMYFUNCTION("SPLIT(A911, "" |"")"),909.0)</f>
        <v>909</v>
      </c>
      <c r="G915" s="19">
        <f>IFERROR(__xludf.DUMMYFUNCTION("""COMPUTED_VALUE"""),0.00241)</f>
        <v>0.00241</v>
      </c>
      <c r="H915" s="19" t="str">
        <f>IFERROR(__xludf.DUMMYFUNCTION("""COMPUTED_VALUE"""),"-")</f>
        <v>-</v>
      </c>
      <c r="I915" s="19">
        <f>IFERROR(__xludf.DUMMYFUNCTION("""COMPUTED_VALUE"""),0.00228)</f>
        <v>0.00228</v>
      </c>
      <c r="J915" s="19">
        <f>IFERROR(__xludf.DUMMYFUNCTION("""COMPUTED_VALUE"""),0.04748)</f>
        <v>0.04748</v>
      </c>
      <c r="K915" s="19" t="str">
        <f>IFERROR(__xludf.DUMMYFUNCTION("""COMPUTED_VALUE"""),"-")</f>
        <v>-</v>
      </c>
      <c r="L915" s="19">
        <f>IFERROR(__xludf.DUMMYFUNCTION("""COMPUTED_VALUE"""),0.04751)</f>
        <v>0.04751</v>
      </c>
      <c r="O915" s="24">
        <f t="shared" si="4"/>
        <v>0</v>
      </c>
      <c r="P915" s="24"/>
      <c r="Q915" s="24">
        <f t="shared" si="6"/>
        <v>0</v>
      </c>
      <c r="R915" s="24">
        <f t="shared" si="7"/>
        <v>0</v>
      </c>
      <c r="S915" s="24"/>
      <c r="T915" s="24">
        <f t="shared" si="9"/>
        <v>0</v>
      </c>
    </row>
    <row r="916">
      <c r="A916" s="12" t="s">
        <v>1005</v>
      </c>
      <c r="F916" s="19">
        <f>IFERROR(__xludf.DUMMYFUNCTION("SPLIT(A912, "" |"")"),910.0)</f>
        <v>910</v>
      </c>
      <c r="G916" s="19">
        <f>IFERROR(__xludf.DUMMYFUNCTION("""COMPUTED_VALUE"""),0.00231)</f>
        <v>0.00231</v>
      </c>
      <c r="H916" s="19" t="str">
        <f>IFERROR(__xludf.DUMMYFUNCTION("""COMPUTED_VALUE"""),"-")</f>
        <v>-</v>
      </c>
      <c r="I916" s="19">
        <f>IFERROR(__xludf.DUMMYFUNCTION("""COMPUTED_VALUE"""),0.00227)</f>
        <v>0.00227</v>
      </c>
      <c r="J916" s="19">
        <f>IFERROR(__xludf.DUMMYFUNCTION("""COMPUTED_VALUE"""),0.04741)</f>
        <v>0.04741</v>
      </c>
      <c r="K916" s="19" t="str">
        <f>IFERROR(__xludf.DUMMYFUNCTION("""COMPUTED_VALUE"""),"-")</f>
        <v>-</v>
      </c>
      <c r="L916" s="19">
        <f>IFERROR(__xludf.DUMMYFUNCTION("""COMPUTED_VALUE"""),0.04747)</f>
        <v>0.04747</v>
      </c>
      <c r="O916" s="24">
        <f t="shared" si="4"/>
        <v>0</v>
      </c>
      <c r="P916" s="24"/>
      <c r="Q916" s="24">
        <f t="shared" si="6"/>
        <v>0</v>
      </c>
      <c r="R916" s="24">
        <f t="shared" si="7"/>
        <v>0</v>
      </c>
      <c r="S916" s="24"/>
      <c r="T916" s="24">
        <f t="shared" si="9"/>
        <v>0</v>
      </c>
    </row>
    <row r="917">
      <c r="A917" s="12" t="s">
        <v>1006</v>
      </c>
      <c r="F917" s="19">
        <f>IFERROR(__xludf.DUMMYFUNCTION("SPLIT(A913, "" |"")"),911.0)</f>
        <v>911</v>
      </c>
      <c r="G917" s="19">
        <f>IFERROR(__xludf.DUMMYFUNCTION("""COMPUTED_VALUE"""),0.00228)</f>
        <v>0.00228</v>
      </c>
      <c r="H917" s="19" t="str">
        <f>IFERROR(__xludf.DUMMYFUNCTION("""COMPUTED_VALUE"""),"-")</f>
        <v>-</v>
      </c>
      <c r="I917" s="19">
        <f>IFERROR(__xludf.DUMMYFUNCTION("""COMPUTED_VALUE"""),0.00209)</f>
        <v>0.00209</v>
      </c>
      <c r="J917" s="19">
        <f>IFERROR(__xludf.DUMMYFUNCTION("""COMPUTED_VALUE"""),0.04729)</f>
        <v>0.04729</v>
      </c>
      <c r="K917" s="19" t="str">
        <f>IFERROR(__xludf.DUMMYFUNCTION("""COMPUTED_VALUE"""),"-")</f>
        <v>-</v>
      </c>
      <c r="L917" s="19">
        <f>IFERROR(__xludf.DUMMYFUNCTION("""COMPUTED_VALUE"""),0.04748)</f>
        <v>0.04748</v>
      </c>
      <c r="O917" s="24">
        <f t="shared" si="4"/>
        <v>0</v>
      </c>
      <c r="P917" s="24"/>
      <c r="Q917" s="24">
        <f t="shared" si="6"/>
        <v>0</v>
      </c>
      <c r="R917" s="24">
        <f t="shared" si="7"/>
        <v>0</v>
      </c>
      <c r="S917" s="24"/>
      <c r="T917" s="24">
        <f t="shared" si="9"/>
        <v>0</v>
      </c>
    </row>
    <row r="918">
      <c r="A918" s="12" t="s">
        <v>1007</v>
      </c>
      <c r="F918" s="19">
        <f>IFERROR(__xludf.DUMMYFUNCTION("SPLIT(A914, "" |"")"),912.0)</f>
        <v>912</v>
      </c>
      <c r="G918" s="19">
        <f>IFERROR(__xludf.DUMMYFUNCTION("""COMPUTED_VALUE"""),0.00235)</f>
        <v>0.00235</v>
      </c>
      <c r="H918" s="19" t="str">
        <f>IFERROR(__xludf.DUMMYFUNCTION("""COMPUTED_VALUE"""),"-")</f>
        <v>-</v>
      </c>
      <c r="I918" s="19">
        <f>IFERROR(__xludf.DUMMYFUNCTION("""COMPUTED_VALUE"""),0.00225)</f>
        <v>0.00225</v>
      </c>
      <c r="J918" s="19">
        <f>IFERROR(__xludf.DUMMYFUNCTION("""COMPUTED_VALUE"""),0.04746)</f>
        <v>0.04746</v>
      </c>
      <c r="K918" s="19" t="str">
        <f>IFERROR(__xludf.DUMMYFUNCTION("""COMPUTED_VALUE"""),"-")</f>
        <v>-</v>
      </c>
      <c r="L918" s="19">
        <f>IFERROR(__xludf.DUMMYFUNCTION("""COMPUTED_VALUE"""),0.04762)</f>
        <v>0.04762</v>
      </c>
      <c r="O918" s="24">
        <f t="shared" si="4"/>
        <v>0</v>
      </c>
      <c r="P918" s="24"/>
      <c r="Q918" s="24">
        <f t="shared" si="6"/>
        <v>0</v>
      </c>
      <c r="R918" s="24">
        <f t="shared" si="7"/>
        <v>0</v>
      </c>
      <c r="S918" s="24"/>
      <c r="T918" s="24">
        <f t="shared" si="9"/>
        <v>0</v>
      </c>
    </row>
    <row r="919">
      <c r="A919" s="12" t="s">
        <v>1008</v>
      </c>
      <c r="F919" s="19">
        <f>IFERROR(__xludf.DUMMYFUNCTION("SPLIT(A915, "" |"")"),913.0)</f>
        <v>913</v>
      </c>
      <c r="G919" s="19">
        <f>IFERROR(__xludf.DUMMYFUNCTION("""COMPUTED_VALUE"""),0.00226)</f>
        <v>0.00226</v>
      </c>
      <c r="H919" s="19" t="str">
        <f>IFERROR(__xludf.DUMMYFUNCTION("""COMPUTED_VALUE"""),"-")</f>
        <v>-</v>
      </c>
      <c r="I919" s="19">
        <f>IFERROR(__xludf.DUMMYFUNCTION("""COMPUTED_VALUE"""),0.0021)</f>
        <v>0.0021</v>
      </c>
      <c r="J919" s="19">
        <f>IFERROR(__xludf.DUMMYFUNCTION("""COMPUTED_VALUE"""),0.04735)</f>
        <v>0.04735</v>
      </c>
      <c r="K919" s="19" t="str">
        <f>IFERROR(__xludf.DUMMYFUNCTION("""COMPUTED_VALUE"""),"-")</f>
        <v>-</v>
      </c>
      <c r="L919" s="19">
        <f>IFERROR(__xludf.DUMMYFUNCTION("""COMPUTED_VALUE"""),0.04765)</f>
        <v>0.04765</v>
      </c>
      <c r="O919" s="24">
        <f t="shared" si="4"/>
        <v>0</v>
      </c>
      <c r="P919" s="24"/>
      <c r="Q919" s="24">
        <f t="shared" si="6"/>
        <v>0</v>
      </c>
      <c r="R919" s="24">
        <f t="shared" si="7"/>
        <v>0</v>
      </c>
      <c r="S919" s="24"/>
      <c r="T919" s="24">
        <f t="shared" si="9"/>
        <v>0</v>
      </c>
    </row>
    <row r="920">
      <c r="A920" s="12" t="s">
        <v>1009</v>
      </c>
      <c r="F920" s="19">
        <f>IFERROR(__xludf.DUMMYFUNCTION("SPLIT(A916, "" |"")"),914.0)</f>
        <v>914</v>
      </c>
      <c r="G920" s="19">
        <f>IFERROR(__xludf.DUMMYFUNCTION("""COMPUTED_VALUE"""),0.00242)</f>
        <v>0.00242</v>
      </c>
      <c r="H920" s="19" t="str">
        <f>IFERROR(__xludf.DUMMYFUNCTION("""COMPUTED_VALUE"""),"-")</f>
        <v>-</v>
      </c>
      <c r="I920" s="19">
        <f>IFERROR(__xludf.DUMMYFUNCTION("""COMPUTED_VALUE"""),0.00219)</f>
        <v>0.00219</v>
      </c>
      <c r="J920" s="19">
        <f>IFERROR(__xludf.DUMMYFUNCTION("""COMPUTED_VALUE"""),0.04743)</f>
        <v>0.04743</v>
      </c>
      <c r="K920" s="19" t="str">
        <f>IFERROR(__xludf.DUMMYFUNCTION("""COMPUTED_VALUE"""),"-")</f>
        <v>-</v>
      </c>
      <c r="L920" s="19">
        <f>IFERROR(__xludf.DUMMYFUNCTION("""COMPUTED_VALUE"""),0.04766)</f>
        <v>0.04766</v>
      </c>
      <c r="O920" s="24">
        <f t="shared" si="4"/>
        <v>0</v>
      </c>
      <c r="P920" s="24"/>
      <c r="Q920" s="24">
        <f t="shared" si="6"/>
        <v>0</v>
      </c>
      <c r="R920" s="24">
        <f t="shared" si="7"/>
        <v>0</v>
      </c>
      <c r="S920" s="24"/>
      <c r="T920" s="24">
        <f t="shared" si="9"/>
        <v>0</v>
      </c>
    </row>
    <row r="921">
      <c r="A921" s="12" t="s">
        <v>1010</v>
      </c>
      <c r="F921" s="19">
        <f>IFERROR(__xludf.DUMMYFUNCTION("SPLIT(A917, "" |"")"),915.0)</f>
        <v>915</v>
      </c>
      <c r="G921" s="19">
        <f>IFERROR(__xludf.DUMMYFUNCTION("""COMPUTED_VALUE"""),0.00237)</f>
        <v>0.00237</v>
      </c>
      <c r="H921" s="19" t="str">
        <f>IFERROR(__xludf.DUMMYFUNCTION("""COMPUTED_VALUE"""),"-")</f>
        <v>-</v>
      </c>
      <c r="I921" s="19">
        <f>IFERROR(__xludf.DUMMYFUNCTION("""COMPUTED_VALUE"""),0.00215)</f>
        <v>0.00215</v>
      </c>
      <c r="J921" s="19">
        <f>IFERROR(__xludf.DUMMYFUNCTION("""COMPUTED_VALUE"""),0.04748)</f>
        <v>0.04748</v>
      </c>
      <c r="K921" s="19" t="str">
        <f>IFERROR(__xludf.DUMMYFUNCTION("""COMPUTED_VALUE"""),"-")</f>
        <v>-</v>
      </c>
      <c r="L921" s="19">
        <f>IFERROR(__xludf.DUMMYFUNCTION("""COMPUTED_VALUE"""),0.04137)</f>
        <v>0.04137</v>
      </c>
      <c r="O921" s="24">
        <f t="shared" si="4"/>
        <v>0</v>
      </c>
      <c r="P921" s="24"/>
      <c r="Q921" s="24">
        <f t="shared" si="6"/>
        <v>0</v>
      </c>
      <c r="R921" s="24">
        <f t="shared" si="7"/>
        <v>0</v>
      </c>
      <c r="S921" s="24"/>
      <c r="T921" s="24">
        <f t="shared" si="9"/>
        <v>0</v>
      </c>
    </row>
    <row r="922">
      <c r="A922" s="12" t="s">
        <v>1011</v>
      </c>
      <c r="F922" s="19">
        <f>IFERROR(__xludf.DUMMYFUNCTION("SPLIT(A918, "" |"")"),916.0)</f>
        <v>916</v>
      </c>
      <c r="G922" s="19">
        <f>IFERROR(__xludf.DUMMYFUNCTION("""COMPUTED_VALUE"""),0.00223)</f>
        <v>0.00223</v>
      </c>
      <c r="H922" s="19" t="str">
        <f>IFERROR(__xludf.DUMMYFUNCTION("""COMPUTED_VALUE"""),"-")</f>
        <v>-</v>
      </c>
      <c r="I922" s="19">
        <f>IFERROR(__xludf.DUMMYFUNCTION("""COMPUTED_VALUE"""),0.00208)</f>
        <v>0.00208</v>
      </c>
      <c r="J922" s="19">
        <f>IFERROR(__xludf.DUMMYFUNCTION("""COMPUTED_VALUE"""),0.04747)</f>
        <v>0.04747</v>
      </c>
      <c r="K922" s="19" t="str">
        <f>IFERROR(__xludf.DUMMYFUNCTION("""COMPUTED_VALUE"""),"-")</f>
        <v>-</v>
      </c>
      <c r="L922" s="19">
        <f>IFERROR(__xludf.DUMMYFUNCTION("""COMPUTED_VALUE"""),0.04552)</f>
        <v>0.04552</v>
      </c>
      <c r="O922" s="24">
        <f t="shared" si="4"/>
        <v>0</v>
      </c>
      <c r="P922" s="24"/>
      <c r="Q922" s="24">
        <f t="shared" si="6"/>
        <v>0</v>
      </c>
      <c r="R922" s="24">
        <f t="shared" si="7"/>
        <v>0</v>
      </c>
      <c r="S922" s="24"/>
      <c r="T922" s="24">
        <f t="shared" si="9"/>
        <v>0</v>
      </c>
    </row>
    <row r="923">
      <c r="A923" s="12" t="s">
        <v>1012</v>
      </c>
      <c r="F923" s="19">
        <f>IFERROR(__xludf.DUMMYFUNCTION("SPLIT(A919, "" |"")"),917.0)</f>
        <v>917</v>
      </c>
      <c r="G923" s="19">
        <f>IFERROR(__xludf.DUMMYFUNCTION("""COMPUTED_VALUE"""),0.00229)</f>
        <v>0.00229</v>
      </c>
      <c r="H923" s="19" t="str">
        <f>IFERROR(__xludf.DUMMYFUNCTION("""COMPUTED_VALUE"""),"-")</f>
        <v>-</v>
      </c>
      <c r="I923" s="19">
        <f>IFERROR(__xludf.DUMMYFUNCTION("""COMPUTED_VALUE"""),0.00219)</f>
        <v>0.00219</v>
      </c>
      <c r="J923" s="19">
        <f>IFERROR(__xludf.DUMMYFUNCTION("""COMPUTED_VALUE"""),0.04744)</f>
        <v>0.04744</v>
      </c>
      <c r="K923" s="19" t="str">
        <f>IFERROR(__xludf.DUMMYFUNCTION("""COMPUTED_VALUE"""),"-")</f>
        <v>-</v>
      </c>
      <c r="L923" s="19">
        <f>IFERROR(__xludf.DUMMYFUNCTION("""COMPUTED_VALUE"""),0.04762)</f>
        <v>0.04762</v>
      </c>
      <c r="O923" s="24">
        <f t="shared" si="4"/>
        <v>0</v>
      </c>
      <c r="P923" s="24"/>
      <c r="Q923" s="24">
        <f t="shared" si="6"/>
        <v>0</v>
      </c>
      <c r="R923" s="24">
        <f t="shared" si="7"/>
        <v>0</v>
      </c>
      <c r="S923" s="24"/>
      <c r="T923" s="24">
        <f t="shared" si="9"/>
        <v>0</v>
      </c>
    </row>
    <row r="924">
      <c r="A924" s="12" t="s">
        <v>1013</v>
      </c>
      <c r="F924" s="19">
        <f>IFERROR(__xludf.DUMMYFUNCTION("SPLIT(A920, "" |"")"),918.0)</f>
        <v>918</v>
      </c>
      <c r="G924" s="19">
        <f>IFERROR(__xludf.DUMMYFUNCTION("""COMPUTED_VALUE"""),0.00238)</f>
        <v>0.00238</v>
      </c>
      <c r="H924" s="19" t="str">
        <f>IFERROR(__xludf.DUMMYFUNCTION("""COMPUTED_VALUE"""),"-")</f>
        <v>-</v>
      </c>
      <c r="I924" s="19">
        <f>IFERROR(__xludf.DUMMYFUNCTION("""COMPUTED_VALUE"""),0.00231)</f>
        <v>0.00231</v>
      </c>
      <c r="J924" s="19">
        <f>IFERROR(__xludf.DUMMYFUNCTION("""COMPUTED_VALUE"""),0.04753)</f>
        <v>0.04753</v>
      </c>
      <c r="K924" s="19" t="str">
        <f>IFERROR(__xludf.DUMMYFUNCTION("""COMPUTED_VALUE"""),"-")</f>
        <v>-</v>
      </c>
      <c r="L924" s="19">
        <f>IFERROR(__xludf.DUMMYFUNCTION("""COMPUTED_VALUE"""),0.04766)</f>
        <v>0.04766</v>
      </c>
      <c r="O924" s="24">
        <f t="shared" si="4"/>
        <v>0</v>
      </c>
      <c r="P924" s="24"/>
      <c r="Q924" s="24">
        <f t="shared" si="6"/>
        <v>0</v>
      </c>
      <c r="R924" s="24">
        <f t="shared" si="7"/>
        <v>0</v>
      </c>
      <c r="S924" s="24"/>
      <c r="T924" s="24">
        <f t="shared" si="9"/>
        <v>0</v>
      </c>
    </row>
    <row r="925">
      <c r="A925" s="12" t="s">
        <v>1014</v>
      </c>
      <c r="F925" s="19">
        <f>IFERROR(__xludf.DUMMYFUNCTION("SPLIT(A921, "" |"")"),919.0)</f>
        <v>919</v>
      </c>
      <c r="G925" s="19">
        <f>IFERROR(__xludf.DUMMYFUNCTION("""COMPUTED_VALUE"""),0.00238)</f>
        <v>0.00238</v>
      </c>
      <c r="H925" s="19" t="str">
        <f>IFERROR(__xludf.DUMMYFUNCTION("""COMPUTED_VALUE"""),"-")</f>
        <v>-</v>
      </c>
      <c r="I925" s="19">
        <f>IFERROR(__xludf.DUMMYFUNCTION("""COMPUTED_VALUE"""),0.00223)</f>
        <v>0.00223</v>
      </c>
      <c r="J925" s="19">
        <f>IFERROR(__xludf.DUMMYFUNCTION("""COMPUTED_VALUE"""),0.04752)</f>
        <v>0.04752</v>
      </c>
      <c r="K925" s="19" t="str">
        <f>IFERROR(__xludf.DUMMYFUNCTION("""COMPUTED_VALUE"""),"-")</f>
        <v>-</v>
      </c>
      <c r="L925" s="19">
        <f>IFERROR(__xludf.DUMMYFUNCTION("""COMPUTED_VALUE"""),0.04761)</f>
        <v>0.04761</v>
      </c>
      <c r="O925" s="24">
        <f t="shared" si="4"/>
        <v>0</v>
      </c>
      <c r="P925" s="24"/>
      <c r="Q925" s="24">
        <f t="shared" si="6"/>
        <v>0</v>
      </c>
      <c r="R925" s="24">
        <f t="shared" si="7"/>
        <v>0</v>
      </c>
      <c r="S925" s="24"/>
      <c r="T925" s="24">
        <f t="shared" si="9"/>
        <v>0</v>
      </c>
    </row>
    <row r="926">
      <c r="A926" s="12" t="s">
        <v>1015</v>
      </c>
      <c r="F926" s="19">
        <f>IFERROR(__xludf.DUMMYFUNCTION("SPLIT(A922, "" |"")"),920.0)</f>
        <v>920</v>
      </c>
      <c r="G926" s="19">
        <f>IFERROR(__xludf.DUMMYFUNCTION("""COMPUTED_VALUE"""),0.00231)</f>
        <v>0.00231</v>
      </c>
      <c r="H926" s="19" t="str">
        <f>IFERROR(__xludf.DUMMYFUNCTION("""COMPUTED_VALUE"""),"-")</f>
        <v>-</v>
      </c>
      <c r="I926" s="19">
        <f>IFERROR(__xludf.DUMMYFUNCTION("""COMPUTED_VALUE"""),0.00227)</f>
        <v>0.00227</v>
      </c>
      <c r="J926" s="19">
        <f>IFERROR(__xludf.DUMMYFUNCTION("""COMPUTED_VALUE"""),0.04755)</f>
        <v>0.04755</v>
      </c>
      <c r="K926" s="19" t="str">
        <f>IFERROR(__xludf.DUMMYFUNCTION("""COMPUTED_VALUE"""),"-")</f>
        <v>-</v>
      </c>
      <c r="L926" s="19">
        <f>IFERROR(__xludf.DUMMYFUNCTION("""COMPUTED_VALUE"""),0.04767)</f>
        <v>0.04767</v>
      </c>
      <c r="O926" s="24">
        <f t="shared" si="4"/>
        <v>0</v>
      </c>
      <c r="P926" s="24"/>
      <c r="Q926" s="24">
        <f t="shared" si="6"/>
        <v>0</v>
      </c>
      <c r="R926" s="24">
        <f t="shared" si="7"/>
        <v>0</v>
      </c>
      <c r="S926" s="24"/>
      <c r="T926" s="24">
        <f t="shared" si="9"/>
        <v>0</v>
      </c>
    </row>
    <row r="927">
      <c r="A927" s="12" t="s">
        <v>1016</v>
      </c>
      <c r="F927" s="19">
        <f>IFERROR(__xludf.DUMMYFUNCTION("SPLIT(A923, "" |"")"),921.0)</f>
        <v>921</v>
      </c>
      <c r="G927" s="19">
        <f>IFERROR(__xludf.DUMMYFUNCTION("""COMPUTED_VALUE"""),0.00236)</f>
        <v>0.00236</v>
      </c>
      <c r="H927" s="19" t="str">
        <f>IFERROR(__xludf.DUMMYFUNCTION("""COMPUTED_VALUE"""),"-")</f>
        <v>-</v>
      </c>
      <c r="I927" s="19">
        <f>IFERROR(__xludf.DUMMYFUNCTION("""COMPUTED_VALUE"""),0.0022)</f>
        <v>0.0022</v>
      </c>
      <c r="J927" s="19">
        <f>IFERROR(__xludf.DUMMYFUNCTION("""COMPUTED_VALUE"""),0.04741)</f>
        <v>0.04741</v>
      </c>
      <c r="K927" s="19" t="str">
        <f>IFERROR(__xludf.DUMMYFUNCTION("""COMPUTED_VALUE"""),"-")</f>
        <v>-</v>
      </c>
      <c r="L927" s="19">
        <f>IFERROR(__xludf.DUMMYFUNCTION("""COMPUTED_VALUE"""),0.04759)</f>
        <v>0.04759</v>
      </c>
      <c r="O927" s="24">
        <f t="shared" si="4"/>
        <v>0</v>
      </c>
      <c r="P927" s="24"/>
      <c r="Q927" s="24">
        <f t="shared" si="6"/>
        <v>0</v>
      </c>
      <c r="R927" s="24">
        <f t="shared" si="7"/>
        <v>0</v>
      </c>
      <c r="S927" s="24"/>
      <c r="T927" s="24">
        <f t="shared" si="9"/>
        <v>0</v>
      </c>
    </row>
    <row r="928">
      <c r="A928" s="12" t="s">
        <v>1017</v>
      </c>
      <c r="F928" s="19">
        <f>IFERROR(__xludf.DUMMYFUNCTION("SPLIT(A924, "" |"")"),922.0)</f>
        <v>922</v>
      </c>
      <c r="G928" s="19">
        <f>IFERROR(__xludf.DUMMYFUNCTION("""COMPUTED_VALUE"""),0.00243)</f>
        <v>0.00243</v>
      </c>
      <c r="H928" s="19" t="str">
        <f>IFERROR(__xludf.DUMMYFUNCTION("""COMPUTED_VALUE"""),"-")</f>
        <v>-</v>
      </c>
      <c r="I928" s="19">
        <f>IFERROR(__xludf.DUMMYFUNCTION("""COMPUTED_VALUE"""),0.00226)</f>
        <v>0.00226</v>
      </c>
      <c r="J928" s="19">
        <f>IFERROR(__xludf.DUMMYFUNCTION("""COMPUTED_VALUE"""),0.04748)</f>
        <v>0.04748</v>
      </c>
      <c r="K928" s="19" t="str">
        <f>IFERROR(__xludf.DUMMYFUNCTION("""COMPUTED_VALUE"""),"-")</f>
        <v>-</v>
      </c>
      <c r="L928" s="19">
        <f>IFERROR(__xludf.DUMMYFUNCTION("""COMPUTED_VALUE"""),0.04041)</f>
        <v>0.04041</v>
      </c>
      <c r="O928" s="24">
        <f t="shared" si="4"/>
        <v>0</v>
      </c>
      <c r="P928" s="24"/>
      <c r="Q928" s="24">
        <f t="shared" si="6"/>
        <v>0</v>
      </c>
      <c r="R928" s="24">
        <f t="shared" si="7"/>
        <v>0</v>
      </c>
      <c r="S928" s="24"/>
      <c r="T928" s="24">
        <f t="shared" si="9"/>
        <v>0</v>
      </c>
    </row>
    <row r="929">
      <c r="A929" s="12" t="s">
        <v>1018</v>
      </c>
      <c r="F929" s="19">
        <f>IFERROR(__xludf.DUMMYFUNCTION("SPLIT(A925, "" |"")"),923.0)</f>
        <v>923</v>
      </c>
      <c r="G929" s="19">
        <f>IFERROR(__xludf.DUMMYFUNCTION("""COMPUTED_VALUE"""),0.00245)</f>
        <v>0.00245</v>
      </c>
      <c r="H929" s="19" t="str">
        <f>IFERROR(__xludf.DUMMYFUNCTION("""COMPUTED_VALUE"""),"-")</f>
        <v>-</v>
      </c>
      <c r="I929" s="19">
        <f>IFERROR(__xludf.DUMMYFUNCTION("""COMPUTED_VALUE"""),0.00227)</f>
        <v>0.00227</v>
      </c>
      <c r="J929" s="19">
        <f>IFERROR(__xludf.DUMMYFUNCTION("""COMPUTED_VALUE"""),0.04061)</f>
        <v>0.04061</v>
      </c>
      <c r="K929" s="19" t="str">
        <f>IFERROR(__xludf.DUMMYFUNCTION("""COMPUTED_VALUE"""),"-")</f>
        <v>-</v>
      </c>
      <c r="L929" s="19">
        <f>IFERROR(__xludf.DUMMYFUNCTION("""COMPUTED_VALUE"""),0.04768)</f>
        <v>0.04768</v>
      </c>
      <c r="O929" s="24">
        <f t="shared" si="4"/>
        <v>0</v>
      </c>
      <c r="P929" s="24"/>
      <c r="Q929" s="24">
        <f t="shared" si="6"/>
        <v>0</v>
      </c>
      <c r="R929" s="24">
        <f t="shared" si="7"/>
        <v>1</v>
      </c>
      <c r="S929" s="24"/>
      <c r="T929" s="24">
        <f t="shared" si="9"/>
        <v>0</v>
      </c>
    </row>
    <row r="930">
      <c r="A930" s="12" t="s">
        <v>1019</v>
      </c>
      <c r="F930" s="19">
        <f>IFERROR(__xludf.DUMMYFUNCTION("SPLIT(A926, "" |"")"),924.0)</f>
        <v>924</v>
      </c>
      <c r="G930" s="19">
        <f>IFERROR(__xludf.DUMMYFUNCTION("""COMPUTED_VALUE"""),0.00238)</f>
        <v>0.00238</v>
      </c>
      <c r="H930" s="19" t="str">
        <f>IFERROR(__xludf.DUMMYFUNCTION("""COMPUTED_VALUE"""),"-")</f>
        <v>-</v>
      </c>
      <c r="I930" s="19">
        <f>IFERROR(__xludf.DUMMYFUNCTION("""COMPUTED_VALUE"""),0.00229)</f>
        <v>0.00229</v>
      </c>
      <c r="J930" s="19">
        <f>IFERROR(__xludf.DUMMYFUNCTION("""COMPUTED_VALUE"""),0.04748)</f>
        <v>0.04748</v>
      </c>
      <c r="K930" s="19" t="str">
        <f>IFERROR(__xludf.DUMMYFUNCTION("""COMPUTED_VALUE"""),"-")</f>
        <v>-</v>
      </c>
      <c r="L930" s="19">
        <f>IFERROR(__xludf.DUMMYFUNCTION("""COMPUTED_VALUE"""),0.04781)</f>
        <v>0.04781</v>
      </c>
      <c r="O930" s="24">
        <f t="shared" si="4"/>
        <v>0</v>
      </c>
      <c r="P930" s="24"/>
      <c r="Q930" s="24">
        <f t="shared" si="6"/>
        <v>0</v>
      </c>
      <c r="R930" s="24">
        <f t="shared" si="7"/>
        <v>0</v>
      </c>
      <c r="S930" s="24"/>
      <c r="T930" s="24">
        <f t="shared" si="9"/>
        <v>0</v>
      </c>
    </row>
    <row r="931">
      <c r="A931" s="12" t="s">
        <v>1020</v>
      </c>
      <c r="F931" s="19">
        <f>IFERROR(__xludf.DUMMYFUNCTION("SPLIT(A927, "" |"")"),925.0)</f>
        <v>925</v>
      </c>
      <c r="G931" s="19">
        <f>IFERROR(__xludf.DUMMYFUNCTION("""COMPUTED_VALUE"""),0.00243)</f>
        <v>0.00243</v>
      </c>
      <c r="H931" s="19" t="str">
        <f>IFERROR(__xludf.DUMMYFUNCTION("""COMPUTED_VALUE"""),"-")</f>
        <v>-</v>
      </c>
      <c r="I931" s="19">
        <f>IFERROR(__xludf.DUMMYFUNCTION("""COMPUTED_VALUE"""),0.00226)</f>
        <v>0.00226</v>
      </c>
      <c r="J931" s="19">
        <f>IFERROR(__xludf.DUMMYFUNCTION("""COMPUTED_VALUE"""),0.04748)</f>
        <v>0.04748</v>
      </c>
      <c r="K931" s="19" t="str">
        <f>IFERROR(__xludf.DUMMYFUNCTION("""COMPUTED_VALUE"""),"-")</f>
        <v>-</v>
      </c>
      <c r="L931" s="19">
        <f>IFERROR(__xludf.DUMMYFUNCTION("""COMPUTED_VALUE"""),0.04758)</f>
        <v>0.04758</v>
      </c>
      <c r="O931" s="24">
        <f t="shared" si="4"/>
        <v>0</v>
      </c>
      <c r="P931" s="24"/>
      <c r="Q931" s="24">
        <f t="shared" si="6"/>
        <v>0</v>
      </c>
      <c r="R931" s="24">
        <f t="shared" si="7"/>
        <v>0</v>
      </c>
      <c r="S931" s="24"/>
      <c r="T931" s="24">
        <f t="shared" si="9"/>
        <v>0</v>
      </c>
    </row>
    <row r="932">
      <c r="A932" s="12" t="s">
        <v>1021</v>
      </c>
      <c r="F932" s="19">
        <f>IFERROR(__xludf.DUMMYFUNCTION("SPLIT(A928, "" |"")"),926.0)</f>
        <v>926</v>
      </c>
      <c r="G932" s="19">
        <f>IFERROR(__xludf.DUMMYFUNCTION("""COMPUTED_VALUE"""),0.00241)</f>
        <v>0.00241</v>
      </c>
      <c r="H932" s="19" t="str">
        <f>IFERROR(__xludf.DUMMYFUNCTION("""COMPUTED_VALUE"""),"-")</f>
        <v>-</v>
      </c>
      <c r="I932" s="19">
        <f>IFERROR(__xludf.DUMMYFUNCTION("""COMPUTED_VALUE"""),0.00228)</f>
        <v>0.00228</v>
      </c>
      <c r="J932" s="19">
        <f>IFERROR(__xludf.DUMMYFUNCTION("""COMPUTED_VALUE"""),0.0474)</f>
        <v>0.0474</v>
      </c>
      <c r="K932" s="19" t="str">
        <f>IFERROR(__xludf.DUMMYFUNCTION("""COMPUTED_VALUE"""),"-")</f>
        <v>-</v>
      </c>
      <c r="L932" s="19">
        <f>IFERROR(__xludf.DUMMYFUNCTION("""COMPUTED_VALUE"""),0.04772)</f>
        <v>0.04772</v>
      </c>
      <c r="O932" s="24">
        <f t="shared" si="4"/>
        <v>0</v>
      </c>
      <c r="P932" s="24"/>
      <c r="Q932" s="24">
        <f t="shared" si="6"/>
        <v>0</v>
      </c>
      <c r="R932" s="24">
        <f t="shared" si="7"/>
        <v>0</v>
      </c>
      <c r="S932" s="24"/>
      <c r="T932" s="24">
        <f t="shared" si="9"/>
        <v>0</v>
      </c>
    </row>
    <row r="933">
      <c r="A933" s="12" t="s">
        <v>1022</v>
      </c>
      <c r="F933" s="19">
        <f>IFERROR(__xludf.DUMMYFUNCTION("SPLIT(A929, "" |"")"),927.0)</f>
        <v>927</v>
      </c>
      <c r="G933" s="19">
        <f>IFERROR(__xludf.DUMMYFUNCTION("""COMPUTED_VALUE"""),0.00248)</f>
        <v>0.00248</v>
      </c>
      <c r="H933" s="19" t="str">
        <f>IFERROR(__xludf.DUMMYFUNCTION("""COMPUTED_VALUE"""),"-")</f>
        <v>-</v>
      </c>
      <c r="I933" s="19">
        <f>IFERROR(__xludf.DUMMYFUNCTION("""COMPUTED_VALUE"""),0.00225)</f>
        <v>0.00225</v>
      </c>
      <c r="J933" s="19">
        <f>IFERROR(__xludf.DUMMYFUNCTION("""COMPUTED_VALUE"""),0.04416)</f>
        <v>0.04416</v>
      </c>
      <c r="K933" s="19" t="str">
        <f>IFERROR(__xludf.DUMMYFUNCTION("""COMPUTED_VALUE"""),"-")</f>
        <v>-</v>
      </c>
      <c r="L933" s="19">
        <f>IFERROR(__xludf.DUMMYFUNCTION("""COMPUTED_VALUE"""),0.04527)</f>
        <v>0.04527</v>
      </c>
      <c r="O933" s="24">
        <f t="shared" si="4"/>
        <v>0</v>
      </c>
      <c r="P933" s="24"/>
      <c r="Q933" s="24">
        <f t="shared" si="6"/>
        <v>0</v>
      </c>
      <c r="R933" s="24">
        <f t="shared" si="7"/>
        <v>1</v>
      </c>
      <c r="S933" s="24"/>
      <c r="T933" s="24">
        <f t="shared" si="9"/>
        <v>0</v>
      </c>
    </row>
    <row r="934">
      <c r="A934" s="12" t="s">
        <v>1023</v>
      </c>
      <c r="F934" s="19">
        <f>IFERROR(__xludf.DUMMYFUNCTION("SPLIT(A930, "" |"")"),928.0)</f>
        <v>928</v>
      </c>
      <c r="G934" s="19">
        <f>IFERROR(__xludf.DUMMYFUNCTION("""COMPUTED_VALUE"""),0.00239)</f>
        <v>0.00239</v>
      </c>
      <c r="H934" s="19" t="str">
        <f>IFERROR(__xludf.DUMMYFUNCTION("""COMPUTED_VALUE"""),"-")</f>
        <v>-</v>
      </c>
      <c r="I934" s="19">
        <f>IFERROR(__xludf.DUMMYFUNCTION("""COMPUTED_VALUE"""),0.00229)</f>
        <v>0.00229</v>
      </c>
      <c r="J934" s="19">
        <f>IFERROR(__xludf.DUMMYFUNCTION("""COMPUTED_VALUE"""),0.04481)</f>
        <v>0.04481</v>
      </c>
      <c r="K934" s="19" t="str">
        <f>IFERROR(__xludf.DUMMYFUNCTION("""COMPUTED_VALUE"""),"-")</f>
        <v>-</v>
      </c>
      <c r="L934" s="19">
        <f>IFERROR(__xludf.DUMMYFUNCTION("""COMPUTED_VALUE"""),0.04759)</f>
        <v>0.04759</v>
      </c>
      <c r="O934" s="24">
        <f t="shared" si="4"/>
        <v>0</v>
      </c>
      <c r="P934" s="24"/>
      <c r="Q934" s="24">
        <f t="shared" si="6"/>
        <v>0</v>
      </c>
      <c r="R934" s="24">
        <f t="shared" si="7"/>
        <v>1</v>
      </c>
      <c r="S934" s="24"/>
      <c r="T934" s="24">
        <f t="shared" si="9"/>
        <v>0</v>
      </c>
    </row>
    <row r="935">
      <c r="A935" s="12" t="s">
        <v>1024</v>
      </c>
      <c r="F935" s="19">
        <f>IFERROR(__xludf.DUMMYFUNCTION("SPLIT(A931, "" |"")"),929.0)</f>
        <v>929</v>
      </c>
      <c r="G935" s="19">
        <f>IFERROR(__xludf.DUMMYFUNCTION("""COMPUTED_VALUE"""),0.00242)</f>
        <v>0.00242</v>
      </c>
      <c r="H935" s="19" t="str">
        <f>IFERROR(__xludf.DUMMYFUNCTION("""COMPUTED_VALUE"""),"-")</f>
        <v>-</v>
      </c>
      <c r="I935" s="19">
        <f>IFERROR(__xludf.DUMMYFUNCTION("""COMPUTED_VALUE"""),0.00225)</f>
        <v>0.00225</v>
      </c>
      <c r="J935" s="19">
        <f>IFERROR(__xludf.DUMMYFUNCTION("""COMPUTED_VALUE"""),0.04418)</f>
        <v>0.04418</v>
      </c>
      <c r="K935" s="19" t="str">
        <f>IFERROR(__xludf.DUMMYFUNCTION("""COMPUTED_VALUE"""),"-")</f>
        <v>-</v>
      </c>
      <c r="L935" s="19">
        <f>IFERROR(__xludf.DUMMYFUNCTION("""COMPUTED_VALUE"""),0.04397)</f>
        <v>0.04397</v>
      </c>
      <c r="O935" s="24">
        <f t="shared" si="4"/>
        <v>0</v>
      </c>
      <c r="P935" s="24"/>
      <c r="Q935" s="24">
        <f t="shared" si="6"/>
        <v>0</v>
      </c>
      <c r="R935" s="24">
        <f t="shared" si="7"/>
        <v>1</v>
      </c>
      <c r="S935" s="24"/>
      <c r="T935" s="24">
        <f t="shared" si="9"/>
        <v>0</v>
      </c>
    </row>
    <row r="936">
      <c r="A936" s="12" t="s">
        <v>1025</v>
      </c>
      <c r="F936" s="19">
        <f>IFERROR(__xludf.DUMMYFUNCTION("SPLIT(A932, "" |"")"),930.0)</f>
        <v>930</v>
      </c>
      <c r="G936" s="19">
        <f>IFERROR(__xludf.DUMMYFUNCTION("""COMPUTED_VALUE"""),0.00233)</f>
        <v>0.00233</v>
      </c>
      <c r="H936" s="19" t="str">
        <f>IFERROR(__xludf.DUMMYFUNCTION("""COMPUTED_VALUE"""),"-")</f>
        <v>-</v>
      </c>
      <c r="I936" s="19">
        <f>IFERROR(__xludf.DUMMYFUNCTION("""COMPUTED_VALUE"""),0.00222)</f>
        <v>0.00222</v>
      </c>
      <c r="J936" s="19">
        <f>IFERROR(__xludf.DUMMYFUNCTION("""COMPUTED_VALUE"""),0.04739)</f>
        <v>0.04739</v>
      </c>
      <c r="K936" s="19" t="str">
        <f>IFERROR(__xludf.DUMMYFUNCTION("""COMPUTED_VALUE"""),"-")</f>
        <v>-</v>
      </c>
      <c r="L936" s="19">
        <f>IFERROR(__xludf.DUMMYFUNCTION("""COMPUTED_VALUE"""),0.04804)</f>
        <v>0.04804</v>
      </c>
      <c r="O936" s="24">
        <f t="shared" si="4"/>
        <v>0</v>
      </c>
      <c r="P936" s="24"/>
      <c r="Q936" s="24">
        <f t="shared" si="6"/>
        <v>0</v>
      </c>
      <c r="R936" s="24">
        <f t="shared" si="7"/>
        <v>0</v>
      </c>
      <c r="S936" s="24"/>
      <c r="T936" s="24">
        <f t="shared" si="9"/>
        <v>0</v>
      </c>
    </row>
    <row r="937">
      <c r="A937" s="12" t="s">
        <v>1026</v>
      </c>
      <c r="F937" s="19">
        <f>IFERROR(__xludf.DUMMYFUNCTION("SPLIT(A933, "" |"")"),931.0)</f>
        <v>931</v>
      </c>
      <c r="G937" s="19">
        <f>IFERROR(__xludf.DUMMYFUNCTION("""COMPUTED_VALUE"""),0.00243)</f>
        <v>0.00243</v>
      </c>
      <c r="H937" s="19" t="str">
        <f>IFERROR(__xludf.DUMMYFUNCTION("""COMPUTED_VALUE"""),"-")</f>
        <v>-</v>
      </c>
      <c r="I937" s="19">
        <f>IFERROR(__xludf.DUMMYFUNCTION("""COMPUTED_VALUE"""),0.00229)</f>
        <v>0.00229</v>
      </c>
      <c r="J937" s="19">
        <f>IFERROR(__xludf.DUMMYFUNCTION("""COMPUTED_VALUE"""),0.04753)</f>
        <v>0.04753</v>
      </c>
      <c r="K937" s="19" t="str">
        <f>IFERROR(__xludf.DUMMYFUNCTION("""COMPUTED_VALUE"""),"-")</f>
        <v>-</v>
      </c>
      <c r="L937" s="19">
        <f>IFERROR(__xludf.DUMMYFUNCTION("""COMPUTED_VALUE"""),0.0476)</f>
        <v>0.0476</v>
      </c>
      <c r="O937" s="24">
        <f t="shared" si="4"/>
        <v>0</v>
      </c>
      <c r="P937" s="24"/>
      <c r="Q937" s="24">
        <f t="shared" si="6"/>
        <v>0</v>
      </c>
      <c r="R937" s="24">
        <f t="shared" si="7"/>
        <v>0</v>
      </c>
      <c r="S937" s="24"/>
      <c r="T937" s="24">
        <f t="shared" si="9"/>
        <v>0</v>
      </c>
    </row>
    <row r="938">
      <c r="A938" s="12" t="s">
        <v>1027</v>
      </c>
      <c r="F938" s="19">
        <f>IFERROR(__xludf.DUMMYFUNCTION("SPLIT(A934, "" |"")"),932.0)</f>
        <v>932</v>
      </c>
      <c r="G938" s="19">
        <f>IFERROR(__xludf.DUMMYFUNCTION("""COMPUTED_VALUE"""),0.00236)</f>
        <v>0.00236</v>
      </c>
      <c r="H938" s="19" t="str">
        <f>IFERROR(__xludf.DUMMYFUNCTION("""COMPUTED_VALUE"""),"-")</f>
        <v>-</v>
      </c>
      <c r="I938" s="19">
        <f>IFERROR(__xludf.DUMMYFUNCTION("""COMPUTED_VALUE"""),0.00226)</f>
        <v>0.00226</v>
      </c>
      <c r="J938" s="19">
        <f>IFERROR(__xludf.DUMMYFUNCTION("""COMPUTED_VALUE"""),0.04743)</f>
        <v>0.04743</v>
      </c>
      <c r="K938" s="19" t="str">
        <f>IFERROR(__xludf.DUMMYFUNCTION("""COMPUTED_VALUE"""),"-")</f>
        <v>-</v>
      </c>
      <c r="L938" s="19">
        <f>IFERROR(__xludf.DUMMYFUNCTION("""COMPUTED_VALUE"""),0.04766)</f>
        <v>0.04766</v>
      </c>
      <c r="O938" s="24">
        <f t="shared" si="4"/>
        <v>0</v>
      </c>
      <c r="P938" s="24"/>
      <c r="Q938" s="24">
        <f t="shared" si="6"/>
        <v>0</v>
      </c>
      <c r="R938" s="24">
        <f t="shared" si="7"/>
        <v>0</v>
      </c>
      <c r="S938" s="24"/>
      <c r="T938" s="24">
        <f t="shared" si="9"/>
        <v>0</v>
      </c>
    </row>
    <row r="939">
      <c r="A939" s="12" t="s">
        <v>1028</v>
      </c>
      <c r="F939" s="19">
        <f>IFERROR(__xludf.DUMMYFUNCTION("SPLIT(A935, "" |"")"),933.0)</f>
        <v>933</v>
      </c>
      <c r="G939" s="19">
        <f>IFERROR(__xludf.DUMMYFUNCTION("""COMPUTED_VALUE"""),0.00243)</f>
        <v>0.00243</v>
      </c>
      <c r="H939" s="19" t="str">
        <f>IFERROR(__xludf.DUMMYFUNCTION("""COMPUTED_VALUE"""),"-")</f>
        <v>-</v>
      </c>
      <c r="I939" s="19">
        <f>IFERROR(__xludf.DUMMYFUNCTION("""COMPUTED_VALUE"""),0.00218)</f>
        <v>0.00218</v>
      </c>
      <c r="J939" s="19">
        <f>IFERROR(__xludf.DUMMYFUNCTION("""COMPUTED_VALUE"""),0.04603)</f>
        <v>0.04603</v>
      </c>
      <c r="K939" s="19" t="str">
        <f>IFERROR(__xludf.DUMMYFUNCTION("""COMPUTED_VALUE"""),"-")</f>
        <v>-</v>
      </c>
      <c r="L939" s="19">
        <f>IFERROR(__xludf.DUMMYFUNCTION("""COMPUTED_VALUE"""),0.04384)</f>
        <v>0.04384</v>
      </c>
      <c r="O939" s="24">
        <f t="shared" si="4"/>
        <v>0</v>
      </c>
      <c r="P939" s="24"/>
      <c r="Q939" s="24">
        <f t="shared" si="6"/>
        <v>0</v>
      </c>
      <c r="R939" s="24">
        <f t="shared" si="7"/>
        <v>0</v>
      </c>
      <c r="S939" s="24"/>
      <c r="T939" s="24">
        <f t="shared" si="9"/>
        <v>0</v>
      </c>
    </row>
    <row r="940">
      <c r="A940" s="12" t="s">
        <v>1029</v>
      </c>
      <c r="F940" s="19">
        <f>IFERROR(__xludf.DUMMYFUNCTION("SPLIT(A936, "" |"")"),934.0)</f>
        <v>934</v>
      </c>
      <c r="G940" s="19">
        <f>IFERROR(__xludf.DUMMYFUNCTION("""COMPUTED_VALUE"""),0.00241)</f>
        <v>0.00241</v>
      </c>
      <c r="H940" s="19" t="str">
        <f>IFERROR(__xludf.DUMMYFUNCTION("""COMPUTED_VALUE"""),"-")</f>
        <v>-</v>
      </c>
      <c r="I940" s="19">
        <f>IFERROR(__xludf.DUMMYFUNCTION("""COMPUTED_VALUE"""),0.00224)</f>
        <v>0.00224</v>
      </c>
      <c r="J940" s="19">
        <f>IFERROR(__xludf.DUMMYFUNCTION("""COMPUTED_VALUE"""),0.04411)</f>
        <v>0.04411</v>
      </c>
      <c r="K940" s="19" t="str">
        <f>IFERROR(__xludf.DUMMYFUNCTION("""COMPUTED_VALUE"""),"-")</f>
        <v>-</v>
      </c>
      <c r="L940" s="19">
        <f>IFERROR(__xludf.DUMMYFUNCTION("""COMPUTED_VALUE"""),0.04767)</f>
        <v>0.04767</v>
      </c>
      <c r="O940" s="24">
        <f t="shared" si="4"/>
        <v>0</v>
      </c>
      <c r="P940" s="24"/>
      <c r="Q940" s="24">
        <f t="shared" si="6"/>
        <v>0</v>
      </c>
      <c r="R940" s="24">
        <f t="shared" si="7"/>
        <v>1</v>
      </c>
      <c r="S940" s="24"/>
      <c r="T940" s="24">
        <f t="shared" si="9"/>
        <v>0</v>
      </c>
    </row>
    <row r="941">
      <c r="A941" s="12" t="s">
        <v>1030</v>
      </c>
      <c r="F941" s="19">
        <f>IFERROR(__xludf.DUMMYFUNCTION("SPLIT(A937, "" |"")"),935.0)</f>
        <v>935</v>
      </c>
      <c r="G941" s="19">
        <f>IFERROR(__xludf.DUMMYFUNCTION("""COMPUTED_VALUE"""),0.00237)</f>
        <v>0.00237</v>
      </c>
      <c r="H941" s="19" t="str">
        <f>IFERROR(__xludf.DUMMYFUNCTION("""COMPUTED_VALUE"""),"-")</f>
        <v>-</v>
      </c>
      <c r="I941" s="19">
        <f>IFERROR(__xludf.DUMMYFUNCTION("""COMPUTED_VALUE"""),0.00223)</f>
        <v>0.00223</v>
      </c>
      <c r="J941" s="19">
        <f>IFERROR(__xludf.DUMMYFUNCTION("""COMPUTED_VALUE"""),0.0475)</f>
        <v>0.0475</v>
      </c>
      <c r="K941" s="19" t="str">
        <f>IFERROR(__xludf.DUMMYFUNCTION("""COMPUTED_VALUE"""),"-")</f>
        <v>-</v>
      </c>
      <c r="L941" s="19">
        <f>IFERROR(__xludf.DUMMYFUNCTION("""COMPUTED_VALUE"""),0.04762)</f>
        <v>0.04762</v>
      </c>
      <c r="O941" s="24">
        <f t="shared" si="4"/>
        <v>0</v>
      </c>
      <c r="P941" s="24"/>
      <c r="Q941" s="24">
        <f t="shared" si="6"/>
        <v>0</v>
      </c>
      <c r="R941" s="24">
        <f t="shared" si="7"/>
        <v>0</v>
      </c>
      <c r="S941" s="24"/>
      <c r="T941" s="24">
        <f t="shared" si="9"/>
        <v>0</v>
      </c>
    </row>
    <row r="942">
      <c r="A942" s="12" t="s">
        <v>1031</v>
      </c>
      <c r="F942" s="19">
        <f>IFERROR(__xludf.DUMMYFUNCTION("SPLIT(A938, "" |"")"),936.0)</f>
        <v>936</v>
      </c>
      <c r="G942" s="19">
        <f>IFERROR(__xludf.DUMMYFUNCTION("""COMPUTED_VALUE"""),0.00233)</f>
        <v>0.00233</v>
      </c>
      <c r="H942" s="19" t="str">
        <f>IFERROR(__xludf.DUMMYFUNCTION("""COMPUTED_VALUE"""),"-")</f>
        <v>-</v>
      </c>
      <c r="I942" s="19">
        <f>IFERROR(__xludf.DUMMYFUNCTION("""COMPUTED_VALUE"""),0.00212)</f>
        <v>0.00212</v>
      </c>
      <c r="J942" s="19">
        <f>IFERROR(__xludf.DUMMYFUNCTION("""COMPUTED_VALUE"""),0.04737)</f>
        <v>0.04737</v>
      </c>
      <c r="K942" s="19" t="str">
        <f>IFERROR(__xludf.DUMMYFUNCTION("""COMPUTED_VALUE"""),"-")</f>
        <v>-</v>
      </c>
      <c r="L942" s="19">
        <f>IFERROR(__xludf.DUMMYFUNCTION("""COMPUTED_VALUE"""),0.0476)</f>
        <v>0.0476</v>
      </c>
      <c r="O942" s="24">
        <f t="shared" si="4"/>
        <v>0</v>
      </c>
      <c r="P942" s="24"/>
      <c r="Q942" s="24">
        <f t="shared" si="6"/>
        <v>0</v>
      </c>
      <c r="R942" s="24">
        <f t="shared" si="7"/>
        <v>0</v>
      </c>
      <c r="S942" s="24"/>
      <c r="T942" s="24">
        <f t="shared" si="9"/>
        <v>0</v>
      </c>
    </row>
    <row r="943">
      <c r="A943" s="12" t="s">
        <v>1032</v>
      </c>
      <c r="F943" s="19">
        <f>IFERROR(__xludf.DUMMYFUNCTION("SPLIT(A939, "" |"")"),937.0)</f>
        <v>937</v>
      </c>
      <c r="G943" s="19">
        <f>IFERROR(__xludf.DUMMYFUNCTION("""COMPUTED_VALUE"""),0.00243)</f>
        <v>0.00243</v>
      </c>
      <c r="H943" s="19" t="str">
        <f>IFERROR(__xludf.DUMMYFUNCTION("""COMPUTED_VALUE"""),"-")</f>
        <v>-</v>
      </c>
      <c r="I943" s="19">
        <f>IFERROR(__xludf.DUMMYFUNCTION("""COMPUTED_VALUE"""),0.00224)</f>
        <v>0.00224</v>
      </c>
      <c r="J943" s="19">
        <f>IFERROR(__xludf.DUMMYFUNCTION("""COMPUTED_VALUE"""),0.04751)</f>
        <v>0.04751</v>
      </c>
      <c r="K943" s="19" t="str">
        <f>IFERROR(__xludf.DUMMYFUNCTION("""COMPUTED_VALUE"""),"-")</f>
        <v>-</v>
      </c>
      <c r="L943" s="19">
        <f>IFERROR(__xludf.DUMMYFUNCTION("""COMPUTED_VALUE"""),0.04751)</f>
        <v>0.04751</v>
      </c>
      <c r="O943" s="24">
        <f t="shared" si="4"/>
        <v>0</v>
      </c>
      <c r="P943" s="24"/>
      <c r="Q943" s="24">
        <f t="shared" si="6"/>
        <v>0</v>
      </c>
      <c r="R943" s="24">
        <f t="shared" si="7"/>
        <v>0</v>
      </c>
      <c r="S943" s="24"/>
      <c r="T943" s="24">
        <f t="shared" si="9"/>
        <v>0</v>
      </c>
    </row>
    <row r="944">
      <c r="A944" s="12" t="s">
        <v>1033</v>
      </c>
      <c r="F944" s="19">
        <f>IFERROR(__xludf.DUMMYFUNCTION("SPLIT(A940, "" |"")"),938.0)</f>
        <v>938</v>
      </c>
      <c r="G944" s="19">
        <f>IFERROR(__xludf.DUMMYFUNCTION("""COMPUTED_VALUE"""),0.00242)</f>
        <v>0.00242</v>
      </c>
      <c r="H944" s="19" t="str">
        <f>IFERROR(__xludf.DUMMYFUNCTION("""COMPUTED_VALUE"""),"-")</f>
        <v>-</v>
      </c>
      <c r="I944" s="19">
        <f>IFERROR(__xludf.DUMMYFUNCTION("""COMPUTED_VALUE"""),0.00228)</f>
        <v>0.00228</v>
      </c>
      <c r="J944" s="19">
        <f>IFERROR(__xludf.DUMMYFUNCTION("""COMPUTED_VALUE"""),0.04623)</f>
        <v>0.04623</v>
      </c>
      <c r="K944" s="19" t="str">
        <f>IFERROR(__xludf.DUMMYFUNCTION("""COMPUTED_VALUE"""),"-")</f>
        <v>-</v>
      </c>
      <c r="L944" s="19">
        <f>IFERROR(__xludf.DUMMYFUNCTION("""COMPUTED_VALUE"""),0.04429)</f>
        <v>0.04429</v>
      </c>
      <c r="O944" s="24">
        <f t="shared" si="4"/>
        <v>0</v>
      </c>
      <c r="P944" s="24"/>
      <c r="Q944" s="24">
        <f t="shared" si="6"/>
        <v>0</v>
      </c>
      <c r="R944" s="24">
        <f t="shared" si="7"/>
        <v>0</v>
      </c>
      <c r="S944" s="24"/>
      <c r="T944" s="24">
        <f t="shared" si="9"/>
        <v>0</v>
      </c>
    </row>
    <row r="945">
      <c r="A945" s="12" t="s">
        <v>1034</v>
      </c>
      <c r="F945" s="19">
        <f>IFERROR(__xludf.DUMMYFUNCTION("SPLIT(A941, "" |"")"),939.0)</f>
        <v>939</v>
      </c>
      <c r="G945" s="19">
        <f>IFERROR(__xludf.DUMMYFUNCTION("""COMPUTED_VALUE"""),0.0023)</f>
        <v>0.0023</v>
      </c>
      <c r="H945" s="19" t="str">
        <f>IFERROR(__xludf.DUMMYFUNCTION("""COMPUTED_VALUE"""),"-")</f>
        <v>-</v>
      </c>
      <c r="I945" s="19">
        <f>IFERROR(__xludf.DUMMYFUNCTION("""COMPUTED_VALUE"""),0.00219)</f>
        <v>0.00219</v>
      </c>
      <c r="J945" s="19">
        <f>IFERROR(__xludf.DUMMYFUNCTION("""COMPUTED_VALUE"""),0.04734)</f>
        <v>0.04734</v>
      </c>
      <c r="K945" s="19" t="str">
        <f>IFERROR(__xludf.DUMMYFUNCTION("""COMPUTED_VALUE"""),"-")</f>
        <v>-</v>
      </c>
      <c r="L945" s="19">
        <f>IFERROR(__xludf.DUMMYFUNCTION("""COMPUTED_VALUE"""),0.04769)</f>
        <v>0.04769</v>
      </c>
      <c r="O945" s="24">
        <f t="shared" si="4"/>
        <v>0</v>
      </c>
      <c r="P945" s="24"/>
      <c r="Q945" s="24">
        <f t="shared" si="6"/>
        <v>0</v>
      </c>
      <c r="R945" s="24">
        <f t="shared" si="7"/>
        <v>0</v>
      </c>
      <c r="S945" s="24"/>
      <c r="T945" s="24">
        <f t="shared" si="9"/>
        <v>0</v>
      </c>
    </row>
    <row r="946">
      <c r="A946" s="12" t="s">
        <v>1035</v>
      </c>
      <c r="F946" s="19">
        <f>IFERROR(__xludf.DUMMYFUNCTION("SPLIT(A942, "" |"")"),940.0)</f>
        <v>940</v>
      </c>
      <c r="G946" s="19">
        <f>IFERROR(__xludf.DUMMYFUNCTION("""COMPUTED_VALUE"""),0.00234)</f>
        <v>0.00234</v>
      </c>
      <c r="H946" s="19" t="str">
        <f>IFERROR(__xludf.DUMMYFUNCTION("""COMPUTED_VALUE"""),"-")</f>
        <v>-</v>
      </c>
      <c r="I946" s="19">
        <f>IFERROR(__xludf.DUMMYFUNCTION("""COMPUTED_VALUE"""),0.00221)</f>
        <v>0.00221</v>
      </c>
      <c r="J946" s="19">
        <f>IFERROR(__xludf.DUMMYFUNCTION("""COMPUTED_VALUE"""),0.04747)</f>
        <v>0.04747</v>
      </c>
      <c r="K946" s="19" t="str">
        <f>IFERROR(__xludf.DUMMYFUNCTION("""COMPUTED_VALUE"""),"-")</f>
        <v>-</v>
      </c>
      <c r="L946" s="19">
        <f>IFERROR(__xludf.DUMMYFUNCTION("""COMPUTED_VALUE"""),0.04762)</f>
        <v>0.04762</v>
      </c>
      <c r="O946" s="24">
        <f t="shared" si="4"/>
        <v>0</v>
      </c>
      <c r="P946" s="24"/>
      <c r="Q946" s="24">
        <f t="shared" si="6"/>
        <v>0</v>
      </c>
      <c r="R946" s="24">
        <f t="shared" si="7"/>
        <v>0</v>
      </c>
      <c r="S946" s="24"/>
      <c r="T946" s="24">
        <f t="shared" si="9"/>
        <v>0</v>
      </c>
    </row>
    <row r="947">
      <c r="A947" s="12" t="s">
        <v>1036</v>
      </c>
      <c r="F947" s="19">
        <f>IFERROR(__xludf.DUMMYFUNCTION("SPLIT(A943, "" |"")"),941.0)</f>
        <v>941</v>
      </c>
      <c r="G947" s="19">
        <f>IFERROR(__xludf.DUMMYFUNCTION("""COMPUTED_VALUE"""),0.0025)</f>
        <v>0.0025</v>
      </c>
      <c r="H947" s="19" t="str">
        <f>IFERROR(__xludf.DUMMYFUNCTION("""COMPUTED_VALUE"""),"-")</f>
        <v>-</v>
      </c>
      <c r="I947" s="19">
        <f>IFERROR(__xludf.DUMMYFUNCTION("""COMPUTED_VALUE"""),0.00218)</f>
        <v>0.00218</v>
      </c>
      <c r="J947" s="19">
        <f>IFERROR(__xludf.DUMMYFUNCTION("""COMPUTED_VALUE"""),0.04738)</f>
        <v>0.04738</v>
      </c>
      <c r="K947" s="19" t="str">
        <f>IFERROR(__xludf.DUMMYFUNCTION("""COMPUTED_VALUE"""),"-")</f>
        <v>-</v>
      </c>
      <c r="L947" s="19">
        <f>IFERROR(__xludf.DUMMYFUNCTION("""COMPUTED_VALUE"""),0.04757)</f>
        <v>0.04757</v>
      </c>
      <c r="O947" s="24">
        <f t="shared" si="4"/>
        <v>0</v>
      </c>
      <c r="P947" s="24"/>
      <c r="Q947" s="24">
        <f t="shared" si="6"/>
        <v>0</v>
      </c>
      <c r="R947" s="24">
        <f t="shared" si="7"/>
        <v>0</v>
      </c>
      <c r="S947" s="24"/>
      <c r="T947" s="24">
        <f t="shared" si="9"/>
        <v>0</v>
      </c>
    </row>
    <row r="948">
      <c r="A948" s="12" t="s">
        <v>1037</v>
      </c>
      <c r="F948" s="19">
        <f>IFERROR(__xludf.DUMMYFUNCTION("SPLIT(A944, "" |"")"),942.0)</f>
        <v>942</v>
      </c>
      <c r="G948" s="19">
        <f>IFERROR(__xludf.DUMMYFUNCTION("""COMPUTED_VALUE"""),0.0023)</f>
        <v>0.0023</v>
      </c>
      <c r="H948" s="19" t="str">
        <f>IFERROR(__xludf.DUMMYFUNCTION("""COMPUTED_VALUE"""),"-")</f>
        <v>-</v>
      </c>
      <c r="I948" s="19">
        <f>IFERROR(__xludf.DUMMYFUNCTION("""COMPUTED_VALUE"""),0.00216)</f>
        <v>0.00216</v>
      </c>
      <c r="J948" s="19">
        <f>IFERROR(__xludf.DUMMYFUNCTION("""COMPUTED_VALUE"""),0.04521)</f>
        <v>0.04521</v>
      </c>
      <c r="K948" s="19" t="str">
        <f>IFERROR(__xludf.DUMMYFUNCTION("""COMPUTED_VALUE"""),"-")</f>
        <v>-</v>
      </c>
      <c r="L948" s="19">
        <f>IFERROR(__xludf.DUMMYFUNCTION("""COMPUTED_VALUE"""),0.04759)</f>
        <v>0.04759</v>
      </c>
      <c r="O948" s="24">
        <f t="shared" si="4"/>
        <v>0</v>
      </c>
      <c r="P948" s="24"/>
      <c r="Q948" s="24">
        <f t="shared" si="6"/>
        <v>0</v>
      </c>
      <c r="R948" s="24">
        <f t="shared" si="7"/>
        <v>0</v>
      </c>
      <c r="S948" s="24"/>
      <c r="T948" s="24">
        <f t="shared" si="9"/>
        <v>0</v>
      </c>
    </row>
    <row r="949">
      <c r="A949" s="12" t="s">
        <v>1038</v>
      </c>
      <c r="F949" s="19">
        <f>IFERROR(__xludf.DUMMYFUNCTION("SPLIT(A945, "" |"")"),943.0)</f>
        <v>943</v>
      </c>
      <c r="G949" s="19">
        <f>IFERROR(__xludf.DUMMYFUNCTION("""COMPUTED_VALUE"""),0.00231)</f>
        <v>0.00231</v>
      </c>
      <c r="H949" s="19" t="str">
        <f>IFERROR(__xludf.DUMMYFUNCTION("""COMPUTED_VALUE"""),"-")</f>
        <v>-</v>
      </c>
      <c r="I949" s="19">
        <f>IFERROR(__xludf.DUMMYFUNCTION("""COMPUTED_VALUE"""),0.0022)</f>
        <v>0.0022</v>
      </c>
      <c r="J949" s="19">
        <f>IFERROR(__xludf.DUMMYFUNCTION("""COMPUTED_VALUE"""),0.0474)</f>
        <v>0.0474</v>
      </c>
      <c r="K949" s="19" t="str">
        <f>IFERROR(__xludf.DUMMYFUNCTION("""COMPUTED_VALUE"""),"-")</f>
        <v>-</v>
      </c>
      <c r="L949" s="19">
        <f>IFERROR(__xludf.DUMMYFUNCTION("""COMPUTED_VALUE"""),0.04773)</f>
        <v>0.04773</v>
      </c>
      <c r="O949" s="24">
        <f t="shared" si="4"/>
        <v>0</v>
      </c>
      <c r="P949" s="24"/>
      <c r="Q949" s="24">
        <f t="shared" si="6"/>
        <v>0</v>
      </c>
      <c r="R949" s="24">
        <f t="shared" si="7"/>
        <v>0</v>
      </c>
      <c r="S949" s="24"/>
      <c r="T949" s="24">
        <f t="shared" si="9"/>
        <v>0</v>
      </c>
    </row>
    <row r="950">
      <c r="A950" s="12" t="s">
        <v>1039</v>
      </c>
      <c r="F950" s="19">
        <f>IFERROR(__xludf.DUMMYFUNCTION("SPLIT(A946, "" |"")"),944.0)</f>
        <v>944</v>
      </c>
      <c r="G950" s="19">
        <f>IFERROR(__xludf.DUMMYFUNCTION("""COMPUTED_VALUE"""),0.00239)</f>
        <v>0.00239</v>
      </c>
      <c r="H950" s="19" t="str">
        <f>IFERROR(__xludf.DUMMYFUNCTION("""COMPUTED_VALUE"""),"-")</f>
        <v>-</v>
      </c>
      <c r="I950" s="19">
        <f>IFERROR(__xludf.DUMMYFUNCTION("""COMPUTED_VALUE"""),0.00226)</f>
        <v>0.00226</v>
      </c>
      <c r="J950" s="19">
        <f>IFERROR(__xludf.DUMMYFUNCTION("""COMPUTED_VALUE"""),0.04749)</f>
        <v>0.04749</v>
      </c>
      <c r="K950" s="19" t="str">
        <f>IFERROR(__xludf.DUMMYFUNCTION("""COMPUTED_VALUE"""),"-")</f>
        <v>-</v>
      </c>
      <c r="L950" s="19">
        <f>IFERROR(__xludf.DUMMYFUNCTION("""COMPUTED_VALUE"""),0.04212)</f>
        <v>0.04212</v>
      </c>
      <c r="O950" s="24">
        <f t="shared" si="4"/>
        <v>0</v>
      </c>
      <c r="P950" s="24"/>
      <c r="Q950" s="24">
        <f t="shared" si="6"/>
        <v>0</v>
      </c>
      <c r="R950" s="24">
        <f t="shared" si="7"/>
        <v>0</v>
      </c>
      <c r="S950" s="24"/>
      <c r="T950" s="24">
        <f t="shared" si="9"/>
        <v>0</v>
      </c>
    </row>
    <row r="951">
      <c r="A951" s="12" t="s">
        <v>1040</v>
      </c>
      <c r="F951" s="19">
        <f>IFERROR(__xludf.DUMMYFUNCTION("SPLIT(A947, "" |"")"),945.0)</f>
        <v>945</v>
      </c>
      <c r="G951" s="19">
        <f>IFERROR(__xludf.DUMMYFUNCTION("""COMPUTED_VALUE"""),0.00235)</f>
        <v>0.00235</v>
      </c>
      <c r="H951" s="19" t="str">
        <f>IFERROR(__xludf.DUMMYFUNCTION("""COMPUTED_VALUE"""),"-")</f>
        <v>-</v>
      </c>
      <c r="I951" s="19">
        <f>IFERROR(__xludf.DUMMYFUNCTION("""COMPUTED_VALUE"""),0.00223)</f>
        <v>0.00223</v>
      </c>
      <c r="J951" s="19">
        <f>IFERROR(__xludf.DUMMYFUNCTION("""COMPUTED_VALUE"""),0.04745)</f>
        <v>0.04745</v>
      </c>
      <c r="K951" s="19" t="str">
        <f>IFERROR(__xludf.DUMMYFUNCTION("""COMPUTED_VALUE"""),"-")</f>
        <v>-</v>
      </c>
      <c r="L951" s="19">
        <f>IFERROR(__xludf.DUMMYFUNCTION("""COMPUTED_VALUE"""),0.04297)</f>
        <v>0.04297</v>
      </c>
      <c r="O951" s="24">
        <f t="shared" si="4"/>
        <v>0</v>
      </c>
      <c r="P951" s="24"/>
      <c r="Q951" s="24">
        <f t="shared" si="6"/>
        <v>0</v>
      </c>
      <c r="R951" s="24">
        <f t="shared" si="7"/>
        <v>0</v>
      </c>
      <c r="S951" s="24"/>
      <c r="T951" s="24">
        <f t="shared" si="9"/>
        <v>0</v>
      </c>
    </row>
    <row r="952">
      <c r="A952" s="12" t="s">
        <v>1041</v>
      </c>
      <c r="F952" s="19">
        <f>IFERROR(__xludf.DUMMYFUNCTION("SPLIT(A948, "" |"")"),946.0)</f>
        <v>946</v>
      </c>
      <c r="G952" s="19">
        <f>IFERROR(__xludf.DUMMYFUNCTION("""COMPUTED_VALUE"""),0.00228)</f>
        <v>0.00228</v>
      </c>
      <c r="H952" s="19" t="str">
        <f>IFERROR(__xludf.DUMMYFUNCTION("""COMPUTED_VALUE"""),"-")</f>
        <v>-</v>
      </c>
      <c r="I952" s="19">
        <f>IFERROR(__xludf.DUMMYFUNCTION("""COMPUTED_VALUE"""),0.00225)</f>
        <v>0.00225</v>
      </c>
      <c r="J952" s="19">
        <f>IFERROR(__xludf.DUMMYFUNCTION("""COMPUTED_VALUE"""),0.04738)</f>
        <v>0.04738</v>
      </c>
      <c r="K952" s="19" t="str">
        <f>IFERROR(__xludf.DUMMYFUNCTION("""COMPUTED_VALUE"""),"-")</f>
        <v>-</v>
      </c>
      <c r="L952" s="19">
        <f>IFERROR(__xludf.DUMMYFUNCTION("""COMPUTED_VALUE"""),0.04765)</f>
        <v>0.04765</v>
      </c>
      <c r="O952" s="24">
        <f t="shared" si="4"/>
        <v>0</v>
      </c>
      <c r="P952" s="24"/>
      <c r="Q952" s="24">
        <f t="shared" si="6"/>
        <v>0</v>
      </c>
      <c r="R952" s="24">
        <f t="shared" si="7"/>
        <v>0</v>
      </c>
      <c r="S952" s="24"/>
      <c r="T952" s="24">
        <f t="shared" si="9"/>
        <v>0</v>
      </c>
    </row>
    <row r="953">
      <c r="A953" s="12" t="s">
        <v>1042</v>
      </c>
      <c r="F953" s="19">
        <f>IFERROR(__xludf.DUMMYFUNCTION("SPLIT(A949, "" |"")"),947.0)</f>
        <v>947</v>
      </c>
      <c r="G953" s="19">
        <f>IFERROR(__xludf.DUMMYFUNCTION("""COMPUTED_VALUE"""),0.00238)</f>
        <v>0.00238</v>
      </c>
      <c r="H953" s="19" t="str">
        <f>IFERROR(__xludf.DUMMYFUNCTION("""COMPUTED_VALUE"""),"-")</f>
        <v>-</v>
      </c>
      <c r="I953" s="19">
        <f>IFERROR(__xludf.DUMMYFUNCTION("""COMPUTED_VALUE"""),0.00221)</f>
        <v>0.00221</v>
      </c>
      <c r="J953" s="19">
        <f>IFERROR(__xludf.DUMMYFUNCTION("""COMPUTED_VALUE"""),0.04463)</f>
        <v>0.04463</v>
      </c>
      <c r="K953" s="19" t="str">
        <f>IFERROR(__xludf.DUMMYFUNCTION("""COMPUTED_VALUE"""),"-")</f>
        <v>-</v>
      </c>
      <c r="L953" s="19">
        <f>IFERROR(__xludf.DUMMYFUNCTION("""COMPUTED_VALUE"""),0.04761)</f>
        <v>0.04761</v>
      </c>
      <c r="O953" s="24">
        <f t="shared" si="4"/>
        <v>0</v>
      </c>
      <c r="P953" s="24"/>
      <c r="Q953" s="24">
        <f t="shared" si="6"/>
        <v>0</v>
      </c>
      <c r="R953" s="24">
        <f t="shared" si="7"/>
        <v>1</v>
      </c>
      <c r="S953" s="24"/>
      <c r="T953" s="24">
        <f t="shared" si="9"/>
        <v>0</v>
      </c>
    </row>
    <row r="954">
      <c r="A954" s="12" t="s">
        <v>1043</v>
      </c>
      <c r="F954" s="19">
        <f>IFERROR(__xludf.DUMMYFUNCTION("SPLIT(A950, "" |"")"),948.0)</f>
        <v>948</v>
      </c>
      <c r="G954" s="19">
        <f>IFERROR(__xludf.DUMMYFUNCTION("""COMPUTED_VALUE"""),0.00249)</f>
        <v>0.00249</v>
      </c>
      <c r="H954" s="19" t="str">
        <f>IFERROR(__xludf.DUMMYFUNCTION("""COMPUTED_VALUE"""),"-")</f>
        <v>-</v>
      </c>
      <c r="I954" s="19">
        <f>IFERROR(__xludf.DUMMYFUNCTION("""COMPUTED_VALUE"""),0.00226)</f>
        <v>0.00226</v>
      </c>
      <c r="J954" s="19">
        <f>IFERROR(__xludf.DUMMYFUNCTION("""COMPUTED_VALUE"""),0.04526)</f>
        <v>0.04526</v>
      </c>
      <c r="K954" s="19" t="str">
        <f>IFERROR(__xludf.DUMMYFUNCTION("""COMPUTED_VALUE"""),"-")</f>
        <v>-</v>
      </c>
      <c r="L954" s="19">
        <f>IFERROR(__xludf.DUMMYFUNCTION("""COMPUTED_VALUE"""),0.04293)</f>
        <v>0.04293</v>
      </c>
      <c r="O954" s="24">
        <f t="shared" si="4"/>
        <v>0</v>
      </c>
      <c r="P954" s="24"/>
      <c r="Q954" s="24">
        <f t="shared" si="6"/>
        <v>0</v>
      </c>
      <c r="R954" s="24">
        <f t="shared" si="7"/>
        <v>0</v>
      </c>
      <c r="S954" s="24"/>
      <c r="T954" s="24">
        <f t="shared" si="9"/>
        <v>0</v>
      </c>
    </row>
    <row r="955">
      <c r="A955" s="12" t="s">
        <v>1044</v>
      </c>
      <c r="F955" s="19">
        <f>IFERROR(__xludf.DUMMYFUNCTION("SPLIT(A951, "" |"")"),949.0)</f>
        <v>949</v>
      </c>
      <c r="G955" s="19">
        <f>IFERROR(__xludf.DUMMYFUNCTION("""COMPUTED_VALUE"""),0.00233)</f>
        <v>0.00233</v>
      </c>
      <c r="H955" s="19" t="str">
        <f>IFERROR(__xludf.DUMMYFUNCTION("""COMPUTED_VALUE"""),"-")</f>
        <v>-</v>
      </c>
      <c r="I955" s="19">
        <f>IFERROR(__xludf.DUMMYFUNCTION("""COMPUTED_VALUE"""),0.00214)</f>
        <v>0.00214</v>
      </c>
      <c r="J955" s="19">
        <f>IFERROR(__xludf.DUMMYFUNCTION("""COMPUTED_VALUE"""),0.04734)</f>
        <v>0.04734</v>
      </c>
      <c r="K955" s="19" t="str">
        <f>IFERROR(__xludf.DUMMYFUNCTION("""COMPUTED_VALUE"""),"-")</f>
        <v>-</v>
      </c>
      <c r="L955" s="19">
        <f>IFERROR(__xludf.DUMMYFUNCTION("""COMPUTED_VALUE"""),0.0477)</f>
        <v>0.0477</v>
      </c>
      <c r="O955" s="24">
        <f t="shared" si="4"/>
        <v>0</v>
      </c>
      <c r="P955" s="24"/>
      <c r="Q955" s="24">
        <f t="shared" si="6"/>
        <v>0</v>
      </c>
      <c r="R955" s="24">
        <f t="shared" si="7"/>
        <v>0</v>
      </c>
      <c r="S955" s="24"/>
      <c r="T955" s="24">
        <f t="shared" si="9"/>
        <v>0</v>
      </c>
    </row>
    <row r="956">
      <c r="A956" s="12" t="s">
        <v>1045</v>
      </c>
      <c r="F956" s="19">
        <f>IFERROR(__xludf.DUMMYFUNCTION("SPLIT(A952, "" |"")"),950.0)</f>
        <v>950</v>
      </c>
      <c r="G956" s="19">
        <f>IFERROR(__xludf.DUMMYFUNCTION("""COMPUTED_VALUE"""),0.00235)</f>
        <v>0.00235</v>
      </c>
      <c r="H956" s="19" t="str">
        <f>IFERROR(__xludf.DUMMYFUNCTION("""COMPUTED_VALUE"""),"-")</f>
        <v>-</v>
      </c>
      <c r="I956" s="19">
        <f>IFERROR(__xludf.DUMMYFUNCTION("""COMPUTED_VALUE"""),0.00223)</f>
        <v>0.00223</v>
      </c>
      <c r="J956" s="19">
        <f>IFERROR(__xludf.DUMMYFUNCTION("""COMPUTED_VALUE"""),0.04585)</f>
        <v>0.04585</v>
      </c>
      <c r="K956" s="19" t="str">
        <f>IFERROR(__xludf.DUMMYFUNCTION("""COMPUTED_VALUE"""),"-")</f>
        <v>-</v>
      </c>
      <c r="L956" s="19">
        <f>IFERROR(__xludf.DUMMYFUNCTION("""COMPUTED_VALUE"""),0.04754)</f>
        <v>0.04754</v>
      </c>
      <c r="O956" s="24">
        <f t="shared" si="4"/>
        <v>0</v>
      </c>
      <c r="P956" s="24"/>
      <c r="Q956" s="24">
        <f t="shared" si="6"/>
        <v>0</v>
      </c>
      <c r="R956" s="24">
        <f t="shared" si="7"/>
        <v>0</v>
      </c>
      <c r="S956" s="24"/>
      <c r="T956" s="24">
        <f t="shared" si="9"/>
        <v>0</v>
      </c>
    </row>
    <row r="957">
      <c r="A957" s="12" t="s">
        <v>1046</v>
      </c>
      <c r="F957" s="19">
        <f>IFERROR(__xludf.DUMMYFUNCTION("SPLIT(A953, "" |"")"),951.0)</f>
        <v>951</v>
      </c>
      <c r="G957" s="19">
        <f>IFERROR(__xludf.DUMMYFUNCTION("""COMPUTED_VALUE"""),0.00233)</f>
        <v>0.00233</v>
      </c>
      <c r="H957" s="19" t="str">
        <f>IFERROR(__xludf.DUMMYFUNCTION("""COMPUTED_VALUE"""),"-")</f>
        <v>-</v>
      </c>
      <c r="I957" s="19">
        <f>IFERROR(__xludf.DUMMYFUNCTION("""COMPUTED_VALUE"""),0.00223)</f>
        <v>0.00223</v>
      </c>
      <c r="J957" s="19">
        <f>IFERROR(__xludf.DUMMYFUNCTION("""COMPUTED_VALUE"""),0.0475)</f>
        <v>0.0475</v>
      </c>
      <c r="K957" s="19" t="str">
        <f>IFERROR(__xludf.DUMMYFUNCTION("""COMPUTED_VALUE"""),"-")</f>
        <v>-</v>
      </c>
      <c r="L957" s="19">
        <f>IFERROR(__xludf.DUMMYFUNCTION("""COMPUTED_VALUE"""),0.04762)</f>
        <v>0.04762</v>
      </c>
      <c r="O957" s="24">
        <f t="shared" si="4"/>
        <v>0</v>
      </c>
      <c r="P957" s="24"/>
      <c r="Q957" s="24">
        <f t="shared" si="6"/>
        <v>0</v>
      </c>
      <c r="R957" s="24">
        <f t="shared" si="7"/>
        <v>0</v>
      </c>
      <c r="S957" s="24"/>
      <c r="T957" s="24">
        <f t="shared" si="9"/>
        <v>0</v>
      </c>
    </row>
    <row r="958">
      <c r="A958" s="12" t="s">
        <v>1047</v>
      </c>
      <c r="F958" s="19">
        <f>IFERROR(__xludf.DUMMYFUNCTION("SPLIT(A954, "" |"")"),952.0)</f>
        <v>952</v>
      </c>
      <c r="G958" s="19">
        <f>IFERROR(__xludf.DUMMYFUNCTION("""COMPUTED_VALUE"""),0.00228)</f>
        <v>0.00228</v>
      </c>
      <c r="H958" s="19" t="str">
        <f>IFERROR(__xludf.DUMMYFUNCTION("""COMPUTED_VALUE"""),"-")</f>
        <v>-</v>
      </c>
      <c r="I958" s="19">
        <f>IFERROR(__xludf.DUMMYFUNCTION("""COMPUTED_VALUE"""),0.00224)</f>
        <v>0.00224</v>
      </c>
      <c r="J958" s="19">
        <f>IFERROR(__xludf.DUMMYFUNCTION("""COMPUTED_VALUE"""),0.04746)</f>
        <v>0.04746</v>
      </c>
      <c r="K958" s="19" t="str">
        <f>IFERROR(__xludf.DUMMYFUNCTION("""COMPUTED_VALUE"""),"-")</f>
        <v>-</v>
      </c>
      <c r="L958" s="19">
        <f>IFERROR(__xludf.DUMMYFUNCTION("""COMPUTED_VALUE"""),0.04758)</f>
        <v>0.04758</v>
      </c>
      <c r="O958" s="24">
        <f t="shared" si="4"/>
        <v>0</v>
      </c>
      <c r="P958" s="24"/>
      <c r="Q958" s="24">
        <f t="shared" si="6"/>
        <v>0</v>
      </c>
      <c r="R958" s="24">
        <f t="shared" si="7"/>
        <v>0</v>
      </c>
      <c r="S958" s="24"/>
      <c r="T958" s="24">
        <f t="shared" si="9"/>
        <v>0</v>
      </c>
    </row>
    <row r="959">
      <c r="A959" s="12" t="s">
        <v>1048</v>
      </c>
      <c r="F959" s="19">
        <f>IFERROR(__xludf.DUMMYFUNCTION("SPLIT(A955, "" |"")"),953.0)</f>
        <v>953</v>
      </c>
      <c r="G959" s="19">
        <f>IFERROR(__xludf.DUMMYFUNCTION("""COMPUTED_VALUE"""),0.00233)</f>
        <v>0.00233</v>
      </c>
      <c r="H959" s="19" t="str">
        <f>IFERROR(__xludf.DUMMYFUNCTION("""COMPUTED_VALUE"""),"-")</f>
        <v>-</v>
      </c>
      <c r="I959" s="19">
        <f>IFERROR(__xludf.DUMMYFUNCTION("""COMPUTED_VALUE"""),0.00219)</f>
        <v>0.00219</v>
      </c>
      <c r="J959" s="19">
        <f>IFERROR(__xludf.DUMMYFUNCTION("""COMPUTED_VALUE"""),0.04437)</f>
        <v>0.04437</v>
      </c>
      <c r="K959" s="19" t="str">
        <f>IFERROR(__xludf.DUMMYFUNCTION("""COMPUTED_VALUE"""),"-")</f>
        <v>-</v>
      </c>
      <c r="L959" s="19">
        <f>IFERROR(__xludf.DUMMYFUNCTION("""COMPUTED_VALUE"""),0.04778)</f>
        <v>0.04778</v>
      </c>
      <c r="O959" s="24">
        <f t="shared" si="4"/>
        <v>0</v>
      </c>
      <c r="P959" s="24"/>
      <c r="Q959" s="24">
        <f t="shared" si="6"/>
        <v>0</v>
      </c>
      <c r="R959" s="24">
        <f t="shared" si="7"/>
        <v>1</v>
      </c>
      <c r="S959" s="24"/>
      <c r="T959" s="24">
        <f t="shared" si="9"/>
        <v>0</v>
      </c>
    </row>
    <row r="960">
      <c r="A960" s="12" t="s">
        <v>1049</v>
      </c>
      <c r="F960" s="19">
        <f>IFERROR(__xludf.DUMMYFUNCTION("SPLIT(A956, "" |"")"),954.0)</f>
        <v>954</v>
      </c>
      <c r="G960" s="19">
        <f>IFERROR(__xludf.DUMMYFUNCTION("""COMPUTED_VALUE"""),0.00239)</f>
        <v>0.00239</v>
      </c>
      <c r="H960" s="19" t="str">
        <f>IFERROR(__xludf.DUMMYFUNCTION("""COMPUTED_VALUE"""),"-")</f>
        <v>-</v>
      </c>
      <c r="I960" s="19">
        <f>IFERROR(__xludf.DUMMYFUNCTION("""COMPUTED_VALUE"""),0.00225)</f>
        <v>0.00225</v>
      </c>
      <c r="J960" s="19">
        <f>IFERROR(__xludf.DUMMYFUNCTION("""COMPUTED_VALUE"""),0.04194)</f>
        <v>0.04194</v>
      </c>
      <c r="K960" s="19" t="str">
        <f>IFERROR(__xludf.DUMMYFUNCTION("""COMPUTED_VALUE"""),"-")</f>
        <v>-</v>
      </c>
      <c r="L960" s="19">
        <f>IFERROR(__xludf.DUMMYFUNCTION("""COMPUTED_VALUE"""),0.04759)</f>
        <v>0.04759</v>
      </c>
      <c r="O960" s="24">
        <f t="shared" si="4"/>
        <v>0</v>
      </c>
      <c r="P960" s="24"/>
      <c r="Q960" s="24">
        <f t="shared" si="6"/>
        <v>0</v>
      </c>
      <c r="R960" s="24">
        <f t="shared" si="7"/>
        <v>1</v>
      </c>
      <c r="S960" s="24"/>
      <c r="T960" s="24">
        <f t="shared" si="9"/>
        <v>0</v>
      </c>
    </row>
    <row r="961">
      <c r="A961" s="12" t="s">
        <v>1050</v>
      </c>
      <c r="F961" s="19">
        <f>IFERROR(__xludf.DUMMYFUNCTION("SPLIT(A957, "" |"")"),955.0)</f>
        <v>955</v>
      </c>
      <c r="G961" s="19">
        <f>IFERROR(__xludf.DUMMYFUNCTION("""COMPUTED_VALUE"""),0.00234)</f>
        <v>0.00234</v>
      </c>
      <c r="H961" s="19" t="str">
        <f>IFERROR(__xludf.DUMMYFUNCTION("""COMPUTED_VALUE"""),"-")</f>
        <v>-</v>
      </c>
      <c r="I961" s="19">
        <f>IFERROR(__xludf.DUMMYFUNCTION("""COMPUTED_VALUE"""),0.00212)</f>
        <v>0.00212</v>
      </c>
      <c r="J961" s="19">
        <f>IFERROR(__xludf.DUMMYFUNCTION("""COMPUTED_VALUE"""),0.04746)</f>
        <v>0.04746</v>
      </c>
      <c r="K961" s="19" t="str">
        <f>IFERROR(__xludf.DUMMYFUNCTION("""COMPUTED_VALUE"""),"-")</f>
        <v>-</v>
      </c>
      <c r="L961" s="19">
        <f>IFERROR(__xludf.DUMMYFUNCTION("""COMPUTED_VALUE"""),0.04377)</f>
        <v>0.04377</v>
      </c>
      <c r="O961" s="24">
        <f t="shared" si="4"/>
        <v>0</v>
      </c>
      <c r="P961" s="24"/>
      <c r="Q961" s="24">
        <f t="shared" si="6"/>
        <v>0</v>
      </c>
      <c r="R961" s="24">
        <f t="shared" si="7"/>
        <v>0</v>
      </c>
      <c r="S961" s="24"/>
      <c r="T961" s="24">
        <f t="shared" si="9"/>
        <v>0</v>
      </c>
    </row>
    <row r="962">
      <c r="A962" s="12" t="s">
        <v>1051</v>
      </c>
      <c r="F962" s="19">
        <f>IFERROR(__xludf.DUMMYFUNCTION("SPLIT(A958, "" |"")"),956.0)</f>
        <v>956</v>
      </c>
      <c r="G962" s="19">
        <f>IFERROR(__xludf.DUMMYFUNCTION("""COMPUTED_VALUE"""),0.00238)</f>
        <v>0.00238</v>
      </c>
      <c r="H962" s="19" t="str">
        <f>IFERROR(__xludf.DUMMYFUNCTION("""COMPUTED_VALUE"""),"-")</f>
        <v>-</v>
      </c>
      <c r="I962" s="19">
        <f>IFERROR(__xludf.DUMMYFUNCTION("""COMPUTED_VALUE"""),0.00228)</f>
        <v>0.00228</v>
      </c>
      <c r="J962" s="19">
        <f>IFERROR(__xludf.DUMMYFUNCTION("""COMPUTED_VALUE"""),0.04751)</f>
        <v>0.04751</v>
      </c>
      <c r="K962" s="19" t="str">
        <f>IFERROR(__xludf.DUMMYFUNCTION("""COMPUTED_VALUE"""),"-")</f>
        <v>-</v>
      </c>
      <c r="L962" s="19">
        <f>IFERROR(__xludf.DUMMYFUNCTION("""COMPUTED_VALUE"""),0.04511)</f>
        <v>0.04511</v>
      </c>
      <c r="O962" s="24">
        <f t="shared" si="4"/>
        <v>0</v>
      </c>
      <c r="P962" s="24"/>
      <c r="Q962" s="24">
        <f t="shared" si="6"/>
        <v>0</v>
      </c>
      <c r="R962" s="24">
        <f t="shared" si="7"/>
        <v>0</v>
      </c>
      <c r="S962" s="24"/>
      <c r="T962" s="24">
        <f t="shared" si="9"/>
        <v>0</v>
      </c>
    </row>
    <row r="963">
      <c r="A963" s="12" t="s">
        <v>1052</v>
      </c>
      <c r="F963" s="19">
        <f>IFERROR(__xludf.DUMMYFUNCTION("SPLIT(A959, "" |"")"),957.0)</f>
        <v>957</v>
      </c>
      <c r="G963" s="19">
        <f>IFERROR(__xludf.DUMMYFUNCTION("""COMPUTED_VALUE"""),0.00232)</f>
        <v>0.00232</v>
      </c>
      <c r="H963" s="19" t="str">
        <f>IFERROR(__xludf.DUMMYFUNCTION("""COMPUTED_VALUE"""),"-")</f>
        <v>-</v>
      </c>
      <c r="I963" s="19">
        <f>IFERROR(__xludf.DUMMYFUNCTION("""COMPUTED_VALUE"""),0.00223)</f>
        <v>0.00223</v>
      </c>
      <c r="J963" s="19">
        <f>IFERROR(__xludf.DUMMYFUNCTION("""COMPUTED_VALUE"""),0.04745)</f>
        <v>0.04745</v>
      </c>
      <c r="K963" s="19" t="str">
        <f>IFERROR(__xludf.DUMMYFUNCTION("""COMPUTED_VALUE"""),"-")</f>
        <v>-</v>
      </c>
      <c r="L963" s="19">
        <f>IFERROR(__xludf.DUMMYFUNCTION("""COMPUTED_VALUE"""),0.04753)</f>
        <v>0.04753</v>
      </c>
      <c r="O963" s="24">
        <f t="shared" si="4"/>
        <v>0</v>
      </c>
      <c r="P963" s="24"/>
      <c r="Q963" s="24">
        <f t="shared" si="6"/>
        <v>0</v>
      </c>
      <c r="R963" s="24">
        <f t="shared" si="7"/>
        <v>0</v>
      </c>
      <c r="S963" s="24"/>
      <c r="T963" s="24">
        <f t="shared" si="9"/>
        <v>0</v>
      </c>
    </row>
    <row r="964">
      <c r="A964" s="12" t="s">
        <v>1053</v>
      </c>
      <c r="F964" s="19">
        <f>IFERROR(__xludf.DUMMYFUNCTION("SPLIT(A960, "" |"")"),958.0)</f>
        <v>958</v>
      </c>
      <c r="G964" s="19">
        <f>IFERROR(__xludf.DUMMYFUNCTION("""COMPUTED_VALUE"""),0.00242)</f>
        <v>0.00242</v>
      </c>
      <c r="H964" s="19" t="str">
        <f>IFERROR(__xludf.DUMMYFUNCTION("""COMPUTED_VALUE"""),"-")</f>
        <v>-</v>
      </c>
      <c r="I964" s="19">
        <f>IFERROR(__xludf.DUMMYFUNCTION("""COMPUTED_VALUE"""),0.00225)</f>
        <v>0.00225</v>
      </c>
      <c r="J964" s="19">
        <f>IFERROR(__xludf.DUMMYFUNCTION("""COMPUTED_VALUE"""),0.04398)</f>
        <v>0.04398</v>
      </c>
      <c r="K964" s="19" t="str">
        <f>IFERROR(__xludf.DUMMYFUNCTION("""COMPUTED_VALUE"""),"-")</f>
        <v>-</v>
      </c>
      <c r="L964" s="19">
        <f>IFERROR(__xludf.DUMMYFUNCTION("""COMPUTED_VALUE"""),0.04124)</f>
        <v>0.04124</v>
      </c>
      <c r="O964" s="24">
        <f t="shared" si="4"/>
        <v>0</v>
      </c>
      <c r="P964" s="24"/>
      <c r="Q964" s="24">
        <f t="shared" si="6"/>
        <v>0</v>
      </c>
      <c r="R964" s="24">
        <f t="shared" si="7"/>
        <v>1</v>
      </c>
      <c r="S964" s="24"/>
      <c r="T964" s="24">
        <f t="shared" si="9"/>
        <v>0</v>
      </c>
    </row>
    <row r="965">
      <c r="A965" s="12" t="s">
        <v>1054</v>
      </c>
      <c r="F965" s="19">
        <f>IFERROR(__xludf.DUMMYFUNCTION("SPLIT(A961, "" |"")"),959.0)</f>
        <v>959</v>
      </c>
      <c r="G965" s="19">
        <f>IFERROR(__xludf.DUMMYFUNCTION("""COMPUTED_VALUE"""),0.00236)</f>
        <v>0.00236</v>
      </c>
      <c r="H965" s="19" t="str">
        <f>IFERROR(__xludf.DUMMYFUNCTION("""COMPUTED_VALUE"""),"-")</f>
        <v>-</v>
      </c>
      <c r="I965" s="19">
        <f>IFERROR(__xludf.DUMMYFUNCTION("""COMPUTED_VALUE"""),0.0022)</f>
        <v>0.0022</v>
      </c>
      <c r="J965" s="19">
        <f>IFERROR(__xludf.DUMMYFUNCTION("""COMPUTED_VALUE"""),0.04115)</f>
        <v>0.04115</v>
      </c>
      <c r="K965" s="19" t="str">
        <f>IFERROR(__xludf.DUMMYFUNCTION("""COMPUTED_VALUE"""),"-")</f>
        <v>-</v>
      </c>
      <c r="L965" s="19">
        <f>IFERROR(__xludf.DUMMYFUNCTION("""COMPUTED_VALUE"""),0.0413)</f>
        <v>0.0413</v>
      </c>
      <c r="O965" s="24">
        <f t="shared" si="4"/>
        <v>0</v>
      </c>
      <c r="P965" s="24"/>
      <c r="Q965" s="24">
        <f t="shared" si="6"/>
        <v>0</v>
      </c>
      <c r="R965" s="24">
        <f t="shared" si="7"/>
        <v>1</v>
      </c>
      <c r="S965" s="24"/>
      <c r="T965" s="24">
        <f t="shared" si="9"/>
        <v>0</v>
      </c>
    </row>
    <row r="966">
      <c r="A966" s="12" t="s">
        <v>1055</v>
      </c>
      <c r="F966" s="19">
        <f>IFERROR(__xludf.DUMMYFUNCTION("SPLIT(A962, "" |"")"),960.0)</f>
        <v>960</v>
      </c>
      <c r="G966" s="19">
        <f>IFERROR(__xludf.DUMMYFUNCTION("""COMPUTED_VALUE"""),0.00233)</f>
        <v>0.00233</v>
      </c>
      <c r="H966" s="19" t="str">
        <f>IFERROR(__xludf.DUMMYFUNCTION("""COMPUTED_VALUE"""),"-")</f>
        <v>-</v>
      </c>
      <c r="I966" s="19">
        <f>IFERROR(__xludf.DUMMYFUNCTION("""COMPUTED_VALUE"""),0.0022)</f>
        <v>0.0022</v>
      </c>
      <c r="J966" s="19">
        <f>IFERROR(__xludf.DUMMYFUNCTION("""COMPUTED_VALUE"""),0.03763)</f>
        <v>0.03763</v>
      </c>
      <c r="K966" s="19" t="str">
        <f>IFERROR(__xludf.DUMMYFUNCTION("""COMPUTED_VALUE"""),"-")</f>
        <v>-</v>
      </c>
      <c r="L966" s="19">
        <f>IFERROR(__xludf.DUMMYFUNCTION("""COMPUTED_VALUE"""),0.04767)</f>
        <v>0.04767</v>
      </c>
      <c r="O966" s="24">
        <f t="shared" si="4"/>
        <v>0</v>
      </c>
      <c r="P966" s="24"/>
      <c r="Q966" s="24">
        <f t="shared" si="6"/>
        <v>0</v>
      </c>
      <c r="R966" s="24">
        <f t="shared" si="7"/>
        <v>1</v>
      </c>
      <c r="S966" s="24"/>
      <c r="T966" s="24">
        <f t="shared" si="9"/>
        <v>0</v>
      </c>
    </row>
    <row r="967">
      <c r="A967" s="12" t="s">
        <v>1056</v>
      </c>
      <c r="F967" s="19">
        <f>IFERROR(__xludf.DUMMYFUNCTION("SPLIT(A963, "" |"")"),961.0)</f>
        <v>961</v>
      </c>
      <c r="G967" s="19">
        <f>IFERROR(__xludf.DUMMYFUNCTION("""COMPUTED_VALUE"""),0.00236)</f>
        <v>0.00236</v>
      </c>
      <c r="H967" s="19" t="str">
        <f>IFERROR(__xludf.DUMMYFUNCTION("""COMPUTED_VALUE"""),"-")</f>
        <v>-</v>
      </c>
      <c r="I967" s="19">
        <f>IFERROR(__xludf.DUMMYFUNCTION("""COMPUTED_VALUE"""),0.00223)</f>
        <v>0.00223</v>
      </c>
      <c r="J967" s="19">
        <f>IFERROR(__xludf.DUMMYFUNCTION("""COMPUTED_VALUE"""),0.04747)</f>
        <v>0.04747</v>
      </c>
      <c r="K967" s="19" t="str">
        <f>IFERROR(__xludf.DUMMYFUNCTION("""COMPUTED_VALUE"""),"-")</f>
        <v>-</v>
      </c>
      <c r="L967" s="19">
        <f>IFERROR(__xludf.DUMMYFUNCTION("""COMPUTED_VALUE"""),0.04763)</f>
        <v>0.04763</v>
      </c>
      <c r="O967" s="24">
        <f t="shared" si="4"/>
        <v>0</v>
      </c>
      <c r="P967" s="24"/>
      <c r="Q967" s="24">
        <f t="shared" si="6"/>
        <v>0</v>
      </c>
      <c r="R967" s="24">
        <f t="shared" si="7"/>
        <v>0</v>
      </c>
      <c r="S967" s="24"/>
      <c r="T967" s="24">
        <f t="shared" si="9"/>
        <v>0</v>
      </c>
    </row>
    <row r="968">
      <c r="A968" s="12" t="s">
        <v>1057</v>
      </c>
      <c r="F968" s="19">
        <f>IFERROR(__xludf.DUMMYFUNCTION("SPLIT(A964, "" |"")"),962.0)</f>
        <v>962</v>
      </c>
      <c r="G968" s="19">
        <f>IFERROR(__xludf.DUMMYFUNCTION("""COMPUTED_VALUE"""),0.00227)</f>
        <v>0.00227</v>
      </c>
      <c r="H968" s="19" t="str">
        <f>IFERROR(__xludf.DUMMYFUNCTION("""COMPUTED_VALUE"""),"-")</f>
        <v>-</v>
      </c>
      <c r="I968" s="19">
        <f>IFERROR(__xludf.DUMMYFUNCTION("""COMPUTED_VALUE"""),0.00209)</f>
        <v>0.00209</v>
      </c>
      <c r="J968" s="19">
        <f>IFERROR(__xludf.DUMMYFUNCTION("""COMPUTED_VALUE"""),0.04469)</f>
        <v>0.04469</v>
      </c>
      <c r="K968" s="19" t="str">
        <f>IFERROR(__xludf.DUMMYFUNCTION("""COMPUTED_VALUE"""),"-")</f>
        <v>-</v>
      </c>
      <c r="L968" s="19">
        <f>IFERROR(__xludf.DUMMYFUNCTION("""COMPUTED_VALUE"""),0.04769)</f>
        <v>0.04769</v>
      </c>
      <c r="O968" s="24">
        <f t="shared" si="4"/>
        <v>0</v>
      </c>
      <c r="P968" s="24"/>
      <c r="Q968" s="24">
        <f t="shared" si="6"/>
        <v>0</v>
      </c>
      <c r="R968" s="24">
        <f t="shared" si="7"/>
        <v>1</v>
      </c>
      <c r="S968" s="24"/>
      <c r="T968" s="24">
        <f t="shared" si="9"/>
        <v>0</v>
      </c>
    </row>
    <row r="969">
      <c r="A969" s="12" t="s">
        <v>1058</v>
      </c>
      <c r="F969" s="19">
        <f>IFERROR(__xludf.DUMMYFUNCTION("SPLIT(A965, "" |"")"),963.0)</f>
        <v>963</v>
      </c>
      <c r="G969" s="19">
        <f>IFERROR(__xludf.DUMMYFUNCTION("""COMPUTED_VALUE"""),0.00236)</f>
        <v>0.00236</v>
      </c>
      <c r="H969" s="19" t="str">
        <f>IFERROR(__xludf.DUMMYFUNCTION("""COMPUTED_VALUE"""),"-")</f>
        <v>-</v>
      </c>
      <c r="I969" s="19">
        <f>IFERROR(__xludf.DUMMYFUNCTION("""COMPUTED_VALUE"""),0.0023)</f>
        <v>0.0023</v>
      </c>
      <c r="J969" s="19">
        <f>IFERROR(__xludf.DUMMYFUNCTION("""COMPUTED_VALUE"""),0.04749)</f>
        <v>0.04749</v>
      </c>
      <c r="K969" s="19" t="str">
        <f>IFERROR(__xludf.DUMMYFUNCTION("""COMPUTED_VALUE"""),"-")</f>
        <v>-</v>
      </c>
      <c r="L969" s="19">
        <f>IFERROR(__xludf.DUMMYFUNCTION("""COMPUTED_VALUE"""),0.04336)</f>
        <v>0.04336</v>
      </c>
      <c r="O969" s="24">
        <f t="shared" si="4"/>
        <v>0</v>
      </c>
      <c r="P969" s="24"/>
      <c r="Q969" s="24">
        <f t="shared" si="6"/>
        <v>0</v>
      </c>
      <c r="R969" s="24">
        <f t="shared" si="7"/>
        <v>0</v>
      </c>
      <c r="S969" s="24"/>
      <c r="T969" s="24">
        <f t="shared" si="9"/>
        <v>0</v>
      </c>
    </row>
    <row r="970">
      <c r="A970" s="12" t="s">
        <v>1059</v>
      </c>
      <c r="F970" s="19">
        <f>IFERROR(__xludf.DUMMYFUNCTION("SPLIT(A966, "" |"")"),964.0)</f>
        <v>964</v>
      </c>
      <c r="G970" s="19">
        <f>IFERROR(__xludf.DUMMYFUNCTION("""COMPUTED_VALUE"""),0.00233)</f>
        <v>0.00233</v>
      </c>
      <c r="H970" s="19" t="str">
        <f>IFERROR(__xludf.DUMMYFUNCTION("""COMPUTED_VALUE"""),"-")</f>
        <v>-</v>
      </c>
      <c r="I970" s="19">
        <f>IFERROR(__xludf.DUMMYFUNCTION("""COMPUTED_VALUE"""),0.00229)</f>
        <v>0.00229</v>
      </c>
      <c r="J970" s="19">
        <f>IFERROR(__xludf.DUMMYFUNCTION("""COMPUTED_VALUE"""),0.04752)</f>
        <v>0.04752</v>
      </c>
      <c r="K970" s="19" t="str">
        <f>IFERROR(__xludf.DUMMYFUNCTION("""COMPUTED_VALUE"""),"-")</f>
        <v>-</v>
      </c>
      <c r="L970" s="19">
        <f>IFERROR(__xludf.DUMMYFUNCTION("""COMPUTED_VALUE"""),0.04761)</f>
        <v>0.04761</v>
      </c>
      <c r="O970" s="24">
        <f t="shared" si="4"/>
        <v>0</v>
      </c>
      <c r="P970" s="24"/>
      <c r="Q970" s="24">
        <f t="shared" si="6"/>
        <v>0</v>
      </c>
      <c r="R970" s="24">
        <f t="shared" si="7"/>
        <v>0</v>
      </c>
      <c r="S970" s="24"/>
      <c r="T970" s="24">
        <f t="shared" si="9"/>
        <v>0</v>
      </c>
    </row>
    <row r="971">
      <c r="A971" s="12" t="s">
        <v>1060</v>
      </c>
      <c r="F971" s="19">
        <f>IFERROR(__xludf.DUMMYFUNCTION("SPLIT(A967, "" |"")"),965.0)</f>
        <v>965</v>
      </c>
      <c r="G971" s="19">
        <f>IFERROR(__xludf.DUMMYFUNCTION("""COMPUTED_VALUE"""),0.0024)</f>
        <v>0.0024</v>
      </c>
      <c r="H971" s="19" t="str">
        <f>IFERROR(__xludf.DUMMYFUNCTION("""COMPUTED_VALUE"""),"-")</f>
        <v>-</v>
      </c>
      <c r="I971" s="19">
        <f>IFERROR(__xludf.DUMMYFUNCTION("""COMPUTED_VALUE"""),0.0022)</f>
        <v>0.0022</v>
      </c>
      <c r="J971" s="19">
        <f>IFERROR(__xludf.DUMMYFUNCTION("""COMPUTED_VALUE"""),0.04739)</f>
        <v>0.04739</v>
      </c>
      <c r="K971" s="19" t="str">
        <f>IFERROR(__xludf.DUMMYFUNCTION("""COMPUTED_VALUE"""),"-")</f>
        <v>-</v>
      </c>
      <c r="L971" s="19">
        <f>IFERROR(__xludf.DUMMYFUNCTION("""COMPUTED_VALUE"""),0.04217)</f>
        <v>0.04217</v>
      </c>
      <c r="O971" s="24">
        <f t="shared" si="4"/>
        <v>0</v>
      </c>
      <c r="P971" s="24"/>
      <c r="Q971" s="24">
        <f t="shared" si="6"/>
        <v>0</v>
      </c>
      <c r="R971" s="24">
        <f t="shared" si="7"/>
        <v>0</v>
      </c>
      <c r="S971" s="24"/>
      <c r="T971" s="24">
        <f t="shared" si="9"/>
        <v>0</v>
      </c>
    </row>
    <row r="972">
      <c r="A972" s="12" t="s">
        <v>1061</v>
      </c>
      <c r="F972" s="19">
        <f>IFERROR(__xludf.DUMMYFUNCTION("SPLIT(A968, "" |"")"),966.0)</f>
        <v>966</v>
      </c>
      <c r="G972" s="19">
        <f>IFERROR(__xludf.DUMMYFUNCTION("""COMPUTED_VALUE"""),0.0023)</f>
        <v>0.0023</v>
      </c>
      <c r="H972" s="19" t="str">
        <f>IFERROR(__xludf.DUMMYFUNCTION("""COMPUTED_VALUE"""),"-")</f>
        <v>-</v>
      </c>
      <c r="I972" s="19">
        <f>IFERROR(__xludf.DUMMYFUNCTION("""COMPUTED_VALUE"""),0.00219)</f>
        <v>0.00219</v>
      </c>
      <c r="J972" s="19">
        <f>IFERROR(__xludf.DUMMYFUNCTION("""COMPUTED_VALUE"""),0.04044)</f>
        <v>0.04044</v>
      </c>
      <c r="K972" s="19" t="str">
        <f>IFERROR(__xludf.DUMMYFUNCTION("""COMPUTED_VALUE"""),"-")</f>
        <v>-</v>
      </c>
      <c r="L972" s="19">
        <f>IFERROR(__xludf.DUMMYFUNCTION("""COMPUTED_VALUE"""),0.04747)</f>
        <v>0.04747</v>
      </c>
      <c r="O972" s="24">
        <f t="shared" si="4"/>
        <v>0</v>
      </c>
      <c r="P972" s="24"/>
      <c r="Q972" s="24">
        <f t="shared" si="6"/>
        <v>0</v>
      </c>
      <c r="R972" s="24">
        <f t="shared" si="7"/>
        <v>1</v>
      </c>
      <c r="S972" s="24"/>
      <c r="T972" s="24">
        <f t="shared" si="9"/>
        <v>0</v>
      </c>
    </row>
    <row r="973">
      <c r="A973" s="12" t="s">
        <v>1062</v>
      </c>
      <c r="F973" s="19">
        <f>IFERROR(__xludf.DUMMYFUNCTION("SPLIT(A969, "" |"")"),967.0)</f>
        <v>967</v>
      </c>
      <c r="G973" s="19">
        <f>IFERROR(__xludf.DUMMYFUNCTION("""COMPUTED_VALUE"""),0.0024)</f>
        <v>0.0024</v>
      </c>
      <c r="H973" s="19" t="str">
        <f>IFERROR(__xludf.DUMMYFUNCTION("""COMPUTED_VALUE"""),"-")</f>
        <v>-</v>
      </c>
      <c r="I973" s="19">
        <f>IFERROR(__xludf.DUMMYFUNCTION("""COMPUTED_VALUE"""),0.00228)</f>
        <v>0.00228</v>
      </c>
      <c r="J973" s="19">
        <f>IFERROR(__xludf.DUMMYFUNCTION("""COMPUTED_VALUE"""),0.0474)</f>
        <v>0.0474</v>
      </c>
      <c r="K973" s="19" t="str">
        <f>IFERROR(__xludf.DUMMYFUNCTION("""COMPUTED_VALUE"""),"-")</f>
        <v>-</v>
      </c>
      <c r="L973" s="19">
        <f>IFERROR(__xludf.DUMMYFUNCTION("""COMPUTED_VALUE"""),0.04767)</f>
        <v>0.04767</v>
      </c>
      <c r="O973" s="24">
        <f t="shared" si="4"/>
        <v>0</v>
      </c>
      <c r="P973" s="24"/>
      <c r="Q973" s="24">
        <f t="shared" si="6"/>
        <v>0</v>
      </c>
      <c r="R973" s="24">
        <f t="shared" si="7"/>
        <v>0</v>
      </c>
      <c r="S973" s="24"/>
      <c r="T973" s="24">
        <f t="shared" si="9"/>
        <v>0</v>
      </c>
    </row>
    <row r="974">
      <c r="A974" s="12" t="s">
        <v>1063</v>
      </c>
      <c r="F974" s="19">
        <f>IFERROR(__xludf.DUMMYFUNCTION("SPLIT(A970, "" |"")"),968.0)</f>
        <v>968</v>
      </c>
      <c r="G974" s="19">
        <f>IFERROR(__xludf.DUMMYFUNCTION("""COMPUTED_VALUE"""),0.00236)</f>
        <v>0.00236</v>
      </c>
      <c r="H974" s="19" t="str">
        <f>IFERROR(__xludf.DUMMYFUNCTION("""COMPUTED_VALUE"""),"-")</f>
        <v>-</v>
      </c>
      <c r="I974" s="19">
        <f>IFERROR(__xludf.DUMMYFUNCTION("""COMPUTED_VALUE"""),0.0022)</f>
        <v>0.0022</v>
      </c>
      <c r="J974" s="19">
        <f>IFERROR(__xludf.DUMMYFUNCTION("""COMPUTED_VALUE"""),0.04747)</f>
        <v>0.04747</v>
      </c>
      <c r="K974" s="19" t="str">
        <f>IFERROR(__xludf.DUMMYFUNCTION("""COMPUTED_VALUE"""),"-")</f>
        <v>-</v>
      </c>
      <c r="L974" s="19">
        <f>IFERROR(__xludf.DUMMYFUNCTION("""COMPUTED_VALUE"""),0.04249)</f>
        <v>0.04249</v>
      </c>
      <c r="O974" s="24">
        <f t="shared" si="4"/>
        <v>0</v>
      </c>
      <c r="P974" s="24"/>
      <c r="Q974" s="24">
        <f t="shared" si="6"/>
        <v>0</v>
      </c>
      <c r="R974" s="24">
        <f t="shared" si="7"/>
        <v>0</v>
      </c>
      <c r="S974" s="24"/>
      <c r="T974" s="24">
        <f t="shared" si="9"/>
        <v>0</v>
      </c>
    </row>
    <row r="975">
      <c r="A975" s="12" t="s">
        <v>1064</v>
      </c>
      <c r="F975" s="19">
        <f>IFERROR(__xludf.DUMMYFUNCTION("SPLIT(A971, "" |"")"),969.0)</f>
        <v>969</v>
      </c>
      <c r="G975" s="19">
        <f>IFERROR(__xludf.DUMMYFUNCTION("""COMPUTED_VALUE"""),0.00234)</f>
        <v>0.00234</v>
      </c>
      <c r="H975" s="19" t="str">
        <f>IFERROR(__xludf.DUMMYFUNCTION("""COMPUTED_VALUE"""),"-")</f>
        <v>-</v>
      </c>
      <c r="I975" s="19">
        <f>IFERROR(__xludf.DUMMYFUNCTION("""COMPUTED_VALUE"""),0.00226)</f>
        <v>0.00226</v>
      </c>
      <c r="J975" s="19">
        <f>IFERROR(__xludf.DUMMYFUNCTION("""COMPUTED_VALUE"""),0.04742)</f>
        <v>0.04742</v>
      </c>
      <c r="K975" s="19" t="str">
        <f>IFERROR(__xludf.DUMMYFUNCTION("""COMPUTED_VALUE"""),"-")</f>
        <v>-</v>
      </c>
      <c r="L975" s="19">
        <f>IFERROR(__xludf.DUMMYFUNCTION("""COMPUTED_VALUE"""),0.04749)</f>
        <v>0.04749</v>
      </c>
      <c r="O975" s="24">
        <f t="shared" si="4"/>
        <v>0</v>
      </c>
      <c r="P975" s="24"/>
      <c r="Q975" s="24">
        <f t="shared" si="6"/>
        <v>0</v>
      </c>
      <c r="R975" s="24">
        <f t="shared" si="7"/>
        <v>0</v>
      </c>
      <c r="S975" s="24"/>
      <c r="T975" s="24">
        <f t="shared" si="9"/>
        <v>0</v>
      </c>
    </row>
    <row r="976">
      <c r="A976" s="12" t="s">
        <v>1065</v>
      </c>
      <c r="F976" s="19">
        <f>IFERROR(__xludf.DUMMYFUNCTION("SPLIT(A972, "" |"")"),970.0)</f>
        <v>970</v>
      </c>
      <c r="G976" s="19">
        <f>IFERROR(__xludf.DUMMYFUNCTION("""COMPUTED_VALUE"""),0.00231)</f>
        <v>0.00231</v>
      </c>
      <c r="H976" s="19" t="str">
        <f>IFERROR(__xludf.DUMMYFUNCTION("""COMPUTED_VALUE"""),"-")</f>
        <v>-</v>
      </c>
      <c r="I976" s="19">
        <f>IFERROR(__xludf.DUMMYFUNCTION("""COMPUTED_VALUE"""),0.00226)</f>
        <v>0.00226</v>
      </c>
      <c r="J976" s="19">
        <f>IFERROR(__xludf.DUMMYFUNCTION("""COMPUTED_VALUE"""),0.0475)</f>
        <v>0.0475</v>
      </c>
      <c r="K976" s="19" t="str">
        <f>IFERROR(__xludf.DUMMYFUNCTION("""COMPUTED_VALUE"""),"-")</f>
        <v>-</v>
      </c>
      <c r="L976" s="19">
        <f>IFERROR(__xludf.DUMMYFUNCTION("""COMPUTED_VALUE"""),0.04764)</f>
        <v>0.04764</v>
      </c>
      <c r="O976" s="24">
        <f t="shared" si="4"/>
        <v>0</v>
      </c>
      <c r="P976" s="24"/>
      <c r="Q976" s="24">
        <f t="shared" si="6"/>
        <v>0</v>
      </c>
      <c r="R976" s="24">
        <f t="shared" si="7"/>
        <v>0</v>
      </c>
      <c r="S976" s="24"/>
      <c r="T976" s="24">
        <f t="shared" si="9"/>
        <v>0</v>
      </c>
    </row>
    <row r="977">
      <c r="A977" s="12" t="s">
        <v>1066</v>
      </c>
      <c r="F977" s="19">
        <f>IFERROR(__xludf.DUMMYFUNCTION("SPLIT(A973, "" |"")"),971.0)</f>
        <v>971</v>
      </c>
      <c r="G977" s="19">
        <f>IFERROR(__xludf.DUMMYFUNCTION("""COMPUTED_VALUE"""),0.00247)</f>
        <v>0.00247</v>
      </c>
      <c r="H977" s="19" t="str">
        <f>IFERROR(__xludf.DUMMYFUNCTION("""COMPUTED_VALUE"""),"-")</f>
        <v>-</v>
      </c>
      <c r="I977" s="19">
        <f>IFERROR(__xludf.DUMMYFUNCTION("""COMPUTED_VALUE"""),0.00219)</f>
        <v>0.00219</v>
      </c>
      <c r="J977" s="19">
        <f>IFERROR(__xludf.DUMMYFUNCTION("""COMPUTED_VALUE"""),0.04745)</f>
        <v>0.04745</v>
      </c>
      <c r="K977" s="19" t="str">
        <f>IFERROR(__xludf.DUMMYFUNCTION("""COMPUTED_VALUE"""),"-")</f>
        <v>-</v>
      </c>
      <c r="L977" s="19">
        <f>IFERROR(__xludf.DUMMYFUNCTION("""COMPUTED_VALUE"""),0.04756)</f>
        <v>0.04756</v>
      </c>
      <c r="O977" s="24">
        <f t="shared" si="4"/>
        <v>0</v>
      </c>
      <c r="P977" s="24"/>
      <c r="Q977" s="24">
        <f t="shared" si="6"/>
        <v>0</v>
      </c>
      <c r="R977" s="24">
        <f t="shared" si="7"/>
        <v>0</v>
      </c>
      <c r="S977" s="24"/>
      <c r="T977" s="24">
        <f t="shared" si="9"/>
        <v>0</v>
      </c>
    </row>
    <row r="978">
      <c r="A978" s="12" t="s">
        <v>1067</v>
      </c>
      <c r="F978" s="19">
        <f>IFERROR(__xludf.DUMMYFUNCTION("SPLIT(A974, "" |"")"),972.0)</f>
        <v>972</v>
      </c>
      <c r="G978" s="19">
        <f>IFERROR(__xludf.DUMMYFUNCTION("""COMPUTED_VALUE"""),0.00244)</f>
        <v>0.00244</v>
      </c>
      <c r="H978" s="19" t="str">
        <f>IFERROR(__xludf.DUMMYFUNCTION("""COMPUTED_VALUE"""),"-")</f>
        <v>-</v>
      </c>
      <c r="I978" s="19">
        <f>IFERROR(__xludf.DUMMYFUNCTION("""COMPUTED_VALUE"""),0.00224)</f>
        <v>0.00224</v>
      </c>
      <c r="J978" s="19">
        <f>IFERROR(__xludf.DUMMYFUNCTION("""COMPUTED_VALUE"""),0.04745)</f>
        <v>0.04745</v>
      </c>
      <c r="K978" s="19" t="str">
        <f>IFERROR(__xludf.DUMMYFUNCTION("""COMPUTED_VALUE"""),"-")</f>
        <v>-</v>
      </c>
      <c r="L978" s="19">
        <f>IFERROR(__xludf.DUMMYFUNCTION("""COMPUTED_VALUE"""),0.04745)</f>
        <v>0.04745</v>
      </c>
      <c r="O978" s="24">
        <f t="shared" si="4"/>
        <v>0</v>
      </c>
      <c r="P978" s="24"/>
      <c r="Q978" s="24">
        <f t="shared" si="6"/>
        <v>0</v>
      </c>
      <c r="R978" s="24">
        <f t="shared" si="7"/>
        <v>0</v>
      </c>
      <c r="S978" s="24"/>
      <c r="T978" s="24">
        <f t="shared" si="9"/>
        <v>0</v>
      </c>
    </row>
    <row r="979">
      <c r="A979" s="12" t="s">
        <v>1068</v>
      </c>
      <c r="F979" s="19">
        <f>IFERROR(__xludf.DUMMYFUNCTION("SPLIT(A975, "" |"")"),973.0)</f>
        <v>973</v>
      </c>
      <c r="G979" s="19">
        <f>IFERROR(__xludf.DUMMYFUNCTION("""COMPUTED_VALUE"""),0.00223)</f>
        <v>0.00223</v>
      </c>
      <c r="H979" s="19" t="str">
        <f>IFERROR(__xludf.DUMMYFUNCTION("""COMPUTED_VALUE"""),"-")</f>
        <v>-</v>
      </c>
      <c r="I979" s="19">
        <f>IFERROR(__xludf.DUMMYFUNCTION("""COMPUTED_VALUE"""),0.00208)</f>
        <v>0.00208</v>
      </c>
      <c r="J979" s="19">
        <f>IFERROR(__xludf.DUMMYFUNCTION("""COMPUTED_VALUE"""),0.04729)</f>
        <v>0.04729</v>
      </c>
      <c r="K979" s="19" t="str">
        <f>IFERROR(__xludf.DUMMYFUNCTION("""COMPUTED_VALUE"""),"-")</f>
        <v>-</v>
      </c>
      <c r="L979" s="19">
        <f>IFERROR(__xludf.DUMMYFUNCTION("""COMPUTED_VALUE"""),0.04757)</f>
        <v>0.04757</v>
      </c>
      <c r="O979" s="24">
        <f t="shared" si="4"/>
        <v>0</v>
      </c>
      <c r="P979" s="24"/>
      <c r="Q979" s="24">
        <f t="shared" si="6"/>
        <v>0</v>
      </c>
      <c r="R979" s="24">
        <f t="shared" si="7"/>
        <v>0</v>
      </c>
      <c r="S979" s="24"/>
      <c r="T979" s="24">
        <f t="shared" si="9"/>
        <v>0</v>
      </c>
    </row>
    <row r="980">
      <c r="A980" s="12" t="s">
        <v>1069</v>
      </c>
      <c r="F980" s="19">
        <f>IFERROR(__xludf.DUMMYFUNCTION("SPLIT(A976, "" |"")"),974.0)</f>
        <v>974</v>
      </c>
      <c r="G980" s="19">
        <f>IFERROR(__xludf.DUMMYFUNCTION("""COMPUTED_VALUE"""),0.00231)</f>
        <v>0.00231</v>
      </c>
      <c r="H980" s="19" t="str">
        <f>IFERROR(__xludf.DUMMYFUNCTION("""COMPUTED_VALUE"""),"-")</f>
        <v>-</v>
      </c>
      <c r="I980" s="19">
        <f>IFERROR(__xludf.DUMMYFUNCTION("""COMPUTED_VALUE"""),0.00226)</f>
        <v>0.00226</v>
      </c>
      <c r="J980" s="19">
        <f>IFERROR(__xludf.DUMMYFUNCTION("""COMPUTED_VALUE"""),0.04754)</f>
        <v>0.04754</v>
      </c>
      <c r="K980" s="19" t="str">
        <f>IFERROR(__xludf.DUMMYFUNCTION("""COMPUTED_VALUE"""),"-")</f>
        <v>-</v>
      </c>
      <c r="L980" s="19">
        <f>IFERROR(__xludf.DUMMYFUNCTION("""COMPUTED_VALUE"""),0.04768)</f>
        <v>0.04768</v>
      </c>
      <c r="O980" s="24">
        <f t="shared" si="4"/>
        <v>0</v>
      </c>
      <c r="P980" s="24"/>
      <c r="Q980" s="24">
        <f t="shared" si="6"/>
        <v>0</v>
      </c>
      <c r="R980" s="24">
        <f t="shared" si="7"/>
        <v>0</v>
      </c>
      <c r="S980" s="24"/>
      <c r="T980" s="24">
        <f t="shared" si="9"/>
        <v>0</v>
      </c>
    </row>
    <row r="981">
      <c r="A981" s="12" t="s">
        <v>1070</v>
      </c>
      <c r="F981" s="19">
        <f>IFERROR(__xludf.DUMMYFUNCTION("SPLIT(A977, "" |"")"),975.0)</f>
        <v>975</v>
      </c>
      <c r="G981" s="19">
        <f>IFERROR(__xludf.DUMMYFUNCTION("""COMPUTED_VALUE"""),0.00238)</f>
        <v>0.00238</v>
      </c>
      <c r="H981" s="19" t="str">
        <f>IFERROR(__xludf.DUMMYFUNCTION("""COMPUTED_VALUE"""),"-")</f>
        <v>-</v>
      </c>
      <c r="I981" s="19">
        <f>IFERROR(__xludf.DUMMYFUNCTION("""COMPUTED_VALUE"""),0.00224)</f>
        <v>0.00224</v>
      </c>
      <c r="J981" s="19">
        <f>IFERROR(__xludf.DUMMYFUNCTION("""COMPUTED_VALUE"""),0.04744)</f>
        <v>0.04744</v>
      </c>
      <c r="K981" s="19" t="str">
        <f>IFERROR(__xludf.DUMMYFUNCTION("""COMPUTED_VALUE"""),"-")</f>
        <v>-</v>
      </c>
      <c r="L981" s="19">
        <f>IFERROR(__xludf.DUMMYFUNCTION("""COMPUTED_VALUE"""),0.04769)</f>
        <v>0.04769</v>
      </c>
      <c r="O981" s="24">
        <f t="shared" si="4"/>
        <v>0</v>
      </c>
      <c r="P981" s="24"/>
      <c r="Q981" s="24">
        <f t="shared" si="6"/>
        <v>0</v>
      </c>
      <c r="R981" s="24">
        <f t="shared" si="7"/>
        <v>0</v>
      </c>
      <c r="S981" s="24"/>
      <c r="T981" s="24">
        <f t="shared" si="9"/>
        <v>0</v>
      </c>
    </row>
    <row r="982">
      <c r="A982" s="12" t="s">
        <v>1071</v>
      </c>
      <c r="F982" s="19">
        <f>IFERROR(__xludf.DUMMYFUNCTION("SPLIT(A978, "" |"")"),976.0)</f>
        <v>976</v>
      </c>
      <c r="G982" s="19">
        <f>IFERROR(__xludf.DUMMYFUNCTION("""COMPUTED_VALUE"""),0.00231)</f>
        <v>0.00231</v>
      </c>
      <c r="H982" s="19" t="str">
        <f>IFERROR(__xludf.DUMMYFUNCTION("""COMPUTED_VALUE"""),"-")</f>
        <v>-</v>
      </c>
      <c r="I982" s="19">
        <f>IFERROR(__xludf.DUMMYFUNCTION("""COMPUTED_VALUE"""),0.00224)</f>
        <v>0.00224</v>
      </c>
      <c r="J982" s="19">
        <f>IFERROR(__xludf.DUMMYFUNCTION("""COMPUTED_VALUE"""),0.04417)</f>
        <v>0.04417</v>
      </c>
      <c r="K982" s="19" t="str">
        <f>IFERROR(__xludf.DUMMYFUNCTION("""COMPUTED_VALUE"""),"-")</f>
        <v>-</v>
      </c>
      <c r="L982" s="19">
        <f>IFERROR(__xludf.DUMMYFUNCTION("""COMPUTED_VALUE"""),0.04768)</f>
        <v>0.04768</v>
      </c>
      <c r="O982" s="24">
        <f t="shared" si="4"/>
        <v>0</v>
      </c>
      <c r="P982" s="24"/>
      <c r="Q982" s="24">
        <f t="shared" si="6"/>
        <v>0</v>
      </c>
      <c r="R982" s="24">
        <f t="shared" si="7"/>
        <v>1</v>
      </c>
      <c r="S982" s="24"/>
      <c r="T982" s="24">
        <f t="shared" si="9"/>
        <v>0</v>
      </c>
    </row>
    <row r="983">
      <c r="A983" s="12" t="s">
        <v>1072</v>
      </c>
      <c r="F983" s="19">
        <f>IFERROR(__xludf.DUMMYFUNCTION("SPLIT(A979, "" |"")"),977.0)</f>
        <v>977</v>
      </c>
      <c r="G983" s="19">
        <f>IFERROR(__xludf.DUMMYFUNCTION("""COMPUTED_VALUE"""),0.00233)</f>
        <v>0.00233</v>
      </c>
      <c r="H983" s="19" t="str">
        <f>IFERROR(__xludf.DUMMYFUNCTION("""COMPUTED_VALUE"""),"-")</f>
        <v>-</v>
      </c>
      <c r="I983" s="19">
        <f>IFERROR(__xludf.DUMMYFUNCTION("""COMPUTED_VALUE"""),0.00224)</f>
        <v>0.00224</v>
      </c>
      <c r="J983" s="19">
        <f>IFERROR(__xludf.DUMMYFUNCTION("""COMPUTED_VALUE"""),0.04749)</f>
        <v>0.04749</v>
      </c>
      <c r="K983" s="19" t="str">
        <f>IFERROR(__xludf.DUMMYFUNCTION("""COMPUTED_VALUE"""),"-")</f>
        <v>-</v>
      </c>
      <c r="L983" s="19">
        <f>IFERROR(__xludf.DUMMYFUNCTION("""COMPUTED_VALUE"""),0.04768)</f>
        <v>0.04768</v>
      </c>
      <c r="O983" s="24">
        <f t="shared" si="4"/>
        <v>0</v>
      </c>
      <c r="P983" s="24"/>
      <c r="Q983" s="24">
        <f t="shared" si="6"/>
        <v>0</v>
      </c>
      <c r="R983" s="24">
        <f t="shared" si="7"/>
        <v>0</v>
      </c>
      <c r="S983" s="24"/>
      <c r="T983" s="24">
        <f t="shared" si="9"/>
        <v>0</v>
      </c>
    </row>
    <row r="984">
      <c r="A984" s="12" t="s">
        <v>1073</v>
      </c>
      <c r="F984" s="19">
        <f>IFERROR(__xludf.DUMMYFUNCTION("SPLIT(A980, "" |"")"),978.0)</f>
        <v>978</v>
      </c>
      <c r="G984" s="19">
        <f>IFERROR(__xludf.DUMMYFUNCTION("""COMPUTED_VALUE"""),0.00236)</f>
        <v>0.00236</v>
      </c>
      <c r="H984" s="19" t="str">
        <f>IFERROR(__xludf.DUMMYFUNCTION("""COMPUTED_VALUE"""),"-")</f>
        <v>-</v>
      </c>
      <c r="I984" s="19">
        <f>IFERROR(__xludf.DUMMYFUNCTION("""COMPUTED_VALUE"""),0.0022)</f>
        <v>0.0022</v>
      </c>
      <c r="J984" s="19">
        <f>IFERROR(__xludf.DUMMYFUNCTION("""COMPUTED_VALUE"""),0.04748)</f>
        <v>0.04748</v>
      </c>
      <c r="K984" s="19" t="str">
        <f>IFERROR(__xludf.DUMMYFUNCTION("""COMPUTED_VALUE"""),"-")</f>
        <v>-</v>
      </c>
      <c r="L984" s="19">
        <f>IFERROR(__xludf.DUMMYFUNCTION("""COMPUTED_VALUE"""),0.04763)</f>
        <v>0.04763</v>
      </c>
      <c r="O984" s="24">
        <f t="shared" si="4"/>
        <v>0</v>
      </c>
      <c r="P984" s="24"/>
      <c r="Q984" s="24">
        <f t="shared" si="6"/>
        <v>0</v>
      </c>
      <c r="R984" s="24">
        <f t="shared" si="7"/>
        <v>0</v>
      </c>
      <c r="S984" s="24"/>
      <c r="T984" s="24">
        <f t="shared" si="9"/>
        <v>0</v>
      </c>
    </row>
    <row r="985">
      <c r="A985" s="12" t="s">
        <v>1074</v>
      </c>
      <c r="F985" s="19">
        <f>IFERROR(__xludf.DUMMYFUNCTION("SPLIT(A981, "" |"")"),979.0)</f>
        <v>979</v>
      </c>
      <c r="G985" s="19">
        <f>IFERROR(__xludf.DUMMYFUNCTION("""COMPUTED_VALUE"""),0.00235)</f>
        <v>0.00235</v>
      </c>
      <c r="H985" s="19" t="str">
        <f>IFERROR(__xludf.DUMMYFUNCTION("""COMPUTED_VALUE"""),"-")</f>
        <v>-</v>
      </c>
      <c r="I985" s="19">
        <f>IFERROR(__xludf.DUMMYFUNCTION("""COMPUTED_VALUE"""),0.00225)</f>
        <v>0.00225</v>
      </c>
      <c r="J985" s="19">
        <f>IFERROR(__xludf.DUMMYFUNCTION("""COMPUTED_VALUE"""),0.04749)</f>
        <v>0.04749</v>
      </c>
      <c r="K985" s="19" t="str">
        <f>IFERROR(__xludf.DUMMYFUNCTION("""COMPUTED_VALUE"""),"-")</f>
        <v>-</v>
      </c>
      <c r="L985" s="19">
        <f>IFERROR(__xludf.DUMMYFUNCTION("""COMPUTED_VALUE"""),0.04768)</f>
        <v>0.04768</v>
      </c>
      <c r="O985" s="24">
        <f t="shared" si="4"/>
        <v>0</v>
      </c>
      <c r="P985" s="24"/>
      <c r="Q985" s="24">
        <f t="shared" si="6"/>
        <v>0</v>
      </c>
      <c r="R985" s="24">
        <f t="shared" si="7"/>
        <v>0</v>
      </c>
      <c r="S985" s="24"/>
      <c r="T985" s="24">
        <f t="shared" si="9"/>
        <v>0</v>
      </c>
    </row>
    <row r="986">
      <c r="A986" s="12" t="s">
        <v>1075</v>
      </c>
      <c r="F986" s="19">
        <f>IFERROR(__xludf.DUMMYFUNCTION("SPLIT(A982, "" |"")"),980.0)</f>
        <v>980</v>
      </c>
      <c r="G986" s="19">
        <f>IFERROR(__xludf.DUMMYFUNCTION("""COMPUTED_VALUE"""),0.00238)</f>
        <v>0.00238</v>
      </c>
      <c r="H986" s="19" t="str">
        <f>IFERROR(__xludf.DUMMYFUNCTION("""COMPUTED_VALUE"""),"-")</f>
        <v>-</v>
      </c>
      <c r="I986" s="19">
        <f>IFERROR(__xludf.DUMMYFUNCTION("""COMPUTED_VALUE"""),0.00223)</f>
        <v>0.00223</v>
      </c>
      <c r="J986" s="19">
        <f>IFERROR(__xludf.DUMMYFUNCTION("""COMPUTED_VALUE"""),0.04749)</f>
        <v>0.04749</v>
      </c>
      <c r="K986" s="19" t="str">
        <f>IFERROR(__xludf.DUMMYFUNCTION("""COMPUTED_VALUE"""),"-")</f>
        <v>-</v>
      </c>
      <c r="L986" s="19">
        <f>IFERROR(__xludf.DUMMYFUNCTION("""COMPUTED_VALUE"""),0.04769)</f>
        <v>0.04769</v>
      </c>
      <c r="O986" s="24">
        <f t="shared" si="4"/>
        <v>0</v>
      </c>
      <c r="P986" s="24"/>
      <c r="Q986" s="24">
        <f t="shared" si="6"/>
        <v>0</v>
      </c>
      <c r="R986" s="24">
        <f t="shared" si="7"/>
        <v>0</v>
      </c>
      <c r="S986" s="24"/>
      <c r="T986" s="24">
        <f t="shared" si="9"/>
        <v>0</v>
      </c>
    </row>
    <row r="987">
      <c r="A987" s="12" t="s">
        <v>1076</v>
      </c>
      <c r="F987" s="19">
        <f>IFERROR(__xludf.DUMMYFUNCTION("SPLIT(A983, "" |"")"),981.0)</f>
        <v>981</v>
      </c>
      <c r="G987" s="19">
        <f>IFERROR(__xludf.DUMMYFUNCTION("""COMPUTED_VALUE"""),0.00235)</f>
        <v>0.00235</v>
      </c>
      <c r="H987" s="19" t="str">
        <f>IFERROR(__xludf.DUMMYFUNCTION("""COMPUTED_VALUE"""),"-")</f>
        <v>-</v>
      </c>
      <c r="I987" s="19">
        <f>IFERROR(__xludf.DUMMYFUNCTION("""COMPUTED_VALUE"""),0.00228)</f>
        <v>0.00228</v>
      </c>
      <c r="J987" s="19">
        <f>IFERROR(__xludf.DUMMYFUNCTION("""COMPUTED_VALUE"""),0.04753)</f>
        <v>0.04753</v>
      </c>
      <c r="K987" s="19" t="str">
        <f>IFERROR(__xludf.DUMMYFUNCTION("""COMPUTED_VALUE"""),"-")</f>
        <v>-</v>
      </c>
      <c r="L987" s="19">
        <f>IFERROR(__xludf.DUMMYFUNCTION("""COMPUTED_VALUE"""),0.04166)</f>
        <v>0.04166</v>
      </c>
      <c r="O987" s="24">
        <f t="shared" si="4"/>
        <v>0</v>
      </c>
      <c r="P987" s="24"/>
      <c r="Q987" s="24">
        <f t="shared" si="6"/>
        <v>0</v>
      </c>
      <c r="R987" s="24">
        <f t="shared" si="7"/>
        <v>0</v>
      </c>
      <c r="S987" s="24"/>
      <c r="T987" s="24">
        <f t="shared" si="9"/>
        <v>0</v>
      </c>
    </row>
    <row r="988">
      <c r="A988" s="12" t="s">
        <v>1077</v>
      </c>
      <c r="F988" s="19">
        <f>IFERROR(__xludf.DUMMYFUNCTION("SPLIT(A984, "" |"")"),982.0)</f>
        <v>982</v>
      </c>
      <c r="G988" s="19">
        <f>IFERROR(__xludf.DUMMYFUNCTION("""COMPUTED_VALUE"""),0.00236)</f>
        <v>0.00236</v>
      </c>
      <c r="H988" s="19" t="str">
        <f>IFERROR(__xludf.DUMMYFUNCTION("""COMPUTED_VALUE"""),"-")</f>
        <v>-</v>
      </c>
      <c r="I988" s="19">
        <f>IFERROR(__xludf.DUMMYFUNCTION("""COMPUTED_VALUE"""),0.00211)</f>
        <v>0.00211</v>
      </c>
      <c r="J988" s="19">
        <f>IFERROR(__xludf.DUMMYFUNCTION("""COMPUTED_VALUE"""),0.0473)</f>
        <v>0.0473</v>
      </c>
      <c r="K988" s="19" t="str">
        <f>IFERROR(__xludf.DUMMYFUNCTION("""COMPUTED_VALUE"""),"-")</f>
        <v>-</v>
      </c>
      <c r="L988" s="19">
        <f>IFERROR(__xludf.DUMMYFUNCTION("""COMPUTED_VALUE"""),0.0476)</f>
        <v>0.0476</v>
      </c>
      <c r="O988" s="24">
        <f t="shared" si="4"/>
        <v>0</v>
      </c>
      <c r="P988" s="24"/>
      <c r="Q988" s="24">
        <f t="shared" si="6"/>
        <v>0</v>
      </c>
      <c r="R988" s="24">
        <f t="shared" si="7"/>
        <v>0</v>
      </c>
      <c r="S988" s="24"/>
      <c r="T988" s="24">
        <f t="shared" si="9"/>
        <v>0</v>
      </c>
    </row>
    <row r="989">
      <c r="A989" s="12" t="s">
        <v>1078</v>
      </c>
      <c r="F989" s="19">
        <f>IFERROR(__xludf.DUMMYFUNCTION("SPLIT(A985, "" |"")"),983.0)</f>
        <v>983</v>
      </c>
      <c r="G989" s="19">
        <f>IFERROR(__xludf.DUMMYFUNCTION("""COMPUTED_VALUE"""),0.0024)</f>
        <v>0.0024</v>
      </c>
      <c r="H989" s="19" t="str">
        <f>IFERROR(__xludf.DUMMYFUNCTION("""COMPUTED_VALUE"""),"-")</f>
        <v>-</v>
      </c>
      <c r="I989" s="19">
        <f>IFERROR(__xludf.DUMMYFUNCTION("""COMPUTED_VALUE"""),0.00222)</f>
        <v>0.00222</v>
      </c>
      <c r="J989" s="19">
        <f>IFERROR(__xludf.DUMMYFUNCTION("""COMPUTED_VALUE"""),0.04748)</f>
        <v>0.04748</v>
      </c>
      <c r="K989" s="19" t="str">
        <f>IFERROR(__xludf.DUMMYFUNCTION("""COMPUTED_VALUE"""),"-")</f>
        <v>-</v>
      </c>
      <c r="L989" s="19">
        <f>IFERROR(__xludf.DUMMYFUNCTION("""COMPUTED_VALUE"""),0.04756)</f>
        <v>0.04756</v>
      </c>
      <c r="O989" s="24">
        <f t="shared" si="4"/>
        <v>0</v>
      </c>
      <c r="P989" s="24"/>
      <c r="Q989" s="24">
        <f t="shared" si="6"/>
        <v>0</v>
      </c>
      <c r="R989" s="24">
        <f t="shared" si="7"/>
        <v>0</v>
      </c>
      <c r="S989" s="24"/>
      <c r="T989" s="24">
        <f t="shared" si="9"/>
        <v>0</v>
      </c>
    </row>
    <row r="990">
      <c r="A990" s="12" t="s">
        <v>1079</v>
      </c>
      <c r="F990" s="19">
        <f>IFERROR(__xludf.DUMMYFUNCTION("SPLIT(A986, "" |"")"),984.0)</f>
        <v>984</v>
      </c>
      <c r="G990" s="19">
        <f>IFERROR(__xludf.DUMMYFUNCTION("""COMPUTED_VALUE"""),0.00233)</f>
        <v>0.00233</v>
      </c>
      <c r="H990" s="19" t="str">
        <f>IFERROR(__xludf.DUMMYFUNCTION("""COMPUTED_VALUE"""),"-")</f>
        <v>-</v>
      </c>
      <c r="I990" s="19">
        <f>IFERROR(__xludf.DUMMYFUNCTION("""COMPUTED_VALUE"""),0.00224)</f>
        <v>0.00224</v>
      </c>
      <c r="J990" s="19">
        <f>IFERROR(__xludf.DUMMYFUNCTION("""COMPUTED_VALUE"""),0.04747)</f>
        <v>0.04747</v>
      </c>
      <c r="K990" s="19" t="str">
        <f>IFERROR(__xludf.DUMMYFUNCTION("""COMPUTED_VALUE"""),"-")</f>
        <v>-</v>
      </c>
      <c r="L990" s="19">
        <f>IFERROR(__xludf.DUMMYFUNCTION("""COMPUTED_VALUE"""),0.04762)</f>
        <v>0.04762</v>
      </c>
      <c r="O990" s="24">
        <f t="shared" si="4"/>
        <v>0</v>
      </c>
      <c r="P990" s="24"/>
      <c r="Q990" s="24">
        <f t="shared" si="6"/>
        <v>0</v>
      </c>
      <c r="R990" s="24">
        <f t="shared" si="7"/>
        <v>0</v>
      </c>
      <c r="S990" s="24"/>
      <c r="T990" s="24">
        <f t="shared" si="9"/>
        <v>0</v>
      </c>
    </row>
    <row r="991">
      <c r="A991" s="12" t="s">
        <v>1080</v>
      </c>
      <c r="F991" s="19">
        <f>IFERROR(__xludf.DUMMYFUNCTION("SPLIT(A987, "" |"")"),985.0)</f>
        <v>985</v>
      </c>
      <c r="G991" s="19">
        <f>IFERROR(__xludf.DUMMYFUNCTION("""COMPUTED_VALUE"""),0.00234)</f>
        <v>0.00234</v>
      </c>
      <c r="H991" s="19" t="str">
        <f>IFERROR(__xludf.DUMMYFUNCTION("""COMPUTED_VALUE"""),"-")</f>
        <v>-</v>
      </c>
      <c r="I991" s="19">
        <f>IFERROR(__xludf.DUMMYFUNCTION("""COMPUTED_VALUE"""),0.00224)</f>
        <v>0.00224</v>
      </c>
      <c r="J991" s="19">
        <f>IFERROR(__xludf.DUMMYFUNCTION("""COMPUTED_VALUE"""),0.04744)</f>
        <v>0.04744</v>
      </c>
      <c r="K991" s="19" t="str">
        <f>IFERROR(__xludf.DUMMYFUNCTION("""COMPUTED_VALUE"""),"-")</f>
        <v>-</v>
      </c>
      <c r="L991" s="19">
        <f>IFERROR(__xludf.DUMMYFUNCTION("""COMPUTED_VALUE"""),0.04767)</f>
        <v>0.04767</v>
      </c>
      <c r="O991" s="24">
        <f t="shared" si="4"/>
        <v>0</v>
      </c>
      <c r="P991" s="24"/>
      <c r="Q991" s="24">
        <f t="shared" si="6"/>
        <v>0</v>
      </c>
      <c r="R991" s="24">
        <f t="shared" si="7"/>
        <v>0</v>
      </c>
      <c r="S991" s="24"/>
      <c r="T991" s="24">
        <f t="shared" si="9"/>
        <v>0</v>
      </c>
    </row>
    <row r="992">
      <c r="A992" s="12" t="s">
        <v>1081</v>
      </c>
      <c r="F992" s="19">
        <f>IFERROR(__xludf.DUMMYFUNCTION("SPLIT(A988, "" |"")"),986.0)</f>
        <v>986</v>
      </c>
      <c r="G992" s="19">
        <f>IFERROR(__xludf.DUMMYFUNCTION("""COMPUTED_VALUE"""),0.00239)</f>
        <v>0.00239</v>
      </c>
      <c r="H992" s="19" t="str">
        <f>IFERROR(__xludf.DUMMYFUNCTION("""COMPUTED_VALUE"""),"-")</f>
        <v>-</v>
      </c>
      <c r="I992" s="19">
        <f>IFERROR(__xludf.DUMMYFUNCTION("""COMPUTED_VALUE"""),0.00226)</f>
        <v>0.00226</v>
      </c>
      <c r="J992" s="19">
        <f>IFERROR(__xludf.DUMMYFUNCTION("""COMPUTED_VALUE"""),0.04099)</f>
        <v>0.04099</v>
      </c>
      <c r="K992" s="19" t="str">
        <f>IFERROR(__xludf.DUMMYFUNCTION("""COMPUTED_VALUE"""),"-")</f>
        <v>-</v>
      </c>
      <c r="L992" s="19">
        <f>IFERROR(__xludf.DUMMYFUNCTION("""COMPUTED_VALUE"""),0.0476)</f>
        <v>0.0476</v>
      </c>
      <c r="O992" s="24">
        <f t="shared" si="4"/>
        <v>0</v>
      </c>
      <c r="P992" s="24"/>
      <c r="Q992" s="24">
        <f t="shared" si="6"/>
        <v>0</v>
      </c>
      <c r="R992" s="24">
        <f t="shared" si="7"/>
        <v>1</v>
      </c>
      <c r="S992" s="24"/>
      <c r="T992" s="24">
        <f t="shared" si="9"/>
        <v>0</v>
      </c>
    </row>
    <row r="993">
      <c r="A993" s="12" t="s">
        <v>1082</v>
      </c>
      <c r="F993" s="19">
        <f>IFERROR(__xludf.DUMMYFUNCTION("SPLIT(A989, "" |"")"),987.0)</f>
        <v>987</v>
      </c>
      <c r="G993" s="19">
        <f>IFERROR(__xludf.DUMMYFUNCTION("""COMPUTED_VALUE"""),0.00237)</f>
        <v>0.00237</v>
      </c>
      <c r="H993" s="19" t="str">
        <f>IFERROR(__xludf.DUMMYFUNCTION("""COMPUTED_VALUE"""),"-")</f>
        <v>-</v>
      </c>
      <c r="I993" s="19">
        <f>IFERROR(__xludf.DUMMYFUNCTION("""COMPUTED_VALUE"""),0.00224)</f>
        <v>0.00224</v>
      </c>
      <c r="J993" s="19">
        <f>IFERROR(__xludf.DUMMYFUNCTION("""COMPUTED_VALUE"""),0.04743)</f>
        <v>0.04743</v>
      </c>
      <c r="K993" s="19" t="str">
        <f>IFERROR(__xludf.DUMMYFUNCTION("""COMPUTED_VALUE"""),"-")</f>
        <v>-</v>
      </c>
      <c r="L993" s="19">
        <f>IFERROR(__xludf.DUMMYFUNCTION("""COMPUTED_VALUE"""),0.04753)</f>
        <v>0.04753</v>
      </c>
      <c r="O993" s="24">
        <f t="shared" si="4"/>
        <v>0</v>
      </c>
      <c r="P993" s="24"/>
      <c r="Q993" s="24">
        <f t="shared" si="6"/>
        <v>0</v>
      </c>
      <c r="R993" s="24">
        <f t="shared" si="7"/>
        <v>0</v>
      </c>
      <c r="S993" s="24"/>
      <c r="T993" s="24">
        <f t="shared" si="9"/>
        <v>0</v>
      </c>
    </row>
    <row r="994">
      <c r="A994" s="12" t="s">
        <v>1083</v>
      </c>
      <c r="F994" s="19">
        <f>IFERROR(__xludf.DUMMYFUNCTION("SPLIT(A990, "" |"")"),988.0)</f>
        <v>988</v>
      </c>
      <c r="G994" s="19">
        <f>IFERROR(__xludf.DUMMYFUNCTION("""COMPUTED_VALUE"""),0.00235)</f>
        <v>0.00235</v>
      </c>
      <c r="H994" s="19" t="str">
        <f>IFERROR(__xludf.DUMMYFUNCTION("""COMPUTED_VALUE"""),"-")</f>
        <v>-</v>
      </c>
      <c r="I994" s="19">
        <f>IFERROR(__xludf.DUMMYFUNCTION("""COMPUTED_VALUE"""),0.00222)</f>
        <v>0.00222</v>
      </c>
      <c r="J994" s="19">
        <f>IFERROR(__xludf.DUMMYFUNCTION("""COMPUTED_VALUE"""),0.04739)</f>
        <v>0.04739</v>
      </c>
      <c r="K994" s="19" t="str">
        <f>IFERROR(__xludf.DUMMYFUNCTION("""COMPUTED_VALUE"""),"-")</f>
        <v>-</v>
      </c>
      <c r="L994" s="19">
        <f>IFERROR(__xludf.DUMMYFUNCTION("""COMPUTED_VALUE"""),0.04763)</f>
        <v>0.04763</v>
      </c>
      <c r="O994" s="24">
        <f t="shared" si="4"/>
        <v>0</v>
      </c>
      <c r="P994" s="24"/>
      <c r="Q994" s="24">
        <f t="shared" si="6"/>
        <v>0</v>
      </c>
      <c r="R994" s="24">
        <f t="shared" si="7"/>
        <v>0</v>
      </c>
      <c r="S994" s="24"/>
      <c r="T994" s="24">
        <f t="shared" si="9"/>
        <v>0</v>
      </c>
    </row>
    <row r="995">
      <c r="A995" s="12" t="s">
        <v>1084</v>
      </c>
      <c r="F995" s="19">
        <f>IFERROR(__xludf.DUMMYFUNCTION("SPLIT(A991, "" |"")"),989.0)</f>
        <v>989</v>
      </c>
      <c r="G995" s="19">
        <f>IFERROR(__xludf.DUMMYFUNCTION("""COMPUTED_VALUE"""),0.00236)</f>
        <v>0.00236</v>
      </c>
      <c r="H995" s="19" t="str">
        <f>IFERROR(__xludf.DUMMYFUNCTION("""COMPUTED_VALUE"""),"-")</f>
        <v>-</v>
      </c>
      <c r="I995" s="19">
        <f>IFERROR(__xludf.DUMMYFUNCTION("""COMPUTED_VALUE"""),0.00222)</f>
        <v>0.00222</v>
      </c>
      <c r="J995" s="19">
        <f>IFERROR(__xludf.DUMMYFUNCTION("""COMPUTED_VALUE"""),0.04114)</f>
        <v>0.04114</v>
      </c>
      <c r="K995" s="19" t="str">
        <f>IFERROR(__xludf.DUMMYFUNCTION("""COMPUTED_VALUE"""),"-")</f>
        <v>-</v>
      </c>
      <c r="L995" s="19">
        <f>IFERROR(__xludf.DUMMYFUNCTION("""COMPUTED_VALUE"""),0.04764)</f>
        <v>0.04764</v>
      </c>
      <c r="O995" s="24">
        <f t="shared" si="4"/>
        <v>0</v>
      </c>
      <c r="P995" s="24"/>
      <c r="Q995" s="24">
        <f t="shared" si="6"/>
        <v>0</v>
      </c>
      <c r="R995" s="24">
        <f t="shared" si="7"/>
        <v>1</v>
      </c>
      <c r="S995" s="24"/>
      <c r="T995" s="24">
        <f t="shared" si="9"/>
        <v>0</v>
      </c>
    </row>
    <row r="996">
      <c r="A996" s="12" t="s">
        <v>1085</v>
      </c>
      <c r="F996" s="19">
        <f>IFERROR(__xludf.DUMMYFUNCTION("SPLIT(A992, "" |"")"),990.0)</f>
        <v>990</v>
      </c>
      <c r="G996" s="19">
        <f>IFERROR(__xludf.DUMMYFUNCTION("""COMPUTED_VALUE"""),0.00239)</f>
        <v>0.00239</v>
      </c>
      <c r="H996" s="19" t="str">
        <f>IFERROR(__xludf.DUMMYFUNCTION("""COMPUTED_VALUE"""),"-")</f>
        <v>-</v>
      </c>
      <c r="I996" s="19">
        <f>IFERROR(__xludf.DUMMYFUNCTION("""COMPUTED_VALUE"""),0.00225)</f>
        <v>0.00225</v>
      </c>
      <c r="J996" s="19">
        <f>IFERROR(__xludf.DUMMYFUNCTION("""COMPUTED_VALUE"""),0.04753)</f>
        <v>0.04753</v>
      </c>
      <c r="K996" s="19" t="str">
        <f>IFERROR(__xludf.DUMMYFUNCTION("""COMPUTED_VALUE"""),"-")</f>
        <v>-</v>
      </c>
      <c r="L996" s="19">
        <f>IFERROR(__xludf.DUMMYFUNCTION("""COMPUTED_VALUE"""),0.04768)</f>
        <v>0.04768</v>
      </c>
      <c r="O996" s="24">
        <f t="shared" si="4"/>
        <v>0</v>
      </c>
      <c r="P996" s="24"/>
      <c r="Q996" s="24">
        <f t="shared" si="6"/>
        <v>0</v>
      </c>
      <c r="R996" s="24">
        <f t="shared" si="7"/>
        <v>0</v>
      </c>
      <c r="S996" s="24"/>
      <c r="T996" s="24">
        <f t="shared" si="9"/>
        <v>0</v>
      </c>
    </row>
    <row r="997">
      <c r="A997" s="12" t="s">
        <v>1086</v>
      </c>
      <c r="F997" s="19">
        <f>IFERROR(__xludf.DUMMYFUNCTION("SPLIT(A993, "" |"")"),991.0)</f>
        <v>991</v>
      </c>
      <c r="G997" s="19">
        <f>IFERROR(__xludf.DUMMYFUNCTION("""COMPUTED_VALUE"""),0.00236)</f>
        <v>0.00236</v>
      </c>
      <c r="H997" s="19" t="str">
        <f>IFERROR(__xludf.DUMMYFUNCTION("""COMPUTED_VALUE"""),"-")</f>
        <v>-</v>
      </c>
      <c r="I997" s="19">
        <f>IFERROR(__xludf.DUMMYFUNCTION("""COMPUTED_VALUE"""),0.00217)</f>
        <v>0.00217</v>
      </c>
      <c r="J997" s="19">
        <f>IFERROR(__xludf.DUMMYFUNCTION("""COMPUTED_VALUE"""),0.04741)</f>
        <v>0.04741</v>
      </c>
      <c r="K997" s="19" t="str">
        <f>IFERROR(__xludf.DUMMYFUNCTION("""COMPUTED_VALUE"""),"-")</f>
        <v>-</v>
      </c>
      <c r="L997" s="19">
        <f>IFERROR(__xludf.DUMMYFUNCTION("""COMPUTED_VALUE"""),0.0476)</f>
        <v>0.0476</v>
      </c>
      <c r="O997" s="24">
        <f t="shared" si="4"/>
        <v>0</v>
      </c>
      <c r="P997" s="24"/>
      <c r="Q997" s="24">
        <f t="shared" si="6"/>
        <v>0</v>
      </c>
      <c r="R997" s="24">
        <f t="shared" si="7"/>
        <v>0</v>
      </c>
      <c r="S997" s="24"/>
      <c r="T997" s="24">
        <f t="shared" si="9"/>
        <v>0</v>
      </c>
    </row>
    <row r="998">
      <c r="A998" s="12" t="s">
        <v>1087</v>
      </c>
      <c r="F998" s="19">
        <f>IFERROR(__xludf.DUMMYFUNCTION("SPLIT(A994, "" |"")"),992.0)</f>
        <v>992</v>
      </c>
      <c r="G998" s="19">
        <f>IFERROR(__xludf.DUMMYFUNCTION("""COMPUTED_VALUE"""),0.00231)</f>
        <v>0.00231</v>
      </c>
      <c r="H998" s="19" t="str">
        <f>IFERROR(__xludf.DUMMYFUNCTION("""COMPUTED_VALUE"""),"-")</f>
        <v>-</v>
      </c>
      <c r="I998" s="19">
        <f>IFERROR(__xludf.DUMMYFUNCTION("""COMPUTED_VALUE"""),0.00218)</f>
        <v>0.00218</v>
      </c>
      <c r="J998" s="19">
        <f>IFERROR(__xludf.DUMMYFUNCTION("""COMPUTED_VALUE"""),0.04685)</f>
        <v>0.04685</v>
      </c>
      <c r="K998" s="19" t="str">
        <f>IFERROR(__xludf.DUMMYFUNCTION("""COMPUTED_VALUE"""),"-")</f>
        <v>-</v>
      </c>
      <c r="L998" s="19">
        <f>IFERROR(__xludf.DUMMYFUNCTION("""COMPUTED_VALUE"""),0.04287)</f>
        <v>0.04287</v>
      </c>
      <c r="O998" s="24">
        <f t="shared" si="4"/>
        <v>0</v>
      </c>
      <c r="P998" s="24"/>
      <c r="Q998" s="24">
        <f t="shared" si="6"/>
        <v>0</v>
      </c>
      <c r="R998" s="24">
        <f t="shared" si="7"/>
        <v>0</v>
      </c>
      <c r="S998" s="24"/>
      <c r="T998" s="24">
        <f t="shared" si="9"/>
        <v>0</v>
      </c>
    </row>
    <row r="999">
      <c r="A999" s="12" t="s">
        <v>1088</v>
      </c>
      <c r="F999" s="19">
        <f>IFERROR(__xludf.DUMMYFUNCTION("SPLIT(A995, "" |"")"),993.0)</f>
        <v>993</v>
      </c>
      <c r="G999" s="19">
        <f>IFERROR(__xludf.DUMMYFUNCTION("""COMPUTED_VALUE"""),0.00236)</f>
        <v>0.00236</v>
      </c>
      <c r="H999" s="19" t="str">
        <f>IFERROR(__xludf.DUMMYFUNCTION("""COMPUTED_VALUE"""),"-")</f>
        <v>-</v>
      </c>
      <c r="I999" s="19">
        <f>IFERROR(__xludf.DUMMYFUNCTION("""COMPUTED_VALUE"""),0.0022)</f>
        <v>0.0022</v>
      </c>
      <c r="J999" s="19">
        <f>IFERROR(__xludf.DUMMYFUNCTION("""COMPUTED_VALUE"""),0.04741)</f>
        <v>0.04741</v>
      </c>
      <c r="K999" s="19" t="str">
        <f>IFERROR(__xludf.DUMMYFUNCTION("""COMPUTED_VALUE"""),"-")</f>
        <v>-</v>
      </c>
      <c r="L999" s="19">
        <f>IFERROR(__xludf.DUMMYFUNCTION("""COMPUTED_VALUE"""),0.04771)</f>
        <v>0.04771</v>
      </c>
      <c r="O999" s="24">
        <f t="shared" si="4"/>
        <v>0</v>
      </c>
      <c r="P999" s="24"/>
      <c r="Q999" s="24">
        <f t="shared" si="6"/>
        <v>0</v>
      </c>
      <c r="R999" s="24">
        <f t="shared" si="7"/>
        <v>0</v>
      </c>
      <c r="S999" s="24"/>
      <c r="T999" s="24">
        <f t="shared" si="9"/>
        <v>0</v>
      </c>
    </row>
    <row r="1000">
      <c r="A1000" s="12" t="s">
        <v>1089</v>
      </c>
      <c r="F1000" s="19">
        <f>IFERROR(__xludf.DUMMYFUNCTION("SPLIT(A996, "" |"")"),994.0)</f>
        <v>994</v>
      </c>
      <c r="G1000" s="19">
        <f>IFERROR(__xludf.DUMMYFUNCTION("""COMPUTED_VALUE"""),0.00245)</f>
        <v>0.00245</v>
      </c>
      <c r="H1000" s="19" t="str">
        <f>IFERROR(__xludf.DUMMYFUNCTION("""COMPUTED_VALUE"""),"-")</f>
        <v>-</v>
      </c>
      <c r="I1000" s="19">
        <f>IFERROR(__xludf.DUMMYFUNCTION("""COMPUTED_VALUE"""),0.00223)</f>
        <v>0.00223</v>
      </c>
      <c r="J1000" s="19">
        <f>IFERROR(__xludf.DUMMYFUNCTION("""COMPUTED_VALUE"""),0.04533)</f>
        <v>0.04533</v>
      </c>
      <c r="K1000" s="19" t="str">
        <f>IFERROR(__xludf.DUMMYFUNCTION("""COMPUTED_VALUE"""),"-")</f>
        <v>-</v>
      </c>
      <c r="L1000" s="19">
        <f>IFERROR(__xludf.DUMMYFUNCTION("""COMPUTED_VALUE"""),0.04764)</f>
        <v>0.04764</v>
      </c>
      <c r="O1000" s="24">
        <f t="shared" si="4"/>
        <v>0</v>
      </c>
      <c r="P1000" s="24"/>
      <c r="Q1000" s="24">
        <f t="shared" si="6"/>
        <v>0</v>
      </c>
      <c r="R1000" s="24">
        <f t="shared" si="7"/>
        <v>0</v>
      </c>
      <c r="S1000" s="24"/>
      <c r="T1000" s="24">
        <f t="shared" si="9"/>
        <v>0</v>
      </c>
    </row>
    <row r="1001">
      <c r="A1001" s="12" t="s">
        <v>1090</v>
      </c>
      <c r="F1001" s="19">
        <f>IFERROR(__xludf.DUMMYFUNCTION("SPLIT(A997, "" |"")"),995.0)</f>
        <v>995</v>
      </c>
      <c r="G1001" s="19">
        <f>IFERROR(__xludf.DUMMYFUNCTION("""COMPUTED_VALUE"""),0.00246)</f>
        <v>0.00246</v>
      </c>
      <c r="H1001" s="19" t="str">
        <f>IFERROR(__xludf.DUMMYFUNCTION("""COMPUTED_VALUE"""),"-")</f>
        <v>-</v>
      </c>
      <c r="I1001" s="19">
        <f>IFERROR(__xludf.DUMMYFUNCTION("""COMPUTED_VALUE"""),0.00223)</f>
        <v>0.00223</v>
      </c>
      <c r="J1001" s="19">
        <f>IFERROR(__xludf.DUMMYFUNCTION("""COMPUTED_VALUE"""),0.04744)</f>
        <v>0.04744</v>
      </c>
      <c r="K1001" s="19" t="str">
        <f>IFERROR(__xludf.DUMMYFUNCTION("""COMPUTED_VALUE"""),"-")</f>
        <v>-</v>
      </c>
      <c r="L1001" s="19">
        <f>IFERROR(__xludf.DUMMYFUNCTION("""COMPUTED_VALUE"""),0.04769)</f>
        <v>0.04769</v>
      </c>
      <c r="O1001" s="24">
        <f t="shared" si="4"/>
        <v>0</v>
      </c>
      <c r="P1001" s="24"/>
      <c r="Q1001" s="24">
        <f t="shared" si="6"/>
        <v>0</v>
      </c>
      <c r="R1001" s="24">
        <f t="shared" si="7"/>
        <v>0</v>
      </c>
      <c r="S1001" s="24"/>
      <c r="T1001" s="24">
        <f t="shared" si="9"/>
        <v>0</v>
      </c>
    </row>
    <row r="1002">
      <c r="A1002" s="12" t="s">
        <v>1091</v>
      </c>
      <c r="F1002" s="19">
        <f>IFERROR(__xludf.DUMMYFUNCTION("SPLIT(A998, "" |"")"),996.0)</f>
        <v>996</v>
      </c>
      <c r="G1002" s="19">
        <f>IFERROR(__xludf.DUMMYFUNCTION("""COMPUTED_VALUE"""),0.00239)</f>
        <v>0.00239</v>
      </c>
      <c r="H1002" s="19" t="str">
        <f>IFERROR(__xludf.DUMMYFUNCTION("""COMPUTED_VALUE"""),"-")</f>
        <v>-</v>
      </c>
      <c r="I1002" s="19">
        <f>IFERROR(__xludf.DUMMYFUNCTION("""COMPUTED_VALUE"""),0.00222)</f>
        <v>0.00222</v>
      </c>
      <c r="J1002" s="19">
        <f>IFERROR(__xludf.DUMMYFUNCTION("""COMPUTED_VALUE"""),0.04347)</f>
        <v>0.04347</v>
      </c>
      <c r="K1002" s="19" t="str">
        <f>IFERROR(__xludf.DUMMYFUNCTION("""COMPUTED_VALUE"""),"-")</f>
        <v>-</v>
      </c>
      <c r="L1002" s="19">
        <f>IFERROR(__xludf.DUMMYFUNCTION("""COMPUTED_VALUE"""),0.04471)</f>
        <v>0.04471</v>
      </c>
      <c r="O1002" s="24">
        <f t="shared" si="4"/>
        <v>0</v>
      </c>
      <c r="P1002" s="24"/>
      <c r="Q1002" s="24">
        <f t="shared" si="6"/>
        <v>0</v>
      </c>
      <c r="R1002" s="24">
        <f t="shared" si="7"/>
        <v>1</v>
      </c>
      <c r="S1002" s="24"/>
      <c r="T1002" s="24">
        <f t="shared" si="9"/>
        <v>0</v>
      </c>
    </row>
    <row r="1003">
      <c r="A1003" s="12" t="s">
        <v>1092</v>
      </c>
      <c r="F1003" s="19">
        <f>IFERROR(__xludf.DUMMYFUNCTION("SPLIT(A999, "" |"")"),997.0)</f>
        <v>997</v>
      </c>
      <c r="G1003" s="19">
        <f>IFERROR(__xludf.DUMMYFUNCTION("""COMPUTED_VALUE"""),0.00234)</f>
        <v>0.00234</v>
      </c>
      <c r="H1003" s="19" t="str">
        <f>IFERROR(__xludf.DUMMYFUNCTION("""COMPUTED_VALUE"""),"-")</f>
        <v>-</v>
      </c>
      <c r="I1003" s="19">
        <f>IFERROR(__xludf.DUMMYFUNCTION("""COMPUTED_VALUE"""),0.00216)</f>
        <v>0.00216</v>
      </c>
      <c r="J1003" s="19">
        <f>IFERROR(__xludf.DUMMYFUNCTION("""COMPUTED_VALUE"""),0.04735)</f>
        <v>0.04735</v>
      </c>
      <c r="K1003" s="19" t="str">
        <f>IFERROR(__xludf.DUMMYFUNCTION("""COMPUTED_VALUE"""),"-")</f>
        <v>-</v>
      </c>
      <c r="L1003" s="19">
        <f>IFERROR(__xludf.DUMMYFUNCTION("""COMPUTED_VALUE"""),0.04769)</f>
        <v>0.04769</v>
      </c>
      <c r="O1003" s="24">
        <f t="shared" si="4"/>
        <v>0</v>
      </c>
      <c r="P1003" s="24"/>
      <c r="Q1003" s="24">
        <f t="shared" si="6"/>
        <v>0</v>
      </c>
      <c r="R1003" s="24">
        <f t="shared" si="7"/>
        <v>0</v>
      </c>
      <c r="S1003" s="24"/>
      <c r="T1003" s="24">
        <f t="shared" si="9"/>
        <v>0</v>
      </c>
    </row>
    <row r="1004">
      <c r="A1004" s="12"/>
      <c r="F1004" s="19">
        <f>IFERROR(__xludf.DUMMYFUNCTION("SPLIT(A1000, "" |"")"),998.0)</f>
        <v>998</v>
      </c>
      <c r="G1004" s="19">
        <f>IFERROR(__xludf.DUMMYFUNCTION("""COMPUTED_VALUE"""),0.00237)</f>
        <v>0.00237</v>
      </c>
      <c r="H1004" s="19" t="str">
        <f>IFERROR(__xludf.DUMMYFUNCTION("""COMPUTED_VALUE"""),"-")</f>
        <v>-</v>
      </c>
      <c r="I1004" s="19">
        <f>IFERROR(__xludf.DUMMYFUNCTION("""COMPUTED_VALUE"""),0.00222)</f>
        <v>0.00222</v>
      </c>
      <c r="J1004" s="19">
        <f>IFERROR(__xludf.DUMMYFUNCTION("""COMPUTED_VALUE"""),0.04744)</f>
        <v>0.04744</v>
      </c>
      <c r="K1004" s="19" t="str">
        <f>IFERROR(__xludf.DUMMYFUNCTION("""COMPUTED_VALUE"""),"-")</f>
        <v>-</v>
      </c>
      <c r="L1004" s="19">
        <f>IFERROR(__xludf.DUMMYFUNCTION("""COMPUTED_VALUE"""),0.0476)</f>
        <v>0.0476</v>
      </c>
      <c r="O1004" s="24">
        <f t="shared" si="4"/>
        <v>0</v>
      </c>
      <c r="P1004" s="24"/>
      <c r="Q1004" s="24">
        <f t="shared" si="6"/>
        <v>0</v>
      </c>
      <c r="R1004" s="24">
        <f t="shared" si="7"/>
        <v>0</v>
      </c>
      <c r="S1004" s="24"/>
      <c r="T1004" s="24">
        <f t="shared" si="9"/>
        <v>0</v>
      </c>
    </row>
    <row r="1005">
      <c r="A1005" s="12" t="s">
        <v>1093</v>
      </c>
      <c r="F1005" s="19">
        <f>IFERROR(__xludf.DUMMYFUNCTION("SPLIT(A1001, "" |"")"),999.0)</f>
        <v>999</v>
      </c>
      <c r="G1005" s="19">
        <f>IFERROR(__xludf.DUMMYFUNCTION("""COMPUTED_VALUE"""),0.00244)</f>
        <v>0.00244</v>
      </c>
      <c r="H1005" s="19" t="str">
        <f>IFERROR(__xludf.DUMMYFUNCTION("""COMPUTED_VALUE"""),"-")</f>
        <v>-</v>
      </c>
      <c r="I1005" s="19">
        <f>IFERROR(__xludf.DUMMYFUNCTION("""COMPUTED_VALUE"""),0.00222)</f>
        <v>0.00222</v>
      </c>
      <c r="J1005" s="19">
        <f>IFERROR(__xludf.DUMMYFUNCTION("""COMPUTED_VALUE"""),0.04662)</f>
        <v>0.04662</v>
      </c>
      <c r="K1005" s="19" t="str">
        <f>IFERROR(__xludf.DUMMYFUNCTION("""COMPUTED_VALUE"""),"-")</f>
        <v>-</v>
      </c>
      <c r="L1005" s="19">
        <f>IFERROR(__xludf.DUMMYFUNCTION("""COMPUTED_VALUE"""),0.04469)</f>
        <v>0.04469</v>
      </c>
      <c r="O1005" s="24">
        <f t="shared" si="4"/>
        <v>0</v>
      </c>
      <c r="P1005" s="24"/>
      <c r="Q1005" s="24">
        <f t="shared" si="6"/>
        <v>0</v>
      </c>
      <c r="R1005" s="24">
        <f t="shared" si="7"/>
        <v>0</v>
      </c>
      <c r="S1005" s="24"/>
      <c r="T1005" s="24">
        <f t="shared" si="9"/>
        <v>0</v>
      </c>
    </row>
    <row r="1006">
      <c r="A1006" s="12" t="s">
        <v>1094</v>
      </c>
      <c r="F1006" s="19">
        <f>IFERROR(__xludf.DUMMYFUNCTION("SPLIT(A1002, "" |"")"),1000.0)</f>
        <v>1000</v>
      </c>
      <c r="G1006" s="19">
        <f>IFERROR(__xludf.DUMMYFUNCTION("""COMPUTED_VALUE"""),0.00237)</f>
        <v>0.00237</v>
      </c>
      <c r="H1006" s="19" t="str">
        <f>IFERROR(__xludf.DUMMYFUNCTION("""COMPUTED_VALUE"""),"-")</f>
        <v>-</v>
      </c>
      <c r="I1006" s="19">
        <f>IFERROR(__xludf.DUMMYFUNCTION("""COMPUTED_VALUE"""),0.00224)</f>
        <v>0.00224</v>
      </c>
      <c r="J1006" s="19">
        <f>IFERROR(__xludf.DUMMYFUNCTION("""COMPUTED_VALUE"""),0.04749)</f>
        <v>0.04749</v>
      </c>
      <c r="K1006" s="19" t="str">
        <f>IFERROR(__xludf.DUMMYFUNCTION("""COMPUTED_VALUE"""),"-")</f>
        <v>-</v>
      </c>
      <c r="L1006" s="19">
        <f>IFERROR(__xludf.DUMMYFUNCTION("""COMPUTED_VALUE"""),0.04771)</f>
        <v>0.04771</v>
      </c>
      <c r="O1006" s="24">
        <f t="shared" si="4"/>
        <v>0</v>
      </c>
      <c r="P1006" s="24"/>
      <c r="Q1006" s="24">
        <f t="shared" si="6"/>
        <v>0</v>
      </c>
      <c r="R1006" s="24">
        <f t="shared" si="7"/>
        <v>0</v>
      </c>
      <c r="S1006" s="24"/>
      <c r="T1006" s="24">
        <f t="shared" si="9"/>
        <v>0</v>
      </c>
    </row>
    <row r="1007">
      <c r="A1007" s="12" t="s">
        <v>1095</v>
      </c>
      <c r="F1007" s="19">
        <f>IFERROR(__xludf.DUMMYFUNCTION("SPLIT(A1003, "" |"")"),1001.0)</f>
        <v>1001</v>
      </c>
      <c r="G1007" s="19">
        <f>IFERROR(__xludf.DUMMYFUNCTION("""COMPUTED_VALUE"""),0.00236)</f>
        <v>0.00236</v>
      </c>
      <c r="H1007" s="19" t="str">
        <f>IFERROR(__xludf.DUMMYFUNCTION("""COMPUTED_VALUE"""),"-")</f>
        <v>-</v>
      </c>
      <c r="I1007" s="19">
        <f>IFERROR(__xludf.DUMMYFUNCTION("""COMPUTED_VALUE"""),0.00224)</f>
        <v>0.00224</v>
      </c>
      <c r="J1007" s="19">
        <f>IFERROR(__xludf.DUMMYFUNCTION("""COMPUTED_VALUE"""),0.04744)</f>
        <v>0.04744</v>
      </c>
      <c r="K1007" s="19" t="str">
        <f>IFERROR(__xludf.DUMMYFUNCTION("""COMPUTED_VALUE"""),"-")</f>
        <v>-</v>
      </c>
      <c r="L1007" s="19" t="str">
        <f>IFERROR(__xludf.DUMMYFUNCTION("""COMPUTED_VALUE"""),"-")</f>
        <v>-</v>
      </c>
      <c r="O1007" s="24">
        <f t="shared" si="4"/>
        <v>0</v>
      </c>
      <c r="P1007" s="24"/>
      <c r="Q1007" s="24">
        <f t="shared" si="6"/>
        <v>0</v>
      </c>
      <c r="R1007" s="24">
        <f t="shared" si="7"/>
        <v>0</v>
      </c>
      <c r="S1007" s="24"/>
      <c r="T1007" s="24"/>
    </row>
    <row r="1008">
      <c r="A1008" s="12" t="s">
        <v>1096</v>
      </c>
      <c r="F1008" s="19" t="str">
        <f>IFERROR(__xludf.DUMMYFUNCTION("SPLIT(A1004, "" |"")"),"#VALUE!")</f>
        <v>#VALUE!</v>
      </c>
      <c r="O1008" s="24">
        <f t="shared" si="4"/>
        <v>1</v>
      </c>
      <c r="P1008" s="24"/>
      <c r="Q1008" s="24">
        <f t="shared" si="6"/>
        <v>1</v>
      </c>
      <c r="R1008" s="24">
        <f t="shared" si="7"/>
        <v>1</v>
      </c>
      <c r="S1008" s="24"/>
      <c r="T1008" s="24"/>
    </row>
    <row r="1009">
      <c r="A1009" s="12" t="s">
        <v>1097</v>
      </c>
      <c r="F1009" s="19">
        <f>IFERROR(__xludf.DUMMYFUNCTION("SPLIT(A1005, "" |"")"),1003.0)</f>
        <v>1003</v>
      </c>
      <c r="G1009" s="19">
        <f>IFERROR(__xludf.DUMMYFUNCTION("""COMPUTED_VALUE"""),0.00257)</f>
        <v>0.00257</v>
      </c>
      <c r="H1009" s="19" t="str">
        <f>IFERROR(__xludf.DUMMYFUNCTION("""COMPUTED_VALUE"""),"-")</f>
        <v>-</v>
      </c>
      <c r="I1009" s="19">
        <f>IFERROR(__xludf.DUMMYFUNCTION("""COMPUTED_VALUE"""),0.00221)</f>
        <v>0.00221</v>
      </c>
      <c r="J1009" s="19">
        <f>IFERROR(__xludf.DUMMYFUNCTION("""COMPUTED_VALUE"""),0.04738)</f>
        <v>0.04738</v>
      </c>
      <c r="K1009" s="19" t="str">
        <f>IFERROR(__xludf.DUMMYFUNCTION("""COMPUTED_VALUE"""),"-")</f>
        <v>-</v>
      </c>
      <c r="L1009" s="19" t="str">
        <f>IFERROR(__xludf.DUMMYFUNCTION("""COMPUTED_VALUE"""),"-")</f>
        <v>-</v>
      </c>
      <c r="O1009" s="24">
        <f t="shared" si="4"/>
        <v>0</v>
      </c>
      <c r="P1009" s="24"/>
      <c r="Q1009" s="24">
        <f t="shared" si="6"/>
        <v>0</v>
      </c>
      <c r="R1009" s="24">
        <f t="shared" si="7"/>
        <v>0</v>
      </c>
      <c r="S1009" s="24"/>
      <c r="T1009" s="24"/>
    </row>
    <row r="1010">
      <c r="A1010" s="12" t="s">
        <v>1098</v>
      </c>
      <c r="F1010" s="19">
        <f>IFERROR(__xludf.DUMMYFUNCTION("SPLIT(A1006, "" |"")"),1004.0)</f>
        <v>1004</v>
      </c>
      <c r="G1010" s="19">
        <f>IFERROR(__xludf.DUMMYFUNCTION("""COMPUTED_VALUE"""),0.00222)</f>
        <v>0.00222</v>
      </c>
      <c r="H1010" s="19" t="str">
        <f>IFERROR(__xludf.DUMMYFUNCTION("""COMPUTED_VALUE"""),"-")</f>
        <v>-</v>
      </c>
      <c r="I1010" s="19">
        <f>IFERROR(__xludf.DUMMYFUNCTION("""COMPUTED_VALUE"""),0.00207)</f>
        <v>0.00207</v>
      </c>
      <c r="J1010" s="19">
        <f>IFERROR(__xludf.DUMMYFUNCTION("""COMPUTED_VALUE"""),0.03992)</f>
        <v>0.03992</v>
      </c>
      <c r="K1010" s="19" t="str">
        <f>IFERROR(__xludf.DUMMYFUNCTION("""COMPUTED_VALUE"""),"-")</f>
        <v>-</v>
      </c>
      <c r="L1010" s="19" t="str">
        <f>IFERROR(__xludf.DUMMYFUNCTION("""COMPUTED_VALUE"""),"-")</f>
        <v>-</v>
      </c>
      <c r="O1010" s="24">
        <f t="shared" si="4"/>
        <v>0</v>
      </c>
      <c r="P1010" s="24"/>
      <c r="Q1010" s="24">
        <f t="shared" si="6"/>
        <v>0</v>
      </c>
      <c r="R1010" s="24">
        <f t="shared" si="7"/>
        <v>1</v>
      </c>
      <c r="S1010" s="24"/>
      <c r="T1010" s="24"/>
    </row>
    <row r="1011">
      <c r="A1011" s="12" t="s">
        <v>1099</v>
      </c>
      <c r="F1011" s="19">
        <f>IFERROR(__xludf.DUMMYFUNCTION("SPLIT(A1007, "" |"")"),1005.0)</f>
        <v>1005</v>
      </c>
      <c r="G1011" s="19">
        <f>IFERROR(__xludf.DUMMYFUNCTION("""COMPUTED_VALUE"""),0.00224)</f>
        <v>0.00224</v>
      </c>
      <c r="H1011" s="19" t="str">
        <f>IFERROR(__xludf.DUMMYFUNCTION("""COMPUTED_VALUE"""),"-")</f>
        <v>-</v>
      </c>
      <c r="I1011" s="19">
        <f>IFERROR(__xludf.DUMMYFUNCTION("""COMPUTED_VALUE"""),0.00207)</f>
        <v>0.00207</v>
      </c>
      <c r="J1011" s="19">
        <f>IFERROR(__xludf.DUMMYFUNCTION("""COMPUTED_VALUE"""),0.04404)</f>
        <v>0.04404</v>
      </c>
      <c r="K1011" s="19" t="str">
        <f>IFERROR(__xludf.DUMMYFUNCTION("""COMPUTED_VALUE"""),"-")</f>
        <v>-</v>
      </c>
      <c r="L1011" s="19" t="str">
        <f>IFERROR(__xludf.DUMMYFUNCTION("""COMPUTED_VALUE"""),"-")</f>
        <v>-</v>
      </c>
      <c r="O1011" s="24">
        <f t="shared" si="4"/>
        <v>0</v>
      </c>
      <c r="P1011" s="24"/>
      <c r="Q1011" s="24">
        <f t="shared" si="6"/>
        <v>0</v>
      </c>
      <c r="R1011" s="24">
        <f t="shared" si="7"/>
        <v>1</v>
      </c>
      <c r="S1011" s="24"/>
      <c r="T1011" s="24"/>
    </row>
    <row r="1012">
      <c r="A1012" s="12" t="s">
        <v>1100</v>
      </c>
      <c r="F1012" s="19">
        <f>IFERROR(__xludf.DUMMYFUNCTION("SPLIT(A1008, "" |"")"),1006.0)</f>
        <v>1006</v>
      </c>
      <c r="G1012" s="19">
        <f>IFERROR(__xludf.DUMMYFUNCTION("""COMPUTED_VALUE"""),0.00232)</f>
        <v>0.00232</v>
      </c>
      <c r="H1012" s="19" t="str">
        <f>IFERROR(__xludf.DUMMYFUNCTION("""COMPUTED_VALUE"""),"-")</f>
        <v>-</v>
      </c>
      <c r="I1012" s="19">
        <f>IFERROR(__xludf.DUMMYFUNCTION("""COMPUTED_VALUE"""),0.00208)</f>
        <v>0.00208</v>
      </c>
      <c r="J1012" s="19">
        <f>IFERROR(__xludf.DUMMYFUNCTION("""COMPUTED_VALUE"""),0.04721)</f>
        <v>0.04721</v>
      </c>
      <c r="K1012" s="19" t="str">
        <f>IFERROR(__xludf.DUMMYFUNCTION("""COMPUTED_VALUE"""),"-")</f>
        <v>-</v>
      </c>
      <c r="L1012" s="19" t="str">
        <f>IFERROR(__xludf.DUMMYFUNCTION("""COMPUTED_VALUE"""),"-")</f>
        <v>-</v>
      </c>
      <c r="O1012" s="24">
        <f t="shared" si="4"/>
        <v>0</v>
      </c>
      <c r="P1012" s="24"/>
      <c r="Q1012" s="24">
        <f t="shared" si="6"/>
        <v>0</v>
      </c>
      <c r="R1012" s="24">
        <f t="shared" si="7"/>
        <v>0</v>
      </c>
      <c r="S1012" s="24"/>
      <c r="T1012" s="24"/>
    </row>
    <row r="1013">
      <c r="A1013" s="12" t="s">
        <v>1101</v>
      </c>
      <c r="F1013" s="19">
        <f>IFERROR(__xludf.DUMMYFUNCTION("SPLIT(A1009, "" |"")"),1007.0)</f>
        <v>1007</v>
      </c>
      <c r="G1013" s="19">
        <f>IFERROR(__xludf.DUMMYFUNCTION("""COMPUTED_VALUE"""),0.00228)</f>
        <v>0.00228</v>
      </c>
      <c r="H1013" s="19" t="str">
        <f>IFERROR(__xludf.DUMMYFUNCTION("""COMPUTED_VALUE"""),"-")</f>
        <v>-</v>
      </c>
      <c r="I1013" s="19">
        <f>IFERROR(__xludf.DUMMYFUNCTION("""COMPUTED_VALUE"""),0.00208)</f>
        <v>0.00208</v>
      </c>
      <c r="J1013" s="19">
        <f>IFERROR(__xludf.DUMMYFUNCTION("""COMPUTED_VALUE"""),0.0473)</f>
        <v>0.0473</v>
      </c>
      <c r="K1013" s="19" t="str">
        <f>IFERROR(__xludf.DUMMYFUNCTION("""COMPUTED_VALUE"""),"-")</f>
        <v>-</v>
      </c>
      <c r="L1013" s="19" t="str">
        <f>IFERROR(__xludf.DUMMYFUNCTION("""COMPUTED_VALUE"""),"-")</f>
        <v>-</v>
      </c>
      <c r="O1013" s="24">
        <f t="shared" si="4"/>
        <v>0</v>
      </c>
      <c r="P1013" s="24"/>
      <c r="Q1013" s="24">
        <f t="shared" si="6"/>
        <v>0</v>
      </c>
      <c r="R1013" s="24">
        <f t="shared" si="7"/>
        <v>0</v>
      </c>
      <c r="S1013" s="24"/>
      <c r="T1013" s="24"/>
    </row>
    <row r="1014">
      <c r="A1014" s="12" t="s">
        <v>1102</v>
      </c>
      <c r="F1014" s="19">
        <f>IFERROR(__xludf.DUMMYFUNCTION("SPLIT(A1010, "" |"")"),1008.0)</f>
        <v>1008</v>
      </c>
      <c r="G1014" s="19">
        <f>IFERROR(__xludf.DUMMYFUNCTION("""COMPUTED_VALUE"""),0.00225)</f>
        <v>0.00225</v>
      </c>
      <c r="H1014" s="19" t="str">
        <f>IFERROR(__xludf.DUMMYFUNCTION("""COMPUTED_VALUE"""),"-")</f>
        <v>-</v>
      </c>
      <c r="I1014" s="19">
        <f>IFERROR(__xludf.DUMMYFUNCTION("""COMPUTED_VALUE"""),0.00208)</f>
        <v>0.00208</v>
      </c>
      <c r="J1014" s="19">
        <f>IFERROR(__xludf.DUMMYFUNCTION("""COMPUTED_VALUE"""),0.0473)</f>
        <v>0.0473</v>
      </c>
      <c r="K1014" s="19" t="str">
        <f>IFERROR(__xludf.DUMMYFUNCTION("""COMPUTED_VALUE"""),"-")</f>
        <v>-</v>
      </c>
      <c r="L1014" s="19" t="str">
        <f>IFERROR(__xludf.DUMMYFUNCTION("""COMPUTED_VALUE"""),"-")</f>
        <v>-</v>
      </c>
      <c r="O1014" s="24">
        <f t="shared" si="4"/>
        <v>0</v>
      </c>
      <c r="P1014" s="24"/>
      <c r="Q1014" s="24">
        <f t="shared" si="6"/>
        <v>0</v>
      </c>
      <c r="R1014" s="24">
        <f t="shared" si="7"/>
        <v>0</v>
      </c>
      <c r="S1014" s="24"/>
      <c r="T1014" s="24"/>
    </row>
    <row r="1015">
      <c r="A1015" s="12" t="s">
        <v>1103</v>
      </c>
      <c r="F1015" s="19">
        <f>IFERROR(__xludf.DUMMYFUNCTION("SPLIT(A1011, "" |"")"),1009.0)</f>
        <v>1009</v>
      </c>
      <c r="G1015" s="19">
        <f>IFERROR(__xludf.DUMMYFUNCTION("""COMPUTED_VALUE"""),0.00233)</f>
        <v>0.00233</v>
      </c>
      <c r="H1015" s="19" t="str">
        <f>IFERROR(__xludf.DUMMYFUNCTION("""COMPUTED_VALUE"""),"-")</f>
        <v>-</v>
      </c>
      <c r="I1015" s="19">
        <f>IFERROR(__xludf.DUMMYFUNCTION("""COMPUTED_VALUE"""),0.00217)</f>
        <v>0.00217</v>
      </c>
      <c r="J1015" s="19">
        <f>IFERROR(__xludf.DUMMYFUNCTION("""COMPUTED_VALUE"""),0.04583)</f>
        <v>0.04583</v>
      </c>
      <c r="K1015" s="19" t="str">
        <f>IFERROR(__xludf.DUMMYFUNCTION("""COMPUTED_VALUE"""),"-")</f>
        <v>-</v>
      </c>
      <c r="L1015" s="19" t="str">
        <f>IFERROR(__xludf.DUMMYFUNCTION("""COMPUTED_VALUE"""),"-")</f>
        <v>-</v>
      </c>
      <c r="O1015" s="24">
        <f t="shared" si="4"/>
        <v>0</v>
      </c>
      <c r="P1015" s="24"/>
      <c r="Q1015" s="24">
        <f t="shared" si="6"/>
        <v>0</v>
      </c>
      <c r="R1015" s="24">
        <f t="shared" si="7"/>
        <v>0</v>
      </c>
      <c r="S1015" s="24"/>
      <c r="T1015" s="24"/>
    </row>
    <row r="1016">
      <c r="A1016" s="12" t="s">
        <v>1104</v>
      </c>
      <c r="F1016" s="19">
        <f>IFERROR(__xludf.DUMMYFUNCTION("SPLIT(A1012, "" |"")"),1010.0)</f>
        <v>1010</v>
      </c>
      <c r="G1016" s="19">
        <f>IFERROR(__xludf.DUMMYFUNCTION("""COMPUTED_VALUE"""),0.00224)</f>
        <v>0.00224</v>
      </c>
      <c r="H1016" s="19" t="str">
        <f>IFERROR(__xludf.DUMMYFUNCTION("""COMPUTED_VALUE"""),"-")</f>
        <v>-</v>
      </c>
      <c r="I1016" s="19">
        <f>IFERROR(__xludf.DUMMYFUNCTION("""COMPUTED_VALUE"""),0.00215)</f>
        <v>0.00215</v>
      </c>
      <c r="J1016" s="19">
        <f>IFERROR(__xludf.DUMMYFUNCTION("""COMPUTED_VALUE"""),0.04732)</f>
        <v>0.04732</v>
      </c>
      <c r="K1016" s="19" t="str">
        <f>IFERROR(__xludf.DUMMYFUNCTION("""COMPUTED_VALUE"""),"-")</f>
        <v>-</v>
      </c>
      <c r="L1016" s="19" t="str">
        <f>IFERROR(__xludf.DUMMYFUNCTION("""COMPUTED_VALUE"""),"-")</f>
        <v>-</v>
      </c>
      <c r="O1016" s="24">
        <f t="shared" si="4"/>
        <v>0</v>
      </c>
      <c r="P1016" s="24"/>
      <c r="Q1016" s="24">
        <f t="shared" si="6"/>
        <v>0</v>
      </c>
      <c r="R1016" s="24">
        <f t="shared" si="7"/>
        <v>0</v>
      </c>
      <c r="S1016" s="24"/>
      <c r="T1016" s="24"/>
    </row>
    <row r="1017">
      <c r="A1017" s="12" t="s">
        <v>1105</v>
      </c>
      <c r="F1017" s="19">
        <f>IFERROR(__xludf.DUMMYFUNCTION("SPLIT(A1013, "" |"")"),1011.0)</f>
        <v>1011</v>
      </c>
      <c r="G1017" s="19">
        <f>IFERROR(__xludf.DUMMYFUNCTION("""COMPUTED_VALUE"""),0.00232)</f>
        <v>0.00232</v>
      </c>
      <c r="H1017" s="19" t="str">
        <f>IFERROR(__xludf.DUMMYFUNCTION("""COMPUTED_VALUE"""),"-")</f>
        <v>-</v>
      </c>
      <c r="I1017" s="19">
        <f>IFERROR(__xludf.DUMMYFUNCTION("""COMPUTED_VALUE"""),0.00215)</f>
        <v>0.00215</v>
      </c>
      <c r="J1017" s="19">
        <f>IFERROR(__xludf.DUMMYFUNCTION("""COMPUTED_VALUE"""),0.04428)</f>
        <v>0.04428</v>
      </c>
      <c r="K1017" s="19" t="str">
        <f>IFERROR(__xludf.DUMMYFUNCTION("""COMPUTED_VALUE"""),"-")</f>
        <v>-</v>
      </c>
      <c r="L1017" s="19" t="str">
        <f>IFERROR(__xludf.DUMMYFUNCTION("""COMPUTED_VALUE"""),"-")</f>
        <v>-</v>
      </c>
      <c r="O1017" s="24">
        <f t="shared" si="4"/>
        <v>0</v>
      </c>
      <c r="P1017" s="24"/>
      <c r="Q1017" s="24">
        <f t="shared" si="6"/>
        <v>0</v>
      </c>
      <c r="R1017" s="24">
        <f t="shared" si="7"/>
        <v>1</v>
      </c>
      <c r="S1017" s="24"/>
      <c r="T1017" s="24"/>
    </row>
    <row r="1018">
      <c r="A1018" s="12" t="s">
        <v>1106</v>
      </c>
      <c r="F1018" s="19">
        <f>IFERROR(__xludf.DUMMYFUNCTION("SPLIT(A1014, "" |"")"),1012.0)</f>
        <v>1012</v>
      </c>
      <c r="G1018" s="19">
        <f>IFERROR(__xludf.DUMMYFUNCTION("""COMPUTED_VALUE"""),0.00231)</f>
        <v>0.00231</v>
      </c>
      <c r="H1018" s="19" t="str">
        <f>IFERROR(__xludf.DUMMYFUNCTION("""COMPUTED_VALUE"""),"-")</f>
        <v>-</v>
      </c>
      <c r="I1018" s="19">
        <f>IFERROR(__xludf.DUMMYFUNCTION("""COMPUTED_VALUE"""),0.00174)</f>
        <v>0.00174</v>
      </c>
      <c r="J1018" s="19">
        <f>IFERROR(__xludf.DUMMYFUNCTION("""COMPUTED_VALUE"""),0.04491)</f>
        <v>0.04491</v>
      </c>
      <c r="K1018" s="19" t="str">
        <f>IFERROR(__xludf.DUMMYFUNCTION("""COMPUTED_VALUE"""),"-")</f>
        <v>-</v>
      </c>
      <c r="L1018" s="19" t="str">
        <f>IFERROR(__xludf.DUMMYFUNCTION("""COMPUTED_VALUE"""),"-")</f>
        <v>-</v>
      </c>
      <c r="O1018" s="24">
        <f t="shared" si="4"/>
        <v>0</v>
      </c>
      <c r="P1018" s="24"/>
      <c r="Q1018" s="24">
        <f t="shared" si="6"/>
        <v>0</v>
      </c>
      <c r="R1018" s="24">
        <f t="shared" si="7"/>
        <v>1</v>
      </c>
      <c r="S1018" s="24"/>
      <c r="T1018" s="24"/>
    </row>
    <row r="1019">
      <c r="A1019" s="12" t="s">
        <v>1107</v>
      </c>
      <c r="F1019" s="19">
        <f>IFERROR(__xludf.DUMMYFUNCTION("SPLIT(A1015, "" |"")"),1013.0)</f>
        <v>1013</v>
      </c>
      <c r="G1019" s="19">
        <f>IFERROR(__xludf.DUMMYFUNCTION("""COMPUTED_VALUE"""),0.00256)</f>
        <v>0.00256</v>
      </c>
      <c r="H1019" s="19" t="str">
        <f>IFERROR(__xludf.DUMMYFUNCTION("""COMPUTED_VALUE"""),"-")</f>
        <v>-</v>
      </c>
      <c r="I1019" s="19">
        <f>IFERROR(__xludf.DUMMYFUNCTION("""COMPUTED_VALUE"""),0.00212)</f>
        <v>0.00212</v>
      </c>
      <c r="J1019" s="19">
        <f>IFERROR(__xludf.DUMMYFUNCTION("""COMPUTED_VALUE"""),0.04418)</f>
        <v>0.04418</v>
      </c>
      <c r="K1019" s="19" t="str">
        <f>IFERROR(__xludf.DUMMYFUNCTION("""COMPUTED_VALUE"""),"-")</f>
        <v>-</v>
      </c>
      <c r="L1019" s="19" t="str">
        <f>IFERROR(__xludf.DUMMYFUNCTION("""COMPUTED_VALUE"""),"-")</f>
        <v>-</v>
      </c>
      <c r="O1019" s="24">
        <f t="shared" si="4"/>
        <v>0</v>
      </c>
      <c r="P1019" s="24"/>
      <c r="Q1019" s="24">
        <f t="shared" si="6"/>
        <v>0</v>
      </c>
      <c r="R1019" s="24">
        <f t="shared" si="7"/>
        <v>1</v>
      </c>
      <c r="S1019" s="24"/>
      <c r="T1019" s="24"/>
    </row>
    <row r="1020">
      <c r="A1020" s="12" t="s">
        <v>1108</v>
      </c>
      <c r="F1020" s="19">
        <f>IFERROR(__xludf.DUMMYFUNCTION("SPLIT(A1016, "" |"")"),1014.0)</f>
        <v>1014</v>
      </c>
      <c r="G1020" s="19">
        <f>IFERROR(__xludf.DUMMYFUNCTION("""COMPUTED_VALUE"""),0.00226)</f>
        <v>0.00226</v>
      </c>
      <c r="H1020" s="19" t="str">
        <f>IFERROR(__xludf.DUMMYFUNCTION("""COMPUTED_VALUE"""),"-")</f>
        <v>-</v>
      </c>
      <c r="I1020" s="19">
        <f>IFERROR(__xludf.DUMMYFUNCTION("""COMPUTED_VALUE"""),0.00208)</f>
        <v>0.00208</v>
      </c>
      <c r="J1020" s="19">
        <f>IFERROR(__xludf.DUMMYFUNCTION("""COMPUTED_VALUE"""),0.04722)</f>
        <v>0.04722</v>
      </c>
      <c r="K1020" s="19" t="str">
        <f>IFERROR(__xludf.DUMMYFUNCTION("""COMPUTED_VALUE"""),"-")</f>
        <v>-</v>
      </c>
      <c r="L1020" s="19" t="str">
        <f>IFERROR(__xludf.DUMMYFUNCTION("""COMPUTED_VALUE"""),"-")</f>
        <v>-</v>
      </c>
      <c r="O1020" s="24">
        <f t="shared" si="4"/>
        <v>0</v>
      </c>
      <c r="P1020" s="24"/>
      <c r="Q1020" s="24">
        <f t="shared" si="6"/>
        <v>0</v>
      </c>
      <c r="R1020" s="24">
        <f t="shared" si="7"/>
        <v>0</v>
      </c>
      <c r="S1020" s="24"/>
      <c r="T1020" s="24"/>
    </row>
    <row r="1021">
      <c r="A1021" s="12" t="s">
        <v>1109</v>
      </c>
      <c r="F1021" s="19">
        <f>IFERROR(__xludf.DUMMYFUNCTION("SPLIT(A1017, "" |"")"),1015.0)</f>
        <v>1015</v>
      </c>
      <c r="G1021" s="19">
        <f>IFERROR(__xludf.DUMMYFUNCTION("""COMPUTED_VALUE"""),0.00226)</f>
        <v>0.00226</v>
      </c>
      <c r="H1021" s="19" t="str">
        <f>IFERROR(__xludf.DUMMYFUNCTION("""COMPUTED_VALUE"""),"-")</f>
        <v>-</v>
      </c>
      <c r="I1021" s="19">
        <f>IFERROR(__xludf.DUMMYFUNCTION("""COMPUTED_VALUE"""),0.00215)</f>
        <v>0.00215</v>
      </c>
      <c r="J1021" s="19">
        <f>IFERROR(__xludf.DUMMYFUNCTION("""COMPUTED_VALUE"""),0.04267)</f>
        <v>0.04267</v>
      </c>
      <c r="K1021" s="19" t="str">
        <f>IFERROR(__xludf.DUMMYFUNCTION("""COMPUTED_VALUE"""),"-")</f>
        <v>-</v>
      </c>
      <c r="L1021" s="19" t="str">
        <f>IFERROR(__xludf.DUMMYFUNCTION("""COMPUTED_VALUE"""),"-")</f>
        <v>-</v>
      </c>
      <c r="O1021" s="24">
        <f t="shared" si="4"/>
        <v>0</v>
      </c>
      <c r="P1021" s="24"/>
      <c r="Q1021" s="24">
        <f t="shared" si="6"/>
        <v>0</v>
      </c>
      <c r="R1021" s="24">
        <f t="shared" si="7"/>
        <v>1</v>
      </c>
      <c r="S1021" s="24"/>
      <c r="T1021" s="24"/>
    </row>
    <row r="1022">
      <c r="A1022" s="12" t="s">
        <v>1110</v>
      </c>
      <c r="F1022" s="19">
        <f>IFERROR(__xludf.DUMMYFUNCTION("SPLIT(A1018, "" |"")"),1016.0)</f>
        <v>1016</v>
      </c>
      <c r="G1022" s="19">
        <f>IFERROR(__xludf.DUMMYFUNCTION("""COMPUTED_VALUE"""),0.0022)</f>
        <v>0.0022</v>
      </c>
      <c r="H1022" s="19" t="str">
        <f>IFERROR(__xludf.DUMMYFUNCTION("""COMPUTED_VALUE"""),"-")</f>
        <v>-</v>
      </c>
      <c r="I1022" s="19">
        <f>IFERROR(__xludf.DUMMYFUNCTION("""COMPUTED_VALUE"""),0.00205)</f>
        <v>0.00205</v>
      </c>
      <c r="J1022" s="19">
        <f>IFERROR(__xludf.DUMMYFUNCTION("""COMPUTED_VALUE"""),0.04725)</f>
        <v>0.04725</v>
      </c>
      <c r="K1022" s="19" t="str">
        <f>IFERROR(__xludf.DUMMYFUNCTION("""COMPUTED_VALUE"""),"-")</f>
        <v>-</v>
      </c>
      <c r="L1022" s="19" t="str">
        <f>IFERROR(__xludf.DUMMYFUNCTION("""COMPUTED_VALUE"""),"-")</f>
        <v>-</v>
      </c>
      <c r="O1022" s="24">
        <f t="shared" si="4"/>
        <v>0</v>
      </c>
      <c r="P1022" s="24"/>
      <c r="Q1022" s="24">
        <f t="shared" si="6"/>
        <v>0</v>
      </c>
      <c r="R1022" s="24">
        <f t="shared" si="7"/>
        <v>0</v>
      </c>
      <c r="S1022" s="24"/>
      <c r="T1022" s="24"/>
    </row>
    <row r="1023">
      <c r="A1023" s="12" t="s">
        <v>1111</v>
      </c>
      <c r="F1023" s="19">
        <f>IFERROR(__xludf.DUMMYFUNCTION("SPLIT(A1019, "" |"")"),1017.0)</f>
        <v>1017</v>
      </c>
      <c r="G1023" s="19">
        <f>IFERROR(__xludf.DUMMYFUNCTION("""COMPUTED_VALUE"""),0.00239)</f>
        <v>0.00239</v>
      </c>
      <c r="H1023" s="19" t="str">
        <f>IFERROR(__xludf.DUMMYFUNCTION("""COMPUTED_VALUE"""),"-")</f>
        <v>-</v>
      </c>
      <c r="I1023" s="19">
        <f>IFERROR(__xludf.DUMMYFUNCTION("""COMPUTED_VALUE"""),0.0021)</f>
        <v>0.0021</v>
      </c>
      <c r="J1023" s="19">
        <f>IFERROR(__xludf.DUMMYFUNCTION("""COMPUTED_VALUE"""),0.04725)</f>
        <v>0.04725</v>
      </c>
      <c r="K1023" s="19" t="str">
        <f>IFERROR(__xludf.DUMMYFUNCTION("""COMPUTED_VALUE"""),"-")</f>
        <v>-</v>
      </c>
      <c r="L1023" s="19" t="str">
        <f>IFERROR(__xludf.DUMMYFUNCTION("""COMPUTED_VALUE"""),"-")</f>
        <v>-</v>
      </c>
      <c r="O1023" s="24">
        <f t="shared" si="4"/>
        <v>0</v>
      </c>
      <c r="P1023" s="24"/>
      <c r="Q1023" s="24">
        <f t="shared" si="6"/>
        <v>0</v>
      </c>
      <c r="R1023" s="24">
        <f t="shared" si="7"/>
        <v>0</v>
      </c>
      <c r="S1023" s="24"/>
      <c r="T1023" s="24"/>
    </row>
    <row r="1024">
      <c r="A1024" s="12" t="s">
        <v>1112</v>
      </c>
      <c r="F1024" s="19">
        <f>IFERROR(__xludf.DUMMYFUNCTION("SPLIT(A1020, "" |"")"),1018.0)</f>
        <v>1018</v>
      </c>
      <c r="G1024" s="19">
        <f>IFERROR(__xludf.DUMMYFUNCTION("""COMPUTED_VALUE"""),0.0024)</f>
        <v>0.0024</v>
      </c>
      <c r="H1024" s="19" t="str">
        <f>IFERROR(__xludf.DUMMYFUNCTION("""COMPUTED_VALUE"""),"-")</f>
        <v>-</v>
      </c>
      <c r="I1024" s="19">
        <f>IFERROR(__xludf.DUMMYFUNCTION("""COMPUTED_VALUE"""),0.00224)</f>
        <v>0.00224</v>
      </c>
      <c r="J1024" s="19">
        <f>IFERROR(__xludf.DUMMYFUNCTION("""COMPUTED_VALUE"""),0.04388)</f>
        <v>0.04388</v>
      </c>
      <c r="K1024" s="19" t="str">
        <f>IFERROR(__xludf.DUMMYFUNCTION("""COMPUTED_VALUE"""),"-")</f>
        <v>-</v>
      </c>
      <c r="L1024" s="19" t="str">
        <f>IFERROR(__xludf.DUMMYFUNCTION("""COMPUTED_VALUE"""),"-")</f>
        <v>-</v>
      </c>
      <c r="O1024" s="24">
        <f t="shared" si="4"/>
        <v>0</v>
      </c>
      <c r="P1024" s="24"/>
      <c r="Q1024" s="24">
        <f t="shared" si="6"/>
        <v>0</v>
      </c>
      <c r="R1024" s="24">
        <f t="shared" si="7"/>
        <v>1</v>
      </c>
      <c r="S1024" s="24"/>
      <c r="T1024" s="24"/>
    </row>
    <row r="1025">
      <c r="A1025" s="12" t="s">
        <v>1113</v>
      </c>
      <c r="F1025" s="19">
        <f>IFERROR(__xludf.DUMMYFUNCTION("SPLIT(A1021, "" |"")"),1019.0)</f>
        <v>1019</v>
      </c>
      <c r="G1025" s="19">
        <f>IFERROR(__xludf.DUMMYFUNCTION("""COMPUTED_VALUE"""),0.0023)</f>
        <v>0.0023</v>
      </c>
      <c r="H1025" s="19" t="str">
        <f>IFERROR(__xludf.DUMMYFUNCTION("""COMPUTED_VALUE"""),"-")</f>
        <v>-</v>
      </c>
      <c r="I1025" s="19">
        <f>IFERROR(__xludf.DUMMYFUNCTION("""COMPUTED_VALUE"""),0.00207)</f>
        <v>0.00207</v>
      </c>
      <c r="J1025" s="19">
        <f>IFERROR(__xludf.DUMMYFUNCTION("""COMPUTED_VALUE"""),0.04726)</f>
        <v>0.04726</v>
      </c>
      <c r="K1025" s="19" t="str">
        <f>IFERROR(__xludf.DUMMYFUNCTION("""COMPUTED_VALUE"""),"-")</f>
        <v>-</v>
      </c>
      <c r="L1025" s="19" t="str">
        <f>IFERROR(__xludf.DUMMYFUNCTION("""COMPUTED_VALUE"""),"-")</f>
        <v>-</v>
      </c>
      <c r="O1025" s="24">
        <f t="shared" si="4"/>
        <v>0</v>
      </c>
      <c r="P1025" s="24"/>
      <c r="Q1025" s="24">
        <f t="shared" si="6"/>
        <v>0</v>
      </c>
      <c r="R1025" s="24">
        <f t="shared" si="7"/>
        <v>0</v>
      </c>
      <c r="S1025" s="24"/>
      <c r="T1025" s="24"/>
    </row>
    <row r="1026">
      <c r="A1026" s="12" t="s">
        <v>1114</v>
      </c>
      <c r="F1026" s="19">
        <f>IFERROR(__xludf.DUMMYFUNCTION("SPLIT(A1022, "" |"")"),1020.0)</f>
        <v>1020</v>
      </c>
      <c r="G1026" s="19">
        <f>IFERROR(__xludf.DUMMYFUNCTION("""COMPUTED_VALUE"""),0.00223)</f>
        <v>0.00223</v>
      </c>
      <c r="H1026" s="19" t="str">
        <f>IFERROR(__xludf.DUMMYFUNCTION("""COMPUTED_VALUE"""),"-")</f>
        <v>-</v>
      </c>
      <c r="I1026" s="19">
        <f>IFERROR(__xludf.DUMMYFUNCTION("""COMPUTED_VALUE"""),0.00203)</f>
        <v>0.00203</v>
      </c>
      <c r="J1026" s="19">
        <f>IFERROR(__xludf.DUMMYFUNCTION("""COMPUTED_VALUE"""),0.04725)</f>
        <v>0.04725</v>
      </c>
      <c r="K1026" s="19" t="str">
        <f>IFERROR(__xludf.DUMMYFUNCTION("""COMPUTED_VALUE"""),"-")</f>
        <v>-</v>
      </c>
      <c r="L1026" s="19" t="str">
        <f>IFERROR(__xludf.DUMMYFUNCTION("""COMPUTED_VALUE"""),"-")</f>
        <v>-</v>
      </c>
      <c r="O1026" s="24">
        <f t="shared" si="4"/>
        <v>0</v>
      </c>
      <c r="P1026" s="24"/>
      <c r="Q1026" s="24">
        <f t="shared" si="6"/>
        <v>0</v>
      </c>
      <c r="R1026" s="24">
        <f t="shared" si="7"/>
        <v>0</v>
      </c>
      <c r="S1026" s="24"/>
      <c r="T1026" s="24"/>
    </row>
    <row r="1027">
      <c r="A1027" s="12" t="s">
        <v>1115</v>
      </c>
      <c r="F1027" s="19">
        <f>IFERROR(__xludf.DUMMYFUNCTION("SPLIT(A1023, "" |"")"),1021.0)</f>
        <v>1021</v>
      </c>
      <c r="G1027" s="19">
        <f>IFERROR(__xludf.DUMMYFUNCTION("""COMPUTED_VALUE"""),0.00219)</f>
        <v>0.00219</v>
      </c>
      <c r="H1027" s="19" t="str">
        <f>IFERROR(__xludf.DUMMYFUNCTION("""COMPUTED_VALUE"""),"-")</f>
        <v>-</v>
      </c>
      <c r="I1027" s="19">
        <f>IFERROR(__xludf.DUMMYFUNCTION("""COMPUTED_VALUE"""),0.00206)</f>
        <v>0.00206</v>
      </c>
      <c r="J1027" s="19">
        <f>IFERROR(__xludf.DUMMYFUNCTION("""COMPUTED_VALUE"""),0.04574)</f>
        <v>0.04574</v>
      </c>
      <c r="K1027" s="19" t="str">
        <f>IFERROR(__xludf.DUMMYFUNCTION("""COMPUTED_VALUE"""),"-")</f>
        <v>-</v>
      </c>
      <c r="L1027" s="19" t="str">
        <f>IFERROR(__xludf.DUMMYFUNCTION("""COMPUTED_VALUE"""),"-")</f>
        <v>-</v>
      </c>
      <c r="O1027" s="24">
        <f t="shared" si="4"/>
        <v>0</v>
      </c>
      <c r="P1027" s="24"/>
      <c r="Q1027" s="24">
        <f t="shared" si="6"/>
        <v>0</v>
      </c>
      <c r="R1027" s="24">
        <f t="shared" si="7"/>
        <v>0</v>
      </c>
      <c r="S1027" s="24"/>
      <c r="T1027" s="24"/>
    </row>
    <row r="1028">
      <c r="A1028" s="12" t="s">
        <v>1116</v>
      </c>
      <c r="F1028" s="19">
        <f>IFERROR(__xludf.DUMMYFUNCTION("SPLIT(A1024, "" |"")"),1022.0)</f>
        <v>1022</v>
      </c>
      <c r="G1028" s="19">
        <f>IFERROR(__xludf.DUMMYFUNCTION("""COMPUTED_VALUE"""),0.00226)</f>
        <v>0.00226</v>
      </c>
      <c r="H1028" s="19" t="str">
        <f>IFERROR(__xludf.DUMMYFUNCTION("""COMPUTED_VALUE"""),"-")</f>
        <v>-</v>
      </c>
      <c r="I1028" s="19">
        <f>IFERROR(__xludf.DUMMYFUNCTION("""COMPUTED_VALUE"""),0.0021)</f>
        <v>0.0021</v>
      </c>
      <c r="J1028" s="19">
        <f>IFERROR(__xludf.DUMMYFUNCTION("""COMPUTED_VALUE"""),0.04736)</f>
        <v>0.04736</v>
      </c>
      <c r="K1028" s="19" t="str">
        <f>IFERROR(__xludf.DUMMYFUNCTION("""COMPUTED_VALUE"""),"-")</f>
        <v>-</v>
      </c>
      <c r="L1028" s="19" t="str">
        <f>IFERROR(__xludf.DUMMYFUNCTION("""COMPUTED_VALUE"""),"-")</f>
        <v>-</v>
      </c>
      <c r="O1028" s="24">
        <f t="shared" si="4"/>
        <v>0</v>
      </c>
      <c r="P1028" s="24"/>
      <c r="Q1028" s="24">
        <f t="shared" si="6"/>
        <v>0</v>
      </c>
      <c r="R1028" s="24">
        <f t="shared" si="7"/>
        <v>0</v>
      </c>
      <c r="S1028" s="24"/>
      <c r="T1028" s="24"/>
    </row>
    <row r="1029">
      <c r="A1029" s="12" t="s">
        <v>1117</v>
      </c>
      <c r="F1029" s="19">
        <f>IFERROR(__xludf.DUMMYFUNCTION("SPLIT(A1025, "" |"")"),1023.0)</f>
        <v>1023</v>
      </c>
      <c r="G1029" s="19">
        <f>IFERROR(__xludf.DUMMYFUNCTION("""COMPUTED_VALUE"""),0.00243)</f>
        <v>0.00243</v>
      </c>
      <c r="H1029" s="19" t="str">
        <f>IFERROR(__xludf.DUMMYFUNCTION("""COMPUTED_VALUE"""),"-")</f>
        <v>-</v>
      </c>
      <c r="I1029" s="19">
        <f>IFERROR(__xludf.DUMMYFUNCTION("""COMPUTED_VALUE"""),0.0022)</f>
        <v>0.0022</v>
      </c>
      <c r="J1029" s="19">
        <f>IFERROR(__xludf.DUMMYFUNCTION("""COMPUTED_VALUE"""),0.04752)</f>
        <v>0.04752</v>
      </c>
      <c r="K1029" s="19" t="str">
        <f>IFERROR(__xludf.DUMMYFUNCTION("""COMPUTED_VALUE"""),"-")</f>
        <v>-</v>
      </c>
      <c r="L1029" s="19" t="str">
        <f>IFERROR(__xludf.DUMMYFUNCTION("""COMPUTED_VALUE"""),"-")</f>
        <v>-</v>
      </c>
      <c r="O1029" s="24">
        <f t="shared" si="4"/>
        <v>0</v>
      </c>
      <c r="P1029" s="24"/>
      <c r="Q1029" s="24">
        <f t="shared" si="6"/>
        <v>0</v>
      </c>
      <c r="R1029" s="24">
        <f t="shared" si="7"/>
        <v>0</v>
      </c>
      <c r="S1029" s="24"/>
      <c r="T1029" s="24"/>
    </row>
    <row r="1030">
      <c r="A1030" s="12" t="s">
        <v>1118</v>
      </c>
      <c r="F1030" s="19">
        <f>IFERROR(__xludf.DUMMYFUNCTION("SPLIT(A1026, "" |"")"),1024.0)</f>
        <v>1024</v>
      </c>
      <c r="G1030" s="19">
        <f>IFERROR(__xludf.DUMMYFUNCTION("""COMPUTED_VALUE"""),0.00233)</f>
        <v>0.00233</v>
      </c>
      <c r="H1030" s="19" t="str">
        <f>IFERROR(__xludf.DUMMYFUNCTION("""COMPUTED_VALUE"""),"-")</f>
        <v>-</v>
      </c>
      <c r="I1030" s="19">
        <f>IFERROR(__xludf.DUMMYFUNCTION("""COMPUTED_VALUE"""),0.00215)</f>
        <v>0.00215</v>
      </c>
      <c r="J1030" s="19">
        <f>IFERROR(__xludf.DUMMYFUNCTION("""COMPUTED_VALUE"""),0.04747)</f>
        <v>0.04747</v>
      </c>
      <c r="K1030" s="19" t="str">
        <f>IFERROR(__xludf.DUMMYFUNCTION("""COMPUTED_VALUE"""),"-")</f>
        <v>-</v>
      </c>
      <c r="L1030" s="19" t="str">
        <f>IFERROR(__xludf.DUMMYFUNCTION("""COMPUTED_VALUE"""),"-")</f>
        <v>-</v>
      </c>
      <c r="O1030" s="24">
        <f t="shared" si="4"/>
        <v>0</v>
      </c>
      <c r="P1030" s="24"/>
      <c r="Q1030" s="24">
        <f t="shared" si="6"/>
        <v>0</v>
      </c>
      <c r="R1030" s="24">
        <f t="shared" si="7"/>
        <v>0</v>
      </c>
      <c r="S1030" s="24"/>
      <c r="T1030" s="24"/>
    </row>
    <row r="1031">
      <c r="A1031" s="12" t="s">
        <v>1119</v>
      </c>
      <c r="F1031" s="19">
        <f>IFERROR(__xludf.DUMMYFUNCTION("SPLIT(A1027, "" |"")"),1025.0)</f>
        <v>1025</v>
      </c>
      <c r="G1031" s="19">
        <f>IFERROR(__xludf.DUMMYFUNCTION("""COMPUTED_VALUE"""),0.00238)</f>
        <v>0.00238</v>
      </c>
      <c r="H1031" s="19" t="str">
        <f>IFERROR(__xludf.DUMMYFUNCTION("""COMPUTED_VALUE"""),"-")</f>
        <v>-</v>
      </c>
      <c r="I1031" s="19">
        <f>IFERROR(__xludf.DUMMYFUNCTION("""COMPUTED_VALUE"""),0.00223)</f>
        <v>0.00223</v>
      </c>
      <c r="J1031" s="19">
        <f>IFERROR(__xludf.DUMMYFUNCTION("""COMPUTED_VALUE"""),0.04742)</f>
        <v>0.04742</v>
      </c>
      <c r="K1031" s="19" t="str">
        <f>IFERROR(__xludf.DUMMYFUNCTION("""COMPUTED_VALUE"""),"-")</f>
        <v>-</v>
      </c>
      <c r="L1031" s="19" t="str">
        <f>IFERROR(__xludf.DUMMYFUNCTION("""COMPUTED_VALUE"""),"-")</f>
        <v>-</v>
      </c>
      <c r="O1031" s="24">
        <f t="shared" si="4"/>
        <v>0</v>
      </c>
      <c r="P1031" s="24"/>
      <c r="Q1031" s="24">
        <f t="shared" si="6"/>
        <v>0</v>
      </c>
      <c r="R1031" s="24">
        <f t="shared" si="7"/>
        <v>0</v>
      </c>
      <c r="S1031" s="24"/>
      <c r="T1031" s="24"/>
    </row>
    <row r="1032">
      <c r="A1032" s="12" t="s">
        <v>1120</v>
      </c>
      <c r="F1032" s="19">
        <f>IFERROR(__xludf.DUMMYFUNCTION("SPLIT(A1028, "" |"")"),1026.0)</f>
        <v>1026</v>
      </c>
      <c r="G1032" s="19">
        <f>IFERROR(__xludf.DUMMYFUNCTION("""COMPUTED_VALUE"""),0.00228)</f>
        <v>0.00228</v>
      </c>
      <c r="H1032" s="19" t="str">
        <f>IFERROR(__xludf.DUMMYFUNCTION("""COMPUTED_VALUE"""),"-")</f>
        <v>-</v>
      </c>
      <c r="I1032" s="19">
        <f>IFERROR(__xludf.DUMMYFUNCTION("""COMPUTED_VALUE"""),0.0022)</f>
        <v>0.0022</v>
      </c>
      <c r="J1032" s="19">
        <f>IFERROR(__xludf.DUMMYFUNCTION("""COMPUTED_VALUE"""),0.04547)</f>
        <v>0.04547</v>
      </c>
      <c r="K1032" s="19" t="str">
        <f>IFERROR(__xludf.DUMMYFUNCTION("""COMPUTED_VALUE"""),"-")</f>
        <v>-</v>
      </c>
      <c r="L1032" s="19" t="str">
        <f>IFERROR(__xludf.DUMMYFUNCTION("""COMPUTED_VALUE"""),"-")</f>
        <v>-</v>
      </c>
      <c r="O1032" s="24">
        <f t="shared" si="4"/>
        <v>0</v>
      </c>
      <c r="P1032" s="24"/>
      <c r="Q1032" s="24">
        <f t="shared" si="6"/>
        <v>0</v>
      </c>
      <c r="R1032" s="24">
        <f t="shared" si="7"/>
        <v>0</v>
      </c>
      <c r="S1032" s="24"/>
      <c r="T1032" s="24"/>
    </row>
    <row r="1033">
      <c r="A1033" s="12" t="s">
        <v>1121</v>
      </c>
      <c r="F1033" s="19">
        <f>IFERROR(__xludf.DUMMYFUNCTION("SPLIT(A1029, "" |"")"),1027.0)</f>
        <v>1027</v>
      </c>
      <c r="G1033" s="19">
        <f>IFERROR(__xludf.DUMMYFUNCTION("""COMPUTED_VALUE"""),0.00238)</f>
        <v>0.00238</v>
      </c>
      <c r="H1033" s="19" t="str">
        <f>IFERROR(__xludf.DUMMYFUNCTION("""COMPUTED_VALUE"""),"-")</f>
        <v>-</v>
      </c>
      <c r="I1033" s="19">
        <f>IFERROR(__xludf.DUMMYFUNCTION("""COMPUTED_VALUE"""),0.0023)</f>
        <v>0.0023</v>
      </c>
      <c r="J1033" s="19">
        <f>IFERROR(__xludf.DUMMYFUNCTION("""COMPUTED_VALUE"""),0.04751)</f>
        <v>0.04751</v>
      </c>
      <c r="K1033" s="19" t="str">
        <f>IFERROR(__xludf.DUMMYFUNCTION("""COMPUTED_VALUE"""),"-")</f>
        <v>-</v>
      </c>
      <c r="L1033" s="19" t="str">
        <f>IFERROR(__xludf.DUMMYFUNCTION("""COMPUTED_VALUE"""),"-")</f>
        <v>-</v>
      </c>
      <c r="O1033" s="24">
        <f t="shared" si="4"/>
        <v>0</v>
      </c>
      <c r="P1033" s="24"/>
      <c r="Q1033" s="24">
        <f t="shared" si="6"/>
        <v>0</v>
      </c>
      <c r="R1033" s="24">
        <f t="shared" si="7"/>
        <v>0</v>
      </c>
      <c r="S1033" s="24"/>
      <c r="T1033" s="24"/>
    </row>
    <row r="1034">
      <c r="A1034" s="12" t="s">
        <v>1122</v>
      </c>
      <c r="F1034" s="19">
        <f>IFERROR(__xludf.DUMMYFUNCTION("SPLIT(A1030, "" |"")"),1028.0)</f>
        <v>1028</v>
      </c>
      <c r="G1034" s="19">
        <f>IFERROR(__xludf.DUMMYFUNCTION("""COMPUTED_VALUE"""),0.00237)</f>
        <v>0.00237</v>
      </c>
      <c r="H1034" s="19" t="str">
        <f>IFERROR(__xludf.DUMMYFUNCTION("""COMPUTED_VALUE"""),"-")</f>
        <v>-</v>
      </c>
      <c r="I1034" s="19">
        <f>IFERROR(__xludf.DUMMYFUNCTION("""COMPUTED_VALUE"""),0.00222)</f>
        <v>0.00222</v>
      </c>
      <c r="J1034" s="19">
        <f>IFERROR(__xludf.DUMMYFUNCTION("""COMPUTED_VALUE"""),0.04605)</f>
        <v>0.04605</v>
      </c>
      <c r="K1034" s="19" t="str">
        <f>IFERROR(__xludf.DUMMYFUNCTION("""COMPUTED_VALUE"""),"-")</f>
        <v>-</v>
      </c>
      <c r="L1034" s="19" t="str">
        <f>IFERROR(__xludf.DUMMYFUNCTION("""COMPUTED_VALUE"""),"-")</f>
        <v>-</v>
      </c>
      <c r="O1034" s="24">
        <f t="shared" si="4"/>
        <v>0</v>
      </c>
      <c r="P1034" s="24"/>
      <c r="Q1034" s="24">
        <f t="shared" si="6"/>
        <v>0</v>
      </c>
      <c r="R1034" s="24">
        <f t="shared" si="7"/>
        <v>0</v>
      </c>
      <c r="S1034" s="24"/>
      <c r="T1034" s="24"/>
    </row>
    <row r="1035">
      <c r="A1035" s="12" t="s">
        <v>1123</v>
      </c>
      <c r="F1035" s="19">
        <f>IFERROR(__xludf.DUMMYFUNCTION("SPLIT(A1031, "" |"")"),1029.0)</f>
        <v>1029</v>
      </c>
      <c r="G1035" s="19">
        <f>IFERROR(__xludf.DUMMYFUNCTION("""COMPUTED_VALUE"""),0.00234)</f>
        <v>0.00234</v>
      </c>
      <c r="H1035" s="19" t="str">
        <f>IFERROR(__xludf.DUMMYFUNCTION("""COMPUTED_VALUE"""),"-")</f>
        <v>-</v>
      </c>
      <c r="I1035" s="19">
        <f>IFERROR(__xludf.DUMMYFUNCTION("""COMPUTED_VALUE"""),0.00221)</f>
        <v>0.00221</v>
      </c>
      <c r="J1035" s="19">
        <f>IFERROR(__xludf.DUMMYFUNCTION("""COMPUTED_VALUE"""),0.04744)</f>
        <v>0.04744</v>
      </c>
      <c r="K1035" s="19" t="str">
        <f>IFERROR(__xludf.DUMMYFUNCTION("""COMPUTED_VALUE"""),"-")</f>
        <v>-</v>
      </c>
      <c r="L1035" s="19" t="str">
        <f>IFERROR(__xludf.DUMMYFUNCTION("""COMPUTED_VALUE"""),"-")</f>
        <v>-</v>
      </c>
      <c r="O1035" s="24">
        <f t="shared" si="4"/>
        <v>0</v>
      </c>
      <c r="P1035" s="24"/>
      <c r="Q1035" s="24">
        <f t="shared" si="6"/>
        <v>0</v>
      </c>
      <c r="R1035" s="24">
        <f t="shared" si="7"/>
        <v>0</v>
      </c>
      <c r="S1035" s="24"/>
      <c r="T1035" s="24"/>
    </row>
    <row r="1036">
      <c r="A1036" s="12" t="s">
        <v>1124</v>
      </c>
      <c r="F1036" s="19">
        <f>IFERROR(__xludf.DUMMYFUNCTION("SPLIT(A1032, "" |"")"),1030.0)</f>
        <v>1030</v>
      </c>
      <c r="G1036" s="19">
        <f>IFERROR(__xludf.DUMMYFUNCTION("""COMPUTED_VALUE"""),0.00232)</f>
        <v>0.00232</v>
      </c>
      <c r="H1036" s="19" t="str">
        <f>IFERROR(__xludf.DUMMYFUNCTION("""COMPUTED_VALUE"""),"-")</f>
        <v>-</v>
      </c>
      <c r="I1036" s="19">
        <f>IFERROR(__xludf.DUMMYFUNCTION("""COMPUTED_VALUE"""),0.00222)</f>
        <v>0.00222</v>
      </c>
      <c r="J1036" s="19">
        <f>IFERROR(__xludf.DUMMYFUNCTION("""COMPUTED_VALUE"""),0.04745)</f>
        <v>0.04745</v>
      </c>
      <c r="K1036" s="19" t="str">
        <f>IFERROR(__xludf.DUMMYFUNCTION("""COMPUTED_VALUE"""),"-")</f>
        <v>-</v>
      </c>
      <c r="L1036" s="19" t="str">
        <f>IFERROR(__xludf.DUMMYFUNCTION("""COMPUTED_VALUE"""),"-")</f>
        <v>-</v>
      </c>
      <c r="O1036" s="24">
        <f t="shared" si="4"/>
        <v>0</v>
      </c>
      <c r="P1036" s="24"/>
      <c r="Q1036" s="24">
        <f t="shared" si="6"/>
        <v>0</v>
      </c>
      <c r="R1036" s="24">
        <f t="shared" si="7"/>
        <v>0</v>
      </c>
      <c r="S1036" s="24"/>
      <c r="T1036" s="24"/>
    </row>
    <row r="1037">
      <c r="A1037" s="12" t="s">
        <v>1125</v>
      </c>
      <c r="F1037" s="19">
        <f>IFERROR(__xludf.DUMMYFUNCTION("SPLIT(A1033, "" |"")"),1031.0)</f>
        <v>1031</v>
      </c>
      <c r="G1037" s="19">
        <f>IFERROR(__xludf.DUMMYFUNCTION("""COMPUTED_VALUE"""),0.00232)</f>
        <v>0.00232</v>
      </c>
      <c r="H1037" s="19" t="str">
        <f>IFERROR(__xludf.DUMMYFUNCTION("""COMPUTED_VALUE"""),"-")</f>
        <v>-</v>
      </c>
      <c r="I1037" s="19">
        <f>IFERROR(__xludf.DUMMYFUNCTION("""COMPUTED_VALUE"""),0.00224)</f>
        <v>0.00224</v>
      </c>
      <c r="J1037" s="19">
        <f>IFERROR(__xludf.DUMMYFUNCTION("""COMPUTED_VALUE"""),0.04214)</f>
        <v>0.04214</v>
      </c>
      <c r="K1037" s="19" t="str">
        <f>IFERROR(__xludf.DUMMYFUNCTION("""COMPUTED_VALUE"""),"-")</f>
        <v>-</v>
      </c>
      <c r="L1037" s="19" t="str">
        <f>IFERROR(__xludf.DUMMYFUNCTION("""COMPUTED_VALUE"""),"-")</f>
        <v>-</v>
      </c>
      <c r="O1037" s="24">
        <f t="shared" si="4"/>
        <v>0</v>
      </c>
      <c r="P1037" s="24"/>
      <c r="Q1037" s="24">
        <f t="shared" si="6"/>
        <v>0</v>
      </c>
      <c r="R1037" s="24">
        <f t="shared" si="7"/>
        <v>1</v>
      </c>
      <c r="S1037" s="24"/>
      <c r="T1037" s="24"/>
    </row>
    <row r="1038">
      <c r="A1038" s="12" t="s">
        <v>1126</v>
      </c>
      <c r="F1038" s="19">
        <f>IFERROR(__xludf.DUMMYFUNCTION("SPLIT(A1034, "" |"")"),1032.0)</f>
        <v>1032</v>
      </c>
      <c r="G1038" s="19">
        <f>IFERROR(__xludf.DUMMYFUNCTION("""COMPUTED_VALUE"""),0.00229)</f>
        <v>0.00229</v>
      </c>
      <c r="H1038" s="19" t="str">
        <f>IFERROR(__xludf.DUMMYFUNCTION("""COMPUTED_VALUE"""),"-")</f>
        <v>-</v>
      </c>
      <c r="I1038" s="19">
        <f>IFERROR(__xludf.DUMMYFUNCTION("""COMPUTED_VALUE"""),0.00217)</f>
        <v>0.00217</v>
      </c>
      <c r="J1038" s="19">
        <f>IFERROR(__xludf.DUMMYFUNCTION("""COMPUTED_VALUE"""),0.04748)</f>
        <v>0.04748</v>
      </c>
      <c r="K1038" s="19" t="str">
        <f>IFERROR(__xludf.DUMMYFUNCTION("""COMPUTED_VALUE"""),"-")</f>
        <v>-</v>
      </c>
      <c r="L1038" s="19" t="str">
        <f>IFERROR(__xludf.DUMMYFUNCTION("""COMPUTED_VALUE"""),"-")</f>
        <v>-</v>
      </c>
      <c r="O1038" s="24">
        <f t="shared" si="4"/>
        <v>0</v>
      </c>
      <c r="P1038" s="24"/>
      <c r="Q1038" s="24">
        <f t="shared" si="6"/>
        <v>0</v>
      </c>
      <c r="R1038" s="24">
        <f t="shared" si="7"/>
        <v>0</v>
      </c>
      <c r="S1038" s="24"/>
      <c r="T1038" s="24"/>
    </row>
    <row r="1039">
      <c r="A1039" s="12" t="s">
        <v>1127</v>
      </c>
      <c r="F1039" s="19">
        <f>IFERROR(__xludf.DUMMYFUNCTION("SPLIT(A1035, "" |"")"),1033.0)</f>
        <v>1033</v>
      </c>
      <c r="G1039" s="19">
        <f>IFERROR(__xludf.DUMMYFUNCTION("""COMPUTED_VALUE"""),0.00232)</f>
        <v>0.00232</v>
      </c>
      <c r="H1039" s="19" t="str">
        <f>IFERROR(__xludf.DUMMYFUNCTION("""COMPUTED_VALUE"""),"-")</f>
        <v>-</v>
      </c>
      <c r="I1039" s="19">
        <f>IFERROR(__xludf.DUMMYFUNCTION("""COMPUTED_VALUE"""),0.00222)</f>
        <v>0.00222</v>
      </c>
      <c r="J1039" s="19">
        <f>IFERROR(__xludf.DUMMYFUNCTION("""COMPUTED_VALUE"""),0.04738)</f>
        <v>0.04738</v>
      </c>
      <c r="K1039" s="19" t="str">
        <f>IFERROR(__xludf.DUMMYFUNCTION("""COMPUTED_VALUE"""),"-")</f>
        <v>-</v>
      </c>
      <c r="L1039" s="19" t="str">
        <f>IFERROR(__xludf.DUMMYFUNCTION("""COMPUTED_VALUE"""),"-")</f>
        <v>-</v>
      </c>
      <c r="O1039" s="24">
        <f t="shared" si="4"/>
        <v>0</v>
      </c>
      <c r="P1039" s="24"/>
      <c r="Q1039" s="24">
        <f t="shared" si="6"/>
        <v>0</v>
      </c>
      <c r="R1039" s="24">
        <f t="shared" si="7"/>
        <v>0</v>
      </c>
      <c r="S1039" s="24"/>
      <c r="T1039" s="24"/>
    </row>
    <row r="1040">
      <c r="A1040" s="12" t="s">
        <v>1128</v>
      </c>
      <c r="F1040" s="19">
        <f>IFERROR(__xludf.DUMMYFUNCTION("SPLIT(A1036, "" |"")"),1034.0)</f>
        <v>1034</v>
      </c>
      <c r="G1040" s="19">
        <f>IFERROR(__xludf.DUMMYFUNCTION("""COMPUTED_VALUE"""),0.00225)</f>
        <v>0.00225</v>
      </c>
      <c r="H1040" s="19" t="str">
        <f>IFERROR(__xludf.DUMMYFUNCTION("""COMPUTED_VALUE"""),"-")</f>
        <v>-</v>
      </c>
      <c r="I1040" s="19">
        <f>IFERROR(__xludf.DUMMYFUNCTION("""COMPUTED_VALUE"""),0.00212)</f>
        <v>0.00212</v>
      </c>
      <c r="J1040" s="19">
        <f>IFERROR(__xludf.DUMMYFUNCTION("""COMPUTED_VALUE"""),0.04693)</f>
        <v>0.04693</v>
      </c>
      <c r="K1040" s="19" t="str">
        <f>IFERROR(__xludf.DUMMYFUNCTION("""COMPUTED_VALUE"""),"-")</f>
        <v>-</v>
      </c>
      <c r="L1040" s="19" t="str">
        <f>IFERROR(__xludf.DUMMYFUNCTION("""COMPUTED_VALUE"""),"-")</f>
        <v>-</v>
      </c>
      <c r="O1040" s="24">
        <f t="shared" si="4"/>
        <v>0</v>
      </c>
      <c r="P1040" s="24"/>
      <c r="Q1040" s="24">
        <f t="shared" si="6"/>
        <v>0</v>
      </c>
      <c r="R1040" s="24">
        <f t="shared" si="7"/>
        <v>0</v>
      </c>
      <c r="S1040" s="24"/>
      <c r="T1040" s="24"/>
    </row>
    <row r="1041">
      <c r="A1041" s="12" t="s">
        <v>1129</v>
      </c>
      <c r="F1041" s="19">
        <f>IFERROR(__xludf.DUMMYFUNCTION("SPLIT(A1037, "" |"")"),1035.0)</f>
        <v>1035</v>
      </c>
      <c r="G1041" s="19">
        <f>IFERROR(__xludf.DUMMYFUNCTION("""COMPUTED_VALUE"""),0.00246)</f>
        <v>0.00246</v>
      </c>
      <c r="H1041" s="19" t="str">
        <f>IFERROR(__xludf.DUMMYFUNCTION("""COMPUTED_VALUE"""),"-")</f>
        <v>-</v>
      </c>
      <c r="I1041" s="19">
        <f>IFERROR(__xludf.DUMMYFUNCTION("""COMPUTED_VALUE"""),0.00223)</f>
        <v>0.00223</v>
      </c>
      <c r="J1041" s="19">
        <f>IFERROR(__xludf.DUMMYFUNCTION("""COMPUTED_VALUE"""),0.04746)</f>
        <v>0.04746</v>
      </c>
      <c r="K1041" s="19" t="str">
        <f>IFERROR(__xludf.DUMMYFUNCTION("""COMPUTED_VALUE"""),"-")</f>
        <v>-</v>
      </c>
      <c r="L1041" s="19" t="str">
        <f>IFERROR(__xludf.DUMMYFUNCTION("""COMPUTED_VALUE"""),"-")</f>
        <v>-</v>
      </c>
      <c r="O1041" s="24">
        <f t="shared" si="4"/>
        <v>0</v>
      </c>
      <c r="P1041" s="24"/>
      <c r="Q1041" s="24">
        <f t="shared" si="6"/>
        <v>0</v>
      </c>
      <c r="R1041" s="24">
        <f t="shared" si="7"/>
        <v>0</v>
      </c>
      <c r="S1041" s="24"/>
      <c r="T1041" s="24"/>
    </row>
    <row r="1042">
      <c r="A1042" s="12" t="s">
        <v>1130</v>
      </c>
      <c r="F1042" s="19">
        <f>IFERROR(__xludf.DUMMYFUNCTION("SPLIT(A1038, "" |"")"),1036.0)</f>
        <v>1036</v>
      </c>
      <c r="G1042" s="19">
        <f>IFERROR(__xludf.DUMMYFUNCTION("""COMPUTED_VALUE"""),0.00235)</f>
        <v>0.00235</v>
      </c>
      <c r="H1042" s="19" t="str">
        <f>IFERROR(__xludf.DUMMYFUNCTION("""COMPUTED_VALUE"""),"-")</f>
        <v>-</v>
      </c>
      <c r="I1042" s="19">
        <f>IFERROR(__xludf.DUMMYFUNCTION("""COMPUTED_VALUE"""),0.00222)</f>
        <v>0.00222</v>
      </c>
      <c r="J1042" s="19">
        <f>IFERROR(__xludf.DUMMYFUNCTION("""COMPUTED_VALUE"""),0.04742)</f>
        <v>0.04742</v>
      </c>
      <c r="K1042" s="19" t="str">
        <f>IFERROR(__xludf.DUMMYFUNCTION("""COMPUTED_VALUE"""),"-")</f>
        <v>-</v>
      </c>
      <c r="L1042" s="19" t="str">
        <f>IFERROR(__xludf.DUMMYFUNCTION("""COMPUTED_VALUE"""),"-")</f>
        <v>-</v>
      </c>
      <c r="O1042" s="24">
        <f t="shared" si="4"/>
        <v>0</v>
      </c>
      <c r="P1042" s="24"/>
      <c r="Q1042" s="24">
        <f t="shared" si="6"/>
        <v>0</v>
      </c>
      <c r="R1042" s="24">
        <f t="shared" si="7"/>
        <v>0</v>
      </c>
      <c r="S1042" s="24"/>
      <c r="T1042" s="24"/>
    </row>
    <row r="1043">
      <c r="A1043" s="12" t="s">
        <v>1131</v>
      </c>
      <c r="F1043" s="19">
        <f>IFERROR(__xludf.DUMMYFUNCTION("SPLIT(A1039, "" |"")"),1037.0)</f>
        <v>1037</v>
      </c>
      <c r="G1043" s="19">
        <f>IFERROR(__xludf.DUMMYFUNCTION("""COMPUTED_VALUE"""),0.00233)</f>
        <v>0.00233</v>
      </c>
      <c r="H1043" s="19" t="str">
        <f>IFERROR(__xludf.DUMMYFUNCTION("""COMPUTED_VALUE"""),"-")</f>
        <v>-</v>
      </c>
      <c r="I1043" s="19">
        <f>IFERROR(__xludf.DUMMYFUNCTION("""COMPUTED_VALUE"""),0.00221)</f>
        <v>0.00221</v>
      </c>
      <c r="J1043" s="19">
        <f>IFERROR(__xludf.DUMMYFUNCTION("""COMPUTED_VALUE"""),0.04746)</f>
        <v>0.04746</v>
      </c>
      <c r="K1043" s="19" t="str">
        <f>IFERROR(__xludf.DUMMYFUNCTION("""COMPUTED_VALUE"""),"-")</f>
        <v>-</v>
      </c>
      <c r="L1043" s="19" t="str">
        <f>IFERROR(__xludf.DUMMYFUNCTION("""COMPUTED_VALUE"""),"-")</f>
        <v>-</v>
      </c>
      <c r="O1043" s="24">
        <f t="shared" si="4"/>
        <v>0</v>
      </c>
      <c r="P1043" s="24"/>
      <c r="Q1043" s="24">
        <f t="shared" si="6"/>
        <v>0</v>
      </c>
      <c r="R1043" s="24">
        <f t="shared" si="7"/>
        <v>0</v>
      </c>
      <c r="S1043" s="24"/>
      <c r="T1043" s="24"/>
    </row>
    <row r="1044">
      <c r="A1044" s="12" t="s">
        <v>1132</v>
      </c>
      <c r="F1044" s="19">
        <f>IFERROR(__xludf.DUMMYFUNCTION("SPLIT(A1040, "" |"")"),1038.0)</f>
        <v>1038</v>
      </c>
      <c r="G1044" s="19">
        <f>IFERROR(__xludf.DUMMYFUNCTION("""COMPUTED_VALUE"""),0.00235)</f>
        <v>0.00235</v>
      </c>
      <c r="H1044" s="19" t="str">
        <f>IFERROR(__xludf.DUMMYFUNCTION("""COMPUTED_VALUE"""),"-")</f>
        <v>-</v>
      </c>
      <c r="I1044" s="19">
        <f>IFERROR(__xludf.DUMMYFUNCTION("""COMPUTED_VALUE"""),0.00219)</f>
        <v>0.00219</v>
      </c>
      <c r="J1044" s="19">
        <f>IFERROR(__xludf.DUMMYFUNCTION("""COMPUTED_VALUE"""),0.04741)</f>
        <v>0.04741</v>
      </c>
      <c r="K1044" s="19" t="str">
        <f>IFERROR(__xludf.DUMMYFUNCTION("""COMPUTED_VALUE"""),"-")</f>
        <v>-</v>
      </c>
      <c r="L1044" s="19" t="str">
        <f>IFERROR(__xludf.DUMMYFUNCTION("""COMPUTED_VALUE"""),"-")</f>
        <v>-</v>
      </c>
      <c r="O1044" s="24">
        <f t="shared" si="4"/>
        <v>0</v>
      </c>
      <c r="P1044" s="24"/>
      <c r="Q1044" s="24">
        <f t="shared" si="6"/>
        <v>0</v>
      </c>
      <c r="R1044" s="24">
        <f t="shared" si="7"/>
        <v>0</v>
      </c>
      <c r="S1044" s="24"/>
      <c r="T1044" s="24"/>
    </row>
    <row r="1045">
      <c r="A1045" s="12" t="s">
        <v>1133</v>
      </c>
      <c r="F1045" s="19">
        <f>IFERROR(__xludf.DUMMYFUNCTION("SPLIT(A1041, "" |"")"),1039.0)</f>
        <v>1039</v>
      </c>
      <c r="G1045" s="19">
        <f>IFERROR(__xludf.DUMMYFUNCTION("""COMPUTED_VALUE"""),0.00246)</f>
        <v>0.00246</v>
      </c>
      <c r="H1045" s="19" t="str">
        <f>IFERROR(__xludf.DUMMYFUNCTION("""COMPUTED_VALUE"""),"-")</f>
        <v>-</v>
      </c>
      <c r="I1045" s="19">
        <f>IFERROR(__xludf.DUMMYFUNCTION("""COMPUTED_VALUE"""),0.00229)</f>
        <v>0.00229</v>
      </c>
      <c r="J1045" s="19">
        <f>IFERROR(__xludf.DUMMYFUNCTION("""COMPUTED_VALUE"""),0.04749)</f>
        <v>0.04749</v>
      </c>
      <c r="K1045" s="19" t="str">
        <f>IFERROR(__xludf.DUMMYFUNCTION("""COMPUTED_VALUE"""),"-")</f>
        <v>-</v>
      </c>
      <c r="L1045" s="19" t="str">
        <f>IFERROR(__xludf.DUMMYFUNCTION("""COMPUTED_VALUE"""),"-")</f>
        <v>-</v>
      </c>
      <c r="O1045" s="24">
        <f t="shared" si="4"/>
        <v>0</v>
      </c>
      <c r="P1045" s="24"/>
      <c r="Q1045" s="24">
        <f t="shared" si="6"/>
        <v>0</v>
      </c>
      <c r="R1045" s="24">
        <f t="shared" si="7"/>
        <v>0</v>
      </c>
      <c r="S1045" s="24"/>
      <c r="T1045" s="24"/>
    </row>
    <row r="1046">
      <c r="A1046" s="12" t="s">
        <v>1134</v>
      </c>
      <c r="F1046" s="19">
        <f>IFERROR(__xludf.DUMMYFUNCTION("SPLIT(A1042, "" |"")"),1040.0)</f>
        <v>1040</v>
      </c>
      <c r="G1046" s="19">
        <f>IFERROR(__xludf.DUMMYFUNCTION("""COMPUTED_VALUE"""),0.00322)</f>
        <v>0.00322</v>
      </c>
      <c r="H1046" s="19" t="str">
        <f>IFERROR(__xludf.DUMMYFUNCTION("""COMPUTED_VALUE"""),"-")</f>
        <v>-</v>
      </c>
      <c r="I1046" s="19">
        <f>IFERROR(__xludf.DUMMYFUNCTION("""COMPUTED_VALUE"""),0.00244)</f>
        <v>0.00244</v>
      </c>
      <c r="J1046" s="19">
        <f>IFERROR(__xludf.DUMMYFUNCTION("""COMPUTED_VALUE"""),0.0476)</f>
        <v>0.0476</v>
      </c>
      <c r="K1046" s="19" t="str">
        <f>IFERROR(__xludf.DUMMYFUNCTION("""COMPUTED_VALUE"""),"-")</f>
        <v>-</v>
      </c>
      <c r="L1046" s="19" t="str">
        <f>IFERROR(__xludf.DUMMYFUNCTION("""COMPUTED_VALUE"""),"-")</f>
        <v>-</v>
      </c>
      <c r="O1046" s="24">
        <f t="shared" si="4"/>
        <v>1</v>
      </c>
      <c r="P1046" s="24"/>
      <c r="Q1046" s="24">
        <f t="shared" si="6"/>
        <v>0</v>
      </c>
      <c r="R1046" s="24">
        <f t="shared" si="7"/>
        <v>0</v>
      </c>
      <c r="S1046" s="24"/>
      <c r="T1046" s="24"/>
    </row>
    <row r="1047">
      <c r="A1047" s="12" t="s">
        <v>1135</v>
      </c>
      <c r="F1047" s="19">
        <f>IFERROR(__xludf.DUMMYFUNCTION("SPLIT(A1043, "" |"")"),1041.0)</f>
        <v>1041</v>
      </c>
      <c r="G1047" s="19">
        <f>IFERROR(__xludf.DUMMYFUNCTION("""COMPUTED_VALUE"""),0.00237)</f>
        <v>0.00237</v>
      </c>
      <c r="H1047" s="19" t="str">
        <f>IFERROR(__xludf.DUMMYFUNCTION("""COMPUTED_VALUE"""),"-")</f>
        <v>-</v>
      </c>
      <c r="I1047" s="19">
        <f>IFERROR(__xludf.DUMMYFUNCTION("""COMPUTED_VALUE"""),0.00215)</f>
        <v>0.00215</v>
      </c>
      <c r="J1047" s="19">
        <f>IFERROR(__xludf.DUMMYFUNCTION("""COMPUTED_VALUE"""),0.04389)</f>
        <v>0.04389</v>
      </c>
      <c r="K1047" s="19" t="str">
        <f>IFERROR(__xludf.DUMMYFUNCTION("""COMPUTED_VALUE"""),"-")</f>
        <v>-</v>
      </c>
      <c r="L1047" s="19" t="str">
        <f>IFERROR(__xludf.DUMMYFUNCTION("""COMPUTED_VALUE"""),"-")</f>
        <v>-</v>
      </c>
      <c r="O1047" s="24">
        <f t="shared" si="4"/>
        <v>0</v>
      </c>
      <c r="P1047" s="24"/>
      <c r="Q1047" s="24">
        <f t="shared" si="6"/>
        <v>0</v>
      </c>
      <c r="R1047" s="24">
        <f t="shared" si="7"/>
        <v>1</v>
      </c>
      <c r="S1047" s="24"/>
      <c r="T1047" s="24"/>
    </row>
    <row r="1048">
      <c r="A1048" s="12" t="s">
        <v>1136</v>
      </c>
      <c r="F1048" s="19">
        <f>IFERROR(__xludf.DUMMYFUNCTION("SPLIT(A1044, "" |"")"),1042.0)</f>
        <v>1042</v>
      </c>
      <c r="G1048" s="19">
        <f>IFERROR(__xludf.DUMMYFUNCTION("""COMPUTED_VALUE"""),0.00224)</f>
        <v>0.00224</v>
      </c>
      <c r="H1048" s="19" t="str">
        <f>IFERROR(__xludf.DUMMYFUNCTION("""COMPUTED_VALUE"""),"-")</f>
        <v>-</v>
      </c>
      <c r="I1048" s="19">
        <f>IFERROR(__xludf.DUMMYFUNCTION("""COMPUTED_VALUE"""),0.00212)</f>
        <v>0.00212</v>
      </c>
      <c r="J1048" s="19">
        <f>IFERROR(__xludf.DUMMYFUNCTION("""COMPUTED_VALUE"""),0.04741)</f>
        <v>0.04741</v>
      </c>
      <c r="K1048" s="19" t="str">
        <f>IFERROR(__xludf.DUMMYFUNCTION("""COMPUTED_VALUE"""),"-")</f>
        <v>-</v>
      </c>
      <c r="L1048" s="19" t="str">
        <f>IFERROR(__xludf.DUMMYFUNCTION("""COMPUTED_VALUE"""),"-")</f>
        <v>-</v>
      </c>
      <c r="O1048" s="24">
        <f t="shared" si="4"/>
        <v>0</v>
      </c>
      <c r="P1048" s="24"/>
      <c r="Q1048" s="24">
        <f t="shared" si="6"/>
        <v>0</v>
      </c>
      <c r="R1048" s="24">
        <f t="shared" si="7"/>
        <v>0</v>
      </c>
      <c r="S1048" s="24"/>
      <c r="T1048" s="24"/>
    </row>
    <row r="1049">
      <c r="A1049" s="12" t="s">
        <v>1137</v>
      </c>
      <c r="F1049" s="19">
        <f>IFERROR(__xludf.DUMMYFUNCTION("SPLIT(A1045, "" |"")"),1043.0)</f>
        <v>1043</v>
      </c>
      <c r="G1049" s="19">
        <f>IFERROR(__xludf.DUMMYFUNCTION("""COMPUTED_VALUE"""),0.00223)</f>
        <v>0.00223</v>
      </c>
      <c r="H1049" s="19" t="str">
        <f>IFERROR(__xludf.DUMMYFUNCTION("""COMPUTED_VALUE"""),"-")</f>
        <v>-</v>
      </c>
      <c r="I1049" s="19">
        <f>IFERROR(__xludf.DUMMYFUNCTION("""COMPUTED_VALUE"""),0.00209)</f>
        <v>0.00209</v>
      </c>
      <c r="J1049" s="19">
        <f>IFERROR(__xludf.DUMMYFUNCTION("""COMPUTED_VALUE"""),0.04434)</f>
        <v>0.04434</v>
      </c>
      <c r="K1049" s="19" t="str">
        <f>IFERROR(__xludf.DUMMYFUNCTION("""COMPUTED_VALUE"""),"-")</f>
        <v>-</v>
      </c>
      <c r="L1049" s="19" t="str">
        <f>IFERROR(__xludf.DUMMYFUNCTION("""COMPUTED_VALUE"""),"-")</f>
        <v>-</v>
      </c>
      <c r="O1049" s="24">
        <f t="shared" si="4"/>
        <v>0</v>
      </c>
      <c r="P1049" s="24"/>
      <c r="Q1049" s="24">
        <f t="shared" si="6"/>
        <v>0</v>
      </c>
      <c r="R1049" s="24">
        <f t="shared" si="7"/>
        <v>1</v>
      </c>
      <c r="S1049" s="24"/>
      <c r="T1049" s="24"/>
    </row>
    <row r="1050">
      <c r="A1050" s="12" t="s">
        <v>1138</v>
      </c>
      <c r="F1050" s="19">
        <f>IFERROR(__xludf.DUMMYFUNCTION("SPLIT(A1046, "" |"")"),1044.0)</f>
        <v>1044</v>
      </c>
      <c r="G1050" s="19">
        <f>IFERROR(__xludf.DUMMYFUNCTION("""COMPUTED_VALUE"""),0.00243)</f>
        <v>0.00243</v>
      </c>
      <c r="H1050" s="19" t="str">
        <f>IFERROR(__xludf.DUMMYFUNCTION("""COMPUTED_VALUE"""),"-")</f>
        <v>-</v>
      </c>
      <c r="I1050" s="19">
        <f>IFERROR(__xludf.DUMMYFUNCTION("""COMPUTED_VALUE"""),0.00231)</f>
        <v>0.00231</v>
      </c>
      <c r="J1050" s="19">
        <f>IFERROR(__xludf.DUMMYFUNCTION("""COMPUTED_VALUE"""),0.04744)</f>
        <v>0.04744</v>
      </c>
      <c r="K1050" s="19" t="str">
        <f>IFERROR(__xludf.DUMMYFUNCTION("""COMPUTED_VALUE"""),"-")</f>
        <v>-</v>
      </c>
      <c r="L1050" s="19" t="str">
        <f>IFERROR(__xludf.DUMMYFUNCTION("""COMPUTED_VALUE"""),"-")</f>
        <v>-</v>
      </c>
      <c r="O1050" s="24">
        <f t="shared" si="4"/>
        <v>0</v>
      </c>
      <c r="P1050" s="24"/>
      <c r="Q1050" s="24">
        <f t="shared" si="6"/>
        <v>0</v>
      </c>
      <c r="R1050" s="24">
        <f t="shared" si="7"/>
        <v>0</v>
      </c>
      <c r="S1050" s="24"/>
      <c r="T1050" s="24"/>
    </row>
    <row r="1051">
      <c r="A1051" s="12" t="s">
        <v>1139</v>
      </c>
      <c r="F1051" s="19">
        <f>IFERROR(__xludf.DUMMYFUNCTION("SPLIT(A1047, "" |"")"),1045.0)</f>
        <v>1045</v>
      </c>
      <c r="G1051" s="19">
        <f>IFERROR(__xludf.DUMMYFUNCTION("""COMPUTED_VALUE"""),0.00229)</f>
        <v>0.00229</v>
      </c>
      <c r="H1051" s="19" t="str">
        <f>IFERROR(__xludf.DUMMYFUNCTION("""COMPUTED_VALUE"""),"-")</f>
        <v>-</v>
      </c>
      <c r="I1051" s="19">
        <f>IFERROR(__xludf.DUMMYFUNCTION("""COMPUTED_VALUE"""),0.00215)</f>
        <v>0.00215</v>
      </c>
      <c r="J1051" s="19">
        <f>IFERROR(__xludf.DUMMYFUNCTION("""COMPUTED_VALUE"""),0.04737)</f>
        <v>0.04737</v>
      </c>
      <c r="K1051" s="19" t="str">
        <f>IFERROR(__xludf.DUMMYFUNCTION("""COMPUTED_VALUE"""),"-")</f>
        <v>-</v>
      </c>
      <c r="L1051" s="19" t="str">
        <f>IFERROR(__xludf.DUMMYFUNCTION("""COMPUTED_VALUE"""),"-")</f>
        <v>-</v>
      </c>
      <c r="O1051" s="24">
        <f t="shared" si="4"/>
        <v>0</v>
      </c>
      <c r="P1051" s="24"/>
      <c r="Q1051" s="24">
        <f t="shared" si="6"/>
        <v>0</v>
      </c>
      <c r="R1051" s="24">
        <f t="shared" si="7"/>
        <v>0</v>
      </c>
      <c r="S1051" s="24"/>
      <c r="T1051" s="24"/>
    </row>
    <row r="1052">
      <c r="A1052" s="12" t="s">
        <v>1140</v>
      </c>
      <c r="F1052" s="19">
        <f>IFERROR(__xludf.DUMMYFUNCTION("SPLIT(A1048, "" |"")"),1046.0)</f>
        <v>1046</v>
      </c>
      <c r="G1052" s="19">
        <f>IFERROR(__xludf.DUMMYFUNCTION("""COMPUTED_VALUE"""),0.00223)</f>
        <v>0.00223</v>
      </c>
      <c r="H1052" s="19" t="str">
        <f>IFERROR(__xludf.DUMMYFUNCTION("""COMPUTED_VALUE"""),"-")</f>
        <v>-</v>
      </c>
      <c r="I1052" s="19">
        <f>IFERROR(__xludf.DUMMYFUNCTION("""COMPUTED_VALUE"""),0.00211)</f>
        <v>0.00211</v>
      </c>
      <c r="J1052" s="19">
        <f>IFERROR(__xludf.DUMMYFUNCTION("""COMPUTED_VALUE"""),0.04749)</f>
        <v>0.04749</v>
      </c>
      <c r="K1052" s="19" t="str">
        <f>IFERROR(__xludf.DUMMYFUNCTION("""COMPUTED_VALUE"""),"-")</f>
        <v>-</v>
      </c>
      <c r="L1052" s="19" t="str">
        <f>IFERROR(__xludf.DUMMYFUNCTION("""COMPUTED_VALUE"""),"-")</f>
        <v>-</v>
      </c>
      <c r="O1052" s="24">
        <f t="shared" si="4"/>
        <v>0</v>
      </c>
      <c r="P1052" s="24"/>
      <c r="Q1052" s="24">
        <f t="shared" si="6"/>
        <v>0</v>
      </c>
      <c r="R1052" s="24">
        <f t="shared" si="7"/>
        <v>0</v>
      </c>
      <c r="S1052" s="24"/>
      <c r="T1052" s="24"/>
    </row>
    <row r="1053">
      <c r="A1053" s="12" t="s">
        <v>1141</v>
      </c>
      <c r="F1053" s="19">
        <f>IFERROR(__xludf.DUMMYFUNCTION("SPLIT(A1049, "" |"")"),1047.0)</f>
        <v>1047</v>
      </c>
      <c r="G1053" s="19">
        <f>IFERROR(__xludf.DUMMYFUNCTION("""COMPUTED_VALUE"""),0.00237)</f>
        <v>0.00237</v>
      </c>
      <c r="H1053" s="19" t="str">
        <f>IFERROR(__xludf.DUMMYFUNCTION("""COMPUTED_VALUE"""),"-")</f>
        <v>-</v>
      </c>
      <c r="I1053" s="19">
        <f>IFERROR(__xludf.DUMMYFUNCTION("""COMPUTED_VALUE"""),0.00216)</f>
        <v>0.00216</v>
      </c>
      <c r="J1053" s="19">
        <f>IFERROR(__xludf.DUMMYFUNCTION("""COMPUTED_VALUE"""),0.04336)</f>
        <v>0.04336</v>
      </c>
      <c r="K1053" s="19" t="str">
        <f>IFERROR(__xludf.DUMMYFUNCTION("""COMPUTED_VALUE"""),"-")</f>
        <v>-</v>
      </c>
      <c r="L1053" s="19" t="str">
        <f>IFERROR(__xludf.DUMMYFUNCTION("""COMPUTED_VALUE"""),"-")</f>
        <v>-</v>
      </c>
      <c r="O1053" s="24">
        <f t="shared" si="4"/>
        <v>0</v>
      </c>
      <c r="P1053" s="24"/>
      <c r="Q1053" s="24">
        <f t="shared" si="6"/>
        <v>0</v>
      </c>
      <c r="R1053" s="24">
        <f t="shared" si="7"/>
        <v>1</v>
      </c>
      <c r="S1053" s="24"/>
      <c r="T1053" s="24"/>
    </row>
    <row r="1054">
      <c r="A1054" s="12" t="s">
        <v>1142</v>
      </c>
      <c r="F1054" s="19">
        <f>IFERROR(__xludf.DUMMYFUNCTION("SPLIT(A1050, "" |"")"),1048.0)</f>
        <v>1048</v>
      </c>
      <c r="G1054" s="19">
        <f>IFERROR(__xludf.DUMMYFUNCTION("""COMPUTED_VALUE"""),0.00228)</f>
        <v>0.00228</v>
      </c>
      <c r="H1054" s="19" t="str">
        <f>IFERROR(__xludf.DUMMYFUNCTION("""COMPUTED_VALUE"""),"-")</f>
        <v>-</v>
      </c>
      <c r="I1054" s="19">
        <f>IFERROR(__xludf.DUMMYFUNCTION("""COMPUTED_VALUE"""),0.00219)</f>
        <v>0.00219</v>
      </c>
      <c r="J1054" s="19">
        <f>IFERROR(__xludf.DUMMYFUNCTION("""COMPUTED_VALUE"""),0.04744)</f>
        <v>0.04744</v>
      </c>
      <c r="K1054" s="19" t="str">
        <f>IFERROR(__xludf.DUMMYFUNCTION("""COMPUTED_VALUE"""),"-")</f>
        <v>-</v>
      </c>
      <c r="L1054" s="19" t="str">
        <f>IFERROR(__xludf.DUMMYFUNCTION("""COMPUTED_VALUE"""),"-")</f>
        <v>-</v>
      </c>
      <c r="O1054" s="24">
        <f t="shared" si="4"/>
        <v>0</v>
      </c>
      <c r="P1054" s="24"/>
      <c r="Q1054" s="24">
        <f t="shared" si="6"/>
        <v>0</v>
      </c>
      <c r="R1054" s="24">
        <f t="shared" si="7"/>
        <v>0</v>
      </c>
      <c r="S1054" s="24"/>
      <c r="T1054" s="24"/>
    </row>
    <row r="1055">
      <c r="A1055" s="12" t="s">
        <v>1143</v>
      </c>
      <c r="F1055" s="19">
        <f>IFERROR(__xludf.DUMMYFUNCTION("SPLIT(A1051, "" |"")"),1049.0)</f>
        <v>1049</v>
      </c>
      <c r="G1055" s="19">
        <f>IFERROR(__xludf.DUMMYFUNCTION("""COMPUTED_VALUE"""),0.00235)</f>
        <v>0.00235</v>
      </c>
      <c r="H1055" s="19" t="str">
        <f>IFERROR(__xludf.DUMMYFUNCTION("""COMPUTED_VALUE"""),"-")</f>
        <v>-</v>
      </c>
      <c r="I1055" s="19">
        <f>IFERROR(__xludf.DUMMYFUNCTION("""COMPUTED_VALUE"""),0.00223)</f>
        <v>0.00223</v>
      </c>
      <c r="J1055" s="19">
        <f>IFERROR(__xludf.DUMMYFUNCTION("""COMPUTED_VALUE"""),0.04092)</f>
        <v>0.04092</v>
      </c>
      <c r="K1055" s="19" t="str">
        <f>IFERROR(__xludf.DUMMYFUNCTION("""COMPUTED_VALUE"""),"-")</f>
        <v>-</v>
      </c>
      <c r="L1055" s="19" t="str">
        <f>IFERROR(__xludf.DUMMYFUNCTION("""COMPUTED_VALUE"""),"-")</f>
        <v>-</v>
      </c>
      <c r="O1055" s="24">
        <f t="shared" si="4"/>
        <v>0</v>
      </c>
      <c r="P1055" s="24"/>
      <c r="Q1055" s="24">
        <f t="shared" si="6"/>
        <v>0</v>
      </c>
      <c r="R1055" s="24">
        <f t="shared" si="7"/>
        <v>1</v>
      </c>
      <c r="S1055" s="24"/>
      <c r="T1055" s="24"/>
    </row>
    <row r="1056">
      <c r="A1056" s="12" t="s">
        <v>1144</v>
      </c>
      <c r="F1056" s="19">
        <f>IFERROR(__xludf.DUMMYFUNCTION("SPLIT(A1052, "" |"")"),1050.0)</f>
        <v>1050</v>
      </c>
      <c r="G1056" s="19">
        <f>IFERROR(__xludf.DUMMYFUNCTION("""COMPUTED_VALUE"""),0.00238)</f>
        <v>0.00238</v>
      </c>
      <c r="H1056" s="19" t="str">
        <f>IFERROR(__xludf.DUMMYFUNCTION("""COMPUTED_VALUE"""),"-")</f>
        <v>-</v>
      </c>
      <c r="I1056" s="19">
        <f>IFERROR(__xludf.DUMMYFUNCTION("""COMPUTED_VALUE"""),0.00219)</f>
        <v>0.00219</v>
      </c>
      <c r="J1056" s="19">
        <f>IFERROR(__xludf.DUMMYFUNCTION("""COMPUTED_VALUE"""),0.04744)</f>
        <v>0.04744</v>
      </c>
      <c r="K1056" s="19" t="str">
        <f>IFERROR(__xludf.DUMMYFUNCTION("""COMPUTED_VALUE"""),"-")</f>
        <v>-</v>
      </c>
      <c r="L1056" s="19" t="str">
        <f>IFERROR(__xludf.DUMMYFUNCTION("""COMPUTED_VALUE"""),"-")</f>
        <v>-</v>
      </c>
      <c r="O1056" s="24">
        <f t="shared" si="4"/>
        <v>0</v>
      </c>
      <c r="P1056" s="24"/>
      <c r="Q1056" s="24">
        <f t="shared" si="6"/>
        <v>0</v>
      </c>
      <c r="R1056" s="24">
        <f t="shared" si="7"/>
        <v>0</v>
      </c>
      <c r="S1056" s="24"/>
      <c r="T1056" s="24"/>
    </row>
    <row r="1057">
      <c r="A1057" s="12" t="s">
        <v>1145</v>
      </c>
      <c r="F1057" s="19">
        <f>IFERROR(__xludf.DUMMYFUNCTION("SPLIT(A1053, "" |"")"),1051.0)</f>
        <v>1051</v>
      </c>
      <c r="G1057" s="19">
        <f>IFERROR(__xludf.DUMMYFUNCTION("""COMPUTED_VALUE"""),0.00236)</f>
        <v>0.00236</v>
      </c>
      <c r="H1057" s="19" t="str">
        <f>IFERROR(__xludf.DUMMYFUNCTION("""COMPUTED_VALUE"""),"-")</f>
        <v>-</v>
      </c>
      <c r="I1057" s="19">
        <f>IFERROR(__xludf.DUMMYFUNCTION("""COMPUTED_VALUE"""),0.00221)</f>
        <v>0.00221</v>
      </c>
      <c r="J1057" s="19">
        <f>IFERROR(__xludf.DUMMYFUNCTION("""COMPUTED_VALUE"""),0.04554)</f>
        <v>0.04554</v>
      </c>
      <c r="K1057" s="19" t="str">
        <f>IFERROR(__xludf.DUMMYFUNCTION("""COMPUTED_VALUE"""),"-")</f>
        <v>-</v>
      </c>
      <c r="L1057" s="19" t="str">
        <f>IFERROR(__xludf.DUMMYFUNCTION("""COMPUTED_VALUE"""),"-")</f>
        <v>-</v>
      </c>
      <c r="O1057" s="24">
        <f t="shared" si="4"/>
        <v>0</v>
      </c>
      <c r="P1057" s="24"/>
      <c r="Q1057" s="24">
        <f t="shared" si="6"/>
        <v>0</v>
      </c>
      <c r="R1057" s="24">
        <f t="shared" si="7"/>
        <v>0</v>
      </c>
      <c r="S1057" s="24"/>
      <c r="T1057" s="24"/>
    </row>
    <row r="1058">
      <c r="A1058" s="12" t="s">
        <v>1146</v>
      </c>
      <c r="F1058" s="19">
        <f>IFERROR(__xludf.DUMMYFUNCTION("SPLIT(A1054, "" |"")"),1052.0)</f>
        <v>1052</v>
      </c>
      <c r="G1058" s="19">
        <f>IFERROR(__xludf.DUMMYFUNCTION("""COMPUTED_VALUE"""),0.00238)</f>
        <v>0.00238</v>
      </c>
      <c r="H1058" s="19" t="str">
        <f>IFERROR(__xludf.DUMMYFUNCTION("""COMPUTED_VALUE"""),"-")</f>
        <v>-</v>
      </c>
      <c r="I1058" s="19">
        <f>IFERROR(__xludf.DUMMYFUNCTION("""COMPUTED_VALUE"""),0.00227)</f>
        <v>0.00227</v>
      </c>
      <c r="J1058" s="19">
        <f>IFERROR(__xludf.DUMMYFUNCTION("""COMPUTED_VALUE"""),0.04748)</f>
        <v>0.04748</v>
      </c>
      <c r="K1058" s="19" t="str">
        <f>IFERROR(__xludf.DUMMYFUNCTION("""COMPUTED_VALUE"""),"-")</f>
        <v>-</v>
      </c>
      <c r="L1058" s="19" t="str">
        <f>IFERROR(__xludf.DUMMYFUNCTION("""COMPUTED_VALUE"""),"-")</f>
        <v>-</v>
      </c>
      <c r="O1058" s="24">
        <f t="shared" si="4"/>
        <v>0</v>
      </c>
      <c r="P1058" s="24"/>
      <c r="Q1058" s="24">
        <f t="shared" si="6"/>
        <v>0</v>
      </c>
      <c r="R1058" s="24">
        <f t="shared" si="7"/>
        <v>0</v>
      </c>
      <c r="S1058" s="24"/>
      <c r="T1058" s="24"/>
    </row>
    <row r="1059">
      <c r="A1059" s="12" t="s">
        <v>1147</v>
      </c>
      <c r="F1059" s="19">
        <f>IFERROR(__xludf.DUMMYFUNCTION("SPLIT(A1055, "" |"")"),1053.0)</f>
        <v>1053</v>
      </c>
      <c r="G1059" s="19">
        <f>IFERROR(__xludf.DUMMYFUNCTION("""COMPUTED_VALUE"""),0.00232)</f>
        <v>0.00232</v>
      </c>
      <c r="H1059" s="19" t="str">
        <f>IFERROR(__xludf.DUMMYFUNCTION("""COMPUTED_VALUE"""),"-")</f>
        <v>-</v>
      </c>
      <c r="I1059" s="19">
        <f>IFERROR(__xludf.DUMMYFUNCTION("""COMPUTED_VALUE"""),0.00231)</f>
        <v>0.00231</v>
      </c>
      <c r="J1059" s="19">
        <f>IFERROR(__xludf.DUMMYFUNCTION("""COMPUTED_VALUE"""),0.04742)</f>
        <v>0.04742</v>
      </c>
      <c r="K1059" s="19" t="str">
        <f>IFERROR(__xludf.DUMMYFUNCTION("""COMPUTED_VALUE"""),"-")</f>
        <v>-</v>
      </c>
      <c r="L1059" s="19" t="str">
        <f>IFERROR(__xludf.DUMMYFUNCTION("""COMPUTED_VALUE"""),"-")</f>
        <v>-</v>
      </c>
      <c r="O1059" s="24">
        <f t="shared" si="4"/>
        <v>0</v>
      </c>
      <c r="P1059" s="24"/>
      <c r="Q1059" s="24">
        <f t="shared" si="6"/>
        <v>0</v>
      </c>
      <c r="R1059" s="24">
        <f t="shared" si="7"/>
        <v>0</v>
      </c>
      <c r="S1059" s="24"/>
      <c r="T1059" s="24"/>
    </row>
    <row r="1060">
      <c r="A1060" s="12" t="s">
        <v>1148</v>
      </c>
      <c r="F1060" s="19">
        <f>IFERROR(__xludf.DUMMYFUNCTION("SPLIT(A1056, "" |"")"),1054.0)</f>
        <v>1054</v>
      </c>
      <c r="G1060" s="19">
        <f>IFERROR(__xludf.DUMMYFUNCTION("""COMPUTED_VALUE"""),0.0023)</f>
        <v>0.0023</v>
      </c>
      <c r="H1060" s="19" t="str">
        <f>IFERROR(__xludf.DUMMYFUNCTION("""COMPUTED_VALUE"""),"-")</f>
        <v>-</v>
      </c>
      <c r="I1060" s="19">
        <f>IFERROR(__xludf.DUMMYFUNCTION("""COMPUTED_VALUE"""),0.0021)</f>
        <v>0.0021</v>
      </c>
      <c r="J1060" s="19">
        <f>IFERROR(__xludf.DUMMYFUNCTION("""COMPUTED_VALUE"""),0.04727)</f>
        <v>0.04727</v>
      </c>
      <c r="K1060" s="19" t="str">
        <f>IFERROR(__xludf.DUMMYFUNCTION("""COMPUTED_VALUE"""),"-")</f>
        <v>-</v>
      </c>
      <c r="L1060" s="19" t="str">
        <f>IFERROR(__xludf.DUMMYFUNCTION("""COMPUTED_VALUE"""),"-")</f>
        <v>-</v>
      </c>
      <c r="O1060" s="24">
        <f t="shared" si="4"/>
        <v>0</v>
      </c>
      <c r="P1060" s="24"/>
      <c r="Q1060" s="24">
        <f t="shared" si="6"/>
        <v>0</v>
      </c>
      <c r="R1060" s="24">
        <f t="shared" si="7"/>
        <v>0</v>
      </c>
      <c r="S1060" s="24"/>
      <c r="T1060" s="24"/>
    </row>
    <row r="1061">
      <c r="A1061" s="12" t="s">
        <v>1149</v>
      </c>
      <c r="F1061" s="19">
        <f>IFERROR(__xludf.DUMMYFUNCTION("SPLIT(A1057, "" |"")"),1055.0)</f>
        <v>1055</v>
      </c>
      <c r="G1061" s="19">
        <f>IFERROR(__xludf.DUMMYFUNCTION("""COMPUTED_VALUE"""),0.00227)</f>
        <v>0.00227</v>
      </c>
      <c r="H1061" s="19" t="str">
        <f>IFERROR(__xludf.DUMMYFUNCTION("""COMPUTED_VALUE"""),"-")</f>
        <v>-</v>
      </c>
      <c r="I1061" s="19">
        <f>IFERROR(__xludf.DUMMYFUNCTION("""COMPUTED_VALUE"""),0.00211)</f>
        <v>0.00211</v>
      </c>
      <c r="J1061" s="19">
        <f>IFERROR(__xludf.DUMMYFUNCTION("""COMPUTED_VALUE"""),0.04728)</f>
        <v>0.04728</v>
      </c>
      <c r="K1061" s="19" t="str">
        <f>IFERROR(__xludf.DUMMYFUNCTION("""COMPUTED_VALUE"""),"-")</f>
        <v>-</v>
      </c>
      <c r="L1061" s="19" t="str">
        <f>IFERROR(__xludf.DUMMYFUNCTION("""COMPUTED_VALUE"""),"-")</f>
        <v>-</v>
      </c>
      <c r="O1061" s="24">
        <f t="shared" si="4"/>
        <v>0</v>
      </c>
      <c r="P1061" s="24"/>
      <c r="Q1061" s="24">
        <f t="shared" si="6"/>
        <v>0</v>
      </c>
      <c r="R1061" s="24">
        <f t="shared" si="7"/>
        <v>0</v>
      </c>
      <c r="S1061" s="24"/>
      <c r="T1061" s="24"/>
    </row>
    <row r="1062">
      <c r="A1062" s="12" t="s">
        <v>1150</v>
      </c>
      <c r="F1062" s="19">
        <f>IFERROR(__xludf.DUMMYFUNCTION("SPLIT(A1058, "" |"")"),1056.0)</f>
        <v>1056</v>
      </c>
      <c r="G1062" s="19">
        <f>IFERROR(__xludf.DUMMYFUNCTION("""COMPUTED_VALUE"""),0.00183)</f>
        <v>0.00183</v>
      </c>
      <c r="H1062" s="19" t="str">
        <f>IFERROR(__xludf.DUMMYFUNCTION("""COMPUTED_VALUE"""),"-")</f>
        <v>-</v>
      </c>
      <c r="I1062" s="19">
        <f>IFERROR(__xludf.DUMMYFUNCTION("""COMPUTED_VALUE"""),0.00208)</f>
        <v>0.00208</v>
      </c>
      <c r="J1062" s="19">
        <f>IFERROR(__xludf.DUMMYFUNCTION("""COMPUTED_VALUE"""),0.04745)</f>
        <v>0.04745</v>
      </c>
      <c r="K1062" s="19" t="str">
        <f>IFERROR(__xludf.DUMMYFUNCTION("""COMPUTED_VALUE"""),"-")</f>
        <v>-</v>
      </c>
      <c r="L1062" s="19" t="str">
        <f>IFERROR(__xludf.DUMMYFUNCTION("""COMPUTED_VALUE"""),"-")</f>
        <v>-</v>
      </c>
      <c r="O1062" s="24">
        <f t="shared" si="4"/>
        <v>0</v>
      </c>
      <c r="P1062" s="24"/>
      <c r="Q1062" s="24">
        <f t="shared" si="6"/>
        <v>0</v>
      </c>
      <c r="R1062" s="24">
        <f t="shared" si="7"/>
        <v>0</v>
      </c>
      <c r="S1062" s="24"/>
      <c r="T1062" s="24"/>
    </row>
    <row r="1063">
      <c r="A1063" s="12" t="s">
        <v>1151</v>
      </c>
      <c r="F1063" s="19">
        <f>IFERROR(__xludf.DUMMYFUNCTION("SPLIT(A1059, "" |"")"),1057.0)</f>
        <v>1057</v>
      </c>
      <c r="G1063" s="19">
        <f>IFERROR(__xludf.DUMMYFUNCTION("""COMPUTED_VALUE"""),0.00238)</f>
        <v>0.00238</v>
      </c>
      <c r="H1063" s="19" t="str">
        <f>IFERROR(__xludf.DUMMYFUNCTION("""COMPUTED_VALUE"""),"-")</f>
        <v>-</v>
      </c>
      <c r="I1063" s="19">
        <f>IFERROR(__xludf.DUMMYFUNCTION("""COMPUTED_VALUE"""),0.00214)</f>
        <v>0.00214</v>
      </c>
      <c r="J1063" s="19">
        <f>IFERROR(__xludf.DUMMYFUNCTION("""COMPUTED_VALUE"""),0.04741)</f>
        <v>0.04741</v>
      </c>
      <c r="K1063" s="19" t="str">
        <f>IFERROR(__xludf.DUMMYFUNCTION("""COMPUTED_VALUE"""),"-")</f>
        <v>-</v>
      </c>
      <c r="L1063" s="19" t="str">
        <f>IFERROR(__xludf.DUMMYFUNCTION("""COMPUTED_VALUE"""),"-")</f>
        <v>-</v>
      </c>
      <c r="O1063" s="24">
        <f t="shared" si="4"/>
        <v>0</v>
      </c>
      <c r="P1063" s="24"/>
      <c r="Q1063" s="24">
        <f t="shared" si="6"/>
        <v>0</v>
      </c>
      <c r="R1063" s="24">
        <f t="shared" si="7"/>
        <v>0</v>
      </c>
      <c r="S1063" s="24"/>
      <c r="T1063" s="24"/>
    </row>
    <row r="1064">
      <c r="A1064" s="12" t="s">
        <v>1152</v>
      </c>
      <c r="F1064" s="19">
        <f>IFERROR(__xludf.DUMMYFUNCTION("SPLIT(A1060, "" |"")"),1058.0)</f>
        <v>1058</v>
      </c>
      <c r="G1064" s="19">
        <f>IFERROR(__xludf.DUMMYFUNCTION("""COMPUTED_VALUE"""),0.00235)</f>
        <v>0.00235</v>
      </c>
      <c r="H1064" s="19" t="str">
        <f>IFERROR(__xludf.DUMMYFUNCTION("""COMPUTED_VALUE"""),"-")</f>
        <v>-</v>
      </c>
      <c r="I1064" s="19">
        <f>IFERROR(__xludf.DUMMYFUNCTION("""COMPUTED_VALUE"""),0.00209)</f>
        <v>0.00209</v>
      </c>
      <c r="J1064" s="19">
        <f>IFERROR(__xludf.DUMMYFUNCTION("""COMPUTED_VALUE"""),0.04743)</f>
        <v>0.04743</v>
      </c>
      <c r="K1064" s="19" t="str">
        <f>IFERROR(__xludf.DUMMYFUNCTION("""COMPUTED_VALUE"""),"-")</f>
        <v>-</v>
      </c>
      <c r="L1064" s="19" t="str">
        <f>IFERROR(__xludf.DUMMYFUNCTION("""COMPUTED_VALUE"""),"-")</f>
        <v>-</v>
      </c>
      <c r="O1064" s="24">
        <f t="shared" si="4"/>
        <v>0</v>
      </c>
      <c r="P1064" s="24"/>
      <c r="Q1064" s="24">
        <f t="shared" si="6"/>
        <v>0</v>
      </c>
      <c r="R1064" s="24">
        <f t="shared" si="7"/>
        <v>0</v>
      </c>
      <c r="S1064" s="24"/>
      <c r="T1064" s="24"/>
    </row>
    <row r="1065">
      <c r="A1065" s="12" t="s">
        <v>1153</v>
      </c>
      <c r="F1065" s="19">
        <f>IFERROR(__xludf.DUMMYFUNCTION("SPLIT(A1061, "" |"")"),1059.0)</f>
        <v>1059</v>
      </c>
      <c r="G1065" s="19">
        <f>IFERROR(__xludf.DUMMYFUNCTION("""COMPUTED_VALUE"""),0.00226)</f>
        <v>0.00226</v>
      </c>
      <c r="H1065" s="19" t="str">
        <f>IFERROR(__xludf.DUMMYFUNCTION("""COMPUTED_VALUE"""),"-")</f>
        <v>-</v>
      </c>
      <c r="I1065" s="19">
        <f>IFERROR(__xludf.DUMMYFUNCTION("""COMPUTED_VALUE"""),0.00208)</f>
        <v>0.00208</v>
      </c>
      <c r="J1065" s="19">
        <f>IFERROR(__xludf.DUMMYFUNCTION("""COMPUTED_VALUE"""),0.04745)</f>
        <v>0.04745</v>
      </c>
      <c r="K1065" s="19" t="str">
        <f>IFERROR(__xludf.DUMMYFUNCTION("""COMPUTED_VALUE"""),"-")</f>
        <v>-</v>
      </c>
      <c r="L1065" s="19" t="str">
        <f>IFERROR(__xludf.DUMMYFUNCTION("""COMPUTED_VALUE"""),"-")</f>
        <v>-</v>
      </c>
      <c r="O1065" s="24">
        <f t="shared" si="4"/>
        <v>0</v>
      </c>
      <c r="P1065" s="24"/>
      <c r="Q1065" s="24">
        <f t="shared" si="6"/>
        <v>0</v>
      </c>
      <c r="R1065" s="24">
        <f t="shared" si="7"/>
        <v>0</v>
      </c>
      <c r="S1065" s="24"/>
      <c r="T1065" s="24"/>
    </row>
    <row r="1066">
      <c r="A1066" s="12" t="s">
        <v>1154</v>
      </c>
      <c r="F1066" s="19">
        <f>IFERROR(__xludf.DUMMYFUNCTION("SPLIT(A1062, "" |"")"),1060.0)</f>
        <v>1060</v>
      </c>
      <c r="G1066" s="19">
        <f>IFERROR(__xludf.DUMMYFUNCTION("""COMPUTED_VALUE"""),0.00231)</f>
        <v>0.00231</v>
      </c>
      <c r="H1066" s="19" t="str">
        <f>IFERROR(__xludf.DUMMYFUNCTION("""COMPUTED_VALUE"""),"-")</f>
        <v>-</v>
      </c>
      <c r="I1066" s="19">
        <f>IFERROR(__xludf.DUMMYFUNCTION("""COMPUTED_VALUE"""),0.0021)</f>
        <v>0.0021</v>
      </c>
      <c r="J1066" s="19">
        <f>IFERROR(__xludf.DUMMYFUNCTION("""COMPUTED_VALUE"""),0.0473)</f>
        <v>0.0473</v>
      </c>
      <c r="K1066" s="19" t="str">
        <f>IFERROR(__xludf.DUMMYFUNCTION("""COMPUTED_VALUE"""),"-")</f>
        <v>-</v>
      </c>
      <c r="L1066" s="19" t="str">
        <f>IFERROR(__xludf.DUMMYFUNCTION("""COMPUTED_VALUE"""),"-")</f>
        <v>-</v>
      </c>
      <c r="O1066" s="24">
        <f t="shared" si="4"/>
        <v>0</v>
      </c>
      <c r="P1066" s="24"/>
      <c r="Q1066" s="24">
        <f t="shared" si="6"/>
        <v>0</v>
      </c>
      <c r="R1066" s="24">
        <f t="shared" si="7"/>
        <v>0</v>
      </c>
      <c r="S1066" s="24"/>
      <c r="T1066" s="24"/>
    </row>
    <row r="1067">
      <c r="A1067" s="12" t="s">
        <v>1155</v>
      </c>
      <c r="F1067" s="19">
        <f>IFERROR(__xludf.DUMMYFUNCTION("SPLIT(A1063, "" |"")"),1061.0)</f>
        <v>1061</v>
      </c>
      <c r="G1067" s="19">
        <f>IFERROR(__xludf.DUMMYFUNCTION("""COMPUTED_VALUE"""),0.00247)</f>
        <v>0.00247</v>
      </c>
      <c r="H1067" s="19" t="str">
        <f>IFERROR(__xludf.DUMMYFUNCTION("""COMPUTED_VALUE"""),"-")</f>
        <v>-</v>
      </c>
      <c r="I1067" s="19">
        <f>IFERROR(__xludf.DUMMYFUNCTION("""COMPUTED_VALUE"""),0.00214)</f>
        <v>0.00214</v>
      </c>
      <c r="J1067" s="19">
        <f>IFERROR(__xludf.DUMMYFUNCTION("""COMPUTED_VALUE"""),0.04729)</f>
        <v>0.04729</v>
      </c>
      <c r="K1067" s="19" t="str">
        <f>IFERROR(__xludf.DUMMYFUNCTION("""COMPUTED_VALUE"""),"-")</f>
        <v>-</v>
      </c>
      <c r="L1067" s="19" t="str">
        <f>IFERROR(__xludf.DUMMYFUNCTION("""COMPUTED_VALUE"""),"-")</f>
        <v>-</v>
      </c>
      <c r="O1067" s="24">
        <f t="shared" si="4"/>
        <v>0</v>
      </c>
      <c r="P1067" s="24"/>
      <c r="Q1067" s="24">
        <f t="shared" si="6"/>
        <v>0</v>
      </c>
      <c r="R1067" s="24">
        <f t="shared" si="7"/>
        <v>0</v>
      </c>
      <c r="S1067" s="24"/>
      <c r="T1067" s="24"/>
    </row>
    <row r="1068">
      <c r="A1068" s="12" t="s">
        <v>1156</v>
      </c>
      <c r="F1068" s="19">
        <f>IFERROR(__xludf.DUMMYFUNCTION("SPLIT(A1064, "" |"")"),1062.0)</f>
        <v>1062</v>
      </c>
      <c r="G1068" s="19">
        <f>IFERROR(__xludf.DUMMYFUNCTION("""COMPUTED_VALUE"""),0.00231)</f>
        <v>0.00231</v>
      </c>
      <c r="H1068" s="19" t="str">
        <f>IFERROR(__xludf.DUMMYFUNCTION("""COMPUTED_VALUE"""),"-")</f>
        <v>-</v>
      </c>
      <c r="I1068" s="19">
        <f>IFERROR(__xludf.DUMMYFUNCTION("""COMPUTED_VALUE"""),0.00215)</f>
        <v>0.00215</v>
      </c>
      <c r="J1068" s="19">
        <f>IFERROR(__xludf.DUMMYFUNCTION("""COMPUTED_VALUE"""),0.0407)</f>
        <v>0.0407</v>
      </c>
      <c r="K1068" s="19" t="str">
        <f>IFERROR(__xludf.DUMMYFUNCTION("""COMPUTED_VALUE"""),"-")</f>
        <v>-</v>
      </c>
      <c r="L1068" s="19" t="str">
        <f>IFERROR(__xludf.DUMMYFUNCTION("""COMPUTED_VALUE"""),"-")</f>
        <v>-</v>
      </c>
      <c r="O1068" s="24">
        <f t="shared" si="4"/>
        <v>0</v>
      </c>
      <c r="P1068" s="24"/>
      <c r="Q1068" s="24">
        <f t="shared" si="6"/>
        <v>0</v>
      </c>
      <c r="R1068" s="24">
        <f t="shared" si="7"/>
        <v>1</v>
      </c>
      <c r="S1068" s="24"/>
      <c r="T1068" s="24"/>
    </row>
    <row r="1069">
      <c r="A1069" s="12" t="s">
        <v>1157</v>
      </c>
      <c r="F1069" s="19">
        <f>IFERROR(__xludf.DUMMYFUNCTION("SPLIT(A1065, "" |"")"),1063.0)</f>
        <v>1063</v>
      </c>
      <c r="G1069" s="19">
        <f>IFERROR(__xludf.DUMMYFUNCTION("""COMPUTED_VALUE"""),0.00226)</f>
        <v>0.00226</v>
      </c>
      <c r="H1069" s="19" t="str">
        <f>IFERROR(__xludf.DUMMYFUNCTION("""COMPUTED_VALUE"""),"-")</f>
        <v>-</v>
      </c>
      <c r="I1069" s="19">
        <f>IFERROR(__xludf.DUMMYFUNCTION("""COMPUTED_VALUE"""),0.00214)</f>
        <v>0.00214</v>
      </c>
      <c r="J1069" s="19">
        <f>IFERROR(__xludf.DUMMYFUNCTION("""COMPUTED_VALUE"""),0.04673)</f>
        <v>0.04673</v>
      </c>
      <c r="K1069" s="19" t="str">
        <f>IFERROR(__xludf.DUMMYFUNCTION("""COMPUTED_VALUE"""),"-")</f>
        <v>-</v>
      </c>
      <c r="L1069" s="19" t="str">
        <f>IFERROR(__xludf.DUMMYFUNCTION("""COMPUTED_VALUE"""),"-")</f>
        <v>-</v>
      </c>
      <c r="O1069" s="24">
        <f t="shared" si="4"/>
        <v>0</v>
      </c>
      <c r="P1069" s="24"/>
      <c r="Q1069" s="24">
        <f t="shared" si="6"/>
        <v>0</v>
      </c>
      <c r="R1069" s="24">
        <f t="shared" si="7"/>
        <v>0</v>
      </c>
      <c r="S1069" s="24"/>
      <c r="T1069" s="24"/>
    </row>
    <row r="1070">
      <c r="A1070" s="12" t="s">
        <v>1158</v>
      </c>
      <c r="F1070" s="19">
        <f>IFERROR(__xludf.DUMMYFUNCTION("SPLIT(A1066, "" |"")"),1064.0)</f>
        <v>1064</v>
      </c>
      <c r="G1070" s="19">
        <f>IFERROR(__xludf.DUMMYFUNCTION("""COMPUTED_VALUE"""),0.00239)</f>
        <v>0.00239</v>
      </c>
      <c r="H1070" s="19" t="str">
        <f>IFERROR(__xludf.DUMMYFUNCTION("""COMPUTED_VALUE"""),"-")</f>
        <v>-</v>
      </c>
      <c r="I1070" s="19">
        <f>IFERROR(__xludf.DUMMYFUNCTION("""COMPUTED_VALUE"""),0.00218)</f>
        <v>0.00218</v>
      </c>
      <c r="J1070" s="19">
        <f>IFERROR(__xludf.DUMMYFUNCTION("""COMPUTED_VALUE"""),0.04726)</f>
        <v>0.04726</v>
      </c>
      <c r="K1070" s="19" t="str">
        <f>IFERROR(__xludf.DUMMYFUNCTION("""COMPUTED_VALUE"""),"-")</f>
        <v>-</v>
      </c>
      <c r="L1070" s="19" t="str">
        <f>IFERROR(__xludf.DUMMYFUNCTION("""COMPUTED_VALUE"""),"-")</f>
        <v>-</v>
      </c>
      <c r="O1070" s="24">
        <f t="shared" si="4"/>
        <v>0</v>
      </c>
      <c r="P1070" s="24"/>
      <c r="Q1070" s="24">
        <f t="shared" si="6"/>
        <v>0</v>
      </c>
      <c r="R1070" s="24">
        <f t="shared" si="7"/>
        <v>0</v>
      </c>
      <c r="S1070" s="24"/>
      <c r="T1070" s="24"/>
    </row>
    <row r="1071">
      <c r="A1071" s="12" t="s">
        <v>1159</v>
      </c>
      <c r="F1071" s="19">
        <f>IFERROR(__xludf.DUMMYFUNCTION("SPLIT(A1067, "" |"")"),1065.0)</f>
        <v>1065</v>
      </c>
      <c r="G1071" s="19">
        <f>IFERROR(__xludf.DUMMYFUNCTION("""COMPUTED_VALUE"""),0.00229)</f>
        <v>0.00229</v>
      </c>
      <c r="H1071" s="19" t="str">
        <f>IFERROR(__xludf.DUMMYFUNCTION("""COMPUTED_VALUE"""),"-")</f>
        <v>-</v>
      </c>
      <c r="I1071" s="19">
        <f>IFERROR(__xludf.DUMMYFUNCTION("""COMPUTED_VALUE"""),0.00207)</f>
        <v>0.00207</v>
      </c>
      <c r="J1071" s="19">
        <f>IFERROR(__xludf.DUMMYFUNCTION("""COMPUTED_VALUE"""),0.04732)</f>
        <v>0.04732</v>
      </c>
      <c r="K1071" s="19" t="str">
        <f>IFERROR(__xludf.DUMMYFUNCTION("""COMPUTED_VALUE"""),"-")</f>
        <v>-</v>
      </c>
      <c r="L1071" s="19" t="str">
        <f>IFERROR(__xludf.DUMMYFUNCTION("""COMPUTED_VALUE"""),"-")</f>
        <v>-</v>
      </c>
      <c r="O1071" s="24">
        <f t="shared" si="4"/>
        <v>0</v>
      </c>
      <c r="P1071" s="24"/>
      <c r="Q1071" s="24">
        <f t="shared" si="6"/>
        <v>0</v>
      </c>
      <c r="R1071" s="24">
        <f t="shared" si="7"/>
        <v>0</v>
      </c>
      <c r="S1071" s="24"/>
      <c r="T1071" s="24"/>
    </row>
    <row r="1072">
      <c r="A1072" s="12" t="s">
        <v>1160</v>
      </c>
      <c r="F1072" s="19">
        <f>IFERROR(__xludf.DUMMYFUNCTION("SPLIT(A1068, "" |"")"),1066.0)</f>
        <v>1066</v>
      </c>
      <c r="G1072" s="19">
        <f>IFERROR(__xludf.DUMMYFUNCTION("""COMPUTED_VALUE"""),0.00236)</f>
        <v>0.00236</v>
      </c>
      <c r="H1072" s="19" t="str">
        <f>IFERROR(__xludf.DUMMYFUNCTION("""COMPUTED_VALUE"""),"-")</f>
        <v>-</v>
      </c>
      <c r="I1072" s="19">
        <f>IFERROR(__xludf.DUMMYFUNCTION("""COMPUTED_VALUE"""),0.0021)</f>
        <v>0.0021</v>
      </c>
      <c r="J1072" s="19">
        <f>IFERROR(__xludf.DUMMYFUNCTION("""COMPUTED_VALUE"""),0.04587)</f>
        <v>0.04587</v>
      </c>
      <c r="K1072" s="19" t="str">
        <f>IFERROR(__xludf.DUMMYFUNCTION("""COMPUTED_VALUE"""),"-")</f>
        <v>-</v>
      </c>
      <c r="L1072" s="19" t="str">
        <f>IFERROR(__xludf.DUMMYFUNCTION("""COMPUTED_VALUE"""),"-")</f>
        <v>-</v>
      </c>
      <c r="O1072" s="24">
        <f t="shared" si="4"/>
        <v>0</v>
      </c>
      <c r="P1072" s="24"/>
      <c r="Q1072" s="24">
        <f t="shared" si="6"/>
        <v>0</v>
      </c>
      <c r="R1072" s="24">
        <f t="shared" si="7"/>
        <v>0</v>
      </c>
      <c r="S1072" s="24"/>
      <c r="T1072" s="24"/>
    </row>
    <row r="1073">
      <c r="A1073" s="12" t="s">
        <v>1161</v>
      </c>
      <c r="F1073" s="19">
        <f>IFERROR(__xludf.DUMMYFUNCTION("SPLIT(A1069, "" |"")"),1067.0)</f>
        <v>1067</v>
      </c>
      <c r="G1073" s="19">
        <f>IFERROR(__xludf.DUMMYFUNCTION("""COMPUTED_VALUE"""),0.00238)</f>
        <v>0.00238</v>
      </c>
      <c r="H1073" s="19" t="str">
        <f>IFERROR(__xludf.DUMMYFUNCTION("""COMPUTED_VALUE"""),"-")</f>
        <v>-</v>
      </c>
      <c r="I1073" s="19">
        <f>IFERROR(__xludf.DUMMYFUNCTION("""COMPUTED_VALUE"""),0.00227)</f>
        <v>0.00227</v>
      </c>
      <c r="J1073" s="19">
        <f>IFERROR(__xludf.DUMMYFUNCTION("""COMPUTED_VALUE"""),0.04705)</f>
        <v>0.04705</v>
      </c>
      <c r="K1073" s="19" t="str">
        <f>IFERROR(__xludf.DUMMYFUNCTION("""COMPUTED_VALUE"""),"-")</f>
        <v>-</v>
      </c>
      <c r="L1073" s="19" t="str">
        <f>IFERROR(__xludf.DUMMYFUNCTION("""COMPUTED_VALUE"""),"-")</f>
        <v>-</v>
      </c>
      <c r="O1073" s="24">
        <f t="shared" si="4"/>
        <v>0</v>
      </c>
      <c r="P1073" s="24"/>
      <c r="Q1073" s="24">
        <f t="shared" si="6"/>
        <v>0</v>
      </c>
      <c r="R1073" s="24">
        <f t="shared" si="7"/>
        <v>0</v>
      </c>
      <c r="S1073" s="24"/>
      <c r="T1073" s="24"/>
    </row>
    <row r="1074">
      <c r="A1074" s="12" t="s">
        <v>1162</v>
      </c>
      <c r="F1074" s="19">
        <f>IFERROR(__xludf.DUMMYFUNCTION("SPLIT(A1070, "" |"")"),1068.0)</f>
        <v>1068</v>
      </c>
      <c r="G1074" s="19">
        <f>IFERROR(__xludf.DUMMYFUNCTION("""COMPUTED_VALUE"""),0.00236)</f>
        <v>0.00236</v>
      </c>
      <c r="H1074" s="19" t="str">
        <f>IFERROR(__xludf.DUMMYFUNCTION("""COMPUTED_VALUE"""),"-")</f>
        <v>-</v>
      </c>
      <c r="I1074" s="19">
        <f>IFERROR(__xludf.DUMMYFUNCTION("""COMPUTED_VALUE"""),0.00221)</f>
        <v>0.00221</v>
      </c>
      <c r="J1074" s="19">
        <f>IFERROR(__xludf.DUMMYFUNCTION("""COMPUTED_VALUE"""),0.04744)</f>
        <v>0.04744</v>
      </c>
      <c r="K1074" s="19" t="str">
        <f>IFERROR(__xludf.DUMMYFUNCTION("""COMPUTED_VALUE"""),"-")</f>
        <v>-</v>
      </c>
      <c r="L1074" s="19" t="str">
        <f>IFERROR(__xludf.DUMMYFUNCTION("""COMPUTED_VALUE"""),"-")</f>
        <v>-</v>
      </c>
      <c r="O1074" s="24">
        <f t="shared" si="4"/>
        <v>0</v>
      </c>
      <c r="P1074" s="24"/>
      <c r="Q1074" s="24">
        <f t="shared" si="6"/>
        <v>0</v>
      </c>
      <c r="R1074" s="24">
        <f t="shared" si="7"/>
        <v>0</v>
      </c>
      <c r="S1074" s="24"/>
      <c r="T1074" s="24"/>
    </row>
    <row r="1075">
      <c r="A1075" s="12" t="s">
        <v>1163</v>
      </c>
      <c r="F1075" s="19">
        <f>IFERROR(__xludf.DUMMYFUNCTION("SPLIT(A1071, "" |"")"),1069.0)</f>
        <v>1069</v>
      </c>
      <c r="G1075" s="19">
        <f>IFERROR(__xludf.DUMMYFUNCTION("""COMPUTED_VALUE"""),0.0024)</f>
        <v>0.0024</v>
      </c>
      <c r="H1075" s="19" t="str">
        <f>IFERROR(__xludf.DUMMYFUNCTION("""COMPUTED_VALUE"""),"-")</f>
        <v>-</v>
      </c>
      <c r="I1075" s="19">
        <f>IFERROR(__xludf.DUMMYFUNCTION("""COMPUTED_VALUE"""),0.0023)</f>
        <v>0.0023</v>
      </c>
      <c r="J1075" s="19">
        <f>IFERROR(__xludf.DUMMYFUNCTION("""COMPUTED_VALUE"""),0.04744)</f>
        <v>0.04744</v>
      </c>
      <c r="K1075" s="19" t="str">
        <f>IFERROR(__xludf.DUMMYFUNCTION("""COMPUTED_VALUE"""),"-")</f>
        <v>-</v>
      </c>
      <c r="L1075" s="19" t="str">
        <f>IFERROR(__xludf.DUMMYFUNCTION("""COMPUTED_VALUE"""),"-")</f>
        <v>-</v>
      </c>
      <c r="O1075" s="24">
        <f t="shared" si="4"/>
        <v>0</v>
      </c>
      <c r="P1075" s="24"/>
      <c r="Q1075" s="24">
        <f t="shared" si="6"/>
        <v>0</v>
      </c>
      <c r="R1075" s="24">
        <f t="shared" si="7"/>
        <v>0</v>
      </c>
      <c r="S1075" s="24"/>
      <c r="T1075" s="24"/>
    </row>
    <row r="1076">
      <c r="A1076" s="12" t="s">
        <v>1164</v>
      </c>
      <c r="F1076" s="19">
        <f>IFERROR(__xludf.DUMMYFUNCTION("SPLIT(A1072, "" |"")"),1070.0)</f>
        <v>1070</v>
      </c>
      <c r="G1076" s="19">
        <f>IFERROR(__xludf.DUMMYFUNCTION("""COMPUTED_VALUE"""),0.00241)</f>
        <v>0.00241</v>
      </c>
      <c r="H1076" s="19" t="str">
        <f>IFERROR(__xludf.DUMMYFUNCTION("""COMPUTED_VALUE"""),"-")</f>
        <v>-</v>
      </c>
      <c r="I1076" s="19">
        <f>IFERROR(__xludf.DUMMYFUNCTION("""COMPUTED_VALUE"""),0.00222)</f>
        <v>0.00222</v>
      </c>
      <c r="J1076" s="19">
        <f>IFERROR(__xludf.DUMMYFUNCTION("""COMPUTED_VALUE"""),0.04748)</f>
        <v>0.04748</v>
      </c>
      <c r="K1076" s="19" t="str">
        <f>IFERROR(__xludf.DUMMYFUNCTION("""COMPUTED_VALUE"""),"-")</f>
        <v>-</v>
      </c>
      <c r="L1076" s="19" t="str">
        <f>IFERROR(__xludf.DUMMYFUNCTION("""COMPUTED_VALUE"""),"-")</f>
        <v>-</v>
      </c>
      <c r="O1076" s="24">
        <f t="shared" si="4"/>
        <v>0</v>
      </c>
      <c r="P1076" s="24"/>
      <c r="Q1076" s="24">
        <f t="shared" si="6"/>
        <v>0</v>
      </c>
      <c r="R1076" s="24">
        <f t="shared" si="7"/>
        <v>0</v>
      </c>
      <c r="S1076" s="24"/>
      <c r="T1076" s="24"/>
    </row>
    <row r="1077">
      <c r="A1077" s="12" t="s">
        <v>1165</v>
      </c>
      <c r="F1077" s="19">
        <f>IFERROR(__xludf.DUMMYFUNCTION("SPLIT(A1073, "" |"")"),1071.0)</f>
        <v>1071</v>
      </c>
      <c r="G1077" s="19">
        <f>IFERROR(__xludf.DUMMYFUNCTION("""COMPUTED_VALUE"""),0.00249)</f>
        <v>0.00249</v>
      </c>
      <c r="H1077" s="19" t="str">
        <f>IFERROR(__xludf.DUMMYFUNCTION("""COMPUTED_VALUE"""),"-")</f>
        <v>-</v>
      </c>
      <c r="I1077" s="19">
        <f>IFERROR(__xludf.DUMMYFUNCTION("""COMPUTED_VALUE"""),0.00212)</f>
        <v>0.00212</v>
      </c>
      <c r="J1077" s="19">
        <f>IFERROR(__xludf.DUMMYFUNCTION("""COMPUTED_VALUE"""),0.04743)</f>
        <v>0.04743</v>
      </c>
      <c r="K1077" s="19" t="str">
        <f>IFERROR(__xludf.DUMMYFUNCTION("""COMPUTED_VALUE"""),"-")</f>
        <v>-</v>
      </c>
      <c r="L1077" s="19" t="str">
        <f>IFERROR(__xludf.DUMMYFUNCTION("""COMPUTED_VALUE"""),"-")</f>
        <v>-</v>
      </c>
      <c r="O1077" s="24">
        <f t="shared" si="4"/>
        <v>0</v>
      </c>
      <c r="P1077" s="24"/>
      <c r="Q1077" s="24">
        <f t="shared" si="6"/>
        <v>0</v>
      </c>
      <c r="R1077" s="24">
        <f t="shared" si="7"/>
        <v>0</v>
      </c>
      <c r="S1077" s="24"/>
      <c r="T1077" s="24"/>
    </row>
    <row r="1078">
      <c r="A1078" s="12" t="s">
        <v>1166</v>
      </c>
      <c r="F1078" s="19">
        <f>IFERROR(__xludf.DUMMYFUNCTION("SPLIT(A1074, "" |"")"),1072.0)</f>
        <v>1072</v>
      </c>
      <c r="G1078" s="19">
        <f>IFERROR(__xludf.DUMMYFUNCTION("""COMPUTED_VALUE"""),0.00246)</f>
        <v>0.00246</v>
      </c>
      <c r="H1078" s="19" t="str">
        <f>IFERROR(__xludf.DUMMYFUNCTION("""COMPUTED_VALUE"""),"-")</f>
        <v>-</v>
      </c>
      <c r="I1078" s="19">
        <f>IFERROR(__xludf.DUMMYFUNCTION("""COMPUTED_VALUE"""),0.0022)</f>
        <v>0.0022</v>
      </c>
      <c r="J1078" s="19">
        <f>IFERROR(__xludf.DUMMYFUNCTION("""COMPUTED_VALUE"""),0.04741)</f>
        <v>0.04741</v>
      </c>
      <c r="K1078" s="19" t="str">
        <f>IFERROR(__xludf.DUMMYFUNCTION("""COMPUTED_VALUE"""),"-")</f>
        <v>-</v>
      </c>
      <c r="L1078" s="19" t="str">
        <f>IFERROR(__xludf.DUMMYFUNCTION("""COMPUTED_VALUE"""),"-")</f>
        <v>-</v>
      </c>
      <c r="O1078" s="24">
        <f t="shared" si="4"/>
        <v>0</v>
      </c>
      <c r="P1078" s="24"/>
      <c r="Q1078" s="24">
        <f t="shared" si="6"/>
        <v>0</v>
      </c>
      <c r="R1078" s="24">
        <f t="shared" si="7"/>
        <v>0</v>
      </c>
      <c r="S1078" s="24"/>
      <c r="T1078" s="24"/>
    </row>
    <row r="1079">
      <c r="A1079" s="12" t="s">
        <v>1167</v>
      </c>
      <c r="F1079" s="19">
        <f>IFERROR(__xludf.DUMMYFUNCTION("SPLIT(A1075, "" |"")"),1073.0)</f>
        <v>1073</v>
      </c>
      <c r="G1079" s="19">
        <f>IFERROR(__xludf.DUMMYFUNCTION("""COMPUTED_VALUE"""),0.00249)</f>
        <v>0.00249</v>
      </c>
      <c r="H1079" s="19" t="str">
        <f>IFERROR(__xludf.DUMMYFUNCTION("""COMPUTED_VALUE"""),"-")</f>
        <v>-</v>
      </c>
      <c r="I1079" s="19">
        <f>IFERROR(__xludf.DUMMYFUNCTION("""COMPUTED_VALUE"""),0.00238)</f>
        <v>0.00238</v>
      </c>
      <c r="J1079" s="19">
        <f>IFERROR(__xludf.DUMMYFUNCTION("""COMPUTED_VALUE"""),0.04759)</f>
        <v>0.04759</v>
      </c>
      <c r="K1079" s="19" t="str">
        <f>IFERROR(__xludf.DUMMYFUNCTION("""COMPUTED_VALUE"""),"-")</f>
        <v>-</v>
      </c>
      <c r="L1079" s="19" t="str">
        <f>IFERROR(__xludf.DUMMYFUNCTION("""COMPUTED_VALUE"""),"-")</f>
        <v>-</v>
      </c>
      <c r="O1079" s="24">
        <f t="shared" si="4"/>
        <v>0</v>
      </c>
      <c r="P1079" s="24"/>
      <c r="Q1079" s="24">
        <f t="shared" si="6"/>
        <v>0</v>
      </c>
      <c r="R1079" s="24">
        <f t="shared" si="7"/>
        <v>0</v>
      </c>
      <c r="S1079" s="24"/>
      <c r="T1079" s="24"/>
    </row>
    <row r="1080">
      <c r="A1080" s="12" t="s">
        <v>1168</v>
      </c>
      <c r="F1080" s="19">
        <f>IFERROR(__xludf.DUMMYFUNCTION("SPLIT(A1076, "" |"")"),1074.0)</f>
        <v>1074</v>
      </c>
      <c r="G1080" s="19">
        <f>IFERROR(__xludf.DUMMYFUNCTION("""COMPUTED_VALUE"""),0.00247)</f>
        <v>0.00247</v>
      </c>
      <c r="H1080" s="19" t="str">
        <f>IFERROR(__xludf.DUMMYFUNCTION("""COMPUTED_VALUE"""),"-")</f>
        <v>-</v>
      </c>
      <c r="I1080" s="19">
        <f>IFERROR(__xludf.DUMMYFUNCTION("""COMPUTED_VALUE"""),0.00226)</f>
        <v>0.00226</v>
      </c>
      <c r="J1080" s="19">
        <f>IFERROR(__xludf.DUMMYFUNCTION("""COMPUTED_VALUE"""),0.04751)</f>
        <v>0.04751</v>
      </c>
      <c r="K1080" s="19" t="str">
        <f>IFERROR(__xludf.DUMMYFUNCTION("""COMPUTED_VALUE"""),"-")</f>
        <v>-</v>
      </c>
      <c r="L1080" s="19" t="str">
        <f>IFERROR(__xludf.DUMMYFUNCTION("""COMPUTED_VALUE"""),"-")</f>
        <v>-</v>
      </c>
      <c r="O1080" s="24">
        <f t="shared" si="4"/>
        <v>0</v>
      </c>
      <c r="P1080" s="24"/>
      <c r="Q1080" s="24">
        <f t="shared" si="6"/>
        <v>0</v>
      </c>
      <c r="R1080" s="24">
        <f t="shared" si="7"/>
        <v>0</v>
      </c>
      <c r="S1080" s="24"/>
      <c r="T1080" s="24"/>
    </row>
    <row r="1081">
      <c r="A1081" s="12" t="s">
        <v>1169</v>
      </c>
      <c r="F1081" s="19">
        <f>IFERROR(__xludf.DUMMYFUNCTION("SPLIT(A1077, "" |"")"),1075.0)</f>
        <v>1075</v>
      </c>
      <c r="G1081" s="19">
        <f>IFERROR(__xludf.DUMMYFUNCTION("""COMPUTED_VALUE"""),0.00232)</f>
        <v>0.00232</v>
      </c>
      <c r="H1081" s="19" t="str">
        <f>IFERROR(__xludf.DUMMYFUNCTION("""COMPUTED_VALUE"""),"-")</f>
        <v>-</v>
      </c>
      <c r="I1081" s="19">
        <f>IFERROR(__xludf.DUMMYFUNCTION("""COMPUTED_VALUE"""),0.00219)</f>
        <v>0.00219</v>
      </c>
      <c r="J1081" s="19">
        <f>IFERROR(__xludf.DUMMYFUNCTION("""COMPUTED_VALUE"""),0.04747)</f>
        <v>0.04747</v>
      </c>
      <c r="K1081" s="19" t="str">
        <f>IFERROR(__xludf.DUMMYFUNCTION("""COMPUTED_VALUE"""),"-")</f>
        <v>-</v>
      </c>
      <c r="L1081" s="19" t="str">
        <f>IFERROR(__xludf.DUMMYFUNCTION("""COMPUTED_VALUE"""),"-")</f>
        <v>-</v>
      </c>
      <c r="O1081" s="24">
        <f t="shared" si="4"/>
        <v>0</v>
      </c>
      <c r="P1081" s="24"/>
      <c r="Q1081" s="24">
        <f t="shared" si="6"/>
        <v>0</v>
      </c>
      <c r="R1081" s="24">
        <f t="shared" si="7"/>
        <v>0</v>
      </c>
      <c r="S1081" s="24"/>
      <c r="T1081" s="24"/>
    </row>
    <row r="1082">
      <c r="A1082" s="12" t="s">
        <v>1170</v>
      </c>
      <c r="F1082" s="19">
        <f>IFERROR(__xludf.DUMMYFUNCTION("SPLIT(A1078, "" |"")"),1076.0)</f>
        <v>1076</v>
      </c>
      <c r="G1082" s="19">
        <f>IFERROR(__xludf.DUMMYFUNCTION("""COMPUTED_VALUE"""),0.00236)</f>
        <v>0.00236</v>
      </c>
      <c r="H1082" s="19" t="str">
        <f>IFERROR(__xludf.DUMMYFUNCTION("""COMPUTED_VALUE"""),"-")</f>
        <v>-</v>
      </c>
      <c r="I1082" s="19">
        <f>IFERROR(__xludf.DUMMYFUNCTION("""COMPUTED_VALUE"""),0.00223)</f>
        <v>0.00223</v>
      </c>
      <c r="J1082" s="19">
        <f>IFERROR(__xludf.DUMMYFUNCTION("""COMPUTED_VALUE"""),0.04748)</f>
        <v>0.04748</v>
      </c>
      <c r="K1082" s="19" t="str">
        <f>IFERROR(__xludf.DUMMYFUNCTION("""COMPUTED_VALUE"""),"-")</f>
        <v>-</v>
      </c>
      <c r="L1082" s="19" t="str">
        <f>IFERROR(__xludf.DUMMYFUNCTION("""COMPUTED_VALUE"""),"-")</f>
        <v>-</v>
      </c>
      <c r="O1082" s="24">
        <f t="shared" si="4"/>
        <v>0</v>
      </c>
      <c r="P1082" s="24"/>
      <c r="Q1082" s="24">
        <f t="shared" si="6"/>
        <v>0</v>
      </c>
      <c r="R1082" s="24">
        <f t="shared" si="7"/>
        <v>0</v>
      </c>
      <c r="S1082" s="24"/>
      <c r="T1082" s="24"/>
    </row>
    <row r="1083">
      <c r="A1083" s="12" t="s">
        <v>1171</v>
      </c>
      <c r="F1083" s="19">
        <f>IFERROR(__xludf.DUMMYFUNCTION("SPLIT(A1079, "" |"")"),1077.0)</f>
        <v>1077</v>
      </c>
      <c r="G1083" s="19">
        <f>IFERROR(__xludf.DUMMYFUNCTION("""COMPUTED_VALUE"""),0.00238)</f>
        <v>0.00238</v>
      </c>
      <c r="H1083" s="19" t="str">
        <f>IFERROR(__xludf.DUMMYFUNCTION("""COMPUTED_VALUE"""),"-")</f>
        <v>-</v>
      </c>
      <c r="I1083" s="19">
        <f>IFERROR(__xludf.DUMMYFUNCTION("""COMPUTED_VALUE"""),0.00227)</f>
        <v>0.00227</v>
      </c>
      <c r="J1083" s="19">
        <f>IFERROR(__xludf.DUMMYFUNCTION("""COMPUTED_VALUE"""),0.04753)</f>
        <v>0.04753</v>
      </c>
      <c r="K1083" s="19" t="str">
        <f>IFERROR(__xludf.DUMMYFUNCTION("""COMPUTED_VALUE"""),"-")</f>
        <v>-</v>
      </c>
      <c r="L1083" s="19" t="str">
        <f>IFERROR(__xludf.DUMMYFUNCTION("""COMPUTED_VALUE"""),"-")</f>
        <v>-</v>
      </c>
      <c r="O1083" s="24">
        <f t="shared" si="4"/>
        <v>0</v>
      </c>
      <c r="P1083" s="24"/>
      <c r="Q1083" s="24">
        <f t="shared" si="6"/>
        <v>0</v>
      </c>
      <c r="R1083" s="24">
        <f t="shared" si="7"/>
        <v>0</v>
      </c>
      <c r="S1083" s="24"/>
      <c r="T1083" s="24"/>
    </row>
    <row r="1084">
      <c r="A1084" s="12" t="s">
        <v>1172</v>
      </c>
      <c r="F1084" s="19">
        <f>IFERROR(__xludf.DUMMYFUNCTION("SPLIT(A1080, "" |"")"),1078.0)</f>
        <v>1078</v>
      </c>
      <c r="G1084" s="19">
        <f>IFERROR(__xludf.DUMMYFUNCTION("""COMPUTED_VALUE"""),0.00225)</f>
        <v>0.00225</v>
      </c>
      <c r="H1084" s="19" t="str">
        <f>IFERROR(__xludf.DUMMYFUNCTION("""COMPUTED_VALUE"""),"-")</f>
        <v>-</v>
      </c>
      <c r="I1084" s="19">
        <f>IFERROR(__xludf.DUMMYFUNCTION("""COMPUTED_VALUE"""),0.00212)</f>
        <v>0.00212</v>
      </c>
      <c r="J1084" s="19">
        <f>IFERROR(__xludf.DUMMYFUNCTION("""COMPUTED_VALUE"""),0.04747)</f>
        <v>0.04747</v>
      </c>
      <c r="K1084" s="19" t="str">
        <f>IFERROR(__xludf.DUMMYFUNCTION("""COMPUTED_VALUE"""),"-")</f>
        <v>-</v>
      </c>
      <c r="L1084" s="19" t="str">
        <f>IFERROR(__xludf.DUMMYFUNCTION("""COMPUTED_VALUE"""),"-")</f>
        <v>-</v>
      </c>
      <c r="O1084" s="24">
        <f t="shared" si="4"/>
        <v>0</v>
      </c>
      <c r="P1084" s="24"/>
      <c r="Q1084" s="24">
        <f t="shared" si="6"/>
        <v>0</v>
      </c>
      <c r="R1084" s="24">
        <f t="shared" si="7"/>
        <v>0</v>
      </c>
      <c r="S1084" s="24"/>
      <c r="T1084" s="24"/>
    </row>
    <row r="1085">
      <c r="A1085" s="12" t="s">
        <v>1173</v>
      </c>
      <c r="F1085" s="19">
        <f>IFERROR(__xludf.DUMMYFUNCTION("SPLIT(A1081, "" |"")"),1079.0)</f>
        <v>1079</v>
      </c>
      <c r="G1085" s="19">
        <f>IFERROR(__xludf.DUMMYFUNCTION("""COMPUTED_VALUE"""),0.00235)</f>
        <v>0.00235</v>
      </c>
      <c r="H1085" s="19" t="str">
        <f>IFERROR(__xludf.DUMMYFUNCTION("""COMPUTED_VALUE"""),"-")</f>
        <v>-</v>
      </c>
      <c r="I1085" s="19">
        <f>IFERROR(__xludf.DUMMYFUNCTION("""COMPUTED_VALUE"""),0.00218)</f>
        <v>0.00218</v>
      </c>
      <c r="J1085" s="19">
        <f>IFERROR(__xludf.DUMMYFUNCTION("""COMPUTED_VALUE"""),0.04746)</f>
        <v>0.04746</v>
      </c>
      <c r="K1085" s="19" t="str">
        <f>IFERROR(__xludf.DUMMYFUNCTION("""COMPUTED_VALUE"""),"-")</f>
        <v>-</v>
      </c>
      <c r="L1085" s="19" t="str">
        <f>IFERROR(__xludf.DUMMYFUNCTION("""COMPUTED_VALUE"""),"-")</f>
        <v>-</v>
      </c>
      <c r="O1085" s="24">
        <f t="shared" si="4"/>
        <v>0</v>
      </c>
      <c r="P1085" s="24"/>
      <c r="Q1085" s="24">
        <f t="shared" si="6"/>
        <v>0</v>
      </c>
      <c r="R1085" s="24">
        <f t="shared" si="7"/>
        <v>0</v>
      </c>
      <c r="S1085" s="24"/>
      <c r="T1085" s="24"/>
    </row>
    <row r="1086">
      <c r="A1086" s="12" t="s">
        <v>1174</v>
      </c>
      <c r="F1086" s="19">
        <f>IFERROR(__xludf.DUMMYFUNCTION("SPLIT(A1082, "" |"")"),1080.0)</f>
        <v>1080</v>
      </c>
      <c r="G1086" s="19">
        <f>IFERROR(__xludf.DUMMYFUNCTION("""COMPUTED_VALUE"""),0.00235)</f>
        <v>0.00235</v>
      </c>
      <c r="H1086" s="19" t="str">
        <f>IFERROR(__xludf.DUMMYFUNCTION("""COMPUTED_VALUE"""),"-")</f>
        <v>-</v>
      </c>
      <c r="I1086" s="19">
        <f>IFERROR(__xludf.DUMMYFUNCTION("""COMPUTED_VALUE"""),0.00222)</f>
        <v>0.00222</v>
      </c>
      <c r="J1086" s="19">
        <f>IFERROR(__xludf.DUMMYFUNCTION("""COMPUTED_VALUE"""),0.04744)</f>
        <v>0.04744</v>
      </c>
      <c r="K1086" s="19" t="str">
        <f>IFERROR(__xludf.DUMMYFUNCTION("""COMPUTED_VALUE"""),"-")</f>
        <v>-</v>
      </c>
      <c r="L1086" s="19" t="str">
        <f>IFERROR(__xludf.DUMMYFUNCTION("""COMPUTED_VALUE"""),"-")</f>
        <v>-</v>
      </c>
      <c r="O1086" s="24">
        <f t="shared" si="4"/>
        <v>0</v>
      </c>
      <c r="P1086" s="24"/>
      <c r="Q1086" s="24">
        <f t="shared" si="6"/>
        <v>0</v>
      </c>
      <c r="R1086" s="24">
        <f t="shared" si="7"/>
        <v>0</v>
      </c>
      <c r="S1086" s="24"/>
      <c r="T1086" s="24"/>
    </row>
    <row r="1087">
      <c r="A1087" s="12" t="s">
        <v>1175</v>
      </c>
      <c r="F1087" s="19">
        <f>IFERROR(__xludf.DUMMYFUNCTION("SPLIT(A1083, "" |"")"),1081.0)</f>
        <v>1081</v>
      </c>
      <c r="G1087" s="19">
        <f>IFERROR(__xludf.DUMMYFUNCTION("""COMPUTED_VALUE"""),0.00232)</f>
        <v>0.00232</v>
      </c>
      <c r="H1087" s="19" t="str">
        <f>IFERROR(__xludf.DUMMYFUNCTION("""COMPUTED_VALUE"""),"-")</f>
        <v>-</v>
      </c>
      <c r="I1087" s="19">
        <f>IFERROR(__xludf.DUMMYFUNCTION("""COMPUTED_VALUE"""),0.00221)</f>
        <v>0.00221</v>
      </c>
      <c r="J1087" s="19">
        <f>IFERROR(__xludf.DUMMYFUNCTION("""COMPUTED_VALUE"""),0.04749)</f>
        <v>0.04749</v>
      </c>
      <c r="K1087" s="19" t="str">
        <f>IFERROR(__xludf.DUMMYFUNCTION("""COMPUTED_VALUE"""),"-")</f>
        <v>-</v>
      </c>
      <c r="L1087" s="19" t="str">
        <f>IFERROR(__xludf.DUMMYFUNCTION("""COMPUTED_VALUE"""),"-")</f>
        <v>-</v>
      </c>
      <c r="O1087" s="24">
        <f t="shared" si="4"/>
        <v>0</v>
      </c>
      <c r="P1087" s="24"/>
      <c r="Q1087" s="24">
        <f t="shared" si="6"/>
        <v>0</v>
      </c>
      <c r="R1087" s="24">
        <f t="shared" si="7"/>
        <v>0</v>
      </c>
      <c r="S1087" s="24"/>
      <c r="T1087" s="24"/>
    </row>
    <row r="1088">
      <c r="A1088" s="12" t="s">
        <v>1176</v>
      </c>
      <c r="F1088" s="19">
        <f>IFERROR(__xludf.DUMMYFUNCTION("SPLIT(A1084, "" |"")"),1082.0)</f>
        <v>1082</v>
      </c>
      <c r="G1088" s="19">
        <f>IFERROR(__xludf.DUMMYFUNCTION("""COMPUTED_VALUE"""),0.00232)</f>
        <v>0.00232</v>
      </c>
      <c r="H1088" s="19" t="str">
        <f>IFERROR(__xludf.DUMMYFUNCTION("""COMPUTED_VALUE"""),"-")</f>
        <v>-</v>
      </c>
      <c r="I1088" s="19">
        <f>IFERROR(__xludf.DUMMYFUNCTION("""COMPUTED_VALUE"""),0.00217)</f>
        <v>0.00217</v>
      </c>
      <c r="J1088" s="19">
        <f>IFERROR(__xludf.DUMMYFUNCTION("""COMPUTED_VALUE"""),0.04726)</f>
        <v>0.04726</v>
      </c>
      <c r="K1088" s="19" t="str">
        <f>IFERROR(__xludf.DUMMYFUNCTION("""COMPUTED_VALUE"""),"-")</f>
        <v>-</v>
      </c>
      <c r="L1088" s="19" t="str">
        <f>IFERROR(__xludf.DUMMYFUNCTION("""COMPUTED_VALUE"""),"-")</f>
        <v>-</v>
      </c>
      <c r="O1088" s="24">
        <f t="shared" si="4"/>
        <v>0</v>
      </c>
      <c r="P1088" s="24"/>
      <c r="Q1088" s="24">
        <f t="shared" si="6"/>
        <v>0</v>
      </c>
      <c r="R1088" s="24">
        <f t="shared" si="7"/>
        <v>0</v>
      </c>
      <c r="S1088" s="24"/>
      <c r="T1088" s="24"/>
    </row>
    <row r="1089">
      <c r="A1089" s="12" t="s">
        <v>1177</v>
      </c>
      <c r="F1089" s="19">
        <f>IFERROR(__xludf.DUMMYFUNCTION("SPLIT(A1085, "" |"")"),1083.0)</f>
        <v>1083</v>
      </c>
      <c r="G1089" s="19">
        <f>IFERROR(__xludf.DUMMYFUNCTION("""COMPUTED_VALUE"""),0.0023)</f>
        <v>0.0023</v>
      </c>
      <c r="H1089" s="19" t="str">
        <f>IFERROR(__xludf.DUMMYFUNCTION("""COMPUTED_VALUE"""),"-")</f>
        <v>-</v>
      </c>
      <c r="I1089" s="19">
        <f>IFERROR(__xludf.DUMMYFUNCTION("""COMPUTED_VALUE"""),0.00213)</f>
        <v>0.00213</v>
      </c>
      <c r="J1089" s="19">
        <f>IFERROR(__xludf.DUMMYFUNCTION("""COMPUTED_VALUE"""),0.04751)</f>
        <v>0.04751</v>
      </c>
      <c r="K1089" s="19" t="str">
        <f>IFERROR(__xludf.DUMMYFUNCTION("""COMPUTED_VALUE"""),"-")</f>
        <v>-</v>
      </c>
      <c r="L1089" s="19" t="str">
        <f>IFERROR(__xludf.DUMMYFUNCTION("""COMPUTED_VALUE"""),"-")</f>
        <v>-</v>
      </c>
      <c r="O1089" s="24">
        <f t="shared" si="4"/>
        <v>0</v>
      </c>
      <c r="P1089" s="24"/>
      <c r="Q1089" s="24">
        <f t="shared" si="6"/>
        <v>0</v>
      </c>
      <c r="R1089" s="24">
        <f t="shared" si="7"/>
        <v>0</v>
      </c>
      <c r="S1089" s="24"/>
      <c r="T1089" s="24"/>
    </row>
    <row r="1090">
      <c r="A1090" s="12" t="s">
        <v>1178</v>
      </c>
      <c r="F1090" s="19">
        <f>IFERROR(__xludf.DUMMYFUNCTION("SPLIT(A1086, "" |"")"),1084.0)</f>
        <v>1084</v>
      </c>
      <c r="G1090" s="19">
        <f>IFERROR(__xludf.DUMMYFUNCTION("""COMPUTED_VALUE"""),0.0024)</f>
        <v>0.0024</v>
      </c>
      <c r="H1090" s="19" t="str">
        <f>IFERROR(__xludf.DUMMYFUNCTION("""COMPUTED_VALUE"""),"-")</f>
        <v>-</v>
      </c>
      <c r="I1090" s="19">
        <f>IFERROR(__xludf.DUMMYFUNCTION("""COMPUTED_VALUE"""),0.00221)</f>
        <v>0.00221</v>
      </c>
      <c r="J1090" s="19">
        <f>IFERROR(__xludf.DUMMYFUNCTION("""COMPUTED_VALUE"""),0.04746)</f>
        <v>0.04746</v>
      </c>
      <c r="K1090" s="19" t="str">
        <f>IFERROR(__xludf.DUMMYFUNCTION("""COMPUTED_VALUE"""),"-")</f>
        <v>-</v>
      </c>
      <c r="L1090" s="19" t="str">
        <f>IFERROR(__xludf.DUMMYFUNCTION("""COMPUTED_VALUE"""),"-")</f>
        <v>-</v>
      </c>
      <c r="O1090" s="24">
        <f t="shared" si="4"/>
        <v>0</v>
      </c>
      <c r="P1090" s="24"/>
      <c r="Q1090" s="24">
        <f t="shared" si="6"/>
        <v>0</v>
      </c>
      <c r="R1090" s="24">
        <f t="shared" si="7"/>
        <v>0</v>
      </c>
      <c r="S1090" s="24"/>
      <c r="T1090" s="24"/>
    </row>
    <row r="1091">
      <c r="A1091" s="12" t="s">
        <v>1179</v>
      </c>
      <c r="F1091" s="19">
        <f>IFERROR(__xludf.DUMMYFUNCTION("SPLIT(A1087, "" |"")"),1085.0)</f>
        <v>1085</v>
      </c>
      <c r="G1091" s="19">
        <f>IFERROR(__xludf.DUMMYFUNCTION("""COMPUTED_VALUE"""),0.00235)</f>
        <v>0.00235</v>
      </c>
      <c r="H1091" s="19" t="str">
        <f>IFERROR(__xludf.DUMMYFUNCTION("""COMPUTED_VALUE"""),"-")</f>
        <v>-</v>
      </c>
      <c r="I1091" s="19">
        <f>IFERROR(__xludf.DUMMYFUNCTION("""COMPUTED_VALUE"""),0.0022)</f>
        <v>0.0022</v>
      </c>
      <c r="J1091" s="19">
        <f>IFERROR(__xludf.DUMMYFUNCTION("""COMPUTED_VALUE"""),0.04748)</f>
        <v>0.04748</v>
      </c>
      <c r="K1091" s="19" t="str">
        <f>IFERROR(__xludf.DUMMYFUNCTION("""COMPUTED_VALUE"""),"-")</f>
        <v>-</v>
      </c>
      <c r="L1091" s="19" t="str">
        <f>IFERROR(__xludf.DUMMYFUNCTION("""COMPUTED_VALUE"""),"-")</f>
        <v>-</v>
      </c>
      <c r="O1091" s="24">
        <f t="shared" si="4"/>
        <v>0</v>
      </c>
      <c r="P1091" s="24"/>
      <c r="Q1091" s="24">
        <f t="shared" si="6"/>
        <v>0</v>
      </c>
      <c r="R1091" s="24">
        <f t="shared" si="7"/>
        <v>0</v>
      </c>
      <c r="S1091" s="24"/>
      <c r="T1091" s="24"/>
    </row>
    <row r="1092">
      <c r="A1092" s="12" t="s">
        <v>1180</v>
      </c>
      <c r="F1092" s="19">
        <f>IFERROR(__xludf.DUMMYFUNCTION("SPLIT(A1088, "" |"")"),1086.0)</f>
        <v>1086</v>
      </c>
      <c r="G1092" s="19">
        <f>IFERROR(__xludf.DUMMYFUNCTION("""COMPUTED_VALUE"""),0.00238)</f>
        <v>0.00238</v>
      </c>
      <c r="H1092" s="19" t="str">
        <f>IFERROR(__xludf.DUMMYFUNCTION("""COMPUTED_VALUE"""),"-")</f>
        <v>-</v>
      </c>
      <c r="I1092" s="19">
        <f>IFERROR(__xludf.DUMMYFUNCTION("""COMPUTED_VALUE"""),0.00226)</f>
        <v>0.00226</v>
      </c>
      <c r="J1092" s="19">
        <f>IFERROR(__xludf.DUMMYFUNCTION("""COMPUTED_VALUE"""),0.04752)</f>
        <v>0.04752</v>
      </c>
      <c r="K1092" s="19" t="str">
        <f>IFERROR(__xludf.DUMMYFUNCTION("""COMPUTED_VALUE"""),"-")</f>
        <v>-</v>
      </c>
      <c r="L1092" s="19" t="str">
        <f>IFERROR(__xludf.DUMMYFUNCTION("""COMPUTED_VALUE"""),"-")</f>
        <v>-</v>
      </c>
      <c r="O1092" s="24">
        <f t="shared" si="4"/>
        <v>0</v>
      </c>
      <c r="P1092" s="24"/>
      <c r="Q1092" s="24">
        <f t="shared" si="6"/>
        <v>0</v>
      </c>
      <c r="R1092" s="24">
        <f t="shared" si="7"/>
        <v>0</v>
      </c>
      <c r="S1092" s="24"/>
      <c r="T1092" s="24"/>
    </row>
    <row r="1093">
      <c r="A1093" s="12" t="s">
        <v>1181</v>
      </c>
      <c r="F1093" s="19">
        <f>IFERROR(__xludf.DUMMYFUNCTION("SPLIT(A1089, "" |"")"),1087.0)</f>
        <v>1087</v>
      </c>
      <c r="G1093" s="19">
        <f>IFERROR(__xludf.DUMMYFUNCTION("""COMPUTED_VALUE"""),0.00236)</f>
        <v>0.00236</v>
      </c>
      <c r="H1093" s="19" t="str">
        <f>IFERROR(__xludf.DUMMYFUNCTION("""COMPUTED_VALUE"""),"-")</f>
        <v>-</v>
      </c>
      <c r="I1093" s="19">
        <f>IFERROR(__xludf.DUMMYFUNCTION("""COMPUTED_VALUE"""),0.00222)</f>
        <v>0.00222</v>
      </c>
      <c r="J1093" s="19">
        <f>IFERROR(__xludf.DUMMYFUNCTION("""COMPUTED_VALUE"""),0.04647)</f>
        <v>0.04647</v>
      </c>
      <c r="K1093" s="19" t="str">
        <f>IFERROR(__xludf.DUMMYFUNCTION("""COMPUTED_VALUE"""),"-")</f>
        <v>-</v>
      </c>
      <c r="L1093" s="19" t="str">
        <f>IFERROR(__xludf.DUMMYFUNCTION("""COMPUTED_VALUE"""),"-")</f>
        <v>-</v>
      </c>
      <c r="O1093" s="24">
        <f t="shared" si="4"/>
        <v>0</v>
      </c>
      <c r="P1093" s="24"/>
      <c r="Q1093" s="24">
        <f t="shared" si="6"/>
        <v>0</v>
      </c>
      <c r="R1093" s="24">
        <f t="shared" si="7"/>
        <v>0</v>
      </c>
      <c r="S1093" s="24"/>
      <c r="T1093" s="24"/>
    </row>
    <row r="1094">
      <c r="A1094" s="12" t="s">
        <v>1182</v>
      </c>
      <c r="F1094" s="19">
        <f>IFERROR(__xludf.DUMMYFUNCTION("SPLIT(A1090, "" |"")"),1088.0)</f>
        <v>1088</v>
      </c>
      <c r="G1094" s="19">
        <f>IFERROR(__xludf.DUMMYFUNCTION("""COMPUTED_VALUE"""),0.00227)</f>
        <v>0.00227</v>
      </c>
      <c r="H1094" s="19" t="str">
        <f>IFERROR(__xludf.DUMMYFUNCTION("""COMPUTED_VALUE"""),"-")</f>
        <v>-</v>
      </c>
      <c r="I1094" s="19">
        <f>IFERROR(__xludf.DUMMYFUNCTION("""COMPUTED_VALUE"""),0.00216)</f>
        <v>0.00216</v>
      </c>
      <c r="J1094" s="19">
        <f>IFERROR(__xludf.DUMMYFUNCTION("""COMPUTED_VALUE"""),0.04729)</f>
        <v>0.04729</v>
      </c>
      <c r="K1094" s="19" t="str">
        <f>IFERROR(__xludf.DUMMYFUNCTION("""COMPUTED_VALUE"""),"-")</f>
        <v>-</v>
      </c>
      <c r="L1094" s="19" t="str">
        <f>IFERROR(__xludf.DUMMYFUNCTION("""COMPUTED_VALUE"""),"-")</f>
        <v>-</v>
      </c>
      <c r="O1094" s="24">
        <f t="shared" si="4"/>
        <v>0</v>
      </c>
      <c r="P1094" s="24"/>
      <c r="Q1094" s="24">
        <f t="shared" si="6"/>
        <v>0</v>
      </c>
      <c r="R1094" s="24">
        <f t="shared" si="7"/>
        <v>0</v>
      </c>
      <c r="S1094" s="24"/>
      <c r="T1094" s="24"/>
    </row>
    <row r="1095">
      <c r="A1095" s="12" t="s">
        <v>1183</v>
      </c>
      <c r="F1095" s="19">
        <f>IFERROR(__xludf.DUMMYFUNCTION("SPLIT(A1091, "" |"")"),1089.0)</f>
        <v>1089</v>
      </c>
      <c r="G1095" s="19">
        <f>IFERROR(__xludf.DUMMYFUNCTION("""COMPUTED_VALUE"""),0.00243)</f>
        <v>0.00243</v>
      </c>
      <c r="H1095" s="19" t="str">
        <f>IFERROR(__xludf.DUMMYFUNCTION("""COMPUTED_VALUE"""),"-")</f>
        <v>-</v>
      </c>
      <c r="I1095" s="19">
        <f>IFERROR(__xludf.DUMMYFUNCTION("""COMPUTED_VALUE"""),0.00222)</f>
        <v>0.00222</v>
      </c>
      <c r="J1095" s="19">
        <f>IFERROR(__xludf.DUMMYFUNCTION("""COMPUTED_VALUE"""),0.04738)</f>
        <v>0.04738</v>
      </c>
      <c r="K1095" s="19" t="str">
        <f>IFERROR(__xludf.DUMMYFUNCTION("""COMPUTED_VALUE"""),"-")</f>
        <v>-</v>
      </c>
      <c r="L1095" s="19" t="str">
        <f>IFERROR(__xludf.DUMMYFUNCTION("""COMPUTED_VALUE"""),"-")</f>
        <v>-</v>
      </c>
      <c r="O1095" s="24">
        <f t="shared" si="4"/>
        <v>0</v>
      </c>
      <c r="P1095" s="24"/>
      <c r="Q1095" s="24">
        <f t="shared" si="6"/>
        <v>0</v>
      </c>
      <c r="R1095" s="24">
        <f t="shared" si="7"/>
        <v>0</v>
      </c>
      <c r="S1095" s="24"/>
      <c r="T1095" s="24"/>
    </row>
    <row r="1096">
      <c r="A1096" s="12" t="s">
        <v>1184</v>
      </c>
      <c r="F1096" s="19">
        <f>IFERROR(__xludf.DUMMYFUNCTION("SPLIT(A1092, "" |"")"),1090.0)</f>
        <v>1090</v>
      </c>
      <c r="G1096" s="19">
        <f>IFERROR(__xludf.DUMMYFUNCTION("""COMPUTED_VALUE"""),0.00227)</f>
        <v>0.00227</v>
      </c>
      <c r="H1096" s="19" t="str">
        <f>IFERROR(__xludf.DUMMYFUNCTION("""COMPUTED_VALUE"""),"-")</f>
        <v>-</v>
      </c>
      <c r="I1096" s="19">
        <f>IFERROR(__xludf.DUMMYFUNCTION("""COMPUTED_VALUE"""),0.00212)</f>
        <v>0.00212</v>
      </c>
      <c r="J1096" s="19">
        <f>IFERROR(__xludf.DUMMYFUNCTION("""COMPUTED_VALUE"""),0.04738)</f>
        <v>0.04738</v>
      </c>
      <c r="K1096" s="19" t="str">
        <f>IFERROR(__xludf.DUMMYFUNCTION("""COMPUTED_VALUE"""),"-")</f>
        <v>-</v>
      </c>
      <c r="L1096" s="19" t="str">
        <f>IFERROR(__xludf.DUMMYFUNCTION("""COMPUTED_VALUE"""),"-")</f>
        <v>-</v>
      </c>
      <c r="O1096" s="24">
        <f t="shared" si="4"/>
        <v>0</v>
      </c>
      <c r="P1096" s="24"/>
      <c r="Q1096" s="24">
        <f t="shared" si="6"/>
        <v>0</v>
      </c>
      <c r="R1096" s="24">
        <f t="shared" si="7"/>
        <v>0</v>
      </c>
      <c r="S1096" s="24"/>
      <c r="T1096" s="24"/>
    </row>
    <row r="1097">
      <c r="A1097" s="12" t="s">
        <v>1185</v>
      </c>
      <c r="F1097" s="19">
        <f>IFERROR(__xludf.DUMMYFUNCTION("SPLIT(A1093, "" |"")"),1091.0)</f>
        <v>1091</v>
      </c>
      <c r="G1097" s="19">
        <f>IFERROR(__xludf.DUMMYFUNCTION("""COMPUTED_VALUE"""),0.00247)</f>
        <v>0.00247</v>
      </c>
      <c r="H1097" s="19" t="str">
        <f>IFERROR(__xludf.DUMMYFUNCTION("""COMPUTED_VALUE"""),"-")</f>
        <v>-</v>
      </c>
      <c r="I1097" s="19">
        <f>IFERROR(__xludf.DUMMYFUNCTION("""COMPUTED_VALUE"""),0.00221)</f>
        <v>0.00221</v>
      </c>
      <c r="J1097" s="19">
        <f>IFERROR(__xludf.DUMMYFUNCTION("""COMPUTED_VALUE"""),0.04755)</f>
        <v>0.04755</v>
      </c>
      <c r="K1097" s="19" t="str">
        <f>IFERROR(__xludf.DUMMYFUNCTION("""COMPUTED_VALUE"""),"-")</f>
        <v>-</v>
      </c>
      <c r="L1097" s="19" t="str">
        <f>IFERROR(__xludf.DUMMYFUNCTION("""COMPUTED_VALUE"""),"-")</f>
        <v>-</v>
      </c>
      <c r="O1097" s="24">
        <f t="shared" si="4"/>
        <v>0</v>
      </c>
      <c r="P1097" s="24"/>
      <c r="Q1097" s="24">
        <f t="shared" si="6"/>
        <v>0</v>
      </c>
      <c r="R1097" s="24">
        <f t="shared" si="7"/>
        <v>0</v>
      </c>
      <c r="S1097" s="24"/>
      <c r="T1097" s="24"/>
    </row>
    <row r="1098">
      <c r="A1098" s="12" t="s">
        <v>1186</v>
      </c>
      <c r="F1098" s="19">
        <f>IFERROR(__xludf.DUMMYFUNCTION("SPLIT(A1094, "" |"")"),1092.0)</f>
        <v>1092</v>
      </c>
      <c r="G1098" s="19">
        <f>IFERROR(__xludf.DUMMYFUNCTION("""COMPUTED_VALUE"""),0.0024)</f>
        <v>0.0024</v>
      </c>
      <c r="H1098" s="19" t="str">
        <f>IFERROR(__xludf.DUMMYFUNCTION("""COMPUTED_VALUE"""),"-")</f>
        <v>-</v>
      </c>
      <c r="I1098" s="19">
        <f>IFERROR(__xludf.DUMMYFUNCTION("""COMPUTED_VALUE"""),0.00223)</f>
        <v>0.00223</v>
      </c>
      <c r="J1098" s="19">
        <f>IFERROR(__xludf.DUMMYFUNCTION("""COMPUTED_VALUE"""),0.04749)</f>
        <v>0.04749</v>
      </c>
      <c r="K1098" s="19" t="str">
        <f>IFERROR(__xludf.DUMMYFUNCTION("""COMPUTED_VALUE"""),"-")</f>
        <v>-</v>
      </c>
      <c r="L1098" s="19" t="str">
        <f>IFERROR(__xludf.DUMMYFUNCTION("""COMPUTED_VALUE"""),"-")</f>
        <v>-</v>
      </c>
      <c r="O1098" s="24">
        <f t="shared" si="4"/>
        <v>0</v>
      </c>
      <c r="P1098" s="24"/>
      <c r="Q1098" s="24">
        <f t="shared" si="6"/>
        <v>0</v>
      </c>
      <c r="R1098" s="24">
        <f t="shared" si="7"/>
        <v>0</v>
      </c>
      <c r="S1098" s="24"/>
      <c r="T1098" s="24"/>
    </row>
    <row r="1099">
      <c r="A1099" s="12" t="s">
        <v>1187</v>
      </c>
      <c r="F1099" s="19">
        <f>IFERROR(__xludf.DUMMYFUNCTION("SPLIT(A1095, "" |"")"),1093.0)</f>
        <v>1093</v>
      </c>
      <c r="G1099" s="19">
        <f>IFERROR(__xludf.DUMMYFUNCTION("""COMPUTED_VALUE"""),0.00243)</f>
        <v>0.00243</v>
      </c>
      <c r="H1099" s="19" t="str">
        <f>IFERROR(__xludf.DUMMYFUNCTION("""COMPUTED_VALUE"""),"-")</f>
        <v>-</v>
      </c>
      <c r="I1099" s="19">
        <f>IFERROR(__xludf.DUMMYFUNCTION("""COMPUTED_VALUE"""),0.00216)</f>
        <v>0.00216</v>
      </c>
      <c r="J1099" s="19">
        <f>IFERROR(__xludf.DUMMYFUNCTION("""COMPUTED_VALUE"""),0.04739)</f>
        <v>0.04739</v>
      </c>
      <c r="K1099" s="19" t="str">
        <f>IFERROR(__xludf.DUMMYFUNCTION("""COMPUTED_VALUE"""),"-")</f>
        <v>-</v>
      </c>
      <c r="L1099" s="19" t="str">
        <f>IFERROR(__xludf.DUMMYFUNCTION("""COMPUTED_VALUE"""),"-")</f>
        <v>-</v>
      </c>
      <c r="O1099" s="24">
        <f t="shared" si="4"/>
        <v>0</v>
      </c>
      <c r="P1099" s="24"/>
      <c r="Q1099" s="24">
        <f t="shared" si="6"/>
        <v>0</v>
      </c>
      <c r="R1099" s="24">
        <f t="shared" si="7"/>
        <v>0</v>
      </c>
      <c r="S1099" s="24"/>
      <c r="T1099" s="24"/>
    </row>
    <row r="1100">
      <c r="A1100" s="12" t="s">
        <v>1188</v>
      </c>
      <c r="F1100" s="19">
        <f>IFERROR(__xludf.DUMMYFUNCTION("SPLIT(A1096, "" |"")"),1094.0)</f>
        <v>1094</v>
      </c>
      <c r="G1100" s="19">
        <f>IFERROR(__xludf.DUMMYFUNCTION("""COMPUTED_VALUE"""),0.0023)</f>
        <v>0.0023</v>
      </c>
      <c r="H1100" s="19" t="str">
        <f>IFERROR(__xludf.DUMMYFUNCTION("""COMPUTED_VALUE"""),"-")</f>
        <v>-</v>
      </c>
      <c r="I1100" s="19">
        <f>IFERROR(__xludf.DUMMYFUNCTION("""COMPUTED_VALUE"""),0.0022)</f>
        <v>0.0022</v>
      </c>
      <c r="J1100" s="19">
        <f>IFERROR(__xludf.DUMMYFUNCTION("""COMPUTED_VALUE"""),0.04749)</f>
        <v>0.04749</v>
      </c>
      <c r="K1100" s="19" t="str">
        <f>IFERROR(__xludf.DUMMYFUNCTION("""COMPUTED_VALUE"""),"-")</f>
        <v>-</v>
      </c>
      <c r="L1100" s="19" t="str">
        <f>IFERROR(__xludf.DUMMYFUNCTION("""COMPUTED_VALUE"""),"-")</f>
        <v>-</v>
      </c>
      <c r="O1100" s="24">
        <f t="shared" si="4"/>
        <v>0</v>
      </c>
      <c r="P1100" s="24"/>
      <c r="Q1100" s="24">
        <f t="shared" si="6"/>
        <v>0</v>
      </c>
      <c r="R1100" s="24">
        <f t="shared" si="7"/>
        <v>0</v>
      </c>
      <c r="S1100" s="24"/>
      <c r="T1100" s="24"/>
    </row>
    <row r="1101">
      <c r="A1101" s="12" t="s">
        <v>1189</v>
      </c>
      <c r="F1101" s="19">
        <f>IFERROR(__xludf.DUMMYFUNCTION("SPLIT(A1097, "" |"")"),1095.0)</f>
        <v>1095</v>
      </c>
      <c r="G1101" s="19">
        <f>IFERROR(__xludf.DUMMYFUNCTION("""COMPUTED_VALUE"""),0.00243)</f>
        <v>0.00243</v>
      </c>
      <c r="H1101" s="19" t="str">
        <f>IFERROR(__xludf.DUMMYFUNCTION("""COMPUTED_VALUE"""),"-")</f>
        <v>-</v>
      </c>
      <c r="I1101" s="19">
        <f>IFERROR(__xludf.DUMMYFUNCTION("""COMPUTED_VALUE"""),0.00228)</f>
        <v>0.00228</v>
      </c>
      <c r="J1101" s="19">
        <f>IFERROR(__xludf.DUMMYFUNCTION("""COMPUTED_VALUE"""),0.04747)</f>
        <v>0.04747</v>
      </c>
      <c r="K1101" s="19" t="str">
        <f>IFERROR(__xludf.DUMMYFUNCTION("""COMPUTED_VALUE"""),"-")</f>
        <v>-</v>
      </c>
      <c r="L1101" s="19" t="str">
        <f>IFERROR(__xludf.DUMMYFUNCTION("""COMPUTED_VALUE"""),"-")</f>
        <v>-</v>
      </c>
      <c r="O1101" s="24">
        <f t="shared" si="4"/>
        <v>0</v>
      </c>
      <c r="P1101" s="24"/>
      <c r="Q1101" s="24">
        <f t="shared" si="6"/>
        <v>0</v>
      </c>
      <c r="R1101" s="24">
        <f t="shared" si="7"/>
        <v>0</v>
      </c>
      <c r="S1101" s="24"/>
      <c r="T1101" s="24"/>
    </row>
    <row r="1102">
      <c r="A1102" s="12" t="s">
        <v>1190</v>
      </c>
      <c r="F1102" s="19">
        <f>IFERROR(__xludf.DUMMYFUNCTION("SPLIT(A1098, "" |"")"),1096.0)</f>
        <v>1096</v>
      </c>
      <c r="G1102" s="19">
        <f>IFERROR(__xludf.DUMMYFUNCTION("""COMPUTED_VALUE"""),0.00282)</f>
        <v>0.00282</v>
      </c>
      <c r="H1102" s="19" t="str">
        <f>IFERROR(__xludf.DUMMYFUNCTION("""COMPUTED_VALUE"""),"-")</f>
        <v>-</v>
      </c>
      <c r="I1102" s="19">
        <f>IFERROR(__xludf.DUMMYFUNCTION("""COMPUTED_VALUE"""),0.00224)</f>
        <v>0.00224</v>
      </c>
      <c r="J1102" s="19">
        <f>IFERROR(__xludf.DUMMYFUNCTION("""COMPUTED_VALUE"""),0.04387)</f>
        <v>0.04387</v>
      </c>
      <c r="K1102" s="19" t="str">
        <f>IFERROR(__xludf.DUMMYFUNCTION("""COMPUTED_VALUE"""),"-")</f>
        <v>-</v>
      </c>
      <c r="L1102" s="19" t="str">
        <f>IFERROR(__xludf.DUMMYFUNCTION("""COMPUTED_VALUE"""),"-")</f>
        <v>-</v>
      </c>
      <c r="O1102" s="24">
        <f t="shared" si="4"/>
        <v>0</v>
      </c>
      <c r="P1102" s="24"/>
      <c r="Q1102" s="24">
        <f t="shared" si="6"/>
        <v>0</v>
      </c>
      <c r="R1102" s="24">
        <f t="shared" si="7"/>
        <v>1</v>
      </c>
      <c r="S1102" s="24"/>
      <c r="T1102" s="24"/>
    </row>
    <row r="1103">
      <c r="A1103" s="12" t="s">
        <v>1191</v>
      </c>
      <c r="F1103" s="19">
        <f>IFERROR(__xludf.DUMMYFUNCTION("SPLIT(A1099, "" |"")"),1097.0)</f>
        <v>1097</v>
      </c>
      <c r="G1103" s="19">
        <f>IFERROR(__xludf.DUMMYFUNCTION("""COMPUTED_VALUE"""),0.00242)</f>
        <v>0.00242</v>
      </c>
      <c r="H1103" s="19" t="str">
        <f>IFERROR(__xludf.DUMMYFUNCTION("""COMPUTED_VALUE"""),"-")</f>
        <v>-</v>
      </c>
      <c r="I1103" s="19">
        <f>IFERROR(__xludf.DUMMYFUNCTION("""COMPUTED_VALUE"""),0.00223)</f>
        <v>0.00223</v>
      </c>
      <c r="J1103" s="19">
        <f>IFERROR(__xludf.DUMMYFUNCTION("""COMPUTED_VALUE"""),0.04745)</f>
        <v>0.04745</v>
      </c>
      <c r="K1103" s="19" t="str">
        <f>IFERROR(__xludf.DUMMYFUNCTION("""COMPUTED_VALUE"""),"-")</f>
        <v>-</v>
      </c>
      <c r="L1103" s="19" t="str">
        <f>IFERROR(__xludf.DUMMYFUNCTION("""COMPUTED_VALUE"""),"-")</f>
        <v>-</v>
      </c>
      <c r="O1103" s="24">
        <f t="shared" si="4"/>
        <v>0</v>
      </c>
      <c r="P1103" s="24"/>
      <c r="Q1103" s="24">
        <f t="shared" si="6"/>
        <v>0</v>
      </c>
      <c r="R1103" s="24">
        <f t="shared" si="7"/>
        <v>0</v>
      </c>
      <c r="S1103" s="24"/>
      <c r="T1103" s="24"/>
    </row>
    <row r="1104">
      <c r="A1104" s="12" t="s">
        <v>1192</v>
      </c>
      <c r="F1104" s="19">
        <f>IFERROR(__xludf.DUMMYFUNCTION("SPLIT(A1100, "" |"")"),1098.0)</f>
        <v>1098</v>
      </c>
      <c r="G1104" s="19">
        <f>IFERROR(__xludf.DUMMYFUNCTION("""COMPUTED_VALUE"""),0.00236)</f>
        <v>0.00236</v>
      </c>
      <c r="H1104" s="19" t="str">
        <f>IFERROR(__xludf.DUMMYFUNCTION("""COMPUTED_VALUE"""),"-")</f>
        <v>-</v>
      </c>
      <c r="I1104" s="19">
        <f>IFERROR(__xludf.DUMMYFUNCTION("""COMPUTED_VALUE"""),0.00221)</f>
        <v>0.00221</v>
      </c>
      <c r="J1104" s="19">
        <f>IFERROR(__xludf.DUMMYFUNCTION("""COMPUTED_VALUE"""),0.04749)</f>
        <v>0.04749</v>
      </c>
      <c r="K1104" s="19" t="str">
        <f>IFERROR(__xludf.DUMMYFUNCTION("""COMPUTED_VALUE"""),"-")</f>
        <v>-</v>
      </c>
      <c r="L1104" s="19" t="str">
        <f>IFERROR(__xludf.DUMMYFUNCTION("""COMPUTED_VALUE"""),"-")</f>
        <v>-</v>
      </c>
      <c r="O1104" s="24">
        <f t="shared" si="4"/>
        <v>0</v>
      </c>
      <c r="P1104" s="24"/>
      <c r="Q1104" s="24">
        <f t="shared" si="6"/>
        <v>0</v>
      </c>
      <c r="R1104" s="24">
        <f t="shared" si="7"/>
        <v>0</v>
      </c>
      <c r="S1104" s="24"/>
      <c r="T1104" s="24"/>
    </row>
    <row r="1105">
      <c r="A1105" s="12" t="s">
        <v>1193</v>
      </c>
      <c r="F1105" s="19">
        <f>IFERROR(__xludf.DUMMYFUNCTION("SPLIT(A1101, "" |"")"),1099.0)</f>
        <v>1099</v>
      </c>
      <c r="G1105" s="19">
        <f>IFERROR(__xludf.DUMMYFUNCTION("""COMPUTED_VALUE"""),0.00233)</f>
        <v>0.00233</v>
      </c>
      <c r="H1105" s="19" t="str">
        <f>IFERROR(__xludf.DUMMYFUNCTION("""COMPUTED_VALUE"""),"-")</f>
        <v>-</v>
      </c>
      <c r="I1105" s="19">
        <f>IFERROR(__xludf.DUMMYFUNCTION("""COMPUTED_VALUE"""),0.00219)</f>
        <v>0.00219</v>
      </c>
      <c r="J1105" s="19">
        <f>IFERROR(__xludf.DUMMYFUNCTION("""COMPUTED_VALUE"""),0.04769)</f>
        <v>0.04769</v>
      </c>
      <c r="K1105" s="19" t="str">
        <f>IFERROR(__xludf.DUMMYFUNCTION("""COMPUTED_VALUE"""),"-")</f>
        <v>-</v>
      </c>
      <c r="L1105" s="19" t="str">
        <f>IFERROR(__xludf.DUMMYFUNCTION("""COMPUTED_VALUE"""),"-")</f>
        <v>-</v>
      </c>
      <c r="O1105" s="24">
        <f t="shared" si="4"/>
        <v>0</v>
      </c>
      <c r="P1105" s="24"/>
      <c r="Q1105" s="24">
        <f t="shared" si="6"/>
        <v>0</v>
      </c>
      <c r="R1105" s="24">
        <f t="shared" si="7"/>
        <v>0</v>
      </c>
      <c r="S1105" s="24"/>
      <c r="T1105" s="24"/>
    </row>
    <row r="1106">
      <c r="A1106" s="12" t="s">
        <v>1194</v>
      </c>
      <c r="F1106" s="19">
        <f>IFERROR(__xludf.DUMMYFUNCTION("SPLIT(A1102, "" |"")"),1100.0)</f>
        <v>1100</v>
      </c>
      <c r="G1106" s="19">
        <f>IFERROR(__xludf.DUMMYFUNCTION("""COMPUTED_VALUE"""),0.00249)</f>
        <v>0.00249</v>
      </c>
      <c r="H1106" s="19" t="str">
        <f>IFERROR(__xludf.DUMMYFUNCTION("""COMPUTED_VALUE"""),"-")</f>
        <v>-</v>
      </c>
      <c r="I1106" s="19">
        <f>IFERROR(__xludf.DUMMYFUNCTION("""COMPUTED_VALUE"""),0.00223)</f>
        <v>0.00223</v>
      </c>
      <c r="J1106" s="19">
        <f>IFERROR(__xludf.DUMMYFUNCTION("""COMPUTED_VALUE"""),0.04745)</f>
        <v>0.04745</v>
      </c>
      <c r="K1106" s="19" t="str">
        <f>IFERROR(__xludf.DUMMYFUNCTION("""COMPUTED_VALUE"""),"-")</f>
        <v>-</v>
      </c>
      <c r="L1106" s="19" t="str">
        <f>IFERROR(__xludf.DUMMYFUNCTION("""COMPUTED_VALUE"""),"-")</f>
        <v>-</v>
      </c>
      <c r="O1106" s="24">
        <f t="shared" si="4"/>
        <v>0</v>
      </c>
      <c r="P1106" s="24"/>
      <c r="Q1106" s="24">
        <f t="shared" si="6"/>
        <v>0</v>
      </c>
      <c r="R1106" s="24">
        <f t="shared" si="7"/>
        <v>0</v>
      </c>
      <c r="S1106" s="24"/>
      <c r="T1106" s="24"/>
    </row>
    <row r="1107">
      <c r="A1107" s="12" t="s">
        <v>1195</v>
      </c>
      <c r="F1107" s="19">
        <f>IFERROR(__xludf.DUMMYFUNCTION("SPLIT(A1103, "" |"")"),1101.0)</f>
        <v>1101</v>
      </c>
      <c r="G1107" s="19">
        <f>IFERROR(__xludf.DUMMYFUNCTION("""COMPUTED_VALUE"""),0.00243)</f>
        <v>0.00243</v>
      </c>
      <c r="H1107" s="19" t="str">
        <f>IFERROR(__xludf.DUMMYFUNCTION("""COMPUTED_VALUE"""),"-")</f>
        <v>-</v>
      </c>
      <c r="I1107" s="19">
        <f>IFERROR(__xludf.DUMMYFUNCTION("""COMPUTED_VALUE"""),0.00222)</f>
        <v>0.00222</v>
      </c>
      <c r="J1107" s="19">
        <f>IFERROR(__xludf.DUMMYFUNCTION("""COMPUTED_VALUE"""),0.04748)</f>
        <v>0.04748</v>
      </c>
      <c r="K1107" s="19" t="str">
        <f>IFERROR(__xludf.DUMMYFUNCTION("""COMPUTED_VALUE"""),"-")</f>
        <v>-</v>
      </c>
      <c r="L1107" s="19" t="str">
        <f>IFERROR(__xludf.DUMMYFUNCTION("""COMPUTED_VALUE"""),"-")</f>
        <v>-</v>
      </c>
      <c r="O1107" s="24">
        <f t="shared" si="4"/>
        <v>0</v>
      </c>
      <c r="P1107" s="24"/>
      <c r="Q1107" s="24">
        <f t="shared" si="6"/>
        <v>0</v>
      </c>
      <c r="R1107" s="24">
        <f t="shared" si="7"/>
        <v>0</v>
      </c>
      <c r="S1107" s="24"/>
      <c r="T1107" s="24"/>
    </row>
    <row r="1108">
      <c r="A1108" s="12" t="s">
        <v>1196</v>
      </c>
      <c r="F1108" s="19">
        <f>IFERROR(__xludf.DUMMYFUNCTION("SPLIT(A1104, "" |"")"),1102.0)</f>
        <v>1102</v>
      </c>
      <c r="G1108" s="19">
        <f>IFERROR(__xludf.DUMMYFUNCTION("""COMPUTED_VALUE"""),0.00242)</f>
        <v>0.00242</v>
      </c>
      <c r="H1108" s="19" t="str">
        <f>IFERROR(__xludf.DUMMYFUNCTION("""COMPUTED_VALUE"""),"-")</f>
        <v>-</v>
      </c>
      <c r="I1108" s="19">
        <f>IFERROR(__xludf.DUMMYFUNCTION("""COMPUTED_VALUE"""),0.00225)</f>
        <v>0.00225</v>
      </c>
      <c r="J1108" s="19">
        <f>IFERROR(__xludf.DUMMYFUNCTION("""COMPUTED_VALUE"""),0.04743)</f>
        <v>0.04743</v>
      </c>
      <c r="K1108" s="19" t="str">
        <f>IFERROR(__xludf.DUMMYFUNCTION("""COMPUTED_VALUE"""),"-")</f>
        <v>-</v>
      </c>
      <c r="L1108" s="19" t="str">
        <f>IFERROR(__xludf.DUMMYFUNCTION("""COMPUTED_VALUE"""),"-")</f>
        <v>-</v>
      </c>
      <c r="O1108" s="24">
        <f t="shared" si="4"/>
        <v>0</v>
      </c>
      <c r="P1108" s="24"/>
      <c r="Q1108" s="24">
        <f t="shared" si="6"/>
        <v>0</v>
      </c>
      <c r="R1108" s="24">
        <f t="shared" si="7"/>
        <v>0</v>
      </c>
      <c r="S1108" s="24"/>
      <c r="T1108" s="24"/>
    </row>
    <row r="1109">
      <c r="A1109" s="12" t="s">
        <v>1197</v>
      </c>
      <c r="F1109" s="19">
        <f>IFERROR(__xludf.DUMMYFUNCTION("SPLIT(A1105, "" |"")"),1103.0)</f>
        <v>1103</v>
      </c>
      <c r="G1109" s="19">
        <f>IFERROR(__xludf.DUMMYFUNCTION("""COMPUTED_VALUE"""),0.00244)</f>
        <v>0.00244</v>
      </c>
      <c r="H1109" s="19" t="str">
        <f>IFERROR(__xludf.DUMMYFUNCTION("""COMPUTED_VALUE"""),"-")</f>
        <v>-</v>
      </c>
      <c r="I1109" s="19">
        <f>IFERROR(__xludf.DUMMYFUNCTION("""COMPUTED_VALUE"""),0.00223)</f>
        <v>0.00223</v>
      </c>
      <c r="J1109" s="19">
        <f>IFERROR(__xludf.DUMMYFUNCTION("""COMPUTED_VALUE"""),0.04749)</f>
        <v>0.04749</v>
      </c>
      <c r="K1109" s="19" t="str">
        <f>IFERROR(__xludf.DUMMYFUNCTION("""COMPUTED_VALUE"""),"-")</f>
        <v>-</v>
      </c>
      <c r="L1109" s="19" t="str">
        <f>IFERROR(__xludf.DUMMYFUNCTION("""COMPUTED_VALUE"""),"-")</f>
        <v>-</v>
      </c>
      <c r="O1109" s="24">
        <f t="shared" si="4"/>
        <v>0</v>
      </c>
      <c r="P1109" s="24"/>
      <c r="Q1109" s="24">
        <f t="shared" si="6"/>
        <v>0</v>
      </c>
      <c r="R1109" s="24">
        <f t="shared" si="7"/>
        <v>0</v>
      </c>
      <c r="S1109" s="24"/>
      <c r="T1109" s="24"/>
    </row>
    <row r="1110">
      <c r="A1110" s="12" t="s">
        <v>1198</v>
      </c>
      <c r="F1110" s="19">
        <f>IFERROR(__xludf.DUMMYFUNCTION("SPLIT(A1106, "" |"")"),1104.0)</f>
        <v>1104</v>
      </c>
      <c r="G1110" s="19">
        <f>IFERROR(__xludf.DUMMYFUNCTION("""COMPUTED_VALUE"""),0.00238)</f>
        <v>0.00238</v>
      </c>
      <c r="H1110" s="19" t="str">
        <f>IFERROR(__xludf.DUMMYFUNCTION("""COMPUTED_VALUE"""),"-")</f>
        <v>-</v>
      </c>
      <c r="I1110" s="19">
        <f>IFERROR(__xludf.DUMMYFUNCTION("""COMPUTED_VALUE"""),0.00212)</f>
        <v>0.00212</v>
      </c>
      <c r="J1110" s="19">
        <f>IFERROR(__xludf.DUMMYFUNCTION("""COMPUTED_VALUE"""),0.04748)</f>
        <v>0.04748</v>
      </c>
      <c r="K1110" s="19" t="str">
        <f>IFERROR(__xludf.DUMMYFUNCTION("""COMPUTED_VALUE"""),"-")</f>
        <v>-</v>
      </c>
      <c r="L1110" s="19" t="str">
        <f>IFERROR(__xludf.DUMMYFUNCTION("""COMPUTED_VALUE"""),"-")</f>
        <v>-</v>
      </c>
      <c r="O1110" s="24">
        <f t="shared" si="4"/>
        <v>0</v>
      </c>
      <c r="P1110" s="24"/>
      <c r="Q1110" s="24">
        <f t="shared" si="6"/>
        <v>0</v>
      </c>
      <c r="R1110" s="24">
        <f t="shared" si="7"/>
        <v>0</v>
      </c>
      <c r="S1110" s="24"/>
      <c r="T1110" s="24"/>
    </row>
    <row r="1111">
      <c r="A1111" s="12" t="s">
        <v>1199</v>
      </c>
      <c r="F1111" s="19">
        <f>IFERROR(__xludf.DUMMYFUNCTION("SPLIT(A1107, "" |"")"),1105.0)</f>
        <v>1105</v>
      </c>
      <c r="G1111" s="19">
        <f>IFERROR(__xludf.DUMMYFUNCTION("""COMPUTED_VALUE"""),0.00237)</f>
        <v>0.00237</v>
      </c>
      <c r="H1111" s="19" t="str">
        <f>IFERROR(__xludf.DUMMYFUNCTION("""COMPUTED_VALUE"""),"-")</f>
        <v>-</v>
      </c>
      <c r="I1111" s="19">
        <f>IFERROR(__xludf.DUMMYFUNCTION("""COMPUTED_VALUE"""),0.00226)</f>
        <v>0.00226</v>
      </c>
      <c r="J1111" s="19">
        <f>IFERROR(__xludf.DUMMYFUNCTION("""COMPUTED_VALUE"""),0.04632)</f>
        <v>0.04632</v>
      </c>
      <c r="K1111" s="19" t="str">
        <f>IFERROR(__xludf.DUMMYFUNCTION("""COMPUTED_VALUE"""),"-")</f>
        <v>-</v>
      </c>
      <c r="L1111" s="19" t="str">
        <f>IFERROR(__xludf.DUMMYFUNCTION("""COMPUTED_VALUE"""),"-")</f>
        <v>-</v>
      </c>
      <c r="O1111" s="24">
        <f t="shared" si="4"/>
        <v>0</v>
      </c>
      <c r="P1111" s="24"/>
      <c r="Q1111" s="24">
        <f t="shared" si="6"/>
        <v>0</v>
      </c>
      <c r="R1111" s="24">
        <f t="shared" si="7"/>
        <v>0</v>
      </c>
      <c r="S1111" s="24"/>
      <c r="T1111" s="24"/>
    </row>
    <row r="1112">
      <c r="A1112" s="12" t="s">
        <v>1200</v>
      </c>
      <c r="F1112" s="19">
        <f>IFERROR(__xludf.DUMMYFUNCTION("SPLIT(A1108, "" |"")"),1106.0)</f>
        <v>1106</v>
      </c>
      <c r="G1112" s="19">
        <f>IFERROR(__xludf.DUMMYFUNCTION("""COMPUTED_VALUE"""),0.00235)</f>
        <v>0.00235</v>
      </c>
      <c r="H1112" s="19" t="str">
        <f>IFERROR(__xludf.DUMMYFUNCTION("""COMPUTED_VALUE"""),"-")</f>
        <v>-</v>
      </c>
      <c r="I1112" s="19">
        <f>IFERROR(__xludf.DUMMYFUNCTION("""COMPUTED_VALUE"""),0.00215)</f>
        <v>0.00215</v>
      </c>
      <c r="J1112" s="19">
        <f>IFERROR(__xludf.DUMMYFUNCTION("""COMPUTED_VALUE"""),0.04698)</f>
        <v>0.04698</v>
      </c>
      <c r="K1112" s="19" t="str">
        <f>IFERROR(__xludf.DUMMYFUNCTION("""COMPUTED_VALUE"""),"-")</f>
        <v>-</v>
      </c>
      <c r="L1112" s="19" t="str">
        <f>IFERROR(__xludf.DUMMYFUNCTION("""COMPUTED_VALUE"""),"-")</f>
        <v>-</v>
      </c>
      <c r="O1112" s="24">
        <f t="shared" si="4"/>
        <v>0</v>
      </c>
      <c r="P1112" s="24"/>
      <c r="Q1112" s="24">
        <f t="shared" si="6"/>
        <v>0</v>
      </c>
      <c r="R1112" s="24">
        <f t="shared" si="7"/>
        <v>0</v>
      </c>
      <c r="S1112" s="24"/>
      <c r="T1112" s="24"/>
    </row>
    <row r="1113">
      <c r="A1113" s="12" t="s">
        <v>1201</v>
      </c>
      <c r="F1113" s="19">
        <f>IFERROR(__xludf.DUMMYFUNCTION("SPLIT(A1109, "" |"")"),1107.0)</f>
        <v>1107</v>
      </c>
      <c r="G1113" s="19">
        <f>IFERROR(__xludf.DUMMYFUNCTION("""COMPUTED_VALUE"""),0.00244)</f>
        <v>0.00244</v>
      </c>
      <c r="H1113" s="19" t="str">
        <f>IFERROR(__xludf.DUMMYFUNCTION("""COMPUTED_VALUE"""),"-")</f>
        <v>-</v>
      </c>
      <c r="I1113" s="19">
        <f>IFERROR(__xludf.DUMMYFUNCTION("""COMPUTED_VALUE"""),0.00229)</f>
        <v>0.00229</v>
      </c>
      <c r="J1113" s="19">
        <f>IFERROR(__xludf.DUMMYFUNCTION("""COMPUTED_VALUE"""),0.04746)</f>
        <v>0.04746</v>
      </c>
      <c r="K1113" s="19" t="str">
        <f>IFERROR(__xludf.DUMMYFUNCTION("""COMPUTED_VALUE"""),"-")</f>
        <v>-</v>
      </c>
      <c r="L1113" s="19" t="str">
        <f>IFERROR(__xludf.DUMMYFUNCTION("""COMPUTED_VALUE"""),"-")</f>
        <v>-</v>
      </c>
      <c r="O1113" s="24">
        <f t="shared" si="4"/>
        <v>0</v>
      </c>
      <c r="P1113" s="24"/>
      <c r="Q1113" s="24">
        <f t="shared" si="6"/>
        <v>0</v>
      </c>
      <c r="R1113" s="24">
        <f t="shared" si="7"/>
        <v>0</v>
      </c>
      <c r="S1113" s="24"/>
      <c r="T1113" s="24"/>
    </row>
    <row r="1114">
      <c r="A1114" s="12" t="s">
        <v>1202</v>
      </c>
      <c r="F1114" s="19">
        <f>IFERROR(__xludf.DUMMYFUNCTION("SPLIT(A1110, "" |"")"),1108.0)</f>
        <v>1108</v>
      </c>
      <c r="G1114" s="19">
        <f>IFERROR(__xludf.DUMMYFUNCTION("""COMPUTED_VALUE"""),0.00232)</f>
        <v>0.00232</v>
      </c>
      <c r="H1114" s="19" t="str">
        <f>IFERROR(__xludf.DUMMYFUNCTION("""COMPUTED_VALUE"""),"-")</f>
        <v>-</v>
      </c>
      <c r="I1114" s="19">
        <f>IFERROR(__xludf.DUMMYFUNCTION("""COMPUTED_VALUE"""),0.00224)</f>
        <v>0.00224</v>
      </c>
      <c r="J1114" s="19">
        <f>IFERROR(__xludf.DUMMYFUNCTION("""COMPUTED_VALUE"""),0.04742)</f>
        <v>0.04742</v>
      </c>
      <c r="K1114" s="19" t="str">
        <f>IFERROR(__xludf.DUMMYFUNCTION("""COMPUTED_VALUE"""),"-")</f>
        <v>-</v>
      </c>
      <c r="L1114" s="19" t="str">
        <f>IFERROR(__xludf.DUMMYFUNCTION("""COMPUTED_VALUE"""),"-")</f>
        <v>-</v>
      </c>
      <c r="O1114" s="24">
        <f t="shared" si="4"/>
        <v>0</v>
      </c>
      <c r="P1114" s="24"/>
      <c r="Q1114" s="24">
        <f t="shared" si="6"/>
        <v>0</v>
      </c>
      <c r="R1114" s="24">
        <f t="shared" si="7"/>
        <v>0</v>
      </c>
      <c r="S1114" s="24"/>
      <c r="T1114" s="24"/>
    </row>
    <row r="1115">
      <c r="A1115" s="12" t="s">
        <v>1203</v>
      </c>
      <c r="F1115" s="19">
        <f>IFERROR(__xludf.DUMMYFUNCTION("SPLIT(A1111, "" |"")"),1109.0)</f>
        <v>1109</v>
      </c>
      <c r="G1115" s="19">
        <f>IFERROR(__xludf.DUMMYFUNCTION("""COMPUTED_VALUE"""),0.00234)</f>
        <v>0.00234</v>
      </c>
      <c r="H1115" s="19" t="str">
        <f>IFERROR(__xludf.DUMMYFUNCTION("""COMPUTED_VALUE"""),"-")</f>
        <v>-</v>
      </c>
      <c r="I1115" s="19">
        <f>IFERROR(__xludf.DUMMYFUNCTION("""COMPUTED_VALUE"""),0.00208)</f>
        <v>0.00208</v>
      </c>
      <c r="J1115" s="19">
        <f>IFERROR(__xludf.DUMMYFUNCTION("""COMPUTED_VALUE"""),0.04501)</f>
        <v>0.04501</v>
      </c>
      <c r="K1115" s="19" t="str">
        <f>IFERROR(__xludf.DUMMYFUNCTION("""COMPUTED_VALUE"""),"-")</f>
        <v>-</v>
      </c>
      <c r="L1115" s="19" t="str">
        <f>IFERROR(__xludf.DUMMYFUNCTION("""COMPUTED_VALUE"""),"-")</f>
        <v>-</v>
      </c>
      <c r="O1115" s="24">
        <f t="shared" si="4"/>
        <v>0</v>
      </c>
      <c r="P1115" s="24"/>
      <c r="Q1115" s="24">
        <f t="shared" si="6"/>
        <v>0</v>
      </c>
      <c r="R1115" s="24">
        <f t="shared" si="7"/>
        <v>0</v>
      </c>
      <c r="S1115" s="24"/>
      <c r="T1115" s="24"/>
    </row>
    <row r="1116">
      <c r="A1116" s="12" t="s">
        <v>1204</v>
      </c>
      <c r="F1116" s="19">
        <f>IFERROR(__xludf.DUMMYFUNCTION("SPLIT(A1112, "" |"")"),1110.0)</f>
        <v>1110</v>
      </c>
      <c r="G1116" s="19">
        <f>IFERROR(__xludf.DUMMYFUNCTION("""COMPUTED_VALUE"""),0.00249)</f>
        <v>0.00249</v>
      </c>
      <c r="H1116" s="19" t="str">
        <f>IFERROR(__xludf.DUMMYFUNCTION("""COMPUTED_VALUE"""),"-")</f>
        <v>-</v>
      </c>
      <c r="I1116" s="19">
        <f>IFERROR(__xludf.DUMMYFUNCTION("""COMPUTED_VALUE"""),0.00221)</f>
        <v>0.00221</v>
      </c>
      <c r="J1116" s="19">
        <f>IFERROR(__xludf.DUMMYFUNCTION("""COMPUTED_VALUE"""),0.04757)</f>
        <v>0.04757</v>
      </c>
      <c r="K1116" s="19" t="str">
        <f>IFERROR(__xludf.DUMMYFUNCTION("""COMPUTED_VALUE"""),"-")</f>
        <v>-</v>
      </c>
      <c r="L1116" s="19" t="str">
        <f>IFERROR(__xludf.DUMMYFUNCTION("""COMPUTED_VALUE"""),"-")</f>
        <v>-</v>
      </c>
      <c r="O1116" s="24">
        <f t="shared" si="4"/>
        <v>0</v>
      </c>
      <c r="P1116" s="24"/>
      <c r="Q1116" s="24">
        <f t="shared" si="6"/>
        <v>0</v>
      </c>
      <c r="R1116" s="24">
        <f t="shared" si="7"/>
        <v>0</v>
      </c>
      <c r="S1116" s="24"/>
      <c r="T1116" s="24"/>
    </row>
    <row r="1117">
      <c r="A1117" s="12" t="s">
        <v>1205</v>
      </c>
      <c r="F1117" s="19">
        <f>IFERROR(__xludf.DUMMYFUNCTION("SPLIT(A1113, "" |"")"),1111.0)</f>
        <v>1111</v>
      </c>
      <c r="G1117" s="19">
        <f>IFERROR(__xludf.DUMMYFUNCTION("""COMPUTED_VALUE"""),0.00238)</f>
        <v>0.00238</v>
      </c>
      <c r="H1117" s="19" t="str">
        <f>IFERROR(__xludf.DUMMYFUNCTION("""COMPUTED_VALUE"""),"-")</f>
        <v>-</v>
      </c>
      <c r="I1117" s="19">
        <f>IFERROR(__xludf.DUMMYFUNCTION("""COMPUTED_VALUE"""),0.00221)</f>
        <v>0.00221</v>
      </c>
      <c r="J1117" s="19">
        <f>IFERROR(__xludf.DUMMYFUNCTION("""COMPUTED_VALUE"""),0.04569)</f>
        <v>0.04569</v>
      </c>
      <c r="K1117" s="19" t="str">
        <f>IFERROR(__xludf.DUMMYFUNCTION("""COMPUTED_VALUE"""),"-")</f>
        <v>-</v>
      </c>
      <c r="L1117" s="19" t="str">
        <f>IFERROR(__xludf.DUMMYFUNCTION("""COMPUTED_VALUE"""),"-")</f>
        <v>-</v>
      </c>
      <c r="O1117" s="24">
        <f t="shared" si="4"/>
        <v>0</v>
      </c>
      <c r="P1117" s="24"/>
      <c r="Q1117" s="24">
        <f t="shared" si="6"/>
        <v>0</v>
      </c>
      <c r="R1117" s="24">
        <f t="shared" si="7"/>
        <v>0</v>
      </c>
      <c r="S1117" s="24"/>
      <c r="T1117" s="24"/>
    </row>
    <row r="1118">
      <c r="A1118" s="12" t="s">
        <v>1206</v>
      </c>
      <c r="F1118" s="19">
        <f>IFERROR(__xludf.DUMMYFUNCTION("SPLIT(A1114, "" |"")"),1112.0)</f>
        <v>1112</v>
      </c>
      <c r="G1118" s="19">
        <f>IFERROR(__xludf.DUMMYFUNCTION("""COMPUTED_VALUE"""),0.00242)</f>
        <v>0.00242</v>
      </c>
      <c r="H1118" s="19" t="str">
        <f>IFERROR(__xludf.DUMMYFUNCTION("""COMPUTED_VALUE"""),"-")</f>
        <v>-</v>
      </c>
      <c r="I1118" s="19">
        <f>IFERROR(__xludf.DUMMYFUNCTION("""COMPUTED_VALUE"""),0.00227)</f>
        <v>0.00227</v>
      </c>
      <c r="J1118" s="19">
        <f>IFERROR(__xludf.DUMMYFUNCTION("""COMPUTED_VALUE"""),0.04748)</f>
        <v>0.04748</v>
      </c>
      <c r="K1118" s="19" t="str">
        <f>IFERROR(__xludf.DUMMYFUNCTION("""COMPUTED_VALUE"""),"-")</f>
        <v>-</v>
      </c>
      <c r="L1118" s="19" t="str">
        <f>IFERROR(__xludf.DUMMYFUNCTION("""COMPUTED_VALUE"""),"-")</f>
        <v>-</v>
      </c>
      <c r="O1118" s="24">
        <f t="shared" si="4"/>
        <v>0</v>
      </c>
      <c r="P1118" s="24"/>
      <c r="Q1118" s="24">
        <f t="shared" si="6"/>
        <v>0</v>
      </c>
      <c r="R1118" s="24">
        <f t="shared" si="7"/>
        <v>0</v>
      </c>
      <c r="S1118" s="24"/>
      <c r="T1118" s="24"/>
    </row>
    <row r="1119">
      <c r="A1119" s="12" t="s">
        <v>1207</v>
      </c>
      <c r="F1119" s="19">
        <f>IFERROR(__xludf.DUMMYFUNCTION("SPLIT(A1115, "" |"")"),1113.0)</f>
        <v>1113</v>
      </c>
      <c r="G1119" s="19">
        <f>IFERROR(__xludf.DUMMYFUNCTION("""COMPUTED_VALUE"""),0.00237)</f>
        <v>0.00237</v>
      </c>
      <c r="H1119" s="19" t="str">
        <f>IFERROR(__xludf.DUMMYFUNCTION("""COMPUTED_VALUE"""),"-")</f>
        <v>-</v>
      </c>
      <c r="I1119" s="19">
        <f>IFERROR(__xludf.DUMMYFUNCTION("""COMPUTED_VALUE"""),0.0022)</f>
        <v>0.0022</v>
      </c>
      <c r="J1119" s="19">
        <f>IFERROR(__xludf.DUMMYFUNCTION("""COMPUTED_VALUE"""),0.04747)</f>
        <v>0.04747</v>
      </c>
      <c r="K1119" s="19" t="str">
        <f>IFERROR(__xludf.DUMMYFUNCTION("""COMPUTED_VALUE"""),"-")</f>
        <v>-</v>
      </c>
      <c r="L1119" s="19" t="str">
        <f>IFERROR(__xludf.DUMMYFUNCTION("""COMPUTED_VALUE"""),"-")</f>
        <v>-</v>
      </c>
      <c r="O1119" s="24">
        <f t="shared" si="4"/>
        <v>0</v>
      </c>
      <c r="P1119" s="24"/>
      <c r="Q1119" s="24">
        <f t="shared" si="6"/>
        <v>0</v>
      </c>
      <c r="R1119" s="24">
        <f t="shared" si="7"/>
        <v>0</v>
      </c>
      <c r="S1119" s="24"/>
      <c r="T1119" s="24"/>
    </row>
    <row r="1120">
      <c r="A1120" s="12" t="s">
        <v>1208</v>
      </c>
      <c r="F1120" s="19">
        <f>IFERROR(__xludf.DUMMYFUNCTION("SPLIT(A1116, "" |"")"),1114.0)</f>
        <v>1114</v>
      </c>
      <c r="G1120" s="19">
        <f>IFERROR(__xludf.DUMMYFUNCTION("""COMPUTED_VALUE"""),0.00224)</f>
        <v>0.00224</v>
      </c>
      <c r="H1120" s="19" t="str">
        <f>IFERROR(__xludf.DUMMYFUNCTION("""COMPUTED_VALUE"""),"-")</f>
        <v>-</v>
      </c>
      <c r="I1120" s="19">
        <f>IFERROR(__xludf.DUMMYFUNCTION("""COMPUTED_VALUE"""),0.00228)</f>
        <v>0.00228</v>
      </c>
      <c r="J1120" s="19">
        <f>IFERROR(__xludf.DUMMYFUNCTION("""COMPUTED_VALUE"""),0.04749)</f>
        <v>0.04749</v>
      </c>
      <c r="K1120" s="19" t="str">
        <f>IFERROR(__xludf.DUMMYFUNCTION("""COMPUTED_VALUE"""),"-")</f>
        <v>-</v>
      </c>
      <c r="L1120" s="19" t="str">
        <f>IFERROR(__xludf.DUMMYFUNCTION("""COMPUTED_VALUE"""),"-")</f>
        <v>-</v>
      </c>
      <c r="O1120" s="24">
        <f t="shared" si="4"/>
        <v>0</v>
      </c>
      <c r="P1120" s="24"/>
      <c r="Q1120" s="24">
        <f t="shared" si="6"/>
        <v>0</v>
      </c>
      <c r="R1120" s="24">
        <f t="shared" si="7"/>
        <v>0</v>
      </c>
      <c r="S1120" s="24"/>
      <c r="T1120" s="24"/>
    </row>
    <row r="1121">
      <c r="A1121" s="12" t="s">
        <v>1209</v>
      </c>
      <c r="F1121" s="19">
        <f>IFERROR(__xludf.DUMMYFUNCTION("SPLIT(A1117, "" |"")"),1115.0)</f>
        <v>1115</v>
      </c>
      <c r="G1121" s="19">
        <f>IFERROR(__xludf.DUMMYFUNCTION("""COMPUTED_VALUE"""),0.00238)</f>
        <v>0.00238</v>
      </c>
      <c r="H1121" s="19" t="str">
        <f>IFERROR(__xludf.DUMMYFUNCTION("""COMPUTED_VALUE"""),"-")</f>
        <v>-</v>
      </c>
      <c r="I1121" s="19">
        <f>IFERROR(__xludf.DUMMYFUNCTION("""COMPUTED_VALUE"""),0.00215)</f>
        <v>0.00215</v>
      </c>
      <c r="J1121" s="19">
        <f>IFERROR(__xludf.DUMMYFUNCTION("""COMPUTED_VALUE"""),0.04749)</f>
        <v>0.04749</v>
      </c>
      <c r="K1121" s="19" t="str">
        <f>IFERROR(__xludf.DUMMYFUNCTION("""COMPUTED_VALUE"""),"-")</f>
        <v>-</v>
      </c>
      <c r="L1121" s="19" t="str">
        <f>IFERROR(__xludf.DUMMYFUNCTION("""COMPUTED_VALUE"""),"-")</f>
        <v>-</v>
      </c>
      <c r="O1121" s="24">
        <f t="shared" si="4"/>
        <v>0</v>
      </c>
      <c r="P1121" s="24"/>
      <c r="Q1121" s="24">
        <f t="shared" si="6"/>
        <v>0</v>
      </c>
      <c r="R1121" s="24">
        <f t="shared" si="7"/>
        <v>0</v>
      </c>
      <c r="S1121" s="24"/>
      <c r="T1121" s="24"/>
    </row>
    <row r="1122">
      <c r="A1122" s="12" t="s">
        <v>1210</v>
      </c>
      <c r="F1122" s="19">
        <f>IFERROR(__xludf.DUMMYFUNCTION("SPLIT(A1118, "" |"")"),1116.0)</f>
        <v>1116</v>
      </c>
      <c r="G1122" s="19">
        <f>IFERROR(__xludf.DUMMYFUNCTION("""COMPUTED_VALUE"""),0.00242)</f>
        <v>0.00242</v>
      </c>
      <c r="H1122" s="19" t="str">
        <f>IFERROR(__xludf.DUMMYFUNCTION("""COMPUTED_VALUE"""),"-")</f>
        <v>-</v>
      </c>
      <c r="I1122" s="19">
        <f>IFERROR(__xludf.DUMMYFUNCTION("""COMPUTED_VALUE"""),0.00228)</f>
        <v>0.00228</v>
      </c>
      <c r="J1122" s="19">
        <f>IFERROR(__xludf.DUMMYFUNCTION("""COMPUTED_VALUE"""),0.04749)</f>
        <v>0.04749</v>
      </c>
      <c r="K1122" s="19" t="str">
        <f>IFERROR(__xludf.DUMMYFUNCTION("""COMPUTED_VALUE"""),"-")</f>
        <v>-</v>
      </c>
      <c r="L1122" s="19" t="str">
        <f>IFERROR(__xludf.DUMMYFUNCTION("""COMPUTED_VALUE"""),"-")</f>
        <v>-</v>
      </c>
      <c r="O1122" s="24">
        <f t="shared" si="4"/>
        <v>0</v>
      </c>
      <c r="P1122" s="24"/>
      <c r="Q1122" s="24">
        <f t="shared" si="6"/>
        <v>0</v>
      </c>
      <c r="R1122" s="24">
        <f t="shared" si="7"/>
        <v>0</v>
      </c>
      <c r="S1122" s="24"/>
      <c r="T1122" s="24"/>
    </row>
    <row r="1123">
      <c r="A1123" s="12" t="s">
        <v>1211</v>
      </c>
      <c r="F1123" s="19">
        <f>IFERROR(__xludf.DUMMYFUNCTION("SPLIT(A1119, "" |"")"),1117.0)</f>
        <v>1117</v>
      </c>
      <c r="G1123" s="19">
        <f>IFERROR(__xludf.DUMMYFUNCTION("""COMPUTED_VALUE"""),0.00237)</f>
        <v>0.00237</v>
      </c>
      <c r="H1123" s="19" t="str">
        <f>IFERROR(__xludf.DUMMYFUNCTION("""COMPUTED_VALUE"""),"-")</f>
        <v>-</v>
      </c>
      <c r="I1123" s="19">
        <f>IFERROR(__xludf.DUMMYFUNCTION("""COMPUTED_VALUE"""),0.00221)</f>
        <v>0.00221</v>
      </c>
      <c r="J1123" s="19">
        <f>IFERROR(__xludf.DUMMYFUNCTION("""COMPUTED_VALUE"""),0.04712)</f>
        <v>0.04712</v>
      </c>
      <c r="K1123" s="19" t="str">
        <f>IFERROR(__xludf.DUMMYFUNCTION("""COMPUTED_VALUE"""),"-")</f>
        <v>-</v>
      </c>
      <c r="L1123" s="19" t="str">
        <f>IFERROR(__xludf.DUMMYFUNCTION("""COMPUTED_VALUE"""),"-")</f>
        <v>-</v>
      </c>
      <c r="O1123" s="24">
        <f t="shared" si="4"/>
        <v>0</v>
      </c>
      <c r="P1123" s="24"/>
      <c r="Q1123" s="24">
        <f t="shared" si="6"/>
        <v>0</v>
      </c>
      <c r="R1123" s="24">
        <f t="shared" si="7"/>
        <v>0</v>
      </c>
      <c r="S1123" s="24"/>
      <c r="T1123" s="24"/>
    </row>
    <row r="1124">
      <c r="A1124" s="12" t="s">
        <v>1212</v>
      </c>
      <c r="F1124" s="19">
        <f>IFERROR(__xludf.DUMMYFUNCTION("SPLIT(A1120, "" |"")"),1118.0)</f>
        <v>1118</v>
      </c>
      <c r="G1124" s="19">
        <f>IFERROR(__xludf.DUMMYFUNCTION("""COMPUTED_VALUE"""),0.0024)</f>
        <v>0.0024</v>
      </c>
      <c r="H1124" s="19" t="str">
        <f>IFERROR(__xludf.DUMMYFUNCTION("""COMPUTED_VALUE"""),"-")</f>
        <v>-</v>
      </c>
      <c r="I1124" s="19">
        <f>IFERROR(__xludf.DUMMYFUNCTION("""COMPUTED_VALUE"""),0.00223)</f>
        <v>0.00223</v>
      </c>
      <c r="J1124" s="19">
        <f>IFERROR(__xludf.DUMMYFUNCTION("""COMPUTED_VALUE"""),0.04747)</f>
        <v>0.04747</v>
      </c>
      <c r="K1124" s="19" t="str">
        <f>IFERROR(__xludf.DUMMYFUNCTION("""COMPUTED_VALUE"""),"-")</f>
        <v>-</v>
      </c>
      <c r="L1124" s="19" t="str">
        <f>IFERROR(__xludf.DUMMYFUNCTION("""COMPUTED_VALUE"""),"-")</f>
        <v>-</v>
      </c>
      <c r="O1124" s="24">
        <f t="shared" si="4"/>
        <v>0</v>
      </c>
      <c r="P1124" s="24"/>
      <c r="Q1124" s="24">
        <f t="shared" si="6"/>
        <v>0</v>
      </c>
      <c r="R1124" s="24">
        <f t="shared" si="7"/>
        <v>0</v>
      </c>
      <c r="S1124" s="24"/>
      <c r="T1124" s="24"/>
    </row>
    <row r="1125">
      <c r="A1125" s="12" t="s">
        <v>1213</v>
      </c>
      <c r="F1125" s="19">
        <f>IFERROR(__xludf.DUMMYFUNCTION("SPLIT(A1121, "" |"")"),1119.0)</f>
        <v>1119</v>
      </c>
      <c r="G1125" s="19">
        <f>IFERROR(__xludf.DUMMYFUNCTION("""COMPUTED_VALUE"""),0.00235)</f>
        <v>0.00235</v>
      </c>
      <c r="H1125" s="19" t="str">
        <f>IFERROR(__xludf.DUMMYFUNCTION("""COMPUTED_VALUE"""),"-")</f>
        <v>-</v>
      </c>
      <c r="I1125" s="19">
        <f>IFERROR(__xludf.DUMMYFUNCTION("""COMPUTED_VALUE"""),0.00222)</f>
        <v>0.00222</v>
      </c>
      <c r="J1125" s="19">
        <f>IFERROR(__xludf.DUMMYFUNCTION("""COMPUTED_VALUE"""),0.04529)</f>
        <v>0.04529</v>
      </c>
      <c r="K1125" s="19" t="str">
        <f>IFERROR(__xludf.DUMMYFUNCTION("""COMPUTED_VALUE"""),"-")</f>
        <v>-</v>
      </c>
      <c r="L1125" s="19" t="str">
        <f>IFERROR(__xludf.DUMMYFUNCTION("""COMPUTED_VALUE"""),"-")</f>
        <v>-</v>
      </c>
      <c r="O1125" s="24">
        <f t="shared" si="4"/>
        <v>0</v>
      </c>
      <c r="P1125" s="24"/>
      <c r="Q1125" s="24">
        <f t="shared" si="6"/>
        <v>0</v>
      </c>
      <c r="R1125" s="24">
        <f t="shared" si="7"/>
        <v>0</v>
      </c>
      <c r="S1125" s="24"/>
      <c r="T1125" s="24"/>
    </row>
    <row r="1126">
      <c r="A1126" s="12" t="s">
        <v>1214</v>
      </c>
      <c r="F1126" s="19">
        <f>IFERROR(__xludf.DUMMYFUNCTION("SPLIT(A1122, "" |"")"),1120.0)</f>
        <v>1120</v>
      </c>
      <c r="G1126" s="19">
        <f>IFERROR(__xludf.DUMMYFUNCTION("""COMPUTED_VALUE"""),0.00243)</f>
        <v>0.00243</v>
      </c>
      <c r="H1126" s="19" t="str">
        <f>IFERROR(__xludf.DUMMYFUNCTION("""COMPUTED_VALUE"""),"-")</f>
        <v>-</v>
      </c>
      <c r="I1126" s="19">
        <f>IFERROR(__xludf.DUMMYFUNCTION("""COMPUTED_VALUE"""),0.00221)</f>
        <v>0.00221</v>
      </c>
      <c r="J1126" s="19">
        <f>IFERROR(__xludf.DUMMYFUNCTION("""COMPUTED_VALUE"""),0.04745)</f>
        <v>0.04745</v>
      </c>
      <c r="K1126" s="19" t="str">
        <f>IFERROR(__xludf.DUMMYFUNCTION("""COMPUTED_VALUE"""),"-")</f>
        <v>-</v>
      </c>
      <c r="L1126" s="19" t="str">
        <f>IFERROR(__xludf.DUMMYFUNCTION("""COMPUTED_VALUE"""),"-")</f>
        <v>-</v>
      </c>
      <c r="O1126" s="24">
        <f t="shared" si="4"/>
        <v>0</v>
      </c>
      <c r="P1126" s="24"/>
      <c r="Q1126" s="24">
        <f t="shared" si="6"/>
        <v>0</v>
      </c>
      <c r="R1126" s="24">
        <f t="shared" si="7"/>
        <v>0</v>
      </c>
      <c r="S1126" s="24"/>
      <c r="T1126" s="24"/>
    </row>
    <row r="1127">
      <c r="A1127" s="12" t="s">
        <v>1215</v>
      </c>
      <c r="F1127" s="19">
        <f>IFERROR(__xludf.DUMMYFUNCTION("SPLIT(A1123, "" |"")"),1121.0)</f>
        <v>1121</v>
      </c>
      <c r="G1127" s="19">
        <f>IFERROR(__xludf.DUMMYFUNCTION("""COMPUTED_VALUE"""),0.00234)</f>
        <v>0.00234</v>
      </c>
      <c r="H1127" s="19" t="str">
        <f>IFERROR(__xludf.DUMMYFUNCTION("""COMPUTED_VALUE"""),"-")</f>
        <v>-</v>
      </c>
      <c r="I1127" s="19">
        <f>IFERROR(__xludf.DUMMYFUNCTION("""COMPUTED_VALUE"""),0.0022)</f>
        <v>0.0022</v>
      </c>
      <c r="J1127" s="19">
        <f>IFERROR(__xludf.DUMMYFUNCTION("""COMPUTED_VALUE"""),0.0444)</f>
        <v>0.0444</v>
      </c>
      <c r="K1127" s="19" t="str">
        <f>IFERROR(__xludf.DUMMYFUNCTION("""COMPUTED_VALUE"""),"-")</f>
        <v>-</v>
      </c>
      <c r="L1127" s="19" t="str">
        <f>IFERROR(__xludf.DUMMYFUNCTION("""COMPUTED_VALUE"""),"-")</f>
        <v>-</v>
      </c>
      <c r="O1127" s="24">
        <f t="shared" si="4"/>
        <v>0</v>
      </c>
      <c r="P1127" s="24"/>
      <c r="Q1127" s="24">
        <f t="shared" si="6"/>
        <v>0</v>
      </c>
      <c r="R1127" s="24">
        <f t="shared" si="7"/>
        <v>1</v>
      </c>
      <c r="S1127" s="24"/>
      <c r="T1127" s="24"/>
    </row>
    <row r="1128">
      <c r="A1128" s="12" t="s">
        <v>1216</v>
      </c>
      <c r="F1128" s="19">
        <f>IFERROR(__xludf.DUMMYFUNCTION("SPLIT(A1124, "" |"")"),1122.0)</f>
        <v>1122</v>
      </c>
      <c r="G1128" s="19">
        <f>IFERROR(__xludf.DUMMYFUNCTION("""COMPUTED_VALUE"""),0.00246)</f>
        <v>0.00246</v>
      </c>
      <c r="H1128" s="19" t="str">
        <f>IFERROR(__xludf.DUMMYFUNCTION("""COMPUTED_VALUE"""),"-")</f>
        <v>-</v>
      </c>
      <c r="I1128" s="19">
        <f>IFERROR(__xludf.DUMMYFUNCTION("""COMPUTED_VALUE"""),0.00223)</f>
        <v>0.00223</v>
      </c>
      <c r="J1128" s="19">
        <f>IFERROR(__xludf.DUMMYFUNCTION("""COMPUTED_VALUE"""),0.04747)</f>
        <v>0.04747</v>
      </c>
      <c r="K1128" s="19" t="str">
        <f>IFERROR(__xludf.DUMMYFUNCTION("""COMPUTED_VALUE"""),"-")</f>
        <v>-</v>
      </c>
      <c r="L1128" s="19" t="str">
        <f>IFERROR(__xludf.DUMMYFUNCTION("""COMPUTED_VALUE"""),"-")</f>
        <v>-</v>
      </c>
      <c r="O1128" s="24">
        <f t="shared" si="4"/>
        <v>0</v>
      </c>
      <c r="P1128" s="24"/>
      <c r="Q1128" s="24">
        <f t="shared" si="6"/>
        <v>0</v>
      </c>
      <c r="R1128" s="24">
        <f t="shared" si="7"/>
        <v>0</v>
      </c>
      <c r="S1128" s="24"/>
      <c r="T1128" s="24"/>
    </row>
    <row r="1129">
      <c r="A1129" s="12" t="s">
        <v>1217</v>
      </c>
      <c r="F1129" s="19">
        <f>IFERROR(__xludf.DUMMYFUNCTION("SPLIT(A1125, "" |"")"),1123.0)</f>
        <v>1123</v>
      </c>
      <c r="G1129" s="19">
        <f>IFERROR(__xludf.DUMMYFUNCTION("""COMPUTED_VALUE"""),0.00235)</f>
        <v>0.00235</v>
      </c>
      <c r="H1129" s="19" t="str">
        <f>IFERROR(__xludf.DUMMYFUNCTION("""COMPUTED_VALUE"""),"-")</f>
        <v>-</v>
      </c>
      <c r="I1129" s="19">
        <f>IFERROR(__xludf.DUMMYFUNCTION("""COMPUTED_VALUE"""),0.00218)</f>
        <v>0.00218</v>
      </c>
      <c r="J1129" s="19">
        <f>IFERROR(__xludf.DUMMYFUNCTION("""COMPUTED_VALUE"""),0.04609)</f>
        <v>0.04609</v>
      </c>
      <c r="K1129" s="19" t="str">
        <f>IFERROR(__xludf.DUMMYFUNCTION("""COMPUTED_VALUE"""),"-")</f>
        <v>-</v>
      </c>
      <c r="L1129" s="19" t="str">
        <f>IFERROR(__xludf.DUMMYFUNCTION("""COMPUTED_VALUE"""),"-")</f>
        <v>-</v>
      </c>
      <c r="O1129" s="24">
        <f t="shared" si="4"/>
        <v>0</v>
      </c>
      <c r="P1129" s="24"/>
      <c r="Q1129" s="24">
        <f t="shared" si="6"/>
        <v>0</v>
      </c>
      <c r="R1129" s="24">
        <f t="shared" si="7"/>
        <v>0</v>
      </c>
      <c r="S1129" s="24"/>
      <c r="T1129" s="24"/>
    </row>
    <row r="1130">
      <c r="A1130" s="12" t="s">
        <v>1218</v>
      </c>
      <c r="F1130" s="19">
        <f>IFERROR(__xludf.DUMMYFUNCTION("SPLIT(A1126, "" |"")"),1124.0)</f>
        <v>1124</v>
      </c>
      <c r="G1130" s="19">
        <f>IFERROR(__xludf.DUMMYFUNCTION("""COMPUTED_VALUE"""),0.0024)</f>
        <v>0.0024</v>
      </c>
      <c r="H1130" s="19" t="str">
        <f>IFERROR(__xludf.DUMMYFUNCTION("""COMPUTED_VALUE"""),"-")</f>
        <v>-</v>
      </c>
      <c r="I1130" s="19">
        <f>IFERROR(__xludf.DUMMYFUNCTION("""COMPUTED_VALUE"""),0.00228)</f>
        <v>0.00228</v>
      </c>
      <c r="J1130" s="19">
        <f>IFERROR(__xludf.DUMMYFUNCTION("""COMPUTED_VALUE"""),0.04749)</f>
        <v>0.04749</v>
      </c>
      <c r="K1130" s="19" t="str">
        <f>IFERROR(__xludf.DUMMYFUNCTION("""COMPUTED_VALUE"""),"-")</f>
        <v>-</v>
      </c>
      <c r="L1130" s="19" t="str">
        <f>IFERROR(__xludf.DUMMYFUNCTION("""COMPUTED_VALUE"""),"-")</f>
        <v>-</v>
      </c>
      <c r="O1130" s="24">
        <f t="shared" si="4"/>
        <v>0</v>
      </c>
      <c r="P1130" s="24"/>
      <c r="Q1130" s="24">
        <f t="shared" si="6"/>
        <v>0</v>
      </c>
      <c r="R1130" s="24">
        <f t="shared" si="7"/>
        <v>0</v>
      </c>
      <c r="S1130" s="24"/>
      <c r="T1130" s="24"/>
    </row>
    <row r="1131">
      <c r="A1131" s="12" t="s">
        <v>1219</v>
      </c>
      <c r="F1131" s="19">
        <f>IFERROR(__xludf.DUMMYFUNCTION("SPLIT(A1127, "" |"")"),1125.0)</f>
        <v>1125</v>
      </c>
      <c r="G1131" s="19">
        <f>IFERROR(__xludf.DUMMYFUNCTION("""COMPUTED_VALUE"""),0.00235)</f>
        <v>0.00235</v>
      </c>
      <c r="H1131" s="19" t="str">
        <f>IFERROR(__xludf.DUMMYFUNCTION("""COMPUTED_VALUE"""),"-")</f>
        <v>-</v>
      </c>
      <c r="I1131" s="19">
        <f>IFERROR(__xludf.DUMMYFUNCTION("""COMPUTED_VALUE"""),0.00221)</f>
        <v>0.00221</v>
      </c>
      <c r="J1131" s="19">
        <f>IFERROR(__xludf.DUMMYFUNCTION("""COMPUTED_VALUE"""),0.04746)</f>
        <v>0.04746</v>
      </c>
      <c r="K1131" s="19" t="str">
        <f>IFERROR(__xludf.DUMMYFUNCTION("""COMPUTED_VALUE"""),"-")</f>
        <v>-</v>
      </c>
      <c r="L1131" s="19" t="str">
        <f>IFERROR(__xludf.DUMMYFUNCTION("""COMPUTED_VALUE"""),"-")</f>
        <v>-</v>
      </c>
      <c r="O1131" s="24">
        <f t="shared" si="4"/>
        <v>0</v>
      </c>
      <c r="P1131" s="24"/>
      <c r="Q1131" s="24">
        <f t="shared" si="6"/>
        <v>0</v>
      </c>
      <c r="R1131" s="24">
        <f t="shared" si="7"/>
        <v>0</v>
      </c>
      <c r="S1131" s="24"/>
      <c r="T1131" s="24"/>
    </row>
    <row r="1132">
      <c r="A1132" s="12" t="s">
        <v>1220</v>
      </c>
      <c r="F1132" s="19">
        <f>IFERROR(__xludf.DUMMYFUNCTION("SPLIT(A1128, "" |"")"),1126.0)</f>
        <v>1126</v>
      </c>
      <c r="G1132" s="19">
        <f>IFERROR(__xludf.DUMMYFUNCTION("""COMPUTED_VALUE"""),0.00223)</f>
        <v>0.00223</v>
      </c>
      <c r="H1132" s="19" t="str">
        <f>IFERROR(__xludf.DUMMYFUNCTION("""COMPUTED_VALUE"""),"-")</f>
        <v>-</v>
      </c>
      <c r="I1132" s="19">
        <f>IFERROR(__xludf.DUMMYFUNCTION("""COMPUTED_VALUE"""),0.00225)</f>
        <v>0.00225</v>
      </c>
      <c r="J1132" s="19">
        <f>IFERROR(__xludf.DUMMYFUNCTION("""COMPUTED_VALUE"""),0.04738)</f>
        <v>0.04738</v>
      </c>
      <c r="K1132" s="19" t="str">
        <f>IFERROR(__xludf.DUMMYFUNCTION("""COMPUTED_VALUE"""),"-")</f>
        <v>-</v>
      </c>
      <c r="L1132" s="19" t="str">
        <f>IFERROR(__xludf.DUMMYFUNCTION("""COMPUTED_VALUE"""),"-")</f>
        <v>-</v>
      </c>
      <c r="O1132" s="24">
        <f t="shared" si="4"/>
        <v>0</v>
      </c>
      <c r="P1132" s="24"/>
      <c r="Q1132" s="24">
        <f t="shared" si="6"/>
        <v>0</v>
      </c>
      <c r="R1132" s="24">
        <f t="shared" si="7"/>
        <v>0</v>
      </c>
      <c r="S1132" s="24"/>
      <c r="T1132" s="24"/>
    </row>
    <row r="1133">
      <c r="A1133" s="12" t="s">
        <v>1221</v>
      </c>
      <c r="F1133" s="19">
        <f>IFERROR(__xludf.DUMMYFUNCTION("SPLIT(A1129, "" |"")"),1127.0)</f>
        <v>1127</v>
      </c>
      <c r="G1133" s="19">
        <f>IFERROR(__xludf.DUMMYFUNCTION("""COMPUTED_VALUE"""),0.00231)</f>
        <v>0.00231</v>
      </c>
      <c r="H1133" s="19" t="str">
        <f>IFERROR(__xludf.DUMMYFUNCTION("""COMPUTED_VALUE"""),"-")</f>
        <v>-</v>
      </c>
      <c r="I1133" s="19">
        <f>IFERROR(__xludf.DUMMYFUNCTION("""COMPUTED_VALUE"""),0.00219)</f>
        <v>0.00219</v>
      </c>
      <c r="J1133" s="19">
        <f>IFERROR(__xludf.DUMMYFUNCTION("""COMPUTED_VALUE"""),0.04724)</f>
        <v>0.04724</v>
      </c>
      <c r="K1133" s="19" t="str">
        <f>IFERROR(__xludf.DUMMYFUNCTION("""COMPUTED_VALUE"""),"-")</f>
        <v>-</v>
      </c>
      <c r="L1133" s="19" t="str">
        <f>IFERROR(__xludf.DUMMYFUNCTION("""COMPUTED_VALUE"""),"-")</f>
        <v>-</v>
      </c>
      <c r="O1133" s="24">
        <f t="shared" si="4"/>
        <v>0</v>
      </c>
      <c r="P1133" s="24"/>
      <c r="Q1133" s="24">
        <f t="shared" si="6"/>
        <v>0</v>
      </c>
      <c r="R1133" s="24">
        <f t="shared" si="7"/>
        <v>0</v>
      </c>
      <c r="S1133" s="24"/>
      <c r="T1133" s="24"/>
    </row>
    <row r="1134">
      <c r="A1134" s="12" t="s">
        <v>1222</v>
      </c>
      <c r="F1134" s="19">
        <f>IFERROR(__xludf.DUMMYFUNCTION("SPLIT(A1130, "" |"")"),1128.0)</f>
        <v>1128</v>
      </c>
      <c r="G1134" s="19">
        <f>IFERROR(__xludf.DUMMYFUNCTION("""COMPUTED_VALUE"""),0.00263)</f>
        <v>0.00263</v>
      </c>
      <c r="H1134" s="19" t="str">
        <f>IFERROR(__xludf.DUMMYFUNCTION("""COMPUTED_VALUE"""),"-")</f>
        <v>-</v>
      </c>
      <c r="I1134" s="19">
        <f>IFERROR(__xludf.DUMMYFUNCTION("""COMPUTED_VALUE"""),0.0023)</f>
        <v>0.0023</v>
      </c>
      <c r="J1134" s="19">
        <f>IFERROR(__xludf.DUMMYFUNCTION("""COMPUTED_VALUE"""),0.04739)</f>
        <v>0.04739</v>
      </c>
      <c r="K1134" s="19" t="str">
        <f>IFERROR(__xludf.DUMMYFUNCTION("""COMPUTED_VALUE"""),"-")</f>
        <v>-</v>
      </c>
      <c r="L1134" s="19" t="str">
        <f>IFERROR(__xludf.DUMMYFUNCTION("""COMPUTED_VALUE"""),"-")</f>
        <v>-</v>
      </c>
      <c r="O1134" s="24">
        <f t="shared" si="4"/>
        <v>0</v>
      </c>
      <c r="P1134" s="24"/>
      <c r="Q1134" s="24">
        <f t="shared" si="6"/>
        <v>0</v>
      </c>
      <c r="R1134" s="24">
        <f t="shared" si="7"/>
        <v>0</v>
      </c>
      <c r="S1134" s="24"/>
      <c r="T1134" s="24"/>
    </row>
    <row r="1135">
      <c r="A1135" s="12" t="s">
        <v>1223</v>
      </c>
      <c r="F1135" s="19">
        <f>IFERROR(__xludf.DUMMYFUNCTION("SPLIT(A1131, "" |"")"),1129.0)</f>
        <v>1129</v>
      </c>
      <c r="G1135" s="19">
        <f>IFERROR(__xludf.DUMMYFUNCTION("""COMPUTED_VALUE"""),0.00241)</f>
        <v>0.00241</v>
      </c>
      <c r="H1135" s="19" t="str">
        <f>IFERROR(__xludf.DUMMYFUNCTION("""COMPUTED_VALUE"""),"-")</f>
        <v>-</v>
      </c>
      <c r="I1135" s="19">
        <f>IFERROR(__xludf.DUMMYFUNCTION("""COMPUTED_VALUE"""),0.00228)</f>
        <v>0.00228</v>
      </c>
      <c r="J1135" s="19">
        <f>IFERROR(__xludf.DUMMYFUNCTION("""COMPUTED_VALUE"""),0.04744)</f>
        <v>0.04744</v>
      </c>
      <c r="K1135" s="19" t="str">
        <f>IFERROR(__xludf.DUMMYFUNCTION("""COMPUTED_VALUE"""),"-")</f>
        <v>-</v>
      </c>
      <c r="L1135" s="19" t="str">
        <f>IFERROR(__xludf.DUMMYFUNCTION("""COMPUTED_VALUE"""),"-")</f>
        <v>-</v>
      </c>
      <c r="O1135" s="24">
        <f t="shared" si="4"/>
        <v>0</v>
      </c>
      <c r="P1135" s="24"/>
      <c r="Q1135" s="24">
        <f t="shared" si="6"/>
        <v>0</v>
      </c>
      <c r="R1135" s="24">
        <f t="shared" si="7"/>
        <v>0</v>
      </c>
      <c r="S1135" s="24"/>
      <c r="T1135" s="24"/>
    </row>
    <row r="1136">
      <c r="A1136" s="12" t="s">
        <v>1224</v>
      </c>
      <c r="F1136" s="19">
        <f>IFERROR(__xludf.DUMMYFUNCTION("SPLIT(A1132, "" |"")"),1130.0)</f>
        <v>1130</v>
      </c>
      <c r="G1136" s="19">
        <f>IFERROR(__xludf.DUMMYFUNCTION("""COMPUTED_VALUE"""),0.00232)</f>
        <v>0.00232</v>
      </c>
      <c r="H1136" s="19" t="str">
        <f>IFERROR(__xludf.DUMMYFUNCTION("""COMPUTED_VALUE"""),"-")</f>
        <v>-</v>
      </c>
      <c r="I1136" s="19">
        <f>IFERROR(__xludf.DUMMYFUNCTION("""COMPUTED_VALUE"""),0.00224)</f>
        <v>0.00224</v>
      </c>
      <c r="J1136" s="19">
        <f>IFERROR(__xludf.DUMMYFUNCTION("""COMPUTED_VALUE"""),0.04746)</f>
        <v>0.04746</v>
      </c>
      <c r="K1136" s="19" t="str">
        <f>IFERROR(__xludf.DUMMYFUNCTION("""COMPUTED_VALUE"""),"-")</f>
        <v>-</v>
      </c>
      <c r="L1136" s="19" t="str">
        <f>IFERROR(__xludf.DUMMYFUNCTION("""COMPUTED_VALUE"""),"-")</f>
        <v>-</v>
      </c>
      <c r="O1136" s="24">
        <f t="shared" si="4"/>
        <v>0</v>
      </c>
      <c r="P1136" s="24"/>
      <c r="Q1136" s="24">
        <f t="shared" si="6"/>
        <v>0</v>
      </c>
      <c r="R1136" s="24">
        <f t="shared" si="7"/>
        <v>0</v>
      </c>
      <c r="S1136" s="24"/>
      <c r="T1136" s="24"/>
    </row>
    <row r="1137">
      <c r="A1137" s="12" t="s">
        <v>1225</v>
      </c>
      <c r="F1137" s="19">
        <f>IFERROR(__xludf.DUMMYFUNCTION("SPLIT(A1133, "" |"")"),1131.0)</f>
        <v>1131</v>
      </c>
      <c r="G1137" s="19">
        <f>IFERROR(__xludf.DUMMYFUNCTION("""COMPUTED_VALUE"""),0.00242)</f>
        <v>0.00242</v>
      </c>
      <c r="H1137" s="19" t="str">
        <f>IFERROR(__xludf.DUMMYFUNCTION("""COMPUTED_VALUE"""),"-")</f>
        <v>-</v>
      </c>
      <c r="I1137" s="19">
        <f>IFERROR(__xludf.DUMMYFUNCTION("""COMPUTED_VALUE"""),0.00228)</f>
        <v>0.00228</v>
      </c>
      <c r="J1137" s="19">
        <f>IFERROR(__xludf.DUMMYFUNCTION("""COMPUTED_VALUE"""),0.04749)</f>
        <v>0.04749</v>
      </c>
      <c r="K1137" s="19" t="str">
        <f>IFERROR(__xludf.DUMMYFUNCTION("""COMPUTED_VALUE"""),"-")</f>
        <v>-</v>
      </c>
      <c r="L1137" s="19" t="str">
        <f>IFERROR(__xludf.DUMMYFUNCTION("""COMPUTED_VALUE"""),"-")</f>
        <v>-</v>
      </c>
      <c r="O1137" s="24">
        <f t="shared" si="4"/>
        <v>0</v>
      </c>
      <c r="P1137" s="24"/>
      <c r="Q1137" s="24">
        <f t="shared" si="6"/>
        <v>0</v>
      </c>
      <c r="R1137" s="24">
        <f t="shared" si="7"/>
        <v>0</v>
      </c>
      <c r="S1137" s="24"/>
      <c r="T1137" s="24"/>
    </row>
    <row r="1138">
      <c r="A1138" s="12" t="s">
        <v>1226</v>
      </c>
      <c r="F1138" s="19">
        <f>IFERROR(__xludf.DUMMYFUNCTION("SPLIT(A1134, "" |"")"),1132.0)</f>
        <v>1132</v>
      </c>
      <c r="G1138" s="19">
        <f>IFERROR(__xludf.DUMMYFUNCTION("""COMPUTED_VALUE"""),0.0024)</f>
        <v>0.0024</v>
      </c>
      <c r="H1138" s="19" t="str">
        <f>IFERROR(__xludf.DUMMYFUNCTION("""COMPUTED_VALUE"""),"-")</f>
        <v>-</v>
      </c>
      <c r="I1138" s="19">
        <f>IFERROR(__xludf.DUMMYFUNCTION("""COMPUTED_VALUE"""),0.00228)</f>
        <v>0.00228</v>
      </c>
      <c r="J1138" s="19">
        <f>IFERROR(__xludf.DUMMYFUNCTION("""COMPUTED_VALUE"""),0.04753)</f>
        <v>0.04753</v>
      </c>
      <c r="K1138" s="19" t="str">
        <f>IFERROR(__xludf.DUMMYFUNCTION("""COMPUTED_VALUE"""),"-")</f>
        <v>-</v>
      </c>
      <c r="L1138" s="19" t="str">
        <f>IFERROR(__xludf.DUMMYFUNCTION("""COMPUTED_VALUE"""),"-")</f>
        <v>-</v>
      </c>
      <c r="O1138" s="24">
        <f t="shared" si="4"/>
        <v>0</v>
      </c>
      <c r="P1138" s="24"/>
      <c r="Q1138" s="24">
        <f t="shared" si="6"/>
        <v>0</v>
      </c>
      <c r="R1138" s="24">
        <f t="shared" si="7"/>
        <v>0</v>
      </c>
      <c r="S1138" s="24"/>
      <c r="T1138" s="24"/>
    </row>
    <row r="1139">
      <c r="A1139" s="12" t="s">
        <v>1227</v>
      </c>
      <c r="F1139" s="19">
        <f>IFERROR(__xludf.DUMMYFUNCTION("SPLIT(A1135, "" |"")"),1133.0)</f>
        <v>1133</v>
      </c>
      <c r="G1139" s="19">
        <f>IFERROR(__xludf.DUMMYFUNCTION("""COMPUTED_VALUE"""),0.00232)</f>
        <v>0.00232</v>
      </c>
      <c r="H1139" s="19" t="str">
        <f>IFERROR(__xludf.DUMMYFUNCTION("""COMPUTED_VALUE"""),"-")</f>
        <v>-</v>
      </c>
      <c r="I1139" s="19">
        <f>IFERROR(__xludf.DUMMYFUNCTION("""COMPUTED_VALUE"""),0.00221)</f>
        <v>0.00221</v>
      </c>
      <c r="J1139" s="19">
        <f>IFERROR(__xludf.DUMMYFUNCTION("""COMPUTED_VALUE"""),0.04749)</f>
        <v>0.04749</v>
      </c>
      <c r="K1139" s="19" t="str">
        <f>IFERROR(__xludf.DUMMYFUNCTION("""COMPUTED_VALUE"""),"-")</f>
        <v>-</v>
      </c>
      <c r="L1139" s="19" t="str">
        <f>IFERROR(__xludf.DUMMYFUNCTION("""COMPUTED_VALUE"""),"-")</f>
        <v>-</v>
      </c>
      <c r="O1139" s="24">
        <f t="shared" si="4"/>
        <v>0</v>
      </c>
      <c r="P1139" s="24"/>
      <c r="Q1139" s="24">
        <f t="shared" si="6"/>
        <v>0</v>
      </c>
      <c r="R1139" s="24">
        <f t="shared" si="7"/>
        <v>0</v>
      </c>
      <c r="S1139" s="24"/>
      <c r="T1139" s="24"/>
    </row>
    <row r="1140">
      <c r="A1140" s="12" t="s">
        <v>1228</v>
      </c>
      <c r="F1140" s="19">
        <f>IFERROR(__xludf.DUMMYFUNCTION("SPLIT(A1136, "" |"")"),1134.0)</f>
        <v>1134</v>
      </c>
      <c r="G1140" s="19">
        <f>IFERROR(__xludf.DUMMYFUNCTION("""COMPUTED_VALUE"""),0.00232)</f>
        <v>0.00232</v>
      </c>
      <c r="H1140" s="19" t="str">
        <f>IFERROR(__xludf.DUMMYFUNCTION("""COMPUTED_VALUE"""),"-")</f>
        <v>-</v>
      </c>
      <c r="I1140" s="19">
        <f>IFERROR(__xludf.DUMMYFUNCTION("""COMPUTED_VALUE"""),0.00222)</f>
        <v>0.00222</v>
      </c>
      <c r="J1140" s="19">
        <f>IFERROR(__xludf.DUMMYFUNCTION("""COMPUTED_VALUE"""),0.04315)</f>
        <v>0.04315</v>
      </c>
      <c r="K1140" s="19" t="str">
        <f>IFERROR(__xludf.DUMMYFUNCTION("""COMPUTED_VALUE"""),"-")</f>
        <v>-</v>
      </c>
      <c r="L1140" s="19" t="str">
        <f>IFERROR(__xludf.DUMMYFUNCTION("""COMPUTED_VALUE"""),"-")</f>
        <v>-</v>
      </c>
      <c r="O1140" s="24">
        <f t="shared" si="4"/>
        <v>0</v>
      </c>
      <c r="P1140" s="24"/>
      <c r="Q1140" s="24">
        <f t="shared" si="6"/>
        <v>0</v>
      </c>
      <c r="R1140" s="24">
        <f t="shared" si="7"/>
        <v>1</v>
      </c>
      <c r="S1140" s="24"/>
      <c r="T1140" s="24"/>
    </row>
    <row r="1141">
      <c r="A1141" s="12" t="s">
        <v>1229</v>
      </c>
      <c r="F1141" s="19">
        <f>IFERROR(__xludf.DUMMYFUNCTION("SPLIT(A1137, "" |"")"),1135.0)</f>
        <v>1135</v>
      </c>
      <c r="G1141" s="19">
        <f>IFERROR(__xludf.DUMMYFUNCTION("""COMPUTED_VALUE"""),0.00235)</f>
        <v>0.00235</v>
      </c>
      <c r="H1141" s="19" t="str">
        <f>IFERROR(__xludf.DUMMYFUNCTION("""COMPUTED_VALUE"""),"-")</f>
        <v>-</v>
      </c>
      <c r="I1141" s="19">
        <f>IFERROR(__xludf.DUMMYFUNCTION("""COMPUTED_VALUE"""),0.00221)</f>
        <v>0.00221</v>
      </c>
      <c r="J1141" s="19">
        <f>IFERROR(__xludf.DUMMYFUNCTION("""COMPUTED_VALUE"""),0.04387)</f>
        <v>0.04387</v>
      </c>
      <c r="K1141" s="19" t="str">
        <f>IFERROR(__xludf.DUMMYFUNCTION("""COMPUTED_VALUE"""),"-")</f>
        <v>-</v>
      </c>
      <c r="L1141" s="19" t="str">
        <f>IFERROR(__xludf.DUMMYFUNCTION("""COMPUTED_VALUE"""),"-")</f>
        <v>-</v>
      </c>
      <c r="O1141" s="24">
        <f t="shared" si="4"/>
        <v>0</v>
      </c>
      <c r="P1141" s="24"/>
      <c r="Q1141" s="24">
        <f t="shared" si="6"/>
        <v>0</v>
      </c>
      <c r="R1141" s="24">
        <f t="shared" si="7"/>
        <v>1</v>
      </c>
      <c r="S1141" s="24"/>
      <c r="T1141" s="24"/>
    </row>
    <row r="1142">
      <c r="A1142" s="12" t="s">
        <v>1230</v>
      </c>
      <c r="F1142" s="19">
        <f>IFERROR(__xludf.DUMMYFUNCTION("SPLIT(A1138, "" |"")"),1136.0)</f>
        <v>1136</v>
      </c>
      <c r="G1142" s="19">
        <f>IFERROR(__xludf.DUMMYFUNCTION("""COMPUTED_VALUE"""),0.00247)</f>
        <v>0.00247</v>
      </c>
      <c r="H1142" s="19" t="str">
        <f>IFERROR(__xludf.DUMMYFUNCTION("""COMPUTED_VALUE"""),"-")</f>
        <v>-</v>
      </c>
      <c r="I1142" s="19">
        <f>IFERROR(__xludf.DUMMYFUNCTION("""COMPUTED_VALUE"""),0.00221)</f>
        <v>0.00221</v>
      </c>
      <c r="J1142" s="19">
        <f>IFERROR(__xludf.DUMMYFUNCTION("""COMPUTED_VALUE"""),0.04742)</f>
        <v>0.04742</v>
      </c>
      <c r="K1142" s="19" t="str">
        <f>IFERROR(__xludf.DUMMYFUNCTION("""COMPUTED_VALUE"""),"-")</f>
        <v>-</v>
      </c>
      <c r="L1142" s="19" t="str">
        <f>IFERROR(__xludf.DUMMYFUNCTION("""COMPUTED_VALUE"""),"-")</f>
        <v>-</v>
      </c>
      <c r="O1142" s="24">
        <f t="shared" si="4"/>
        <v>0</v>
      </c>
      <c r="P1142" s="24"/>
      <c r="Q1142" s="24">
        <f t="shared" si="6"/>
        <v>0</v>
      </c>
      <c r="R1142" s="24">
        <f t="shared" si="7"/>
        <v>0</v>
      </c>
      <c r="S1142" s="24"/>
      <c r="T1142" s="24"/>
    </row>
    <row r="1143">
      <c r="A1143" s="12" t="s">
        <v>1231</v>
      </c>
      <c r="F1143" s="19">
        <f>IFERROR(__xludf.DUMMYFUNCTION("SPLIT(A1139, "" |"")"),1137.0)</f>
        <v>1137</v>
      </c>
      <c r="G1143" s="19">
        <f>IFERROR(__xludf.DUMMYFUNCTION("""COMPUTED_VALUE"""),0.00238)</f>
        <v>0.00238</v>
      </c>
      <c r="H1143" s="19" t="str">
        <f>IFERROR(__xludf.DUMMYFUNCTION("""COMPUTED_VALUE"""),"-")</f>
        <v>-</v>
      </c>
      <c r="I1143" s="19">
        <f>IFERROR(__xludf.DUMMYFUNCTION("""COMPUTED_VALUE"""),0.00223)</f>
        <v>0.00223</v>
      </c>
      <c r="J1143" s="19">
        <f>IFERROR(__xludf.DUMMYFUNCTION("""COMPUTED_VALUE"""),0.04749)</f>
        <v>0.04749</v>
      </c>
      <c r="K1143" s="19" t="str">
        <f>IFERROR(__xludf.DUMMYFUNCTION("""COMPUTED_VALUE"""),"-")</f>
        <v>-</v>
      </c>
      <c r="L1143" s="19" t="str">
        <f>IFERROR(__xludf.DUMMYFUNCTION("""COMPUTED_VALUE"""),"-")</f>
        <v>-</v>
      </c>
      <c r="O1143" s="24">
        <f t="shared" si="4"/>
        <v>0</v>
      </c>
      <c r="P1143" s="24"/>
      <c r="Q1143" s="24">
        <f t="shared" si="6"/>
        <v>0</v>
      </c>
      <c r="R1143" s="24">
        <f t="shared" si="7"/>
        <v>0</v>
      </c>
      <c r="S1143" s="24"/>
      <c r="T1143" s="24"/>
    </row>
    <row r="1144">
      <c r="A1144" s="12" t="s">
        <v>1232</v>
      </c>
      <c r="F1144" s="19">
        <f>IFERROR(__xludf.DUMMYFUNCTION("SPLIT(A1140, "" |"")"),1138.0)</f>
        <v>1138</v>
      </c>
      <c r="G1144" s="19">
        <f>IFERROR(__xludf.DUMMYFUNCTION("""COMPUTED_VALUE"""),0.00233)</f>
        <v>0.00233</v>
      </c>
      <c r="H1144" s="19" t="str">
        <f>IFERROR(__xludf.DUMMYFUNCTION("""COMPUTED_VALUE"""),"-")</f>
        <v>-</v>
      </c>
      <c r="I1144" s="19">
        <f>IFERROR(__xludf.DUMMYFUNCTION("""COMPUTED_VALUE"""),0.00228)</f>
        <v>0.00228</v>
      </c>
      <c r="J1144" s="19">
        <f>IFERROR(__xludf.DUMMYFUNCTION("""COMPUTED_VALUE"""),0.04436)</f>
        <v>0.04436</v>
      </c>
      <c r="K1144" s="19" t="str">
        <f>IFERROR(__xludf.DUMMYFUNCTION("""COMPUTED_VALUE"""),"-")</f>
        <v>-</v>
      </c>
      <c r="L1144" s="19" t="str">
        <f>IFERROR(__xludf.DUMMYFUNCTION("""COMPUTED_VALUE"""),"-")</f>
        <v>-</v>
      </c>
      <c r="O1144" s="24">
        <f t="shared" si="4"/>
        <v>0</v>
      </c>
      <c r="P1144" s="24"/>
      <c r="Q1144" s="24">
        <f t="shared" si="6"/>
        <v>0</v>
      </c>
      <c r="R1144" s="24">
        <f t="shared" si="7"/>
        <v>1</v>
      </c>
      <c r="S1144" s="24"/>
      <c r="T1144" s="24"/>
    </row>
    <row r="1145">
      <c r="A1145" s="12" t="s">
        <v>1233</v>
      </c>
      <c r="F1145" s="19">
        <f>IFERROR(__xludf.DUMMYFUNCTION("SPLIT(A1141, "" |"")"),1139.0)</f>
        <v>1139</v>
      </c>
      <c r="G1145" s="19">
        <f>IFERROR(__xludf.DUMMYFUNCTION("""COMPUTED_VALUE"""),0.00229)</f>
        <v>0.00229</v>
      </c>
      <c r="H1145" s="19" t="str">
        <f>IFERROR(__xludf.DUMMYFUNCTION("""COMPUTED_VALUE"""),"-")</f>
        <v>-</v>
      </c>
      <c r="I1145" s="19">
        <f>IFERROR(__xludf.DUMMYFUNCTION("""COMPUTED_VALUE"""),0.00215)</f>
        <v>0.00215</v>
      </c>
      <c r="J1145" s="19">
        <f>IFERROR(__xludf.DUMMYFUNCTION("""COMPUTED_VALUE"""),0.04747)</f>
        <v>0.04747</v>
      </c>
      <c r="K1145" s="19" t="str">
        <f>IFERROR(__xludf.DUMMYFUNCTION("""COMPUTED_VALUE"""),"-")</f>
        <v>-</v>
      </c>
      <c r="L1145" s="19" t="str">
        <f>IFERROR(__xludf.DUMMYFUNCTION("""COMPUTED_VALUE"""),"-")</f>
        <v>-</v>
      </c>
      <c r="O1145" s="24">
        <f t="shared" si="4"/>
        <v>0</v>
      </c>
      <c r="P1145" s="24"/>
      <c r="Q1145" s="24">
        <f t="shared" si="6"/>
        <v>0</v>
      </c>
      <c r="R1145" s="24">
        <f t="shared" si="7"/>
        <v>0</v>
      </c>
      <c r="S1145" s="24"/>
      <c r="T1145" s="24"/>
    </row>
    <row r="1146">
      <c r="A1146" s="12" t="s">
        <v>1234</v>
      </c>
      <c r="F1146" s="19">
        <f>IFERROR(__xludf.DUMMYFUNCTION("SPLIT(A1142, "" |"")"),1140.0)</f>
        <v>1140</v>
      </c>
      <c r="G1146" s="19">
        <f>IFERROR(__xludf.DUMMYFUNCTION("""COMPUTED_VALUE"""),0.00243)</f>
        <v>0.00243</v>
      </c>
      <c r="H1146" s="19" t="str">
        <f>IFERROR(__xludf.DUMMYFUNCTION("""COMPUTED_VALUE"""),"-")</f>
        <v>-</v>
      </c>
      <c r="I1146" s="19">
        <f>IFERROR(__xludf.DUMMYFUNCTION("""COMPUTED_VALUE"""),0.00218)</f>
        <v>0.00218</v>
      </c>
      <c r="J1146" s="19">
        <f>IFERROR(__xludf.DUMMYFUNCTION("""COMPUTED_VALUE"""),0.04745)</f>
        <v>0.04745</v>
      </c>
      <c r="K1146" s="19" t="str">
        <f>IFERROR(__xludf.DUMMYFUNCTION("""COMPUTED_VALUE"""),"-")</f>
        <v>-</v>
      </c>
      <c r="L1146" s="19" t="str">
        <f>IFERROR(__xludf.DUMMYFUNCTION("""COMPUTED_VALUE"""),"-")</f>
        <v>-</v>
      </c>
      <c r="O1146" s="24">
        <f t="shared" si="4"/>
        <v>0</v>
      </c>
      <c r="P1146" s="24"/>
      <c r="Q1146" s="24">
        <f t="shared" si="6"/>
        <v>0</v>
      </c>
      <c r="R1146" s="24">
        <f t="shared" si="7"/>
        <v>0</v>
      </c>
      <c r="S1146" s="24"/>
      <c r="T1146" s="24"/>
    </row>
    <row r="1147">
      <c r="A1147" s="12" t="s">
        <v>1235</v>
      </c>
      <c r="F1147" s="19">
        <f>IFERROR(__xludf.DUMMYFUNCTION("SPLIT(A1143, "" |"")"),1141.0)</f>
        <v>1141</v>
      </c>
      <c r="G1147" s="19">
        <f>IFERROR(__xludf.DUMMYFUNCTION("""COMPUTED_VALUE"""),0.00239)</f>
        <v>0.00239</v>
      </c>
      <c r="H1147" s="19" t="str">
        <f>IFERROR(__xludf.DUMMYFUNCTION("""COMPUTED_VALUE"""),"-")</f>
        <v>-</v>
      </c>
      <c r="I1147" s="19">
        <f>IFERROR(__xludf.DUMMYFUNCTION("""COMPUTED_VALUE"""),0.00229)</f>
        <v>0.00229</v>
      </c>
      <c r="J1147" s="19">
        <f>IFERROR(__xludf.DUMMYFUNCTION("""COMPUTED_VALUE"""),0.0475)</f>
        <v>0.0475</v>
      </c>
      <c r="K1147" s="19" t="str">
        <f>IFERROR(__xludf.DUMMYFUNCTION("""COMPUTED_VALUE"""),"-")</f>
        <v>-</v>
      </c>
      <c r="L1147" s="19" t="str">
        <f>IFERROR(__xludf.DUMMYFUNCTION("""COMPUTED_VALUE"""),"-")</f>
        <v>-</v>
      </c>
      <c r="O1147" s="24">
        <f t="shared" si="4"/>
        <v>0</v>
      </c>
      <c r="P1147" s="24"/>
      <c r="Q1147" s="24">
        <f t="shared" si="6"/>
        <v>0</v>
      </c>
      <c r="R1147" s="24">
        <f t="shared" si="7"/>
        <v>0</v>
      </c>
      <c r="S1147" s="24"/>
      <c r="T1147" s="24"/>
    </row>
    <row r="1148">
      <c r="A1148" s="12" t="s">
        <v>1236</v>
      </c>
      <c r="F1148" s="19">
        <f>IFERROR(__xludf.DUMMYFUNCTION("SPLIT(A1144, "" |"")"),1142.0)</f>
        <v>1142</v>
      </c>
      <c r="G1148" s="19">
        <f>IFERROR(__xludf.DUMMYFUNCTION("""COMPUTED_VALUE"""),0.00236)</f>
        <v>0.00236</v>
      </c>
      <c r="H1148" s="19" t="str">
        <f>IFERROR(__xludf.DUMMYFUNCTION("""COMPUTED_VALUE"""),"-")</f>
        <v>-</v>
      </c>
      <c r="I1148" s="19">
        <f>IFERROR(__xludf.DUMMYFUNCTION("""COMPUTED_VALUE"""),0.00223)</f>
        <v>0.00223</v>
      </c>
      <c r="J1148" s="19">
        <f>IFERROR(__xludf.DUMMYFUNCTION("""COMPUTED_VALUE"""),0.04105)</f>
        <v>0.04105</v>
      </c>
      <c r="K1148" s="19" t="str">
        <f>IFERROR(__xludf.DUMMYFUNCTION("""COMPUTED_VALUE"""),"-")</f>
        <v>-</v>
      </c>
      <c r="L1148" s="19" t="str">
        <f>IFERROR(__xludf.DUMMYFUNCTION("""COMPUTED_VALUE"""),"-")</f>
        <v>-</v>
      </c>
      <c r="O1148" s="24">
        <f t="shared" si="4"/>
        <v>0</v>
      </c>
      <c r="P1148" s="24"/>
      <c r="Q1148" s="24">
        <f t="shared" si="6"/>
        <v>0</v>
      </c>
      <c r="R1148" s="24">
        <f t="shared" si="7"/>
        <v>1</v>
      </c>
      <c r="S1148" s="24"/>
      <c r="T1148" s="24"/>
    </row>
    <row r="1149">
      <c r="A1149" s="12" t="s">
        <v>1237</v>
      </c>
      <c r="F1149" s="19">
        <f>IFERROR(__xludf.DUMMYFUNCTION("SPLIT(A1145, "" |"")"),1143.0)</f>
        <v>1143</v>
      </c>
      <c r="G1149" s="19">
        <f>IFERROR(__xludf.DUMMYFUNCTION("""COMPUTED_VALUE"""),0.00231)</f>
        <v>0.00231</v>
      </c>
      <c r="H1149" s="19" t="str">
        <f>IFERROR(__xludf.DUMMYFUNCTION("""COMPUTED_VALUE"""),"-")</f>
        <v>-</v>
      </c>
      <c r="I1149" s="19">
        <f>IFERROR(__xludf.DUMMYFUNCTION("""COMPUTED_VALUE"""),0.00218)</f>
        <v>0.00218</v>
      </c>
      <c r="J1149" s="19">
        <f>IFERROR(__xludf.DUMMYFUNCTION("""COMPUTED_VALUE"""),0.04733)</f>
        <v>0.04733</v>
      </c>
      <c r="K1149" s="19" t="str">
        <f>IFERROR(__xludf.DUMMYFUNCTION("""COMPUTED_VALUE"""),"-")</f>
        <v>-</v>
      </c>
      <c r="L1149" s="19" t="str">
        <f>IFERROR(__xludf.DUMMYFUNCTION("""COMPUTED_VALUE"""),"-")</f>
        <v>-</v>
      </c>
      <c r="O1149" s="24">
        <f t="shared" si="4"/>
        <v>0</v>
      </c>
      <c r="P1149" s="24"/>
      <c r="Q1149" s="24">
        <f t="shared" si="6"/>
        <v>0</v>
      </c>
      <c r="R1149" s="24">
        <f t="shared" si="7"/>
        <v>0</v>
      </c>
      <c r="S1149" s="24"/>
      <c r="T1149" s="24"/>
    </row>
    <row r="1150">
      <c r="A1150" s="12" t="s">
        <v>1238</v>
      </c>
      <c r="F1150" s="19">
        <f>IFERROR(__xludf.DUMMYFUNCTION("SPLIT(A1146, "" |"")"),1144.0)</f>
        <v>1144</v>
      </c>
      <c r="G1150" s="19">
        <f>IFERROR(__xludf.DUMMYFUNCTION("""COMPUTED_VALUE"""),0.00239)</f>
        <v>0.00239</v>
      </c>
      <c r="H1150" s="19" t="str">
        <f>IFERROR(__xludf.DUMMYFUNCTION("""COMPUTED_VALUE"""),"-")</f>
        <v>-</v>
      </c>
      <c r="I1150" s="19">
        <f>IFERROR(__xludf.DUMMYFUNCTION("""COMPUTED_VALUE"""),0.00224)</f>
        <v>0.00224</v>
      </c>
      <c r="J1150" s="19">
        <f>IFERROR(__xludf.DUMMYFUNCTION("""COMPUTED_VALUE"""),0.04753)</f>
        <v>0.04753</v>
      </c>
      <c r="K1150" s="19" t="str">
        <f>IFERROR(__xludf.DUMMYFUNCTION("""COMPUTED_VALUE"""),"-")</f>
        <v>-</v>
      </c>
      <c r="L1150" s="19" t="str">
        <f>IFERROR(__xludf.DUMMYFUNCTION("""COMPUTED_VALUE"""),"-")</f>
        <v>-</v>
      </c>
      <c r="O1150" s="24">
        <f t="shared" si="4"/>
        <v>0</v>
      </c>
      <c r="P1150" s="24"/>
      <c r="Q1150" s="24">
        <f t="shared" si="6"/>
        <v>0</v>
      </c>
      <c r="R1150" s="24">
        <f t="shared" si="7"/>
        <v>0</v>
      </c>
      <c r="S1150" s="24"/>
      <c r="T1150" s="24"/>
    </row>
    <row r="1151">
      <c r="A1151" s="12" t="s">
        <v>1239</v>
      </c>
      <c r="F1151" s="19">
        <f>IFERROR(__xludf.DUMMYFUNCTION("SPLIT(A1147, "" |"")"),1145.0)</f>
        <v>1145</v>
      </c>
      <c r="G1151" s="19">
        <f>IFERROR(__xludf.DUMMYFUNCTION("""COMPUTED_VALUE"""),0.00234)</f>
        <v>0.00234</v>
      </c>
      <c r="H1151" s="19" t="str">
        <f>IFERROR(__xludf.DUMMYFUNCTION("""COMPUTED_VALUE"""),"-")</f>
        <v>-</v>
      </c>
      <c r="I1151" s="19">
        <f>IFERROR(__xludf.DUMMYFUNCTION("""COMPUTED_VALUE"""),0.0022)</f>
        <v>0.0022</v>
      </c>
      <c r="J1151" s="19">
        <f>IFERROR(__xludf.DUMMYFUNCTION("""COMPUTED_VALUE"""),0.0474)</f>
        <v>0.0474</v>
      </c>
      <c r="K1151" s="19" t="str">
        <f>IFERROR(__xludf.DUMMYFUNCTION("""COMPUTED_VALUE"""),"-")</f>
        <v>-</v>
      </c>
      <c r="L1151" s="19" t="str">
        <f>IFERROR(__xludf.DUMMYFUNCTION("""COMPUTED_VALUE"""),"-")</f>
        <v>-</v>
      </c>
      <c r="O1151" s="24">
        <f t="shared" si="4"/>
        <v>0</v>
      </c>
      <c r="P1151" s="24"/>
      <c r="Q1151" s="24">
        <f t="shared" si="6"/>
        <v>0</v>
      </c>
      <c r="R1151" s="24">
        <f t="shared" si="7"/>
        <v>0</v>
      </c>
      <c r="S1151" s="24"/>
      <c r="T1151" s="24"/>
    </row>
    <row r="1152">
      <c r="A1152" s="12" t="s">
        <v>1240</v>
      </c>
      <c r="F1152" s="19">
        <f>IFERROR(__xludf.DUMMYFUNCTION("SPLIT(A1148, "" |"")"),1146.0)</f>
        <v>1146</v>
      </c>
      <c r="G1152" s="19">
        <f>IFERROR(__xludf.DUMMYFUNCTION("""COMPUTED_VALUE"""),0.00233)</f>
        <v>0.00233</v>
      </c>
      <c r="H1152" s="19" t="str">
        <f>IFERROR(__xludf.DUMMYFUNCTION("""COMPUTED_VALUE"""),"-")</f>
        <v>-</v>
      </c>
      <c r="I1152" s="19">
        <f>IFERROR(__xludf.DUMMYFUNCTION("""COMPUTED_VALUE"""),0.00224)</f>
        <v>0.00224</v>
      </c>
      <c r="J1152" s="19">
        <f>IFERROR(__xludf.DUMMYFUNCTION("""COMPUTED_VALUE"""),0.0474)</f>
        <v>0.0474</v>
      </c>
      <c r="K1152" s="19" t="str">
        <f>IFERROR(__xludf.DUMMYFUNCTION("""COMPUTED_VALUE"""),"-")</f>
        <v>-</v>
      </c>
      <c r="L1152" s="19" t="str">
        <f>IFERROR(__xludf.DUMMYFUNCTION("""COMPUTED_VALUE"""),"-")</f>
        <v>-</v>
      </c>
      <c r="O1152" s="24">
        <f t="shared" si="4"/>
        <v>0</v>
      </c>
      <c r="P1152" s="24"/>
      <c r="Q1152" s="24">
        <f t="shared" si="6"/>
        <v>0</v>
      </c>
      <c r="R1152" s="24">
        <f t="shared" si="7"/>
        <v>0</v>
      </c>
      <c r="S1152" s="24"/>
      <c r="T1152" s="24"/>
    </row>
    <row r="1153">
      <c r="A1153" s="12" t="s">
        <v>1241</v>
      </c>
      <c r="F1153" s="19">
        <f>IFERROR(__xludf.DUMMYFUNCTION("SPLIT(A1149, "" |"")"),1147.0)</f>
        <v>1147</v>
      </c>
      <c r="G1153" s="19">
        <f>IFERROR(__xludf.DUMMYFUNCTION("""COMPUTED_VALUE"""),0.00237)</f>
        <v>0.00237</v>
      </c>
      <c r="H1153" s="19" t="str">
        <f>IFERROR(__xludf.DUMMYFUNCTION("""COMPUTED_VALUE"""),"-")</f>
        <v>-</v>
      </c>
      <c r="I1153" s="19">
        <f>IFERROR(__xludf.DUMMYFUNCTION("""COMPUTED_VALUE"""),0.00224)</f>
        <v>0.00224</v>
      </c>
      <c r="J1153" s="19">
        <f>IFERROR(__xludf.DUMMYFUNCTION("""COMPUTED_VALUE"""),0.04751)</f>
        <v>0.04751</v>
      </c>
      <c r="K1153" s="19" t="str">
        <f>IFERROR(__xludf.DUMMYFUNCTION("""COMPUTED_VALUE"""),"-")</f>
        <v>-</v>
      </c>
      <c r="L1153" s="19" t="str">
        <f>IFERROR(__xludf.DUMMYFUNCTION("""COMPUTED_VALUE"""),"-")</f>
        <v>-</v>
      </c>
      <c r="O1153" s="24">
        <f t="shared" si="4"/>
        <v>0</v>
      </c>
      <c r="P1153" s="24"/>
      <c r="Q1153" s="24">
        <f t="shared" si="6"/>
        <v>0</v>
      </c>
      <c r="R1153" s="24">
        <f t="shared" si="7"/>
        <v>0</v>
      </c>
      <c r="S1153" s="24"/>
      <c r="T1153" s="24"/>
    </row>
    <row r="1154">
      <c r="A1154" s="12" t="s">
        <v>1242</v>
      </c>
      <c r="F1154" s="19">
        <f>IFERROR(__xludf.DUMMYFUNCTION("SPLIT(A1150, "" |"")"),1148.0)</f>
        <v>1148</v>
      </c>
      <c r="G1154" s="19">
        <f>IFERROR(__xludf.DUMMYFUNCTION("""COMPUTED_VALUE"""),0.00243)</f>
        <v>0.00243</v>
      </c>
      <c r="H1154" s="19" t="str">
        <f>IFERROR(__xludf.DUMMYFUNCTION("""COMPUTED_VALUE"""),"-")</f>
        <v>-</v>
      </c>
      <c r="I1154" s="19">
        <f>IFERROR(__xludf.DUMMYFUNCTION("""COMPUTED_VALUE"""),0.0021)</f>
        <v>0.0021</v>
      </c>
      <c r="J1154" s="19">
        <f>IFERROR(__xludf.DUMMYFUNCTION("""COMPUTED_VALUE"""),0.04535)</f>
        <v>0.04535</v>
      </c>
      <c r="K1154" s="19" t="str">
        <f>IFERROR(__xludf.DUMMYFUNCTION("""COMPUTED_VALUE"""),"-")</f>
        <v>-</v>
      </c>
      <c r="L1154" s="19" t="str">
        <f>IFERROR(__xludf.DUMMYFUNCTION("""COMPUTED_VALUE"""),"-")</f>
        <v>-</v>
      </c>
      <c r="O1154" s="24">
        <f t="shared" si="4"/>
        <v>0</v>
      </c>
      <c r="P1154" s="24"/>
      <c r="Q1154" s="24">
        <f t="shared" si="6"/>
        <v>0</v>
      </c>
      <c r="R1154" s="24">
        <f t="shared" si="7"/>
        <v>0</v>
      </c>
      <c r="S1154" s="24"/>
      <c r="T1154" s="24"/>
    </row>
    <row r="1155">
      <c r="A1155" s="12" t="s">
        <v>1243</v>
      </c>
      <c r="F1155" s="19">
        <f>IFERROR(__xludf.DUMMYFUNCTION("SPLIT(A1151, "" |"")"),1149.0)</f>
        <v>1149</v>
      </c>
      <c r="G1155" s="19">
        <f>IFERROR(__xludf.DUMMYFUNCTION("""COMPUTED_VALUE"""),0.00224)</f>
        <v>0.00224</v>
      </c>
      <c r="H1155" s="19" t="str">
        <f>IFERROR(__xludf.DUMMYFUNCTION("""COMPUTED_VALUE"""),"-")</f>
        <v>-</v>
      </c>
      <c r="I1155" s="19">
        <f>IFERROR(__xludf.DUMMYFUNCTION("""COMPUTED_VALUE"""),0.00209)</f>
        <v>0.00209</v>
      </c>
      <c r="J1155" s="19">
        <f>IFERROR(__xludf.DUMMYFUNCTION("""COMPUTED_VALUE"""),0.04734)</f>
        <v>0.04734</v>
      </c>
      <c r="K1155" s="19" t="str">
        <f>IFERROR(__xludf.DUMMYFUNCTION("""COMPUTED_VALUE"""),"-")</f>
        <v>-</v>
      </c>
      <c r="L1155" s="19" t="str">
        <f>IFERROR(__xludf.DUMMYFUNCTION("""COMPUTED_VALUE"""),"-")</f>
        <v>-</v>
      </c>
      <c r="O1155" s="24">
        <f t="shared" si="4"/>
        <v>0</v>
      </c>
      <c r="P1155" s="24"/>
      <c r="Q1155" s="24">
        <f t="shared" si="6"/>
        <v>0</v>
      </c>
      <c r="R1155" s="24">
        <f t="shared" si="7"/>
        <v>0</v>
      </c>
      <c r="S1155" s="24"/>
      <c r="T1155" s="24"/>
    </row>
    <row r="1156">
      <c r="A1156" s="12" t="s">
        <v>1244</v>
      </c>
      <c r="F1156" s="19">
        <f>IFERROR(__xludf.DUMMYFUNCTION("SPLIT(A1152, "" |"")"),1150.0)</f>
        <v>1150</v>
      </c>
      <c r="G1156" s="19">
        <f>IFERROR(__xludf.DUMMYFUNCTION("""COMPUTED_VALUE"""),0.00231)</f>
        <v>0.00231</v>
      </c>
      <c r="H1156" s="19" t="str">
        <f>IFERROR(__xludf.DUMMYFUNCTION("""COMPUTED_VALUE"""),"-")</f>
        <v>-</v>
      </c>
      <c r="I1156" s="19">
        <f>IFERROR(__xludf.DUMMYFUNCTION("""COMPUTED_VALUE"""),0.00226)</f>
        <v>0.00226</v>
      </c>
      <c r="J1156" s="19">
        <f>IFERROR(__xludf.DUMMYFUNCTION("""COMPUTED_VALUE"""),0.04697)</f>
        <v>0.04697</v>
      </c>
      <c r="K1156" s="19" t="str">
        <f>IFERROR(__xludf.DUMMYFUNCTION("""COMPUTED_VALUE"""),"-")</f>
        <v>-</v>
      </c>
      <c r="L1156" s="19" t="str">
        <f>IFERROR(__xludf.DUMMYFUNCTION("""COMPUTED_VALUE"""),"-")</f>
        <v>-</v>
      </c>
      <c r="O1156" s="24">
        <f t="shared" si="4"/>
        <v>0</v>
      </c>
      <c r="P1156" s="24"/>
      <c r="Q1156" s="24">
        <f t="shared" si="6"/>
        <v>0</v>
      </c>
      <c r="R1156" s="24">
        <f t="shared" si="7"/>
        <v>0</v>
      </c>
      <c r="S1156" s="24"/>
      <c r="T1156" s="24"/>
    </row>
    <row r="1157">
      <c r="A1157" s="12" t="s">
        <v>1245</v>
      </c>
      <c r="F1157" s="19">
        <f>IFERROR(__xludf.DUMMYFUNCTION("SPLIT(A1153, "" |"")"),1151.0)</f>
        <v>1151</v>
      </c>
      <c r="G1157" s="19">
        <f>IFERROR(__xludf.DUMMYFUNCTION("""COMPUTED_VALUE"""),0.00226)</f>
        <v>0.00226</v>
      </c>
      <c r="H1157" s="19" t="str">
        <f>IFERROR(__xludf.DUMMYFUNCTION("""COMPUTED_VALUE"""),"-")</f>
        <v>-</v>
      </c>
      <c r="I1157" s="19">
        <f>IFERROR(__xludf.DUMMYFUNCTION("""COMPUTED_VALUE"""),0.00212)</f>
        <v>0.00212</v>
      </c>
      <c r="J1157" s="19">
        <f>IFERROR(__xludf.DUMMYFUNCTION("""COMPUTED_VALUE"""),0.04733)</f>
        <v>0.04733</v>
      </c>
      <c r="K1157" s="19" t="str">
        <f>IFERROR(__xludf.DUMMYFUNCTION("""COMPUTED_VALUE"""),"-")</f>
        <v>-</v>
      </c>
      <c r="L1157" s="19" t="str">
        <f>IFERROR(__xludf.DUMMYFUNCTION("""COMPUTED_VALUE"""),"-")</f>
        <v>-</v>
      </c>
      <c r="O1157" s="24">
        <f t="shared" si="4"/>
        <v>0</v>
      </c>
      <c r="P1157" s="24"/>
      <c r="Q1157" s="24">
        <f t="shared" si="6"/>
        <v>0</v>
      </c>
      <c r="R1157" s="24">
        <f t="shared" si="7"/>
        <v>0</v>
      </c>
      <c r="S1157" s="24"/>
      <c r="T1157" s="24"/>
    </row>
    <row r="1158">
      <c r="A1158" s="12" t="s">
        <v>1246</v>
      </c>
      <c r="F1158" s="19">
        <f>IFERROR(__xludf.DUMMYFUNCTION("SPLIT(A1154, "" |"")"),1152.0)</f>
        <v>1152</v>
      </c>
      <c r="G1158" s="19">
        <f>IFERROR(__xludf.DUMMYFUNCTION("""COMPUTED_VALUE"""),0.00237)</f>
        <v>0.00237</v>
      </c>
      <c r="H1158" s="19" t="str">
        <f>IFERROR(__xludf.DUMMYFUNCTION("""COMPUTED_VALUE"""),"-")</f>
        <v>-</v>
      </c>
      <c r="I1158" s="19">
        <f>IFERROR(__xludf.DUMMYFUNCTION("""COMPUTED_VALUE"""),0.0021)</f>
        <v>0.0021</v>
      </c>
      <c r="J1158" s="19">
        <f>IFERROR(__xludf.DUMMYFUNCTION("""COMPUTED_VALUE"""),0.04731)</f>
        <v>0.04731</v>
      </c>
      <c r="K1158" s="19" t="str">
        <f>IFERROR(__xludf.DUMMYFUNCTION("""COMPUTED_VALUE"""),"-")</f>
        <v>-</v>
      </c>
      <c r="L1158" s="19" t="str">
        <f>IFERROR(__xludf.DUMMYFUNCTION("""COMPUTED_VALUE"""),"-")</f>
        <v>-</v>
      </c>
      <c r="O1158" s="24">
        <f t="shared" si="4"/>
        <v>0</v>
      </c>
      <c r="P1158" s="24"/>
      <c r="Q1158" s="24">
        <f t="shared" si="6"/>
        <v>0</v>
      </c>
      <c r="R1158" s="24">
        <f t="shared" si="7"/>
        <v>0</v>
      </c>
      <c r="S1158" s="24"/>
      <c r="T1158" s="24"/>
    </row>
    <row r="1159">
      <c r="A1159" s="12" t="s">
        <v>1247</v>
      </c>
      <c r="F1159" s="19">
        <f>IFERROR(__xludf.DUMMYFUNCTION("SPLIT(A1155, "" |"")"),1153.0)</f>
        <v>1153</v>
      </c>
      <c r="G1159" s="19">
        <f>IFERROR(__xludf.DUMMYFUNCTION("""COMPUTED_VALUE"""),0.00234)</f>
        <v>0.00234</v>
      </c>
      <c r="H1159" s="19" t="str">
        <f>IFERROR(__xludf.DUMMYFUNCTION("""COMPUTED_VALUE"""),"-")</f>
        <v>-</v>
      </c>
      <c r="I1159" s="19">
        <f>IFERROR(__xludf.DUMMYFUNCTION("""COMPUTED_VALUE"""),0.00223)</f>
        <v>0.00223</v>
      </c>
      <c r="J1159" s="19">
        <f>IFERROR(__xludf.DUMMYFUNCTION("""COMPUTED_VALUE"""),0.04568)</f>
        <v>0.04568</v>
      </c>
      <c r="K1159" s="19" t="str">
        <f>IFERROR(__xludf.DUMMYFUNCTION("""COMPUTED_VALUE"""),"-")</f>
        <v>-</v>
      </c>
      <c r="L1159" s="19" t="str">
        <f>IFERROR(__xludf.DUMMYFUNCTION("""COMPUTED_VALUE"""),"-")</f>
        <v>-</v>
      </c>
      <c r="O1159" s="24">
        <f t="shared" si="4"/>
        <v>0</v>
      </c>
      <c r="P1159" s="24"/>
      <c r="Q1159" s="24">
        <f t="shared" si="6"/>
        <v>0</v>
      </c>
      <c r="R1159" s="24">
        <f t="shared" si="7"/>
        <v>0</v>
      </c>
      <c r="S1159" s="24"/>
      <c r="T1159" s="24"/>
    </row>
    <row r="1160">
      <c r="A1160" s="12" t="s">
        <v>1248</v>
      </c>
      <c r="F1160" s="19">
        <f>IFERROR(__xludf.DUMMYFUNCTION("SPLIT(A1156, "" |"")"),1154.0)</f>
        <v>1154</v>
      </c>
      <c r="G1160" s="19">
        <f>IFERROR(__xludf.DUMMYFUNCTION("""COMPUTED_VALUE"""),0.00235)</f>
        <v>0.00235</v>
      </c>
      <c r="H1160" s="19" t="str">
        <f>IFERROR(__xludf.DUMMYFUNCTION("""COMPUTED_VALUE"""),"-")</f>
        <v>-</v>
      </c>
      <c r="I1160" s="19">
        <f>IFERROR(__xludf.DUMMYFUNCTION("""COMPUTED_VALUE"""),0.00223)</f>
        <v>0.00223</v>
      </c>
      <c r="J1160" s="19">
        <f>IFERROR(__xludf.DUMMYFUNCTION("""COMPUTED_VALUE"""),0.04744)</f>
        <v>0.04744</v>
      </c>
      <c r="K1160" s="19" t="str">
        <f>IFERROR(__xludf.DUMMYFUNCTION("""COMPUTED_VALUE"""),"-")</f>
        <v>-</v>
      </c>
      <c r="L1160" s="19" t="str">
        <f>IFERROR(__xludf.DUMMYFUNCTION("""COMPUTED_VALUE"""),"-")</f>
        <v>-</v>
      </c>
      <c r="O1160" s="24">
        <f t="shared" si="4"/>
        <v>0</v>
      </c>
      <c r="P1160" s="24"/>
      <c r="Q1160" s="24">
        <f t="shared" si="6"/>
        <v>0</v>
      </c>
      <c r="R1160" s="24">
        <f t="shared" si="7"/>
        <v>0</v>
      </c>
      <c r="S1160" s="24"/>
      <c r="T1160" s="24"/>
    </row>
    <row r="1161">
      <c r="A1161" s="12" t="s">
        <v>1249</v>
      </c>
      <c r="F1161" s="19">
        <f>IFERROR(__xludf.DUMMYFUNCTION("SPLIT(A1157, "" |"")"),1155.0)</f>
        <v>1155</v>
      </c>
      <c r="G1161" s="19">
        <f>IFERROR(__xludf.DUMMYFUNCTION("""COMPUTED_VALUE"""),0.00232)</f>
        <v>0.00232</v>
      </c>
      <c r="H1161" s="19" t="str">
        <f>IFERROR(__xludf.DUMMYFUNCTION("""COMPUTED_VALUE"""),"-")</f>
        <v>-</v>
      </c>
      <c r="I1161" s="19">
        <f>IFERROR(__xludf.DUMMYFUNCTION("""COMPUTED_VALUE"""),0.00221)</f>
        <v>0.00221</v>
      </c>
      <c r="J1161" s="19">
        <f>IFERROR(__xludf.DUMMYFUNCTION("""COMPUTED_VALUE"""),0.03954)</f>
        <v>0.03954</v>
      </c>
      <c r="K1161" s="19" t="str">
        <f>IFERROR(__xludf.DUMMYFUNCTION("""COMPUTED_VALUE"""),"-")</f>
        <v>-</v>
      </c>
      <c r="L1161" s="19" t="str">
        <f>IFERROR(__xludf.DUMMYFUNCTION("""COMPUTED_VALUE"""),"-")</f>
        <v>-</v>
      </c>
      <c r="O1161" s="24">
        <f t="shared" si="4"/>
        <v>0</v>
      </c>
      <c r="P1161" s="24"/>
      <c r="Q1161" s="24">
        <f t="shared" si="6"/>
        <v>0</v>
      </c>
      <c r="R1161" s="24">
        <f t="shared" si="7"/>
        <v>1</v>
      </c>
      <c r="S1161" s="24"/>
      <c r="T1161" s="24"/>
    </row>
    <row r="1162">
      <c r="A1162" s="12" t="s">
        <v>1250</v>
      </c>
      <c r="F1162" s="19">
        <f>IFERROR(__xludf.DUMMYFUNCTION("SPLIT(A1158, "" |"")"),1156.0)</f>
        <v>1156</v>
      </c>
      <c r="G1162" s="19">
        <f>IFERROR(__xludf.DUMMYFUNCTION("""COMPUTED_VALUE"""),0.00234)</f>
        <v>0.00234</v>
      </c>
      <c r="H1162" s="19" t="str">
        <f>IFERROR(__xludf.DUMMYFUNCTION("""COMPUTED_VALUE"""),"-")</f>
        <v>-</v>
      </c>
      <c r="I1162" s="19">
        <f>IFERROR(__xludf.DUMMYFUNCTION("""COMPUTED_VALUE"""),0.00225)</f>
        <v>0.00225</v>
      </c>
      <c r="J1162" s="19">
        <f>IFERROR(__xludf.DUMMYFUNCTION("""COMPUTED_VALUE"""),0.04753)</f>
        <v>0.04753</v>
      </c>
      <c r="K1162" s="19" t="str">
        <f>IFERROR(__xludf.DUMMYFUNCTION("""COMPUTED_VALUE"""),"-")</f>
        <v>-</v>
      </c>
      <c r="L1162" s="19" t="str">
        <f>IFERROR(__xludf.DUMMYFUNCTION("""COMPUTED_VALUE"""),"-")</f>
        <v>-</v>
      </c>
      <c r="O1162" s="24">
        <f t="shared" si="4"/>
        <v>0</v>
      </c>
      <c r="P1162" s="24"/>
      <c r="Q1162" s="24">
        <f t="shared" si="6"/>
        <v>0</v>
      </c>
      <c r="R1162" s="24">
        <f t="shared" si="7"/>
        <v>0</v>
      </c>
      <c r="S1162" s="24"/>
      <c r="T1162" s="24"/>
    </row>
    <row r="1163">
      <c r="A1163" s="12" t="s">
        <v>1251</v>
      </c>
      <c r="F1163" s="19">
        <f>IFERROR(__xludf.DUMMYFUNCTION("SPLIT(A1159, "" |"")"),1157.0)</f>
        <v>1157</v>
      </c>
      <c r="G1163" s="19">
        <f>IFERROR(__xludf.DUMMYFUNCTION("""COMPUTED_VALUE"""),0.00238)</f>
        <v>0.00238</v>
      </c>
      <c r="H1163" s="19" t="str">
        <f>IFERROR(__xludf.DUMMYFUNCTION("""COMPUTED_VALUE"""),"-")</f>
        <v>-</v>
      </c>
      <c r="I1163" s="19">
        <f>IFERROR(__xludf.DUMMYFUNCTION("""COMPUTED_VALUE"""),0.00221)</f>
        <v>0.00221</v>
      </c>
      <c r="J1163" s="19">
        <f>IFERROR(__xludf.DUMMYFUNCTION("""COMPUTED_VALUE"""),0.04742)</f>
        <v>0.04742</v>
      </c>
      <c r="K1163" s="19" t="str">
        <f>IFERROR(__xludf.DUMMYFUNCTION("""COMPUTED_VALUE"""),"-")</f>
        <v>-</v>
      </c>
      <c r="L1163" s="19" t="str">
        <f>IFERROR(__xludf.DUMMYFUNCTION("""COMPUTED_VALUE"""),"-")</f>
        <v>-</v>
      </c>
      <c r="O1163" s="24">
        <f t="shared" si="4"/>
        <v>0</v>
      </c>
      <c r="P1163" s="24"/>
      <c r="Q1163" s="24">
        <f t="shared" si="6"/>
        <v>0</v>
      </c>
      <c r="R1163" s="24">
        <f t="shared" si="7"/>
        <v>0</v>
      </c>
      <c r="S1163" s="24"/>
      <c r="T1163" s="24"/>
    </row>
    <row r="1164">
      <c r="A1164" s="12" t="s">
        <v>1252</v>
      </c>
      <c r="F1164" s="19">
        <f>IFERROR(__xludf.DUMMYFUNCTION("SPLIT(A1160, "" |"")"),1158.0)</f>
        <v>1158</v>
      </c>
      <c r="G1164" s="19">
        <f>IFERROR(__xludf.DUMMYFUNCTION("""COMPUTED_VALUE"""),0.00234)</f>
        <v>0.00234</v>
      </c>
      <c r="H1164" s="19" t="str">
        <f>IFERROR(__xludf.DUMMYFUNCTION("""COMPUTED_VALUE"""),"-")</f>
        <v>-</v>
      </c>
      <c r="I1164" s="19">
        <f>IFERROR(__xludf.DUMMYFUNCTION("""COMPUTED_VALUE"""),0.00225)</f>
        <v>0.00225</v>
      </c>
      <c r="J1164" s="19">
        <f>IFERROR(__xludf.DUMMYFUNCTION("""COMPUTED_VALUE"""),0.04747)</f>
        <v>0.04747</v>
      </c>
      <c r="K1164" s="19" t="str">
        <f>IFERROR(__xludf.DUMMYFUNCTION("""COMPUTED_VALUE"""),"-")</f>
        <v>-</v>
      </c>
      <c r="L1164" s="19" t="str">
        <f>IFERROR(__xludf.DUMMYFUNCTION("""COMPUTED_VALUE"""),"-")</f>
        <v>-</v>
      </c>
      <c r="O1164" s="24">
        <f t="shared" si="4"/>
        <v>0</v>
      </c>
      <c r="P1164" s="24"/>
      <c r="Q1164" s="24">
        <f t="shared" si="6"/>
        <v>0</v>
      </c>
      <c r="R1164" s="24">
        <f t="shared" si="7"/>
        <v>0</v>
      </c>
      <c r="S1164" s="24"/>
      <c r="T1164" s="24"/>
    </row>
    <row r="1165">
      <c r="A1165" s="12" t="s">
        <v>1253</v>
      </c>
      <c r="F1165" s="19">
        <f>IFERROR(__xludf.DUMMYFUNCTION("SPLIT(A1161, "" |"")"),1159.0)</f>
        <v>1159</v>
      </c>
      <c r="G1165" s="19">
        <f>IFERROR(__xludf.DUMMYFUNCTION("""COMPUTED_VALUE"""),0.00225)</f>
        <v>0.00225</v>
      </c>
      <c r="H1165" s="19" t="str">
        <f>IFERROR(__xludf.DUMMYFUNCTION("""COMPUTED_VALUE"""),"-")</f>
        <v>-</v>
      </c>
      <c r="I1165" s="19">
        <f>IFERROR(__xludf.DUMMYFUNCTION("""COMPUTED_VALUE"""),0.0021)</f>
        <v>0.0021</v>
      </c>
      <c r="J1165" s="19">
        <f>IFERROR(__xludf.DUMMYFUNCTION("""COMPUTED_VALUE"""),0.04745)</f>
        <v>0.04745</v>
      </c>
      <c r="K1165" s="19" t="str">
        <f>IFERROR(__xludf.DUMMYFUNCTION("""COMPUTED_VALUE"""),"-")</f>
        <v>-</v>
      </c>
      <c r="L1165" s="19" t="str">
        <f>IFERROR(__xludf.DUMMYFUNCTION("""COMPUTED_VALUE"""),"-")</f>
        <v>-</v>
      </c>
      <c r="O1165" s="24">
        <f t="shared" si="4"/>
        <v>0</v>
      </c>
      <c r="P1165" s="24"/>
      <c r="Q1165" s="24">
        <f t="shared" si="6"/>
        <v>0</v>
      </c>
      <c r="R1165" s="24">
        <f t="shared" si="7"/>
        <v>0</v>
      </c>
      <c r="S1165" s="24"/>
      <c r="T1165" s="24"/>
    </row>
    <row r="1166">
      <c r="A1166" s="12" t="s">
        <v>1254</v>
      </c>
      <c r="F1166" s="19">
        <f>IFERROR(__xludf.DUMMYFUNCTION("SPLIT(A1162, "" |"")"),1160.0)</f>
        <v>1160</v>
      </c>
      <c r="G1166" s="19">
        <f>IFERROR(__xludf.DUMMYFUNCTION("""COMPUTED_VALUE"""),0.00238)</f>
        <v>0.00238</v>
      </c>
      <c r="H1166" s="19" t="str">
        <f>IFERROR(__xludf.DUMMYFUNCTION("""COMPUTED_VALUE"""),"-")</f>
        <v>-</v>
      </c>
      <c r="I1166" s="19">
        <f>IFERROR(__xludf.DUMMYFUNCTION("""COMPUTED_VALUE"""),0.00224)</f>
        <v>0.00224</v>
      </c>
      <c r="J1166" s="19">
        <f>IFERROR(__xludf.DUMMYFUNCTION("""COMPUTED_VALUE"""),0.04735)</f>
        <v>0.04735</v>
      </c>
      <c r="K1166" s="19" t="str">
        <f>IFERROR(__xludf.DUMMYFUNCTION("""COMPUTED_VALUE"""),"-")</f>
        <v>-</v>
      </c>
      <c r="L1166" s="19" t="str">
        <f>IFERROR(__xludf.DUMMYFUNCTION("""COMPUTED_VALUE"""),"-")</f>
        <v>-</v>
      </c>
      <c r="O1166" s="24">
        <f t="shared" si="4"/>
        <v>0</v>
      </c>
      <c r="P1166" s="24"/>
      <c r="Q1166" s="24">
        <f t="shared" si="6"/>
        <v>0</v>
      </c>
      <c r="R1166" s="24">
        <f t="shared" si="7"/>
        <v>0</v>
      </c>
      <c r="S1166" s="24"/>
      <c r="T1166" s="24"/>
    </row>
    <row r="1167">
      <c r="A1167" s="12" t="s">
        <v>1255</v>
      </c>
      <c r="F1167" s="19">
        <f>IFERROR(__xludf.DUMMYFUNCTION("SPLIT(A1163, "" |"")"),1161.0)</f>
        <v>1161</v>
      </c>
      <c r="G1167" s="19">
        <f>IFERROR(__xludf.DUMMYFUNCTION("""COMPUTED_VALUE"""),0.00243)</f>
        <v>0.00243</v>
      </c>
      <c r="H1167" s="19" t="str">
        <f>IFERROR(__xludf.DUMMYFUNCTION("""COMPUTED_VALUE"""),"-")</f>
        <v>-</v>
      </c>
      <c r="I1167" s="19">
        <f>IFERROR(__xludf.DUMMYFUNCTION("""COMPUTED_VALUE"""),0.00223)</f>
        <v>0.00223</v>
      </c>
      <c r="J1167" s="19">
        <f>IFERROR(__xludf.DUMMYFUNCTION("""COMPUTED_VALUE"""),0.04748)</f>
        <v>0.04748</v>
      </c>
      <c r="K1167" s="19" t="str">
        <f>IFERROR(__xludf.DUMMYFUNCTION("""COMPUTED_VALUE"""),"-")</f>
        <v>-</v>
      </c>
      <c r="L1167" s="19" t="str">
        <f>IFERROR(__xludf.DUMMYFUNCTION("""COMPUTED_VALUE"""),"-")</f>
        <v>-</v>
      </c>
      <c r="O1167" s="24">
        <f t="shared" si="4"/>
        <v>0</v>
      </c>
      <c r="P1167" s="24"/>
      <c r="Q1167" s="24">
        <f t="shared" si="6"/>
        <v>0</v>
      </c>
      <c r="R1167" s="24">
        <f t="shared" si="7"/>
        <v>0</v>
      </c>
      <c r="S1167" s="24"/>
      <c r="T1167" s="24"/>
    </row>
    <row r="1168">
      <c r="A1168" s="12" t="s">
        <v>1256</v>
      </c>
      <c r="F1168" s="19">
        <f>IFERROR(__xludf.DUMMYFUNCTION("SPLIT(A1164, "" |"")"),1162.0)</f>
        <v>1162</v>
      </c>
      <c r="G1168" s="19">
        <f>IFERROR(__xludf.DUMMYFUNCTION("""COMPUTED_VALUE"""),0.00235)</f>
        <v>0.00235</v>
      </c>
      <c r="H1168" s="19" t="str">
        <f>IFERROR(__xludf.DUMMYFUNCTION("""COMPUTED_VALUE"""),"-")</f>
        <v>-</v>
      </c>
      <c r="I1168" s="19">
        <f>IFERROR(__xludf.DUMMYFUNCTION("""COMPUTED_VALUE"""),0.00225)</f>
        <v>0.00225</v>
      </c>
      <c r="J1168" s="19">
        <f>IFERROR(__xludf.DUMMYFUNCTION("""COMPUTED_VALUE"""),0.04734)</f>
        <v>0.04734</v>
      </c>
      <c r="K1168" s="19" t="str">
        <f>IFERROR(__xludf.DUMMYFUNCTION("""COMPUTED_VALUE"""),"-")</f>
        <v>-</v>
      </c>
      <c r="L1168" s="19" t="str">
        <f>IFERROR(__xludf.DUMMYFUNCTION("""COMPUTED_VALUE"""),"-")</f>
        <v>-</v>
      </c>
      <c r="O1168" s="24">
        <f t="shared" si="4"/>
        <v>0</v>
      </c>
      <c r="P1168" s="24"/>
      <c r="Q1168" s="24">
        <f t="shared" si="6"/>
        <v>0</v>
      </c>
      <c r="R1168" s="24">
        <f t="shared" si="7"/>
        <v>0</v>
      </c>
      <c r="S1168" s="24"/>
      <c r="T1168" s="24"/>
    </row>
    <row r="1169">
      <c r="A1169" s="12" t="s">
        <v>1257</v>
      </c>
      <c r="F1169" s="19">
        <f>IFERROR(__xludf.DUMMYFUNCTION("SPLIT(A1165, "" |"")"),1163.0)</f>
        <v>1163</v>
      </c>
      <c r="G1169" s="19">
        <f>IFERROR(__xludf.DUMMYFUNCTION("""COMPUTED_VALUE"""),0.00242)</f>
        <v>0.00242</v>
      </c>
      <c r="H1169" s="19" t="str">
        <f>IFERROR(__xludf.DUMMYFUNCTION("""COMPUTED_VALUE"""),"-")</f>
        <v>-</v>
      </c>
      <c r="I1169" s="19">
        <f>IFERROR(__xludf.DUMMYFUNCTION("""COMPUTED_VALUE"""),0.00222)</f>
        <v>0.00222</v>
      </c>
      <c r="J1169" s="19">
        <f>IFERROR(__xludf.DUMMYFUNCTION("""COMPUTED_VALUE"""),0.0474)</f>
        <v>0.0474</v>
      </c>
      <c r="K1169" s="19" t="str">
        <f>IFERROR(__xludf.DUMMYFUNCTION("""COMPUTED_VALUE"""),"-")</f>
        <v>-</v>
      </c>
      <c r="L1169" s="19" t="str">
        <f>IFERROR(__xludf.DUMMYFUNCTION("""COMPUTED_VALUE"""),"-")</f>
        <v>-</v>
      </c>
      <c r="O1169" s="24">
        <f t="shared" si="4"/>
        <v>0</v>
      </c>
      <c r="P1169" s="24"/>
      <c r="Q1169" s="24">
        <f t="shared" si="6"/>
        <v>0</v>
      </c>
      <c r="R1169" s="24">
        <f t="shared" si="7"/>
        <v>0</v>
      </c>
      <c r="S1169" s="24"/>
      <c r="T1169" s="24"/>
    </row>
    <row r="1170">
      <c r="A1170" s="12" t="s">
        <v>1258</v>
      </c>
      <c r="F1170" s="19">
        <f>IFERROR(__xludf.DUMMYFUNCTION("SPLIT(A1166, "" |"")"),1164.0)</f>
        <v>1164</v>
      </c>
      <c r="G1170" s="19">
        <f>IFERROR(__xludf.DUMMYFUNCTION("""COMPUTED_VALUE"""),0.00244)</f>
        <v>0.00244</v>
      </c>
      <c r="H1170" s="19" t="str">
        <f>IFERROR(__xludf.DUMMYFUNCTION("""COMPUTED_VALUE"""),"-")</f>
        <v>-</v>
      </c>
      <c r="I1170" s="19">
        <f>IFERROR(__xludf.DUMMYFUNCTION("""COMPUTED_VALUE"""),0.00228)</f>
        <v>0.00228</v>
      </c>
      <c r="J1170" s="19">
        <f>IFERROR(__xludf.DUMMYFUNCTION("""COMPUTED_VALUE"""),0.04749)</f>
        <v>0.04749</v>
      </c>
      <c r="K1170" s="19" t="str">
        <f>IFERROR(__xludf.DUMMYFUNCTION("""COMPUTED_VALUE"""),"-")</f>
        <v>-</v>
      </c>
      <c r="L1170" s="19" t="str">
        <f>IFERROR(__xludf.DUMMYFUNCTION("""COMPUTED_VALUE"""),"-")</f>
        <v>-</v>
      </c>
      <c r="O1170" s="24">
        <f t="shared" si="4"/>
        <v>0</v>
      </c>
      <c r="P1170" s="24"/>
      <c r="Q1170" s="24">
        <f t="shared" si="6"/>
        <v>0</v>
      </c>
      <c r="R1170" s="24">
        <f t="shared" si="7"/>
        <v>0</v>
      </c>
      <c r="S1170" s="24"/>
      <c r="T1170" s="24"/>
    </row>
    <row r="1171">
      <c r="A1171" s="12" t="s">
        <v>1259</v>
      </c>
      <c r="F1171" s="19">
        <f>IFERROR(__xludf.DUMMYFUNCTION("SPLIT(A1167, "" |"")"),1165.0)</f>
        <v>1165</v>
      </c>
      <c r="G1171" s="19">
        <f>IFERROR(__xludf.DUMMYFUNCTION("""COMPUTED_VALUE"""),0.00235)</f>
        <v>0.00235</v>
      </c>
      <c r="H1171" s="19" t="str">
        <f>IFERROR(__xludf.DUMMYFUNCTION("""COMPUTED_VALUE"""),"-")</f>
        <v>-</v>
      </c>
      <c r="I1171" s="19">
        <f>IFERROR(__xludf.DUMMYFUNCTION("""COMPUTED_VALUE"""),0.00222)</f>
        <v>0.00222</v>
      </c>
      <c r="J1171" s="19">
        <f>IFERROR(__xludf.DUMMYFUNCTION("""COMPUTED_VALUE"""),0.04747)</f>
        <v>0.04747</v>
      </c>
      <c r="K1171" s="19" t="str">
        <f>IFERROR(__xludf.DUMMYFUNCTION("""COMPUTED_VALUE"""),"-")</f>
        <v>-</v>
      </c>
      <c r="L1171" s="19" t="str">
        <f>IFERROR(__xludf.DUMMYFUNCTION("""COMPUTED_VALUE"""),"-")</f>
        <v>-</v>
      </c>
      <c r="O1171" s="24">
        <f t="shared" si="4"/>
        <v>0</v>
      </c>
      <c r="P1171" s="24"/>
      <c r="Q1171" s="24">
        <f t="shared" si="6"/>
        <v>0</v>
      </c>
      <c r="R1171" s="24">
        <f t="shared" si="7"/>
        <v>0</v>
      </c>
      <c r="S1171" s="24"/>
      <c r="T1171" s="24"/>
    </row>
    <row r="1172">
      <c r="A1172" s="12" t="s">
        <v>1260</v>
      </c>
      <c r="F1172" s="19">
        <f>IFERROR(__xludf.DUMMYFUNCTION("SPLIT(A1168, "" |"")"),1166.0)</f>
        <v>1166</v>
      </c>
      <c r="G1172" s="19">
        <f>IFERROR(__xludf.DUMMYFUNCTION("""COMPUTED_VALUE"""),0.00231)</f>
        <v>0.00231</v>
      </c>
      <c r="H1172" s="19" t="str">
        <f>IFERROR(__xludf.DUMMYFUNCTION("""COMPUTED_VALUE"""),"-")</f>
        <v>-</v>
      </c>
      <c r="I1172" s="19">
        <f>IFERROR(__xludf.DUMMYFUNCTION("""COMPUTED_VALUE"""),0.00219)</f>
        <v>0.00219</v>
      </c>
      <c r="J1172" s="19">
        <f>IFERROR(__xludf.DUMMYFUNCTION("""COMPUTED_VALUE"""),0.04591)</f>
        <v>0.04591</v>
      </c>
      <c r="K1172" s="19" t="str">
        <f>IFERROR(__xludf.DUMMYFUNCTION("""COMPUTED_VALUE"""),"-")</f>
        <v>-</v>
      </c>
      <c r="L1172" s="19" t="str">
        <f>IFERROR(__xludf.DUMMYFUNCTION("""COMPUTED_VALUE"""),"-")</f>
        <v>-</v>
      </c>
      <c r="O1172" s="24">
        <f t="shared" si="4"/>
        <v>0</v>
      </c>
      <c r="P1172" s="24"/>
      <c r="Q1172" s="24">
        <f t="shared" si="6"/>
        <v>0</v>
      </c>
      <c r="R1172" s="24">
        <f t="shared" si="7"/>
        <v>0</v>
      </c>
      <c r="S1172" s="24"/>
      <c r="T1172" s="24"/>
    </row>
    <row r="1173">
      <c r="A1173" s="12" t="s">
        <v>1261</v>
      </c>
      <c r="F1173" s="19">
        <f>IFERROR(__xludf.DUMMYFUNCTION("SPLIT(A1169, "" |"")"),1167.0)</f>
        <v>1167</v>
      </c>
      <c r="G1173" s="19">
        <f>IFERROR(__xludf.DUMMYFUNCTION("""COMPUTED_VALUE"""),0.00232)</f>
        <v>0.00232</v>
      </c>
      <c r="H1173" s="19" t="str">
        <f>IFERROR(__xludf.DUMMYFUNCTION("""COMPUTED_VALUE"""),"-")</f>
        <v>-</v>
      </c>
      <c r="I1173" s="19">
        <f>IFERROR(__xludf.DUMMYFUNCTION("""COMPUTED_VALUE"""),0.00221)</f>
        <v>0.00221</v>
      </c>
      <c r="J1173" s="19">
        <f>IFERROR(__xludf.DUMMYFUNCTION("""COMPUTED_VALUE"""),0.0474)</f>
        <v>0.0474</v>
      </c>
      <c r="K1173" s="19" t="str">
        <f>IFERROR(__xludf.DUMMYFUNCTION("""COMPUTED_VALUE"""),"-")</f>
        <v>-</v>
      </c>
      <c r="L1173" s="19" t="str">
        <f>IFERROR(__xludf.DUMMYFUNCTION("""COMPUTED_VALUE"""),"-")</f>
        <v>-</v>
      </c>
      <c r="O1173" s="24">
        <f t="shared" si="4"/>
        <v>0</v>
      </c>
      <c r="P1173" s="24"/>
      <c r="Q1173" s="24">
        <f t="shared" si="6"/>
        <v>0</v>
      </c>
      <c r="R1173" s="24">
        <f t="shared" si="7"/>
        <v>0</v>
      </c>
      <c r="S1173" s="24"/>
      <c r="T1173" s="24"/>
    </row>
    <row r="1174">
      <c r="A1174" s="12" t="s">
        <v>1262</v>
      </c>
      <c r="F1174" s="19">
        <f>IFERROR(__xludf.DUMMYFUNCTION("SPLIT(A1170, "" |"")"),1168.0)</f>
        <v>1168</v>
      </c>
      <c r="G1174" s="19">
        <f>IFERROR(__xludf.DUMMYFUNCTION("""COMPUTED_VALUE"""),0.00233)</f>
        <v>0.00233</v>
      </c>
      <c r="H1174" s="19" t="str">
        <f>IFERROR(__xludf.DUMMYFUNCTION("""COMPUTED_VALUE"""),"-")</f>
        <v>-</v>
      </c>
      <c r="I1174" s="19">
        <f>IFERROR(__xludf.DUMMYFUNCTION("""COMPUTED_VALUE"""),0.00211)</f>
        <v>0.00211</v>
      </c>
      <c r="J1174" s="19">
        <f>IFERROR(__xludf.DUMMYFUNCTION("""COMPUTED_VALUE"""),0.04748)</f>
        <v>0.04748</v>
      </c>
      <c r="K1174" s="19" t="str">
        <f>IFERROR(__xludf.DUMMYFUNCTION("""COMPUTED_VALUE"""),"-")</f>
        <v>-</v>
      </c>
      <c r="L1174" s="19" t="str">
        <f>IFERROR(__xludf.DUMMYFUNCTION("""COMPUTED_VALUE"""),"-")</f>
        <v>-</v>
      </c>
      <c r="O1174" s="24">
        <f t="shared" si="4"/>
        <v>0</v>
      </c>
      <c r="P1174" s="24"/>
      <c r="Q1174" s="24">
        <f t="shared" si="6"/>
        <v>0</v>
      </c>
      <c r="R1174" s="24">
        <f t="shared" si="7"/>
        <v>0</v>
      </c>
      <c r="S1174" s="24"/>
      <c r="T1174" s="24"/>
    </row>
    <row r="1175">
      <c r="A1175" s="12" t="s">
        <v>1263</v>
      </c>
      <c r="F1175" s="19">
        <f>IFERROR(__xludf.DUMMYFUNCTION("SPLIT(A1171, "" |"")"),1169.0)</f>
        <v>1169</v>
      </c>
      <c r="G1175" s="19">
        <f>IFERROR(__xludf.DUMMYFUNCTION("""COMPUTED_VALUE"""),0.00232)</f>
        <v>0.00232</v>
      </c>
      <c r="H1175" s="19" t="str">
        <f>IFERROR(__xludf.DUMMYFUNCTION("""COMPUTED_VALUE"""),"-")</f>
        <v>-</v>
      </c>
      <c r="I1175" s="19">
        <f>IFERROR(__xludf.DUMMYFUNCTION("""COMPUTED_VALUE"""),0.00218)</f>
        <v>0.00218</v>
      </c>
      <c r="J1175" s="19">
        <f>IFERROR(__xludf.DUMMYFUNCTION("""COMPUTED_VALUE"""),0.04747)</f>
        <v>0.04747</v>
      </c>
      <c r="K1175" s="19" t="str">
        <f>IFERROR(__xludf.DUMMYFUNCTION("""COMPUTED_VALUE"""),"-")</f>
        <v>-</v>
      </c>
      <c r="L1175" s="19" t="str">
        <f>IFERROR(__xludf.DUMMYFUNCTION("""COMPUTED_VALUE"""),"-")</f>
        <v>-</v>
      </c>
      <c r="O1175" s="24">
        <f t="shared" si="4"/>
        <v>0</v>
      </c>
      <c r="P1175" s="24"/>
      <c r="Q1175" s="24">
        <f t="shared" si="6"/>
        <v>0</v>
      </c>
      <c r="R1175" s="24">
        <f t="shared" si="7"/>
        <v>0</v>
      </c>
      <c r="S1175" s="24"/>
      <c r="T1175" s="24"/>
    </row>
    <row r="1176">
      <c r="A1176" s="12" t="s">
        <v>1264</v>
      </c>
      <c r="F1176" s="19">
        <f>IFERROR(__xludf.DUMMYFUNCTION("SPLIT(A1172, "" |"")"),1170.0)</f>
        <v>1170</v>
      </c>
      <c r="G1176" s="19">
        <f>IFERROR(__xludf.DUMMYFUNCTION("""COMPUTED_VALUE"""),0.00233)</f>
        <v>0.00233</v>
      </c>
      <c r="H1176" s="19" t="str">
        <f>IFERROR(__xludf.DUMMYFUNCTION("""COMPUTED_VALUE"""),"-")</f>
        <v>-</v>
      </c>
      <c r="I1176" s="19">
        <f>IFERROR(__xludf.DUMMYFUNCTION("""COMPUTED_VALUE"""),0.00223)</f>
        <v>0.00223</v>
      </c>
      <c r="J1176" s="19">
        <f>IFERROR(__xludf.DUMMYFUNCTION("""COMPUTED_VALUE"""),0.04763)</f>
        <v>0.04763</v>
      </c>
      <c r="K1176" s="19" t="str">
        <f>IFERROR(__xludf.DUMMYFUNCTION("""COMPUTED_VALUE"""),"-")</f>
        <v>-</v>
      </c>
      <c r="L1176" s="19" t="str">
        <f>IFERROR(__xludf.DUMMYFUNCTION("""COMPUTED_VALUE"""),"-")</f>
        <v>-</v>
      </c>
      <c r="O1176" s="24">
        <f t="shared" si="4"/>
        <v>0</v>
      </c>
      <c r="P1176" s="24"/>
      <c r="Q1176" s="24">
        <f t="shared" si="6"/>
        <v>0</v>
      </c>
      <c r="R1176" s="24">
        <f t="shared" si="7"/>
        <v>0</v>
      </c>
      <c r="S1176" s="24"/>
      <c r="T1176" s="24"/>
    </row>
    <row r="1177">
      <c r="A1177" s="12" t="s">
        <v>1265</v>
      </c>
      <c r="F1177" s="19">
        <f>IFERROR(__xludf.DUMMYFUNCTION("SPLIT(A1173, "" |"")"),1171.0)</f>
        <v>1171</v>
      </c>
      <c r="G1177" s="19">
        <f>IFERROR(__xludf.DUMMYFUNCTION("""COMPUTED_VALUE"""),0.00233)</f>
        <v>0.00233</v>
      </c>
      <c r="H1177" s="19" t="str">
        <f>IFERROR(__xludf.DUMMYFUNCTION("""COMPUTED_VALUE"""),"-")</f>
        <v>-</v>
      </c>
      <c r="I1177" s="19">
        <f>IFERROR(__xludf.DUMMYFUNCTION("""COMPUTED_VALUE"""),0.0022)</f>
        <v>0.0022</v>
      </c>
      <c r="J1177" s="19">
        <f>IFERROR(__xludf.DUMMYFUNCTION("""COMPUTED_VALUE"""),0.04742)</f>
        <v>0.04742</v>
      </c>
      <c r="K1177" s="19" t="str">
        <f>IFERROR(__xludf.DUMMYFUNCTION("""COMPUTED_VALUE"""),"-")</f>
        <v>-</v>
      </c>
      <c r="L1177" s="19" t="str">
        <f>IFERROR(__xludf.DUMMYFUNCTION("""COMPUTED_VALUE"""),"-")</f>
        <v>-</v>
      </c>
      <c r="O1177" s="24">
        <f t="shared" si="4"/>
        <v>0</v>
      </c>
      <c r="P1177" s="24"/>
      <c r="Q1177" s="24">
        <f t="shared" si="6"/>
        <v>0</v>
      </c>
      <c r="R1177" s="24">
        <f t="shared" si="7"/>
        <v>0</v>
      </c>
      <c r="S1177" s="24"/>
      <c r="T1177" s="24"/>
    </row>
    <row r="1178">
      <c r="A1178" s="12" t="s">
        <v>1266</v>
      </c>
      <c r="F1178" s="19">
        <f>IFERROR(__xludf.DUMMYFUNCTION("SPLIT(A1174, "" |"")"),1172.0)</f>
        <v>1172</v>
      </c>
      <c r="G1178" s="19">
        <f>IFERROR(__xludf.DUMMYFUNCTION("""COMPUTED_VALUE"""),0.00237)</f>
        <v>0.00237</v>
      </c>
      <c r="H1178" s="19" t="str">
        <f>IFERROR(__xludf.DUMMYFUNCTION("""COMPUTED_VALUE"""),"-")</f>
        <v>-</v>
      </c>
      <c r="I1178" s="19">
        <f>IFERROR(__xludf.DUMMYFUNCTION("""COMPUTED_VALUE"""),0.00223)</f>
        <v>0.00223</v>
      </c>
      <c r="J1178" s="19">
        <f>IFERROR(__xludf.DUMMYFUNCTION("""COMPUTED_VALUE"""),0.04744)</f>
        <v>0.04744</v>
      </c>
      <c r="K1178" s="19" t="str">
        <f>IFERROR(__xludf.DUMMYFUNCTION("""COMPUTED_VALUE"""),"-")</f>
        <v>-</v>
      </c>
      <c r="L1178" s="19" t="str">
        <f>IFERROR(__xludf.DUMMYFUNCTION("""COMPUTED_VALUE"""),"-")</f>
        <v>-</v>
      </c>
      <c r="O1178" s="24">
        <f t="shared" si="4"/>
        <v>0</v>
      </c>
      <c r="P1178" s="24"/>
      <c r="Q1178" s="24">
        <f t="shared" si="6"/>
        <v>0</v>
      </c>
      <c r="R1178" s="24">
        <f t="shared" si="7"/>
        <v>0</v>
      </c>
      <c r="S1178" s="24"/>
      <c r="T1178" s="24"/>
    </row>
    <row r="1179">
      <c r="A1179" s="12" t="s">
        <v>1267</v>
      </c>
      <c r="F1179" s="19">
        <f>IFERROR(__xludf.DUMMYFUNCTION("SPLIT(A1175, "" |"")"),1173.0)</f>
        <v>1173</v>
      </c>
      <c r="G1179" s="19">
        <f>IFERROR(__xludf.DUMMYFUNCTION("""COMPUTED_VALUE"""),0.00226)</f>
        <v>0.00226</v>
      </c>
      <c r="H1179" s="19" t="str">
        <f>IFERROR(__xludf.DUMMYFUNCTION("""COMPUTED_VALUE"""),"-")</f>
        <v>-</v>
      </c>
      <c r="I1179" s="19">
        <f>IFERROR(__xludf.DUMMYFUNCTION("""COMPUTED_VALUE"""),0.00227)</f>
        <v>0.00227</v>
      </c>
      <c r="J1179" s="19">
        <f>IFERROR(__xludf.DUMMYFUNCTION("""COMPUTED_VALUE"""),0.04736)</f>
        <v>0.04736</v>
      </c>
      <c r="K1179" s="19" t="str">
        <f>IFERROR(__xludf.DUMMYFUNCTION("""COMPUTED_VALUE"""),"-")</f>
        <v>-</v>
      </c>
      <c r="L1179" s="19" t="str">
        <f>IFERROR(__xludf.DUMMYFUNCTION("""COMPUTED_VALUE"""),"-")</f>
        <v>-</v>
      </c>
      <c r="O1179" s="24">
        <f t="shared" si="4"/>
        <v>0</v>
      </c>
      <c r="P1179" s="24"/>
      <c r="Q1179" s="24">
        <f t="shared" si="6"/>
        <v>0</v>
      </c>
      <c r="R1179" s="24">
        <f t="shared" si="7"/>
        <v>0</v>
      </c>
      <c r="S1179" s="24"/>
      <c r="T1179" s="24"/>
    </row>
    <row r="1180">
      <c r="A1180" s="12" t="s">
        <v>1268</v>
      </c>
      <c r="F1180" s="19">
        <f>IFERROR(__xludf.DUMMYFUNCTION("SPLIT(A1176, "" |"")"),1174.0)</f>
        <v>1174</v>
      </c>
      <c r="G1180" s="19">
        <f>IFERROR(__xludf.DUMMYFUNCTION("""COMPUTED_VALUE"""),0.00239)</f>
        <v>0.00239</v>
      </c>
      <c r="H1180" s="19" t="str">
        <f>IFERROR(__xludf.DUMMYFUNCTION("""COMPUTED_VALUE"""),"-")</f>
        <v>-</v>
      </c>
      <c r="I1180" s="19">
        <f>IFERROR(__xludf.DUMMYFUNCTION("""COMPUTED_VALUE"""),0.00225)</f>
        <v>0.00225</v>
      </c>
      <c r="J1180" s="19">
        <f>IFERROR(__xludf.DUMMYFUNCTION("""COMPUTED_VALUE"""),0.04748)</f>
        <v>0.04748</v>
      </c>
      <c r="K1180" s="19" t="str">
        <f>IFERROR(__xludf.DUMMYFUNCTION("""COMPUTED_VALUE"""),"-")</f>
        <v>-</v>
      </c>
      <c r="L1180" s="19" t="str">
        <f>IFERROR(__xludf.DUMMYFUNCTION("""COMPUTED_VALUE"""),"-")</f>
        <v>-</v>
      </c>
      <c r="O1180" s="24">
        <f t="shared" si="4"/>
        <v>0</v>
      </c>
      <c r="P1180" s="24"/>
      <c r="Q1180" s="24">
        <f t="shared" si="6"/>
        <v>0</v>
      </c>
      <c r="R1180" s="24">
        <f t="shared" si="7"/>
        <v>0</v>
      </c>
      <c r="S1180" s="24"/>
      <c r="T1180" s="24"/>
    </row>
    <row r="1181">
      <c r="A1181" s="12" t="s">
        <v>1269</v>
      </c>
      <c r="F1181" s="19">
        <f>IFERROR(__xludf.DUMMYFUNCTION("SPLIT(A1177, "" |"")"),1175.0)</f>
        <v>1175</v>
      </c>
      <c r="G1181" s="19">
        <f>IFERROR(__xludf.DUMMYFUNCTION("""COMPUTED_VALUE"""),0.00226)</f>
        <v>0.00226</v>
      </c>
      <c r="H1181" s="19" t="str">
        <f>IFERROR(__xludf.DUMMYFUNCTION("""COMPUTED_VALUE"""),"-")</f>
        <v>-</v>
      </c>
      <c r="I1181" s="19">
        <f>IFERROR(__xludf.DUMMYFUNCTION("""COMPUTED_VALUE"""),0.00228)</f>
        <v>0.00228</v>
      </c>
      <c r="J1181" s="19">
        <f>IFERROR(__xludf.DUMMYFUNCTION("""COMPUTED_VALUE"""),0.04749)</f>
        <v>0.04749</v>
      </c>
      <c r="K1181" s="19" t="str">
        <f>IFERROR(__xludf.DUMMYFUNCTION("""COMPUTED_VALUE"""),"-")</f>
        <v>-</v>
      </c>
      <c r="L1181" s="19" t="str">
        <f>IFERROR(__xludf.DUMMYFUNCTION("""COMPUTED_VALUE"""),"-")</f>
        <v>-</v>
      </c>
      <c r="O1181" s="24">
        <f t="shared" si="4"/>
        <v>0</v>
      </c>
      <c r="P1181" s="24"/>
      <c r="Q1181" s="24">
        <f t="shared" si="6"/>
        <v>0</v>
      </c>
      <c r="R1181" s="24">
        <f t="shared" si="7"/>
        <v>0</v>
      </c>
      <c r="S1181" s="24"/>
      <c r="T1181" s="24"/>
    </row>
    <row r="1182">
      <c r="A1182" s="12" t="s">
        <v>1270</v>
      </c>
      <c r="F1182" s="19">
        <f>IFERROR(__xludf.DUMMYFUNCTION("SPLIT(A1178, "" |"")"),1176.0)</f>
        <v>1176</v>
      </c>
      <c r="G1182" s="19">
        <f>IFERROR(__xludf.DUMMYFUNCTION("""COMPUTED_VALUE"""),0.00236)</f>
        <v>0.00236</v>
      </c>
      <c r="H1182" s="19" t="str">
        <f>IFERROR(__xludf.DUMMYFUNCTION("""COMPUTED_VALUE"""),"-")</f>
        <v>-</v>
      </c>
      <c r="I1182" s="19">
        <f>IFERROR(__xludf.DUMMYFUNCTION("""COMPUTED_VALUE"""),0.0022)</f>
        <v>0.0022</v>
      </c>
      <c r="J1182" s="19">
        <f>IFERROR(__xludf.DUMMYFUNCTION("""COMPUTED_VALUE"""),0.04747)</f>
        <v>0.04747</v>
      </c>
      <c r="K1182" s="19" t="str">
        <f>IFERROR(__xludf.DUMMYFUNCTION("""COMPUTED_VALUE"""),"-")</f>
        <v>-</v>
      </c>
      <c r="L1182" s="19" t="str">
        <f>IFERROR(__xludf.DUMMYFUNCTION("""COMPUTED_VALUE"""),"-")</f>
        <v>-</v>
      </c>
      <c r="O1182" s="24">
        <f t="shared" si="4"/>
        <v>0</v>
      </c>
      <c r="P1182" s="24"/>
      <c r="Q1182" s="24">
        <f t="shared" si="6"/>
        <v>0</v>
      </c>
      <c r="R1182" s="24">
        <f t="shared" si="7"/>
        <v>0</v>
      </c>
      <c r="S1182" s="24"/>
      <c r="T1182" s="24"/>
    </row>
    <row r="1183">
      <c r="A1183" s="12" t="s">
        <v>1271</v>
      </c>
      <c r="F1183" s="19">
        <f>IFERROR(__xludf.DUMMYFUNCTION("SPLIT(A1179, "" |"")"),1177.0)</f>
        <v>1177</v>
      </c>
      <c r="G1183" s="19">
        <f>IFERROR(__xludf.DUMMYFUNCTION("""COMPUTED_VALUE"""),0.00234)</f>
        <v>0.00234</v>
      </c>
      <c r="H1183" s="19" t="str">
        <f>IFERROR(__xludf.DUMMYFUNCTION("""COMPUTED_VALUE"""),"-")</f>
        <v>-</v>
      </c>
      <c r="I1183" s="19">
        <f>IFERROR(__xludf.DUMMYFUNCTION("""COMPUTED_VALUE"""),0.00221)</f>
        <v>0.00221</v>
      </c>
      <c r="J1183" s="19">
        <f>IFERROR(__xludf.DUMMYFUNCTION("""COMPUTED_VALUE"""),0.04741)</f>
        <v>0.04741</v>
      </c>
      <c r="K1183" s="19" t="str">
        <f>IFERROR(__xludf.DUMMYFUNCTION("""COMPUTED_VALUE"""),"-")</f>
        <v>-</v>
      </c>
      <c r="L1183" s="19" t="str">
        <f>IFERROR(__xludf.DUMMYFUNCTION("""COMPUTED_VALUE"""),"-")</f>
        <v>-</v>
      </c>
      <c r="O1183" s="24">
        <f t="shared" si="4"/>
        <v>0</v>
      </c>
      <c r="P1183" s="24"/>
      <c r="Q1183" s="24">
        <f t="shared" si="6"/>
        <v>0</v>
      </c>
      <c r="R1183" s="24">
        <f t="shared" si="7"/>
        <v>0</v>
      </c>
      <c r="S1183" s="24"/>
      <c r="T1183" s="24"/>
    </row>
    <row r="1184">
      <c r="A1184" s="12" t="s">
        <v>1272</v>
      </c>
      <c r="F1184" s="19">
        <f>IFERROR(__xludf.DUMMYFUNCTION("SPLIT(A1180, "" |"")"),1178.0)</f>
        <v>1178</v>
      </c>
      <c r="G1184" s="19">
        <f>IFERROR(__xludf.DUMMYFUNCTION("""COMPUTED_VALUE"""),0.00228)</f>
        <v>0.00228</v>
      </c>
      <c r="H1184" s="19" t="str">
        <f>IFERROR(__xludf.DUMMYFUNCTION("""COMPUTED_VALUE"""),"-")</f>
        <v>-</v>
      </c>
      <c r="I1184" s="19">
        <f>IFERROR(__xludf.DUMMYFUNCTION("""COMPUTED_VALUE"""),0.00226)</f>
        <v>0.00226</v>
      </c>
      <c r="J1184" s="19">
        <f>IFERROR(__xludf.DUMMYFUNCTION("""COMPUTED_VALUE"""),0.04405)</f>
        <v>0.04405</v>
      </c>
      <c r="K1184" s="19" t="str">
        <f>IFERROR(__xludf.DUMMYFUNCTION("""COMPUTED_VALUE"""),"-")</f>
        <v>-</v>
      </c>
      <c r="L1184" s="19" t="str">
        <f>IFERROR(__xludf.DUMMYFUNCTION("""COMPUTED_VALUE"""),"-")</f>
        <v>-</v>
      </c>
      <c r="O1184" s="24">
        <f t="shared" si="4"/>
        <v>0</v>
      </c>
      <c r="P1184" s="24"/>
      <c r="Q1184" s="24">
        <f t="shared" si="6"/>
        <v>0</v>
      </c>
      <c r="R1184" s="24">
        <f t="shared" si="7"/>
        <v>1</v>
      </c>
      <c r="S1184" s="24"/>
      <c r="T1184" s="24"/>
    </row>
    <row r="1185">
      <c r="A1185" s="12" t="s">
        <v>1273</v>
      </c>
      <c r="F1185" s="19">
        <f>IFERROR(__xludf.DUMMYFUNCTION("SPLIT(A1181, "" |"")"),1179.0)</f>
        <v>1179</v>
      </c>
      <c r="G1185" s="19">
        <f>IFERROR(__xludf.DUMMYFUNCTION("""COMPUTED_VALUE"""),0.00233)</f>
        <v>0.00233</v>
      </c>
      <c r="H1185" s="19" t="str">
        <f>IFERROR(__xludf.DUMMYFUNCTION("""COMPUTED_VALUE"""),"-")</f>
        <v>-</v>
      </c>
      <c r="I1185" s="19">
        <f>IFERROR(__xludf.DUMMYFUNCTION("""COMPUTED_VALUE"""),0.00222)</f>
        <v>0.00222</v>
      </c>
      <c r="J1185" s="19">
        <f>IFERROR(__xludf.DUMMYFUNCTION("""COMPUTED_VALUE"""),0.04264)</f>
        <v>0.04264</v>
      </c>
      <c r="K1185" s="19" t="str">
        <f>IFERROR(__xludf.DUMMYFUNCTION("""COMPUTED_VALUE"""),"-")</f>
        <v>-</v>
      </c>
      <c r="L1185" s="19" t="str">
        <f>IFERROR(__xludf.DUMMYFUNCTION("""COMPUTED_VALUE"""),"-")</f>
        <v>-</v>
      </c>
      <c r="O1185" s="24">
        <f t="shared" si="4"/>
        <v>0</v>
      </c>
      <c r="P1185" s="24"/>
      <c r="Q1185" s="24">
        <f t="shared" si="6"/>
        <v>0</v>
      </c>
      <c r="R1185" s="24">
        <f t="shared" si="7"/>
        <v>1</v>
      </c>
      <c r="S1185" s="24"/>
      <c r="T1185" s="24"/>
    </row>
    <row r="1186">
      <c r="A1186" s="12" t="s">
        <v>1274</v>
      </c>
      <c r="F1186" s="19">
        <f>IFERROR(__xludf.DUMMYFUNCTION("SPLIT(A1182, "" |"")"),1180.0)</f>
        <v>1180</v>
      </c>
      <c r="G1186" s="19">
        <f>IFERROR(__xludf.DUMMYFUNCTION("""COMPUTED_VALUE"""),0.00239)</f>
        <v>0.00239</v>
      </c>
      <c r="H1186" s="19" t="str">
        <f>IFERROR(__xludf.DUMMYFUNCTION("""COMPUTED_VALUE"""),"-")</f>
        <v>-</v>
      </c>
      <c r="I1186" s="19">
        <f>IFERROR(__xludf.DUMMYFUNCTION("""COMPUTED_VALUE"""),0.00222)</f>
        <v>0.00222</v>
      </c>
      <c r="J1186" s="19">
        <f>IFERROR(__xludf.DUMMYFUNCTION("""COMPUTED_VALUE"""),0.04749)</f>
        <v>0.04749</v>
      </c>
      <c r="K1186" s="19" t="str">
        <f>IFERROR(__xludf.DUMMYFUNCTION("""COMPUTED_VALUE"""),"-")</f>
        <v>-</v>
      </c>
      <c r="L1186" s="19" t="str">
        <f>IFERROR(__xludf.DUMMYFUNCTION("""COMPUTED_VALUE"""),"-")</f>
        <v>-</v>
      </c>
      <c r="O1186" s="24">
        <f t="shared" si="4"/>
        <v>0</v>
      </c>
      <c r="P1186" s="24"/>
      <c r="Q1186" s="24">
        <f t="shared" si="6"/>
        <v>0</v>
      </c>
      <c r="R1186" s="24">
        <f t="shared" si="7"/>
        <v>0</v>
      </c>
      <c r="S1186" s="24"/>
      <c r="T1186" s="24"/>
    </row>
    <row r="1187">
      <c r="A1187" s="12" t="s">
        <v>1275</v>
      </c>
      <c r="F1187" s="19">
        <f>IFERROR(__xludf.DUMMYFUNCTION("SPLIT(A1183, "" |"")"),1181.0)</f>
        <v>1181</v>
      </c>
      <c r="G1187" s="19">
        <f>IFERROR(__xludf.DUMMYFUNCTION("""COMPUTED_VALUE"""),0.00235)</f>
        <v>0.00235</v>
      </c>
      <c r="H1187" s="19" t="str">
        <f>IFERROR(__xludf.DUMMYFUNCTION("""COMPUTED_VALUE"""),"-")</f>
        <v>-</v>
      </c>
      <c r="I1187" s="19">
        <f>IFERROR(__xludf.DUMMYFUNCTION("""COMPUTED_VALUE"""),0.0022)</f>
        <v>0.0022</v>
      </c>
      <c r="J1187" s="19">
        <f>IFERROR(__xludf.DUMMYFUNCTION("""COMPUTED_VALUE"""),0.04746)</f>
        <v>0.04746</v>
      </c>
      <c r="K1187" s="19" t="str">
        <f>IFERROR(__xludf.DUMMYFUNCTION("""COMPUTED_VALUE"""),"-")</f>
        <v>-</v>
      </c>
      <c r="L1187" s="19" t="str">
        <f>IFERROR(__xludf.DUMMYFUNCTION("""COMPUTED_VALUE"""),"-")</f>
        <v>-</v>
      </c>
      <c r="O1187" s="24">
        <f t="shared" si="4"/>
        <v>0</v>
      </c>
      <c r="P1187" s="24"/>
      <c r="Q1187" s="24">
        <f t="shared" si="6"/>
        <v>0</v>
      </c>
      <c r="R1187" s="24">
        <f t="shared" si="7"/>
        <v>0</v>
      </c>
      <c r="S1187" s="24"/>
      <c r="T1187" s="24"/>
    </row>
    <row r="1188">
      <c r="A1188" s="12" t="s">
        <v>1276</v>
      </c>
      <c r="F1188" s="19">
        <f>IFERROR(__xludf.DUMMYFUNCTION("SPLIT(A1184, "" |"")"),1182.0)</f>
        <v>1182</v>
      </c>
      <c r="G1188" s="19">
        <f>IFERROR(__xludf.DUMMYFUNCTION("""COMPUTED_VALUE"""),0.00233)</f>
        <v>0.00233</v>
      </c>
      <c r="H1188" s="19" t="str">
        <f>IFERROR(__xludf.DUMMYFUNCTION("""COMPUTED_VALUE"""),"-")</f>
        <v>-</v>
      </c>
      <c r="I1188" s="19">
        <f>IFERROR(__xludf.DUMMYFUNCTION("""COMPUTED_VALUE"""),0.00222)</f>
        <v>0.00222</v>
      </c>
      <c r="J1188" s="19">
        <f>IFERROR(__xludf.DUMMYFUNCTION("""COMPUTED_VALUE"""),0.04748)</f>
        <v>0.04748</v>
      </c>
      <c r="K1188" s="19" t="str">
        <f>IFERROR(__xludf.DUMMYFUNCTION("""COMPUTED_VALUE"""),"-")</f>
        <v>-</v>
      </c>
      <c r="L1188" s="19" t="str">
        <f>IFERROR(__xludf.DUMMYFUNCTION("""COMPUTED_VALUE"""),"-")</f>
        <v>-</v>
      </c>
      <c r="O1188" s="24">
        <f t="shared" si="4"/>
        <v>0</v>
      </c>
      <c r="P1188" s="24"/>
      <c r="Q1188" s="24">
        <f t="shared" si="6"/>
        <v>0</v>
      </c>
      <c r="R1188" s="24">
        <f t="shared" si="7"/>
        <v>0</v>
      </c>
      <c r="S1188" s="24"/>
      <c r="T1188" s="24"/>
    </row>
    <row r="1189">
      <c r="A1189" s="12" t="s">
        <v>1277</v>
      </c>
      <c r="F1189" s="19">
        <f>IFERROR(__xludf.DUMMYFUNCTION("SPLIT(A1185, "" |"")"),1183.0)</f>
        <v>1183</v>
      </c>
      <c r="G1189" s="19">
        <f>IFERROR(__xludf.DUMMYFUNCTION("""COMPUTED_VALUE"""),0.00232)</f>
        <v>0.00232</v>
      </c>
      <c r="H1189" s="19" t="str">
        <f>IFERROR(__xludf.DUMMYFUNCTION("""COMPUTED_VALUE"""),"-")</f>
        <v>-</v>
      </c>
      <c r="I1189" s="19">
        <f>IFERROR(__xludf.DUMMYFUNCTION("""COMPUTED_VALUE"""),0.0022)</f>
        <v>0.0022</v>
      </c>
      <c r="J1189" s="19">
        <f>IFERROR(__xludf.DUMMYFUNCTION("""COMPUTED_VALUE"""),0.04577)</f>
        <v>0.04577</v>
      </c>
      <c r="K1189" s="19" t="str">
        <f>IFERROR(__xludf.DUMMYFUNCTION("""COMPUTED_VALUE"""),"-")</f>
        <v>-</v>
      </c>
      <c r="L1189" s="19" t="str">
        <f>IFERROR(__xludf.DUMMYFUNCTION("""COMPUTED_VALUE"""),"-")</f>
        <v>-</v>
      </c>
      <c r="O1189" s="24">
        <f t="shared" si="4"/>
        <v>0</v>
      </c>
      <c r="P1189" s="24"/>
      <c r="Q1189" s="24">
        <f t="shared" si="6"/>
        <v>0</v>
      </c>
      <c r="R1189" s="24">
        <f t="shared" si="7"/>
        <v>0</v>
      </c>
      <c r="S1189" s="24"/>
      <c r="T1189" s="24"/>
    </row>
    <row r="1190">
      <c r="A1190" s="12" t="s">
        <v>1278</v>
      </c>
      <c r="F1190" s="19">
        <f>IFERROR(__xludf.DUMMYFUNCTION("SPLIT(A1186, "" |"")"),1184.0)</f>
        <v>1184</v>
      </c>
      <c r="G1190" s="19">
        <f>IFERROR(__xludf.DUMMYFUNCTION("""COMPUTED_VALUE"""),0.00242)</f>
        <v>0.00242</v>
      </c>
      <c r="H1190" s="19" t="str">
        <f>IFERROR(__xludf.DUMMYFUNCTION("""COMPUTED_VALUE"""),"-")</f>
        <v>-</v>
      </c>
      <c r="I1190" s="19">
        <f>IFERROR(__xludf.DUMMYFUNCTION("""COMPUTED_VALUE"""),0.00213)</f>
        <v>0.00213</v>
      </c>
      <c r="J1190" s="19">
        <f>IFERROR(__xludf.DUMMYFUNCTION("""COMPUTED_VALUE"""),0.04747)</f>
        <v>0.04747</v>
      </c>
      <c r="K1190" s="19" t="str">
        <f>IFERROR(__xludf.DUMMYFUNCTION("""COMPUTED_VALUE"""),"-")</f>
        <v>-</v>
      </c>
      <c r="L1190" s="19" t="str">
        <f>IFERROR(__xludf.DUMMYFUNCTION("""COMPUTED_VALUE"""),"-")</f>
        <v>-</v>
      </c>
      <c r="O1190" s="24">
        <f t="shared" si="4"/>
        <v>0</v>
      </c>
      <c r="P1190" s="24"/>
      <c r="Q1190" s="24">
        <f t="shared" si="6"/>
        <v>0</v>
      </c>
      <c r="R1190" s="24">
        <f t="shared" si="7"/>
        <v>0</v>
      </c>
      <c r="S1190" s="24"/>
      <c r="T1190" s="24"/>
    </row>
    <row r="1191">
      <c r="A1191" s="12" t="s">
        <v>1279</v>
      </c>
      <c r="F1191" s="19">
        <f>IFERROR(__xludf.DUMMYFUNCTION("SPLIT(A1187, "" |"")"),1185.0)</f>
        <v>1185</v>
      </c>
      <c r="G1191" s="19">
        <f>IFERROR(__xludf.DUMMYFUNCTION("""COMPUTED_VALUE"""),0.00251)</f>
        <v>0.00251</v>
      </c>
      <c r="H1191" s="19" t="str">
        <f>IFERROR(__xludf.DUMMYFUNCTION("""COMPUTED_VALUE"""),"-")</f>
        <v>-</v>
      </c>
      <c r="I1191" s="19">
        <f>IFERROR(__xludf.DUMMYFUNCTION("""COMPUTED_VALUE"""),0.00239)</f>
        <v>0.00239</v>
      </c>
      <c r="J1191" s="19">
        <f>IFERROR(__xludf.DUMMYFUNCTION("""COMPUTED_VALUE"""),0.0455)</f>
        <v>0.0455</v>
      </c>
      <c r="K1191" s="19" t="str">
        <f>IFERROR(__xludf.DUMMYFUNCTION("""COMPUTED_VALUE"""),"-")</f>
        <v>-</v>
      </c>
      <c r="L1191" s="19" t="str">
        <f>IFERROR(__xludf.DUMMYFUNCTION("""COMPUTED_VALUE"""),"-")</f>
        <v>-</v>
      </c>
      <c r="O1191" s="24">
        <f t="shared" si="4"/>
        <v>0</v>
      </c>
      <c r="P1191" s="24"/>
      <c r="Q1191" s="24">
        <f t="shared" si="6"/>
        <v>0</v>
      </c>
      <c r="R1191" s="24">
        <f t="shared" si="7"/>
        <v>0</v>
      </c>
      <c r="S1191" s="24"/>
      <c r="T1191" s="24"/>
    </row>
    <row r="1192">
      <c r="A1192" s="12" t="s">
        <v>1280</v>
      </c>
      <c r="F1192" s="19">
        <f>IFERROR(__xludf.DUMMYFUNCTION("SPLIT(A1188, "" |"")"),1186.0)</f>
        <v>1186</v>
      </c>
      <c r="G1192" s="19">
        <f>IFERROR(__xludf.DUMMYFUNCTION("""COMPUTED_VALUE"""),0.00238)</f>
        <v>0.00238</v>
      </c>
      <c r="H1192" s="19" t="str">
        <f>IFERROR(__xludf.DUMMYFUNCTION("""COMPUTED_VALUE"""),"-")</f>
        <v>-</v>
      </c>
      <c r="I1192" s="19">
        <f>IFERROR(__xludf.DUMMYFUNCTION("""COMPUTED_VALUE"""),0.00224)</f>
        <v>0.00224</v>
      </c>
      <c r="J1192" s="19">
        <f>IFERROR(__xludf.DUMMYFUNCTION("""COMPUTED_VALUE"""),0.04743)</f>
        <v>0.04743</v>
      </c>
      <c r="K1192" s="19" t="str">
        <f>IFERROR(__xludf.DUMMYFUNCTION("""COMPUTED_VALUE"""),"-")</f>
        <v>-</v>
      </c>
      <c r="L1192" s="19" t="str">
        <f>IFERROR(__xludf.DUMMYFUNCTION("""COMPUTED_VALUE"""),"-")</f>
        <v>-</v>
      </c>
      <c r="O1192" s="24">
        <f t="shared" si="4"/>
        <v>0</v>
      </c>
      <c r="P1192" s="24"/>
      <c r="Q1192" s="24">
        <f t="shared" si="6"/>
        <v>0</v>
      </c>
      <c r="R1192" s="24">
        <f t="shared" si="7"/>
        <v>0</v>
      </c>
      <c r="S1192" s="24"/>
      <c r="T1192" s="24"/>
    </row>
    <row r="1193">
      <c r="A1193" s="12" t="s">
        <v>1281</v>
      </c>
      <c r="F1193" s="19">
        <f>IFERROR(__xludf.DUMMYFUNCTION("SPLIT(A1189, "" |"")"),1187.0)</f>
        <v>1187</v>
      </c>
      <c r="G1193" s="19">
        <f>IFERROR(__xludf.DUMMYFUNCTION("""COMPUTED_VALUE"""),0.00226)</f>
        <v>0.00226</v>
      </c>
      <c r="H1193" s="19" t="str">
        <f>IFERROR(__xludf.DUMMYFUNCTION("""COMPUTED_VALUE"""),"-")</f>
        <v>-</v>
      </c>
      <c r="I1193" s="19">
        <f>IFERROR(__xludf.DUMMYFUNCTION("""COMPUTED_VALUE"""),0.00224)</f>
        <v>0.00224</v>
      </c>
      <c r="J1193" s="19">
        <f>IFERROR(__xludf.DUMMYFUNCTION("""COMPUTED_VALUE"""),0.04748)</f>
        <v>0.04748</v>
      </c>
      <c r="K1193" s="19" t="str">
        <f>IFERROR(__xludf.DUMMYFUNCTION("""COMPUTED_VALUE"""),"-")</f>
        <v>-</v>
      </c>
      <c r="L1193" s="19" t="str">
        <f>IFERROR(__xludf.DUMMYFUNCTION("""COMPUTED_VALUE"""),"-")</f>
        <v>-</v>
      </c>
      <c r="O1193" s="24">
        <f t="shared" si="4"/>
        <v>0</v>
      </c>
      <c r="P1193" s="24"/>
      <c r="Q1193" s="24">
        <f t="shared" si="6"/>
        <v>0</v>
      </c>
      <c r="R1193" s="24">
        <f t="shared" si="7"/>
        <v>0</v>
      </c>
      <c r="S1193" s="24"/>
      <c r="T1193" s="24"/>
    </row>
    <row r="1194">
      <c r="A1194" s="12" t="s">
        <v>1282</v>
      </c>
      <c r="F1194" s="19">
        <f>IFERROR(__xludf.DUMMYFUNCTION("SPLIT(A1190, "" |"")"),1188.0)</f>
        <v>1188</v>
      </c>
      <c r="G1194" s="19">
        <f>IFERROR(__xludf.DUMMYFUNCTION("""COMPUTED_VALUE"""),0.00251)</f>
        <v>0.00251</v>
      </c>
      <c r="H1194" s="19" t="str">
        <f>IFERROR(__xludf.DUMMYFUNCTION("""COMPUTED_VALUE"""),"-")</f>
        <v>-</v>
      </c>
      <c r="I1194" s="19">
        <f>IFERROR(__xludf.DUMMYFUNCTION("""COMPUTED_VALUE"""),0.00225)</f>
        <v>0.00225</v>
      </c>
      <c r="J1194" s="19">
        <f>IFERROR(__xludf.DUMMYFUNCTION("""COMPUTED_VALUE"""),0.04263)</f>
        <v>0.04263</v>
      </c>
      <c r="K1194" s="19" t="str">
        <f>IFERROR(__xludf.DUMMYFUNCTION("""COMPUTED_VALUE"""),"-")</f>
        <v>-</v>
      </c>
      <c r="L1194" s="19" t="str">
        <f>IFERROR(__xludf.DUMMYFUNCTION("""COMPUTED_VALUE"""),"-")</f>
        <v>-</v>
      </c>
      <c r="O1194" s="24">
        <f t="shared" si="4"/>
        <v>0</v>
      </c>
      <c r="P1194" s="24"/>
      <c r="Q1194" s="24">
        <f t="shared" si="6"/>
        <v>0</v>
      </c>
      <c r="R1194" s="24">
        <f t="shared" si="7"/>
        <v>1</v>
      </c>
      <c r="S1194" s="24"/>
      <c r="T1194" s="24"/>
    </row>
    <row r="1195">
      <c r="A1195" s="12" t="s">
        <v>1283</v>
      </c>
      <c r="F1195" s="19">
        <f>IFERROR(__xludf.DUMMYFUNCTION("SPLIT(A1191, "" |"")"),1189.0)</f>
        <v>1189</v>
      </c>
      <c r="G1195" s="19">
        <f>IFERROR(__xludf.DUMMYFUNCTION("""COMPUTED_VALUE"""),0.00243)</f>
        <v>0.00243</v>
      </c>
      <c r="H1195" s="19" t="str">
        <f>IFERROR(__xludf.DUMMYFUNCTION("""COMPUTED_VALUE"""),"-")</f>
        <v>-</v>
      </c>
      <c r="I1195" s="19">
        <f>IFERROR(__xludf.DUMMYFUNCTION("""COMPUTED_VALUE"""),0.00229)</f>
        <v>0.00229</v>
      </c>
      <c r="J1195" s="19">
        <f>IFERROR(__xludf.DUMMYFUNCTION("""COMPUTED_VALUE"""),0.04255)</f>
        <v>0.04255</v>
      </c>
      <c r="K1195" s="19" t="str">
        <f>IFERROR(__xludf.DUMMYFUNCTION("""COMPUTED_VALUE"""),"-")</f>
        <v>-</v>
      </c>
      <c r="L1195" s="19" t="str">
        <f>IFERROR(__xludf.DUMMYFUNCTION("""COMPUTED_VALUE"""),"-")</f>
        <v>-</v>
      </c>
      <c r="O1195" s="24">
        <f t="shared" si="4"/>
        <v>0</v>
      </c>
      <c r="P1195" s="24"/>
      <c r="Q1195" s="24">
        <f t="shared" si="6"/>
        <v>0</v>
      </c>
      <c r="R1195" s="24">
        <f t="shared" si="7"/>
        <v>1</v>
      </c>
      <c r="S1195" s="24"/>
      <c r="T1195" s="24"/>
    </row>
    <row r="1196">
      <c r="A1196" s="12" t="s">
        <v>1284</v>
      </c>
      <c r="F1196" s="19">
        <f>IFERROR(__xludf.DUMMYFUNCTION("SPLIT(A1192, "" |"")"),1190.0)</f>
        <v>1190</v>
      </c>
      <c r="G1196" s="19">
        <f>IFERROR(__xludf.DUMMYFUNCTION("""COMPUTED_VALUE"""),0.00231)</f>
        <v>0.00231</v>
      </c>
      <c r="H1196" s="19" t="str">
        <f>IFERROR(__xludf.DUMMYFUNCTION("""COMPUTED_VALUE"""),"-")</f>
        <v>-</v>
      </c>
      <c r="I1196" s="19">
        <f>IFERROR(__xludf.DUMMYFUNCTION("""COMPUTED_VALUE"""),0.00223)</f>
        <v>0.00223</v>
      </c>
      <c r="J1196" s="19">
        <f>IFERROR(__xludf.DUMMYFUNCTION("""COMPUTED_VALUE"""),0.04747)</f>
        <v>0.04747</v>
      </c>
      <c r="K1196" s="19" t="str">
        <f>IFERROR(__xludf.DUMMYFUNCTION("""COMPUTED_VALUE"""),"-")</f>
        <v>-</v>
      </c>
      <c r="L1196" s="19" t="str">
        <f>IFERROR(__xludf.DUMMYFUNCTION("""COMPUTED_VALUE"""),"-")</f>
        <v>-</v>
      </c>
      <c r="O1196" s="24">
        <f t="shared" si="4"/>
        <v>0</v>
      </c>
      <c r="P1196" s="24"/>
      <c r="Q1196" s="24">
        <f t="shared" si="6"/>
        <v>0</v>
      </c>
      <c r="R1196" s="24">
        <f t="shared" si="7"/>
        <v>0</v>
      </c>
      <c r="S1196" s="24"/>
      <c r="T1196" s="24"/>
    </row>
    <row r="1197">
      <c r="A1197" s="12" t="s">
        <v>1285</v>
      </c>
      <c r="F1197" s="19">
        <f>IFERROR(__xludf.DUMMYFUNCTION("SPLIT(A1193, "" |"")"),1191.0)</f>
        <v>1191</v>
      </c>
      <c r="G1197" s="19">
        <f>IFERROR(__xludf.DUMMYFUNCTION("""COMPUTED_VALUE"""),0.00243)</f>
        <v>0.00243</v>
      </c>
      <c r="H1197" s="19" t="str">
        <f>IFERROR(__xludf.DUMMYFUNCTION("""COMPUTED_VALUE"""),"-")</f>
        <v>-</v>
      </c>
      <c r="I1197" s="19">
        <f>IFERROR(__xludf.DUMMYFUNCTION("""COMPUTED_VALUE"""),0.00227)</f>
        <v>0.00227</v>
      </c>
      <c r="J1197" s="19">
        <f>IFERROR(__xludf.DUMMYFUNCTION("""COMPUTED_VALUE"""),0.04747)</f>
        <v>0.04747</v>
      </c>
      <c r="K1197" s="19" t="str">
        <f>IFERROR(__xludf.DUMMYFUNCTION("""COMPUTED_VALUE"""),"-")</f>
        <v>-</v>
      </c>
      <c r="L1197" s="19" t="str">
        <f>IFERROR(__xludf.DUMMYFUNCTION("""COMPUTED_VALUE"""),"-")</f>
        <v>-</v>
      </c>
      <c r="O1197" s="24">
        <f t="shared" si="4"/>
        <v>0</v>
      </c>
      <c r="P1197" s="24"/>
      <c r="Q1197" s="24">
        <f t="shared" si="6"/>
        <v>0</v>
      </c>
      <c r="R1197" s="24">
        <f t="shared" si="7"/>
        <v>0</v>
      </c>
      <c r="S1197" s="24"/>
      <c r="T1197" s="24"/>
    </row>
    <row r="1198">
      <c r="A1198" s="12" t="s">
        <v>1286</v>
      </c>
      <c r="F1198" s="19">
        <f>IFERROR(__xludf.DUMMYFUNCTION("SPLIT(A1194, "" |"")"),1192.0)</f>
        <v>1192</v>
      </c>
      <c r="G1198" s="19">
        <f>IFERROR(__xludf.DUMMYFUNCTION("""COMPUTED_VALUE"""),0.00242)</f>
        <v>0.00242</v>
      </c>
      <c r="H1198" s="19" t="str">
        <f>IFERROR(__xludf.DUMMYFUNCTION("""COMPUTED_VALUE"""),"-")</f>
        <v>-</v>
      </c>
      <c r="I1198" s="19">
        <f>IFERROR(__xludf.DUMMYFUNCTION("""COMPUTED_VALUE"""),0.00221)</f>
        <v>0.00221</v>
      </c>
      <c r="J1198" s="19">
        <f>IFERROR(__xludf.DUMMYFUNCTION("""COMPUTED_VALUE"""),0.04748)</f>
        <v>0.04748</v>
      </c>
      <c r="K1198" s="19" t="str">
        <f>IFERROR(__xludf.DUMMYFUNCTION("""COMPUTED_VALUE"""),"-")</f>
        <v>-</v>
      </c>
      <c r="L1198" s="19" t="str">
        <f>IFERROR(__xludf.DUMMYFUNCTION("""COMPUTED_VALUE"""),"-")</f>
        <v>-</v>
      </c>
      <c r="O1198" s="24">
        <f t="shared" si="4"/>
        <v>0</v>
      </c>
      <c r="P1198" s="24"/>
      <c r="Q1198" s="24">
        <f t="shared" si="6"/>
        <v>0</v>
      </c>
      <c r="R1198" s="24">
        <f t="shared" si="7"/>
        <v>0</v>
      </c>
      <c r="S1198" s="24"/>
      <c r="T1198" s="24"/>
    </row>
    <row r="1199">
      <c r="A1199" s="12" t="s">
        <v>1287</v>
      </c>
      <c r="F1199" s="19">
        <f>IFERROR(__xludf.DUMMYFUNCTION("SPLIT(A1195, "" |"")"),1193.0)</f>
        <v>1193</v>
      </c>
      <c r="G1199" s="19">
        <f>IFERROR(__xludf.DUMMYFUNCTION("""COMPUTED_VALUE"""),0.0024)</f>
        <v>0.0024</v>
      </c>
      <c r="H1199" s="19" t="str">
        <f>IFERROR(__xludf.DUMMYFUNCTION("""COMPUTED_VALUE"""),"-")</f>
        <v>-</v>
      </c>
      <c r="I1199" s="19">
        <f>IFERROR(__xludf.DUMMYFUNCTION("""COMPUTED_VALUE"""),0.00223)</f>
        <v>0.00223</v>
      </c>
      <c r="J1199" s="19">
        <f>IFERROR(__xludf.DUMMYFUNCTION("""COMPUTED_VALUE"""),0.04737)</f>
        <v>0.04737</v>
      </c>
      <c r="K1199" s="19" t="str">
        <f>IFERROR(__xludf.DUMMYFUNCTION("""COMPUTED_VALUE"""),"-")</f>
        <v>-</v>
      </c>
      <c r="L1199" s="19" t="str">
        <f>IFERROR(__xludf.DUMMYFUNCTION("""COMPUTED_VALUE"""),"-")</f>
        <v>-</v>
      </c>
      <c r="O1199" s="24">
        <f t="shared" si="4"/>
        <v>0</v>
      </c>
      <c r="P1199" s="24"/>
      <c r="Q1199" s="24">
        <f t="shared" si="6"/>
        <v>0</v>
      </c>
      <c r="R1199" s="24">
        <f t="shared" si="7"/>
        <v>0</v>
      </c>
      <c r="S1199" s="24"/>
      <c r="T1199" s="24"/>
    </row>
    <row r="1200">
      <c r="A1200" s="12" t="s">
        <v>1288</v>
      </c>
      <c r="F1200" s="19">
        <f>IFERROR(__xludf.DUMMYFUNCTION("SPLIT(A1196, "" |"")"),1194.0)</f>
        <v>1194</v>
      </c>
      <c r="G1200" s="19">
        <f>IFERROR(__xludf.DUMMYFUNCTION("""COMPUTED_VALUE"""),0.0022)</f>
        <v>0.0022</v>
      </c>
      <c r="H1200" s="19" t="str">
        <f>IFERROR(__xludf.DUMMYFUNCTION("""COMPUTED_VALUE"""),"-")</f>
        <v>-</v>
      </c>
      <c r="I1200" s="19">
        <f>IFERROR(__xludf.DUMMYFUNCTION("""COMPUTED_VALUE"""),0.00213)</f>
        <v>0.00213</v>
      </c>
      <c r="J1200" s="19">
        <f>IFERROR(__xludf.DUMMYFUNCTION("""COMPUTED_VALUE"""),0.04746)</f>
        <v>0.04746</v>
      </c>
      <c r="K1200" s="19" t="str">
        <f>IFERROR(__xludf.DUMMYFUNCTION("""COMPUTED_VALUE"""),"-")</f>
        <v>-</v>
      </c>
      <c r="L1200" s="19" t="str">
        <f>IFERROR(__xludf.DUMMYFUNCTION("""COMPUTED_VALUE"""),"-")</f>
        <v>-</v>
      </c>
      <c r="O1200" s="24">
        <f t="shared" si="4"/>
        <v>0</v>
      </c>
      <c r="P1200" s="24"/>
      <c r="Q1200" s="24">
        <f t="shared" si="6"/>
        <v>0</v>
      </c>
      <c r="R1200" s="24">
        <f t="shared" si="7"/>
        <v>0</v>
      </c>
      <c r="S1200" s="24"/>
      <c r="T1200" s="24"/>
    </row>
    <row r="1201">
      <c r="A1201" s="12" t="s">
        <v>1289</v>
      </c>
      <c r="F1201" s="19">
        <f>IFERROR(__xludf.DUMMYFUNCTION("SPLIT(A1197, "" |"")"),1195.0)</f>
        <v>1195</v>
      </c>
      <c r="G1201" s="19">
        <f>IFERROR(__xludf.DUMMYFUNCTION("""COMPUTED_VALUE"""),0.00241)</f>
        <v>0.00241</v>
      </c>
      <c r="H1201" s="19" t="str">
        <f>IFERROR(__xludf.DUMMYFUNCTION("""COMPUTED_VALUE"""),"-")</f>
        <v>-</v>
      </c>
      <c r="I1201" s="19">
        <f>IFERROR(__xludf.DUMMYFUNCTION("""COMPUTED_VALUE"""),0.00224)</f>
        <v>0.00224</v>
      </c>
      <c r="J1201" s="19">
        <f>IFERROR(__xludf.DUMMYFUNCTION("""COMPUTED_VALUE"""),0.04556)</f>
        <v>0.04556</v>
      </c>
      <c r="K1201" s="19" t="str">
        <f>IFERROR(__xludf.DUMMYFUNCTION("""COMPUTED_VALUE"""),"-")</f>
        <v>-</v>
      </c>
      <c r="L1201" s="19" t="str">
        <f>IFERROR(__xludf.DUMMYFUNCTION("""COMPUTED_VALUE"""),"-")</f>
        <v>-</v>
      </c>
      <c r="O1201" s="24">
        <f t="shared" si="4"/>
        <v>0</v>
      </c>
      <c r="P1201" s="24"/>
      <c r="Q1201" s="24">
        <f t="shared" si="6"/>
        <v>0</v>
      </c>
      <c r="R1201" s="24">
        <f t="shared" si="7"/>
        <v>0</v>
      </c>
      <c r="S1201" s="24"/>
      <c r="T1201" s="24"/>
    </row>
    <row r="1202">
      <c r="A1202" s="12" t="s">
        <v>1290</v>
      </c>
      <c r="F1202" s="19">
        <f>IFERROR(__xludf.DUMMYFUNCTION("SPLIT(A1198, "" |"")"),1196.0)</f>
        <v>1196</v>
      </c>
      <c r="G1202" s="19">
        <f>IFERROR(__xludf.DUMMYFUNCTION("""COMPUTED_VALUE"""),0.00247)</f>
        <v>0.00247</v>
      </c>
      <c r="H1202" s="19" t="str">
        <f>IFERROR(__xludf.DUMMYFUNCTION("""COMPUTED_VALUE"""),"-")</f>
        <v>-</v>
      </c>
      <c r="I1202" s="19">
        <f>IFERROR(__xludf.DUMMYFUNCTION("""COMPUTED_VALUE"""),0.00223)</f>
        <v>0.00223</v>
      </c>
      <c r="J1202" s="19">
        <f>IFERROR(__xludf.DUMMYFUNCTION("""COMPUTED_VALUE"""),0.04748)</f>
        <v>0.04748</v>
      </c>
      <c r="K1202" s="19" t="str">
        <f>IFERROR(__xludf.DUMMYFUNCTION("""COMPUTED_VALUE"""),"-")</f>
        <v>-</v>
      </c>
      <c r="L1202" s="19" t="str">
        <f>IFERROR(__xludf.DUMMYFUNCTION("""COMPUTED_VALUE"""),"-")</f>
        <v>-</v>
      </c>
      <c r="O1202" s="24">
        <f t="shared" si="4"/>
        <v>0</v>
      </c>
      <c r="P1202" s="24"/>
      <c r="Q1202" s="24">
        <f t="shared" si="6"/>
        <v>0</v>
      </c>
      <c r="R1202" s="24">
        <f t="shared" si="7"/>
        <v>0</v>
      </c>
      <c r="S1202" s="24"/>
      <c r="T1202" s="24"/>
    </row>
    <row r="1203">
      <c r="A1203" s="12" t="s">
        <v>1291</v>
      </c>
      <c r="F1203" s="19">
        <f>IFERROR(__xludf.DUMMYFUNCTION("SPLIT(A1199, "" |"")"),1197.0)</f>
        <v>1197</v>
      </c>
      <c r="G1203" s="19">
        <f>IFERROR(__xludf.DUMMYFUNCTION("""COMPUTED_VALUE"""),0.00238)</f>
        <v>0.00238</v>
      </c>
      <c r="H1203" s="19" t="str">
        <f>IFERROR(__xludf.DUMMYFUNCTION("""COMPUTED_VALUE"""),"-")</f>
        <v>-</v>
      </c>
      <c r="I1203" s="19">
        <f>IFERROR(__xludf.DUMMYFUNCTION("""COMPUTED_VALUE"""),0.00222)</f>
        <v>0.00222</v>
      </c>
      <c r="J1203" s="19">
        <f>IFERROR(__xludf.DUMMYFUNCTION("""COMPUTED_VALUE"""),0.04757)</f>
        <v>0.04757</v>
      </c>
      <c r="K1203" s="19" t="str">
        <f>IFERROR(__xludf.DUMMYFUNCTION("""COMPUTED_VALUE"""),"-")</f>
        <v>-</v>
      </c>
      <c r="L1203" s="19" t="str">
        <f>IFERROR(__xludf.DUMMYFUNCTION("""COMPUTED_VALUE"""),"-")</f>
        <v>-</v>
      </c>
      <c r="O1203" s="24">
        <f t="shared" si="4"/>
        <v>0</v>
      </c>
      <c r="P1203" s="24"/>
      <c r="Q1203" s="24">
        <f t="shared" si="6"/>
        <v>0</v>
      </c>
      <c r="R1203" s="24">
        <f t="shared" si="7"/>
        <v>0</v>
      </c>
      <c r="S1203" s="24"/>
      <c r="T1203" s="24"/>
    </row>
    <row r="1204">
      <c r="A1204" s="12" t="s">
        <v>1292</v>
      </c>
      <c r="F1204" s="19">
        <f>IFERROR(__xludf.DUMMYFUNCTION("SPLIT(A1200, "" |"")"),1198.0)</f>
        <v>1198</v>
      </c>
      <c r="G1204" s="19">
        <f>IFERROR(__xludf.DUMMYFUNCTION("""COMPUTED_VALUE"""),0.00246)</f>
        <v>0.00246</v>
      </c>
      <c r="H1204" s="19" t="str">
        <f>IFERROR(__xludf.DUMMYFUNCTION("""COMPUTED_VALUE"""),"-")</f>
        <v>-</v>
      </c>
      <c r="I1204" s="19">
        <f>IFERROR(__xludf.DUMMYFUNCTION("""COMPUTED_VALUE"""),0.00229)</f>
        <v>0.00229</v>
      </c>
      <c r="J1204" s="19">
        <f>IFERROR(__xludf.DUMMYFUNCTION("""COMPUTED_VALUE"""),0.04742)</f>
        <v>0.04742</v>
      </c>
      <c r="K1204" s="19" t="str">
        <f>IFERROR(__xludf.DUMMYFUNCTION("""COMPUTED_VALUE"""),"-")</f>
        <v>-</v>
      </c>
      <c r="L1204" s="19" t="str">
        <f>IFERROR(__xludf.DUMMYFUNCTION("""COMPUTED_VALUE"""),"-")</f>
        <v>-</v>
      </c>
      <c r="O1204" s="24">
        <f t="shared" si="4"/>
        <v>0</v>
      </c>
      <c r="P1204" s="24"/>
      <c r="Q1204" s="24">
        <f t="shared" si="6"/>
        <v>0</v>
      </c>
      <c r="R1204" s="24">
        <f t="shared" si="7"/>
        <v>0</v>
      </c>
      <c r="S1204" s="24"/>
      <c r="T1204" s="24"/>
    </row>
    <row r="1205">
      <c r="A1205" s="12" t="s">
        <v>1293</v>
      </c>
      <c r="F1205" s="19">
        <f>IFERROR(__xludf.DUMMYFUNCTION("SPLIT(A1201, "" |"")"),1199.0)</f>
        <v>1199</v>
      </c>
      <c r="G1205" s="19">
        <f>IFERROR(__xludf.DUMMYFUNCTION("""COMPUTED_VALUE"""),0.00234)</f>
        <v>0.00234</v>
      </c>
      <c r="H1205" s="19" t="str">
        <f>IFERROR(__xludf.DUMMYFUNCTION("""COMPUTED_VALUE"""),"-")</f>
        <v>-</v>
      </c>
      <c r="I1205" s="19">
        <f>IFERROR(__xludf.DUMMYFUNCTION("""COMPUTED_VALUE"""),0.00222)</f>
        <v>0.00222</v>
      </c>
      <c r="J1205" s="19">
        <f>IFERROR(__xludf.DUMMYFUNCTION("""COMPUTED_VALUE"""),0.0474)</f>
        <v>0.0474</v>
      </c>
      <c r="K1205" s="19" t="str">
        <f>IFERROR(__xludf.DUMMYFUNCTION("""COMPUTED_VALUE"""),"-")</f>
        <v>-</v>
      </c>
      <c r="L1205" s="19" t="str">
        <f>IFERROR(__xludf.DUMMYFUNCTION("""COMPUTED_VALUE"""),"-")</f>
        <v>-</v>
      </c>
      <c r="O1205" s="24">
        <f t="shared" si="4"/>
        <v>0</v>
      </c>
      <c r="P1205" s="24"/>
      <c r="Q1205" s="24">
        <f t="shared" si="6"/>
        <v>0</v>
      </c>
      <c r="R1205" s="24">
        <f t="shared" si="7"/>
        <v>0</v>
      </c>
      <c r="S1205" s="24"/>
      <c r="T1205" s="24"/>
    </row>
    <row r="1206">
      <c r="A1206" s="12" t="s">
        <v>1294</v>
      </c>
      <c r="F1206" s="19">
        <f>IFERROR(__xludf.DUMMYFUNCTION("SPLIT(A1202, "" |"")"),1200.0)</f>
        <v>1200</v>
      </c>
      <c r="G1206" s="19">
        <f>IFERROR(__xludf.DUMMYFUNCTION("""COMPUTED_VALUE"""),0.00246)</f>
        <v>0.00246</v>
      </c>
      <c r="H1206" s="19" t="str">
        <f>IFERROR(__xludf.DUMMYFUNCTION("""COMPUTED_VALUE"""),"-")</f>
        <v>-</v>
      </c>
      <c r="I1206" s="19">
        <f>IFERROR(__xludf.DUMMYFUNCTION("""COMPUTED_VALUE"""),0.00227)</f>
        <v>0.00227</v>
      </c>
      <c r="J1206" s="19">
        <f>IFERROR(__xludf.DUMMYFUNCTION("""COMPUTED_VALUE"""),0.04742)</f>
        <v>0.04742</v>
      </c>
      <c r="K1206" s="19" t="str">
        <f>IFERROR(__xludf.DUMMYFUNCTION("""COMPUTED_VALUE"""),"-")</f>
        <v>-</v>
      </c>
      <c r="L1206" s="19" t="str">
        <f>IFERROR(__xludf.DUMMYFUNCTION("""COMPUTED_VALUE"""),"-")</f>
        <v>-</v>
      </c>
      <c r="O1206" s="24">
        <f t="shared" si="4"/>
        <v>0</v>
      </c>
      <c r="P1206" s="24"/>
      <c r="Q1206" s="24">
        <f t="shared" si="6"/>
        <v>0</v>
      </c>
      <c r="R1206" s="24">
        <f t="shared" si="7"/>
        <v>0</v>
      </c>
      <c r="S1206" s="24"/>
      <c r="T1206" s="24"/>
    </row>
    <row r="1207">
      <c r="A1207" s="12" t="s">
        <v>1295</v>
      </c>
      <c r="F1207" s="19">
        <f>IFERROR(__xludf.DUMMYFUNCTION("SPLIT(A1203, "" |"")"),1201.0)</f>
        <v>1201</v>
      </c>
      <c r="G1207" s="19">
        <f>IFERROR(__xludf.DUMMYFUNCTION("""COMPUTED_VALUE"""),0.00242)</f>
        <v>0.00242</v>
      </c>
      <c r="H1207" s="19" t="str">
        <f>IFERROR(__xludf.DUMMYFUNCTION("""COMPUTED_VALUE"""),"-")</f>
        <v>-</v>
      </c>
      <c r="I1207" s="19">
        <f>IFERROR(__xludf.DUMMYFUNCTION("""COMPUTED_VALUE"""),0.00223)</f>
        <v>0.00223</v>
      </c>
      <c r="J1207" s="19">
        <f>IFERROR(__xludf.DUMMYFUNCTION("""COMPUTED_VALUE"""),0.04693)</f>
        <v>0.04693</v>
      </c>
      <c r="K1207" s="19" t="str">
        <f>IFERROR(__xludf.DUMMYFUNCTION("""COMPUTED_VALUE"""),"-")</f>
        <v>-</v>
      </c>
      <c r="L1207" s="19" t="str">
        <f>IFERROR(__xludf.DUMMYFUNCTION("""COMPUTED_VALUE"""),"-")</f>
        <v>-</v>
      </c>
      <c r="O1207" s="24">
        <f t="shared" si="4"/>
        <v>0</v>
      </c>
      <c r="P1207" s="24"/>
      <c r="Q1207" s="24">
        <f t="shared" si="6"/>
        <v>0</v>
      </c>
      <c r="R1207" s="24">
        <f t="shared" si="7"/>
        <v>0</v>
      </c>
      <c r="S1207" s="24"/>
      <c r="T1207" s="24"/>
    </row>
    <row r="1208">
      <c r="A1208" s="12" t="s">
        <v>1296</v>
      </c>
      <c r="F1208" s="19">
        <f>IFERROR(__xludf.DUMMYFUNCTION("SPLIT(A1204, "" |"")"),1202.0)</f>
        <v>1202</v>
      </c>
      <c r="G1208" s="19">
        <f>IFERROR(__xludf.DUMMYFUNCTION("""COMPUTED_VALUE"""),0.00234)</f>
        <v>0.00234</v>
      </c>
      <c r="H1208" s="19" t="str">
        <f>IFERROR(__xludf.DUMMYFUNCTION("""COMPUTED_VALUE"""),"-")</f>
        <v>-</v>
      </c>
      <c r="I1208" s="19">
        <f>IFERROR(__xludf.DUMMYFUNCTION("""COMPUTED_VALUE"""),0.0022)</f>
        <v>0.0022</v>
      </c>
      <c r="J1208" s="19">
        <f>IFERROR(__xludf.DUMMYFUNCTION("""COMPUTED_VALUE"""),0.04748)</f>
        <v>0.04748</v>
      </c>
      <c r="K1208" s="19" t="str">
        <f>IFERROR(__xludf.DUMMYFUNCTION("""COMPUTED_VALUE"""),"-")</f>
        <v>-</v>
      </c>
      <c r="L1208" s="19" t="str">
        <f>IFERROR(__xludf.DUMMYFUNCTION("""COMPUTED_VALUE"""),"-")</f>
        <v>-</v>
      </c>
      <c r="O1208" s="24">
        <f t="shared" si="4"/>
        <v>0</v>
      </c>
      <c r="P1208" s="24"/>
      <c r="Q1208" s="24">
        <f t="shared" si="6"/>
        <v>0</v>
      </c>
      <c r="R1208" s="24">
        <f t="shared" si="7"/>
        <v>0</v>
      </c>
      <c r="S1208" s="24"/>
      <c r="T1208" s="24"/>
    </row>
    <row r="1209">
      <c r="A1209" s="12" t="s">
        <v>1297</v>
      </c>
      <c r="F1209" s="19">
        <f>IFERROR(__xludf.DUMMYFUNCTION("SPLIT(A1205, "" |"")"),1203.0)</f>
        <v>1203</v>
      </c>
      <c r="G1209" s="19">
        <f>IFERROR(__xludf.DUMMYFUNCTION("""COMPUTED_VALUE"""),0.00237)</f>
        <v>0.00237</v>
      </c>
      <c r="H1209" s="19" t="str">
        <f>IFERROR(__xludf.DUMMYFUNCTION("""COMPUTED_VALUE"""),"-")</f>
        <v>-</v>
      </c>
      <c r="I1209" s="19">
        <f>IFERROR(__xludf.DUMMYFUNCTION("""COMPUTED_VALUE"""),0.0023)</f>
        <v>0.0023</v>
      </c>
      <c r="J1209" s="19">
        <f>IFERROR(__xludf.DUMMYFUNCTION("""COMPUTED_VALUE"""),0.04753)</f>
        <v>0.04753</v>
      </c>
      <c r="K1209" s="19" t="str">
        <f>IFERROR(__xludf.DUMMYFUNCTION("""COMPUTED_VALUE"""),"-")</f>
        <v>-</v>
      </c>
      <c r="L1209" s="19" t="str">
        <f>IFERROR(__xludf.DUMMYFUNCTION("""COMPUTED_VALUE"""),"-")</f>
        <v>-</v>
      </c>
      <c r="O1209" s="24">
        <f t="shared" si="4"/>
        <v>0</v>
      </c>
      <c r="P1209" s="24"/>
      <c r="Q1209" s="24">
        <f t="shared" si="6"/>
        <v>0</v>
      </c>
      <c r="R1209" s="24">
        <f t="shared" si="7"/>
        <v>0</v>
      </c>
      <c r="S1209" s="24"/>
      <c r="T1209" s="24"/>
    </row>
    <row r="1210">
      <c r="A1210" s="12" t="s">
        <v>1298</v>
      </c>
      <c r="F1210" s="19">
        <f>IFERROR(__xludf.DUMMYFUNCTION("SPLIT(A1206, "" |"")"),1204.0)</f>
        <v>1204</v>
      </c>
      <c r="G1210" s="19">
        <f>IFERROR(__xludf.DUMMYFUNCTION("""COMPUTED_VALUE"""),0.00244)</f>
        <v>0.00244</v>
      </c>
      <c r="H1210" s="19" t="str">
        <f>IFERROR(__xludf.DUMMYFUNCTION("""COMPUTED_VALUE"""),"-")</f>
        <v>-</v>
      </c>
      <c r="I1210" s="19">
        <f>IFERROR(__xludf.DUMMYFUNCTION("""COMPUTED_VALUE"""),0.00227)</f>
        <v>0.00227</v>
      </c>
      <c r="J1210" s="19">
        <f>IFERROR(__xludf.DUMMYFUNCTION("""COMPUTED_VALUE"""),0.04751)</f>
        <v>0.04751</v>
      </c>
      <c r="K1210" s="19" t="str">
        <f>IFERROR(__xludf.DUMMYFUNCTION("""COMPUTED_VALUE"""),"-")</f>
        <v>-</v>
      </c>
      <c r="L1210" s="19" t="str">
        <f>IFERROR(__xludf.DUMMYFUNCTION("""COMPUTED_VALUE"""),"-")</f>
        <v>-</v>
      </c>
      <c r="O1210" s="24">
        <f t="shared" si="4"/>
        <v>0</v>
      </c>
      <c r="P1210" s="24"/>
      <c r="Q1210" s="24">
        <f t="shared" si="6"/>
        <v>0</v>
      </c>
      <c r="R1210" s="24">
        <f t="shared" si="7"/>
        <v>0</v>
      </c>
      <c r="S1210" s="24"/>
      <c r="T1210" s="24"/>
    </row>
    <row r="1211">
      <c r="A1211" s="12" t="s">
        <v>1299</v>
      </c>
      <c r="F1211" s="19">
        <f>IFERROR(__xludf.DUMMYFUNCTION("SPLIT(A1207, "" |"")"),1205.0)</f>
        <v>1205</v>
      </c>
      <c r="G1211" s="19">
        <f>IFERROR(__xludf.DUMMYFUNCTION("""COMPUTED_VALUE"""),0.00233)</f>
        <v>0.00233</v>
      </c>
      <c r="H1211" s="19" t="str">
        <f>IFERROR(__xludf.DUMMYFUNCTION("""COMPUTED_VALUE"""),"-")</f>
        <v>-</v>
      </c>
      <c r="I1211" s="19">
        <f>IFERROR(__xludf.DUMMYFUNCTION("""COMPUTED_VALUE"""),0.00221)</f>
        <v>0.00221</v>
      </c>
      <c r="J1211" s="19">
        <f>IFERROR(__xludf.DUMMYFUNCTION("""COMPUTED_VALUE"""),0.04748)</f>
        <v>0.04748</v>
      </c>
      <c r="K1211" s="19" t="str">
        <f>IFERROR(__xludf.DUMMYFUNCTION("""COMPUTED_VALUE"""),"-")</f>
        <v>-</v>
      </c>
      <c r="L1211" s="19" t="str">
        <f>IFERROR(__xludf.DUMMYFUNCTION("""COMPUTED_VALUE"""),"-")</f>
        <v>-</v>
      </c>
      <c r="O1211" s="24">
        <f t="shared" si="4"/>
        <v>0</v>
      </c>
      <c r="P1211" s="24"/>
      <c r="Q1211" s="24">
        <f t="shared" si="6"/>
        <v>0</v>
      </c>
      <c r="R1211" s="24">
        <f t="shared" si="7"/>
        <v>0</v>
      </c>
      <c r="S1211" s="24"/>
      <c r="T1211" s="24"/>
    </row>
    <row r="1212">
      <c r="A1212" s="12" t="s">
        <v>1300</v>
      </c>
      <c r="F1212" s="19">
        <f>IFERROR(__xludf.DUMMYFUNCTION("SPLIT(A1208, "" |"")"),1206.0)</f>
        <v>1206</v>
      </c>
      <c r="G1212" s="19">
        <f>IFERROR(__xludf.DUMMYFUNCTION("""COMPUTED_VALUE"""),0.00235)</f>
        <v>0.00235</v>
      </c>
      <c r="H1212" s="19" t="str">
        <f>IFERROR(__xludf.DUMMYFUNCTION("""COMPUTED_VALUE"""),"-")</f>
        <v>-</v>
      </c>
      <c r="I1212" s="19">
        <f>IFERROR(__xludf.DUMMYFUNCTION("""COMPUTED_VALUE"""),0.00222)</f>
        <v>0.00222</v>
      </c>
      <c r="J1212" s="19">
        <f>IFERROR(__xludf.DUMMYFUNCTION("""COMPUTED_VALUE"""),0.04737)</f>
        <v>0.04737</v>
      </c>
      <c r="K1212" s="19" t="str">
        <f>IFERROR(__xludf.DUMMYFUNCTION("""COMPUTED_VALUE"""),"-")</f>
        <v>-</v>
      </c>
      <c r="L1212" s="19" t="str">
        <f>IFERROR(__xludf.DUMMYFUNCTION("""COMPUTED_VALUE"""),"-")</f>
        <v>-</v>
      </c>
      <c r="O1212" s="24">
        <f t="shared" si="4"/>
        <v>0</v>
      </c>
      <c r="P1212" s="24"/>
      <c r="Q1212" s="24">
        <f t="shared" si="6"/>
        <v>0</v>
      </c>
      <c r="R1212" s="24">
        <f t="shared" si="7"/>
        <v>0</v>
      </c>
      <c r="S1212" s="24"/>
      <c r="T1212" s="24"/>
    </row>
    <row r="1213">
      <c r="A1213" s="12" t="s">
        <v>1301</v>
      </c>
      <c r="F1213" s="19">
        <f>IFERROR(__xludf.DUMMYFUNCTION("SPLIT(A1209, "" |"")"),1207.0)</f>
        <v>1207</v>
      </c>
      <c r="G1213" s="19">
        <f>IFERROR(__xludf.DUMMYFUNCTION("""COMPUTED_VALUE"""),0.00234)</f>
        <v>0.00234</v>
      </c>
      <c r="H1213" s="19" t="str">
        <f>IFERROR(__xludf.DUMMYFUNCTION("""COMPUTED_VALUE"""),"-")</f>
        <v>-</v>
      </c>
      <c r="I1213" s="19">
        <f>IFERROR(__xludf.DUMMYFUNCTION("""COMPUTED_VALUE"""),0.00222)</f>
        <v>0.00222</v>
      </c>
      <c r="J1213" s="19">
        <f>IFERROR(__xludf.DUMMYFUNCTION("""COMPUTED_VALUE"""),0.04742)</f>
        <v>0.04742</v>
      </c>
      <c r="K1213" s="19" t="str">
        <f>IFERROR(__xludf.DUMMYFUNCTION("""COMPUTED_VALUE"""),"-")</f>
        <v>-</v>
      </c>
      <c r="L1213" s="19" t="str">
        <f>IFERROR(__xludf.DUMMYFUNCTION("""COMPUTED_VALUE"""),"-")</f>
        <v>-</v>
      </c>
      <c r="O1213" s="24">
        <f t="shared" si="4"/>
        <v>0</v>
      </c>
      <c r="P1213" s="24"/>
      <c r="Q1213" s="24">
        <f t="shared" si="6"/>
        <v>0</v>
      </c>
      <c r="R1213" s="24">
        <f t="shared" si="7"/>
        <v>0</v>
      </c>
      <c r="S1213" s="24"/>
      <c r="T1213" s="24"/>
    </row>
    <row r="1214">
      <c r="A1214" s="12" t="s">
        <v>1302</v>
      </c>
      <c r="F1214" s="19">
        <f>IFERROR(__xludf.DUMMYFUNCTION("SPLIT(A1210, "" |"")"),1208.0)</f>
        <v>1208</v>
      </c>
      <c r="G1214" s="19">
        <f>IFERROR(__xludf.DUMMYFUNCTION("""COMPUTED_VALUE"""),0.00236)</f>
        <v>0.00236</v>
      </c>
      <c r="H1214" s="19" t="str">
        <f>IFERROR(__xludf.DUMMYFUNCTION("""COMPUTED_VALUE"""),"-")</f>
        <v>-</v>
      </c>
      <c r="I1214" s="19">
        <f>IFERROR(__xludf.DUMMYFUNCTION("""COMPUTED_VALUE"""),0.00213)</f>
        <v>0.00213</v>
      </c>
      <c r="J1214" s="19">
        <f>IFERROR(__xludf.DUMMYFUNCTION("""COMPUTED_VALUE"""),0.04739)</f>
        <v>0.04739</v>
      </c>
      <c r="K1214" s="19" t="str">
        <f>IFERROR(__xludf.DUMMYFUNCTION("""COMPUTED_VALUE"""),"-")</f>
        <v>-</v>
      </c>
      <c r="L1214" s="19" t="str">
        <f>IFERROR(__xludf.DUMMYFUNCTION("""COMPUTED_VALUE"""),"-")</f>
        <v>-</v>
      </c>
      <c r="O1214" s="24">
        <f t="shared" si="4"/>
        <v>0</v>
      </c>
      <c r="P1214" s="24"/>
      <c r="Q1214" s="24">
        <f t="shared" si="6"/>
        <v>0</v>
      </c>
      <c r="R1214" s="24">
        <f t="shared" si="7"/>
        <v>0</v>
      </c>
      <c r="S1214" s="24"/>
      <c r="T1214" s="24"/>
    </row>
    <row r="1215">
      <c r="A1215" s="12" t="s">
        <v>1303</v>
      </c>
      <c r="F1215" s="19">
        <f>IFERROR(__xludf.DUMMYFUNCTION("SPLIT(A1211, "" |"")"),1209.0)</f>
        <v>1209</v>
      </c>
      <c r="G1215" s="19">
        <f>IFERROR(__xludf.DUMMYFUNCTION("""COMPUTED_VALUE"""),0.00221)</f>
        <v>0.00221</v>
      </c>
      <c r="H1215" s="19" t="str">
        <f>IFERROR(__xludf.DUMMYFUNCTION("""COMPUTED_VALUE"""),"-")</f>
        <v>-</v>
      </c>
      <c r="I1215" s="19">
        <f>IFERROR(__xludf.DUMMYFUNCTION("""COMPUTED_VALUE"""),0.00224)</f>
        <v>0.00224</v>
      </c>
      <c r="J1215" s="19">
        <f>IFERROR(__xludf.DUMMYFUNCTION("""COMPUTED_VALUE"""),0.0474)</f>
        <v>0.0474</v>
      </c>
      <c r="K1215" s="19" t="str">
        <f>IFERROR(__xludf.DUMMYFUNCTION("""COMPUTED_VALUE"""),"-")</f>
        <v>-</v>
      </c>
      <c r="L1215" s="19" t="str">
        <f>IFERROR(__xludf.DUMMYFUNCTION("""COMPUTED_VALUE"""),"-")</f>
        <v>-</v>
      </c>
      <c r="O1215" s="24">
        <f t="shared" si="4"/>
        <v>0</v>
      </c>
      <c r="P1215" s="24"/>
      <c r="Q1215" s="24">
        <f t="shared" si="6"/>
        <v>0</v>
      </c>
      <c r="R1215" s="24">
        <f t="shared" si="7"/>
        <v>0</v>
      </c>
      <c r="S1215" s="24"/>
      <c r="T1215" s="24"/>
    </row>
    <row r="1216">
      <c r="A1216" s="12" t="s">
        <v>1304</v>
      </c>
      <c r="F1216" s="19">
        <f>IFERROR(__xludf.DUMMYFUNCTION("SPLIT(A1212, "" |"")"),1210.0)</f>
        <v>1210</v>
      </c>
      <c r="G1216" s="19">
        <f>IFERROR(__xludf.DUMMYFUNCTION("""COMPUTED_VALUE"""),0.00221)</f>
        <v>0.00221</v>
      </c>
      <c r="H1216" s="19" t="str">
        <f>IFERROR(__xludf.DUMMYFUNCTION("""COMPUTED_VALUE"""),"-")</f>
        <v>-</v>
      </c>
      <c r="I1216" s="19">
        <f>IFERROR(__xludf.DUMMYFUNCTION("""COMPUTED_VALUE"""),0.00213)</f>
        <v>0.00213</v>
      </c>
      <c r="J1216" s="19">
        <f>IFERROR(__xludf.DUMMYFUNCTION("""COMPUTED_VALUE"""),0.04712)</f>
        <v>0.04712</v>
      </c>
      <c r="K1216" s="19" t="str">
        <f>IFERROR(__xludf.DUMMYFUNCTION("""COMPUTED_VALUE"""),"-")</f>
        <v>-</v>
      </c>
      <c r="L1216" s="19" t="str">
        <f>IFERROR(__xludf.DUMMYFUNCTION("""COMPUTED_VALUE"""),"-")</f>
        <v>-</v>
      </c>
      <c r="O1216" s="24">
        <f t="shared" si="4"/>
        <v>0</v>
      </c>
      <c r="P1216" s="24"/>
      <c r="Q1216" s="24">
        <f t="shared" si="6"/>
        <v>0</v>
      </c>
      <c r="R1216" s="24">
        <f t="shared" si="7"/>
        <v>0</v>
      </c>
      <c r="S1216" s="24"/>
      <c r="T1216" s="24"/>
    </row>
    <row r="1217">
      <c r="A1217" s="12" t="s">
        <v>1305</v>
      </c>
      <c r="F1217" s="19">
        <f>IFERROR(__xludf.DUMMYFUNCTION("SPLIT(A1213, "" |"")"),1211.0)</f>
        <v>1211</v>
      </c>
      <c r="G1217" s="19">
        <f>IFERROR(__xludf.DUMMYFUNCTION("""COMPUTED_VALUE"""),0.00243)</f>
        <v>0.00243</v>
      </c>
      <c r="H1217" s="19" t="str">
        <f>IFERROR(__xludf.DUMMYFUNCTION("""COMPUTED_VALUE"""),"-")</f>
        <v>-</v>
      </c>
      <c r="I1217" s="19">
        <f>IFERROR(__xludf.DUMMYFUNCTION("""COMPUTED_VALUE"""),0.00225)</f>
        <v>0.00225</v>
      </c>
      <c r="J1217" s="19">
        <f>IFERROR(__xludf.DUMMYFUNCTION("""COMPUTED_VALUE"""),0.04737)</f>
        <v>0.04737</v>
      </c>
      <c r="K1217" s="19" t="str">
        <f>IFERROR(__xludf.DUMMYFUNCTION("""COMPUTED_VALUE"""),"-")</f>
        <v>-</v>
      </c>
      <c r="L1217" s="19" t="str">
        <f>IFERROR(__xludf.DUMMYFUNCTION("""COMPUTED_VALUE"""),"-")</f>
        <v>-</v>
      </c>
      <c r="O1217" s="24">
        <f t="shared" si="4"/>
        <v>0</v>
      </c>
      <c r="P1217" s="24"/>
      <c r="Q1217" s="24">
        <f t="shared" si="6"/>
        <v>0</v>
      </c>
      <c r="R1217" s="24">
        <f t="shared" si="7"/>
        <v>0</v>
      </c>
      <c r="S1217" s="24"/>
      <c r="T1217" s="24"/>
    </row>
    <row r="1218">
      <c r="A1218" s="12" t="s">
        <v>1306</v>
      </c>
      <c r="F1218" s="19">
        <f>IFERROR(__xludf.DUMMYFUNCTION("SPLIT(A1214, "" |"")"),1212.0)</f>
        <v>1212</v>
      </c>
      <c r="G1218" s="19">
        <f>IFERROR(__xludf.DUMMYFUNCTION("""COMPUTED_VALUE"""),0.00242)</f>
        <v>0.00242</v>
      </c>
      <c r="H1218" s="19" t="str">
        <f>IFERROR(__xludf.DUMMYFUNCTION("""COMPUTED_VALUE"""),"-")</f>
        <v>-</v>
      </c>
      <c r="I1218" s="19">
        <f>IFERROR(__xludf.DUMMYFUNCTION("""COMPUTED_VALUE"""),0.00221)</f>
        <v>0.00221</v>
      </c>
      <c r="J1218" s="19">
        <f>IFERROR(__xludf.DUMMYFUNCTION("""COMPUTED_VALUE"""),0.04256)</f>
        <v>0.04256</v>
      </c>
      <c r="K1218" s="19" t="str">
        <f>IFERROR(__xludf.DUMMYFUNCTION("""COMPUTED_VALUE"""),"-")</f>
        <v>-</v>
      </c>
      <c r="L1218" s="19" t="str">
        <f>IFERROR(__xludf.DUMMYFUNCTION("""COMPUTED_VALUE"""),"-")</f>
        <v>-</v>
      </c>
      <c r="O1218" s="24">
        <f t="shared" si="4"/>
        <v>0</v>
      </c>
      <c r="P1218" s="24"/>
      <c r="Q1218" s="24">
        <f t="shared" si="6"/>
        <v>0</v>
      </c>
      <c r="R1218" s="24">
        <f t="shared" si="7"/>
        <v>1</v>
      </c>
      <c r="S1218" s="24"/>
      <c r="T1218" s="24"/>
    </row>
    <row r="1219">
      <c r="A1219" s="12" t="s">
        <v>1307</v>
      </c>
      <c r="F1219" s="19">
        <f>IFERROR(__xludf.DUMMYFUNCTION("SPLIT(A1215, "" |"")"),1213.0)</f>
        <v>1213</v>
      </c>
      <c r="G1219" s="19">
        <f>IFERROR(__xludf.DUMMYFUNCTION("""COMPUTED_VALUE"""),0.00221)</f>
        <v>0.00221</v>
      </c>
      <c r="H1219" s="19" t="str">
        <f>IFERROR(__xludf.DUMMYFUNCTION("""COMPUTED_VALUE"""),"-")</f>
        <v>-</v>
      </c>
      <c r="I1219" s="19">
        <f>IFERROR(__xludf.DUMMYFUNCTION("""COMPUTED_VALUE"""),0.00208)</f>
        <v>0.00208</v>
      </c>
      <c r="J1219" s="19">
        <f>IFERROR(__xludf.DUMMYFUNCTION("""COMPUTED_VALUE"""),0.0473)</f>
        <v>0.0473</v>
      </c>
      <c r="K1219" s="19" t="str">
        <f>IFERROR(__xludf.DUMMYFUNCTION("""COMPUTED_VALUE"""),"-")</f>
        <v>-</v>
      </c>
      <c r="L1219" s="19" t="str">
        <f>IFERROR(__xludf.DUMMYFUNCTION("""COMPUTED_VALUE"""),"-")</f>
        <v>-</v>
      </c>
      <c r="O1219" s="24">
        <f t="shared" si="4"/>
        <v>0</v>
      </c>
      <c r="P1219" s="24"/>
      <c r="Q1219" s="24">
        <f t="shared" si="6"/>
        <v>0</v>
      </c>
      <c r="R1219" s="24">
        <f t="shared" si="7"/>
        <v>0</v>
      </c>
      <c r="S1219" s="24"/>
      <c r="T1219" s="24"/>
    </row>
    <row r="1220">
      <c r="A1220" s="12" t="s">
        <v>1308</v>
      </c>
      <c r="F1220" s="19">
        <f>IFERROR(__xludf.DUMMYFUNCTION("SPLIT(A1216, "" |"")"),1214.0)</f>
        <v>1214</v>
      </c>
      <c r="G1220" s="19">
        <f>IFERROR(__xludf.DUMMYFUNCTION("""COMPUTED_VALUE"""),0.00222)</f>
        <v>0.00222</v>
      </c>
      <c r="H1220" s="19" t="str">
        <f>IFERROR(__xludf.DUMMYFUNCTION("""COMPUTED_VALUE"""),"-")</f>
        <v>-</v>
      </c>
      <c r="I1220" s="19">
        <f>IFERROR(__xludf.DUMMYFUNCTION("""COMPUTED_VALUE"""),0.00206)</f>
        <v>0.00206</v>
      </c>
      <c r="J1220" s="19">
        <f>IFERROR(__xludf.DUMMYFUNCTION("""COMPUTED_VALUE"""),0.0473)</f>
        <v>0.0473</v>
      </c>
      <c r="K1220" s="19" t="str">
        <f>IFERROR(__xludf.DUMMYFUNCTION("""COMPUTED_VALUE"""),"-")</f>
        <v>-</v>
      </c>
      <c r="L1220" s="19" t="str">
        <f>IFERROR(__xludf.DUMMYFUNCTION("""COMPUTED_VALUE"""),"-")</f>
        <v>-</v>
      </c>
      <c r="O1220" s="24">
        <f t="shared" si="4"/>
        <v>0</v>
      </c>
      <c r="P1220" s="24"/>
      <c r="Q1220" s="24">
        <f t="shared" si="6"/>
        <v>0</v>
      </c>
      <c r="R1220" s="24">
        <f t="shared" si="7"/>
        <v>0</v>
      </c>
      <c r="S1220" s="24"/>
      <c r="T1220" s="24"/>
    </row>
    <row r="1221">
      <c r="A1221" s="12" t="s">
        <v>1309</v>
      </c>
      <c r="F1221" s="19">
        <f>IFERROR(__xludf.DUMMYFUNCTION("SPLIT(A1217, "" |"")"),1215.0)</f>
        <v>1215</v>
      </c>
      <c r="G1221" s="19">
        <f>IFERROR(__xludf.DUMMYFUNCTION("""COMPUTED_VALUE"""),0.00235)</f>
        <v>0.00235</v>
      </c>
      <c r="H1221" s="19" t="str">
        <f>IFERROR(__xludf.DUMMYFUNCTION("""COMPUTED_VALUE"""),"-")</f>
        <v>-</v>
      </c>
      <c r="I1221" s="19">
        <f>IFERROR(__xludf.DUMMYFUNCTION("""COMPUTED_VALUE"""),0.00222)</f>
        <v>0.00222</v>
      </c>
      <c r="J1221" s="19">
        <f>IFERROR(__xludf.DUMMYFUNCTION("""COMPUTED_VALUE"""),0.04753)</f>
        <v>0.04753</v>
      </c>
      <c r="K1221" s="19" t="str">
        <f>IFERROR(__xludf.DUMMYFUNCTION("""COMPUTED_VALUE"""),"-")</f>
        <v>-</v>
      </c>
      <c r="L1221" s="19" t="str">
        <f>IFERROR(__xludf.DUMMYFUNCTION("""COMPUTED_VALUE"""),"-")</f>
        <v>-</v>
      </c>
      <c r="O1221" s="24">
        <f t="shared" si="4"/>
        <v>0</v>
      </c>
      <c r="P1221" s="24"/>
      <c r="Q1221" s="24">
        <f t="shared" si="6"/>
        <v>0</v>
      </c>
      <c r="R1221" s="24">
        <f t="shared" si="7"/>
        <v>0</v>
      </c>
      <c r="S1221" s="24"/>
      <c r="T1221" s="24"/>
    </row>
    <row r="1222">
      <c r="A1222" s="12" t="s">
        <v>1310</v>
      </c>
      <c r="F1222" s="19">
        <f>IFERROR(__xludf.DUMMYFUNCTION("SPLIT(A1218, "" |"")"),1216.0)</f>
        <v>1216</v>
      </c>
      <c r="G1222" s="19">
        <f>IFERROR(__xludf.DUMMYFUNCTION("""COMPUTED_VALUE"""),0.00241)</f>
        <v>0.00241</v>
      </c>
      <c r="H1222" s="19" t="str">
        <f>IFERROR(__xludf.DUMMYFUNCTION("""COMPUTED_VALUE"""),"-")</f>
        <v>-</v>
      </c>
      <c r="I1222" s="19">
        <f>IFERROR(__xludf.DUMMYFUNCTION("""COMPUTED_VALUE"""),0.00227)</f>
        <v>0.00227</v>
      </c>
      <c r="J1222" s="19">
        <f>IFERROR(__xludf.DUMMYFUNCTION("""COMPUTED_VALUE"""),0.04509)</f>
        <v>0.04509</v>
      </c>
      <c r="K1222" s="19" t="str">
        <f>IFERROR(__xludf.DUMMYFUNCTION("""COMPUTED_VALUE"""),"-")</f>
        <v>-</v>
      </c>
      <c r="L1222" s="19" t="str">
        <f>IFERROR(__xludf.DUMMYFUNCTION("""COMPUTED_VALUE"""),"-")</f>
        <v>-</v>
      </c>
      <c r="O1222" s="24">
        <f t="shared" si="4"/>
        <v>0</v>
      </c>
      <c r="P1222" s="24"/>
      <c r="Q1222" s="24">
        <f t="shared" si="6"/>
        <v>0</v>
      </c>
      <c r="R1222" s="24">
        <f t="shared" si="7"/>
        <v>0</v>
      </c>
      <c r="S1222" s="24"/>
      <c r="T1222" s="24"/>
    </row>
    <row r="1223">
      <c r="A1223" s="12" t="s">
        <v>1311</v>
      </c>
      <c r="F1223" s="19">
        <f>IFERROR(__xludf.DUMMYFUNCTION("SPLIT(A1219, "" |"")"),1217.0)</f>
        <v>1217</v>
      </c>
      <c r="G1223" s="19">
        <f>IFERROR(__xludf.DUMMYFUNCTION("""COMPUTED_VALUE"""),0.00232)</f>
        <v>0.00232</v>
      </c>
      <c r="H1223" s="19" t="str">
        <f>IFERROR(__xludf.DUMMYFUNCTION("""COMPUTED_VALUE"""),"-")</f>
        <v>-</v>
      </c>
      <c r="I1223" s="19">
        <f>IFERROR(__xludf.DUMMYFUNCTION("""COMPUTED_VALUE"""),0.0022)</f>
        <v>0.0022</v>
      </c>
      <c r="J1223" s="19">
        <f>IFERROR(__xludf.DUMMYFUNCTION("""COMPUTED_VALUE"""),0.04443)</f>
        <v>0.04443</v>
      </c>
      <c r="K1223" s="19" t="str">
        <f>IFERROR(__xludf.DUMMYFUNCTION("""COMPUTED_VALUE"""),"-")</f>
        <v>-</v>
      </c>
      <c r="L1223" s="19" t="str">
        <f>IFERROR(__xludf.DUMMYFUNCTION("""COMPUTED_VALUE"""),"-")</f>
        <v>-</v>
      </c>
      <c r="O1223" s="24">
        <f t="shared" si="4"/>
        <v>0</v>
      </c>
      <c r="P1223" s="24"/>
      <c r="Q1223" s="24">
        <f t="shared" si="6"/>
        <v>0</v>
      </c>
      <c r="R1223" s="24">
        <f t="shared" si="7"/>
        <v>1</v>
      </c>
      <c r="S1223" s="24"/>
      <c r="T1223" s="24"/>
    </row>
    <row r="1224">
      <c r="A1224" s="12" t="s">
        <v>1312</v>
      </c>
      <c r="F1224" s="19">
        <f>IFERROR(__xludf.DUMMYFUNCTION("SPLIT(A1220, "" |"")"),1218.0)</f>
        <v>1218</v>
      </c>
      <c r="G1224" s="19">
        <f>IFERROR(__xludf.DUMMYFUNCTION("""COMPUTED_VALUE"""),0.00237)</f>
        <v>0.00237</v>
      </c>
      <c r="H1224" s="19" t="str">
        <f>IFERROR(__xludf.DUMMYFUNCTION("""COMPUTED_VALUE"""),"-")</f>
        <v>-</v>
      </c>
      <c r="I1224" s="19">
        <f>IFERROR(__xludf.DUMMYFUNCTION("""COMPUTED_VALUE"""),0.00222)</f>
        <v>0.00222</v>
      </c>
      <c r="J1224" s="19">
        <f>IFERROR(__xludf.DUMMYFUNCTION("""COMPUTED_VALUE"""),0.04752)</f>
        <v>0.04752</v>
      </c>
      <c r="K1224" s="19" t="str">
        <f>IFERROR(__xludf.DUMMYFUNCTION("""COMPUTED_VALUE"""),"-")</f>
        <v>-</v>
      </c>
      <c r="L1224" s="19" t="str">
        <f>IFERROR(__xludf.DUMMYFUNCTION("""COMPUTED_VALUE"""),"-")</f>
        <v>-</v>
      </c>
      <c r="O1224" s="24">
        <f t="shared" si="4"/>
        <v>0</v>
      </c>
      <c r="P1224" s="24"/>
      <c r="Q1224" s="24">
        <f t="shared" si="6"/>
        <v>0</v>
      </c>
      <c r="R1224" s="24">
        <f t="shared" si="7"/>
        <v>0</v>
      </c>
      <c r="S1224" s="24"/>
      <c r="T1224" s="24"/>
    </row>
    <row r="1225">
      <c r="A1225" s="12" t="s">
        <v>1313</v>
      </c>
      <c r="F1225" s="19">
        <f>IFERROR(__xludf.DUMMYFUNCTION("SPLIT(A1221, "" |"")"),1219.0)</f>
        <v>1219</v>
      </c>
      <c r="G1225" s="19">
        <f>IFERROR(__xludf.DUMMYFUNCTION("""COMPUTED_VALUE"""),0.00238)</f>
        <v>0.00238</v>
      </c>
      <c r="H1225" s="19" t="str">
        <f>IFERROR(__xludf.DUMMYFUNCTION("""COMPUTED_VALUE"""),"-")</f>
        <v>-</v>
      </c>
      <c r="I1225" s="19">
        <f>IFERROR(__xludf.DUMMYFUNCTION("""COMPUTED_VALUE"""),0.00229)</f>
        <v>0.00229</v>
      </c>
      <c r="J1225" s="19">
        <f>IFERROR(__xludf.DUMMYFUNCTION("""COMPUTED_VALUE"""),0.04734)</f>
        <v>0.04734</v>
      </c>
      <c r="K1225" s="19" t="str">
        <f>IFERROR(__xludf.DUMMYFUNCTION("""COMPUTED_VALUE"""),"-")</f>
        <v>-</v>
      </c>
      <c r="L1225" s="19" t="str">
        <f>IFERROR(__xludf.DUMMYFUNCTION("""COMPUTED_VALUE"""),"-")</f>
        <v>-</v>
      </c>
      <c r="O1225" s="24">
        <f t="shared" si="4"/>
        <v>0</v>
      </c>
      <c r="P1225" s="24"/>
      <c r="Q1225" s="24">
        <f t="shared" si="6"/>
        <v>0</v>
      </c>
      <c r="R1225" s="24">
        <f t="shared" si="7"/>
        <v>0</v>
      </c>
      <c r="S1225" s="24"/>
      <c r="T1225" s="24"/>
    </row>
    <row r="1226">
      <c r="A1226" s="12" t="s">
        <v>1314</v>
      </c>
      <c r="F1226" s="19">
        <f>IFERROR(__xludf.DUMMYFUNCTION("SPLIT(A1222, "" |"")"),1220.0)</f>
        <v>1220</v>
      </c>
      <c r="G1226" s="19">
        <f>IFERROR(__xludf.DUMMYFUNCTION("""COMPUTED_VALUE"""),0.0025)</f>
        <v>0.0025</v>
      </c>
      <c r="H1226" s="19" t="str">
        <f>IFERROR(__xludf.DUMMYFUNCTION("""COMPUTED_VALUE"""),"-")</f>
        <v>-</v>
      </c>
      <c r="I1226" s="19">
        <f>IFERROR(__xludf.DUMMYFUNCTION("""COMPUTED_VALUE"""),0.00222)</f>
        <v>0.00222</v>
      </c>
      <c r="J1226" s="19">
        <f>IFERROR(__xludf.DUMMYFUNCTION("""COMPUTED_VALUE"""),0.04199)</f>
        <v>0.04199</v>
      </c>
      <c r="K1226" s="19" t="str">
        <f>IFERROR(__xludf.DUMMYFUNCTION("""COMPUTED_VALUE"""),"-")</f>
        <v>-</v>
      </c>
      <c r="L1226" s="19" t="str">
        <f>IFERROR(__xludf.DUMMYFUNCTION("""COMPUTED_VALUE"""),"-")</f>
        <v>-</v>
      </c>
      <c r="O1226" s="24">
        <f t="shared" si="4"/>
        <v>0</v>
      </c>
      <c r="P1226" s="24"/>
      <c r="Q1226" s="24">
        <f t="shared" si="6"/>
        <v>0</v>
      </c>
      <c r="R1226" s="24">
        <f t="shared" si="7"/>
        <v>1</v>
      </c>
      <c r="S1226" s="24"/>
      <c r="T1226" s="24"/>
    </row>
    <row r="1227">
      <c r="A1227" s="12" t="s">
        <v>1315</v>
      </c>
      <c r="F1227" s="19">
        <f>IFERROR(__xludf.DUMMYFUNCTION("SPLIT(A1223, "" |"")"),1221.0)</f>
        <v>1221</v>
      </c>
      <c r="G1227" s="19">
        <f>IFERROR(__xludf.DUMMYFUNCTION("""COMPUTED_VALUE"""),0.0023)</f>
        <v>0.0023</v>
      </c>
      <c r="H1227" s="19" t="str">
        <f>IFERROR(__xludf.DUMMYFUNCTION("""COMPUTED_VALUE"""),"-")</f>
        <v>-</v>
      </c>
      <c r="I1227" s="19">
        <f>IFERROR(__xludf.DUMMYFUNCTION("""COMPUTED_VALUE"""),0.00217)</f>
        <v>0.00217</v>
      </c>
      <c r="J1227" s="19">
        <f>IFERROR(__xludf.DUMMYFUNCTION("""COMPUTED_VALUE"""),0.0463)</f>
        <v>0.0463</v>
      </c>
      <c r="K1227" s="19" t="str">
        <f>IFERROR(__xludf.DUMMYFUNCTION("""COMPUTED_VALUE"""),"-")</f>
        <v>-</v>
      </c>
      <c r="L1227" s="19" t="str">
        <f>IFERROR(__xludf.DUMMYFUNCTION("""COMPUTED_VALUE"""),"-")</f>
        <v>-</v>
      </c>
      <c r="O1227" s="24">
        <f t="shared" si="4"/>
        <v>0</v>
      </c>
      <c r="P1227" s="24"/>
      <c r="Q1227" s="24">
        <f t="shared" si="6"/>
        <v>0</v>
      </c>
      <c r="R1227" s="24">
        <f t="shared" si="7"/>
        <v>0</v>
      </c>
      <c r="S1227" s="24"/>
      <c r="T1227" s="24"/>
    </row>
    <row r="1228">
      <c r="A1228" s="12" t="s">
        <v>1316</v>
      </c>
      <c r="F1228" s="19">
        <f>IFERROR(__xludf.DUMMYFUNCTION("SPLIT(A1224, "" |"")"),1222.0)</f>
        <v>1222</v>
      </c>
      <c r="G1228" s="19">
        <f>IFERROR(__xludf.DUMMYFUNCTION("""COMPUTED_VALUE"""),0.00236)</f>
        <v>0.00236</v>
      </c>
      <c r="H1228" s="19" t="str">
        <f>IFERROR(__xludf.DUMMYFUNCTION("""COMPUTED_VALUE"""),"-")</f>
        <v>-</v>
      </c>
      <c r="I1228" s="19">
        <f>IFERROR(__xludf.DUMMYFUNCTION("""COMPUTED_VALUE"""),0.00223)</f>
        <v>0.00223</v>
      </c>
      <c r="J1228" s="19">
        <f>IFERROR(__xludf.DUMMYFUNCTION("""COMPUTED_VALUE"""),0.0475)</f>
        <v>0.0475</v>
      </c>
      <c r="K1228" s="19" t="str">
        <f>IFERROR(__xludf.DUMMYFUNCTION("""COMPUTED_VALUE"""),"-")</f>
        <v>-</v>
      </c>
      <c r="L1228" s="19" t="str">
        <f>IFERROR(__xludf.DUMMYFUNCTION("""COMPUTED_VALUE"""),"-")</f>
        <v>-</v>
      </c>
      <c r="O1228" s="24">
        <f t="shared" si="4"/>
        <v>0</v>
      </c>
      <c r="P1228" s="24"/>
      <c r="Q1228" s="24">
        <f t="shared" si="6"/>
        <v>0</v>
      </c>
      <c r="R1228" s="24">
        <f t="shared" si="7"/>
        <v>0</v>
      </c>
      <c r="S1228" s="24"/>
      <c r="T1228" s="24"/>
    </row>
    <row r="1229">
      <c r="A1229" s="12" t="s">
        <v>1317</v>
      </c>
      <c r="F1229" s="19">
        <f>IFERROR(__xludf.DUMMYFUNCTION("SPLIT(A1225, "" |"")"),1223.0)</f>
        <v>1223</v>
      </c>
      <c r="G1229" s="19">
        <f>IFERROR(__xludf.DUMMYFUNCTION("""COMPUTED_VALUE"""),0.0024)</f>
        <v>0.0024</v>
      </c>
      <c r="H1229" s="19" t="str">
        <f>IFERROR(__xludf.DUMMYFUNCTION("""COMPUTED_VALUE"""),"-")</f>
        <v>-</v>
      </c>
      <c r="I1229" s="19">
        <f>IFERROR(__xludf.DUMMYFUNCTION("""COMPUTED_VALUE"""),0.00228)</f>
        <v>0.00228</v>
      </c>
      <c r="J1229" s="19">
        <f>IFERROR(__xludf.DUMMYFUNCTION("""COMPUTED_VALUE"""),0.0475)</f>
        <v>0.0475</v>
      </c>
      <c r="K1229" s="19" t="str">
        <f>IFERROR(__xludf.DUMMYFUNCTION("""COMPUTED_VALUE"""),"-")</f>
        <v>-</v>
      </c>
      <c r="L1229" s="19" t="str">
        <f>IFERROR(__xludf.DUMMYFUNCTION("""COMPUTED_VALUE"""),"-")</f>
        <v>-</v>
      </c>
      <c r="O1229" s="24">
        <f t="shared" si="4"/>
        <v>0</v>
      </c>
      <c r="P1229" s="24"/>
      <c r="Q1229" s="24">
        <f t="shared" si="6"/>
        <v>0</v>
      </c>
      <c r="R1229" s="24">
        <f t="shared" si="7"/>
        <v>0</v>
      </c>
      <c r="S1229" s="24"/>
      <c r="T1229" s="24"/>
    </row>
    <row r="1230">
      <c r="A1230" s="12" t="s">
        <v>1318</v>
      </c>
      <c r="F1230" s="19">
        <f>IFERROR(__xludf.DUMMYFUNCTION("SPLIT(A1226, "" |"")"),1224.0)</f>
        <v>1224</v>
      </c>
      <c r="G1230" s="19">
        <f>IFERROR(__xludf.DUMMYFUNCTION("""COMPUTED_VALUE"""),0.00239)</f>
        <v>0.00239</v>
      </c>
      <c r="H1230" s="19" t="str">
        <f>IFERROR(__xludf.DUMMYFUNCTION("""COMPUTED_VALUE"""),"-")</f>
        <v>-</v>
      </c>
      <c r="I1230" s="19">
        <f>IFERROR(__xludf.DUMMYFUNCTION("""COMPUTED_VALUE"""),0.00221)</f>
        <v>0.00221</v>
      </c>
      <c r="J1230" s="19">
        <f>IFERROR(__xludf.DUMMYFUNCTION("""COMPUTED_VALUE"""),0.04745)</f>
        <v>0.04745</v>
      </c>
      <c r="K1230" s="19" t="str">
        <f>IFERROR(__xludf.DUMMYFUNCTION("""COMPUTED_VALUE"""),"-")</f>
        <v>-</v>
      </c>
      <c r="L1230" s="19" t="str">
        <f>IFERROR(__xludf.DUMMYFUNCTION("""COMPUTED_VALUE"""),"-")</f>
        <v>-</v>
      </c>
      <c r="O1230" s="24">
        <f t="shared" si="4"/>
        <v>0</v>
      </c>
      <c r="P1230" s="24"/>
      <c r="Q1230" s="24">
        <f t="shared" si="6"/>
        <v>0</v>
      </c>
      <c r="R1230" s="24">
        <f t="shared" si="7"/>
        <v>0</v>
      </c>
      <c r="S1230" s="24"/>
      <c r="T1230" s="24"/>
    </row>
    <row r="1231">
      <c r="A1231" s="12" t="s">
        <v>1319</v>
      </c>
      <c r="F1231" s="19">
        <f>IFERROR(__xludf.DUMMYFUNCTION("SPLIT(A1227, "" |"")"),1225.0)</f>
        <v>1225</v>
      </c>
      <c r="G1231" s="19">
        <f>IFERROR(__xludf.DUMMYFUNCTION("""COMPUTED_VALUE"""),0.00233)</f>
        <v>0.00233</v>
      </c>
      <c r="H1231" s="19" t="str">
        <f>IFERROR(__xludf.DUMMYFUNCTION("""COMPUTED_VALUE"""),"-")</f>
        <v>-</v>
      </c>
      <c r="I1231" s="19">
        <f>IFERROR(__xludf.DUMMYFUNCTION("""COMPUTED_VALUE"""),0.00222)</f>
        <v>0.00222</v>
      </c>
      <c r="J1231" s="19">
        <f>IFERROR(__xludf.DUMMYFUNCTION("""COMPUTED_VALUE"""),0.04018)</f>
        <v>0.04018</v>
      </c>
      <c r="K1231" s="19" t="str">
        <f>IFERROR(__xludf.DUMMYFUNCTION("""COMPUTED_VALUE"""),"-")</f>
        <v>-</v>
      </c>
      <c r="L1231" s="19" t="str">
        <f>IFERROR(__xludf.DUMMYFUNCTION("""COMPUTED_VALUE"""),"-")</f>
        <v>-</v>
      </c>
      <c r="O1231" s="24">
        <f t="shared" si="4"/>
        <v>0</v>
      </c>
      <c r="P1231" s="24"/>
      <c r="Q1231" s="24">
        <f t="shared" si="6"/>
        <v>0</v>
      </c>
      <c r="R1231" s="24">
        <f t="shared" si="7"/>
        <v>1</v>
      </c>
      <c r="S1231" s="24"/>
      <c r="T1231" s="24"/>
    </row>
    <row r="1232">
      <c r="A1232" s="12" t="s">
        <v>1320</v>
      </c>
      <c r="F1232" s="19">
        <f>IFERROR(__xludf.DUMMYFUNCTION("SPLIT(A1228, "" |"")"),1226.0)</f>
        <v>1226</v>
      </c>
      <c r="G1232" s="19">
        <f>IFERROR(__xludf.DUMMYFUNCTION("""COMPUTED_VALUE"""),0.00231)</f>
        <v>0.00231</v>
      </c>
      <c r="H1232" s="19" t="str">
        <f>IFERROR(__xludf.DUMMYFUNCTION("""COMPUTED_VALUE"""),"-")</f>
        <v>-</v>
      </c>
      <c r="I1232" s="19">
        <f>IFERROR(__xludf.DUMMYFUNCTION("""COMPUTED_VALUE"""),0.00218)</f>
        <v>0.00218</v>
      </c>
      <c r="J1232" s="19">
        <f>IFERROR(__xludf.DUMMYFUNCTION("""COMPUTED_VALUE"""),0.0475)</f>
        <v>0.0475</v>
      </c>
      <c r="K1232" s="19" t="str">
        <f>IFERROR(__xludf.DUMMYFUNCTION("""COMPUTED_VALUE"""),"-")</f>
        <v>-</v>
      </c>
      <c r="L1232" s="19" t="str">
        <f>IFERROR(__xludf.DUMMYFUNCTION("""COMPUTED_VALUE"""),"-")</f>
        <v>-</v>
      </c>
      <c r="O1232" s="24">
        <f t="shared" si="4"/>
        <v>0</v>
      </c>
      <c r="P1232" s="24"/>
      <c r="Q1232" s="24">
        <f t="shared" si="6"/>
        <v>0</v>
      </c>
      <c r="R1232" s="24">
        <f t="shared" si="7"/>
        <v>0</v>
      </c>
      <c r="S1232" s="24"/>
      <c r="T1232" s="24"/>
    </row>
    <row r="1233">
      <c r="A1233" s="12" t="s">
        <v>1321</v>
      </c>
      <c r="F1233" s="19">
        <f>IFERROR(__xludf.DUMMYFUNCTION("SPLIT(A1229, "" |"")"),1227.0)</f>
        <v>1227</v>
      </c>
      <c r="G1233" s="19">
        <f>IFERROR(__xludf.DUMMYFUNCTION("""COMPUTED_VALUE"""),0.00243)</f>
        <v>0.00243</v>
      </c>
      <c r="H1233" s="19" t="str">
        <f>IFERROR(__xludf.DUMMYFUNCTION("""COMPUTED_VALUE"""),"-")</f>
        <v>-</v>
      </c>
      <c r="I1233" s="19">
        <f>IFERROR(__xludf.DUMMYFUNCTION("""COMPUTED_VALUE"""),0.00227)</f>
        <v>0.00227</v>
      </c>
      <c r="J1233" s="19">
        <f>IFERROR(__xludf.DUMMYFUNCTION("""COMPUTED_VALUE"""),0.04748)</f>
        <v>0.04748</v>
      </c>
      <c r="K1233" s="19" t="str">
        <f>IFERROR(__xludf.DUMMYFUNCTION("""COMPUTED_VALUE"""),"-")</f>
        <v>-</v>
      </c>
      <c r="L1233" s="19" t="str">
        <f>IFERROR(__xludf.DUMMYFUNCTION("""COMPUTED_VALUE"""),"-")</f>
        <v>-</v>
      </c>
      <c r="O1233" s="24">
        <f t="shared" si="4"/>
        <v>0</v>
      </c>
      <c r="P1233" s="24"/>
      <c r="Q1233" s="24">
        <f t="shared" si="6"/>
        <v>0</v>
      </c>
      <c r="R1233" s="24">
        <f t="shared" si="7"/>
        <v>0</v>
      </c>
      <c r="S1233" s="24"/>
      <c r="T1233" s="24"/>
    </row>
    <row r="1234">
      <c r="A1234" s="12" t="s">
        <v>1322</v>
      </c>
      <c r="F1234" s="19">
        <f>IFERROR(__xludf.DUMMYFUNCTION("SPLIT(A1230, "" |"")"),1228.0)</f>
        <v>1228</v>
      </c>
      <c r="G1234" s="19">
        <f>IFERROR(__xludf.DUMMYFUNCTION("""COMPUTED_VALUE"""),0.0024)</f>
        <v>0.0024</v>
      </c>
      <c r="H1234" s="19" t="str">
        <f>IFERROR(__xludf.DUMMYFUNCTION("""COMPUTED_VALUE"""),"-")</f>
        <v>-</v>
      </c>
      <c r="I1234" s="19">
        <f>IFERROR(__xludf.DUMMYFUNCTION("""COMPUTED_VALUE"""),0.00217)</f>
        <v>0.00217</v>
      </c>
      <c r="J1234" s="19">
        <f>IFERROR(__xludf.DUMMYFUNCTION("""COMPUTED_VALUE"""),0.04123)</f>
        <v>0.04123</v>
      </c>
      <c r="K1234" s="19" t="str">
        <f>IFERROR(__xludf.DUMMYFUNCTION("""COMPUTED_VALUE"""),"-")</f>
        <v>-</v>
      </c>
      <c r="L1234" s="19" t="str">
        <f>IFERROR(__xludf.DUMMYFUNCTION("""COMPUTED_VALUE"""),"-")</f>
        <v>-</v>
      </c>
      <c r="O1234" s="24">
        <f t="shared" si="4"/>
        <v>0</v>
      </c>
      <c r="P1234" s="24"/>
      <c r="Q1234" s="24">
        <f t="shared" si="6"/>
        <v>0</v>
      </c>
      <c r="R1234" s="24">
        <f t="shared" si="7"/>
        <v>1</v>
      </c>
      <c r="S1234" s="24"/>
      <c r="T1234" s="24"/>
    </row>
    <row r="1235">
      <c r="A1235" s="12" t="s">
        <v>1323</v>
      </c>
      <c r="F1235" s="19">
        <f>IFERROR(__xludf.DUMMYFUNCTION("SPLIT(A1231, "" |"")"),1229.0)</f>
        <v>1229</v>
      </c>
      <c r="G1235" s="19">
        <f>IFERROR(__xludf.DUMMYFUNCTION("""COMPUTED_VALUE"""),0.00237)</f>
        <v>0.00237</v>
      </c>
      <c r="H1235" s="19" t="str">
        <f>IFERROR(__xludf.DUMMYFUNCTION("""COMPUTED_VALUE"""),"-")</f>
        <v>-</v>
      </c>
      <c r="I1235" s="19">
        <f>IFERROR(__xludf.DUMMYFUNCTION("""COMPUTED_VALUE"""),0.00223)</f>
        <v>0.00223</v>
      </c>
      <c r="J1235" s="19">
        <f>IFERROR(__xludf.DUMMYFUNCTION("""COMPUTED_VALUE"""),0.04738)</f>
        <v>0.04738</v>
      </c>
      <c r="K1235" s="19" t="str">
        <f>IFERROR(__xludf.DUMMYFUNCTION("""COMPUTED_VALUE"""),"-")</f>
        <v>-</v>
      </c>
      <c r="L1235" s="19" t="str">
        <f>IFERROR(__xludf.DUMMYFUNCTION("""COMPUTED_VALUE"""),"-")</f>
        <v>-</v>
      </c>
      <c r="O1235" s="24">
        <f t="shared" si="4"/>
        <v>0</v>
      </c>
      <c r="P1235" s="24"/>
      <c r="Q1235" s="24">
        <f t="shared" si="6"/>
        <v>0</v>
      </c>
      <c r="R1235" s="24">
        <f t="shared" si="7"/>
        <v>0</v>
      </c>
      <c r="S1235" s="24"/>
      <c r="T1235" s="24"/>
    </row>
    <row r="1236">
      <c r="A1236" s="12" t="s">
        <v>1324</v>
      </c>
      <c r="F1236" s="19">
        <f>IFERROR(__xludf.DUMMYFUNCTION("SPLIT(A1232, "" |"")"),1230.0)</f>
        <v>1230</v>
      </c>
      <c r="G1236" s="19">
        <f>IFERROR(__xludf.DUMMYFUNCTION("""COMPUTED_VALUE"""),0.00236)</f>
        <v>0.00236</v>
      </c>
      <c r="H1236" s="19" t="str">
        <f>IFERROR(__xludf.DUMMYFUNCTION("""COMPUTED_VALUE"""),"-")</f>
        <v>-</v>
      </c>
      <c r="I1236" s="19">
        <f>IFERROR(__xludf.DUMMYFUNCTION("""COMPUTED_VALUE"""),0.00223)</f>
        <v>0.00223</v>
      </c>
      <c r="J1236" s="19">
        <f>IFERROR(__xludf.DUMMYFUNCTION("""COMPUTED_VALUE"""),0.04749)</f>
        <v>0.04749</v>
      </c>
      <c r="K1236" s="19" t="str">
        <f>IFERROR(__xludf.DUMMYFUNCTION("""COMPUTED_VALUE"""),"-")</f>
        <v>-</v>
      </c>
      <c r="L1236" s="19" t="str">
        <f>IFERROR(__xludf.DUMMYFUNCTION("""COMPUTED_VALUE"""),"-")</f>
        <v>-</v>
      </c>
      <c r="O1236" s="24">
        <f t="shared" si="4"/>
        <v>0</v>
      </c>
      <c r="P1236" s="24"/>
      <c r="Q1236" s="24">
        <f t="shared" si="6"/>
        <v>0</v>
      </c>
      <c r="R1236" s="24">
        <f t="shared" si="7"/>
        <v>0</v>
      </c>
      <c r="S1236" s="24"/>
      <c r="T1236" s="24"/>
    </row>
    <row r="1237">
      <c r="A1237" s="12" t="s">
        <v>1325</v>
      </c>
      <c r="F1237" s="19">
        <f>IFERROR(__xludf.DUMMYFUNCTION("SPLIT(A1233, "" |"")"),1231.0)</f>
        <v>1231</v>
      </c>
      <c r="G1237" s="19">
        <f>IFERROR(__xludf.DUMMYFUNCTION("""COMPUTED_VALUE"""),0.00236)</f>
        <v>0.00236</v>
      </c>
      <c r="H1237" s="19" t="str">
        <f>IFERROR(__xludf.DUMMYFUNCTION("""COMPUTED_VALUE"""),"-")</f>
        <v>-</v>
      </c>
      <c r="I1237" s="19">
        <f>IFERROR(__xludf.DUMMYFUNCTION("""COMPUTED_VALUE"""),0.00221)</f>
        <v>0.00221</v>
      </c>
      <c r="J1237" s="19">
        <f>IFERROR(__xludf.DUMMYFUNCTION("""COMPUTED_VALUE"""),0.04745)</f>
        <v>0.04745</v>
      </c>
      <c r="K1237" s="19" t="str">
        <f>IFERROR(__xludf.DUMMYFUNCTION("""COMPUTED_VALUE"""),"-")</f>
        <v>-</v>
      </c>
      <c r="L1237" s="19" t="str">
        <f>IFERROR(__xludf.DUMMYFUNCTION("""COMPUTED_VALUE"""),"-")</f>
        <v>-</v>
      </c>
      <c r="O1237" s="24">
        <f t="shared" si="4"/>
        <v>0</v>
      </c>
      <c r="P1237" s="24"/>
      <c r="Q1237" s="24">
        <f t="shared" si="6"/>
        <v>0</v>
      </c>
      <c r="R1237" s="24">
        <f t="shared" si="7"/>
        <v>0</v>
      </c>
      <c r="S1237" s="24"/>
      <c r="T1237" s="24"/>
    </row>
    <row r="1238">
      <c r="A1238" s="12" t="s">
        <v>1326</v>
      </c>
      <c r="F1238" s="19">
        <f>IFERROR(__xludf.DUMMYFUNCTION("SPLIT(A1234, "" |"")"),1232.0)</f>
        <v>1232</v>
      </c>
      <c r="G1238" s="19">
        <f>IFERROR(__xludf.DUMMYFUNCTION("""COMPUTED_VALUE"""),0.00242)</f>
        <v>0.00242</v>
      </c>
      <c r="H1238" s="19" t="str">
        <f>IFERROR(__xludf.DUMMYFUNCTION("""COMPUTED_VALUE"""),"-")</f>
        <v>-</v>
      </c>
      <c r="I1238" s="19">
        <f>IFERROR(__xludf.DUMMYFUNCTION("""COMPUTED_VALUE"""),0.00223)</f>
        <v>0.00223</v>
      </c>
      <c r="J1238" s="19">
        <f>IFERROR(__xludf.DUMMYFUNCTION("""COMPUTED_VALUE"""),0.04362)</f>
        <v>0.04362</v>
      </c>
      <c r="K1238" s="19" t="str">
        <f>IFERROR(__xludf.DUMMYFUNCTION("""COMPUTED_VALUE"""),"-")</f>
        <v>-</v>
      </c>
      <c r="L1238" s="19" t="str">
        <f>IFERROR(__xludf.DUMMYFUNCTION("""COMPUTED_VALUE"""),"-")</f>
        <v>-</v>
      </c>
      <c r="O1238" s="24">
        <f t="shared" si="4"/>
        <v>0</v>
      </c>
      <c r="P1238" s="24"/>
      <c r="Q1238" s="24">
        <f t="shared" si="6"/>
        <v>0</v>
      </c>
      <c r="R1238" s="24">
        <f t="shared" si="7"/>
        <v>1</v>
      </c>
      <c r="S1238" s="24"/>
      <c r="T1238" s="24"/>
    </row>
    <row r="1239">
      <c r="A1239" s="12" t="s">
        <v>1327</v>
      </c>
      <c r="F1239" s="19">
        <f>IFERROR(__xludf.DUMMYFUNCTION("SPLIT(A1235, "" |"")"),1233.0)</f>
        <v>1233</v>
      </c>
      <c r="G1239" s="19">
        <f>IFERROR(__xludf.DUMMYFUNCTION("""COMPUTED_VALUE"""),0.00237)</f>
        <v>0.00237</v>
      </c>
      <c r="H1239" s="19" t="str">
        <f>IFERROR(__xludf.DUMMYFUNCTION("""COMPUTED_VALUE"""),"-")</f>
        <v>-</v>
      </c>
      <c r="I1239" s="19">
        <f>IFERROR(__xludf.DUMMYFUNCTION("""COMPUTED_VALUE"""),0.00225)</f>
        <v>0.00225</v>
      </c>
      <c r="J1239" s="19">
        <f>IFERROR(__xludf.DUMMYFUNCTION("""COMPUTED_VALUE"""),0.04484)</f>
        <v>0.04484</v>
      </c>
      <c r="K1239" s="19" t="str">
        <f>IFERROR(__xludf.DUMMYFUNCTION("""COMPUTED_VALUE"""),"-")</f>
        <v>-</v>
      </c>
      <c r="L1239" s="19" t="str">
        <f>IFERROR(__xludf.DUMMYFUNCTION("""COMPUTED_VALUE"""),"-")</f>
        <v>-</v>
      </c>
      <c r="O1239" s="24">
        <f t="shared" si="4"/>
        <v>0</v>
      </c>
      <c r="P1239" s="24"/>
      <c r="Q1239" s="24">
        <f t="shared" si="6"/>
        <v>0</v>
      </c>
      <c r="R1239" s="24">
        <f t="shared" si="7"/>
        <v>1</v>
      </c>
      <c r="S1239" s="24"/>
      <c r="T1239" s="24"/>
    </row>
    <row r="1240">
      <c r="A1240" s="12" t="s">
        <v>1328</v>
      </c>
      <c r="F1240" s="19">
        <f>IFERROR(__xludf.DUMMYFUNCTION("SPLIT(A1236, "" |"")"),1234.0)</f>
        <v>1234</v>
      </c>
      <c r="G1240" s="19">
        <f>IFERROR(__xludf.DUMMYFUNCTION("""COMPUTED_VALUE"""),0.00243)</f>
        <v>0.00243</v>
      </c>
      <c r="H1240" s="19" t="str">
        <f>IFERROR(__xludf.DUMMYFUNCTION("""COMPUTED_VALUE"""),"-")</f>
        <v>-</v>
      </c>
      <c r="I1240" s="19">
        <f>IFERROR(__xludf.DUMMYFUNCTION("""COMPUTED_VALUE"""),0.00233)</f>
        <v>0.00233</v>
      </c>
      <c r="J1240" s="19">
        <f>IFERROR(__xludf.DUMMYFUNCTION("""COMPUTED_VALUE"""),0.0467)</f>
        <v>0.0467</v>
      </c>
      <c r="K1240" s="19" t="str">
        <f>IFERROR(__xludf.DUMMYFUNCTION("""COMPUTED_VALUE"""),"-")</f>
        <v>-</v>
      </c>
      <c r="L1240" s="19" t="str">
        <f>IFERROR(__xludf.DUMMYFUNCTION("""COMPUTED_VALUE"""),"-")</f>
        <v>-</v>
      </c>
      <c r="O1240" s="24">
        <f t="shared" si="4"/>
        <v>0</v>
      </c>
      <c r="P1240" s="24"/>
      <c r="Q1240" s="24">
        <f t="shared" si="6"/>
        <v>0</v>
      </c>
      <c r="R1240" s="24">
        <f t="shared" si="7"/>
        <v>0</v>
      </c>
      <c r="S1240" s="24"/>
      <c r="T1240" s="24"/>
    </row>
    <row r="1241">
      <c r="A1241" s="12" t="s">
        <v>1329</v>
      </c>
      <c r="F1241" s="19">
        <f>IFERROR(__xludf.DUMMYFUNCTION("SPLIT(A1237, "" |"")"),1235.0)</f>
        <v>1235</v>
      </c>
      <c r="G1241" s="19">
        <f>IFERROR(__xludf.DUMMYFUNCTION("""COMPUTED_VALUE"""),0.00236)</f>
        <v>0.00236</v>
      </c>
      <c r="H1241" s="19" t="str">
        <f>IFERROR(__xludf.DUMMYFUNCTION("""COMPUTED_VALUE"""),"-")</f>
        <v>-</v>
      </c>
      <c r="I1241" s="19">
        <f>IFERROR(__xludf.DUMMYFUNCTION("""COMPUTED_VALUE"""),0.00219)</f>
        <v>0.00219</v>
      </c>
      <c r="J1241" s="19">
        <f>IFERROR(__xludf.DUMMYFUNCTION("""COMPUTED_VALUE"""),0.04745)</f>
        <v>0.04745</v>
      </c>
      <c r="K1241" s="19" t="str">
        <f>IFERROR(__xludf.DUMMYFUNCTION("""COMPUTED_VALUE"""),"-")</f>
        <v>-</v>
      </c>
      <c r="L1241" s="19" t="str">
        <f>IFERROR(__xludf.DUMMYFUNCTION("""COMPUTED_VALUE"""),"-")</f>
        <v>-</v>
      </c>
      <c r="O1241" s="24">
        <f t="shared" si="4"/>
        <v>0</v>
      </c>
      <c r="P1241" s="24"/>
      <c r="Q1241" s="24">
        <f t="shared" si="6"/>
        <v>0</v>
      </c>
      <c r="R1241" s="24">
        <f t="shared" si="7"/>
        <v>0</v>
      </c>
      <c r="S1241" s="24"/>
      <c r="T1241" s="24"/>
    </row>
    <row r="1242">
      <c r="A1242" s="12" t="s">
        <v>1330</v>
      </c>
      <c r="F1242" s="19">
        <f>IFERROR(__xludf.DUMMYFUNCTION("SPLIT(A1238, "" |"")"),1236.0)</f>
        <v>1236</v>
      </c>
      <c r="G1242" s="19">
        <f>IFERROR(__xludf.DUMMYFUNCTION("""COMPUTED_VALUE"""),0.0024)</f>
        <v>0.0024</v>
      </c>
      <c r="H1242" s="19" t="str">
        <f>IFERROR(__xludf.DUMMYFUNCTION("""COMPUTED_VALUE"""),"-")</f>
        <v>-</v>
      </c>
      <c r="I1242" s="19">
        <f>IFERROR(__xludf.DUMMYFUNCTION("""COMPUTED_VALUE"""),0.0022)</f>
        <v>0.0022</v>
      </c>
      <c r="J1242" s="19">
        <f>IFERROR(__xludf.DUMMYFUNCTION("""COMPUTED_VALUE"""),0.04746)</f>
        <v>0.04746</v>
      </c>
      <c r="K1242" s="19" t="str">
        <f>IFERROR(__xludf.DUMMYFUNCTION("""COMPUTED_VALUE"""),"-")</f>
        <v>-</v>
      </c>
      <c r="L1242" s="19" t="str">
        <f>IFERROR(__xludf.DUMMYFUNCTION("""COMPUTED_VALUE"""),"-")</f>
        <v>-</v>
      </c>
      <c r="O1242" s="24">
        <f t="shared" si="4"/>
        <v>0</v>
      </c>
      <c r="P1242" s="24"/>
      <c r="Q1242" s="24">
        <f t="shared" si="6"/>
        <v>0</v>
      </c>
      <c r="R1242" s="24">
        <f t="shared" si="7"/>
        <v>0</v>
      </c>
      <c r="S1242" s="24"/>
      <c r="T1242" s="24"/>
    </row>
    <row r="1243">
      <c r="A1243" s="12" t="s">
        <v>1331</v>
      </c>
      <c r="F1243" s="19">
        <f>IFERROR(__xludf.DUMMYFUNCTION("SPLIT(A1239, "" |"")"),1237.0)</f>
        <v>1237</v>
      </c>
      <c r="G1243" s="19">
        <f>IFERROR(__xludf.DUMMYFUNCTION("""COMPUTED_VALUE"""),0.00231)</f>
        <v>0.00231</v>
      </c>
      <c r="H1243" s="19" t="str">
        <f>IFERROR(__xludf.DUMMYFUNCTION("""COMPUTED_VALUE"""),"-")</f>
        <v>-</v>
      </c>
      <c r="I1243" s="19">
        <f>IFERROR(__xludf.DUMMYFUNCTION("""COMPUTED_VALUE"""),0.00221)</f>
        <v>0.00221</v>
      </c>
      <c r="J1243" s="19">
        <f>IFERROR(__xludf.DUMMYFUNCTION("""COMPUTED_VALUE"""),0.04743)</f>
        <v>0.04743</v>
      </c>
      <c r="K1243" s="19" t="str">
        <f>IFERROR(__xludf.DUMMYFUNCTION("""COMPUTED_VALUE"""),"-")</f>
        <v>-</v>
      </c>
      <c r="L1243" s="19" t="str">
        <f>IFERROR(__xludf.DUMMYFUNCTION("""COMPUTED_VALUE"""),"-")</f>
        <v>-</v>
      </c>
      <c r="O1243" s="24">
        <f t="shared" si="4"/>
        <v>0</v>
      </c>
      <c r="P1243" s="24"/>
      <c r="Q1243" s="24">
        <f t="shared" si="6"/>
        <v>0</v>
      </c>
      <c r="R1243" s="24">
        <f t="shared" si="7"/>
        <v>0</v>
      </c>
      <c r="S1243" s="24"/>
      <c r="T1243" s="24"/>
    </row>
    <row r="1244">
      <c r="A1244" s="12" t="s">
        <v>1332</v>
      </c>
      <c r="F1244" s="19">
        <f>IFERROR(__xludf.DUMMYFUNCTION("SPLIT(A1240, "" |"")"),1238.0)</f>
        <v>1238</v>
      </c>
      <c r="G1244" s="19">
        <f>IFERROR(__xludf.DUMMYFUNCTION("""COMPUTED_VALUE"""),0.00245)</f>
        <v>0.00245</v>
      </c>
      <c r="H1244" s="19" t="str">
        <f>IFERROR(__xludf.DUMMYFUNCTION("""COMPUTED_VALUE"""),"-")</f>
        <v>-</v>
      </c>
      <c r="I1244" s="19">
        <f>IFERROR(__xludf.DUMMYFUNCTION("""COMPUTED_VALUE"""),0.00228)</f>
        <v>0.00228</v>
      </c>
      <c r="J1244" s="19">
        <f>IFERROR(__xludf.DUMMYFUNCTION("""COMPUTED_VALUE"""),0.04748)</f>
        <v>0.04748</v>
      </c>
      <c r="K1244" s="19" t="str">
        <f>IFERROR(__xludf.DUMMYFUNCTION("""COMPUTED_VALUE"""),"-")</f>
        <v>-</v>
      </c>
      <c r="L1244" s="19" t="str">
        <f>IFERROR(__xludf.DUMMYFUNCTION("""COMPUTED_VALUE"""),"-")</f>
        <v>-</v>
      </c>
      <c r="O1244" s="24">
        <f t="shared" si="4"/>
        <v>0</v>
      </c>
      <c r="P1244" s="24"/>
      <c r="Q1244" s="24">
        <f t="shared" si="6"/>
        <v>0</v>
      </c>
      <c r="R1244" s="24">
        <f t="shared" si="7"/>
        <v>0</v>
      </c>
      <c r="S1244" s="24"/>
      <c r="T1244" s="24"/>
    </row>
    <row r="1245">
      <c r="A1245" s="12" t="s">
        <v>1333</v>
      </c>
      <c r="F1245" s="19">
        <f>IFERROR(__xludf.DUMMYFUNCTION("SPLIT(A1241, "" |"")"),1239.0)</f>
        <v>1239</v>
      </c>
      <c r="G1245" s="19">
        <f>IFERROR(__xludf.DUMMYFUNCTION("""COMPUTED_VALUE"""),0.00238)</f>
        <v>0.00238</v>
      </c>
      <c r="H1245" s="19" t="str">
        <f>IFERROR(__xludf.DUMMYFUNCTION("""COMPUTED_VALUE"""),"-")</f>
        <v>-</v>
      </c>
      <c r="I1245" s="19">
        <f>IFERROR(__xludf.DUMMYFUNCTION("""COMPUTED_VALUE"""),0.00218)</f>
        <v>0.00218</v>
      </c>
      <c r="J1245" s="19">
        <f>IFERROR(__xludf.DUMMYFUNCTION("""COMPUTED_VALUE"""),0.04748)</f>
        <v>0.04748</v>
      </c>
      <c r="K1245" s="19" t="str">
        <f>IFERROR(__xludf.DUMMYFUNCTION("""COMPUTED_VALUE"""),"-")</f>
        <v>-</v>
      </c>
      <c r="L1245" s="19" t="str">
        <f>IFERROR(__xludf.DUMMYFUNCTION("""COMPUTED_VALUE"""),"-")</f>
        <v>-</v>
      </c>
      <c r="O1245" s="24">
        <f t="shared" si="4"/>
        <v>0</v>
      </c>
      <c r="P1245" s="24"/>
      <c r="Q1245" s="24">
        <f t="shared" si="6"/>
        <v>0</v>
      </c>
      <c r="R1245" s="24">
        <f t="shared" si="7"/>
        <v>0</v>
      </c>
      <c r="S1245" s="24"/>
      <c r="T1245" s="24"/>
    </row>
    <row r="1246">
      <c r="A1246" s="12" t="s">
        <v>1334</v>
      </c>
      <c r="F1246" s="19">
        <f>IFERROR(__xludf.DUMMYFUNCTION("SPLIT(A1242, "" |"")"),1240.0)</f>
        <v>1240</v>
      </c>
      <c r="G1246" s="19">
        <f>IFERROR(__xludf.DUMMYFUNCTION("""COMPUTED_VALUE"""),0.00238)</f>
        <v>0.00238</v>
      </c>
      <c r="H1246" s="19" t="str">
        <f>IFERROR(__xludf.DUMMYFUNCTION("""COMPUTED_VALUE"""),"-")</f>
        <v>-</v>
      </c>
      <c r="I1246" s="19">
        <f>IFERROR(__xludf.DUMMYFUNCTION("""COMPUTED_VALUE"""),0.00217)</f>
        <v>0.00217</v>
      </c>
      <c r="J1246" s="19">
        <f>IFERROR(__xludf.DUMMYFUNCTION("""COMPUTED_VALUE"""),0.0474)</f>
        <v>0.0474</v>
      </c>
      <c r="K1246" s="19" t="str">
        <f>IFERROR(__xludf.DUMMYFUNCTION("""COMPUTED_VALUE"""),"-")</f>
        <v>-</v>
      </c>
      <c r="L1246" s="19" t="str">
        <f>IFERROR(__xludf.DUMMYFUNCTION("""COMPUTED_VALUE"""),"-")</f>
        <v>-</v>
      </c>
      <c r="O1246" s="24">
        <f t="shared" si="4"/>
        <v>0</v>
      </c>
      <c r="P1246" s="24"/>
      <c r="Q1246" s="24">
        <f t="shared" si="6"/>
        <v>0</v>
      </c>
      <c r="R1246" s="24">
        <f t="shared" si="7"/>
        <v>0</v>
      </c>
      <c r="S1246" s="24"/>
      <c r="T1246" s="24"/>
    </row>
    <row r="1247">
      <c r="A1247" s="12" t="s">
        <v>1335</v>
      </c>
      <c r="F1247" s="19">
        <f>IFERROR(__xludf.DUMMYFUNCTION("SPLIT(A1243, "" |"")"),1241.0)</f>
        <v>1241</v>
      </c>
      <c r="G1247" s="19">
        <f>IFERROR(__xludf.DUMMYFUNCTION("""COMPUTED_VALUE"""),0.00236)</f>
        <v>0.00236</v>
      </c>
      <c r="H1247" s="19" t="str">
        <f>IFERROR(__xludf.DUMMYFUNCTION("""COMPUTED_VALUE"""),"-")</f>
        <v>-</v>
      </c>
      <c r="I1247" s="19">
        <f>IFERROR(__xludf.DUMMYFUNCTION("""COMPUTED_VALUE"""),0.00221)</f>
        <v>0.00221</v>
      </c>
      <c r="J1247" s="19">
        <f>IFERROR(__xludf.DUMMYFUNCTION("""COMPUTED_VALUE"""),0.04191)</f>
        <v>0.04191</v>
      </c>
      <c r="K1247" s="19" t="str">
        <f>IFERROR(__xludf.DUMMYFUNCTION("""COMPUTED_VALUE"""),"-")</f>
        <v>-</v>
      </c>
      <c r="L1247" s="19" t="str">
        <f>IFERROR(__xludf.DUMMYFUNCTION("""COMPUTED_VALUE"""),"-")</f>
        <v>-</v>
      </c>
      <c r="O1247" s="24">
        <f t="shared" si="4"/>
        <v>0</v>
      </c>
      <c r="P1247" s="24"/>
      <c r="Q1247" s="24">
        <f t="shared" si="6"/>
        <v>0</v>
      </c>
      <c r="R1247" s="24">
        <f t="shared" si="7"/>
        <v>1</v>
      </c>
      <c r="S1247" s="24"/>
      <c r="T1247" s="24"/>
    </row>
    <row r="1248">
      <c r="A1248" s="12" t="s">
        <v>1336</v>
      </c>
      <c r="F1248" s="19">
        <f>IFERROR(__xludf.DUMMYFUNCTION("SPLIT(A1244, "" |"")"),1242.0)</f>
        <v>1242</v>
      </c>
      <c r="G1248" s="19">
        <f>IFERROR(__xludf.DUMMYFUNCTION("""COMPUTED_VALUE"""),0.00232)</f>
        <v>0.00232</v>
      </c>
      <c r="H1248" s="19" t="str">
        <f>IFERROR(__xludf.DUMMYFUNCTION("""COMPUTED_VALUE"""),"-")</f>
        <v>-</v>
      </c>
      <c r="I1248" s="19">
        <f>IFERROR(__xludf.DUMMYFUNCTION("""COMPUTED_VALUE"""),0.00222)</f>
        <v>0.00222</v>
      </c>
      <c r="J1248" s="19">
        <f>IFERROR(__xludf.DUMMYFUNCTION("""COMPUTED_VALUE"""),0.04741)</f>
        <v>0.04741</v>
      </c>
      <c r="K1248" s="19" t="str">
        <f>IFERROR(__xludf.DUMMYFUNCTION("""COMPUTED_VALUE"""),"-")</f>
        <v>-</v>
      </c>
      <c r="L1248" s="19" t="str">
        <f>IFERROR(__xludf.DUMMYFUNCTION("""COMPUTED_VALUE"""),"-")</f>
        <v>-</v>
      </c>
      <c r="O1248" s="24">
        <f t="shared" si="4"/>
        <v>0</v>
      </c>
      <c r="P1248" s="24"/>
      <c r="Q1248" s="24">
        <f t="shared" si="6"/>
        <v>0</v>
      </c>
      <c r="R1248" s="24">
        <f t="shared" si="7"/>
        <v>0</v>
      </c>
      <c r="S1248" s="24"/>
      <c r="T1248" s="24"/>
    </row>
    <row r="1249">
      <c r="A1249" s="12" t="s">
        <v>1337</v>
      </c>
      <c r="F1249" s="19">
        <f>IFERROR(__xludf.DUMMYFUNCTION("SPLIT(A1245, "" |"")"),1243.0)</f>
        <v>1243</v>
      </c>
      <c r="G1249" s="19">
        <f>IFERROR(__xludf.DUMMYFUNCTION("""COMPUTED_VALUE"""),0.00232)</f>
        <v>0.00232</v>
      </c>
      <c r="H1249" s="19" t="str">
        <f>IFERROR(__xludf.DUMMYFUNCTION("""COMPUTED_VALUE"""),"-")</f>
        <v>-</v>
      </c>
      <c r="I1249" s="19">
        <f>IFERROR(__xludf.DUMMYFUNCTION("""COMPUTED_VALUE"""),0.00228)</f>
        <v>0.00228</v>
      </c>
      <c r="J1249" s="19">
        <f>IFERROR(__xludf.DUMMYFUNCTION("""COMPUTED_VALUE"""),0.04736)</f>
        <v>0.04736</v>
      </c>
      <c r="K1249" s="19" t="str">
        <f>IFERROR(__xludf.DUMMYFUNCTION("""COMPUTED_VALUE"""),"-")</f>
        <v>-</v>
      </c>
      <c r="L1249" s="19" t="str">
        <f>IFERROR(__xludf.DUMMYFUNCTION("""COMPUTED_VALUE"""),"-")</f>
        <v>-</v>
      </c>
      <c r="O1249" s="24">
        <f t="shared" si="4"/>
        <v>0</v>
      </c>
      <c r="P1249" s="24"/>
      <c r="Q1249" s="24">
        <f t="shared" si="6"/>
        <v>0</v>
      </c>
      <c r="R1249" s="24">
        <f t="shared" si="7"/>
        <v>0</v>
      </c>
      <c r="S1249" s="24"/>
      <c r="T1249" s="24"/>
    </row>
    <row r="1250">
      <c r="A1250" s="12" t="s">
        <v>1338</v>
      </c>
      <c r="F1250" s="19">
        <f>IFERROR(__xludf.DUMMYFUNCTION("SPLIT(A1246, "" |"")"),1244.0)</f>
        <v>1244</v>
      </c>
      <c r="G1250" s="19">
        <f>IFERROR(__xludf.DUMMYFUNCTION("""COMPUTED_VALUE"""),0.00238)</f>
        <v>0.00238</v>
      </c>
      <c r="H1250" s="19" t="str">
        <f>IFERROR(__xludf.DUMMYFUNCTION("""COMPUTED_VALUE"""),"-")</f>
        <v>-</v>
      </c>
      <c r="I1250" s="19">
        <f>IFERROR(__xludf.DUMMYFUNCTION("""COMPUTED_VALUE"""),0.00219)</f>
        <v>0.00219</v>
      </c>
      <c r="J1250" s="19">
        <f>IFERROR(__xludf.DUMMYFUNCTION("""COMPUTED_VALUE"""),0.04749)</f>
        <v>0.04749</v>
      </c>
      <c r="K1250" s="19" t="str">
        <f>IFERROR(__xludf.DUMMYFUNCTION("""COMPUTED_VALUE"""),"-")</f>
        <v>-</v>
      </c>
      <c r="L1250" s="19" t="str">
        <f>IFERROR(__xludf.DUMMYFUNCTION("""COMPUTED_VALUE"""),"-")</f>
        <v>-</v>
      </c>
      <c r="O1250" s="24">
        <f t="shared" si="4"/>
        <v>0</v>
      </c>
      <c r="P1250" s="24"/>
      <c r="Q1250" s="24">
        <f t="shared" si="6"/>
        <v>0</v>
      </c>
      <c r="R1250" s="24">
        <f t="shared" si="7"/>
        <v>0</v>
      </c>
      <c r="S1250" s="24"/>
      <c r="T1250" s="24"/>
    </row>
    <row r="1251">
      <c r="A1251" s="12" t="s">
        <v>1339</v>
      </c>
      <c r="F1251" s="19">
        <f>IFERROR(__xludf.DUMMYFUNCTION("SPLIT(A1247, "" |"")"),1245.0)</f>
        <v>1245</v>
      </c>
      <c r="G1251" s="19">
        <f>IFERROR(__xludf.DUMMYFUNCTION("""COMPUTED_VALUE"""),0.00238)</f>
        <v>0.00238</v>
      </c>
      <c r="H1251" s="19" t="str">
        <f>IFERROR(__xludf.DUMMYFUNCTION("""COMPUTED_VALUE"""),"-")</f>
        <v>-</v>
      </c>
      <c r="I1251" s="19">
        <f>IFERROR(__xludf.DUMMYFUNCTION("""COMPUTED_VALUE"""),0.00222)</f>
        <v>0.00222</v>
      </c>
      <c r="J1251" s="19">
        <f>IFERROR(__xludf.DUMMYFUNCTION("""COMPUTED_VALUE"""),0.04749)</f>
        <v>0.04749</v>
      </c>
      <c r="K1251" s="19" t="str">
        <f>IFERROR(__xludf.DUMMYFUNCTION("""COMPUTED_VALUE"""),"-")</f>
        <v>-</v>
      </c>
      <c r="L1251" s="19" t="str">
        <f>IFERROR(__xludf.DUMMYFUNCTION("""COMPUTED_VALUE"""),"-")</f>
        <v>-</v>
      </c>
      <c r="O1251" s="24">
        <f t="shared" si="4"/>
        <v>0</v>
      </c>
      <c r="P1251" s="24"/>
      <c r="Q1251" s="24">
        <f t="shared" si="6"/>
        <v>0</v>
      </c>
      <c r="R1251" s="24">
        <f t="shared" si="7"/>
        <v>0</v>
      </c>
      <c r="S1251" s="24"/>
      <c r="T1251" s="24"/>
    </row>
    <row r="1252">
      <c r="A1252" s="12" t="s">
        <v>1340</v>
      </c>
      <c r="F1252" s="19">
        <f>IFERROR(__xludf.DUMMYFUNCTION("SPLIT(A1248, "" |"")"),1246.0)</f>
        <v>1246</v>
      </c>
      <c r="G1252" s="19">
        <f>IFERROR(__xludf.DUMMYFUNCTION("""COMPUTED_VALUE"""),0.00234)</f>
        <v>0.00234</v>
      </c>
      <c r="H1252" s="19" t="str">
        <f>IFERROR(__xludf.DUMMYFUNCTION("""COMPUTED_VALUE"""),"-")</f>
        <v>-</v>
      </c>
      <c r="I1252" s="19">
        <f>IFERROR(__xludf.DUMMYFUNCTION("""COMPUTED_VALUE"""),0.00213)</f>
        <v>0.00213</v>
      </c>
      <c r="J1252" s="19">
        <f>IFERROR(__xludf.DUMMYFUNCTION("""COMPUTED_VALUE"""),0.04623)</f>
        <v>0.04623</v>
      </c>
      <c r="K1252" s="19" t="str">
        <f>IFERROR(__xludf.DUMMYFUNCTION("""COMPUTED_VALUE"""),"-")</f>
        <v>-</v>
      </c>
      <c r="L1252" s="19" t="str">
        <f>IFERROR(__xludf.DUMMYFUNCTION("""COMPUTED_VALUE"""),"-")</f>
        <v>-</v>
      </c>
      <c r="O1252" s="24">
        <f t="shared" si="4"/>
        <v>0</v>
      </c>
      <c r="P1252" s="24"/>
      <c r="Q1252" s="24">
        <f t="shared" si="6"/>
        <v>0</v>
      </c>
      <c r="R1252" s="24">
        <f t="shared" si="7"/>
        <v>0</v>
      </c>
      <c r="S1252" s="24"/>
      <c r="T1252" s="24"/>
    </row>
    <row r="1253">
      <c r="A1253" s="12" t="s">
        <v>1341</v>
      </c>
      <c r="F1253" s="19">
        <f>IFERROR(__xludf.DUMMYFUNCTION("SPLIT(A1249, "" |"")"),1247.0)</f>
        <v>1247</v>
      </c>
      <c r="G1253" s="19">
        <f>IFERROR(__xludf.DUMMYFUNCTION("""COMPUTED_VALUE"""),0.0023)</f>
        <v>0.0023</v>
      </c>
      <c r="H1253" s="19" t="str">
        <f>IFERROR(__xludf.DUMMYFUNCTION("""COMPUTED_VALUE"""),"-")</f>
        <v>-</v>
      </c>
      <c r="I1253" s="19">
        <f>IFERROR(__xludf.DUMMYFUNCTION("""COMPUTED_VALUE"""),0.00221)</f>
        <v>0.00221</v>
      </c>
      <c r="J1253" s="19">
        <f>IFERROR(__xludf.DUMMYFUNCTION("""COMPUTED_VALUE"""),0.04645)</f>
        <v>0.04645</v>
      </c>
      <c r="K1253" s="19" t="str">
        <f>IFERROR(__xludf.DUMMYFUNCTION("""COMPUTED_VALUE"""),"-")</f>
        <v>-</v>
      </c>
      <c r="L1253" s="19" t="str">
        <f>IFERROR(__xludf.DUMMYFUNCTION("""COMPUTED_VALUE"""),"-")</f>
        <v>-</v>
      </c>
      <c r="O1253" s="24">
        <f t="shared" si="4"/>
        <v>0</v>
      </c>
      <c r="P1253" s="24"/>
      <c r="Q1253" s="24">
        <f t="shared" si="6"/>
        <v>0</v>
      </c>
      <c r="R1253" s="24">
        <f t="shared" si="7"/>
        <v>0</v>
      </c>
      <c r="S1253" s="24"/>
      <c r="T1253" s="24"/>
    </row>
    <row r="1254">
      <c r="A1254" s="12" t="s">
        <v>1342</v>
      </c>
      <c r="F1254" s="19">
        <f>IFERROR(__xludf.DUMMYFUNCTION("SPLIT(A1250, "" |"")"),1248.0)</f>
        <v>1248</v>
      </c>
      <c r="G1254" s="19">
        <f>IFERROR(__xludf.DUMMYFUNCTION("""COMPUTED_VALUE"""),0.00218)</f>
        <v>0.00218</v>
      </c>
      <c r="H1254" s="19" t="str">
        <f>IFERROR(__xludf.DUMMYFUNCTION("""COMPUTED_VALUE"""),"-")</f>
        <v>-</v>
      </c>
      <c r="I1254" s="19">
        <f>IFERROR(__xludf.DUMMYFUNCTION("""COMPUTED_VALUE"""),0.00206)</f>
        <v>0.00206</v>
      </c>
      <c r="J1254" s="19">
        <f>IFERROR(__xludf.DUMMYFUNCTION("""COMPUTED_VALUE"""),0.04711)</f>
        <v>0.04711</v>
      </c>
      <c r="K1254" s="19" t="str">
        <f>IFERROR(__xludf.DUMMYFUNCTION("""COMPUTED_VALUE"""),"-")</f>
        <v>-</v>
      </c>
      <c r="L1254" s="19" t="str">
        <f>IFERROR(__xludf.DUMMYFUNCTION("""COMPUTED_VALUE"""),"-")</f>
        <v>-</v>
      </c>
      <c r="O1254" s="24">
        <f t="shared" si="4"/>
        <v>0</v>
      </c>
      <c r="P1254" s="24"/>
      <c r="Q1254" s="24">
        <f t="shared" si="6"/>
        <v>0</v>
      </c>
      <c r="R1254" s="24">
        <f t="shared" si="7"/>
        <v>0</v>
      </c>
      <c r="S1254" s="24"/>
      <c r="T1254" s="24"/>
    </row>
    <row r="1255">
      <c r="A1255" s="12" t="s">
        <v>1343</v>
      </c>
      <c r="F1255" s="19">
        <f>IFERROR(__xludf.DUMMYFUNCTION("SPLIT(A1251, "" |"")"),1249.0)</f>
        <v>1249</v>
      </c>
      <c r="G1255" s="19">
        <f>IFERROR(__xludf.DUMMYFUNCTION("""COMPUTED_VALUE"""),0.00233)</f>
        <v>0.00233</v>
      </c>
      <c r="H1255" s="19" t="str">
        <f>IFERROR(__xludf.DUMMYFUNCTION("""COMPUTED_VALUE"""),"-")</f>
        <v>-</v>
      </c>
      <c r="I1255" s="19">
        <f>IFERROR(__xludf.DUMMYFUNCTION("""COMPUTED_VALUE"""),0.00219)</f>
        <v>0.00219</v>
      </c>
      <c r="J1255" s="19">
        <f>IFERROR(__xludf.DUMMYFUNCTION("""COMPUTED_VALUE"""),0.04733)</f>
        <v>0.04733</v>
      </c>
      <c r="K1255" s="19" t="str">
        <f>IFERROR(__xludf.DUMMYFUNCTION("""COMPUTED_VALUE"""),"-")</f>
        <v>-</v>
      </c>
      <c r="L1255" s="19" t="str">
        <f>IFERROR(__xludf.DUMMYFUNCTION("""COMPUTED_VALUE"""),"-")</f>
        <v>-</v>
      </c>
      <c r="O1255" s="24">
        <f t="shared" si="4"/>
        <v>0</v>
      </c>
      <c r="P1255" s="24"/>
      <c r="Q1255" s="24">
        <f t="shared" si="6"/>
        <v>0</v>
      </c>
      <c r="R1255" s="24">
        <f t="shared" si="7"/>
        <v>0</v>
      </c>
      <c r="S1255" s="24"/>
      <c r="T1255" s="24"/>
    </row>
    <row r="1256">
      <c r="A1256" s="12" t="s">
        <v>1344</v>
      </c>
      <c r="F1256" s="19">
        <f>IFERROR(__xludf.DUMMYFUNCTION("SPLIT(A1252, "" |"")"),1250.0)</f>
        <v>1250</v>
      </c>
      <c r="G1256" s="19">
        <f>IFERROR(__xludf.DUMMYFUNCTION("""COMPUTED_VALUE"""),0.00233)</f>
        <v>0.00233</v>
      </c>
      <c r="H1256" s="19" t="str">
        <f>IFERROR(__xludf.DUMMYFUNCTION("""COMPUTED_VALUE"""),"-")</f>
        <v>-</v>
      </c>
      <c r="I1256" s="19">
        <f>IFERROR(__xludf.DUMMYFUNCTION("""COMPUTED_VALUE"""),0.00207)</f>
        <v>0.00207</v>
      </c>
      <c r="J1256" s="19">
        <f>IFERROR(__xludf.DUMMYFUNCTION("""COMPUTED_VALUE"""),0.04084)</f>
        <v>0.04084</v>
      </c>
      <c r="K1256" s="19" t="str">
        <f>IFERROR(__xludf.DUMMYFUNCTION("""COMPUTED_VALUE"""),"-")</f>
        <v>-</v>
      </c>
      <c r="L1256" s="19" t="str">
        <f>IFERROR(__xludf.DUMMYFUNCTION("""COMPUTED_VALUE"""),"-")</f>
        <v>-</v>
      </c>
      <c r="O1256" s="24">
        <f t="shared" si="4"/>
        <v>0</v>
      </c>
      <c r="P1256" s="24"/>
      <c r="Q1256" s="24">
        <f t="shared" si="6"/>
        <v>0</v>
      </c>
      <c r="R1256" s="24">
        <f t="shared" si="7"/>
        <v>1</v>
      </c>
      <c r="S1256" s="24"/>
      <c r="T1256" s="24"/>
    </row>
    <row r="1257">
      <c r="A1257" s="12" t="s">
        <v>1345</v>
      </c>
      <c r="F1257" s="19">
        <f>IFERROR(__xludf.DUMMYFUNCTION("SPLIT(A1253, "" |"")"),1251.0)</f>
        <v>1251</v>
      </c>
      <c r="G1257" s="19">
        <f>IFERROR(__xludf.DUMMYFUNCTION("""COMPUTED_VALUE"""),0.00242)</f>
        <v>0.00242</v>
      </c>
      <c r="H1257" s="19" t="str">
        <f>IFERROR(__xludf.DUMMYFUNCTION("""COMPUTED_VALUE"""),"-")</f>
        <v>-</v>
      </c>
      <c r="I1257" s="19">
        <f>IFERROR(__xludf.DUMMYFUNCTION("""COMPUTED_VALUE"""),0.00221)</f>
        <v>0.00221</v>
      </c>
      <c r="J1257" s="19">
        <f>IFERROR(__xludf.DUMMYFUNCTION("""COMPUTED_VALUE"""),0.04748)</f>
        <v>0.04748</v>
      </c>
      <c r="K1257" s="19" t="str">
        <f>IFERROR(__xludf.DUMMYFUNCTION("""COMPUTED_VALUE"""),"-")</f>
        <v>-</v>
      </c>
      <c r="L1257" s="19" t="str">
        <f>IFERROR(__xludf.DUMMYFUNCTION("""COMPUTED_VALUE"""),"-")</f>
        <v>-</v>
      </c>
      <c r="O1257" s="24">
        <f t="shared" si="4"/>
        <v>0</v>
      </c>
      <c r="P1257" s="24"/>
      <c r="Q1257" s="24">
        <f t="shared" si="6"/>
        <v>0</v>
      </c>
      <c r="R1257" s="24">
        <f t="shared" si="7"/>
        <v>0</v>
      </c>
      <c r="S1257" s="24"/>
      <c r="T1257" s="24"/>
    </row>
    <row r="1258">
      <c r="A1258" s="12" t="s">
        <v>1346</v>
      </c>
      <c r="F1258" s="19">
        <f>IFERROR(__xludf.DUMMYFUNCTION("SPLIT(A1254, "" |"")"),1252.0)</f>
        <v>1252</v>
      </c>
      <c r="G1258" s="19">
        <f>IFERROR(__xludf.DUMMYFUNCTION("""COMPUTED_VALUE"""),0.00249)</f>
        <v>0.00249</v>
      </c>
      <c r="H1258" s="19" t="str">
        <f>IFERROR(__xludf.DUMMYFUNCTION("""COMPUTED_VALUE"""),"-")</f>
        <v>-</v>
      </c>
      <c r="I1258" s="19">
        <f>IFERROR(__xludf.DUMMYFUNCTION("""COMPUTED_VALUE"""),0.00227)</f>
        <v>0.00227</v>
      </c>
      <c r="J1258" s="19">
        <f>IFERROR(__xludf.DUMMYFUNCTION("""COMPUTED_VALUE"""),0.0443)</f>
        <v>0.0443</v>
      </c>
      <c r="K1258" s="19" t="str">
        <f>IFERROR(__xludf.DUMMYFUNCTION("""COMPUTED_VALUE"""),"-")</f>
        <v>-</v>
      </c>
      <c r="L1258" s="19" t="str">
        <f>IFERROR(__xludf.DUMMYFUNCTION("""COMPUTED_VALUE"""),"-")</f>
        <v>-</v>
      </c>
      <c r="O1258" s="24">
        <f t="shared" si="4"/>
        <v>0</v>
      </c>
      <c r="P1258" s="24"/>
      <c r="Q1258" s="24">
        <f t="shared" si="6"/>
        <v>0</v>
      </c>
      <c r="R1258" s="24">
        <f t="shared" si="7"/>
        <v>1</v>
      </c>
      <c r="S1258" s="24"/>
      <c r="T1258" s="24"/>
    </row>
    <row r="1259">
      <c r="A1259" s="12" t="s">
        <v>1347</v>
      </c>
      <c r="F1259" s="19">
        <f>IFERROR(__xludf.DUMMYFUNCTION("SPLIT(A1255, "" |"")"),1253.0)</f>
        <v>1253</v>
      </c>
      <c r="G1259" s="19">
        <f>IFERROR(__xludf.DUMMYFUNCTION("""COMPUTED_VALUE"""),0.00237)</f>
        <v>0.00237</v>
      </c>
      <c r="H1259" s="19" t="str">
        <f>IFERROR(__xludf.DUMMYFUNCTION("""COMPUTED_VALUE"""),"-")</f>
        <v>-</v>
      </c>
      <c r="I1259" s="19">
        <f>IFERROR(__xludf.DUMMYFUNCTION("""COMPUTED_VALUE"""),0.00223)</f>
        <v>0.00223</v>
      </c>
      <c r="J1259" s="19">
        <f>IFERROR(__xludf.DUMMYFUNCTION("""COMPUTED_VALUE"""),0.04631)</f>
        <v>0.04631</v>
      </c>
      <c r="K1259" s="19" t="str">
        <f>IFERROR(__xludf.DUMMYFUNCTION("""COMPUTED_VALUE"""),"-")</f>
        <v>-</v>
      </c>
      <c r="L1259" s="19" t="str">
        <f>IFERROR(__xludf.DUMMYFUNCTION("""COMPUTED_VALUE"""),"-")</f>
        <v>-</v>
      </c>
      <c r="O1259" s="24">
        <f t="shared" si="4"/>
        <v>0</v>
      </c>
      <c r="P1259" s="24"/>
      <c r="Q1259" s="24">
        <f t="shared" si="6"/>
        <v>0</v>
      </c>
      <c r="R1259" s="24">
        <f t="shared" si="7"/>
        <v>0</v>
      </c>
      <c r="S1259" s="24"/>
      <c r="T1259" s="24"/>
    </row>
    <row r="1260">
      <c r="A1260" s="12" t="s">
        <v>1348</v>
      </c>
      <c r="F1260" s="19">
        <f>IFERROR(__xludf.DUMMYFUNCTION("SPLIT(A1256, "" |"")"),1254.0)</f>
        <v>1254</v>
      </c>
      <c r="G1260" s="19">
        <f>IFERROR(__xludf.DUMMYFUNCTION("""COMPUTED_VALUE"""),0.0024)</f>
        <v>0.0024</v>
      </c>
      <c r="H1260" s="19" t="str">
        <f>IFERROR(__xludf.DUMMYFUNCTION("""COMPUTED_VALUE"""),"-")</f>
        <v>-</v>
      </c>
      <c r="I1260" s="19">
        <f>IFERROR(__xludf.DUMMYFUNCTION("""COMPUTED_VALUE"""),0.00221)</f>
        <v>0.00221</v>
      </c>
      <c r="J1260" s="19">
        <f>IFERROR(__xludf.DUMMYFUNCTION("""COMPUTED_VALUE"""),0.04745)</f>
        <v>0.04745</v>
      </c>
      <c r="K1260" s="19" t="str">
        <f>IFERROR(__xludf.DUMMYFUNCTION("""COMPUTED_VALUE"""),"-")</f>
        <v>-</v>
      </c>
      <c r="L1260" s="19" t="str">
        <f>IFERROR(__xludf.DUMMYFUNCTION("""COMPUTED_VALUE"""),"-")</f>
        <v>-</v>
      </c>
      <c r="O1260" s="24">
        <f t="shared" si="4"/>
        <v>0</v>
      </c>
      <c r="P1260" s="24"/>
      <c r="Q1260" s="24">
        <f t="shared" si="6"/>
        <v>0</v>
      </c>
      <c r="R1260" s="24">
        <f t="shared" si="7"/>
        <v>0</v>
      </c>
      <c r="S1260" s="24"/>
      <c r="T1260" s="24"/>
    </row>
    <row r="1261">
      <c r="A1261" s="12" t="s">
        <v>1349</v>
      </c>
      <c r="F1261" s="19">
        <f>IFERROR(__xludf.DUMMYFUNCTION("SPLIT(A1257, "" |"")"),1255.0)</f>
        <v>1255</v>
      </c>
      <c r="G1261" s="19">
        <f>IFERROR(__xludf.DUMMYFUNCTION("""COMPUTED_VALUE"""),0.00228)</f>
        <v>0.00228</v>
      </c>
      <c r="H1261" s="19" t="str">
        <f>IFERROR(__xludf.DUMMYFUNCTION("""COMPUTED_VALUE"""),"-")</f>
        <v>-</v>
      </c>
      <c r="I1261" s="19">
        <f>IFERROR(__xludf.DUMMYFUNCTION("""COMPUTED_VALUE"""),0.00213)</f>
        <v>0.00213</v>
      </c>
      <c r="J1261" s="19">
        <f>IFERROR(__xludf.DUMMYFUNCTION("""COMPUTED_VALUE"""),0.04731)</f>
        <v>0.04731</v>
      </c>
      <c r="K1261" s="19" t="str">
        <f>IFERROR(__xludf.DUMMYFUNCTION("""COMPUTED_VALUE"""),"-")</f>
        <v>-</v>
      </c>
      <c r="L1261" s="19" t="str">
        <f>IFERROR(__xludf.DUMMYFUNCTION("""COMPUTED_VALUE"""),"-")</f>
        <v>-</v>
      </c>
      <c r="O1261" s="24">
        <f t="shared" si="4"/>
        <v>0</v>
      </c>
      <c r="P1261" s="24"/>
      <c r="Q1261" s="24">
        <f t="shared" si="6"/>
        <v>0</v>
      </c>
      <c r="R1261" s="24">
        <f t="shared" si="7"/>
        <v>0</v>
      </c>
      <c r="S1261" s="24"/>
      <c r="T1261" s="24"/>
    </row>
    <row r="1262">
      <c r="A1262" s="12" t="s">
        <v>1350</v>
      </c>
      <c r="F1262" s="19">
        <f>IFERROR(__xludf.DUMMYFUNCTION("SPLIT(A1258, "" |"")"),1256.0)</f>
        <v>1256</v>
      </c>
      <c r="G1262" s="19">
        <f>IFERROR(__xludf.DUMMYFUNCTION("""COMPUTED_VALUE"""),0.00239)</f>
        <v>0.00239</v>
      </c>
      <c r="H1262" s="19" t="str">
        <f>IFERROR(__xludf.DUMMYFUNCTION("""COMPUTED_VALUE"""),"-")</f>
        <v>-</v>
      </c>
      <c r="I1262" s="19">
        <f>IFERROR(__xludf.DUMMYFUNCTION("""COMPUTED_VALUE"""),0.0022)</f>
        <v>0.0022</v>
      </c>
      <c r="J1262" s="19">
        <f>IFERROR(__xludf.DUMMYFUNCTION("""COMPUTED_VALUE"""),0.04746)</f>
        <v>0.04746</v>
      </c>
      <c r="K1262" s="19" t="str">
        <f>IFERROR(__xludf.DUMMYFUNCTION("""COMPUTED_VALUE"""),"-")</f>
        <v>-</v>
      </c>
      <c r="L1262" s="19" t="str">
        <f>IFERROR(__xludf.DUMMYFUNCTION("""COMPUTED_VALUE"""),"-")</f>
        <v>-</v>
      </c>
      <c r="O1262" s="24">
        <f t="shared" si="4"/>
        <v>0</v>
      </c>
      <c r="P1262" s="24"/>
      <c r="Q1262" s="24">
        <f t="shared" si="6"/>
        <v>0</v>
      </c>
      <c r="R1262" s="24">
        <f t="shared" si="7"/>
        <v>0</v>
      </c>
      <c r="S1262" s="24"/>
      <c r="T1262" s="24"/>
    </row>
    <row r="1263">
      <c r="A1263" s="12" t="s">
        <v>1351</v>
      </c>
      <c r="F1263" s="19">
        <f>IFERROR(__xludf.DUMMYFUNCTION("SPLIT(A1259, "" |"")"),1257.0)</f>
        <v>1257</v>
      </c>
      <c r="G1263" s="19">
        <f>IFERROR(__xludf.DUMMYFUNCTION("""COMPUTED_VALUE"""),0.00253)</f>
        <v>0.00253</v>
      </c>
      <c r="H1263" s="19" t="str">
        <f>IFERROR(__xludf.DUMMYFUNCTION("""COMPUTED_VALUE"""),"-")</f>
        <v>-</v>
      </c>
      <c r="I1263" s="19">
        <f>IFERROR(__xludf.DUMMYFUNCTION("""COMPUTED_VALUE"""),0.00212)</f>
        <v>0.00212</v>
      </c>
      <c r="J1263" s="19">
        <f>IFERROR(__xludf.DUMMYFUNCTION("""COMPUTED_VALUE"""),0.047)</f>
        <v>0.047</v>
      </c>
      <c r="K1263" s="19" t="str">
        <f>IFERROR(__xludf.DUMMYFUNCTION("""COMPUTED_VALUE"""),"-")</f>
        <v>-</v>
      </c>
      <c r="L1263" s="19" t="str">
        <f>IFERROR(__xludf.DUMMYFUNCTION("""COMPUTED_VALUE"""),"-")</f>
        <v>-</v>
      </c>
      <c r="O1263" s="24">
        <f t="shared" si="4"/>
        <v>0</v>
      </c>
      <c r="P1263" s="24"/>
      <c r="Q1263" s="24">
        <f t="shared" si="6"/>
        <v>0</v>
      </c>
      <c r="R1263" s="24">
        <f t="shared" si="7"/>
        <v>0</v>
      </c>
      <c r="S1263" s="24"/>
      <c r="T1263" s="24"/>
    </row>
    <row r="1264">
      <c r="A1264" s="12" t="s">
        <v>1352</v>
      </c>
      <c r="F1264" s="19">
        <f>IFERROR(__xludf.DUMMYFUNCTION("SPLIT(A1260, "" |"")"),1258.0)</f>
        <v>1258</v>
      </c>
      <c r="G1264" s="19">
        <f>IFERROR(__xludf.DUMMYFUNCTION("""COMPUTED_VALUE"""),0.00241)</f>
        <v>0.00241</v>
      </c>
      <c r="H1264" s="19" t="str">
        <f>IFERROR(__xludf.DUMMYFUNCTION("""COMPUTED_VALUE"""),"-")</f>
        <v>-</v>
      </c>
      <c r="I1264" s="19">
        <f>IFERROR(__xludf.DUMMYFUNCTION("""COMPUTED_VALUE"""),0.00223)</f>
        <v>0.00223</v>
      </c>
      <c r="J1264" s="19">
        <f>IFERROR(__xludf.DUMMYFUNCTION("""COMPUTED_VALUE"""),0.04749)</f>
        <v>0.04749</v>
      </c>
      <c r="K1264" s="19" t="str">
        <f>IFERROR(__xludf.DUMMYFUNCTION("""COMPUTED_VALUE"""),"-")</f>
        <v>-</v>
      </c>
      <c r="L1264" s="19" t="str">
        <f>IFERROR(__xludf.DUMMYFUNCTION("""COMPUTED_VALUE"""),"-")</f>
        <v>-</v>
      </c>
      <c r="O1264" s="24">
        <f t="shared" si="4"/>
        <v>0</v>
      </c>
      <c r="P1264" s="24"/>
      <c r="Q1264" s="24">
        <f t="shared" si="6"/>
        <v>0</v>
      </c>
      <c r="R1264" s="24">
        <f t="shared" si="7"/>
        <v>0</v>
      </c>
      <c r="S1264" s="24"/>
      <c r="T1264" s="24"/>
    </row>
    <row r="1265">
      <c r="A1265" s="12" t="s">
        <v>1353</v>
      </c>
      <c r="F1265" s="19">
        <f>IFERROR(__xludf.DUMMYFUNCTION("SPLIT(A1261, "" |"")"),1259.0)</f>
        <v>1259</v>
      </c>
      <c r="G1265" s="19">
        <f>IFERROR(__xludf.DUMMYFUNCTION("""COMPUTED_VALUE"""),0.00236)</f>
        <v>0.00236</v>
      </c>
      <c r="H1265" s="19" t="str">
        <f>IFERROR(__xludf.DUMMYFUNCTION("""COMPUTED_VALUE"""),"-")</f>
        <v>-</v>
      </c>
      <c r="I1265" s="19">
        <f>IFERROR(__xludf.DUMMYFUNCTION("""COMPUTED_VALUE"""),0.00268)</f>
        <v>0.00268</v>
      </c>
      <c r="J1265" s="19">
        <f>IFERROR(__xludf.DUMMYFUNCTION("""COMPUTED_VALUE"""),0.04752)</f>
        <v>0.04752</v>
      </c>
      <c r="K1265" s="19" t="str">
        <f>IFERROR(__xludf.DUMMYFUNCTION("""COMPUTED_VALUE"""),"-")</f>
        <v>-</v>
      </c>
      <c r="L1265" s="19" t="str">
        <f>IFERROR(__xludf.DUMMYFUNCTION("""COMPUTED_VALUE"""),"-")</f>
        <v>-</v>
      </c>
      <c r="O1265" s="24">
        <f t="shared" si="4"/>
        <v>0</v>
      </c>
      <c r="P1265" s="24"/>
      <c r="Q1265" s="24">
        <f t="shared" si="6"/>
        <v>0</v>
      </c>
      <c r="R1265" s="24">
        <f t="shared" si="7"/>
        <v>0</v>
      </c>
      <c r="S1265" s="24"/>
      <c r="T1265" s="24"/>
    </row>
    <row r="1266">
      <c r="A1266" s="12" t="s">
        <v>1354</v>
      </c>
      <c r="F1266" s="19">
        <f>IFERROR(__xludf.DUMMYFUNCTION("SPLIT(A1262, "" |"")"),1260.0)</f>
        <v>1260</v>
      </c>
      <c r="G1266" s="19">
        <f>IFERROR(__xludf.DUMMYFUNCTION("""COMPUTED_VALUE"""),0.00247)</f>
        <v>0.00247</v>
      </c>
      <c r="H1266" s="19" t="str">
        <f>IFERROR(__xludf.DUMMYFUNCTION("""COMPUTED_VALUE"""),"-")</f>
        <v>-</v>
      </c>
      <c r="I1266" s="19">
        <f>IFERROR(__xludf.DUMMYFUNCTION("""COMPUTED_VALUE"""),0.00228)</f>
        <v>0.00228</v>
      </c>
      <c r="J1266" s="19">
        <f>IFERROR(__xludf.DUMMYFUNCTION("""COMPUTED_VALUE"""),0.04703)</f>
        <v>0.04703</v>
      </c>
      <c r="K1266" s="19" t="str">
        <f>IFERROR(__xludf.DUMMYFUNCTION("""COMPUTED_VALUE"""),"-")</f>
        <v>-</v>
      </c>
      <c r="L1266" s="19" t="str">
        <f>IFERROR(__xludf.DUMMYFUNCTION("""COMPUTED_VALUE"""),"-")</f>
        <v>-</v>
      </c>
      <c r="O1266" s="24">
        <f t="shared" si="4"/>
        <v>0</v>
      </c>
      <c r="P1266" s="24"/>
      <c r="Q1266" s="24">
        <f t="shared" si="6"/>
        <v>0</v>
      </c>
      <c r="R1266" s="24">
        <f t="shared" si="7"/>
        <v>0</v>
      </c>
      <c r="S1266" s="24"/>
      <c r="T1266" s="24"/>
    </row>
    <row r="1267">
      <c r="A1267" s="12" t="s">
        <v>1355</v>
      </c>
      <c r="F1267" s="19">
        <f>IFERROR(__xludf.DUMMYFUNCTION("SPLIT(A1263, "" |"")"),1261.0)</f>
        <v>1261</v>
      </c>
      <c r="G1267" s="19">
        <f>IFERROR(__xludf.DUMMYFUNCTION("""COMPUTED_VALUE"""),0.00238)</f>
        <v>0.00238</v>
      </c>
      <c r="H1267" s="19" t="str">
        <f>IFERROR(__xludf.DUMMYFUNCTION("""COMPUTED_VALUE"""),"-")</f>
        <v>-</v>
      </c>
      <c r="I1267" s="19">
        <f>IFERROR(__xludf.DUMMYFUNCTION("""COMPUTED_VALUE"""),0.00226)</f>
        <v>0.00226</v>
      </c>
      <c r="J1267" s="19">
        <f>IFERROR(__xludf.DUMMYFUNCTION("""COMPUTED_VALUE"""),0.04512)</f>
        <v>0.04512</v>
      </c>
      <c r="K1267" s="19" t="str">
        <f>IFERROR(__xludf.DUMMYFUNCTION("""COMPUTED_VALUE"""),"-")</f>
        <v>-</v>
      </c>
      <c r="L1267" s="19" t="str">
        <f>IFERROR(__xludf.DUMMYFUNCTION("""COMPUTED_VALUE"""),"-")</f>
        <v>-</v>
      </c>
      <c r="O1267" s="24">
        <f t="shared" si="4"/>
        <v>0</v>
      </c>
      <c r="P1267" s="24"/>
      <c r="Q1267" s="24">
        <f t="shared" si="6"/>
        <v>0</v>
      </c>
      <c r="R1267" s="24">
        <f t="shared" si="7"/>
        <v>0</v>
      </c>
      <c r="S1267" s="24"/>
      <c r="T1267" s="24"/>
    </row>
    <row r="1268">
      <c r="A1268" s="12" t="s">
        <v>1356</v>
      </c>
      <c r="F1268" s="19">
        <f>IFERROR(__xludf.DUMMYFUNCTION("SPLIT(A1264, "" |"")"),1262.0)</f>
        <v>1262</v>
      </c>
      <c r="G1268" s="19">
        <f>IFERROR(__xludf.DUMMYFUNCTION("""COMPUTED_VALUE"""),0.00231)</f>
        <v>0.00231</v>
      </c>
      <c r="H1268" s="19" t="str">
        <f>IFERROR(__xludf.DUMMYFUNCTION("""COMPUTED_VALUE"""),"-")</f>
        <v>-</v>
      </c>
      <c r="I1268" s="19">
        <f>IFERROR(__xludf.DUMMYFUNCTION("""COMPUTED_VALUE"""),0.00221)</f>
        <v>0.00221</v>
      </c>
      <c r="J1268" s="19">
        <f>IFERROR(__xludf.DUMMYFUNCTION("""COMPUTED_VALUE"""),0.04748)</f>
        <v>0.04748</v>
      </c>
      <c r="K1268" s="19" t="str">
        <f>IFERROR(__xludf.DUMMYFUNCTION("""COMPUTED_VALUE"""),"-")</f>
        <v>-</v>
      </c>
      <c r="L1268" s="19" t="str">
        <f>IFERROR(__xludf.DUMMYFUNCTION("""COMPUTED_VALUE"""),"-")</f>
        <v>-</v>
      </c>
      <c r="O1268" s="24">
        <f t="shared" si="4"/>
        <v>0</v>
      </c>
      <c r="P1268" s="24"/>
      <c r="Q1268" s="24">
        <f t="shared" si="6"/>
        <v>0</v>
      </c>
      <c r="R1268" s="24">
        <f t="shared" si="7"/>
        <v>0</v>
      </c>
      <c r="S1268" s="24"/>
      <c r="T1268" s="24"/>
    </row>
    <row r="1269">
      <c r="A1269" s="12" t="s">
        <v>1357</v>
      </c>
      <c r="F1269" s="19">
        <f>IFERROR(__xludf.DUMMYFUNCTION("SPLIT(A1265, "" |"")"),1263.0)</f>
        <v>1263</v>
      </c>
      <c r="G1269" s="19">
        <f>IFERROR(__xludf.DUMMYFUNCTION("""COMPUTED_VALUE"""),0.00236)</f>
        <v>0.00236</v>
      </c>
      <c r="H1269" s="19" t="str">
        <f>IFERROR(__xludf.DUMMYFUNCTION("""COMPUTED_VALUE"""),"-")</f>
        <v>-</v>
      </c>
      <c r="I1269" s="19">
        <f>IFERROR(__xludf.DUMMYFUNCTION("""COMPUTED_VALUE"""),0.00221)</f>
        <v>0.00221</v>
      </c>
      <c r="J1269" s="19">
        <f>IFERROR(__xludf.DUMMYFUNCTION("""COMPUTED_VALUE"""),0.04747)</f>
        <v>0.04747</v>
      </c>
      <c r="K1269" s="19" t="str">
        <f>IFERROR(__xludf.DUMMYFUNCTION("""COMPUTED_VALUE"""),"-")</f>
        <v>-</v>
      </c>
      <c r="L1269" s="19" t="str">
        <f>IFERROR(__xludf.DUMMYFUNCTION("""COMPUTED_VALUE"""),"-")</f>
        <v>-</v>
      </c>
      <c r="O1269" s="24">
        <f t="shared" si="4"/>
        <v>0</v>
      </c>
      <c r="P1269" s="24"/>
      <c r="Q1269" s="24">
        <f t="shared" si="6"/>
        <v>0</v>
      </c>
      <c r="R1269" s="24">
        <f t="shared" si="7"/>
        <v>0</v>
      </c>
      <c r="S1269" s="24"/>
      <c r="T1269" s="24"/>
    </row>
    <row r="1270">
      <c r="A1270" s="12" t="s">
        <v>1358</v>
      </c>
      <c r="F1270" s="19">
        <f>IFERROR(__xludf.DUMMYFUNCTION("SPLIT(A1266, "" |"")"),1264.0)</f>
        <v>1264</v>
      </c>
      <c r="G1270" s="19">
        <f>IFERROR(__xludf.DUMMYFUNCTION("""COMPUTED_VALUE"""),0.00238)</f>
        <v>0.00238</v>
      </c>
      <c r="H1270" s="19" t="str">
        <f>IFERROR(__xludf.DUMMYFUNCTION("""COMPUTED_VALUE"""),"-")</f>
        <v>-</v>
      </c>
      <c r="I1270" s="19">
        <f>IFERROR(__xludf.DUMMYFUNCTION("""COMPUTED_VALUE"""),0.00229)</f>
        <v>0.00229</v>
      </c>
      <c r="J1270" s="19">
        <f>IFERROR(__xludf.DUMMYFUNCTION("""COMPUTED_VALUE"""),0.04745)</f>
        <v>0.04745</v>
      </c>
      <c r="K1270" s="19" t="str">
        <f>IFERROR(__xludf.DUMMYFUNCTION("""COMPUTED_VALUE"""),"-")</f>
        <v>-</v>
      </c>
      <c r="L1270" s="19" t="str">
        <f>IFERROR(__xludf.DUMMYFUNCTION("""COMPUTED_VALUE"""),"-")</f>
        <v>-</v>
      </c>
      <c r="O1270" s="24">
        <f t="shared" si="4"/>
        <v>0</v>
      </c>
      <c r="P1270" s="24"/>
      <c r="Q1270" s="24">
        <f t="shared" si="6"/>
        <v>0</v>
      </c>
      <c r="R1270" s="24">
        <f t="shared" si="7"/>
        <v>0</v>
      </c>
      <c r="S1270" s="24"/>
      <c r="T1270" s="24"/>
    </row>
    <row r="1271">
      <c r="A1271" s="12" t="s">
        <v>1359</v>
      </c>
      <c r="F1271" s="19">
        <f>IFERROR(__xludf.DUMMYFUNCTION("SPLIT(A1267, "" |"")"),1265.0)</f>
        <v>1265</v>
      </c>
      <c r="G1271" s="19">
        <f>IFERROR(__xludf.DUMMYFUNCTION("""COMPUTED_VALUE"""),0.00235)</f>
        <v>0.00235</v>
      </c>
      <c r="H1271" s="19" t="str">
        <f>IFERROR(__xludf.DUMMYFUNCTION("""COMPUTED_VALUE"""),"-")</f>
        <v>-</v>
      </c>
      <c r="I1271" s="19">
        <f>IFERROR(__xludf.DUMMYFUNCTION("""COMPUTED_VALUE"""),0.00221)</f>
        <v>0.00221</v>
      </c>
      <c r="J1271" s="19">
        <f>IFERROR(__xludf.DUMMYFUNCTION("""COMPUTED_VALUE"""),0.04741)</f>
        <v>0.04741</v>
      </c>
      <c r="K1271" s="19" t="str">
        <f>IFERROR(__xludf.DUMMYFUNCTION("""COMPUTED_VALUE"""),"-")</f>
        <v>-</v>
      </c>
      <c r="L1271" s="19" t="str">
        <f>IFERROR(__xludf.DUMMYFUNCTION("""COMPUTED_VALUE"""),"-")</f>
        <v>-</v>
      </c>
      <c r="O1271" s="24">
        <f t="shared" si="4"/>
        <v>0</v>
      </c>
      <c r="P1271" s="24"/>
      <c r="Q1271" s="24">
        <f t="shared" si="6"/>
        <v>0</v>
      </c>
      <c r="R1271" s="24">
        <f t="shared" si="7"/>
        <v>0</v>
      </c>
      <c r="S1271" s="24"/>
      <c r="T1271" s="24"/>
    </row>
    <row r="1272">
      <c r="A1272" s="12" t="s">
        <v>1360</v>
      </c>
      <c r="F1272" s="19">
        <f>IFERROR(__xludf.DUMMYFUNCTION("SPLIT(A1268, "" |"")"),1266.0)</f>
        <v>1266</v>
      </c>
      <c r="G1272" s="19">
        <f>IFERROR(__xludf.DUMMYFUNCTION("""COMPUTED_VALUE"""),0.00234)</f>
        <v>0.00234</v>
      </c>
      <c r="H1272" s="19" t="str">
        <f>IFERROR(__xludf.DUMMYFUNCTION("""COMPUTED_VALUE"""),"-")</f>
        <v>-</v>
      </c>
      <c r="I1272" s="19">
        <f>IFERROR(__xludf.DUMMYFUNCTION("""COMPUTED_VALUE"""),0.00225)</f>
        <v>0.00225</v>
      </c>
      <c r="J1272" s="19">
        <f>IFERROR(__xludf.DUMMYFUNCTION("""COMPUTED_VALUE"""),0.0475)</f>
        <v>0.0475</v>
      </c>
      <c r="K1272" s="19" t="str">
        <f>IFERROR(__xludf.DUMMYFUNCTION("""COMPUTED_VALUE"""),"-")</f>
        <v>-</v>
      </c>
      <c r="L1272" s="19" t="str">
        <f>IFERROR(__xludf.DUMMYFUNCTION("""COMPUTED_VALUE"""),"-")</f>
        <v>-</v>
      </c>
      <c r="O1272" s="24">
        <f t="shared" si="4"/>
        <v>0</v>
      </c>
      <c r="P1272" s="24"/>
      <c r="Q1272" s="24">
        <f t="shared" si="6"/>
        <v>0</v>
      </c>
      <c r="R1272" s="24">
        <f t="shared" si="7"/>
        <v>0</v>
      </c>
      <c r="S1272" s="24"/>
      <c r="T1272" s="24"/>
    </row>
    <row r="1273">
      <c r="A1273" s="12" t="s">
        <v>1361</v>
      </c>
      <c r="F1273" s="19">
        <f>IFERROR(__xludf.DUMMYFUNCTION("SPLIT(A1269, "" |"")"),1267.0)</f>
        <v>1267</v>
      </c>
      <c r="G1273" s="19">
        <f>IFERROR(__xludf.DUMMYFUNCTION("""COMPUTED_VALUE"""),0.00235)</f>
        <v>0.00235</v>
      </c>
      <c r="H1273" s="19" t="str">
        <f>IFERROR(__xludf.DUMMYFUNCTION("""COMPUTED_VALUE"""),"-")</f>
        <v>-</v>
      </c>
      <c r="I1273" s="19">
        <f>IFERROR(__xludf.DUMMYFUNCTION("""COMPUTED_VALUE"""),0.00221)</f>
        <v>0.00221</v>
      </c>
      <c r="J1273" s="19">
        <f>IFERROR(__xludf.DUMMYFUNCTION("""COMPUTED_VALUE"""),0.04751)</f>
        <v>0.04751</v>
      </c>
      <c r="K1273" s="19" t="str">
        <f>IFERROR(__xludf.DUMMYFUNCTION("""COMPUTED_VALUE"""),"-")</f>
        <v>-</v>
      </c>
      <c r="L1273" s="19" t="str">
        <f>IFERROR(__xludf.DUMMYFUNCTION("""COMPUTED_VALUE"""),"-")</f>
        <v>-</v>
      </c>
      <c r="O1273" s="24">
        <f t="shared" si="4"/>
        <v>0</v>
      </c>
      <c r="P1273" s="24"/>
      <c r="Q1273" s="24">
        <f t="shared" si="6"/>
        <v>0</v>
      </c>
      <c r="R1273" s="24">
        <f t="shared" si="7"/>
        <v>0</v>
      </c>
      <c r="S1273" s="24"/>
      <c r="T1273" s="24"/>
    </row>
    <row r="1274">
      <c r="A1274" s="12" t="s">
        <v>1362</v>
      </c>
      <c r="F1274" s="19">
        <f>IFERROR(__xludf.DUMMYFUNCTION("SPLIT(A1270, "" |"")"),1268.0)</f>
        <v>1268</v>
      </c>
      <c r="G1274" s="19">
        <f>IFERROR(__xludf.DUMMYFUNCTION("""COMPUTED_VALUE"""),0.00239)</f>
        <v>0.00239</v>
      </c>
      <c r="H1274" s="19" t="str">
        <f>IFERROR(__xludf.DUMMYFUNCTION("""COMPUTED_VALUE"""),"-")</f>
        <v>-</v>
      </c>
      <c r="I1274" s="19">
        <f>IFERROR(__xludf.DUMMYFUNCTION("""COMPUTED_VALUE"""),0.00224)</f>
        <v>0.00224</v>
      </c>
      <c r="J1274" s="19">
        <f>IFERROR(__xludf.DUMMYFUNCTION("""COMPUTED_VALUE"""),0.03952)</f>
        <v>0.03952</v>
      </c>
      <c r="K1274" s="19" t="str">
        <f>IFERROR(__xludf.DUMMYFUNCTION("""COMPUTED_VALUE"""),"-")</f>
        <v>-</v>
      </c>
      <c r="L1274" s="19" t="str">
        <f>IFERROR(__xludf.DUMMYFUNCTION("""COMPUTED_VALUE"""),"-")</f>
        <v>-</v>
      </c>
      <c r="O1274" s="24">
        <f t="shared" si="4"/>
        <v>0</v>
      </c>
      <c r="P1274" s="24"/>
      <c r="Q1274" s="24">
        <f t="shared" si="6"/>
        <v>0</v>
      </c>
      <c r="R1274" s="24">
        <f t="shared" si="7"/>
        <v>1</v>
      </c>
      <c r="S1274" s="24"/>
      <c r="T1274" s="24"/>
    </row>
    <row r="1275">
      <c r="A1275" s="12" t="s">
        <v>1363</v>
      </c>
      <c r="F1275" s="19">
        <f>IFERROR(__xludf.DUMMYFUNCTION("SPLIT(A1271, "" |"")"),1269.0)</f>
        <v>1269</v>
      </c>
      <c r="G1275" s="19">
        <f>IFERROR(__xludf.DUMMYFUNCTION("""COMPUTED_VALUE"""),0.0023)</f>
        <v>0.0023</v>
      </c>
      <c r="H1275" s="19" t="str">
        <f>IFERROR(__xludf.DUMMYFUNCTION("""COMPUTED_VALUE"""),"-")</f>
        <v>-</v>
      </c>
      <c r="I1275" s="19">
        <f>IFERROR(__xludf.DUMMYFUNCTION("""COMPUTED_VALUE"""),0.00223)</f>
        <v>0.00223</v>
      </c>
      <c r="J1275" s="19">
        <f>IFERROR(__xludf.DUMMYFUNCTION("""COMPUTED_VALUE"""),0.04749)</f>
        <v>0.04749</v>
      </c>
      <c r="K1275" s="19" t="str">
        <f>IFERROR(__xludf.DUMMYFUNCTION("""COMPUTED_VALUE"""),"-")</f>
        <v>-</v>
      </c>
      <c r="L1275" s="19" t="str">
        <f>IFERROR(__xludf.DUMMYFUNCTION("""COMPUTED_VALUE"""),"-")</f>
        <v>-</v>
      </c>
      <c r="O1275" s="24">
        <f t="shared" si="4"/>
        <v>0</v>
      </c>
      <c r="P1275" s="24"/>
      <c r="Q1275" s="24">
        <f t="shared" si="6"/>
        <v>0</v>
      </c>
      <c r="R1275" s="24">
        <f t="shared" si="7"/>
        <v>0</v>
      </c>
      <c r="S1275" s="24"/>
      <c r="T1275" s="24"/>
    </row>
    <row r="1276">
      <c r="A1276" s="12" t="s">
        <v>1364</v>
      </c>
      <c r="F1276" s="19">
        <f>IFERROR(__xludf.DUMMYFUNCTION("SPLIT(A1272, "" |"")"),1270.0)</f>
        <v>1270</v>
      </c>
      <c r="G1276" s="19">
        <f>IFERROR(__xludf.DUMMYFUNCTION("""COMPUTED_VALUE"""),0.00237)</f>
        <v>0.00237</v>
      </c>
      <c r="H1276" s="19" t="str">
        <f>IFERROR(__xludf.DUMMYFUNCTION("""COMPUTED_VALUE"""),"-")</f>
        <v>-</v>
      </c>
      <c r="I1276" s="19">
        <f>IFERROR(__xludf.DUMMYFUNCTION("""COMPUTED_VALUE"""),0.00222)</f>
        <v>0.00222</v>
      </c>
      <c r="J1276" s="19">
        <f>IFERROR(__xludf.DUMMYFUNCTION("""COMPUTED_VALUE"""),0.04321)</f>
        <v>0.04321</v>
      </c>
      <c r="K1276" s="19" t="str">
        <f>IFERROR(__xludf.DUMMYFUNCTION("""COMPUTED_VALUE"""),"-")</f>
        <v>-</v>
      </c>
      <c r="L1276" s="19" t="str">
        <f>IFERROR(__xludf.DUMMYFUNCTION("""COMPUTED_VALUE"""),"-")</f>
        <v>-</v>
      </c>
      <c r="O1276" s="24">
        <f t="shared" si="4"/>
        <v>0</v>
      </c>
      <c r="P1276" s="24"/>
      <c r="Q1276" s="24">
        <f t="shared" si="6"/>
        <v>0</v>
      </c>
      <c r="R1276" s="24">
        <f t="shared" si="7"/>
        <v>1</v>
      </c>
      <c r="S1276" s="24"/>
      <c r="T1276" s="24"/>
    </row>
    <row r="1277">
      <c r="A1277" s="12" t="s">
        <v>1365</v>
      </c>
      <c r="F1277" s="19">
        <f>IFERROR(__xludf.DUMMYFUNCTION("SPLIT(A1273, "" |"")"),1271.0)</f>
        <v>1271</v>
      </c>
      <c r="G1277" s="19">
        <f>IFERROR(__xludf.DUMMYFUNCTION("""COMPUTED_VALUE"""),0.00236)</f>
        <v>0.00236</v>
      </c>
      <c r="H1277" s="19" t="str">
        <f>IFERROR(__xludf.DUMMYFUNCTION("""COMPUTED_VALUE"""),"-")</f>
        <v>-</v>
      </c>
      <c r="I1277" s="19">
        <f>IFERROR(__xludf.DUMMYFUNCTION("""COMPUTED_VALUE"""),0.00223)</f>
        <v>0.00223</v>
      </c>
      <c r="J1277" s="19">
        <f>IFERROR(__xludf.DUMMYFUNCTION("""COMPUTED_VALUE"""),0.04745)</f>
        <v>0.04745</v>
      </c>
      <c r="K1277" s="19" t="str">
        <f>IFERROR(__xludf.DUMMYFUNCTION("""COMPUTED_VALUE"""),"-")</f>
        <v>-</v>
      </c>
      <c r="L1277" s="19" t="str">
        <f>IFERROR(__xludf.DUMMYFUNCTION("""COMPUTED_VALUE"""),"-")</f>
        <v>-</v>
      </c>
      <c r="O1277" s="24">
        <f t="shared" si="4"/>
        <v>0</v>
      </c>
      <c r="P1277" s="24"/>
      <c r="Q1277" s="24">
        <f t="shared" si="6"/>
        <v>0</v>
      </c>
      <c r="R1277" s="24">
        <f t="shared" si="7"/>
        <v>0</v>
      </c>
      <c r="S1277" s="24"/>
      <c r="T1277" s="24"/>
    </row>
    <row r="1278">
      <c r="A1278" s="12" t="s">
        <v>1366</v>
      </c>
      <c r="F1278" s="19">
        <f>IFERROR(__xludf.DUMMYFUNCTION("SPLIT(A1274, "" |"")"),1272.0)</f>
        <v>1272</v>
      </c>
      <c r="G1278" s="19">
        <f>IFERROR(__xludf.DUMMYFUNCTION("""COMPUTED_VALUE"""),0.00234)</f>
        <v>0.00234</v>
      </c>
      <c r="H1278" s="19" t="str">
        <f>IFERROR(__xludf.DUMMYFUNCTION("""COMPUTED_VALUE"""),"-")</f>
        <v>-</v>
      </c>
      <c r="I1278" s="19">
        <f>IFERROR(__xludf.DUMMYFUNCTION("""COMPUTED_VALUE"""),0.00223)</f>
        <v>0.00223</v>
      </c>
      <c r="J1278" s="19">
        <f>IFERROR(__xludf.DUMMYFUNCTION("""COMPUTED_VALUE"""),0.04528)</f>
        <v>0.04528</v>
      </c>
      <c r="K1278" s="19" t="str">
        <f>IFERROR(__xludf.DUMMYFUNCTION("""COMPUTED_VALUE"""),"-")</f>
        <v>-</v>
      </c>
      <c r="L1278" s="19" t="str">
        <f>IFERROR(__xludf.DUMMYFUNCTION("""COMPUTED_VALUE"""),"-")</f>
        <v>-</v>
      </c>
      <c r="O1278" s="24">
        <f t="shared" si="4"/>
        <v>0</v>
      </c>
      <c r="P1278" s="24"/>
      <c r="Q1278" s="24">
        <f t="shared" si="6"/>
        <v>0</v>
      </c>
      <c r="R1278" s="24">
        <f t="shared" si="7"/>
        <v>0</v>
      </c>
      <c r="S1278" s="24"/>
      <c r="T1278" s="24"/>
    </row>
    <row r="1279">
      <c r="A1279" s="12" t="s">
        <v>1367</v>
      </c>
      <c r="F1279" s="19">
        <f>IFERROR(__xludf.DUMMYFUNCTION("SPLIT(A1275, "" |"")"),1273.0)</f>
        <v>1273</v>
      </c>
      <c r="G1279" s="19">
        <f>IFERROR(__xludf.DUMMYFUNCTION("""COMPUTED_VALUE"""),0.00232)</f>
        <v>0.00232</v>
      </c>
      <c r="H1279" s="19" t="str">
        <f>IFERROR(__xludf.DUMMYFUNCTION("""COMPUTED_VALUE"""),"-")</f>
        <v>-</v>
      </c>
      <c r="I1279" s="19">
        <f>IFERROR(__xludf.DUMMYFUNCTION("""COMPUTED_VALUE"""),0.00218)</f>
        <v>0.00218</v>
      </c>
      <c r="J1279" s="19">
        <f>IFERROR(__xludf.DUMMYFUNCTION("""COMPUTED_VALUE"""),0.04739)</f>
        <v>0.04739</v>
      </c>
      <c r="K1279" s="19" t="str">
        <f>IFERROR(__xludf.DUMMYFUNCTION("""COMPUTED_VALUE"""),"-")</f>
        <v>-</v>
      </c>
      <c r="L1279" s="19" t="str">
        <f>IFERROR(__xludf.DUMMYFUNCTION("""COMPUTED_VALUE"""),"-")</f>
        <v>-</v>
      </c>
      <c r="O1279" s="24">
        <f t="shared" si="4"/>
        <v>0</v>
      </c>
      <c r="P1279" s="24"/>
      <c r="Q1279" s="24">
        <f t="shared" si="6"/>
        <v>0</v>
      </c>
      <c r="R1279" s="24">
        <f t="shared" si="7"/>
        <v>0</v>
      </c>
      <c r="S1279" s="24"/>
      <c r="T1279" s="24"/>
    </row>
    <row r="1280">
      <c r="A1280" s="12" t="s">
        <v>1368</v>
      </c>
      <c r="F1280" s="19">
        <f>IFERROR(__xludf.DUMMYFUNCTION("SPLIT(A1276, "" |"")"),1274.0)</f>
        <v>1274</v>
      </c>
      <c r="G1280" s="19">
        <f>IFERROR(__xludf.DUMMYFUNCTION("""COMPUTED_VALUE"""),0.00237)</f>
        <v>0.00237</v>
      </c>
      <c r="H1280" s="19" t="str">
        <f>IFERROR(__xludf.DUMMYFUNCTION("""COMPUTED_VALUE"""),"-")</f>
        <v>-</v>
      </c>
      <c r="I1280" s="19">
        <f>IFERROR(__xludf.DUMMYFUNCTION("""COMPUTED_VALUE"""),0.00222)</f>
        <v>0.00222</v>
      </c>
      <c r="J1280" s="19">
        <f>IFERROR(__xludf.DUMMYFUNCTION("""COMPUTED_VALUE"""),0.04156)</f>
        <v>0.04156</v>
      </c>
      <c r="K1280" s="19" t="str">
        <f>IFERROR(__xludf.DUMMYFUNCTION("""COMPUTED_VALUE"""),"-")</f>
        <v>-</v>
      </c>
      <c r="L1280" s="19" t="str">
        <f>IFERROR(__xludf.DUMMYFUNCTION("""COMPUTED_VALUE"""),"-")</f>
        <v>-</v>
      </c>
      <c r="O1280" s="24">
        <f t="shared" si="4"/>
        <v>0</v>
      </c>
      <c r="P1280" s="24"/>
      <c r="Q1280" s="24">
        <f t="shared" si="6"/>
        <v>0</v>
      </c>
      <c r="R1280" s="24">
        <f t="shared" si="7"/>
        <v>1</v>
      </c>
      <c r="S1280" s="24"/>
      <c r="T1280" s="24"/>
    </row>
    <row r="1281">
      <c r="A1281" s="12" t="s">
        <v>1369</v>
      </c>
      <c r="F1281" s="19">
        <f>IFERROR(__xludf.DUMMYFUNCTION("SPLIT(A1277, "" |"")"),1275.0)</f>
        <v>1275</v>
      </c>
      <c r="G1281" s="19">
        <f>IFERROR(__xludf.DUMMYFUNCTION("""COMPUTED_VALUE"""),0.0023)</f>
        <v>0.0023</v>
      </c>
      <c r="H1281" s="19" t="str">
        <f>IFERROR(__xludf.DUMMYFUNCTION("""COMPUTED_VALUE"""),"-")</f>
        <v>-</v>
      </c>
      <c r="I1281" s="19">
        <f>IFERROR(__xludf.DUMMYFUNCTION("""COMPUTED_VALUE"""),0.0022)</f>
        <v>0.0022</v>
      </c>
      <c r="J1281" s="19">
        <f>IFERROR(__xludf.DUMMYFUNCTION("""COMPUTED_VALUE"""),0.04747)</f>
        <v>0.04747</v>
      </c>
      <c r="K1281" s="19" t="str">
        <f>IFERROR(__xludf.DUMMYFUNCTION("""COMPUTED_VALUE"""),"-")</f>
        <v>-</v>
      </c>
      <c r="L1281" s="19" t="str">
        <f>IFERROR(__xludf.DUMMYFUNCTION("""COMPUTED_VALUE"""),"-")</f>
        <v>-</v>
      </c>
      <c r="O1281" s="24">
        <f t="shared" si="4"/>
        <v>0</v>
      </c>
      <c r="P1281" s="24"/>
      <c r="Q1281" s="24">
        <f t="shared" si="6"/>
        <v>0</v>
      </c>
      <c r="R1281" s="24">
        <f t="shared" si="7"/>
        <v>0</v>
      </c>
      <c r="S1281" s="24"/>
      <c r="T1281" s="24"/>
    </row>
    <row r="1282">
      <c r="A1282" s="12" t="s">
        <v>1370</v>
      </c>
      <c r="F1282" s="19">
        <f>IFERROR(__xludf.DUMMYFUNCTION("SPLIT(A1278, "" |"")"),1276.0)</f>
        <v>1276</v>
      </c>
      <c r="G1282" s="19">
        <f>IFERROR(__xludf.DUMMYFUNCTION("""COMPUTED_VALUE"""),0.00233)</f>
        <v>0.00233</v>
      </c>
      <c r="H1282" s="19" t="str">
        <f>IFERROR(__xludf.DUMMYFUNCTION("""COMPUTED_VALUE"""),"-")</f>
        <v>-</v>
      </c>
      <c r="I1282" s="19">
        <f>IFERROR(__xludf.DUMMYFUNCTION("""COMPUTED_VALUE"""),0.00221)</f>
        <v>0.00221</v>
      </c>
      <c r="J1282" s="19">
        <f>IFERROR(__xludf.DUMMYFUNCTION("""COMPUTED_VALUE"""),0.04624)</f>
        <v>0.04624</v>
      </c>
      <c r="K1282" s="19" t="str">
        <f>IFERROR(__xludf.DUMMYFUNCTION("""COMPUTED_VALUE"""),"-")</f>
        <v>-</v>
      </c>
      <c r="L1282" s="19" t="str">
        <f>IFERROR(__xludf.DUMMYFUNCTION("""COMPUTED_VALUE"""),"-")</f>
        <v>-</v>
      </c>
      <c r="O1282" s="24">
        <f t="shared" si="4"/>
        <v>0</v>
      </c>
      <c r="P1282" s="24"/>
      <c r="Q1282" s="24">
        <f t="shared" si="6"/>
        <v>0</v>
      </c>
      <c r="R1282" s="24">
        <f t="shared" si="7"/>
        <v>0</v>
      </c>
      <c r="S1282" s="24"/>
      <c r="T1282" s="24"/>
    </row>
    <row r="1283">
      <c r="A1283" s="12" t="s">
        <v>1371</v>
      </c>
      <c r="F1283" s="19">
        <f>IFERROR(__xludf.DUMMYFUNCTION("SPLIT(A1279, "" |"")"),1277.0)</f>
        <v>1277</v>
      </c>
      <c r="G1283" s="19">
        <f>IFERROR(__xludf.DUMMYFUNCTION("""COMPUTED_VALUE"""),0.00237)</f>
        <v>0.00237</v>
      </c>
      <c r="H1283" s="19" t="str">
        <f>IFERROR(__xludf.DUMMYFUNCTION("""COMPUTED_VALUE"""),"-")</f>
        <v>-</v>
      </c>
      <c r="I1283" s="19">
        <f>IFERROR(__xludf.DUMMYFUNCTION("""COMPUTED_VALUE"""),0.00219)</f>
        <v>0.00219</v>
      </c>
      <c r="J1283" s="19">
        <f>IFERROR(__xludf.DUMMYFUNCTION("""COMPUTED_VALUE"""),0.04753)</f>
        <v>0.04753</v>
      </c>
      <c r="K1283" s="19" t="str">
        <f>IFERROR(__xludf.DUMMYFUNCTION("""COMPUTED_VALUE"""),"-")</f>
        <v>-</v>
      </c>
      <c r="L1283" s="19" t="str">
        <f>IFERROR(__xludf.DUMMYFUNCTION("""COMPUTED_VALUE"""),"-")</f>
        <v>-</v>
      </c>
      <c r="O1283" s="24">
        <f t="shared" si="4"/>
        <v>0</v>
      </c>
      <c r="P1283" s="24"/>
      <c r="Q1283" s="24">
        <f t="shared" si="6"/>
        <v>0</v>
      </c>
      <c r="R1283" s="24">
        <f t="shared" si="7"/>
        <v>0</v>
      </c>
      <c r="S1283" s="24"/>
      <c r="T1283" s="24"/>
    </row>
    <row r="1284">
      <c r="A1284" s="12" t="s">
        <v>1372</v>
      </c>
      <c r="F1284" s="19">
        <f>IFERROR(__xludf.DUMMYFUNCTION("SPLIT(A1280, "" |"")"),1278.0)</f>
        <v>1278</v>
      </c>
      <c r="G1284" s="19">
        <f>IFERROR(__xludf.DUMMYFUNCTION("""COMPUTED_VALUE"""),0.0024)</f>
        <v>0.0024</v>
      </c>
      <c r="H1284" s="19" t="str">
        <f>IFERROR(__xludf.DUMMYFUNCTION("""COMPUTED_VALUE"""),"-")</f>
        <v>-</v>
      </c>
      <c r="I1284" s="19">
        <f>IFERROR(__xludf.DUMMYFUNCTION("""COMPUTED_VALUE"""),0.00227)</f>
        <v>0.00227</v>
      </c>
      <c r="J1284" s="19">
        <f>IFERROR(__xludf.DUMMYFUNCTION("""COMPUTED_VALUE"""),0.04744)</f>
        <v>0.04744</v>
      </c>
      <c r="K1284" s="19" t="str">
        <f>IFERROR(__xludf.DUMMYFUNCTION("""COMPUTED_VALUE"""),"-")</f>
        <v>-</v>
      </c>
      <c r="L1284" s="19" t="str">
        <f>IFERROR(__xludf.DUMMYFUNCTION("""COMPUTED_VALUE"""),"-")</f>
        <v>-</v>
      </c>
      <c r="O1284" s="24">
        <f t="shared" si="4"/>
        <v>0</v>
      </c>
      <c r="P1284" s="24"/>
      <c r="Q1284" s="24">
        <f t="shared" si="6"/>
        <v>0</v>
      </c>
      <c r="R1284" s="24">
        <f t="shared" si="7"/>
        <v>0</v>
      </c>
      <c r="S1284" s="24"/>
      <c r="T1284" s="24"/>
    </row>
    <row r="1285">
      <c r="A1285" s="12" t="s">
        <v>1373</v>
      </c>
      <c r="F1285" s="19">
        <f>IFERROR(__xludf.DUMMYFUNCTION("SPLIT(A1281, "" |"")"),1279.0)</f>
        <v>1279</v>
      </c>
      <c r="G1285" s="19">
        <f>IFERROR(__xludf.DUMMYFUNCTION("""COMPUTED_VALUE"""),0.00228)</f>
        <v>0.00228</v>
      </c>
      <c r="H1285" s="19" t="str">
        <f>IFERROR(__xludf.DUMMYFUNCTION("""COMPUTED_VALUE"""),"-")</f>
        <v>-</v>
      </c>
      <c r="I1285" s="19">
        <f>IFERROR(__xludf.DUMMYFUNCTION("""COMPUTED_VALUE"""),0.00227)</f>
        <v>0.00227</v>
      </c>
      <c r="J1285" s="19">
        <f>IFERROR(__xludf.DUMMYFUNCTION("""COMPUTED_VALUE"""),0.04754)</f>
        <v>0.04754</v>
      </c>
      <c r="K1285" s="19" t="str">
        <f>IFERROR(__xludf.DUMMYFUNCTION("""COMPUTED_VALUE"""),"-")</f>
        <v>-</v>
      </c>
      <c r="L1285" s="19" t="str">
        <f>IFERROR(__xludf.DUMMYFUNCTION("""COMPUTED_VALUE"""),"-")</f>
        <v>-</v>
      </c>
      <c r="O1285" s="24">
        <f t="shared" si="4"/>
        <v>0</v>
      </c>
      <c r="P1285" s="24"/>
      <c r="Q1285" s="24">
        <f t="shared" si="6"/>
        <v>0</v>
      </c>
      <c r="R1285" s="24">
        <f t="shared" si="7"/>
        <v>0</v>
      </c>
      <c r="S1285" s="24"/>
      <c r="T1285" s="24"/>
    </row>
    <row r="1286">
      <c r="A1286" s="12" t="s">
        <v>1374</v>
      </c>
      <c r="F1286" s="19">
        <f>IFERROR(__xludf.DUMMYFUNCTION("SPLIT(A1282, "" |"")"),1280.0)</f>
        <v>1280</v>
      </c>
      <c r="G1286" s="19">
        <f>IFERROR(__xludf.DUMMYFUNCTION("""COMPUTED_VALUE"""),0.00234)</f>
        <v>0.00234</v>
      </c>
      <c r="H1286" s="19" t="str">
        <f>IFERROR(__xludf.DUMMYFUNCTION("""COMPUTED_VALUE"""),"-")</f>
        <v>-</v>
      </c>
      <c r="I1286" s="19">
        <f>IFERROR(__xludf.DUMMYFUNCTION("""COMPUTED_VALUE"""),0.00219)</f>
        <v>0.00219</v>
      </c>
      <c r="J1286" s="19">
        <f>IFERROR(__xludf.DUMMYFUNCTION("""COMPUTED_VALUE"""),0.04098)</f>
        <v>0.04098</v>
      </c>
      <c r="K1286" s="19" t="str">
        <f>IFERROR(__xludf.DUMMYFUNCTION("""COMPUTED_VALUE"""),"-")</f>
        <v>-</v>
      </c>
      <c r="L1286" s="19" t="str">
        <f>IFERROR(__xludf.DUMMYFUNCTION("""COMPUTED_VALUE"""),"-")</f>
        <v>-</v>
      </c>
      <c r="O1286" s="24">
        <f t="shared" si="4"/>
        <v>0</v>
      </c>
      <c r="P1286" s="24"/>
      <c r="Q1286" s="24">
        <f t="shared" si="6"/>
        <v>0</v>
      </c>
      <c r="R1286" s="24">
        <f t="shared" si="7"/>
        <v>1</v>
      </c>
      <c r="S1286" s="24"/>
      <c r="T1286" s="24"/>
    </row>
    <row r="1287">
      <c r="A1287" s="12" t="s">
        <v>1375</v>
      </c>
      <c r="F1287" s="19">
        <f>IFERROR(__xludf.DUMMYFUNCTION("SPLIT(A1283, "" |"")"),1281.0)</f>
        <v>1281</v>
      </c>
      <c r="G1287" s="19">
        <f>IFERROR(__xludf.DUMMYFUNCTION("""COMPUTED_VALUE"""),0.00227)</f>
        <v>0.00227</v>
      </c>
      <c r="H1287" s="19" t="str">
        <f>IFERROR(__xludf.DUMMYFUNCTION("""COMPUTED_VALUE"""),"-")</f>
        <v>-</v>
      </c>
      <c r="I1287" s="19">
        <f>IFERROR(__xludf.DUMMYFUNCTION("""COMPUTED_VALUE"""),0.00216)</f>
        <v>0.00216</v>
      </c>
      <c r="J1287" s="19">
        <f>IFERROR(__xludf.DUMMYFUNCTION("""COMPUTED_VALUE"""),0.04269)</f>
        <v>0.04269</v>
      </c>
      <c r="K1287" s="19" t="str">
        <f>IFERROR(__xludf.DUMMYFUNCTION("""COMPUTED_VALUE"""),"-")</f>
        <v>-</v>
      </c>
      <c r="L1287" s="19" t="str">
        <f>IFERROR(__xludf.DUMMYFUNCTION("""COMPUTED_VALUE"""),"-")</f>
        <v>-</v>
      </c>
      <c r="O1287" s="24">
        <f t="shared" si="4"/>
        <v>0</v>
      </c>
      <c r="P1287" s="24"/>
      <c r="Q1287" s="24">
        <f t="shared" si="6"/>
        <v>0</v>
      </c>
      <c r="R1287" s="24">
        <f t="shared" si="7"/>
        <v>1</v>
      </c>
      <c r="S1287" s="24"/>
      <c r="T1287" s="24"/>
    </row>
    <row r="1288">
      <c r="A1288" s="12" t="s">
        <v>1376</v>
      </c>
      <c r="F1288" s="19">
        <f>IFERROR(__xludf.DUMMYFUNCTION("SPLIT(A1284, "" |"")"),1282.0)</f>
        <v>1282</v>
      </c>
      <c r="G1288" s="19">
        <f>IFERROR(__xludf.DUMMYFUNCTION("""COMPUTED_VALUE"""),0.00233)</f>
        <v>0.00233</v>
      </c>
      <c r="H1288" s="19" t="str">
        <f>IFERROR(__xludf.DUMMYFUNCTION("""COMPUTED_VALUE"""),"-")</f>
        <v>-</v>
      </c>
      <c r="I1288" s="19">
        <f>IFERROR(__xludf.DUMMYFUNCTION("""COMPUTED_VALUE"""),0.00221)</f>
        <v>0.00221</v>
      </c>
      <c r="J1288" s="19">
        <f>IFERROR(__xludf.DUMMYFUNCTION("""COMPUTED_VALUE"""),0.04749)</f>
        <v>0.04749</v>
      </c>
      <c r="K1288" s="19" t="str">
        <f>IFERROR(__xludf.DUMMYFUNCTION("""COMPUTED_VALUE"""),"-")</f>
        <v>-</v>
      </c>
      <c r="L1288" s="19" t="str">
        <f>IFERROR(__xludf.DUMMYFUNCTION("""COMPUTED_VALUE"""),"-")</f>
        <v>-</v>
      </c>
      <c r="O1288" s="24">
        <f t="shared" si="4"/>
        <v>0</v>
      </c>
      <c r="P1288" s="24"/>
      <c r="Q1288" s="24">
        <f t="shared" si="6"/>
        <v>0</v>
      </c>
      <c r="R1288" s="24">
        <f t="shared" si="7"/>
        <v>0</v>
      </c>
      <c r="S1288" s="24"/>
      <c r="T1288" s="24"/>
    </row>
    <row r="1289">
      <c r="A1289" s="12" t="s">
        <v>1377</v>
      </c>
      <c r="F1289" s="19">
        <f>IFERROR(__xludf.DUMMYFUNCTION("SPLIT(A1285, "" |"")"),1283.0)</f>
        <v>1283</v>
      </c>
      <c r="G1289" s="19">
        <f>IFERROR(__xludf.DUMMYFUNCTION("""COMPUTED_VALUE"""),0.00236)</f>
        <v>0.00236</v>
      </c>
      <c r="H1289" s="19" t="str">
        <f>IFERROR(__xludf.DUMMYFUNCTION("""COMPUTED_VALUE"""),"-")</f>
        <v>-</v>
      </c>
      <c r="I1289" s="19">
        <f>IFERROR(__xludf.DUMMYFUNCTION("""COMPUTED_VALUE"""),0.00224)</f>
        <v>0.00224</v>
      </c>
      <c r="J1289" s="19">
        <f>IFERROR(__xludf.DUMMYFUNCTION("""COMPUTED_VALUE"""),0.04745)</f>
        <v>0.04745</v>
      </c>
      <c r="K1289" s="19" t="str">
        <f>IFERROR(__xludf.DUMMYFUNCTION("""COMPUTED_VALUE"""),"-")</f>
        <v>-</v>
      </c>
      <c r="L1289" s="19" t="str">
        <f>IFERROR(__xludf.DUMMYFUNCTION("""COMPUTED_VALUE"""),"-")</f>
        <v>-</v>
      </c>
      <c r="O1289" s="24">
        <f t="shared" si="4"/>
        <v>0</v>
      </c>
      <c r="P1289" s="24"/>
      <c r="Q1289" s="24">
        <f t="shared" si="6"/>
        <v>0</v>
      </c>
      <c r="R1289" s="24">
        <f t="shared" si="7"/>
        <v>0</v>
      </c>
      <c r="S1289" s="24"/>
      <c r="T1289" s="24"/>
    </row>
    <row r="1290">
      <c r="A1290" s="12" t="s">
        <v>1378</v>
      </c>
      <c r="F1290" s="19">
        <f>IFERROR(__xludf.DUMMYFUNCTION("SPLIT(A1286, "" |"")"),1284.0)</f>
        <v>1284</v>
      </c>
      <c r="G1290" s="19">
        <f>IFERROR(__xludf.DUMMYFUNCTION("""COMPUTED_VALUE"""),0.00238)</f>
        <v>0.00238</v>
      </c>
      <c r="H1290" s="19" t="str">
        <f>IFERROR(__xludf.DUMMYFUNCTION("""COMPUTED_VALUE"""),"-")</f>
        <v>-</v>
      </c>
      <c r="I1290" s="19">
        <f>IFERROR(__xludf.DUMMYFUNCTION("""COMPUTED_VALUE"""),0.00222)</f>
        <v>0.00222</v>
      </c>
      <c r="J1290" s="19">
        <f>IFERROR(__xludf.DUMMYFUNCTION("""COMPUTED_VALUE"""),0.0459)</f>
        <v>0.0459</v>
      </c>
      <c r="K1290" s="19" t="str">
        <f>IFERROR(__xludf.DUMMYFUNCTION("""COMPUTED_VALUE"""),"-")</f>
        <v>-</v>
      </c>
      <c r="L1290" s="19" t="str">
        <f>IFERROR(__xludf.DUMMYFUNCTION("""COMPUTED_VALUE"""),"-")</f>
        <v>-</v>
      </c>
      <c r="O1290" s="24">
        <f t="shared" si="4"/>
        <v>0</v>
      </c>
      <c r="P1290" s="24"/>
      <c r="Q1290" s="24">
        <f t="shared" si="6"/>
        <v>0</v>
      </c>
      <c r="R1290" s="24">
        <f t="shared" si="7"/>
        <v>0</v>
      </c>
      <c r="S1290" s="24"/>
      <c r="T1290" s="24"/>
    </row>
    <row r="1291">
      <c r="A1291" s="12" t="s">
        <v>1379</v>
      </c>
      <c r="F1291" s="19">
        <f>IFERROR(__xludf.DUMMYFUNCTION("SPLIT(A1287, "" |"")"),1285.0)</f>
        <v>1285</v>
      </c>
      <c r="G1291" s="19">
        <f>IFERROR(__xludf.DUMMYFUNCTION("""COMPUTED_VALUE"""),0.0023)</f>
        <v>0.0023</v>
      </c>
      <c r="H1291" s="19" t="str">
        <f>IFERROR(__xludf.DUMMYFUNCTION("""COMPUTED_VALUE"""),"-")</f>
        <v>-</v>
      </c>
      <c r="I1291" s="19">
        <f>IFERROR(__xludf.DUMMYFUNCTION("""COMPUTED_VALUE"""),0.00222)</f>
        <v>0.00222</v>
      </c>
      <c r="J1291" s="19">
        <f>IFERROR(__xludf.DUMMYFUNCTION("""COMPUTED_VALUE"""),0.04754)</f>
        <v>0.04754</v>
      </c>
      <c r="K1291" s="19" t="str">
        <f>IFERROR(__xludf.DUMMYFUNCTION("""COMPUTED_VALUE"""),"-")</f>
        <v>-</v>
      </c>
      <c r="L1291" s="19" t="str">
        <f>IFERROR(__xludf.DUMMYFUNCTION("""COMPUTED_VALUE"""),"-")</f>
        <v>-</v>
      </c>
      <c r="O1291" s="24">
        <f t="shared" si="4"/>
        <v>0</v>
      </c>
      <c r="P1291" s="24"/>
      <c r="Q1291" s="24">
        <f t="shared" si="6"/>
        <v>0</v>
      </c>
      <c r="R1291" s="24">
        <f t="shared" si="7"/>
        <v>0</v>
      </c>
      <c r="S1291" s="24"/>
      <c r="T1291" s="24"/>
    </row>
    <row r="1292">
      <c r="A1292" s="12" t="s">
        <v>1380</v>
      </c>
      <c r="F1292" s="19">
        <f>IFERROR(__xludf.DUMMYFUNCTION("SPLIT(A1288, "" |"")"),1286.0)</f>
        <v>1286</v>
      </c>
      <c r="G1292" s="19">
        <f>IFERROR(__xludf.DUMMYFUNCTION("""COMPUTED_VALUE"""),0.00239)</f>
        <v>0.00239</v>
      </c>
      <c r="H1292" s="19" t="str">
        <f>IFERROR(__xludf.DUMMYFUNCTION("""COMPUTED_VALUE"""),"-")</f>
        <v>-</v>
      </c>
      <c r="I1292" s="19">
        <f>IFERROR(__xludf.DUMMYFUNCTION("""COMPUTED_VALUE"""),0.00219)</f>
        <v>0.00219</v>
      </c>
      <c r="J1292" s="19">
        <f>IFERROR(__xludf.DUMMYFUNCTION("""COMPUTED_VALUE"""),0.04742)</f>
        <v>0.04742</v>
      </c>
      <c r="K1292" s="19" t="str">
        <f>IFERROR(__xludf.DUMMYFUNCTION("""COMPUTED_VALUE"""),"-")</f>
        <v>-</v>
      </c>
      <c r="L1292" s="19" t="str">
        <f>IFERROR(__xludf.DUMMYFUNCTION("""COMPUTED_VALUE"""),"-")</f>
        <v>-</v>
      </c>
      <c r="O1292" s="24">
        <f t="shared" si="4"/>
        <v>0</v>
      </c>
      <c r="P1292" s="24"/>
      <c r="Q1292" s="24">
        <f t="shared" si="6"/>
        <v>0</v>
      </c>
      <c r="R1292" s="24">
        <f t="shared" si="7"/>
        <v>0</v>
      </c>
      <c r="S1292" s="24"/>
      <c r="T1292" s="24"/>
    </row>
    <row r="1293">
      <c r="A1293" s="12" t="s">
        <v>1381</v>
      </c>
      <c r="F1293" s="19">
        <f>IFERROR(__xludf.DUMMYFUNCTION("SPLIT(A1289, "" |"")"),1287.0)</f>
        <v>1287</v>
      </c>
      <c r="G1293" s="19">
        <f>IFERROR(__xludf.DUMMYFUNCTION("""COMPUTED_VALUE"""),0.00237)</f>
        <v>0.00237</v>
      </c>
      <c r="H1293" s="19" t="str">
        <f>IFERROR(__xludf.DUMMYFUNCTION("""COMPUTED_VALUE"""),"-")</f>
        <v>-</v>
      </c>
      <c r="I1293" s="19">
        <f>IFERROR(__xludf.DUMMYFUNCTION("""COMPUTED_VALUE"""),0.00227)</f>
        <v>0.00227</v>
      </c>
      <c r="J1293" s="19">
        <f>IFERROR(__xludf.DUMMYFUNCTION("""COMPUTED_VALUE"""),0.04752)</f>
        <v>0.04752</v>
      </c>
      <c r="K1293" s="19" t="str">
        <f>IFERROR(__xludf.DUMMYFUNCTION("""COMPUTED_VALUE"""),"-")</f>
        <v>-</v>
      </c>
      <c r="L1293" s="19" t="str">
        <f>IFERROR(__xludf.DUMMYFUNCTION("""COMPUTED_VALUE"""),"-")</f>
        <v>-</v>
      </c>
      <c r="O1293" s="24">
        <f t="shared" si="4"/>
        <v>0</v>
      </c>
      <c r="P1293" s="24"/>
      <c r="Q1293" s="24">
        <f t="shared" si="6"/>
        <v>0</v>
      </c>
      <c r="R1293" s="24">
        <f t="shared" si="7"/>
        <v>0</v>
      </c>
      <c r="S1293" s="24"/>
      <c r="T1293" s="24"/>
    </row>
    <row r="1294">
      <c r="A1294" s="12" t="s">
        <v>1382</v>
      </c>
      <c r="F1294" s="19">
        <f>IFERROR(__xludf.DUMMYFUNCTION("SPLIT(A1290, "" |"")"),1288.0)</f>
        <v>1288</v>
      </c>
      <c r="G1294" s="19">
        <f>IFERROR(__xludf.DUMMYFUNCTION("""COMPUTED_VALUE"""),0.00246)</f>
        <v>0.00246</v>
      </c>
      <c r="H1294" s="19" t="str">
        <f>IFERROR(__xludf.DUMMYFUNCTION("""COMPUTED_VALUE"""),"-")</f>
        <v>-</v>
      </c>
      <c r="I1294" s="19">
        <f>IFERROR(__xludf.DUMMYFUNCTION("""COMPUTED_VALUE"""),0.00226)</f>
        <v>0.00226</v>
      </c>
      <c r="J1294" s="19">
        <f>IFERROR(__xludf.DUMMYFUNCTION("""COMPUTED_VALUE"""),0.04749)</f>
        <v>0.04749</v>
      </c>
      <c r="K1294" s="19" t="str">
        <f>IFERROR(__xludf.DUMMYFUNCTION("""COMPUTED_VALUE"""),"-")</f>
        <v>-</v>
      </c>
      <c r="L1294" s="19" t="str">
        <f>IFERROR(__xludf.DUMMYFUNCTION("""COMPUTED_VALUE"""),"-")</f>
        <v>-</v>
      </c>
      <c r="O1294" s="24">
        <f t="shared" si="4"/>
        <v>0</v>
      </c>
      <c r="P1294" s="24"/>
      <c r="Q1294" s="24">
        <f t="shared" si="6"/>
        <v>0</v>
      </c>
      <c r="R1294" s="24">
        <f t="shared" si="7"/>
        <v>0</v>
      </c>
      <c r="S1294" s="24"/>
      <c r="T1294" s="24"/>
    </row>
    <row r="1295">
      <c r="A1295" s="12" t="s">
        <v>1383</v>
      </c>
      <c r="F1295" s="19">
        <f>IFERROR(__xludf.DUMMYFUNCTION("SPLIT(A1291, "" |"")"),1289.0)</f>
        <v>1289</v>
      </c>
      <c r="G1295" s="19">
        <f>IFERROR(__xludf.DUMMYFUNCTION("""COMPUTED_VALUE"""),0.00234)</f>
        <v>0.00234</v>
      </c>
      <c r="H1295" s="19" t="str">
        <f>IFERROR(__xludf.DUMMYFUNCTION("""COMPUTED_VALUE"""),"-")</f>
        <v>-</v>
      </c>
      <c r="I1295" s="19">
        <f>IFERROR(__xludf.DUMMYFUNCTION("""COMPUTED_VALUE"""),0.00213)</f>
        <v>0.00213</v>
      </c>
      <c r="J1295" s="19">
        <f>IFERROR(__xludf.DUMMYFUNCTION("""COMPUTED_VALUE"""),0.04752)</f>
        <v>0.04752</v>
      </c>
      <c r="K1295" s="19" t="str">
        <f>IFERROR(__xludf.DUMMYFUNCTION("""COMPUTED_VALUE"""),"-")</f>
        <v>-</v>
      </c>
      <c r="L1295" s="19" t="str">
        <f>IFERROR(__xludf.DUMMYFUNCTION("""COMPUTED_VALUE"""),"-")</f>
        <v>-</v>
      </c>
      <c r="O1295" s="24">
        <f t="shared" si="4"/>
        <v>0</v>
      </c>
      <c r="P1295" s="24"/>
      <c r="Q1295" s="24">
        <f t="shared" si="6"/>
        <v>0</v>
      </c>
      <c r="R1295" s="24">
        <f t="shared" si="7"/>
        <v>0</v>
      </c>
      <c r="S1295" s="24"/>
      <c r="T1295" s="24"/>
    </row>
    <row r="1296">
      <c r="A1296" s="12" t="s">
        <v>1384</v>
      </c>
      <c r="F1296" s="19">
        <f>IFERROR(__xludf.DUMMYFUNCTION("SPLIT(A1292, "" |"")"),1290.0)</f>
        <v>1290</v>
      </c>
      <c r="G1296" s="19">
        <f>IFERROR(__xludf.DUMMYFUNCTION("""COMPUTED_VALUE"""),0.00234)</f>
        <v>0.00234</v>
      </c>
      <c r="H1296" s="19" t="str">
        <f>IFERROR(__xludf.DUMMYFUNCTION("""COMPUTED_VALUE"""),"-")</f>
        <v>-</v>
      </c>
      <c r="I1296" s="19">
        <f>IFERROR(__xludf.DUMMYFUNCTION("""COMPUTED_VALUE"""),0.00222)</f>
        <v>0.00222</v>
      </c>
      <c r="J1296" s="19">
        <f>IFERROR(__xludf.DUMMYFUNCTION("""COMPUTED_VALUE"""),0.04746)</f>
        <v>0.04746</v>
      </c>
      <c r="K1296" s="19" t="str">
        <f>IFERROR(__xludf.DUMMYFUNCTION("""COMPUTED_VALUE"""),"-")</f>
        <v>-</v>
      </c>
      <c r="L1296" s="19" t="str">
        <f>IFERROR(__xludf.DUMMYFUNCTION("""COMPUTED_VALUE"""),"-")</f>
        <v>-</v>
      </c>
      <c r="O1296" s="24">
        <f t="shared" si="4"/>
        <v>0</v>
      </c>
      <c r="P1296" s="24"/>
      <c r="Q1296" s="24">
        <f t="shared" si="6"/>
        <v>0</v>
      </c>
      <c r="R1296" s="24">
        <f t="shared" si="7"/>
        <v>0</v>
      </c>
      <c r="S1296" s="24"/>
      <c r="T1296" s="24"/>
    </row>
    <row r="1297">
      <c r="A1297" s="12" t="s">
        <v>1385</v>
      </c>
      <c r="F1297" s="19">
        <f>IFERROR(__xludf.DUMMYFUNCTION("SPLIT(A1293, "" |"")"),1291.0)</f>
        <v>1291</v>
      </c>
      <c r="G1297" s="19">
        <f>IFERROR(__xludf.DUMMYFUNCTION("""COMPUTED_VALUE"""),0.00233)</f>
        <v>0.00233</v>
      </c>
      <c r="H1297" s="19" t="str">
        <f>IFERROR(__xludf.DUMMYFUNCTION("""COMPUTED_VALUE"""),"-")</f>
        <v>-</v>
      </c>
      <c r="I1297" s="19">
        <f>IFERROR(__xludf.DUMMYFUNCTION("""COMPUTED_VALUE"""),0.00215)</f>
        <v>0.00215</v>
      </c>
      <c r="J1297" s="19">
        <f>IFERROR(__xludf.DUMMYFUNCTION("""COMPUTED_VALUE"""),0.04393)</f>
        <v>0.04393</v>
      </c>
      <c r="K1297" s="19" t="str">
        <f>IFERROR(__xludf.DUMMYFUNCTION("""COMPUTED_VALUE"""),"-")</f>
        <v>-</v>
      </c>
      <c r="L1297" s="19" t="str">
        <f>IFERROR(__xludf.DUMMYFUNCTION("""COMPUTED_VALUE"""),"-")</f>
        <v>-</v>
      </c>
      <c r="O1297" s="24">
        <f t="shared" si="4"/>
        <v>0</v>
      </c>
      <c r="P1297" s="24"/>
      <c r="Q1297" s="24">
        <f t="shared" si="6"/>
        <v>0</v>
      </c>
      <c r="R1297" s="24">
        <f t="shared" si="7"/>
        <v>1</v>
      </c>
      <c r="S1297" s="24"/>
      <c r="T1297" s="24"/>
    </row>
    <row r="1298">
      <c r="A1298" s="12" t="s">
        <v>1386</v>
      </c>
      <c r="F1298" s="19">
        <f>IFERROR(__xludf.DUMMYFUNCTION("SPLIT(A1294, "" |"")"),1292.0)</f>
        <v>1292</v>
      </c>
      <c r="G1298" s="19">
        <f>IFERROR(__xludf.DUMMYFUNCTION("""COMPUTED_VALUE"""),0.00234)</f>
        <v>0.00234</v>
      </c>
      <c r="H1298" s="19" t="str">
        <f>IFERROR(__xludf.DUMMYFUNCTION("""COMPUTED_VALUE"""),"-")</f>
        <v>-</v>
      </c>
      <c r="I1298" s="19">
        <f>IFERROR(__xludf.DUMMYFUNCTION("""COMPUTED_VALUE"""),0.00217)</f>
        <v>0.00217</v>
      </c>
      <c r="J1298" s="19">
        <f>IFERROR(__xludf.DUMMYFUNCTION("""COMPUTED_VALUE"""),0.04742)</f>
        <v>0.04742</v>
      </c>
      <c r="K1298" s="19" t="str">
        <f>IFERROR(__xludf.DUMMYFUNCTION("""COMPUTED_VALUE"""),"-")</f>
        <v>-</v>
      </c>
      <c r="L1298" s="19" t="str">
        <f>IFERROR(__xludf.DUMMYFUNCTION("""COMPUTED_VALUE"""),"-")</f>
        <v>-</v>
      </c>
      <c r="O1298" s="24">
        <f t="shared" si="4"/>
        <v>0</v>
      </c>
      <c r="P1298" s="24"/>
      <c r="Q1298" s="24">
        <f t="shared" si="6"/>
        <v>0</v>
      </c>
      <c r="R1298" s="24">
        <f t="shared" si="7"/>
        <v>0</v>
      </c>
      <c r="S1298" s="24"/>
      <c r="T1298" s="24"/>
    </row>
    <row r="1299">
      <c r="A1299" s="12" t="s">
        <v>1387</v>
      </c>
      <c r="F1299" s="19">
        <f>IFERROR(__xludf.DUMMYFUNCTION("SPLIT(A1295, "" |"")"),1293.0)</f>
        <v>1293</v>
      </c>
      <c r="G1299" s="19">
        <f>IFERROR(__xludf.DUMMYFUNCTION("""COMPUTED_VALUE"""),0.00228)</f>
        <v>0.00228</v>
      </c>
      <c r="H1299" s="19" t="str">
        <f>IFERROR(__xludf.DUMMYFUNCTION("""COMPUTED_VALUE"""),"-")</f>
        <v>-</v>
      </c>
      <c r="I1299" s="19">
        <f>IFERROR(__xludf.DUMMYFUNCTION("""COMPUTED_VALUE"""),0.00228)</f>
        <v>0.00228</v>
      </c>
      <c r="J1299" s="19">
        <f>IFERROR(__xludf.DUMMYFUNCTION("""COMPUTED_VALUE"""),0.04749)</f>
        <v>0.04749</v>
      </c>
      <c r="K1299" s="19" t="str">
        <f>IFERROR(__xludf.DUMMYFUNCTION("""COMPUTED_VALUE"""),"-")</f>
        <v>-</v>
      </c>
      <c r="L1299" s="19" t="str">
        <f>IFERROR(__xludf.DUMMYFUNCTION("""COMPUTED_VALUE"""),"-")</f>
        <v>-</v>
      </c>
      <c r="O1299" s="24">
        <f t="shared" si="4"/>
        <v>0</v>
      </c>
      <c r="P1299" s="24"/>
      <c r="Q1299" s="24">
        <f t="shared" si="6"/>
        <v>0</v>
      </c>
      <c r="R1299" s="24">
        <f t="shared" si="7"/>
        <v>0</v>
      </c>
      <c r="S1299" s="24"/>
      <c r="T1299" s="24"/>
    </row>
    <row r="1300">
      <c r="A1300" s="12" t="s">
        <v>1388</v>
      </c>
      <c r="F1300" s="19">
        <f>IFERROR(__xludf.DUMMYFUNCTION("SPLIT(A1296, "" |"")"),1294.0)</f>
        <v>1294</v>
      </c>
      <c r="G1300" s="19">
        <f>IFERROR(__xludf.DUMMYFUNCTION("""COMPUTED_VALUE"""),0.00234)</f>
        <v>0.00234</v>
      </c>
      <c r="H1300" s="19" t="str">
        <f>IFERROR(__xludf.DUMMYFUNCTION("""COMPUTED_VALUE"""),"-")</f>
        <v>-</v>
      </c>
      <c r="I1300" s="19">
        <f>IFERROR(__xludf.DUMMYFUNCTION("""COMPUTED_VALUE"""),0.00219)</f>
        <v>0.00219</v>
      </c>
      <c r="J1300" s="19">
        <f>IFERROR(__xludf.DUMMYFUNCTION("""COMPUTED_VALUE"""),0.04747)</f>
        <v>0.04747</v>
      </c>
      <c r="K1300" s="19" t="str">
        <f>IFERROR(__xludf.DUMMYFUNCTION("""COMPUTED_VALUE"""),"-")</f>
        <v>-</v>
      </c>
      <c r="L1300" s="19" t="str">
        <f>IFERROR(__xludf.DUMMYFUNCTION("""COMPUTED_VALUE"""),"-")</f>
        <v>-</v>
      </c>
      <c r="O1300" s="24">
        <f t="shared" si="4"/>
        <v>0</v>
      </c>
      <c r="P1300" s="24"/>
      <c r="Q1300" s="24">
        <f t="shared" si="6"/>
        <v>0</v>
      </c>
      <c r="R1300" s="24">
        <f t="shared" si="7"/>
        <v>0</v>
      </c>
      <c r="S1300" s="24"/>
      <c r="T1300" s="24"/>
    </row>
    <row r="1301">
      <c r="A1301" s="12" t="s">
        <v>1389</v>
      </c>
      <c r="F1301" s="19">
        <f>IFERROR(__xludf.DUMMYFUNCTION("SPLIT(A1297, "" |"")"),1295.0)</f>
        <v>1295</v>
      </c>
      <c r="G1301" s="19">
        <f>IFERROR(__xludf.DUMMYFUNCTION("""COMPUTED_VALUE"""),0.00234)</f>
        <v>0.00234</v>
      </c>
      <c r="H1301" s="19" t="str">
        <f>IFERROR(__xludf.DUMMYFUNCTION("""COMPUTED_VALUE"""),"-")</f>
        <v>-</v>
      </c>
      <c r="I1301" s="19">
        <f>IFERROR(__xludf.DUMMYFUNCTION("""COMPUTED_VALUE"""),0.00223)</f>
        <v>0.00223</v>
      </c>
      <c r="J1301" s="19">
        <f>IFERROR(__xludf.DUMMYFUNCTION("""COMPUTED_VALUE"""),0.04747)</f>
        <v>0.04747</v>
      </c>
      <c r="K1301" s="19" t="str">
        <f>IFERROR(__xludf.DUMMYFUNCTION("""COMPUTED_VALUE"""),"-")</f>
        <v>-</v>
      </c>
      <c r="L1301" s="19" t="str">
        <f>IFERROR(__xludf.DUMMYFUNCTION("""COMPUTED_VALUE"""),"-")</f>
        <v>-</v>
      </c>
      <c r="O1301" s="24">
        <f t="shared" si="4"/>
        <v>0</v>
      </c>
      <c r="P1301" s="24"/>
      <c r="Q1301" s="24">
        <f t="shared" si="6"/>
        <v>0</v>
      </c>
      <c r="R1301" s="24">
        <f t="shared" si="7"/>
        <v>0</v>
      </c>
      <c r="S1301" s="24"/>
      <c r="T1301" s="24"/>
    </row>
    <row r="1302">
      <c r="A1302" s="12" t="s">
        <v>1390</v>
      </c>
      <c r="F1302" s="19">
        <f>IFERROR(__xludf.DUMMYFUNCTION("SPLIT(A1298, "" |"")"),1296.0)</f>
        <v>1296</v>
      </c>
      <c r="G1302" s="19">
        <f>IFERROR(__xludf.DUMMYFUNCTION("""COMPUTED_VALUE"""),0.00236)</f>
        <v>0.00236</v>
      </c>
      <c r="H1302" s="19" t="str">
        <f>IFERROR(__xludf.DUMMYFUNCTION("""COMPUTED_VALUE"""),"-")</f>
        <v>-</v>
      </c>
      <c r="I1302" s="19">
        <f>IFERROR(__xludf.DUMMYFUNCTION("""COMPUTED_VALUE"""),0.00227)</f>
        <v>0.00227</v>
      </c>
      <c r="J1302" s="19">
        <f>IFERROR(__xludf.DUMMYFUNCTION("""COMPUTED_VALUE"""),0.04738)</f>
        <v>0.04738</v>
      </c>
      <c r="K1302" s="19" t="str">
        <f>IFERROR(__xludf.DUMMYFUNCTION("""COMPUTED_VALUE"""),"-")</f>
        <v>-</v>
      </c>
      <c r="L1302" s="19" t="str">
        <f>IFERROR(__xludf.DUMMYFUNCTION("""COMPUTED_VALUE"""),"-")</f>
        <v>-</v>
      </c>
      <c r="O1302" s="24">
        <f t="shared" si="4"/>
        <v>0</v>
      </c>
      <c r="P1302" s="24"/>
      <c r="Q1302" s="24">
        <f t="shared" si="6"/>
        <v>0</v>
      </c>
      <c r="R1302" s="24">
        <f t="shared" si="7"/>
        <v>0</v>
      </c>
      <c r="S1302" s="24"/>
      <c r="T1302" s="24"/>
    </row>
    <row r="1303">
      <c r="A1303" s="12" t="s">
        <v>1391</v>
      </c>
      <c r="F1303" s="19">
        <f>IFERROR(__xludf.DUMMYFUNCTION("SPLIT(A1299, "" |"")"),1297.0)</f>
        <v>1297</v>
      </c>
      <c r="G1303" s="19">
        <f>IFERROR(__xludf.DUMMYFUNCTION("""COMPUTED_VALUE"""),0.00242)</f>
        <v>0.00242</v>
      </c>
      <c r="H1303" s="19" t="str">
        <f>IFERROR(__xludf.DUMMYFUNCTION("""COMPUTED_VALUE"""),"-")</f>
        <v>-</v>
      </c>
      <c r="I1303" s="19">
        <f>IFERROR(__xludf.DUMMYFUNCTION("""COMPUTED_VALUE"""),0.00224)</f>
        <v>0.00224</v>
      </c>
      <c r="J1303" s="19">
        <f>IFERROR(__xludf.DUMMYFUNCTION("""COMPUTED_VALUE"""),0.04749)</f>
        <v>0.04749</v>
      </c>
      <c r="K1303" s="19" t="str">
        <f>IFERROR(__xludf.DUMMYFUNCTION("""COMPUTED_VALUE"""),"-")</f>
        <v>-</v>
      </c>
      <c r="L1303" s="19" t="str">
        <f>IFERROR(__xludf.DUMMYFUNCTION("""COMPUTED_VALUE"""),"-")</f>
        <v>-</v>
      </c>
      <c r="O1303" s="24">
        <f t="shared" si="4"/>
        <v>0</v>
      </c>
      <c r="P1303" s="24"/>
      <c r="Q1303" s="24">
        <f t="shared" si="6"/>
        <v>0</v>
      </c>
      <c r="R1303" s="24">
        <f t="shared" si="7"/>
        <v>0</v>
      </c>
      <c r="S1303" s="24"/>
      <c r="T1303" s="24"/>
    </row>
    <row r="1304">
      <c r="A1304" s="12" t="s">
        <v>1392</v>
      </c>
      <c r="F1304" s="19">
        <f>IFERROR(__xludf.DUMMYFUNCTION("SPLIT(A1300, "" |"")"),1298.0)</f>
        <v>1298</v>
      </c>
      <c r="G1304" s="19">
        <f>IFERROR(__xludf.DUMMYFUNCTION("""COMPUTED_VALUE"""),0.00238)</f>
        <v>0.00238</v>
      </c>
      <c r="H1304" s="19" t="str">
        <f>IFERROR(__xludf.DUMMYFUNCTION("""COMPUTED_VALUE"""),"-")</f>
        <v>-</v>
      </c>
      <c r="I1304" s="19">
        <f>IFERROR(__xludf.DUMMYFUNCTION("""COMPUTED_VALUE"""),0.00215)</f>
        <v>0.00215</v>
      </c>
      <c r="J1304" s="19">
        <f>IFERROR(__xludf.DUMMYFUNCTION("""COMPUTED_VALUE"""),0.04751)</f>
        <v>0.04751</v>
      </c>
      <c r="K1304" s="19" t="str">
        <f>IFERROR(__xludf.DUMMYFUNCTION("""COMPUTED_VALUE"""),"-")</f>
        <v>-</v>
      </c>
      <c r="L1304" s="19" t="str">
        <f>IFERROR(__xludf.DUMMYFUNCTION("""COMPUTED_VALUE"""),"-")</f>
        <v>-</v>
      </c>
      <c r="O1304" s="24">
        <f t="shared" si="4"/>
        <v>0</v>
      </c>
      <c r="P1304" s="24"/>
      <c r="Q1304" s="24">
        <f t="shared" si="6"/>
        <v>0</v>
      </c>
      <c r="R1304" s="24">
        <f t="shared" si="7"/>
        <v>0</v>
      </c>
      <c r="S1304" s="24"/>
      <c r="T1304" s="24"/>
    </row>
    <row r="1305">
      <c r="A1305" s="12" t="s">
        <v>1393</v>
      </c>
      <c r="F1305" s="19">
        <f>IFERROR(__xludf.DUMMYFUNCTION("SPLIT(A1301, "" |"")"),1299.0)</f>
        <v>1299</v>
      </c>
      <c r="G1305" s="19">
        <f>IFERROR(__xludf.DUMMYFUNCTION("""COMPUTED_VALUE"""),0.00236)</f>
        <v>0.00236</v>
      </c>
      <c r="H1305" s="19" t="str">
        <f>IFERROR(__xludf.DUMMYFUNCTION("""COMPUTED_VALUE"""),"-")</f>
        <v>-</v>
      </c>
      <c r="I1305" s="19">
        <f>IFERROR(__xludf.DUMMYFUNCTION("""COMPUTED_VALUE"""),0.00228)</f>
        <v>0.00228</v>
      </c>
      <c r="J1305" s="19">
        <f>IFERROR(__xludf.DUMMYFUNCTION("""COMPUTED_VALUE"""),0.0475)</f>
        <v>0.0475</v>
      </c>
      <c r="K1305" s="19" t="str">
        <f>IFERROR(__xludf.DUMMYFUNCTION("""COMPUTED_VALUE"""),"-")</f>
        <v>-</v>
      </c>
      <c r="L1305" s="19" t="str">
        <f>IFERROR(__xludf.DUMMYFUNCTION("""COMPUTED_VALUE"""),"-")</f>
        <v>-</v>
      </c>
      <c r="O1305" s="24">
        <f t="shared" si="4"/>
        <v>0</v>
      </c>
      <c r="P1305" s="24"/>
      <c r="Q1305" s="24">
        <f t="shared" si="6"/>
        <v>0</v>
      </c>
      <c r="R1305" s="24">
        <f t="shared" si="7"/>
        <v>0</v>
      </c>
      <c r="S1305" s="24"/>
      <c r="T1305" s="24"/>
    </row>
    <row r="1306">
      <c r="A1306" s="12" t="s">
        <v>1394</v>
      </c>
      <c r="F1306" s="19">
        <f>IFERROR(__xludf.DUMMYFUNCTION("SPLIT(A1302, "" |"")"),1300.0)</f>
        <v>1300</v>
      </c>
      <c r="G1306" s="19">
        <f>IFERROR(__xludf.DUMMYFUNCTION("""COMPUTED_VALUE"""),0.0024)</f>
        <v>0.0024</v>
      </c>
      <c r="H1306" s="19" t="str">
        <f>IFERROR(__xludf.DUMMYFUNCTION("""COMPUTED_VALUE"""),"-")</f>
        <v>-</v>
      </c>
      <c r="I1306" s="19">
        <f>IFERROR(__xludf.DUMMYFUNCTION("""COMPUTED_VALUE"""),0.00221)</f>
        <v>0.00221</v>
      </c>
      <c r="J1306" s="19">
        <f>IFERROR(__xludf.DUMMYFUNCTION("""COMPUTED_VALUE"""),0.04745)</f>
        <v>0.04745</v>
      </c>
      <c r="K1306" s="19" t="str">
        <f>IFERROR(__xludf.DUMMYFUNCTION("""COMPUTED_VALUE"""),"-")</f>
        <v>-</v>
      </c>
      <c r="L1306" s="19" t="str">
        <f>IFERROR(__xludf.DUMMYFUNCTION("""COMPUTED_VALUE"""),"-")</f>
        <v>-</v>
      </c>
      <c r="O1306" s="24">
        <f t="shared" si="4"/>
        <v>0</v>
      </c>
      <c r="P1306" s="24"/>
      <c r="Q1306" s="24">
        <f t="shared" si="6"/>
        <v>0</v>
      </c>
      <c r="R1306" s="24">
        <f t="shared" si="7"/>
        <v>0</v>
      </c>
      <c r="S1306" s="24"/>
      <c r="T1306" s="24"/>
    </row>
    <row r="1307">
      <c r="A1307" s="12" t="s">
        <v>1395</v>
      </c>
      <c r="F1307" s="19">
        <f>IFERROR(__xludf.DUMMYFUNCTION("SPLIT(A1303, "" |"")"),1301.0)</f>
        <v>1301</v>
      </c>
      <c r="G1307" s="19">
        <f>IFERROR(__xludf.DUMMYFUNCTION("""COMPUTED_VALUE"""),0.00231)</f>
        <v>0.00231</v>
      </c>
      <c r="H1307" s="19" t="str">
        <f>IFERROR(__xludf.DUMMYFUNCTION("""COMPUTED_VALUE"""),"-")</f>
        <v>-</v>
      </c>
      <c r="I1307" s="19">
        <f>IFERROR(__xludf.DUMMYFUNCTION("""COMPUTED_VALUE"""),0.00221)</f>
        <v>0.00221</v>
      </c>
      <c r="J1307" s="19">
        <f>IFERROR(__xludf.DUMMYFUNCTION("""COMPUTED_VALUE"""),0.04752)</f>
        <v>0.04752</v>
      </c>
      <c r="K1307" s="19" t="str">
        <f>IFERROR(__xludf.DUMMYFUNCTION("""COMPUTED_VALUE"""),"-")</f>
        <v>-</v>
      </c>
      <c r="L1307" s="19" t="str">
        <f>IFERROR(__xludf.DUMMYFUNCTION("""COMPUTED_VALUE"""),"-")</f>
        <v>-</v>
      </c>
      <c r="O1307" s="24">
        <f t="shared" si="4"/>
        <v>0</v>
      </c>
      <c r="P1307" s="24"/>
      <c r="Q1307" s="24">
        <f t="shared" si="6"/>
        <v>0</v>
      </c>
      <c r="R1307" s="24">
        <f t="shared" si="7"/>
        <v>0</v>
      </c>
      <c r="S1307" s="24"/>
      <c r="T1307" s="24"/>
    </row>
    <row r="1308">
      <c r="A1308" s="12" t="s">
        <v>1396</v>
      </c>
      <c r="F1308" s="19">
        <f>IFERROR(__xludf.DUMMYFUNCTION("SPLIT(A1304, "" |"")"),1302.0)</f>
        <v>1302</v>
      </c>
      <c r="G1308" s="19">
        <f>IFERROR(__xludf.DUMMYFUNCTION("""COMPUTED_VALUE"""),0.00234)</f>
        <v>0.00234</v>
      </c>
      <c r="H1308" s="19" t="str">
        <f>IFERROR(__xludf.DUMMYFUNCTION("""COMPUTED_VALUE"""),"-")</f>
        <v>-</v>
      </c>
      <c r="I1308" s="19">
        <f>IFERROR(__xludf.DUMMYFUNCTION("""COMPUTED_VALUE"""),0.00231)</f>
        <v>0.00231</v>
      </c>
      <c r="J1308" s="19">
        <f>IFERROR(__xludf.DUMMYFUNCTION("""COMPUTED_VALUE"""),0.04736)</f>
        <v>0.04736</v>
      </c>
      <c r="K1308" s="19" t="str">
        <f>IFERROR(__xludf.DUMMYFUNCTION("""COMPUTED_VALUE"""),"-")</f>
        <v>-</v>
      </c>
      <c r="L1308" s="19" t="str">
        <f>IFERROR(__xludf.DUMMYFUNCTION("""COMPUTED_VALUE"""),"-")</f>
        <v>-</v>
      </c>
      <c r="O1308" s="24">
        <f t="shared" si="4"/>
        <v>0</v>
      </c>
      <c r="P1308" s="24"/>
      <c r="Q1308" s="24">
        <f t="shared" si="6"/>
        <v>0</v>
      </c>
      <c r="R1308" s="24">
        <f t="shared" si="7"/>
        <v>0</v>
      </c>
      <c r="S1308" s="24"/>
      <c r="T1308" s="24"/>
    </row>
    <row r="1309">
      <c r="A1309" s="12" t="s">
        <v>1397</v>
      </c>
      <c r="F1309" s="19">
        <f>IFERROR(__xludf.DUMMYFUNCTION("SPLIT(A1305, "" |"")"),1303.0)</f>
        <v>1303</v>
      </c>
      <c r="G1309" s="19">
        <f>IFERROR(__xludf.DUMMYFUNCTION("""COMPUTED_VALUE"""),0.00224)</f>
        <v>0.00224</v>
      </c>
      <c r="H1309" s="19" t="str">
        <f>IFERROR(__xludf.DUMMYFUNCTION("""COMPUTED_VALUE"""),"-")</f>
        <v>-</v>
      </c>
      <c r="I1309" s="19">
        <f>IFERROR(__xludf.DUMMYFUNCTION("""COMPUTED_VALUE"""),0.00211)</f>
        <v>0.00211</v>
      </c>
      <c r="J1309" s="19">
        <f>IFERROR(__xludf.DUMMYFUNCTION("""COMPUTED_VALUE"""),0.04742)</f>
        <v>0.04742</v>
      </c>
      <c r="K1309" s="19" t="str">
        <f>IFERROR(__xludf.DUMMYFUNCTION("""COMPUTED_VALUE"""),"-")</f>
        <v>-</v>
      </c>
      <c r="L1309" s="19" t="str">
        <f>IFERROR(__xludf.DUMMYFUNCTION("""COMPUTED_VALUE"""),"-")</f>
        <v>-</v>
      </c>
      <c r="O1309" s="24">
        <f t="shared" si="4"/>
        <v>0</v>
      </c>
      <c r="P1309" s="24"/>
      <c r="Q1309" s="24">
        <f t="shared" si="6"/>
        <v>0</v>
      </c>
      <c r="R1309" s="24">
        <f t="shared" si="7"/>
        <v>0</v>
      </c>
      <c r="S1309" s="24"/>
      <c r="T1309" s="24"/>
    </row>
    <row r="1310">
      <c r="A1310" s="12" t="s">
        <v>1398</v>
      </c>
      <c r="F1310" s="19">
        <f>IFERROR(__xludf.DUMMYFUNCTION("SPLIT(A1306, "" |"")"),1304.0)</f>
        <v>1304</v>
      </c>
      <c r="G1310" s="19">
        <f>IFERROR(__xludf.DUMMYFUNCTION("""COMPUTED_VALUE"""),0.00242)</f>
        <v>0.00242</v>
      </c>
      <c r="H1310" s="19" t="str">
        <f>IFERROR(__xludf.DUMMYFUNCTION("""COMPUTED_VALUE"""),"-")</f>
        <v>-</v>
      </c>
      <c r="I1310" s="19">
        <f>IFERROR(__xludf.DUMMYFUNCTION("""COMPUTED_VALUE"""),0.00224)</f>
        <v>0.00224</v>
      </c>
      <c r="J1310" s="19">
        <f>IFERROR(__xludf.DUMMYFUNCTION("""COMPUTED_VALUE"""),0.04737)</f>
        <v>0.04737</v>
      </c>
      <c r="K1310" s="19" t="str">
        <f>IFERROR(__xludf.DUMMYFUNCTION("""COMPUTED_VALUE"""),"-")</f>
        <v>-</v>
      </c>
      <c r="L1310" s="19" t="str">
        <f>IFERROR(__xludf.DUMMYFUNCTION("""COMPUTED_VALUE"""),"-")</f>
        <v>-</v>
      </c>
      <c r="O1310" s="24">
        <f t="shared" si="4"/>
        <v>0</v>
      </c>
      <c r="P1310" s="24"/>
      <c r="Q1310" s="24">
        <f t="shared" si="6"/>
        <v>0</v>
      </c>
      <c r="R1310" s="24">
        <f t="shared" si="7"/>
        <v>0</v>
      </c>
      <c r="S1310" s="24"/>
      <c r="T1310" s="24"/>
    </row>
    <row r="1311">
      <c r="A1311" s="12" t="s">
        <v>1399</v>
      </c>
      <c r="F1311" s="19">
        <f>IFERROR(__xludf.DUMMYFUNCTION("SPLIT(A1307, "" |"")"),1305.0)</f>
        <v>1305</v>
      </c>
      <c r="G1311" s="19">
        <f>IFERROR(__xludf.DUMMYFUNCTION("""COMPUTED_VALUE"""),0.00237)</f>
        <v>0.00237</v>
      </c>
      <c r="H1311" s="19" t="str">
        <f>IFERROR(__xludf.DUMMYFUNCTION("""COMPUTED_VALUE"""),"-")</f>
        <v>-</v>
      </c>
      <c r="I1311" s="19">
        <f>IFERROR(__xludf.DUMMYFUNCTION("""COMPUTED_VALUE"""),0.00233)</f>
        <v>0.00233</v>
      </c>
      <c r="J1311" s="19">
        <f>IFERROR(__xludf.DUMMYFUNCTION("""COMPUTED_VALUE"""),0.04741)</f>
        <v>0.04741</v>
      </c>
      <c r="K1311" s="19" t="str">
        <f>IFERROR(__xludf.DUMMYFUNCTION("""COMPUTED_VALUE"""),"-")</f>
        <v>-</v>
      </c>
      <c r="L1311" s="19" t="str">
        <f>IFERROR(__xludf.DUMMYFUNCTION("""COMPUTED_VALUE"""),"-")</f>
        <v>-</v>
      </c>
      <c r="O1311" s="24">
        <f t="shared" si="4"/>
        <v>0</v>
      </c>
      <c r="P1311" s="24"/>
      <c r="Q1311" s="24">
        <f t="shared" si="6"/>
        <v>0</v>
      </c>
      <c r="R1311" s="24">
        <f t="shared" si="7"/>
        <v>0</v>
      </c>
      <c r="S1311" s="24"/>
      <c r="T1311" s="24"/>
    </row>
    <row r="1312">
      <c r="A1312" s="12" t="s">
        <v>1400</v>
      </c>
      <c r="F1312" s="19">
        <f>IFERROR(__xludf.DUMMYFUNCTION("SPLIT(A1308, "" |"")"),1306.0)</f>
        <v>1306</v>
      </c>
      <c r="G1312" s="19">
        <f>IFERROR(__xludf.DUMMYFUNCTION("""COMPUTED_VALUE"""),0.00236)</f>
        <v>0.00236</v>
      </c>
      <c r="H1312" s="19" t="str">
        <f>IFERROR(__xludf.DUMMYFUNCTION("""COMPUTED_VALUE"""),"-")</f>
        <v>-</v>
      </c>
      <c r="I1312" s="19">
        <f>IFERROR(__xludf.DUMMYFUNCTION("""COMPUTED_VALUE"""),0.00221)</f>
        <v>0.00221</v>
      </c>
      <c r="J1312" s="19">
        <f>IFERROR(__xludf.DUMMYFUNCTION("""COMPUTED_VALUE"""),0.04738)</f>
        <v>0.04738</v>
      </c>
      <c r="K1312" s="19" t="str">
        <f>IFERROR(__xludf.DUMMYFUNCTION("""COMPUTED_VALUE"""),"-")</f>
        <v>-</v>
      </c>
      <c r="L1312" s="19" t="str">
        <f>IFERROR(__xludf.DUMMYFUNCTION("""COMPUTED_VALUE"""),"-")</f>
        <v>-</v>
      </c>
      <c r="O1312" s="24">
        <f t="shared" si="4"/>
        <v>0</v>
      </c>
      <c r="P1312" s="24"/>
      <c r="Q1312" s="24">
        <f t="shared" si="6"/>
        <v>0</v>
      </c>
      <c r="R1312" s="24">
        <f t="shared" si="7"/>
        <v>0</v>
      </c>
      <c r="S1312" s="24"/>
      <c r="T1312" s="24"/>
    </row>
    <row r="1313">
      <c r="A1313" s="12" t="s">
        <v>1401</v>
      </c>
      <c r="F1313" s="19">
        <f>IFERROR(__xludf.DUMMYFUNCTION("SPLIT(A1309, "" |"")"),1307.0)</f>
        <v>1307</v>
      </c>
      <c r="G1313" s="19">
        <f>IFERROR(__xludf.DUMMYFUNCTION("""COMPUTED_VALUE"""),0.00234)</f>
        <v>0.00234</v>
      </c>
      <c r="H1313" s="19" t="str">
        <f>IFERROR(__xludf.DUMMYFUNCTION("""COMPUTED_VALUE"""),"-")</f>
        <v>-</v>
      </c>
      <c r="I1313" s="19">
        <f>IFERROR(__xludf.DUMMYFUNCTION("""COMPUTED_VALUE"""),0.00223)</f>
        <v>0.00223</v>
      </c>
      <c r="J1313" s="19">
        <f>IFERROR(__xludf.DUMMYFUNCTION("""COMPUTED_VALUE"""),0.04738)</f>
        <v>0.04738</v>
      </c>
      <c r="K1313" s="19" t="str">
        <f>IFERROR(__xludf.DUMMYFUNCTION("""COMPUTED_VALUE"""),"-")</f>
        <v>-</v>
      </c>
      <c r="L1313" s="19" t="str">
        <f>IFERROR(__xludf.DUMMYFUNCTION("""COMPUTED_VALUE"""),"-")</f>
        <v>-</v>
      </c>
      <c r="O1313" s="24">
        <f t="shared" si="4"/>
        <v>0</v>
      </c>
      <c r="P1313" s="24"/>
      <c r="Q1313" s="24">
        <f t="shared" si="6"/>
        <v>0</v>
      </c>
      <c r="R1313" s="24">
        <f t="shared" si="7"/>
        <v>0</v>
      </c>
      <c r="S1313" s="24"/>
      <c r="T1313" s="24"/>
    </row>
    <row r="1314">
      <c r="A1314" s="12" t="s">
        <v>1402</v>
      </c>
      <c r="F1314" s="19">
        <f>IFERROR(__xludf.DUMMYFUNCTION("SPLIT(A1310, "" |"")"),1308.0)</f>
        <v>1308</v>
      </c>
      <c r="G1314" s="19">
        <f>IFERROR(__xludf.DUMMYFUNCTION("""COMPUTED_VALUE"""),0.00239)</f>
        <v>0.00239</v>
      </c>
      <c r="H1314" s="19" t="str">
        <f>IFERROR(__xludf.DUMMYFUNCTION("""COMPUTED_VALUE"""),"-")</f>
        <v>-</v>
      </c>
      <c r="I1314" s="19">
        <f>IFERROR(__xludf.DUMMYFUNCTION("""COMPUTED_VALUE"""),0.00222)</f>
        <v>0.00222</v>
      </c>
      <c r="J1314" s="19">
        <f>IFERROR(__xludf.DUMMYFUNCTION("""COMPUTED_VALUE"""),0.04751)</f>
        <v>0.04751</v>
      </c>
      <c r="K1314" s="19" t="str">
        <f>IFERROR(__xludf.DUMMYFUNCTION("""COMPUTED_VALUE"""),"-")</f>
        <v>-</v>
      </c>
      <c r="L1314" s="19" t="str">
        <f>IFERROR(__xludf.DUMMYFUNCTION("""COMPUTED_VALUE"""),"-")</f>
        <v>-</v>
      </c>
      <c r="O1314" s="24">
        <f t="shared" si="4"/>
        <v>0</v>
      </c>
      <c r="P1314" s="24"/>
      <c r="Q1314" s="24">
        <f t="shared" si="6"/>
        <v>0</v>
      </c>
      <c r="R1314" s="24">
        <f t="shared" si="7"/>
        <v>0</v>
      </c>
      <c r="S1314" s="24"/>
      <c r="T1314" s="24"/>
    </row>
    <row r="1315">
      <c r="A1315" s="12" t="s">
        <v>1403</v>
      </c>
      <c r="F1315" s="19">
        <f>IFERROR(__xludf.DUMMYFUNCTION("SPLIT(A1311, "" |"")"),1309.0)</f>
        <v>1309</v>
      </c>
      <c r="G1315" s="19">
        <f>IFERROR(__xludf.DUMMYFUNCTION("""COMPUTED_VALUE"""),0.00232)</f>
        <v>0.00232</v>
      </c>
      <c r="H1315" s="19" t="str">
        <f>IFERROR(__xludf.DUMMYFUNCTION("""COMPUTED_VALUE"""),"-")</f>
        <v>-</v>
      </c>
      <c r="I1315" s="19">
        <f>IFERROR(__xludf.DUMMYFUNCTION("""COMPUTED_VALUE"""),0.00221)</f>
        <v>0.00221</v>
      </c>
      <c r="J1315" s="19">
        <f>IFERROR(__xludf.DUMMYFUNCTION("""COMPUTED_VALUE"""),0.04386)</f>
        <v>0.04386</v>
      </c>
      <c r="K1315" s="19" t="str">
        <f>IFERROR(__xludf.DUMMYFUNCTION("""COMPUTED_VALUE"""),"-")</f>
        <v>-</v>
      </c>
      <c r="L1315" s="19" t="str">
        <f>IFERROR(__xludf.DUMMYFUNCTION("""COMPUTED_VALUE"""),"-")</f>
        <v>-</v>
      </c>
      <c r="O1315" s="24">
        <f t="shared" si="4"/>
        <v>0</v>
      </c>
      <c r="P1315" s="24"/>
      <c r="Q1315" s="24">
        <f t="shared" si="6"/>
        <v>0</v>
      </c>
      <c r="R1315" s="24">
        <f t="shared" si="7"/>
        <v>1</v>
      </c>
      <c r="S1315" s="24"/>
      <c r="T1315" s="24"/>
    </row>
    <row r="1316">
      <c r="A1316" s="12" t="s">
        <v>1404</v>
      </c>
      <c r="F1316" s="19">
        <f>IFERROR(__xludf.DUMMYFUNCTION("SPLIT(A1312, "" |"")"),1310.0)</f>
        <v>1310</v>
      </c>
      <c r="G1316" s="19">
        <f>IFERROR(__xludf.DUMMYFUNCTION("""COMPUTED_VALUE"""),0.00229)</f>
        <v>0.00229</v>
      </c>
      <c r="H1316" s="19" t="str">
        <f>IFERROR(__xludf.DUMMYFUNCTION("""COMPUTED_VALUE"""),"-")</f>
        <v>-</v>
      </c>
      <c r="I1316" s="19">
        <f>IFERROR(__xludf.DUMMYFUNCTION("""COMPUTED_VALUE"""),0.00221)</f>
        <v>0.00221</v>
      </c>
      <c r="J1316" s="19">
        <f>IFERROR(__xludf.DUMMYFUNCTION("""COMPUTED_VALUE"""),0.04748)</f>
        <v>0.04748</v>
      </c>
      <c r="K1316" s="19" t="str">
        <f>IFERROR(__xludf.DUMMYFUNCTION("""COMPUTED_VALUE"""),"-")</f>
        <v>-</v>
      </c>
      <c r="L1316" s="19" t="str">
        <f>IFERROR(__xludf.DUMMYFUNCTION("""COMPUTED_VALUE"""),"-")</f>
        <v>-</v>
      </c>
      <c r="O1316" s="24">
        <f t="shared" si="4"/>
        <v>0</v>
      </c>
      <c r="P1316" s="24"/>
      <c r="Q1316" s="24">
        <f t="shared" si="6"/>
        <v>0</v>
      </c>
      <c r="R1316" s="24">
        <f t="shared" si="7"/>
        <v>0</v>
      </c>
      <c r="S1316" s="24"/>
      <c r="T1316" s="24"/>
    </row>
    <row r="1317">
      <c r="A1317" s="12" t="s">
        <v>1405</v>
      </c>
      <c r="F1317" s="19">
        <f>IFERROR(__xludf.DUMMYFUNCTION("SPLIT(A1313, "" |"")"),1311.0)</f>
        <v>1311</v>
      </c>
      <c r="G1317" s="19">
        <f>IFERROR(__xludf.DUMMYFUNCTION("""COMPUTED_VALUE"""),0.0023)</f>
        <v>0.0023</v>
      </c>
      <c r="H1317" s="19" t="str">
        <f>IFERROR(__xludf.DUMMYFUNCTION("""COMPUTED_VALUE"""),"-")</f>
        <v>-</v>
      </c>
      <c r="I1317" s="19">
        <f>IFERROR(__xludf.DUMMYFUNCTION("""COMPUTED_VALUE"""),0.00219)</f>
        <v>0.00219</v>
      </c>
      <c r="J1317" s="19">
        <f>IFERROR(__xludf.DUMMYFUNCTION("""COMPUTED_VALUE"""),0.04745)</f>
        <v>0.04745</v>
      </c>
      <c r="K1317" s="19" t="str">
        <f>IFERROR(__xludf.DUMMYFUNCTION("""COMPUTED_VALUE"""),"-")</f>
        <v>-</v>
      </c>
      <c r="L1317" s="19" t="str">
        <f>IFERROR(__xludf.DUMMYFUNCTION("""COMPUTED_VALUE"""),"-")</f>
        <v>-</v>
      </c>
      <c r="O1317" s="24">
        <f t="shared" si="4"/>
        <v>0</v>
      </c>
      <c r="P1317" s="24"/>
      <c r="Q1317" s="24">
        <f t="shared" si="6"/>
        <v>0</v>
      </c>
      <c r="R1317" s="24">
        <f t="shared" si="7"/>
        <v>0</v>
      </c>
      <c r="S1317" s="24"/>
      <c r="T1317" s="24"/>
    </row>
    <row r="1318">
      <c r="A1318" s="12" t="s">
        <v>1406</v>
      </c>
      <c r="F1318" s="19">
        <f>IFERROR(__xludf.DUMMYFUNCTION("SPLIT(A1314, "" |"")"),1312.0)</f>
        <v>1312</v>
      </c>
      <c r="G1318" s="19">
        <f>IFERROR(__xludf.DUMMYFUNCTION("""COMPUTED_VALUE"""),0.00234)</f>
        <v>0.00234</v>
      </c>
      <c r="H1318" s="19" t="str">
        <f>IFERROR(__xludf.DUMMYFUNCTION("""COMPUTED_VALUE"""),"-")</f>
        <v>-</v>
      </c>
      <c r="I1318" s="19">
        <f>IFERROR(__xludf.DUMMYFUNCTION("""COMPUTED_VALUE"""),0.00212)</f>
        <v>0.00212</v>
      </c>
      <c r="J1318" s="19">
        <f>IFERROR(__xludf.DUMMYFUNCTION("""COMPUTED_VALUE"""),0.04749)</f>
        <v>0.04749</v>
      </c>
      <c r="K1318" s="19" t="str">
        <f>IFERROR(__xludf.DUMMYFUNCTION("""COMPUTED_VALUE"""),"-")</f>
        <v>-</v>
      </c>
      <c r="L1318" s="19" t="str">
        <f>IFERROR(__xludf.DUMMYFUNCTION("""COMPUTED_VALUE"""),"-")</f>
        <v>-</v>
      </c>
      <c r="O1318" s="24">
        <f t="shared" si="4"/>
        <v>0</v>
      </c>
      <c r="P1318" s="24"/>
      <c r="Q1318" s="24">
        <f t="shared" si="6"/>
        <v>0</v>
      </c>
      <c r="R1318" s="24">
        <f t="shared" si="7"/>
        <v>0</v>
      </c>
      <c r="S1318" s="24"/>
      <c r="T1318" s="24"/>
    </row>
    <row r="1319">
      <c r="A1319" s="12" t="s">
        <v>1407</v>
      </c>
      <c r="F1319" s="19">
        <f>IFERROR(__xludf.DUMMYFUNCTION("SPLIT(A1315, "" |"")"),1313.0)</f>
        <v>1313</v>
      </c>
      <c r="G1319" s="19">
        <f>IFERROR(__xludf.DUMMYFUNCTION("""COMPUTED_VALUE"""),0.00239)</f>
        <v>0.00239</v>
      </c>
      <c r="H1319" s="19" t="str">
        <f>IFERROR(__xludf.DUMMYFUNCTION("""COMPUTED_VALUE"""),"-")</f>
        <v>-</v>
      </c>
      <c r="I1319" s="19">
        <f>IFERROR(__xludf.DUMMYFUNCTION("""COMPUTED_VALUE"""),0.00222)</f>
        <v>0.00222</v>
      </c>
      <c r="J1319" s="19">
        <f>IFERROR(__xludf.DUMMYFUNCTION("""COMPUTED_VALUE"""),0.04741)</f>
        <v>0.04741</v>
      </c>
      <c r="K1319" s="19" t="str">
        <f>IFERROR(__xludf.DUMMYFUNCTION("""COMPUTED_VALUE"""),"-")</f>
        <v>-</v>
      </c>
      <c r="L1319" s="19" t="str">
        <f>IFERROR(__xludf.DUMMYFUNCTION("""COMPUTED_VALUE"""),"-")</f>
        <v>-</v>
      </c>
      <c r="O1319" s="24">
        <f t="shared" si="4"/>
        <v>0</v>
      </c>
      <c r="P1319" s="24"/>
      <c r="Q1319" s="24">
        <f t="shared" si="6"/>
        <v>0</v>
      </c>
      <c r="R1319" s="24">
        <f t="shared" si="7"/>
        <v>0</v>
      </c>
      <c r="S1319" s="24"/>
      <c r="T1319" s="24"/>
    </row>
    <row r="1320">
      <c r="A1320" s="12" t="s">
        <v>1408</v>
      </c>
      <c r="F1320" s="19">
        <f>IFERROR(__xludf.DUMMYFUNCTION("SPLIT(A1316, "" |"")"),1314.0)</f>
        <v>1314</v>
      </c>
      <c r="G1320" s="19">
        <f>IFERROR(__xludf.DUMMYFUNCTION("""COMPUTED_VALUE"""),0.00238)</f>
        <v>0.00238</v>
      </c>
      <c r="H1320" s="19" t="str">
        <f>IFERROR(__xludf.DUMMYFUNCTION("""COMPUTED_VALUE"""),"-")</f>
        <v>-</v>
      </c>
      <c r="I1320" s="19">
        <f>IFERROR(__xludf.DUMMYFUNCTION("""COMPUTED_VALUE"""),0.00222)</f>
        <v>0.00222</v>
      </c>
      <c r="J1320" s="19">
        <f>IFERROR(__xludf.DUMMYFUNCTION("""COMPUTED_VALUE"""),0.04408)</f>
        <v>0.04408</v>
      </c>
      <c r="K1320" s="19" t="str">
        <f>IFERROR(__xludf.DUMMYFUNCTION("""COMPUTED_VALUE"""),"-")</f>
        <v>-</v>
      </c>
      <c r="L1320" s="19" t="str">
        <f>IFERROR(__xludf.DUMMYFUNCTION("""COMPUTED_VALUE"""),"-")</f>
        <v>-</v>
      </c>
      <c r="O1320" s="24">
        <f t="shared" si="4"/>
        <v>0</v>
      </c>
      <c r="P1320" s="24"/>
      <c r="Q1320" s="24">
        <f t="shared" si="6"/>
        <v>0</v>
      </c>
      <c r="R1320" s="24">
        <f t="shared" si="7"/>
        <v>1</v>
      </c>
      <c r="S1320" s="24"/>
      <c r="T1320" s="24"/>
    </row>
    <row r="1321">
      <c r="A1321" s="12" t="s">
        <v>1409</v>
      </c>
      <c r="F1321" s="19">
        <f>IFERROR(__xludf.DUMMYFUNCTION("SPLIT(A1317, "" |"")"),1315.0)</f>
        <v>1315</v>
      </c>
      <c r="G1321" s="19">
        <f>IFERROR(__xludf.DUMMYFUNCTION("""COMPUTED_VALUE"""),0.00231)</f>
        <v>0.00231</v>
      </c>
      <c r="H1321" s="19" t="str">
        <f>IFERROR(__xludf.DUMMYFUNCTION("""COMPUTED_VALUE"""),"-")</f>
        <v>-</v>
      </c>
      <c r="I1321" s="19">
        <f>IFERROR(__xludf.DUMMYFUNCTION("""COMPUTED_VALUE"""),0.0022)</f>
        <v>0.0022</v>
      </c>
      <c r="J1321" s="19">
        <f>IFERROR(__xludf.DUMMYFUNCTION("""COMPUTED_VALUE"""),0.04743)</f>
        <v>0.04743</v>
      </c>
      <c r="K1321" s="19" t="str">
        <f>IFERROR(__xludf.DUMMYFUNCTION("""COMPUTED_VALUE"""),"-")</f>
        <v>-</v>
      </c>
      <c r="L1321" s="19" t="str">
        <f>IFERROR(__xludf.DUMMYFUNCTION("""COMPUTED_VALUE"""),"-")</f>
        <v>-</v>
      </c>
      <c r="O1321" s="24">
        <f t="shared" si="4"/>
        <v>0</v>
      </c>
      <c r="P1321" s="24"/>
      <c r="Q1321" s="24">
        <f t="shared" si="6"/>
        <v>0</v>
      </c>
      <c r="R1321" s="24">
        <f t="shared" si="7"/>
        <v>0</v>
      </c>
      <c r="S1321" s="24"/>
      <c r="T1321" s="24"/>
    </row>
    <row r="1322">
      <c r="A1322" s="12" t="s">
        <v>1410</v>
      </c>
      <c r="F1322" s="19">
        <f>IFERROR(__xludf.DUMMYFUNCTION("SPLIT(A1318, "" |"")"),1316.0)</f>
        <v>1316</v>
      </c>
      <c r="G1322" s="19">
        <f>IFERROR(__xludf.DUMMYFUNCTION("""COMPUTED_VALUE"""),0.00228)</f>
        <v>0.00228</v>
      </c>
      <c r="H1322" s="19" t="str">
        <f>IFERROR(__xludf.DUMMYFUNCTION("""COMPUTED_VALUE"""),"-")</f>
        <v>-</v>
      </c>
      <c r="I1322" s="19">
        <f>IFERROR(__xludf.DUMMYFUNCTION("""COMPUTED_VALUE"""),0.00226)</f>
        <v>0.00226</v>
      </c>
      <c r="J1322" s="19">
        <f>IFERROR(__xludf.DUMMYFUNCTION("""COMPUTED_VALUE"""),0.04746)</f>
        <v>0.04746</v>
      </c>
      <c r="K1322" s="19" t="str">
        <f>IFERROR(__xludf.DUMMYFUNCTION("""COMPUTED_VALUE"""),"-")</f>
        <v>-</v>
      </c>
      <c r="L1322" s="19" t="str">
        <f>IFERROR(__xludf.DUMMYFUNCTION("""COMPUTED_VALUE"""),"-")</f>
        <v>-</v>
      </c>
      <c r="O1322" s="24">
        <f t="shared" si="4"/>
        <v>0</v>
      </c>
      <c r="P1322" s="24"/>
      <c r="Q1322" s="24">
        <f t="shared" si="6"/>
        <v>0</v>
      </c>
      <c r="R1322" s="24">
        <f t="shared" si="7"/>
        <v>0</v>
      </c>
      <c r="S1322" s="24"/>
      <c r="T1322" s="24"/>
    </row>
    <row r="1323">
      <c r="A1323" s="12" t="s">
        <v>1411</v>
      </c>
      <c r="F1323" s="19">
        <f>IFERROR(__xludf.DUMMYFUNCTION("SPLIT(A1319, "" |"")"),1317.0)</f>
        <v>1317</v>
      </c>
      <c r="G1323" s="19">
        <f>IFERROR(__xludf.DUMMYFUNCTION("""COMPUTED_VALUE"""),0.00237)</f>
        <v>0.00237</v>
      </c>
      <c r="H1323" s="19" t="str">
        <f>IFERROR(__xludf.DUMMYFUNCTION("""COMPUTED_VALUE"""),"-")</f>
        <v>-</v>
      </c>
      <c r="I1323" s="19">
        <f>IFERROR(__xludf.DUMMYFUNCTION("""COMPUTED_VALUE"""),0.00223)</f>
        <v>0.00223</v>
      </c>
      <c r="J1323" s="19">
        <f>IFERROR(__xludf.DUMMYFUNCTION("""COMPUTED_VALUE"""),0.04747)</f>
        <v>0.04747</v>
      </c>
      <c r="K1323" s="19" t="str">
        <f>IFERROR(__xludf.DUMMYFUNCTION("""COMPUTED_VALUE"""),"-")</f>
        <v>-</v>
      </c>
      <c r="L1323" s="19" t="str">
        <f>IFERROR(__xludf.DUMMYFUNCTION("""COMPUTED_VALUE"""),"-")</f>
        <v>-</v>
      </c>
      <c r="O1323" s="24">
        <f t="shared" si="4"/>
        <v>0</v>
      </c>
      <c r="P1323" s="24"/>
      <c r="Q1323" s="24">
        <f t="shared" si="6"/>
        <v>0</v>
      </c>
      <c r="R1323" s="24">
        <f t="shared" si="7"/>
        <v>0</v>
      </c>
      <c r="S1323" s="24"/>
      <c r="T1323" s="24"/>
    </row>
    <row r="1324">
      <c r="A1324" s="12" t="s">
        <v>1412</v>
      </c>
      <c r="F1324" s="19">
        <f>IFERROR(__xludf.DUMMYFUNCTION("SPLIT(A1320, "" |"")"),1318.0)</f>
        <v>1318</v>
      </c>
      <c r="G1324" s="19">
        <f>IFERROR(__xludf.DUMMYFUNCTION("""COMPUTED_VALUE"""),0.00233)</f>
        <v>0.00233</v>
      </c>
      <c r="H1324" s="19" t="str">
        <f>IFERROR(__xludf.DUMMYFUNCTION("""COMPUTED_VALUE"""),"-")</f>
        <v>-</v>
      </c>
      <c r="I1324" s="19">
        <f>IFERROR(__xludf.DUMMYFUNCTION("""COMPUTED_VALUE"""),0.00221)</f>
        <v>0.00221</v>
      </c>
      <c r="J1324" s="19">
        <f>IFERROR(__xludf.DUMMYFUNCTION("""COMPUTED_VALUE"""),0.04463)</f>
        <v>0.04463</v>
      </c>
      <c r="K1324" s="19" t="str">
        <f>IFERROR(__xludf.DUMMYFUNCTION("""COMPUTED_VALUE"""),"-")</f>
        <v>-</v>
      </c>
      <c r="L1324" s="19" t="str">
        <f>IFERROR(__xludf.DUMMYFUNCTION("""COMPUTED_VALUE"""),"-")</f>
        <v>-</v>
      </c>
      <c r="O1324" s="24">
        <f t="shared" si="4"/>
        <v>0</v>
      </c>
      <c r="P1324" s="24"/>
      <c r="Q1324" s="24">
        <f t="shared" si="6"/>
        <v>0</v>
      </c>
      <c r="R1324" s="24">
        <f t="shared" si="7"/>
        <v>1</v>
      </c>
      <c r="S1324" s="24"/>
      <c r="T1324" s="24"/>
    </row>
    <row r="1325">
      <c r="A1325" s="12" t="s">
        <v>1413</v>
      </c>
      <c r="F1325" s="19">
        <f>IFERROR(__xludf.DUMMYFUNCTION("SPLIT(A1321, "" |"")"),1319.0)</f>
        <v>1319</v>
      </c>
      <c r="G1325" s="19">
        <f>IFERROR(__xludf.DUMMYFUNCTION("""COMPUTED_VALUE"""),0.00235)</f>
        <v>0.00235</v>
      </c>
      <c r="H1325" s="19" t="str">
        <f>IFERROR(__xludf.DUMMYFUNCTION("""COMPUTED_VALUE"""),"-")</f>
        <v>-</v>
      </c>
      <c r="I1325" s="19">
        <f>IFERROR(__xludf.DUMMYFUNCTION("""COMPUTED_VALUE"""),0.00223)</f>
        <v>0.00223</v>
      </c>
      <c r="J1325" s="19">
        <f>IFERROR(__xludf.DUMMYFUNCTION("""COMPUTED_VALUE"""),0.0474)</f>
        <v>0.0474</v>
      </c>
      <c r="K1325" s="19" t="str">
        <f>IFERROR(__xludf.DUMMYFUNCTION("""COMPUTED_VALUE"""),"-")</f>
        <v>-</v>
      </c>
      <c r="L1325" s="19" t="str">
        <f>IFERROR(__xludf.DUMMYFUNCTION("""COMPUTED_VALUE"""),"-")</f>
        <v>-</v>
      </c>
      <c r="O1325" s="24">
        <f t="shared" si="4"/>
        <v>0</v>
      </c>
      <c r="P1325" s="24"/>
      <c r="Q1325" s="24">
        <f t="shared" si="6"/>
        <v>0</v>
      </c>
      <c r="R1325" s="24">
        <f t="shared" si="7"/>
        <v>0</v>
      </c>
      <c r="S1325" s="24"/>
      <c r="T1325" s="24"/>
    </row>
    <row r="1326">
      <c r="A1326" s="12" t="s">
        <v>1414</v>
      </c>
      <c r="F1326" s="19">
        <f>IFERROR(__xludf.DUMMYFUNCTION("SPLIT(A1322, "" |"")"),1320.0)</f>
        <v>1320</v>
      </c>
      <c r="G1326" s="19">
        <f>IFERROR(__xludf.DUMMYFUNCTION("""COMPUTED_VALUE"""),0.0024)</f>
        <v>0.0024</v>
      </c>
      <c r="H1326" s="19" t="str">
        <f>IFERROR(__xludf.DUMMYFUNCTION("""COMPUTED_VALUE"""),"-")</f>
        <v>-</v>
      </c>
      <c r="I1326" s="19">
        <f>IFERROR(__xludf.DUMMYFUNCTION("""COMPUTED_VALUE"""),0.00228)</f>
        <v>0.00228</v>
      </c>
      <c r="J1326" s="19">
        <f>IFERROR(__xludf.DUMMYFUNCTION("""COMPUTED_VALUE"""),0.04108)</f>
        <v>0.04108</v>
      </c>
      <c r="K1326" s="19" t="str">
        <f>IFERROR(__xludf.DUMMYFUNCTION("""COMPUTED_VALUE"""),"-")</f>
        <v>-</v>
      </c>
      <c r="L1326" s="19" t="str">
        <f>IFERROR(__xludf.DUMMYFUNCTION("""COMPUTED_VALUE"""),"-")</f>
        <v>-</v>
      </c>
      <c r="O1326" s="24">
        <f t="shared" si="4"/>
        <v>0</v>
      </c>
      <c r="P1326" s="24"/>
      <c r="Q1326" s="24">
        <f t="shared" si="6"/>
        <v>0</v>
      </c>
      <c r="R1326" s="24">
        <f t="shared" si="7"/>
        <v>1</v>
      </c>
      <c r="S1326" s="24"/>
      <c r="T1326" s="24"/>
    </row>
    <row r="1327">
      <c r="A1327" s="12" t="s">
        <v>1415</v>
      </c>
      <c r="F1327" s="19">
        <f>IFERROR(__xludf.DUMMYFUNCTION("SPLIT(A1323, "" |"")"),1321.0)</f>
        <v>1321</v>
      </c>
      <c r="G1327" s="19">
        <f>IFERROR(__xludf.DUMMYFUNCTION("""COMPUTED_VALUE"""),0.00237)</f>
        <v>0.00237</v>
      </c>
      <c r="H1327" s="19" t="str">
        <f>IFERROR(__xludf.DUMMYFUNCTION("""COMPUTED_VALUE"""),"-")</f>
        <v>-</v>
      </c>
      <c r="I1327" s="19">
        <f>IFERROR(__xludf.DUMMYFUNCTION("""COMPUTED_VALUE"""),0.00223)</f>
        <v>0.00223</v>
      </c>
      <c r="J1327" s="19">
        <f>IFERROR(__xludf.DUMMYFUNCTION("""COMPUTED_VALUE"""),0.04746)</f>
        <v>0.04746</v>
      </c>
      <c r="K1327" s="19" t="str">
        <f>IFERROR(__xludf.DUMMYFUNCTION("""COMPUTED_VALUE"""),"-")</f>
        <v>-</v>
      </c>
      <c r="L1327" s="19" t="str">
        <f>IFERROR(__xludf.DUMMYFUNCTION("""COMPUTED_VALUE"""),"-")</f>
        <v>-</v>
      </c>
      <c r="O1327" s="24">
        <f t="shared" si="4"/>
        <v>0</v>
      </c>
      <c r="P1327" s="24"/>
      <c r="Q1327" s="24">
        <f t="shared" si="6"/>
        <v>0</v>
      </c>
      <c r="R1327" s="24">
        <f t="shared" si="7"/>
        <v>0</v>
      </c>
      <c r="S1327" s="24"/>
      <c r="T1327" s="24"/>
    </row>
    <row r="1328">
      <c r="A1328" s="12" t="s">
        <v>1416</v>
      </c>
      <c r="F1328" s="19">
        <f>IFERROR(__xludf.DUMMYFUNCTION("SPLIT(A1324, "" |"")"),1322.0)</f>
        <v>1322</v>
      </c>
      <c r="G1328" s="19">
        <f>IFERROR(__xludf.DUMMYFUNCTION("""COMPUTED_VALUE"""),0.00223)</f>
        <v>0.00223</v>
      </c>
      <c r="H1328" s="19" t="str">
        <f>IFERROR(__xludf.DUMMYFUNCTION("""COMPUTED_VALUE"""),"-")</f>
        <v>-</v>
      </c>
      <c r="I1328" s="19">
        <f>IFERROR(__xludf.DUMMYFUNCTION("""COMPUTED_VALUE"""),0.00229)</f>
        <v>0.00229</v>
      </c>
      <c r="J1328" s="19">
        <f>IFERROR(__xludf.DUMMYFUNCTION("""COMPUTED_VALUE"""),0.04759)</f>
        <v>0.04759</v>
      </c>
      <c r="K1328" s="19" t="str">
        <f>IFERROR(__xludf.DUMMYFUNCTION("""COMPUTED_VALUE"""),"-")</f>
        <v>-</v>
      </c>
      <c r="L1328" s="19" t="str">
        <f>IFERROR(__xludf.DUMMYFUNCTION("""COMPUTED_VALUE"""),"-")</f>
        <v>-</v>
      </c>
      <c r="O1328" s="24">
        <f t="shared" si="4"/>
        <v>0</v>
      </c>
      <c r="P1328" s="24"/>
      <c r="Q1328" s="24">
        <f t="shared" si="6"/>
        <v>0</v>
      </c>
      <c r="R1328" s="24">
        <f t="shared" si="7"/>
        <v>0</v>
      </c>
      <c r="S1328" s="24"/>
      <c r="T1328" s="24"/>
    </row>
    <row r="1329">
      <c r="A1329" s="12" t="s">
        <v>1417</v>
      </c>
      <c r="F1329" s="19">
        <f>IFERROR(__xludf.DUMMYFUNCTION("SPLIT(A1325, "" |"")"),1323.0)</f>
        <v>1323</v>
      </c>
      <c r="G1329" s="19">
        <f>IFERROR(__xludf.DUMMYFUNCTION("""COMPUTED_VALUE"""),0.00247)</f>
        <v>0.00247</v>
      </c>
      <c r="H1329" s="19" t="str">
        <f>IFERROR(__xludf.DUMMYFUNCTION("""COMPUTED_VALUE"""),"-")</f>
        <v>-</v>
      </c>
      <c r="I1329" s="19">
        <f>IFERROR(__xludf.DUMMYFUNCTION("""COMPUTED_VALUE"""),0.00214)</f>
        <v>0.00214</v>
      </c>
      <c r="J1329" s="19">
        <f>IFERROR(__xludf.DUMMYFUNCTION("""COMPUTED_VALUE"""),0.04745)</f>
        <v>0.04745</v>
      </c>
      <c r="K1329" s="19" t="str">
        <f>IFERROR(__xludf.DUMMYFUNCTION("""COMPUTED_VALUE"""),"-")</f>
        <v>-</v>
      </c>
      <c r="L1329" s="19" t="str">
        <f>IFERROR(__xludf.DUMMYFUNCTION("""COMPUTED_VALUE"""),"-")</f>
        <v>-</v>
      </c>
      <c r="O1329" s="24">
        <f t="shared" si="4"/>
        <v>0</v>
      </c>
      <c r="P1329" s="24"/>
      <c r="Q1329" s="24">
        <f t="shared" si="6"/>
        <v>0</v>
      </c>
      <c r="R1329" s="24">
        <f t="shared" si="7"/>
        <v>0</v>
      </c>
      <c r="S1329" s="24"/>
      <c r="T1329" s="24"/>
    </row>
    <row r="1330">
      <c r="A1330" s="12" t="s">
        <v>1418</v>
      </c>
      <c r="F1330" s="19">
        <f>IFERROR(__xludf.DUMMYFUNCTION("SPLIT(A1326, "" |"")"),1324.0)</f>
        <v>1324</v>
      </c>
      <c r="G1330" s="19">
        <f>IFERROR(__xludf.DUMMYFUNCTION("""COMPUTED_VALUE"""),0.00237)</f>
        <v>0.00237</v>
      </c>
      <c r="H1330" s="19" t="str">
        <f>IFERROR(__xludf.DUMMYFUNCTION("""COMPUTED_VALUE"""),"-")</f>
        <v>-</v>
      </c>
      <c r="I1330" s="19">
        <f>IFERROR(__xludf.DUMMYFUNCTION("""COMPUTED_VALUE"""),0.00222)</f>
        <v>0.00222</v>
      </c>
      <c r="J1330" s="19">
        <f>IFERROR(__xludf.DUMMYFUNCTION("""COMPUTED_VALUE"""),0.04744)</f>
        <v>0.04744</v>
      </c>
      <c r="K1330" s="19" t="str">
        <f>IFERROR(__xludf.DUMMYFUNCTION("""COMPUTED_VALUE"""),"-")</f>
        <v>-</v>
      </c>
      <c r="L1330" s="19" t="str">
        <f>IFERROR(__xludf.DUMMYFUNCTION("""COMPUTED_VALUE"""),"-")</f>
        <v>-</v>
      </c>
      <c r="O1330" s="24">
        <f t="shared" si="4"/>
        <v>0</v>
      </c>
      <c r="P1330" s="24"/>
      <c r="Q1330" s="24">
        <f t="shared" si="6"/>
        <v>0</v>
      </c>
      <c r="R1330" s="24">
        <f t="shared" si="7"/>
        <v>0</v>
      </c>
      <c r="S1330" s="24"/>
      <c r="T1330" s="24"/>
    </row>
    <row r="1331">
      <c r="A1331" s="12" t="s">
        <v>1419</v>
      </c>
      <c r="F1331" s="19">
        <f>IFERROR(__xludf.DUMMYFUNCTION("SPLIT(A1327, "" |"")"),1325.0)</f>
        <v>1325</v>
      </c>
      <c r="G1331" s="19">
        <f>IFERROR(__xludf.DUMMYFUNCTION("""COMPUTED_VALUE"""),0.00239)</f>
        <v>0.00239</v>
      </c>
      <c r="H1331" s="19" t="str">
        <f>IFERROR(__xludf.DUMMYFUNCTION("""COMPUTED_VALUE"""),"-")</f>
        <v>-</v>
      </c>
      <c r="I1331" s="19">
        <f>IFERROR(__xludf.DUMMYFUNCTION("""COMPUTED_VALUE"""),0.00219)</f>
        <v>0.00219</v>
      </c>
      <c r="J1331" s="19">
        <f>IFERROR(__xludf.DUMMYFUNCTION("""COMPUTED_VALUE"""),0.04744)</f>
        <v>0.04744</v>
      </c>
      <c r="K1331" s="19" t="str">
        <f>IFERROR(__xludf.DUMMYFUNCTION("""COMPUTED_VALUE"""),"-")</f>
        <v>-</v>
      </c>
      <c r="L1331" s="19" t="str">
        <f>IFERROR(__xludf.DUMMYFUNCTION("""COMPUTED_VALUE"""),"-")</f>
        <v>-</v>
      </c>
      <c r="O1331" s="24">
        <f t="shared" si="4"/>
        <v>0</v>
      </c>
      <c r="P1331" s="24"/>
      <c r="Q1331" s="24">
        <f t="shared" si="6"/>
        <v>0</v>
      </c>
      <c r="R1331" s="24">
        <f t="shared" si="7"/>
        <v>0</v>
      </c>
      <c r="S1331" s="24"/>
      <c r="T1331" s="24"/>
    </row>
    <row r="1332">
      <c r="A1332" s="12" t="s">
        <v>1420</v>
      </c>
      <c r="F1332" s="19">
        <f>IFERROR(__xludf.DUMMYFUNCTION("SPLIT(A1328, "" |"")"),1326.0)</f>
        <v>1326</v>
      </c>
      <c r="G1332" s="19">
        <f>IFERROR(__xludf.DUMMYFUNCTION("""COMPUTED_VALUE"""),0.00236)</f>
        <v>0.00236</v>
      </c>
      <c r="H1332" s="19" t="str">
        <f>IFERROR(__xludf.DUMMYFUNCTION("""COMPUTED_VALUE"""),"-")</f>
        <v>-</v>
      </c>
      <c r="I1332" s="19">
        <f>IFERROR(__xludf.DUMMYFUNCTION("""COMPUTED_VALUE"""),0.00221)</f>
        <v>0.00221</v>
      </c>
      <c r="J1332" s="19">
        <f>IFERROR(__xludf.DUMMYFUNCTION("""COMPUTED_VALUE"""),0.04199)</f>
        <v>0.04199</v>
      </c>
      <c r="K1332" s="19" t="str">
        <f>IFERROR(__xludf.DUMMYFUNCTION("""COMPUTED_VALUE"""),"-")</f>
        <v>-</v>
      </c>
      <c r="L1332" s="19" t="str">
        <f>IFERROR(__xludf.DUMMYFUNCTION("""COMPUTED_VALUE"""),"-")</f>
        <v>-</v>
      </c>
      <c r="O1332" s="24">
        <f t="shared" si="4"/>
        <v>0</v>
      </c>
      <c r="P1332" s="24"/>
      <c r="Q1332" s="24">
        <f t="shared" si="6"/>
        <v>0</v>
      </c>
      <c r="R1332" s="24">
        <f t="shared" si="7"/>
        <v>1</v>
      </c>
      <c r="S1332" s="24"/>
      <c r="T1332" s="24"/>
    </row>
    <row r="1333">
      <c r="A1333" s="12" t="s">
        <v>1421</v>
      </c>
      <c r="F1333" s="19">
        <f>IFERROR(__xludf.DUMMYFUNCTION("SPLIT(A1329, "" |"")"),1327.0)</f>
        <v>1327</v>
      </c>
      <c r="G1333" s="19">
        <f>IFERROR(__xludf.DUMMYFUNCTION("""COMPUTED_VALUE"""),0.0023)</f>
        <v>0.0023</v>
      </c>
      <c r="H1333" s="19" t="str">
        <f>IFERROR(__xludf.DUMMYFUNCTION("""COMPUTED_VALUE"""),"-")</f>
        <v>-</v>
      </c>
      <c r="I1333" s="19">
        <f>IFERROR(__xludf.DUMMYFUNCTION("""COMPUTED_VALUE"""),0.00221)</f>
        <v>0.00221</v>
      </c>
      <c r="J1333" s="19">
        <f>IFERROR(__xludf.DUMMYFUNCTION("""COMPUTED_VALUE"""),0.0475)</f>
        <v>0.0475</v>
      </c>
      <c r="K1333" s="19" t="str">
        <f>IFERROR(__xludf.DUMMYFUNCTION("""COMPUTED_VALUE"""),"-")</f>
        <v>-</v>
      </c>
      <c r="L1333" s="19" t="str">
        <f>IFERROR(__xludf.DUMMYFUNCTION("""COMPUTED_VALUE"""),"-")</f>
        <v>-</v>
      </c>
      <c r="O1333" s="24">
        <f t="shared" si="4"/>
        <v>0</v>
      </c>
      <c r="P1333" s="24"/>
      <c r="Q1333" s="24">
        <f t="shared" si="6"/>
        <v>0</v>
      </c>
      <c r="R1333" s="24">
        <f t="shared" si="7"/>
        <v>0</v>
      </c>
      <c r="S1333" s="24"/>
      <c r="T1333" s="24"/>
    </row>
    <row r="1334">
      <c r="A1334" s="12" t="s">
        <v>1422</v>
      </c>
      <c r="F1334" s="19">
        <f>IFERROR(__xludf.DUMMYFUNCTION("SPLIT(A1330, "" |"")"),1328.0)</f>
        <v>1328</v>
      </c>
      <c r="G1334" s="19">
        <f>IFERROR(__xludf.DUMMYFUNCTION("""COMPUTED_VALUE"""),0.00238)</f>
        <v>0.00238</v>
      </c>
      <c r="H1334" s="19" t="str">
        <f>IFERROR(__xludf.DUMMYFUNCTION("""COMPUTED_VALUE"""),"-")</f>
        <v>-</v>
      </c>
      <c r="I1334" s="19">
        <f>IFERROR(__xludf.DUMMYFUNCTION("""COMPUTED_VALUE"""),0.0022)</f>
        <v>0.0022</v>
      </c>
      <c r="J1334" s="19">
        <f>IFERROR(__xludf.DUMMYFUNCTION("""COMPUTED_VALUE"""),0.04756)</f>
        <v>0.04756</v>
      </c>
      <c r="K1334" s="19" t="str">
        <f>IFERROR(__xludf.DUMMYFUNCTION("""COMPUTED_VALUE"""),"-")</f>
        <v>-</v>
      </c>
      <c r="L1334" s="19" t="str">
        <f>IFERROR(__xludf.DUMMYFUNCTION("""COMPUTED_VALUE"""),"-")</f>
        <v>-</v>
      </c>
      <c r="O1334" s="24">
        <f t="shared" si="4"/>
        <v>0</v>
      </c>
      <c r="P1334" s="24"/>
      <c r="Q1334" s="24">
        <f t="shared" si="6"/>
        <v>0</v>
      </c>
      <c r="R1334" s="24">
        <f t="shared" si="7"/>
        <v>0</v>
      </c>
      <c r="S1334" s="24"/>
      <c r="T1334" s="24"/>
    </row>
    <row r="1335">
      <c r="A1335" s="12" t="s">
        <v>1423</v>
      </c>
      <c r="F1335" s="19">
        <f>IFERROR(__xludf.DUMMYFUNCTION("SPLIT(A1331, "" |"")"),1329.0)</f>
        <v>1329</v>
      </c>
      <c r="G1335" s="19">
        <f>IFERROR(__xludf.DUMMYFUNCTION("""COMPUTED_VALUE"""),0.00235)</f>
        <v>0.00235</v>
      </c>
      <c r="H1335" s="19" t="str">
        <f>IFERROR(__xludf.DUMMYFUNCTION("""COMPUTED_VALUE"""),"-")</f>
        <v>-</v>
      </c>
      <c r="I1335" s="19">
        <f>IFERROR(__xludf.DUMMYFUNCTION("""COMPUTED_VALUE"""),0.00223)</f>
        <v>0.00223</v>
      </c>
      <c r="J1335" s="19">
        <f>IFERROR(__xludf.DUMMYFUNCTION("""COMPUTED_VALUE"""),0.04752)</f>
        <v>0.04752</v>
      </c>
      <c r="K1335" s="19" t="str">
        <f>IFERROR(__xludf.DUMMYFUNCTION("""COMPUTED_VALUE"""),"-")</f>
        <v>-</v>
      </c>
      <c r="L1335" s="19" t="str">
        <f>IFERROR(__xludf.DUMMYFUNCTION("""COMPUTED_VALUE"""),"-")</f>
        <v>-</v>
      </c>
      <c r="O1335" s="24">
        <f t="shared" si="4"/>
        <v>0</v>
      </c>
      <c r="P1335" s="24"/>
      <c r="Q1335" s="24">
        <f t="shared" si="6"/>
        <v>0</v>
      </c>
      <c r="R1335" s="24">
        <f t="shared" si="7"/>
        <v>0</v>
      </c>
      <c r="S1335" s="24"/>
      <c r="T1335" s="24"/>
    </row>
    <row r="1336">
      <c r="A1336" s="12" t="s">
        <v>1424</v>
      </c>
      <c r="F1336" s="19">
        <f>IFERROR(__xludf.DUMMYFUNCTION("SPLIT(A1332, "" |"")"),1330.0)</f>
        <v>1330</v>
      </c>
      <c r="G1336" s="19">
        <f>IFERROR(__xludf.DUMMYFUNCTION("""COMPUTED_VALUE"""),0.00237)</f>
        <v>0.00237</v>
      </c>
      <c r="H1336" s="19" t="str">
        <f>IFERROR(__xludf.DUMMYFUNCTION("""COMPUTED_VALUE"""),"-")</f>
        <v>-</v>
      </c>
      <c r="I1336" s="19">
        <f>IFERROR(__xludf.DUMMYFUNCTION("""COMPUTED_VALUE"""),0.00221)</f>
        <v>0.00221</v>
      </c>
      <c r="J1336" s="19">
        <f>IFERROR(__xludf.DUMMYFUNCTION("""COMPUTED_VALUE"""),0.03948)</f>
        <v>0.03948</v>
      </c>
      <c r="K1336" s="19" t="str">
        <f>IFERROR(__xludf.DUMMYFUNCTION("""COMPUTED_VALUE"""),"-")</f>
        <v>-</v>
      </c>
      <c r="L1336" s="19" t="str">
        <f>IFERROR(__xludf.DUMMYFUNCTION("""COMPUTED_VALUE"""),"-")</f>
        <v>-</v>
      </c>
      <c r="O1336" s="24">
        <f t="shared" si="4"/>
        <v>0</v>
      </c>
      <c r="P1336" s="24"/>
      <c r="Q1336" s="24">
        <f t="shared" si="6"/>
        <v>0</v>
      </c>
      <c r="R1336" s="24">
        <f t="shared" si="7"/>
        <v>1</v>
      </c>
      <c r="S1336" s="24"/>
      <c r="T1336" s="24"/>
    </row>
    <row r="1337">
      <c r="A1337" s="12" t="s">
        <v>1425</v>
      </c>
      <c r="F1337" s="19">
        <f>IFERROR(__xludf.DUMMYFUNCTION("SPLIT(A1333, "" |"")"),1331.0)</f>
        <v>1331</v>
      </c>
      <c r="G1337" s="19">
        <f>IFERROR(__xludf.DUMMYFUNCTION("""COMPUTED_VALUE"""),0.00231)</f>
        <v>0.00231</v>
      </c>
      <c r="H1337" s="19" t="str">
        <f>IFERROR(__xludf.DUMMYFUNCTION("""COMPUTED_VALUE"""),"-")</f>
        <v>-</v>
      </c>
      <c r="I1337" s="19">
        <f>IFERROR(__xludf.DUMMYFUNCTION("""COMPUTED_VALUE"""),0.0022)</f>
        <v>0.0022</v>
      </c>
      <c r="J1337" s="19">
        <f>IFERROR(__xludf.DUMMYFUNCTION("""COMPUTED_VALUE"""),0.04753)</f>
        <v>0.04753</v>
      </c>
      <c r="K1337" s="19" t="str">
        <f>IFERROR(__xludf.DUMMYFUNCTION("""COMPUTED_VALUE"""),"-")</f>
        <v>-</v>
      </c>
      <c r="L1337" s="19" t="str">
        <f>IFERROR(__xludf.DUMMYFUNCTION("""COMPUTED_VALUE"""),"-")</f>
        <v>-</v>
      </c>
      <c r="O1337" s="24">
        <f t="shared" si="4"/>
        <v>0</v>
      </c>
      <c r="P1337" s="24"/>
      <c r="Q1337" s="24">
        <f t="shared" si="6"/>
        <v>0</v>
      </c>
      <c r="R1337" s="24">
        <f t="shared" si="7"/>
        <v>0</v>
      </c>
      <c r="S1337" s="24"/>
      <c r="T1337" s="24"/>
    </row>
    <row r="1338">
      <c r="A1338" s="12" t="s">
        <v>1426</v>
      </c>
      <c r="F1338" s="19">
        <f>IFERROR(__xludf.DUMMYFUNCTION("SPLIT(A1334, "" |"")"),1332.0)</f>
        <v>1332</v>
      </c>
      <c r="G1338" s="19">
        <f>IFERROR(__xludf.DUMMYFUNCTION("""COMPUTED_VALUE"""),0.00245)</f>
        <v>0.00245</v>
      </c>
      <c r="H1338" s="19" t="str">
        <f>IFERROR(__xludf.DUMMYFUNCTION("""COMPUTED_VALUE"""),"-")</f>
        <v>-</v>
      </c>
      <c r="I1338" s="19">
        <f>IFERROR(__xludf.DUMMYFUNCTION("""COMPUTED_VALUE"""),0.00227)</f>
        <v>0.00227</v>
      </c>
      <c r="J1338" s="19">
        <f>IFERROR(__xludf.DUMMYFUNCTION("""COMPUTED_VALUE"""),0.04274)</f>
        <v>0.04274</v>
      </c>
      <c r="K1338" s="19" t="str">
        <f>IFERROR(__xludf.DUMMYFUNCTION("""COMPUTED_VALUE"""),"-")</f>
        <v>-</v>
      </c>
      <c r="L1338" s="19" t="str">
        <f>IFERROR(__xludf.DUMMYFUNCTION("""COMPUTED_VALUE"""),"-")</f>
        <v>-</v>
      </c>
      <c r="O1338" s="24">
        <f t="shared" si="4"/>
        <v>0</v>
      </c>
      <c r="P1338" s="24"/>
      <c r="Q1338" s="24">
        <f t="shared" si="6"/>
        <v>0</v>
      </c>
      <c r="R1338" s="24">
        <f t="shared" si="7"/>
        <v>1</v>
      </c>
      <c r="S1338" s="24"/>
      <c r="T1338" s="24"/>
    </row>
    <row r="1339">
      <c r="A1339" s="12" t="s">
        <v>1427</v>
      </c>
      <c r="F1339" s="19">
        <f>IFERROR(__xludf.DUMMYFUNCTION("SPLIT(A1335, "" |"")"),1333.0)</f>
        <v>1333</v>
      </c>
      <c r="G1339" s="19">
        <f>IFERROR(__xludf.DUMMYFUNCTION("""COMPUTED_VALUE"""),0.00226)</f>
        <v>0.00226</v>
      </c>
      <c r="H1339" s="19" t="str">
        <f>IFERROR(__xludf.DUMMYFUNCTION("""COMPUTED_VALUE"""),"-")</f>
        <v>-</v>
      </c>
      <c r="I1339" s="19">
        <f>IFERROR(__xludf.DUMMYFUNCTION("""COMPUTED_VALUE"""),0.00209)</f>
        <v>0.00209</v>
      </c>
      <c r="J1339" s="19">
        <f>IFERROR(__xludf.DUMMYFUNCTION("""COMPUTED_VALUE"""),0.04736)</f>
        <v>0.04736</v>
      </c>
      <c r="K1339" s="19" t="str">
        <f>IFERROR(__xludf.DUMMYFUNCTION("""COMPUTED_VALUE"""),"-")</f>
        <v>-</v>
      </c>
      <c r="L1339" s="19" t="str">
        <f>IFERROR(__xludf.DUMMYFUNCTION("""COMPUTED_VALUE"""),"-")</f>
        <v>-</v>
      </c>
      <c r="O1339" s="24">
        <f t="shared" si="4"/>
        <v>0</v>
      </c>
      <c r="P1339" s="24"/>
      <c r="Q1339" s="24">
        <f t="shared" si="6"/>
        <v>0</v>
      </c>
      <c r="R1339" s="24">
        <f t="shared" si="7"/>
        <v>0</v>
      </c>
      <c r="S1339" s="24"/>
      <c r="T1339" s="24"/>
    </row>
    <row r="1340">
      <c r="A1340" s="12" t="s">
        <v>1428</v>
      </c>
      <c r="F1340" s="19">
        <f>IFERROR(__xludf.DUMMYFUNCTION("SPLIT(A1336, "" |"")"),1334.0)</f>
        <v>1334</v>
      </c>
      <c r="G1340" s="19">
        <f>IFERROR(__xludf.DUMMYFUNCTION("""COMPUTED_VALUE"""),0.00227)</f>
        <v>0.00227</v>
      </c>
      <c r="H1340" s="19" t="str">
        <f>IFERROR(__xludf.DUMMYFUNCTION("""COMPUTED_VALUE"""),"-")</f>
        <v>-</v>
      </c>
      <c r="I1340" s="19">
        <f>IFERROR(__xludf.DUMMYFUNCTION("""COMPUTED_VALUE"""),0.0021)</f>
        <v>0.0021</v>
      </c>
      <c r="J1340" s="19">
        <f>IFERROR(__xludf.DUMMYFUNCTION("""COMPUTED_VALUE"""),0.04226)</f>
        <v>0.04226</v>
      </c>
      <c r="K1340" s="19" t="str">
        <f>IFERROR(__xludf.DUMMYFUNCTION("""COMPUTED_VALUE"""),"-")</f>
        <v>-</v>
      </c>
      <c r="L1340" s="19" t="str">
        <f>IFERROR(__xludf.DUMMYFUNCTION("""COMPUTED_VALUE"""),"-")</f>
        <v>-</v>
      </c>
      <c r="O1340" s="24">
        <f t="shared" si="4"/>
        <v>0</v>
      </c>
      <c r="P1340" s="24"/>
      <c r="Q1340" s="24">
        <f t="shared" si="6"/>
        <v>0</v>
      </c>
      <c r="R1340" s="24">
        <f t="shared" si="7"/>
        <v>1</v>
      </c>
      <c r="S1340" s="24"/>
      <c r="T1340" s="24"/>
    </row>
    <row r="1341">
      <c r="A1341" s="12" t="s">
        <v>1429</v>
      </c>
      <c r="F1341" s="19">
        <f>IFERROR(__xludf.DUMMYFUNCTION("SPLIT(A1337, "" |"")"),1335.0)</f>
        <v>1335</v>
      </c>
      <c r="G1341" s="19">
        <f>IFERROR(__xludf.DUMMYFUNCTION("""COMPUTED_VALUE"""),0.00222)</f>
        <v>0.00222</v>
      </c>
      <c r="H1341" s="19" t="str">
        <f>IFERROR(__xludf.DUMMYFUNCTION("""COMPUTED_VALUE"""),"-")</f>
        <v>-</v>
      </c>
      <c r="I1341" s="19">
        <f>IFERROR(__xludf.DUMMYFUNCTION("""COMPUTED_VALUE"""),0.00205)</f>
        <v>0.00205</v>
      </c>
      <c r="J1341" s="19">
        <f>IFERROR(__xludf.DUMMYFUNCTION("""COMPUTED_VALUE"""),0.04731)</f>
        <v>0.04731</v>
      </c>
      <c r="K1341" s="19" t="str">
        <f>IFERROR(__xludf.DUMMYFUNCTION("""COMPUTED_VALUE"""),"-")</f>
        <v>-</v>
      </c>
      <c r="L1341" s="19" t="str">
        <f>IFERROR(__xludf.DUMMYFUNCTION("""COMPUTED_VALUE"""),"-")</f>
        <v>-</v>
      </c>
      <c r="O1341" s="24">
        <f t="shared" si="4"/>
        <v>0</v>
      </c>
      <c r="P1341" s="24"/>
      <c r="Q1341" s="24">
        <f t="shared" si="6"/>
        <v>0</v>
      </c>
      <c r="R1341" s="24">
        <f t="shared" si="7"/>
        <v>0</v>
      </c>
      <c r="S1341" s="24"/>
      <c r="T1341" s="24"/>
    </row>
    <row r="1342">
      <c r="A1342" s="12" t="s">
        <v>1430</v>
      </c>
      <c r="F1342" s="19">
        <f>IFERROR(__xludf.DUMMYFUNCTION("SPLIT(A1338, "" |"")"),1336.0)</f>
        <v>1336</v>
      </c>
      <c r="G1342" s="19">
        <f>IFERROR(__xludf.DUMMYFUNCTION("""COMPUTED_VALUE"""),0.00233)</f>
        <v>0.00233</v>
      </c>
      <c r="H1342" s="19" t="str">
        <f>IFERROR(__xludf.DUMMYFUNCTION("""COMPUTED_VALUE"""),"-")</f>
        <v>-</v>
      </c>
      <c r="I1342" s="19">
        <f>IFERROR(__xludf.DUMMYFUNCTION("""COMPUTED_VALUE"""),0.00208)</f>
        <v>0.00208</v>
      </c>
      <c r="J1342" s="19">
        <f>IFERROR(__xludf.DUMMYFUNCTION("""COMPUTED_VALUE"""),0.0474)</f>
        <v>0.0474</v>
      </c>
      <c r="K1342" s="19" t="str">
        <f>IFERROR(__xludf.DUMMYFUNCTION("""COMPUTED_VALUE"""),"-")</f>
        <v>-</v>
      </c>
      <c r="L1342" s="19" t="str">
        <f>IFERROR(__xludf.DUMMYFUNCTION("""COMPUTED_VALUE"""),"-")</f>
        <v>-</v>
      </c>
      <c r="O1342" s="24">
        <f t="shared" si="4"/>
        <v>0</v>
      </c>
      <c r="P1342" s="24"/>
      <c r="Q1342" s="24">
        <f t="shared" si="6"/>
        <v>0</v>
      </c>
      <c r="R1342" s="24">
        <f t="shared" si="7"/>
        <v>0</v>
      </c>
      <c r="S1342" s="24"/>
      <c r="T1342" s="24"/>
    </row>
    <row r="1343">
      <c r="A1343" s="12" t="s">
        <v>1431</v>
      </c>
      <c r="F1343" s="19">
        <f>IFERROR(__xludf.DUMMYFUNCTION("SPLIT(A1339, "" |"")"),1337.0)</f>
        <v>1337</v>
      </c>
      <c r="G1343" s="19">
        <f>IFERROR(__xludf.DUMMYFUNCTION("""COMPUTED_VALUE"""),0.00224)</f>
        <v>0.00224</v>
      </c>
      <c r="H1343" s="19" t="str">
        <f>IFERROR(__xludf.DUMMYFUNCTION("""COMPUTED_VALUE"""),"-")</f>
        <v>-</v>
      </c>
      <c r="I1343" s="19">
        <f>IFERROR(__xludf.DUMMYFUNCTION("""COMPUTED_VALUE"""),0.00207)</f>
        <v>0.00207</v>
      </c>
      <c r="J1343" s="19">
        <f>IFERROR(__xludf.DUMMYFUNCTION("""COMPUTED_VALUE"""),0.04737)</f>
        <v>0.04737</v>
      </c>
      <c r="K1343" s="19" t="str">
        <f>IFERROR(__xludf.DUMMYFUNCTION("""COMPUTED_VALUE"""),"-")</f>
        <v>-</v>
      </c>
      <c r="L1343" s="19" t="str">
        <f>IFERROR(__xludf.DUMMYFUNCTION("""COMPUTED_VALUE"""),"-")</f>
        <v>-</v>
      </c>
      <c r="O1343" s="24">
        <f t="shared" si="4"/>
        <v>0</v>
      </c>
      <c r="P1343" s="24"/>
      <c r="Q1343" s="24">
        <f t="shared" si="6"/>
        <v>0</v>
      </c>
      <c r="R1343" s="24">
        <f t="shared" si="7"/>
        <v>0</v>
      </c>
      <c r="S1343" s="24"/>
      <c r="T1343" s="24"/>
    </row>
    <row r="1344">
      <c r="A1344" s="12" t="s">
        <v>1432</v>
      </c>
      <c r="F1344" s="19">
        <f>IFERROR(__xludf.DUMMYFUNCTION("SPLIT(A1340, "" |"")"),1338.0)</f>
        <v>1338</v>
      </c>
      <c r="G1344" s="19">
        <f>IFERROR(__xludf.DUMMYFUNCTION("""COMPUTED_VALUE"""),0.00228)</f>
        <v>0.00228</v>
      </c>
      <c r="H1344" s="19" t="str">
        <f>IFERROR(__xludf.DUMMYFUNCTION("""COMPUTED_VALUE"""),"-")</f>
        <v>-</v>
      </c>
      <c r="I1344" s="19">
        <f>IFERROR(__xludf.DUMMYFUNCTION("""COMPUTED_VALUE"""),0.00209)</f>
        <v>0.00209</v>
      </c>
      <c r="J1344" s="19">
        <f>IFERROR(__xludf.DUMMYFUNCTION("""COMPUTED_VALUE"""),0.04728)</f>
        <v>0.04728</v>
      </c>
      <c r="K1344" s="19" t="str">
        <f>IFERROR(__xludf.DUMMYFUNCTION("""COMPUTED_VALUE"""),"-")</f>
        <v>-</v>
      </c>
      <c r="L1344" s="19" t="str">
        <f>IFERROR(__xludf.DUMMYFUNCTION("""COMPUTED_VALUE"""),"-")</f>
        <v>-</v>
      </c>
      <c r="O1344" s="24">
        <f t="shared" si="4"/>
        <v>0</v>
      </c>
      <c r="P1344" s="24"/>
      <c r="Q1344" s="24">
        <f t="shared" si="6"/>
        <v>0</v>
      </c>
      <c r="R1344" s="24">
        <f t="shared" si="7"/>
        <v>0</v>
      </c>
      <c r="S1344" s="24"/>
      <c r="T1344" s="24"/>
    </row>
    <row r="1345">
      <c r="A1345" s="12" t="s">
        <v>1433</v>
      </c>
      <c r="F1345" s="19">
        <f>IFERROR(__xludf.DUMMYFUNCTION("SPLIT(A1341, "" |"")"),1339.0)</f>
        <v>1339</v>
      </c>
      <c r="G1345" s="19">
        <f>IFERROR(__xludf.DUMMYFUNCTION("""COMPUTED_VALUE"""),0.00218)</f>
        <v>0.00218</v>
      </c>
      <c r="H1345" s="19" t="str">
        <f>IFERROR(__xludf.DUMMYFUNCTION("""COMPUTED_VALUE"""),"-")</f>
        <v>-</v>
      </c>
      <c r="I1345" s="19">
        <f>IFERROR(__xludf.DUMMYFUNCTION("""COMPUTED_VALUE"""),0.00209)</f>
        <v>0.00209</v>
      </c>
      <c r="J1345" s="19">
        <f>IFERROR(__xludf.DUMMYFUNCTION("""COMPUTED_VALUE"""),0.04729)</f>
        <v>0.04729</v>
      </c>
      <c r="K1345" s="19" t="str">
        <f>IFERROR(__xludf.DUMMYFUNCTION("""COMPUTED_VALUE"""),"-")</f>
        <v>-</v>
      </c>
      <c r="L1345" s="19" t="str">
        <f>IFERROR(__xludf.DUMMYFUNCTION("""COMPUTED_VALUE"""),"-")</f>
        <v>-</v>
      </c>
      <c r="O1345" s="24">
        <f t="shared" si="4"/>
        <v>0</v>
      </c>
      <c r="P1345" s="24"/>
      <c r="Q1345" s="24">
        <f t="shared" si="6"/>
        <v>0</v>
      </c>
      <c r="R1345" s="24">
        <f t="shared" si="7"/>
        <v>0</v>
      </c>
      <c r="S1345" s="24"/>
      <c r="T1345" s="24"/>
    </row>
    <row r="1346">
      <c r="A1346" s="12" t="s">
        <v>1434</v>
      </c>
      <c r="F1346" s="19">
        <f>IFERROR(__xludf.DUMMYFUNCTION("SPLIT(A1342, "" |"")"),1340.0)</f>
        <v>1340</v>
      </c>
      <c r="G1346" s="19">
        <f>IFERROR(__xludf.DUMMYFUNCTION("""COMPUTED_VALUE"""),0.00221)</f>
        <v>0.00221</v>
      </c>
      <c r="H1346" s="19" t="str">
        <f>IFERROR(__xludf.DUMMYFUNCTION("""COMPUTED_VALUE"""),"-")</f>
        <v>-</v>
      </c>
      <c r="I1346" s="19">
        <f>IFERROR(__xludf.DUMMYFUNCTION("""COMPUTED_VALUE"""),0.0021)</f>
        <v>0.0021</v>
      </c>
      <c r="J1346" s="19">
        <f>IFERROR(__xludf.DUMMYFUNCTION("""COMPUTED_VALUE"""),0.04041)</f>
        <v>0.04041</v>
      </c>
      <c r="K1346" s="19" t="str">
        <f>IFERROR(__xludf.DUMMYFUNCTION("""COMPUTED_VALUE"""),"-")</f>
        <v>-</v>
      </c>
      <c r="L1346" s="19" t="str">
        <f>IFERROR(__xludf.DUMMYFUNCTION("""COMPUTED_VALUE"""),"-")</f>
        <v>-</v>
      </c>
      <c r="O1346" s="24">
        <f t="shared" si="4"/>
        <v>0</v>
      </c>
      <c r="P1346" s="24"/>
      <c r="Q1346" s="24">
        <f t="shared" si="6"/>
        <v>0</v>
      </c>
      <c r="R1346" s="24">
        <f t="shared" si="7"/>
        <v>1</v>
      </c>
      <c r="S1346" s="24"/>
      <c r="T1346" s="24"/>
    </row>
    <row r="1347">
      <c r="A1347" s="12" t="s">
        <v>1435</v>
      </c>
      <c r="F1347" s="19">
        <f>IFERROR(__xludf.DUMMYFUNCTION("SPLIT(A1343, "" |"")"),1341.0)</f>
        <v>1341</v>
      </c>
      <c r="G1347" s="19">
        <f>IFERROR(__xludf.DUMMYFUNCTION("""COMPUTED_VALUE"""),0.00223)</f>
        <v>0.00223</v>
      </c>
      <c r="H1347" s="19" t="str">
        <f>IFERROR(__xludf.DUMMYFUNCTION("""COMPUTED_VALUE"""),"-")</f>
        <v>-</v>
      </c>
      <c r="I1347" s="19">
        <f>IFERROR(__xludf.DUMMYFUNCTION("""COMPUTED_VALUE"""),0.00206)</f>
        <v>0.00206</v>
      </c>
      <c r="J1347" s="19">
        <f>IFERROR(__xludf.DUMMYFUNCTION("""COMPUTED_VALUE"""),0.04732)</f>
        <v>0.04732</v>
      </c>
      <c r="K1347" s="19" t="str">
        <f>IFERROR(__xludf.DUMMYFUNCTION("""COMPUTED_VALUE"""),"-")</f>
        <v>-</v>
      </c>
      <c r="L1347" s="19" t="str">
        <f>IFERROR(__xludf.DUMMYFUNCTION("""COMPUTED_VALUE"""),"-")</f>
        <v>-</v>
      </c>
      <c r="O1347" s="24">
        <f t="shared" si="4"/>
        <v>0</v>
      </c>
      <c r="P1347" s="24"/>
      <c r="Q1347" s="24">
        <f t="shared" si="6"/>
        <v>0</v>
      </c>
      <c r="R1347" s="24">
        <f t="shared" si="7"/>
        <v>0</v>
      </c>
      <c r="S1347" s="24"/>
      <c r="T1347" s="24"/>
    </row>
    <row r="1348">
      <c r="A1348" s="12" t="s">
        <v>1436</v>
      </c>
      <c r="F1348" s="19">
        <f>IFERROR(__xludf.DUMMYFUNCTION("SPLIT(A1344, "" |"")"),1342.0)</f>
        <v>1342</v>
      </c>
      <c r="G1348" s="19">
        <f>IFERROR(__xludf.DUMMYFUNCTION("""COMPUTED_VALUE"""),0.00226)</f>
        <v>0.00226</v>
      </c>
      <c r="H1348" s="19" t="str">
        <f>IFERROR(__xludf.DUMMYFUNCTION("""COMPUTED_VALUE"""),"-")</f>
        <v>-</v>
      </c>
      <c r="I1348" s="19">
        <f>IFERROR(__xludf.DUMMYFUNCTION("""COMPUTED_VALUE"""),0.0021)</f>
        <v>0.0021</v>
      </c>
      <c r="J1348" s="19">
        <f>IFERROR(__xludf.DUMMYFUNCTION("""COMPUTED_VALUE"""),0.04739)</f>
        <v>0.04739</v>
      </c>
      <c r="K1348" s="19" t="str">
        <f>IFERROR(__xludf.DUMMYFUNCTION("""COMPUTED_VALUE"""),"-")</f>
        <v>-</v>
      </c>
      <c r="L1348" s="19" t="str">
        <f>IFERROR(__xludf.DUMMYFUNCTION("""COMPUTED_VALUE"""),"-")</f>
        <v>-</v>
      </c>
      <c r="O1348" s="24">
        <f t="shared" si="4"/>
        <v>0</v>
      </c>
      <c r="P1348" s="24"/>
      <c r="Q1348" s="24">
        <f t="shared" si="6"/>
        <v>0</v>
      </c>
      <c r="R1348" s="24">
        <f t="shared" si="7"/>
        <v>0</v>
      </c>
      <c r="S1348" s="24"/>
      <c r="T1348" s="24"/>
    </row>
    <row r="1349">
      <c r="A1349" s="12" t="s">
        <v>1437</v>
      </c>
      <c r="F1349" s="19">
        <f>IFERROR(__xludf.DUMMYFUNCTION("SPLIT(A1345, "" |"")"),1343.0)</f>
        <v>1343</v>
      </c>
      <c r="G1349" s="19">
        <f>IFERROR(__xludf.DUMMYFUNCTION("""COMPUTED_VALUE"""),0.00226)</f>
        <v>0.00226</v>
      </c>
      <c r="H1349" s="19" t="str">
        <f>IFERROR(__xludf.DUMMYFUNCTION("""COMPUTED_VALUE"""),"-")</f>
        <v>-</v>
      </c>
      <c r="I1349" s="19">
        <f>IFERROR(__xludf.DUMMYFUNCTION("""COMPUTED_VALUE"""),0.00229)</f>
        <v>0.00229</v>
      </c>
      <c r="J1349" s="19">
        <f>IFERROR(__xludf.DUMMYFUNCTION("""COMPUTED_VALUE"""),0.04743)</f>
        <v>0.04743</v>
      </c>
      <c r="K1349" s="19" t="str">
        <f>IFERROR(__xludf.DUMMYFUNCTION("""COMPUTED_VALUE"""),"-")</f>
        <v>-</v>
      </c>
      <c r="L1349" s="19" t="str">
        <f>IFERROR(__xludf.DUMMYFUNCTION("""COMPUTED_VALUE"""),"-")</f>
        <v>-</v>
      </c>
      <c r="O1349" s="24">
        <f t="shared" si="4"/>
        <v>0</v>
      </c>
      <c r="P1349" s="24"/>
      <c r="Q1349" s="24">
        <f t="shared" si="6"/>
        <v>0</v>
      </c>
      <c r="R1349" s="24">
        <f t="shared" si="7"/>
        <v>0</v>
      </c>
      <c r="S1349" s="24"/>
      <c r="T1349" s="24"/>
    </row>
    <row r="1350">
      <c r="A1350" s="12" t="s">
        <v>1438</v>
      </c>
      <c r="F1350" s="19">
        <f>IFERROR(__xludf.DUMMYFUNCTION("SPLIT(A1346, "" |"")"),1344.0)</f>
        <v>1344</v>
      </c>
      <c r="G1350" s="19">
        <f>IFERROR(__xludf.DUMMYFUNCTION("""COMPUTED_VALUE"""),0.00241)</f>
        <v>0.00241</v>
      </c>
      <c r="H1350" s="19" t="str">
        <f>IFERROR(__xludf.DUMMYFUNCTION("""COMPUTED_VALUE"""),"-")</f>
        <v>-</v>
      </c>
      <c r="I1350" s="19">
        <f>IFERROR(__xludf.DUMMYFUNCTION("""COMPUTED_VALUE"""),0.00216)</f>
        <v>0.00216</v>
      </c>
      <c r="J1350" s="19">
        <f>IFERROR(__xludf.DUMMYFUNCTION("""COMPUTED_VALUE"""),0.04744)</f>
        <v>0.04744</v>
      </c>
      <c r="K1350" s="19" t="str">
        <f>IFERROR(__xludf.DUMMYFUNCTION("""COMPUTED_VALUE"""),"-")</f>
        <v>-</v>
      </c>
      <c r="L1350" s="19" t="str">
        <f>IFERROR(__xludf.DUMMYFUNCTION("""COMPUTED_VALUE"""),"-")</f>
        <v>-</v>
      </c>
      <c r="O1350" s="24">
        <f t="shared" si="4"/>
        <v>0</v>
      </c>
      <c r="P1350" s="24"/>
      <c r="Q1350" s="24">
        <f t="shared" si="6"/>
        <v>0</v>
      </c>
      <c r="R1350" s="24">
        <f t="shared" si="7"/>
        <v>0</v>
      </c>
      <c r="S1350" s="24"/>
      <c r="T1350" s="24"/>
    </row>
    <row r="1351">
      <c r="A1351" s="12" t="s">
        <v>1439</v>
      </c>
      <c r="F1351" s="19">
        <f>IFERROR(__xludf.DUMMYFUNCTION("SPLIT(A1347, "" |"")"),1345.0)</f>
        <v>1345</v>
      </c>
      <c r="G1351" s="19">
        <f>IFERROR(__xludf.DUMMYFUNCTION("""COMPUTED_VALUE"""),0.00238)</f>
        <v>0.00238</v>
      </c>
      <c r="H1351" s="19" t="str">
        <f>IFERROR(__xludf.DUMMYFUNCTION("""COMPUTED_VALUE"""),"-")</f>
        <v>-</v>
      </c>
      <c r="I1351" s="19">
        <f>IFERROR(__xludf.DUMMYFUNCTION("""COMPUTED_VALUE"""),0.00217)</f>
        <v>0.00217</v>
      </c>
      <c r="J1351" s="19">
        <f>IFERROR(__xludf.DUMMYFUNCTION("""COMPUTED_VALUE"""),0.04515)</f>
        <v>0.04515</v>
      </c>
      <c r="K1351" s="19" t="str">
        <f>IFERROR(__xludf.DUMMYFUNCTION("""COMPUTED_VALUE"""),"-")</f>
        <v>-</v>
      </c>
      <c r="L1351" s="19" t="str">
        <f>IFERROR(__xludf.DUMMYFUNCTION("""COMPUTED_VALUE"""),"-")</f>
        <v>-</v>
      </c>
      <c r="O1351" s="24">
        <f t="shared" si="4"/>
        <v>0</v>
      </c>
      <c r="P1351" s="24"/>
      <c r="Q1351" s="24">
        <f t="shared" si="6"/>
        <v>0</v>
      </c>
      <c r="R1351" s="24">
        <f t="shared" si="7"/>
        <v>0</v>
      </c>
      <c r="S1351" s="24"/>
      <c r="T1351" s="24"/>
    </row>
    <row r="1352">
      <c r="A1352" s="12" t="s">
        <v>1440</v>
      </c>
      <c r="F1352" s="19">
        <f>IFERROR(__xludf.DUMMYFUNCTION("SPLIT(A1348, "" |"")"),1346.0)</f>
        <v>1346</v>
      </c>
      <c r="G1352" s="19">
        <f>IFERROR(__xludf.DUMMYFUNCTION("""COMPUTED_VALUE"""),0.00227)</f>
        <v>0.00227</v>
      </c>
      <c r="H1352" s="19" t="str">
        <f>IFERROR(__xludf.DUMMYFUNCTION("""COMPUTED_VALUE"""),"-")</f>
        <v>-</v>
      </c>
      <c r="I1352" s="19">
        <f>IFERROR(__xludf.DUMMYFUNCTION("""COMPUTED_VALUE"""),0.00208)</f>
        <v>0.00208</v>
      </c>
      <c r="J1352" s="19">
        <f>IFERROR(__xludf.DUMMYFUNCTION("""COMPUTED_VALUE"""),0.04728)</f>
        <v>0.04728</v>
      </c>
      <c r="K1352" s="19" t="str">
        <f>IFERROR(__xludf.DUMMYFUNCTION("""COMPUTED_VALUE"""),"-")</f>
        <v>-</v>
      </c>
      <c r="L1352" s="19" t="str">
        <f>IFERROR(__xludf.DUMMYFUNCTION("""COMPUTED_VALUE"""),"-")</f>
        <v>-</v>
      </c>
      <c r="O1352" s="24">
        <f t="shared" si="4"/>
        <v>0</v>
      </c>
      <c r="P1352" s="24"/>
      <c r="Q1352" s="24">
        <f t="shared" si="6"/>
        <v>0</v>
      </c>
      <c r="R1352" s="24">
        <f t="shared" si="7"/>
        <v>0</v>
      </c>
      <c r="S1352" s="24"/>
      <c r="T1352" s="24"/>
    </row>
    <row r="1353">
      <c r="A1353" s="12" t="s">
        <v>1441</v>
      </c>
      <c r="F1353" s="19">
        <f>IFERROR(__xludf.DUMMYFUNCTION("SPLIT(A1349, "" |"")"),1347.0)</f>
        <v>1347</v>
      </c>
      <c r="G1353" s="19">
        <f>IFERROR(__xludf.DUMMYFUNCTION("""COMPUTED_VALUE"""),0.00223)</f>
        <v>0.00223</v>
      </c>
      <c r="H1353" s="19" t="str">
        <f>IFERROR(__xludf.DUMMYFUNCTION("""COMPUTED_VALUE"""),"-")</f>
        <v>-</v>
      </c>
      <c r="I1353" s="19">
        <f>IFERROR(__xludf.DUMMYFUNCTION("""COMPUTED_VALUE"""),0.0021)</f>
        <v>0.0021</v>
      </c>
      <c r="J1353" s="19">
        <f>IFERROR(__xludf.DUMMYFUNCTION("""COMPUTED_VALUE"""),0.04734)</f>
        <v>0.04734</v>
      </c>
      <c r="K1353" s="19" t="str">
        <f>IFERROR(__xludf.DUMMYFUNCTION("""COMPUTED_VALUE"""),"-")</f>
        <v>-</v>
      </c>
      <c r="L1353" s="19" t="str">
        <f>IFERROR(__xludf.DUMMYFUNCTION("""COMPUTED_VALUE"""),"-")</f>
        <v>-</v>
      </c>
      <c r="O1353" s="24">
        <f t="shared" si="4"/>
        <v>0</v>
      </c>
      <c r="P1353" s="24"/>
      <c r="Q1353" s="24">
        <f t="shared" si="6"/>
        <v>0</v>
      </c>
      <c r="R1353" s="24">
        <f t="shared" si="7"/>
        <v>0</v>
      </c>
      <c r="S1353" s="24"/>
      <c r="T1353" s="24"/>
    </row>
    <row r="1354">
      <c r="A1354" s="12" t="s">
        <v>1442</v>
      </c>
      <c r="F1354" s="19">
        <f>IFERROR(__xludf.DUMMYFUNCTION("SPLIT(A1350, "" |"")"),1348.0)</f>
        <v>1348</v>
      </c>
      <c r="G1354" s="19">
        <f>IFERROR(__xludf.DUMMYFUNCTION("""COMPUTED_VALUE"""),0.00226)</f>
        <v>0.00226</v>
      </c>
      <c r="H1354" s="19" t="str">
        <f>IFERROR(__xludf.DUMMYFUNCTION("""COMPUTED_VALUE"""),"-")</f>
        <v>-</v>
      </c>
      <c r="I1354" s="19">
        <f>IFERROR(__xludf.DUMMYFUNCTION("""COMPUTED_VALUE"""),0.00209)</f>
        <v>0.00209</v>
      </c>
      <c r="J1354" s="19">
        <f>IFERROR(__xludf.DUMMYFUNCTION("""COMPUTED_VALUE"""),0.04726)</f>
        <v>0.04726</v>
      </c>
      <c r="K1354" s="19" t="str">
        <f>IFERROR(__xludf.DUMMYFUNCTION("""COMPUTED_VALUE"""),"-")</f>
        <v>-</v>
      </c>
      <c r="L1354" s="19" t="str">
        <f>IFERROR(__xludf.DUMMYFUNCTION("""COMPUTED_VALUE"""),"-")</f>
        <v>-</v>
      </c>
      <c r="O1354" s="24">
        <f t="shared" si="4"/>
        <v>0</v>
      </c>
      <c r="P1354" s="24"/>
      <c r="Q1354" s="24">
        <f t="shared" si="6"/>
        <v>0</v>
      </c>
      <c r="R1354" s="24">
        <f t="shared" si="7"/>
        <v>0</v>
      </c>
      <c r="S1354" s="24"/>
      <c r="T1354" s="24"/>
    </row>
    <row r="1355">
      <c r="A1355" s="12" t="s">
        <v>1443</v>
      </c>
      <c r="F1355" s="19">
        <f>IFERROR(__xludf.DUMMYFUNCTION("SPLIT(A1351, "" |"")"),1349.0)</f>
        <v>1349</v>
      </c>
      <c r="G1355" s="19">
        <f>IFERROR(__xludf.DUMMYFUNCTION("""COMPUTED_VALUE"""),0.00222)</f>
        <v>0.00222</v>
      </c>
      <c r="H1355" s="19" t="str">
        <f>IFERROR(__xludf.DUMMYFUNCTION("""COMPUTED_VALUE"""),"-")</f>
        <v>-</v>
      </c>
      <c r="I1355" s="19">
        <f>IFERROR(__xludf.DUMMYFUNCTION("""COMPUTED_VALUE"""),0.00208)</f>
        <v>0.00208</v>
      </c>
      <c r="J1355" s="19">
        <f>IFERROR(__xludf.DUMMYFUNCTION("""COMPUTED_VALUE"""),0.04726)</f>
        <v>0.04726</v>
      </c>
      <c r="K1355" s="19" t="str">
        <f>IFERROR(__xludf.DUMMYFUNCTION("""COMPUTED_VALUE"""),"-")</f>
        <v>-</v>
      </c>
      <c r="L1355" s="19" t="str">
        <f>IFERROR(__xludf.DUMMYFUNCTION("""COMPUTED_VALUE"""),"-")</f>
        <v>-</v>
      </c>
      <c r="O1355" s="24">
        <f t="shared" si="4"/>
        <v>0</v>
      </c>
      <c r="P1355" s="24"/>
      <c r="Q1355" s="24">
        <f t="shared" si="6"/>
        <v>0</v>
      </c>
      <c r="R1355" s="24">
        <f t="shared" si="7"/>
        <v>0</v>
      </c>
      <c r="S1355" s="24"/>
      <c r="T1355" s="24"/>
    </row>
    <row r="1356">
      <c r="A1356" s="12" t="s">
        <v>1444</v>
      </c>
      <c r="F1356" s="19">
        <f>IFERROR(__xludf.DUMMYFUNCTION("SPLIT(A1352, "" |"")"),1350.0)</f>
        <v>1350</v>
      </c>
      <c r="G1356" s="19">
        <f>IFERROR(__xludf.DUMMYFUNCTION("""COMPUTED_VALUE"""),0.00222)</f>
        <v>0.00222</v>
      </c>
      <c r="H1356" s="19" t="str">
        <f>IFERROR(__xludf.DUMMYFUNCTION("""COMPUTED_VALUE"""),"-")</f>
        <v>-</v>
      </c>
      <c r="I1356" s="19">
        <f>IFERROR(__xludf.DUMMYFUNCTION("""COMPUTED_VALUE"""),0.00207)</f>
        <v>0.00207</v>
      </c>
      <c r="J1356" s="19">
        <f>IFERROR(__xludf.DUMMYFUNCTION("""COMPUTED_VALUE"""),0.04728)</f>
        <v>0.04728</v>
      </c>
      <c r="K1356" s="19" t="str">
        <f>IFERROR(__xludf.DUMMYFUNCTION("""COMPUTED_VALUE"""),"-")</f>
        <v>-</v>
      </c>
      <c r="L1356" s="19" t="str">
        <f>IFERROR(__xludf.DUMMYFUNCTION("""COMPUTED_VALUE"""),"-")</f>
        <v>-</v>
      </c>
      <c r="O1356" s="24">
        <f t="shared" si="4"/>
        <v>0</v>
      </c>
      <c r="P1356" s="24"/>
      <c r="Q1356" s="24">
        <f t="shared" si="6"/>
        <v>0</v>
      </c>
      <c r="R1356" s="24">
        <f t="shared" si="7"/>
        <v>0</v>
      </c>
      <c r="S1356" s="24"/>
      <c r="T1356" s="24"/>
    </row>
    <row r="1357">
      <c r="A1357" s="12" t="s">
        <v>1445</v>
      </c>
      <c r="F1357" s="19">
        <f>IFERROR(__xludf.DUMMYFUNCTION("SPLIT(A1353, "" |"")"),1351.0)</f>
        <v>1351</v>
      </c>
      <c r="G1357" s="19">
        <f>IFERROR(__xludf.DUMMYFUNCTION("""COMPUTED_VALUE"""),0.00221)</f>
        <v>0.00221</v>
      </c>
      <c r="H1357" s="19" t="str">
        <f>IFERROR(__xludf.DUMMYFUNCTION("""COMPUTED_VALUE"""),"-")</f>
        <v>-</v>
      </c>
      <c r="I1357" s="19">
        <f>IFERROR(__xludf.DUMMYFUNCTION("""COMPUTED_VALUE"""),0.00206)</f>
        <v>0.00206</v>
      </c>
      <c r="J1357" s="19">
        <f>IFERROR(__xludf.DUMMYFUNCTION("""COMPUTED_VALUE"""),0.04729)</f>
        <v>0.04729</v>
      </c>
      <c r="K1357" s="19" t="str">
        <f>IFERROR(__xludf.DUMMYFUNCTION("""COMPUTED_VALUE"""),"-")</f>
        <v>-</v>
      </c>
      <c r="L1357" s="19" t="str">
        <f>IFERROR(__xludf.DUMMYFUNCTION("""COMPUTED_VALUE"""),"-")</f>
        <v>-</v>
      </c>
      <c r="O1357" s="24">
        <f t="shared" si="4"/>
        <v>0</v>
      </c>
      <c r="P1357" s="24"/>
      <c r="Q1357" s="24">
        <f t="shared" si="6"/>
        <v>0</v>
      </c>
      <c r="R1357" s="24">
        <f t="shared" si="7"/>
        <v>0</v>
      </c>
      <c r="S1357" s="24"/>
      <c r="T1357" s="24"/>
    </row>
    <row r="1358">
      <c r="A1358" s="12" t="s">
        <v>1446</v>
      </c>
      <c r="F1358" s="19">
        <f>IFERROR(__xludf.DUMMYFUNCTION("SPLIT(A1354, "" |"")"),1352.0)</f>
        <v>1352</v>
      </c>
      <c r="G1358" s="19">
        <f>IFERROR(__xludf.DUMMYFUNCTION("""COMPUTED_VALUE"""),0.00168)</f>
        <v>0.00168</v>
      </c>
      <c r="H1358" s="19" t="str">
        <f>IFERROR(__xludf.DUMMYFUNCTION("""COMPUTED_VALUE"""),"-")</f>
        <v>-</v>
      </c>
      <c r="I1358" s="19">
        <f>IFERROR(__xludf.DUMMYFUNCTION("""COMPUTED_VALUE"""),0.0023)</f>
        <v>0.0023</v>
      </c>
      <c r="J1358" s="19">
        <f>IFERROR(__xludf.DUMMYFUNCTION("""COMPUTED_VALUE"""),0.0473)</f>
        <v>0.0473</v>
      </c>
      <c r="K1358" s="19" t="str">
        <f>IFERROR(__xludf.DUMMYFUNCTION("""COMPUTED_VALUE"""),"-")</f>
        <v>-</v>
      </c>
      <c r="L1358" s="19" t="str">
        <f>IFERROR(__xludf.DUMMYFUNCTION("""COMPUTED_VALUE"""),"-")</f>
        <v>-</v>
      </c>
      <c r="O1358" s="24">
        <f t="shared" si="4"/>
        <v>0</v>
      </c>
      <c r="P1358" s="24"/>
      <c r="Q1358" s="24">
        <f t="shared" si="6"/>
        <v>0</v>
      </c>
      <c r="R1358" s="24">
        <f t="shared" si="7"/>
        <v>0</v>
      </c>
      <c r="S1358" s="24"/>
      <c r="T1358" s="24"/>
    </row>
    <row r="1359">
      <c r="A1359" s="12" t="s">
        <v>1447</v>
      </c>
      <c r="F1359" s="19">
        <f>IFERROR(__xludf.DUMMYFUNCTION("SPLIT(A1355, "" |"")"),1353.0)</f>
        <v>1353</v>
      </c>
      <c r="G1359" s="19">
        <f>IFERROR(__xludf.DUMMYFUNCTION("""COMPUTED_VALUE"""),0.00229)</f>
        <v>0.00229</v>
      </c>
      <c r="H1359" s="19" t="str">
        <f>IFERROR(__xludf.DUMMYFUNCTION("""COMPUTED_VALUE"""),"-")</f>
        <v>-</v>
      </c>
      <c r="I1359" s="19">
        <f>IFERROR(__xludf.DUMMYFUNCTION("""COMPUTED_VALUE"""),0.00207)</f>
        <v>0.00207</v>
      </c>
      <c r="J1359" s="19">
        <f>IFERROR(__xludf.DUMMYFUNCTION("""COMPUTED_VALUE"""),0.04629)</f>
        <v>0.04629</v>
      </c>
      <c r="K1359" s="19" t="str">
        <f>IFERROR(__xludf.DUMMYFUNCTION("""COMPUTED_VALUE"""),"-")</f>
        <v>-</v>
      </c>
      <c r="L1359" s="19" t="str">
        <f>IFERROR(__xludf.DUMMYFUNCTION("""COMPUTED_VALUE"""),"-")</f>
        <v>-</v>
      </c>
      <c r="O1359" s="24">
        <f t="shared" si="4"/>
        <v>0</v>
      </c>
      <c r="P1359" s="24"/>
      <c r="Q1359" s="24">
        <f t="shared" si="6"/>
        <v>0</v>
      </c>
      <c r="R1359" s="24">
        <f t="shared" si="7"/>
        <v>0</v>
      </c>
      <c r="S1359" s="24"/>
      <c r="T1359" s="24"/>
    </row>
    <row r="1360">
      <c r="A1360" s="12" t="s">
        <v>1448</v>
      </c>
      <c r="F1360" s="19">
        <f>IFERROR(__xludf.DUMMYFUNCTION("SPLIT(A1356, "" |"")"),1354.0)</f>
        <v>1354</v>
      </c>
      <c r="G1360" s="19">
        <f>IFERROR(__xludf.DUMMYFUNCTION("""COMPUTED_VALUE"""),0.00227)</f>
        <v>0.00227</v>
      </c>
      <c r="H1360" s="19" t="str">
        <f>IFERROR(__xludf.DUMMYFUNCTION("""COMPUTED_VALUE"""),"-")</f>
        <v>-</v>
      </c>
      <c r="I1360" s="19">
        <f>IFERROR(__xludf.DUMMYFUNCTION("""COMPUTED_VALUE"""),0.00212)</f>
        <v>0.00212</v>
      </c>
      <c r="J1360" s="19">
        <f>IFERROR(__xludf.DUMMYFUNCTION("""COMPUTED_VALUE"""),0.04736)</f>
        <v>0.04736</v>
      </c>
      <c r="K1360" s="19" t="str">
        <f>IFERROR(__xludf.DUMMYFUNCTION("""COMPUTED_VALUE"""),"-")</f>
        <v>-</v>
      </c>
      <c r="L1360" s="19" t="str">
        <f>IFERROR(__xludf.DUMMYFUNCTION("""COMPUTED_VALUE"""),"-")</f>
        <v>-</v>
      </c>
      <c r="O1360" s="24">
        <f t="shared" si="4"/>
        <v>0</v>
      </c>
      <c r="P1360" s="24"/>
      <c r="Q1360" s="24">
        <f t="shared" si="6"/>
        <v>0</v>
      </c>
      <c r="R1360" s="24">
        <f t="shared" si="7"/>
        <v>0</v>
      </c>
      <c r="S1360" s="24"/>
      <c r="T1360" s="24"/>
    </row>
    <row r="1361">
      <c r="A1361" s="12" t="s">
        <v>1449</v>
      </c>
      <c r="F1361" s="19">
        <f>IFERROR(__xludf.DUMMYFUNCTION("SPLIT(A1357, "" |"")"),1355.0)</f>
        <v>1355</v>
      </c>
      <c r="G1361" s="19">
        <f>IFERROR(__xludf.DUMMYFUNCTION("""COMPUTED_VALUE"""),0.0023)</f>
        <v>0.0023</v>
      </c>
      <c r="H1361" s="19" t="str">
        <f>IFERROR(__xludf.DUMMYFUNCTION("""COMPUTED_VALUE"""),"-")</f>
        <v>-</v>
      </c>
      <c r="I1361" s="19">
        <f>IFERROR(__xludf.DUMMYFUNCTION("""COMPUTED_VALUE"""),0.00211)</f>
        <v>0.00211</v>
      </c>
      <c r="J1361" s="19">
        <f>IFERROR(__xludf.DUMMYFUNCTION("""COMPUTED_VALUE"""),0.0473)</f>
        <v>0.0473</v>
      </c>
      <c r="K1361" s="19" t="str">
        <f>IFERROR(__xludf.DUMMYFUNCTION("""COMPUTED_VALUE"""),"-")</f>
        <v>-</v>
      </c>
      <c r="L1361" s="19" t="str">
        <f>IFERROR(__xludf.DUMMYFUNCTION("""COMPUTED_VALUE"""),"-")</f>
        <v>-</v>
      </c>
      <c r="O1361" s="24">
        <f t="shared" si="4"/>
        <v>0</v>
      </c>
      <c r="P1361" s="24"/>
      <c r="Q1361" s="24">
        <f t="shared" si="6"/>
        <v>0</v>
      </c>
      <c r="R1361" s="24">
        <f t="shared" si="7"/>
        <v>0</v>
      </c>
      <c r="S1361" s="24"/>
      <c r="T1361" s="24"/>
    </row>
    <row r="1362">
      <c r="A1362" s="12" t="s">
        <v>1450</v>
      </c>
      <c r="F1362" s="19">
        <f>IFERROR(__xludf.DUMMYFUNCTION("SPLIT(A1358, "" |"")"),1356.0)</f>
        <v>1356</v>
      </c>
      <c r="G1362" s="19">
        <f>IFERROR(__xludf.DUMMYFUNCTION("""COMPUTED_VALUE"""),0.0023)</f>
        <v>0.0023</v>
      </c>
      <c r="H1362" s="19" t="str">
        <f>IFERROR(__xludf.DUMMYFUNCTION("""COMPUTED_VALUE"""),"-")</f>
        <v>-</v>
      </c>
      <c r="I1362" s="19">
        <f>IFERROR(__xludf.DUMMYFUNCTION("""COMPUTED_VALUE"""),0.00208)</f>
        <v>0.00208</v>
      </c>
      <c r="J1362" s="19">
        <f>IFERROR(__xludf.DUMMYFUNCTION("""COMPUTED_VALUE"""),0.04147)</f>
        <v>0.04147</v>
      </c>
      <c r="K1362" s="19" t="str">
        <f>IFERROR(__xludf.DUMMYFUNCTION("""COMPUTED_VALUE"""),"-")</f>
        <v>-</v>
      </c>
      <c r="L1362" s="19" t="str">
        <f>IFERROR(__xludf.DUMMYFUNCTION("""COMPUTED_VALUE"""),"-")</f>
        <v>-</v>
      </c>
      <c r="O1362" s="24">
        <f t="shared" si="4"/>
        <v>0</v>
      </c>
      <c r="P1362" s="24"/>
      <c r="Q1362" s="24">
        <f t="shared" si="6"/>
        <v>0</v>
      </c>
      <c r="R1362" s="24">
        <f t="shared" si="7"/>
        <v>1</v>
      </c>
      <c r="S1362" s="24"/>
      <c r="T1362" s="24"/>
    </row>
    <row r="1363">
      <c r="A1363" s="12" t="s">
        <v>1451</v>
      </c>
      <c r="F1363" s="19">
        <f>IFERROR(__xludf.DUMMYFUNCTION("SPLIT(A1359, "" |"")"),1357.0)</f>
        <v>1357</v>
      </c>
      <c r="G1363" s="19">
        <f>IFERROR(__xludf.DUMMYFUNCTION("""COMPUTED_VALUE"""),0.00225)</f>
        <v>0.00225</v>
      </c>
      <c r="H1363" s="19" t="str">
        <f>IFERROR(__xludf.DUMMYFUNCTION("""COMPUTED_VALUE"""),"-")</f>
        <v>-</v>
      </c>
      <c r="I1363" s="19">
        <f>IFERROR(__xludf.DUMMYFUNCTION("""COMPUTED_VALUE"""),0.0021)</f>
        <v>0.0021</v>
      </c>
      <c r="J1363" s="19">
        <f>IFERROR(__xludf.DUMMYFUNCTION("""COMPUTED_VALUE"""),0.04727)</f>
        <v>0.04727</v>
      </c>
      <c r="K1363" s="19" t="str">
        <f>IFERROR(__xludf.DUMMYFUNCTION("""COMPUTED_VALUE"""),"-")</f>
        <v>-</v>
      </c>
      <c r="L1363" s="19" t="str">
        <f>IFERROR(__xludf.DUMMYFUNCTION("""COMPUTED_VALUE"""),"-")</f>
        <v>-</v>
      </c>
      <c r="O1363" s="24">
        <f t="shared" si="4"/>
        <v>0</v>
      </c>
      <c r="P1363" s="24"/>
      <c r="Q1363" s="24">
        <f t="shared" si="6"/>
        <v>0</v>
      </c>
      <c r="R1363" s="24">
        <f t="shared" si="7"/>
        <v>0</v>
      </c>
      <c r="S1363" s="24"/>
      <c r="T1363" s="24"/>
    </row>
    <row r="1364">
      <c r="A1364" s="12" t="s">
        <v>1452</v>
      </c>
      <c r="F1364" s="19">
        <f>IFERROR(__xludf.DUMMYFUNCTION("SPLIT(A1360, "" |"")"),1358.0)</f>
        <v>1358</v>
      </c>
      <c r="G1364" s="19">
        <f>IFERROR(__xludf.DUMMYFUNCTION("""COMPUTED_VALUE"""),0.00226)</f>
        <v>0.00226</v>
      </c>
      <c r="H1364" s="19" t="str">
        <f>IFERROR(__xludf.DUMMYFUNCTION("""COMPUTED_VALUE"""),"-")</f>
        <v>-</v>
      </c>
      <c r="I1364" s="19">
        <f>IFERROR(__xludf.DUMMYFUNCTION("""COMPUTED_VALUE"""),0.00209)</f>
        <v>0.00209</v>
      </c>
      <c r="J1364" s="19">
        <f>IFERROR(__xludf.DUMMYFUNCTION("""COMPUTED_VALUE"""),0.04729)</f>
        <v>0.04729</v>
      </c>
      <c r="K1364" s="19" t="str">
        <f>IFERROR(__xludf.DUMMYFUNCTION("""COMPUTED_VALUE"""),"-")</f>
        <v>-</v>
      </c>
      <c r="L1364" s="19" t="str">
        <f>IFERROR(__xludf.DUMMYFUNCTION("""COMPUTED_VALUE"""),"-")</f>
        <v>-</v>
      </c>
      <c r="O1364" s="24">
        <f t="shared" si="4"/>
        <v>0</v>
      </c>
      <c r="P1364" s="24"/>
      <c r="Q1364" s="24">
        <f t="shared" si="6"/>
        <v>0</v>
      </c>
      <c r="R1364" s="24">
        <f t="shared" si="7"/>
        <v>0</v>
      </c>
      <c r="S1364" s="24"/>
      <c r="T1364" s="24"/>
    </row>
    <row r="1365">
      <c r="A1365" s="12" t="s">
        <v>1453</v>
      </c>
      <c r="F1365" s="19">
        <f>IFERROR(__xludf.DUMMYFUNCTION("SPLIT(A1361, "" |"")"),1359.0)</f>
        <v>1359</v>
      </c>
      <c r="G1365" s="19">
        <f>IFERROR(__xludf.DUMMYFUNCTION("""COMPUTED_VALUE"""),0.00225)</f>
        <v>0.00225</v>
      </c>
      <c r="H1365" s="19" t="str">
        <f>IFERROR(__xludf.DUMMYFUNCTION("""COMPUTED_VALUE"""),"-")</f>
        <v>-</v>
      </c>
      <c r="I1365" s="19">
        <f>IFERROR(__xludf.DUMMYFUNCTION("""COMPUTED_VALUE"""),0.00208)</f>
        <v>0.00208</v>
      </c>
      <c r="J1365" s="19">
        <f>IFERROR(__xludf.DUMMYFUNCTION("""COMPUTED_VALUE"""),0.04729)</f>
        <v>0.04729</v>
      </c>
      <c r="K1365" s="19" t="str">
        <f>IFERROR(__xludf.DUMMYFUNCTION("""COMPUTED_VALUE"""),"-")</f>
        <v>-</v>
      </c>
      <c r="L1365" s="19" t="str">
        <f>IFERROR(__xludf.DUMMYFUNCTION("""COMPUTED_VALUE"""),"-")</f>
        <v>-</v>
      </c>
      <c r="O1365" s="24">
        <f t="shared" si="4"/>
        <v>0</v>
      </c>
      <c r="P1365" s="24"/>
      <c r="Q1365" s="24">
        <f t="shared" si="6"/>
        <v>0</v>
      </c>
      <c r="R1365" s="24">
        <f t="shared" si="7"/>
        <v>0</v>
      </c>
      <c r="S1365" s="24"/>
      <c r="T1365" s="24"/>
    </row>
    <row r="1366">
      <c r="A1366" s="12" t="s">
        <v>1454</v>
      </c>
      <c r="F1366" s="19">
        <f>IFERROR(__xludf.DUMMYFUNCTION("SPLIT(A1362, "" |"")"),1360.0)</f>
        <v>1360</v>
      </c>
      <c r="G1366" s="19">
        <f>IFERROR(__xludf.DUMMYFUNCTION("""COMPUTED_VALUE"""),0.00223)</f>
        <v>0.00223</v>
      </c>
      <c r="H1366" s="19" t="str">
        <f>IFERROR(__xludf.DUMMYFUNCTION("""COMPUTED_VALUE"""),"-")</f>
        <v>-</v>
      </c>
      <c r="I1366" s="19">
        <f>IFERROR(__xludf.DUMMYFUNCTION("""COMPUTED_VALUE"""),0.00207)</f>
        <v>0.00207</v>
      </c>
      <c r="J1366" s="19">
        <f>IFERROR(__xludf.DUMMYFUNCTION("""COMPUTED_VALUE"""),0.04725)</f>
        <v>0.04725</v>
      </c>
      <c r="K1366" s="19" t="str">
        <f>IFERROR(__xludf.DUMMYFUNCTION("""COMPUTED_VALUE"""),"-")</f>
        <v>-</v>
      </c>
      <c r="L1366" s="19" t="str">
        <f>IFERROR(__xludf.DUMMYFUNCTION("""COMPUTED_VALUE"""),"-")</f>
        <v>-</v>
      </c>
      <c r="O1366" s="24">
        <f t="shared" si="4"/>
        <v>0</v>
      </c>
      <c r="P1366" s="24"/>
      <c r="Q1366" s="24">
        <f t="shared" si="6"/>
        <v>0</v>
      </c>
      <c r="R1366" s="24">
        <f t="shared" si="7"/>
        <v>0</v>
      </c>
      <c r="S1366" s="24"/>
      <c r="T1366" s="24"/>
    </row>
    <row r="1367">
      <c r="A1367" s="12" t="s">
        <v>1455</v>
      </c>
      <c r="F1367" s="19">
        <f>IFERROR(__xludf.DUMMYFUNCTION("SPLIT(A1363, "" |"")"),1361.0)</f>
        <v>1361</v>
      </c>
      <c r="G1367" s="19">
        <f>IFERROR(__xludf.DUMMYFUNCTION("""COMPUTED_VALUE"""),0.00223)</f>
        <v>0.00223</v>
      </c>
      <c r="H1367" s="19" t="str">
        <f>IFERROR(__xludf.DUMMYFUNCTION("""COMPUTED_VALUE"""),"-")</f>
        <v>-</v>
      </c>
      <c r="I1367" s="19">
        <f>IFERROR(__xludf.DUMMYFUNCTION("""COMPUTED_VALUE"""),0.00208)</f>
        <v>0.00208</v>
      </c>
      <c r="J1367" s="19">
        <f>IFERROR(__xludf.DUMMYFUNCTION("""COMPUTED_VALUE"""),0.04731)</f>
        <v>0.04731</v>
      </c>
      <c r="K1367" s="19" t="str">
        <f>IFERROR(__xludf.DUMMYFUNCTION("""COMPUTED_VALUE"""),"-")</f>
        <v>-</v>
      </c>
      <c r="L1367" s="19" t="str">
        <f>IFERROR(__xludf.DUMMYFUNCTION("""COMPUTED_VALUE"""),"-")</f>
        <v>-</v>
      </c>
      <c r="O1367" s="24">
        <f t="shared" si="4"/>
        <v>0</v>
      </c>
      <c r="P1367" s="24"/>
      <c r="Q1367" s="24">
        <f t="shared" si="6"/>
        <v>0</v>
      </c>
      <c r="R1367" s="24">
        <f t="shared" si="7"/>
        <v>0</v>
      </c>
      <c r="S1367" s="24"/>
      <c r="T1367" s="24"/>
    </row>
    <row r="1368">
      <c r="A1368" s="12" t="s">
        <v>1456</v>
      </c>
      <c r="F1368" s="19">
        <f>IFERROR(__xludf.DUMMYFUNCTION("SPLIT(A1364, "" |"")"),1362.0)</f>
        <v>1362</v>
      </c>
      <c r="G1368" s="19">
        <f>IFERROR(__xludf.DUMMYFUNCTION("""COMPUTED_VALUE"""),0.00229)</f>
        <v>0.00229</v>
      </c>
      <c r="H1368" s="19" t="str">
        <f>IFERROR(__xludf.DUMMYFUNCTION("""COMPUTED_VALUE"""),"-")</f>
        <v>-</v>
      </c>
      <c r="I1368" s="19">
        <f>IFERROR(__xludf.DUMMYFUNCTION("""COMPUTED_VALUE"""),0.0021)</f>
        <v>0.0021</v>
      </c>
      <c r="J1368" s="19">
        <f>IFERROR(__xludf.DUMMYFUNCTION("""COMPUTED_VALUE"""),0.04729)</f>
        <v>0.04729</v>
      </c>
      <c r="K1368" s="19" t="str">
        <f>IFERROR(__xludf.DUMMYFUNCTION("""COMPUTED_VALUE"""),"-")</f>
        <v>-</v>
      </c>
      <c r="L1368" s="19" t="str">
        <f>IFERROR(__xludf.DUMMYFUNCTION("""COMPUTED_VALUE"""),"-")</f>
        <v>-</v>
      </c>
      <c r="O1368" s="24">
        <f t="shared" si="4"/>
        <v>0</v>
      </c>
      <c r="P1368" s="24"/>
      <c r="Q1368" s="24">
        <f t="shared" si="6"/>
        <v>0</v>
      </c>
      <c r="R1368" s="24">
        <f t="shared" si="7"/>
        <v>0</v>
      </c>
      <c r="S1368" s="24"/>
      <c r="T1368" s="24"/>
    </row>
    <row r="1369">
      <c r="A1369" s="12" t="s">
        <v>1457</v>
      </c>
      <c r="F1369" s="19">
        <f>IFERROR(__xludf.DUMMYFUNCTION("SPLIT(A1365, "" |"")"),1363.0)</f>
        <v>1363</v>
      </c>
      <c r="G1369" s="19">
        <f>IFERROR(__xludf.DUMMYFUNCTION("""COMPUTED_VALUE"""),0.00224)</f>
        <v>0.00224</v>
      </c>
      <c r="H1369" s="19" t="str">
        <f>IFERROR(__xludf.DUMMYFUNCTION("""COMPUTED_VALUE"""),"-")</f>
        <v>-</v>
      </c>
      <c r="I1369" s="19">
        <f>IFERROR(__xludf.DUMMYFUNCTION("""COMPUTED_VALUE"""),0.00209)</f>
        <v>0.00209</v>
      </c>
      <c r="J1369" s="19">
        <f>IFERROR(__xludf.DUMMYFUNCTION("""COMPUTED_VALUE"""),0.04731)</f>
        <v>0.04731</v>
      </c>
      <c r="K1369" s="19" t="str">
        <f>IFERROR(__xludf.DUMMYFUNCTION("""COMPUTED_VALUE"""),"-")</f>
        <v>-</v>
      </c>
      <c r="L1369" s="19" t="str">
        <f>IFERROR(__xludf.DUMMYFUNCTION("""COMPUTED_VALUE"""),"-")</f>
        <v>-</v>
      </c>
      <c r="O1369" s="24">
        <f t="shared" si="4"/>
        <v>0</v>
      </c>
      <c r="P1369" s="24"/>
      <c r="Q1369" s="24">
        <f t="shared" si="6"/>
        <v>0</v>
      </c>
      <c r="R1369" s="24">
        <f t="shared" si="7"/>
        <v>0</v>
      </c>
      <c r="S1369" s="24"/>
      <c r="T1369" s="24"/>
    </row>
    <row r="1370">
      <c r="A1370" s="12" t="s">
        <v>1458</v>
      </c>
      <c r="F1370" s="19">
        <f>IFERROR(__xludf.DUMMYFUNCTION("SPLIT(A1366, "" |"")"),1364.0)</f>
        <v>1364</v>
      </c>
      <c r="G1370" s="19">
        <f>IFERROR(__xludf.DUMMYFUNCTION("""COMPUTED_VALUE"""),0.00225)</f>
        <v>0.00225</v>
      </c>
      <c r="H1370" s="19" t="str">
        <f>IFERROR(__xludf.DUMMYFUNCTION("""COMPUTED_VALUE"""),"-")</f>
        <v>-</v>
      </c>
      <c r="I1370" s="19">
        <f>IFERROR(__xludf.DUMMYFUNCTION("""COMPUTED_VALUE"""),0.0021)</f>
        <v>0.0021</v>
      </c>
      <c r="J1370" s="19">
        <f>IFERROR(__xludf.DUMMYFUNCTION("""COMPUTED_VALUE"""),0.0473)</f>
        <v>0.0473</v>
      </c>
      <c r="K1370" s="19" t="str">
        <f>IFERROR(__xludf.DUMMYFUNCTION("""COMPUTED_VALUE"""),"-")</f>
        <v>-</v>
      </c>
      <c r="L1370" s="19" t="str">
        <f>IFERROR(__xludf.DUMMYFUNCTION("""COMPUTED_VALUE"""),"-")</f>
        <v>-</v>
      </c>
      <c r="O1370" s="24">
        <f t="shared" si="4"/>
        <v>0</v>
      </c>
      <c r="P1370" s="24"/>
      <c r="Q1370" s="24">
        <f t="shared" si="6"/>
        <v>0</v>
      </c>
      <c r="R1370" s="24">
        <f t="shared" si="7"/>
        <v>0</v>
      </c>
      <c r="S1370" s="24"/>
      <c r="T1370" s="24"/>
    </row>
    <row r="1371">
      <c r="A1371" s="12" t="s">
        <v>1459</v>
      </c>
      <c r="F1371" s="19">
        <f>IFERROR(__xludf.DUMMYFUNCTION("SPLIT(A1367, "" |"")"),1365.0)</f>
        <v>1365</v>
      </c>
      <c r="G1371" s="19">
        <f>IFERROR(__xludf.DUMMYFUNCTION("""COMPUTED_VALUE"""),0.00226)</f>
        <v>0.00226</v>
      </c>
      <c r="H1371" s="19" t="str">
        <f>IFERROR(__xludf.DUMMYFUNCTION("""COMPUTED_VALUE"""),"-")</f>
        <v>-</v>
      </c>
      <c r="I1371" s="19">
        <f>IFERROR(__xludf.DUMMYFUNCTION("""COMPUTED_VALUE"""),0.0021)</f>
        <v>0.0021</v>
      </c>
      <c r="J1371" s="19">
        <f>IFERROR(__xludf.DUMMYFUNCTION("""COMPUTED_VALUE"""),0.04725)</f>
        <v>0.04725</v>
      </c>
      <c r="K1371" s="19" t="str">
        <f>IFERROR(__xludf.DUMMYFUNCTION("""COMPUTED_VALUE"""),"-")</f>
        <v>-</v>
      </c>
      <c r="L1371" s="19" t="str">
        <f>IFERROR(__xludf.DUMMYFUNCTION("""COMPUTED_VALUE"""),"-")</f>
        <v>-</v>
      </c>
      <c r="O1371" s="24">
        <f t="shared" si="4"/>
        <v>0</v>
      </c>
      <c r="P1371" s="24"/>
      <c r="Q1371" s="24">
        <f t="shared" si="6"/>
        <v>0</v>
      </c>
      <c r="R1371" s="24">
        <f t="shared" si="7"/>
        <v>0</v>
      </c>
      <c r="S1371" s="24"/>
      <c r="T1371" s="24"/>
    </row>
    <row r="1372">
      <c r="A1372" s="12" t="s">
        <v>1460</v>
      </c>
      <c r="F1372" s="19">
        <f>IFERROR(__xludf.DUMMYFUNCTION("SPLIT(A1368, "" |"")"),1366.0)</f>
        <v>1366</v>
      </c>
      <c r="G1372" s="19">
        <f>IFERROR(__xludf.DUMMYFUNCTION("""COMPUTED_VALUE"""),0.00228)</f>
        <v>0.00228</v>
      </c>
      <c r="H1372" s="19" t="str">
        <f>IFERROR(__xludf.DUMMYFUNCTION("""COMPUTED_VALUE"""),"-")</f>
        <v>-</v>
      </c>
      <c r="I1372" s="19">
        <f>IFERROR(__xludf.DUMMYFUNCTION("""COMPUTED_VALUE"""),0.0021)</f>
        <v>0.0021</v>
      </c>
      <c r="J1372" s="19">
        <f>IFERROR(__xludf.DUMMYFUNCTION("""COMPUTED_VALUE"""),0.04729)</f>
        <v>0.04729</v>
      </c>
      <c r="K1372" s="19" t="str">
        <f>IFERROR(__xludf.DUMMYFUNCTION("""COMPUTED_VALUE"""),"-")</f>
        <v>-</v>
      </c>
      <c r="L1372" s="19" t="str">
        <f>IFERROR(__xludf.DUMMYFUNCTION("""COMPUTED_VALUE"""),"-")</f>
        <v>-</v>
      </c>
      <c r="O1372" s="24">
        <f t="shared" si="4"/>
        <v>0</v>
      </c>
      <c r="P1372" s="24"/>
      <c r="Q1372" s="24">
        <f t="shared" si="6"/>
        <v>0</v>
      </c>
      <c r="R1372" s="24">
        <f t="shared" si="7"/>
        <v>0</v>
      </c>
      <c r="S1372" s="24"/>
      <c r="T1372" s="24"/>
    </row>
    <row r="1373">
      <c r="A1373" s="12" t="s">
        <v>1461</v>
      </c>
      <c r="F1373" s="19">
        <f>IFERROR(__xludf.DUMMYFUNCTION("SPLIT(A1369, "" |"")"),1367.0)</f>
        <v>1367</v>
      </c>
      <c r="G1373" s="19">
        <f>IFERROR(__xludf.DUMMYFUNCTION("""COMPUTED_VALUE"""),0.00225)</f>
        <v>0.00225</v>
      </c>
      <c r="H1373" s="19" t="str">
        <f>IFERROR(__xludf.DUMMYFUNCTION("""COMPUTED_VALUE"""),"-")</f>
        <v>-</v>
      </c>
      <c r="I1373" s="19">
        <f>IFERROR(__xludf.DUMMYFUNCTION("""COMPUTED_VALUE"""),0.00211)</f>
        <v>0.00211</v>
      </c>
      <c r="J1373" s="19">
        <f>IFERROR(__xludf.DUMMYFUNCTION("""COMPUTED_VALUE"""),0.04722)</f>
        <v>0.04722</v>
      </c>
      <c r="K1373" s="19" t="str">
        <f>IFERROR(__xludf.DUMMYFUNCTION("""COMPUTED_VALUE"""),"-")</f>
        <v>-</v>
      </c>
      <c r="L1373" s="19" t="str">
        <f>IFERROR(__xludf.DUMMYFUNCTION("""COMPUTED_VALUE"""),"-")</f>
        <v>-</v>
      </c>
      <c r="O1373" s="24">
        <f t="shared" si="4"/>
        <v>0</v>
      </c>
      <c r="P1373" s="24"/>
      <c r="Q1373" s="24">
        <f t="shared" si="6"/>
        <v>0</v>
      </c>
      <c r="R1373" s="24">
        <f t="shared" si="7"/>
        <v>0</v>
      </c>
      <c r="S1373" s="24"/>
      <c r="T1373" s="24"/>
    </row>
    <row r="1374">
      <c r="A1374" s="12" t="s">
        <v>1462</v>
      </c>
      <c r="F1374" s="19">
        <f>IFERROR(__xludf.DUMMYFUNCTION("SPLIT(A1370, "" |"")"),1368.0)</f>
        <v>1368</v>
      </c>
      <c r="G1374" s="19">
        <f>IFERROR(__xludf.DUMMYFUNCTION("""COMPUTED_VALUE"""),0.00224)</f>
        <v>0.00224</v>
      </c>
      <c r="H1374" s="19" t="str">
        <f>IFERROR(__xludf.DUMMYFUNCTION("""COMPUTED_VALUE"""),"-")</f>
        <v>-</v>
      </c>
      <c r="I1374" s="19">
        <f>IFERROR(__xludf.DUMMYFUNCTION("""COMPUTED_VALUE"""),0.0021)</f>
        <v>0.0021</v>
      </c>
      <c r="J1374" s="19">
        <f>IFERROR(__xludf.DUMMYFUNCTION("""COMPUTED_VALUE"""),0.04099)</f>
        <v>0.04099</v>
      </c>
      <c r="K1374" s="19" t="str">
        <f>IFERROR(__xludf.DUMMYFUNCTION("""COMPUTED_VALUE"""),"-")</f>
        <v>-</v>
      </c>
      <c r="L1374" s="19" t="str">
        <f>IFERROR(__xludf.DUMMYFUNCTION("""COMPUTED_VALUE"""),"-")</f>
        <v>-</v>
      </c>
      <c r="O1374" s="24">
        <f t="shared" si="4"/>
        <v>0</v>
      </c>
      <c r="P1374" s="24"/>
      <c r="Q1374" s="24">
        <f t="shared" si="6"/>
        <v>0</v>
      </c>
      <c r="R1374" s="24">
        <f t="shared" si="7"/>
        <v>1</v>
      </c>
      <c r="S1374" s="24"/>
      <c r="T1374" s="24"/>
    </row>
    <row r="1375">
      <c r="A1375" s="12" t="s">
        <v>1463</v>
      </c>
      <c r="F1375" s="19">
        <f>IFERROR(__xludf.DUMMYFUNCTION("SPLIT(A1371, "" |"")"),1369.0)</f>
        <v>1369</v>
      </c>
      <c r="G1375" s="19">
        <f>IFERROR(__xludf.DUMMYFUNCTION("""COMPUTED_VALUE"""),0.0023)</f>
        <v>0.0023</v>
      </c>
      <c r="H1375" s="19" t="str">
        <f>IFERROR(__xludf.DUMMYFUNCTION("""COMPUTED_VALUE"""),"-")</f>
        <v>-</v>
      </c>
      <c r="I1375" s="19">
        <f>IFERROR(__xludf.DUMMYFUNCTION("""COMPUTED_VALUE"""),0.00208)</f>
        <v>0.00208</v>
      </c>
      <c r="J1375" s="19">
        <f>IFERROR(__xludf.DUMMYFUNCTION("""COMPUTED_VALUE"""),0.04727)</f>
        <v>0.04727</v>
      </c>
      <c r="K1375" s="19" t="str">
        <f>IFERROR(__xludf.DUMMYFUNCTION("""COMPUTED_VALUE"""),"-")</f>
        <v>-</v>
      </c>
      <c r="L1375" s="19" t="str">
        <f>IFERROR(__xludf.DUMMYFUNCTION("""COMPUTED_VALUE"""),"-")</f>
        <v>-</v>
      </c>
      <c r="O1375" s="24">
        <f t="shared" si="4"/>
        <v>0</v>
      </c>
      <c r="P1375" s="24"/>
      <c r="Q1375" s="24">
        <f t="shared" si="6"/>
        <v>0</v>
      </c>
      <c r="R1375" s="24">
        <f t="shared" si="7"/>
        <v>0</v>
      </c>
      <c r="S1375" s="24"/>
      <c r="T1375" s="24"/>
    </row>
    <row r="1376">
      <c r="A1376" s="12" t="s">
        <v>1464</v>
      </c>
      <c r="F1376" s="19">
        <f>IFERROR(__xludf.DUMMYFUNCTION("SPLIT(A1372, "" |"")"),1370.0)</f>
        <v>1370</v>
      </c>
      <c r="G1376" s="19">
        <f>IFERROR(__xludf.DUMMYFUNCTION("""COMPUTED_VALUE"""),0.00227)</f>
        <v>0.00227</v>
      </c>
      <c r="H1376" s="19" t="str">
        <f>IFERROR(__xludf.DUMMYFUNCTION("""COMPUTED_VALUE"""),"-")</f>
        <v>-</v>
      </c>
      <c r="I1376" s="19">
        <f>IFERROR(__xludf.DUMMYFUNCTION("""COMPUTED_VALUE"""),0.00211)</f>
        <v>0.00211</v>
      </c>
      <c r="J1376" s="19">
        <f>IFERROR(__xludf.DUMMYFUNCTION("""COMPUTED_VALUE"""),0.04733)</f>
        <v>0.04733</v>
      </c>
      <c r="K1376" s="19" t="str">
        <f>IFERROR(__xludf.DUMMYFUNCTION("""COMPUTED_VALUE"""),"-")</f>
        <v>-</v>
      </c>
      <c r="L1376" s="19" t="str">
        <f>IFERROR(__xludf.DUMMYFUNCTION("""COMPUTED_VALUE"""),"-")</f>
        <v>-</v>
      </c>
      <c r="O1376" s="24">
        <f t="shared" si="4"/>
        <v>0</v>
      </c>
      <c r="P1376" s="24"/>
      <c r="Q1376" s="24">
        <f t="shared" si="6"/>
        <v>0</v>
      </c>
      <c r="R1376" s="24">
        <f t="shared" si="7"/>
        <v>0</v>
      </c>
      <c r="S1376" s="24"/>
      <c r="T1376" s="24"/>
    </row>
    <row r="1377">
      <c r="A1377" s="12" t="s">
        <v>1465</v>
      </c>
      <c r="F1377" s="19">
        <f>IFERROR(__xludf.DUMMYFUNCTION("SPLIT(A1373, "" |"")"),1371.0)</f>
        <v>1371</v>
      </c>
      <c r="G1377" s="19">
        <f>IFERROR(__xludf.DUMMYFUNCTION("""COMPUTED_VALUE"""),0.00232)</f>
        <v>0.00232</v>
      </c>
      <c r="H1377" s="19" t="str">
        <f>IFERROR(__xludf.DUMMYFUNCTION("""COMPUTED_VALUE"""),"-")</f>
        <v>-</v>
      </c>
      <c r="I1377" s="19">
        <f>IFERROR(__xludf.DUMMYFUNCTION("""COMPUTED_VALUE"""),0.00211)</f>
        <v>0.00211</v>
      </c>
      <c r="J1377" s="19">
        <f>IFERROR(__xludf.DUMMYFUNCTION("""COMPUTED_VALUE"""),0.04736)</f>
        <v>0.04736</v>
      </c>
      <c r="K1377" s="19" t="str">
        <f>IFERROR(__xludf.DUMMYFUNCTION("""COMPUTED_VALUE"""),"-")</f>
        <v>-</v>
      </c>
      <c r="L1377" s="19" t="str">
        <f>IFERROR(__xludf.DUMMYFUNCTION("""COMPUTED_VALUE"""),"-")</f>
        <v>-</v>
      </c>
      <c r="O1377" s="24">
        <f t="shared" si="4"/>
        <v>0</v>
      </c>
      <c r="P1377" s="24"/>
      <c r="Q1377" s="24">
        <f t="shared" si="6"/>
        <v>0</v>
      </c>
      <c r="R1377" s="24">
        <f t="shared" si="7"/>
        <v>0</v>
      </c>
      <c r="S1377" s="24"/>
      <c r="T1377" s="24"/>
    </row>
    <row r="1378">
      <c r="A1378" s="12" t="s">
        <v>1466</v>
      </c>
      <c r="F1378" s="19">
        <f>IFERROR(__xludf.DUMMYFUNCTION("SPLIT(A1374, "" |"")"),1372.0)</f>
        <v>1372</v>
      </c>
      <c r="G1378" s="19">
        <f>IFERROR(__xludf.DUMMYFUNCTION("""COMPUTED_VALUE"""),0.00228)</f>
        <v>0.00228</v>
      </c>
      <c r="H1378" s="19" t="str">
        <f>IFERROR(__xludf.DUMMYFUNCTION("""COMPUTED_VALUE"""),"-")</f>
        <v>-</v>
      </c>
      <c r="I1378" s="19">
        <f>IFERROR(__xludf.DUMMYFUNCTION("""COMPUTED_VALUE"""),0.00209)</f>
        <v>0.00209</v>
      </c>
      <c r="J1378" s="19">
        <f>IFERROR(__xludf.DUMMYFUNCTION("""COMPUTED_VALUE"""),0.04732)</f>
        <v>0.04732</v>
      </c>
      <c r="K1378" s="19" t="str">
        <f>IFERROR(__xludf.DUMMYFUNCTION("""COMPUTED_VALUE"""),"-")</f>
        <v>-</v>
      </c>
      <c r="L1378" s="19" t="str">
        <f>IFERROR(__xludf.DUMMYFUNCTION("""COMPUTED_VALUE"""),"-")</f>
        <v>-</v>
      </c>
      <c r="O1378" s="24">
        <f t="shared" si="4"/>
        <v>0</v>
      </c>
      <c r="P1378" s="24"/>
      <c r="Q1378" s="24">
        <f t="shared" si="6"/>
        <v>0</v>
      </c>
      <c r="R1378" s="24">
        <f t="shared" si="7"/>
        <v>0</v>
      </c>
      <c r="S1378" s="24"/>
      <c r="T1378" s="24"/>
    </row>
    <row r="1379">
      <c r="A1379" s="12" t="s">
        <v>1467</v>
      </c>
      <c r="F1379" s="19">
        <f>IFERROR(__xludf.DUMMYFUNCTION("SPLIT(A1375, "" |"")"),1373.0)</f>
        <v>1373</v>
      </c>
      <c r="G1379" s="19">
        <f>IFERROR(__xludf.DUMMYFUNCTION("""COMPUTED_VALUE"""),0.00229)</f>
        <v>0.00229</v>
      </c>
      <c r="H1379" s="19" t="str">
        <f>IFERROR(__xludf.DUMMYFUNCTION("""COMPUTED_VALUE"""),"-")</f>
        <v>-</v>
      </c>
      <c r="I1379" s="19">
        <f>IFERROR(__xludf.DUMMYFUNCTION("""COMPUTED_VALUE"""),0.00208)</f>
        <v>0.00208</v>
      </c>
      <c r="J1379" s="19">
        <f>IFERROR(__xludf.DUMMYFUNCTION("""COMPUTED_VALUE"""),0.04733)</f>
        <v>0.04733</v>
      </c>
      <c r="K1379" s="19" t="str">
        <f>IFERROR(__xludf.DUMMYFUNCTION("""COMPUTED_VALUE"""),"-")</f>
        <v>-</v>
      </c>
      <c r="L1379" s="19" t="str">
        <f>IFERROR(__xludf.DUMMYFUNCTION("""COMPUTED_VALUE"""),"-")</f>
        <v>-</v>
      </c>
      <c r="O1379" s="24">
        <f t="shared" si="4"/>
        <v>0</v>
      </c>
      <c r="P1379" s="24"/>
      <c r="Q1379" s="24">
        <f t="shared" si="6"/>
        <v>0</v>
      </c>
      <c r="R1379" s="24">
        <f t="shared" si="7"/>
        <v>0</v>
      </c>
      <c r="S1379" s="24"/>
      <c r="T1379" s="24"/>
    </row>
    <row r="1380">
      <c r="A1380" s="12" t="s">
        <v>1468</v>
      </c>
      <c r="F1380" s="19">
        <f>IFERROR(__xludf.DUMMYFUNCTION("SPLIT(A1376, "" |"")"),1374.0)</f>
        <v>1374</v>
      </c>
      <c r="G1380" s="19">
        <f>IFERROR(__xludf.DUMMYFUNCTION("""COMPUTED_VALUE"""),0.00229)</f>
        <v>0.00229</v>
      </c>
      <c r="H1380" s="19" t="str">
        <f>IFERROR(__xludf.DUMMYFUNCTION("""COMPUTED_VALUE"""),"-")</f>
        <v>-</v>
      </c>
      <c r="I1380" s="19">
        <f>IFERROR(__xludf.DUMMYFUNCTION("""COMPUTED_VALUE"""),0.00207)</f>
        <v>0.00207</v>
      </c>
      <c r="J1380" s="19">
        <f>IFERROR(__xludf.DUMMYFUNCTION("""COMPUTED_VALUE"""),0.04723)</f>
        <v>0.04723</v>
      </c>
      <c r="K1380" s="19" t="str">
        <f>IFERROR(__xludf.DUMMYFUNCTION("""COMPUTED_VALUE"""),"-")</f>
        <v>-</v>
      </c>
      <c r="L1380" s="19" t="str">
        <f>IFERROR(__xludf.DUMMYFUNCTION("""COMPUTED_VALUE"""),"-")</f>
        <v>-</v>
      </c>
      <c r="O1380" s="24">
        <f t="shared" si="4"/>
        <v>0</v>
      </c>
      <c r="P1380" s="24"/>
      <c r="Q1380" s="24">
        <f t="shared" si="6"/>
        <v>0</v>
      </c>
      <c r="R1380" s="24">
        <f t="shared" si="7"/>
        <v>0</v>
      </c>
      <c r="S1380" s="24"/>
      <c r="T1380" s="24"/>
    </row>
    <row r="1381">
      <c r="A1381" s="12" t="s">
        <v>1469</v>
      </c>
      <c r="F1381" s="19">
        <f>IFERROR(__xludf.DUMMYFUNCTION("SPLIT(A1377, "" |"")"),1375.0)</f>
        <v>1375</v>
      </c>
      <c r="G1381" s="19">
        <f>IFERROR(__xludf.DUMMYFUNCTION("""COMPUTED_VALUE"""),0.0022)</f>
        <v>0.0022</v>
      </c>
      <c r="H1381" s="19" t="str">
        <f>IFERROR(__xludf.DUMMYFUNCTION("""COMPUTED_VALUE"""),"-")</f>
        <v>-</v>
      </c>
      <c r="I1381" s="19">
        <f>IFERROR(__xludf.DUMMYFUNCTION("""COMPUTED_VALUE"""),0.0021)</f>
        <v>0.0021</v>
      </c>
      <c r="J1381" s="19">
        <f>IFERROR(__xludf.DUMMYFUNCTION("""COMPUTED_VALUE"""),0.04615)</f>
        <v>0.04615</v>
      </c>
      <c r="K1381" s="19" t="str">
        <f>IFERROR(__xludf.DUMMYFUNCTION("""COMPUTED_VALUE"""),"-")</f>
        <v>-</v>
      </c>
      <c r="L1381" s="19" t="str">
        <f>IFERROR(__xludf.DUMMYFUNCTION("""COMPUTED_VALUE"""),"-")</f>
        <v>-</v>
      </c>
      <c r="O1381" s="24">
        <f t="shared" si="4"/>
        <v>0</v>
      </c>
      <c r="P1381" s="24"/>
      <c r="Q1381" s="24">
        <f t="shared" si="6"/>
        <v>0</v>
      </c>
      <c r="R1381" s="24">
        <f t="shared" si="7"/>
        <v>0</v>
      </c>
      <c r="S1381" s="24"/>
      <c r="T1381" s="24"/>
    </row>
    <row r="1382">
      <c r="A1382" s="12" t="s">
        <v>1470</v>
      </c>
      <c r="F1382" s="19">
        <f>IFERROR(__xludf.DUMMYFUNCTION("SPLIT(A1378, "" |"")"),1376.0)</f>
        <v>1376</v>
      </c>
      <c r="G1382" s="19">
        <f>IFERROR(__xludf.DUMMYFUNCTION("""COMPUTED_VALUE"""),0.00226)</f>
        <v>0.00226</v>
      </c>
      <c r="H1382" s="19" t="str">
        <f>IFERROR(__xludf.DUMMYFUNCTION("""COMPUTED_VALUE"""),"-")</f>
        <v>-</v>
      </c>
      <c r="I1382" s="19">
        <f>IFERROR(__xludf.DUMMYFUNCTION("""COMPUTED_VALUE"""),0.00207)</f>
        <v>0.00207</v>
      </c>
      <c r="J1382" s="19">
        <f>IFERROR(__xludf.DUMMYFUNCTION("""COMPUTED_VALUE"""),0.0401)</f>
        <v>0.0401</v>
      </c>
      <c r="K1382" s="19" t="str">
        <f>IFERROR(__xludf.DUMMYFUNCTION("""COMPUTED_VALUE"""),"-")</f>
        <v>-</v>
      </c>
      <c r="L1382" s="19" t="str">
        <f>IFERROR(__xludf.DUMMYFUNCTION("""COMPUTED_VALUE"""),"-")</f>
        <v>-</v>
      </c>
      <c r="O1382" s="24">
        <f t="shared" si="4"/>
        <v>0</v>
      </c>
      <c r="P1382" s="24"/>
      <c r="Q1382" s="24">
        <f t="shared" si="6"/>
        <v>0</v>
      </c>
      <c r="R1382" s="24">
        <f t="shared" si="7"/>
        <v>1</v>
      </c>
      <c r="S1382" s="24"/>
      <c r="T1382" s="24"/>
    </row>
    <row r="1383">
      <c r="A1383" s="12" t="s">
        <v>1471</v>
      </c>
      <c r="F1383" s="19">
        <f>IFERROR(__xludf.DUMMYFUNCTION("SPLIT(A1379, "" |"")"),1377.0)</f>
        <v>1377</v>
      </c>
      <c r="G1383" s="19">
        <f>IFERROR(__xludf.DUMMYFUNCTION("""COMPUTED_VALUE"""),0.00234)</f>
        <v>0.00234</v>
      </c>
      <c r="H1383" s="19" t="str">
        <f>IFERROR(__xludf.DUMMYFUNCTION("""COMPUTED_VALUE"""),"-")</f>
        <v>-</v>
      </c>
      <c r="I1383" s="19">
        <f>IFERROR(__xludf.DUMMYFUNCTION("""COMPUTED_VALUE"""),0.00213)</f>
        <v>0.00213</v>
      </c>
      <c r="J1383" s="19">
        <f>IFERROR(__xludf.DUMMYFUNCTION("""COMPUTED_VALUE"""),0.04386)</f>
        <v>0.04386</v>
      </c>
      <c r="K1383" s="19" t="str">
        <f>IFERROR(__xludf.DUMMYFUNCTION("""COMPUTED_VALUE"""),"-")</f>
        <v>-</v>
      </c>
      <c r="L1383" s="19" t="str">
        <f>IFERROR(__xludf.DUMMYFUNCTION("""COMPUTED_VALUE"""),"-")</f>
        <v>-</v>
      </c>
      <c r="O1383" s="24">
        <f t="shared" si="4"/>
        <v>0</v>
      </c>
      <c r="P1383" s="24"/>
      <c r="Q1383" s="24">
        <f t="shared" si="6"/>
        <v>0</v>
      </c>
      <c r="R1383" s="24">
        <f t="shared" si="7"/>
        <v>1</v>
      </c>
      <c r="S1383" s="24"/>
      <c r="T1383" s="24"/>
    </row>
    <row r="1384">
      <c r="A1384" s="12" t="s">
        <v>1472</v>
      </c>
      <c r="F1384" s="19">
        <f>IFERROR(__xludf.DUMMYFUNCTION("SPLIT(A1380, "" |"")"),1378.0)</f>
        <v>1378</v>
      </c>
      <c r="G1384" s="19">
        <f>IFERROR(__xludf.DUMMYFUNCTION("""COMPUTED_VALUE"""),0.00224)</f>
        <v>0.00224</v>
      </c>
      <c r="H1384" s="19" t="str">
        <f>IFERROR(__xludf.DUMMYFUNCTION("""COMPUTED_VALUE"""),"-")</f>
        <v>-</v>
      </c>
      <c r="I1384" s="19">
        <f>IFERROR(__xludf.DUMMYFUNCTION("""COMPUTED_VALUE"""),0.00208)</f>
        <v>0.00208</v>
      </c>
      <c r="J1384" s="19">
        <f>IFERROR(__xludf.DUMMYFUNCTION("""COMPUTED_VALUE"""),0.0473)</f>
        <v>0.0473</v>
      </c>
      <c r="K1384" s="19" t="str">
        <f>IFERROR(__xludf.DUMMYFUNCTION("""COMPUTED_VALUE"""),"-")</f>
        <v>-</v>
      </c>
      <c r="L1384" s="19" t="str">
        <f>IFERROR(__xludf.DUMMYFUNCTION("""COMPUTED_VALUE"""),"-")</f>
        <v>-</v>
      </c>
      <c r="O1384" s="24">
        <f t="shared" si="4"/>
        <v>0</v>
      </c>
      <c r="P1384" s="24"/>
      <c r="Q1384" s="24">
        <f t="shared" si="6"/>
        <v>0</v>
      </c>
      <c r="R1384" s="24">
        <f t="shared" si="7"/>
        <v>0</v>
      </c>
      <c r="S1384" s="24"/>
      <c r="T1384" s="24"/>
    </row>
    <row r="1385">
      <c r="A1385" s="12" t="s">
        <v>1473</v>
      </c>
      <c r="F1385" s="19">
        <f>IFERROR(__xludf.DUMMYFUNCTION("SPLIT(A1381, "" |"")"),1379.0)</f>
        <v>1379</v>
      </c>
      <c r="G1385" s="19">
        <f>IFERROR(__xludf.DUMMYFUNCTION("""COMPUTED_VALUE"""),0.00236)</f>
        <v>0.00236</v>
      </c>
      <c r="H1385" s="19" t="str">
        <f>IFERROR(__xludf.DUMMYFUNCTION("""COMPUTED_VALUE"""),"-")</f>
        <v>-</v>
      </c>
      <c r="I1385" s="19">
        <f>IFERROR(__xludf.DUMMYFUNCTION("""COMPUTED_VALUE"""),0.00209)</f>
        <v>0.00209</v>
      </c>
      <c r="J1385" s="19">
        <f>IFERROR(__xludf.DUMMYFUNCTION("""COMPUTED_VALUE"""),0.04728)</f>
        <v>0.04728</v>
      </c>
      <c r="K1385" s="19" t="str">
        <f>IFERROR(__xludf.DUMMYFUNCTION("""COMPUTED_VALUE"""),"-")</f>
        <v>-</v>
      </c>
      <c r="L1385" s="19" t="str">
        <f>IFERROR(__xludf.DUMMYFUNCTION("""COMPUTED_VALUE"""),"-")</f>
        <v>-</v>
      </c>
      <c r="O1385" s="24">
        <f t="shared" si="4"/>
        <v>0</v>
      </c>
      <c r="P1385" s="24"/>
      <c r="Q1385" s="24">
        <f t="shared" si="6"/>
        <v>0</v>
      </c>
      <c r="R1385" s="24">
        <f t="shared" si="7"/>
        <v>0</v>
      </c>
      <c r="S1385" s="24"/>
      <c r="T1385" s="24"/>
    </row>
    <row r="1386">
      <c r="A1386" s="12" t="s">
        <v>1474</v>
      </c>
      <c r="F1386" s="19">
        <f>IFERROR(__xludf.DUMMYFUNCTION("SPLIT(A1382, "" |"")"),1380.0)</f>
        <v>1380</v>
      </c>
      <c r="G1386" s="19">
        <f>IFERROR(__xludf.DUMMYFUNCTION("""COMPUTED_VALUE"""),0.00223)</f>
        <v>0.00223</v>
      </c>
      <c r="H1386" s="19" t="str">
        <f>IFERROR(__xludf.DUMMYFUNCTION("""COMPUTED_VALUE"""),"-")</f>
        <v>-</v>
      </c>
      <c r="I1386" s="19">
        <f>IFERROR(__xludf.DUMMYFUNCTION("""COMPUTED_VALUE"""),0.00208)</f>
        <v>0.00208</v>
      </c>
      <c r="J1386" s="19">
        <f>IFERROR(__xludf.DUMMYFUNCTION("""COMPUTED_VALUE"""),0.04734)</f>
        <v>0.04734</v>
      </c>
      <c r="K1386" s="19" t="str">
        <f>IFERROR(__xludf.DUMMYFUNCTION("""COMPUTED_VALUE"""),"-")</f>
        <v>-</v>
      </c>
      <c r="L1386" s="19" t="str">
        <f>IFERROR(__xludf.DUMMYFUNCTION("""COMPUTED_VALUE"""),"-")</f>
        <v>-</v>
      </c>
      <c r="O1386" s="24">
        <f t="shared" si="4"/>
        <v>0</v>
      </c>
      <c r="P1386" s="24"/>
      <c r="Q1386" s="24">
        <f t="shared" si="6"/>
        <v>0</v>
      </c>
      <c r="R1386" s="24">
        <f t="shared" si="7"/>
        <v>0</v>
      </c>
      <c r="S1386" s="24"/>
      <c r="T1386" s="24"/>
    </row>
    <row r="1387">
      <c r="A1387" s="12" t="s">
        <v>1475</v>
      </c>
      <c r="F1387" s="19">
        <f>IFERROR(__xludf.DUMMYFUNCTION("SPLIT(A1383, "" |"")"),1381.0)</f>
        <v>1381</v>
      </c>
      <c r="G1387" s="19">
        <f>IFERROR(__xludf.DUMMYFUNCTION("""COMPUTED_VALUE"""),0.0023)</f>
        <v>0.0023</v>
      </c>
      <c r="H1387" s="19" t="str">
        <f>IFERROR(__xludf.DUMMYFUNCTION("""COMPUTED_VALUE"""),"-")</f>
        <v>-</v>
      </c>
      <c r="I1387" s="19">
        <f>IFERROR(__xludf.DUMMYFUNCTION("""COMPUTED_VALUE"""),0.00212)</f>
        <v>0.00212</v>
      </c>
      <c r="J1387" s="19">
        <f>IFERROR(__xludf.DUMMYFUNCTION("""COMPUTED_VALUE"""),0.04729)</f>
        <v>0.04729</v>
      </c>
      <c r="K1387" s="19" t="str">
        <f>IFERROR(__xludf.DUMMYFUNCTION("""COMPUTED_VALUE"""),"-")</f>
        <v>-</v>
      </c>
      <c r="L1387" s="19" t="str">
        <f>IFERROR(__xludf.DUMMYFUNCTION("""COMPUTED_VALUE"""),"-")</f>
        <v>-</v>
      </c>
      <c r="O1387" s="24">
        <f t="shared" si="4"/>
        <v>0</v>
      </c>
      <c r="P1387" s="24"/>
      <c r="Q1387" s="24">
        <f t="shared" si="6"/>
        <v>0</v>
      </c>
      <c r="R1387" s="24">
        <f t="shared" si="7"/>
        <v>0</v>
      </c>
      <c r="S1387" s="24"/>
      <c r="T1387" s="24"/>
    </row>
    <row r="1388">
      <c r="A1388" s="12" t="s">
        <v>1476</v>
      </c>
      <c r="F1388" s="19">
        <f>IFERROR(__xludf.DUMMYFUNCTION("SPLIT(A1384, "" |"")"),1382.0)</f>
        <v>1382</v>
      </c>
      <c r="G1388" s="19">
        <f>IFERROR(__xludf.DUMMYFUNCTION("""COMPUTED_VALUE"""),0.00227)</f>
        <v>0.00227</v>
      </c>
      <c r="H1388" s="19" t="str">
        <f>IFERROR(__xludf.DUMMYFUNCTION("""COMPUTED_VALUE"""),"-")</f>
        <v>-</v>
      </c>
      <c r="I1388" s="19">
        <f>IFERROR(__xludf.DUMMYFUNCTION("""COMPUTED_VALUE"""),0.00211)</f>
        <v>0.00211</v>
      </c>
      <c r="J1388" s="19">
        <f>IFERROR(__xludf.DUMMYFUNCTION("""COMPUTED_VALUE"""),0.04729)</f>
        <v>0.04729</v>
      </c>
      <c r="K1388" s="19" t="str">
        <f>IFERROR(__xludf.DUMMYFUNCTION("""COMPUTED_VALUE"""),"-")</f>
        <v>-</v>
      </c>
      <c r="L1388" s="19" t="str">
        <f>IFERROR(__xludf.DUMMYFUNCTION("""COMPUTED_VALUE"""),"-")</f>
        <v>-</v>
      </c>
      <c r="O1388" s="24">
        <f t="shared" si="4"/>
        <v>0</v>
      </c>
      <c r="P1388" s="24"/>
      <c r="Q1388" s="24">
        <f t="shared" si="6"/>
        <v>0</v>
      </c>
      <c r="R1388" s="24">
        <f t="shared" si="7"/>
        <v>0</v>
      </c>
      <c r="S1388" s="24"/>
      <c r="T1388" s="24"/>
    </row>
    <row r="1389">
      <c r="A1389" s="12" t="s">
        <v>1477</v>
      </c>
      <c r="F1389" s="19">
        <f>IFERROR(__xludf.DUMMYFUNCTION("SPLIT(A1385, "" |"")"),1383.0)</f>
        <v>1383</v>
      </c>
      <c r="G1389" s="19">
        <f>IFERROR(__xludf.DUMMYFUNCTION("""COMPUTED_VALUE"""),0.00229)</f>
        <v>0.00229</v>
      </c>
      <c r="H1389" s="19" t="str">
        <f>IFERROR(__xludf.DUMMYFUNCTION("""COMPUTED_VALUE"""),"-")</f>
        <v>-</v>
      </c>
      <c r="I1389" s="19">
        <f>IFERROR(__xludf.DUMMYFUNCTION("""COMPUTED_VALUE"""),0.00214)</f>
        <v>0.00214</v>
      </c>
      <c r="J1389" s="19">
        <f>IFERROR(__xludf.DUMMYFUNCTION("""COMPUTED_VALUE"""),0.04167)</f>
        <v>0.04167</v>
      </c>
      <c r="K1389" s="19" t="str">
        <f>IFERROR(__xludf.DUMMYFUNCTION("""COMPUTED_VALUE"""),"-")</f>
        <v>-</v>
      </c>
      <c r="L1389" s="19" t="str">
        <f>IFERROR(__xludf.DUMMYFUNCTION("""COMPUTED_VALUE"""),"-")</f>
        <v>-</v>
      </c>
      <c r="O1389" s="24">
        <f t="shared" si="4"/>
        <v>0</v>
      </c>
      <c r="P1389" s="24"/>
      <c r="Q1389" s="24">
        <f t="shared" si="6"/>
        <v>0</v>
      </c>
      <c r="R1389" s="24">
        <f t="shared" si="7"/>
        <v>1</v>
      </c>
      <c r="S1389" s="24"/>
      <c r="T1389" s="24"/>
    </row>
    <row r="1390">
      <c r="A1390" s="12" t="s">
        <v>1478</v>
      </c>
      <c r="F1390" s="19">
        <f>IFERROR(__xludf.DUMMYFUNCTION("SPLIT(A1386, "" |"")"),1384.0)</f>
        <v>1384</v>
      </c>
      <c r="G1390" s="19">
        <f>IFERROR(__xludf.DUMMYFUNCTION("""COMPUTED_VALUE"""),0.00224)</f>
        <v>0.00224</v>
      </c>
      <c r="H1390" s="19" t="str">
        <f>IFERROR(__xludf.DUMMYFUNCTION("""COMPUTED_VALUE"""),"-")</f>
        <v>-</v>
      </c>
      <c r="I1390" s="19">
        <f>IFERROR(__xludf.DUMMYFUNCTION("""COMPUTED_VALUE"""),0.00208)</f>
        <v>0.00208</v>
      </c>
      <c r="J1390" s="19">
        <f>IFERROR(__xludf.DUMMYFUNCTION("""COMPUTED_VALUE"""),0.04734)</f>
        <v>0.04734</v>
      </c>
      <c r="K1390" s="19" t="str">
        <f>IFERROR(__xludf.DUMMYFUNCTION("""COMPUTED_VALUE"""),"-")</f>
        <v>-</v>
      </c>
      <c r="L1390" s="19" t="str">
        <f>IFERROR(__xludf.DUMMYFUNCTION("""COMPUTED_VALUE"""),"-")</f>
        <v>-</v>
      </c>
      <c r="O1390" s="24">
        <f t="shared" si="4"/>
        <v>0</v>
      </c>
      <c r="P1390" s="24"/>
      <c r="Q1390" s="24">
        <f t="shared" si="6"/>
        <v>0</v>
      </c>
      <c r="R1390" s="24">
        <f t="shared" si="7"/>
        <v>0</v>
      </c>
      <c r="S1390" s="24"/>
      <c r="T1390" s="24"/>
    </row>
    <row r="1391">
      <c r="A1391" s="12" t="s">
        <v>1479</v>
      </c>
      <c r="F1391" s="19">
        <f>IFERROR(__xludf.DUMMYFUNCTION("SPLIT(A1387, "" |"")"),1385.0)</f>
        <v>1385</v>
      </c>
      <c r="G1391" s="19">
        <f>IFERROR(__xludf.DUMMYFUNCTION("""COMPUTED_VALUE"""),0.0023)</f>
        <v>0.0023</v>
      </c>
      <c r="H1391" s="19" t="str">
        <f>IFERROR(__xludf.DUMMYFUNCTION("""COMPUTED_VALUE"""),"-")</f>
        <v>-</v>
      </c>
      <c r="I1391" s="19">
        <f>IFERROR(__xludf.DUMMYFUNCTION("""COMPUTED_VALUE"""),0.0021)</f>
        <v>0.0021</v>
      </c>
      <c r="J1391" s="19">
        <f>IFERROR(__xludf.DUMMYFUNCTION("""COMPUTED_VALUE"""),0.04587)</f>
        <v>0.04587</v>
      </c>
      <c r="K1391" s="19" t="str">
        <f>IFERROR(__xludf.DUMMYFUNCTION("""COMPUTED_VALUE"""),"-")</f>
        <v>-</v>
      </c>
      <c r="L1391" s="19" t="str">
        <f>IFERROR(__xludf.DUMMYFUNCTION("""COMPUTED_VALUE"""),"-")</f>
        <v>-</v>
      </c>
      <c r="O1391" s="24">
        <f t="shared" si="4"/>
        <v>0</v>
      </c>
      <c r="P1391" s="24"/>
      <c r="Q1391" s="24">
        <f t="shared" si="6"/>
        <v>0</v>
      </c>
      <c r="R1391" s="24">
        <f t="shared" si="7"/>
        <v>0</v>
      </c>
      <c r="S1391" s="24"/>
      <c r="T1391" s="24"/>
    </row>
    <row r="1392">
      <c r="A1392" s="12" t="s">
        <v>1480</v>
      </c>
      <c r="F1392" s="19">
        <f>IFERROR(__xludf.DUMMYFUNCTION("SPLIT(A1388, "" |"")"),1386.0)</f>
        <v>1386</v>
      </c>
      <c r="G1392" s="19">
        <f>IFERROR(__xludf.DUMMYFUNCTION("""COMPUTED_VALUE"""),0.00232)</f>
        <v>0.00232</v>
      </c>
      <c r="H1392" s="19" t="str">
        <f>IFERROR(__xludf.DUMMYFUNCTION("""COMPUTED_VALUE"""),"-")</f>
        <v>-</v>
      </c>
      <c r="I1392" s="19">
        <f>IFERROR(__xludf.DUMMYFUNCTION("""COMPUTED_VALUE"""),0.00211)</f>
        <v>0.00211</v>
      </c>
      <c r="J1392" s="19">
        <f>IFERROR(__xludf.DUMMYFUNCTION("""COMPUTED_VALUE"""),0.04737)</f>
        <v>0.04737</v>
      </c>
      <c r="K1392" s="19" t="str">
        <f>IFERROR(__xludf.DUMMYFUNCTION("""COMPUTED_VALUE"""),"-")</f>
        <v>-</v>
      </c>
      <c r="L1392" s="19" t="str">
        <f>IFERROR(__xludf.DUMMYFUNCTION("""COMPUTED_VALUE"""),"-")</f>
        <v>-</v>
      </c>
      <c r="O1392" s="24">
        <f t="shared" si="4"/>
        <v>0</v>
      </c>
      <c r="P1392" s="24"/>
      <c r="Q1392" s="24">
        <f t="shared" si="6"/>
        <v>0</v>
      </c>
      <c r="R1392" s="24">
        <f t="shared" si="7"/>
        <v>0</v>
      </c>
      <c r="S1392" s="24"/>
      <c r="T1392" s="24"/>
    </row>
    <row r="1393">
      <c r="A1393" s="12" t="s">
        <v>1481</v>
      </c>
      <c r="F1393" s="19">
        <f>IFERROR(__xludf.DUMMYFUNCTION("SPLIT(A1389, "" |"")"),1387.0)</f>
        <v>1387</v>
      </c>
      <c r="G1393" s="19">
        <f>IFERROR(__xludf.DUMMYFUNCTION("""COMPUTED_VALUE"""),0.00231)</f>
        <v>0.00231</v>
      </c>
      <c r="H1393" s="19" t="str">
        <f>IFERROR(__xludf.DUMMYFUNCTION("""COMPUTED_VALUE"""),"-")</f>
        <v>-</v>
      </c>
      <c r="I1393" s="19">
        <f>IFERROR(__xludf.DUMMYFUNCTION("""COMPUTED_VALUE"""),0.00211)</f>
        <v>0.00211</v>
      </c>
      <c r="J1393" s="19">
        <f>IFERROR(__xludf.DUMMYFUNCTION("""COMPUTED_VALUE"""),0.04736)</f>
        <v>0.04736</v>
      </c>
      <c r="K1393" s="19" t="str">
        <f>IFERROR(__xludf.DUMMYFUNCTION("""COMPUTED_VALUE"""),"-")</f>
        <v>-</v>
      </c>
      <c r="L1393" s="19" t="str">
        <f>IFERROR(__xludf.DUMMYFUNCTION("""COMPUTED_VALUE"""),"-")</f>
        <v>-</v>
      </c>
      <c r="O1393" s="24">
        <f t="shared" si="4"/>
        <v>0</v>
      </c>
      <c r="P1393" s="24"/>
      <c r="Q1393" s="24">
        <f t="shared" si="6"/>
        <v>0</v>
      </c>
      <c r="R1393" s="24">
        <f t="shared" si="7"/>
        <v>0</v>
      </c>
      <c r="S1393" s="24"/>
      <c r="T1393" s="24"/>
    </row>
    <row r="1394">
      <c r="A1394" s="12" t="s">
        <v>1482</v>
      </c>
      <c r="F1394" s="19">
        <f>IFERROR(__xludf.DUMMYFUNCTION("SPLIT(A1390, "" |"")"),1388.0)</f>
        <v>1388</v>
      </c>
      <c r="G1394" s="19">
        <f>IFERROR(__xludf.DUMMYFUNCTION("""COMPUTED_VALUE"""),0.00237)</f>
        <v>0.00237</v>
      </c>
      <c r="H1394" s="19" t="str">
        <f>IFERROR(__xludf.DUMMYFUNCTION("""COMPUTED_VALUE"""),"-")</f>
        <v>-</v>
      </c>
      <c r="I1394" s="19">
        <f>IFERROR(__xludf.DUMMYFUNCTION("""COMPUTED_VALUE"""),0.00212)</f>
        <v>0.00212</v>
      </c>
      <c r="J1394" s="19">
        <f>IFERROR(__xludf.DUMMYFUNCTION("""COMPUTED_VALUE"""),0.04734)</f>
        <v>0.04734</v>
      </c>
      <c r="K1394" s="19" t="str">
        <f>IFERROR(__xludf.DUMMYFUNCTION("""COMPUTED_VALUE"""),"-")</f>
        <v>-</v>
      </c>
      <c r="L1394" s="19" t="str">
        <f>IFERROR(__xludf.DUMMYFUNCTION("""COMPUTED_VALUE"""),"-")</f>
        <v>-</v>
      </c>
      <c r="O1394" s="24">
        <f t="shared" si="4"/>
        <v>0</v>
      </c>
      <c r="P1394" s="24"/>
      <c r="Q1394" s="24">
        <f t="shared" si="6"/>
        <v>0</v>
      </c>
      <c r="R1394" s="24">
        <f t="shared" si="7"/>
        <v>0</v>
      </c>
      <c r="S1394" s="24"/>
      <c r="T1394" s="24"/>
    </row>
    <row r="1395">
      <c r="A1395" s="12" t="s">
        <v>1483</v>
      </c>
      <c r="F1395" s="19">
        <f>IFERROR(__xludf.DUMMYFUNCTION("SPLIT(A1391, "" |"")"),1389.0)</f>
        <v>1389</v>
      </c>
      <c r="G1395" s="19">
        <f>IFERROR(__xludf.DUMMYFUNCTION("""COMPUTED_VALUE"""),0.00228)</f>
        <v>0.00228</v>
      </c>
      <c r="H1395" s="19" t="str">
        <f>IFERROR(__xludf.DUMMYFUNCTION("""COMPUTED_VALUE"""),"-")</f>
        <v>-</v>
      </c>
      <c r="I1395" s="19">
        <f>IFERROR(__xludf.DUMMYFUNCTION("""COMPUTED_VALUE"""),0.0021)</f>
        <v>0.0021</v>
      </c>
      <c r="J1395" s="19">
        <f>IFERROR(__xludf.DUMMYFUNCTION("""COMPUTED_VALUE"""),0.04596)</f>
        <v>0.04596</v>
      </c>
      <c r="K1395" s="19" t="str">
        <f>IFERROR(__xludf.DUMMYFUNCTION("""COMPUTED_VALUE"""),"-")</f>
        <v>-</v>
      </c>
      <c r="L1395" s="19" t="str">
        <f>IFERROR(__xludf.DUMMYFUNCTION("""COMPUTED_VALUE"""),"-")</f>
        <v>-</v>
      </c>
      <c r="O1395" s="24">
        <f t="shared" si="4"/>
        <v>0</v>
      </c>
      <c r="P1395" s="24"/>
      <c r="Q1395" s="24">
        <f t="shared" si="6"/>
        <v>0</v>
      </c>
      <c r="R1395" s="24">
        <f t="shared" si="7"/>
        <v>0</v>
      </c>
      <c r="S1395" s="24"/>
      <c r="T1395" s="24"/>
    </row>
    <row r="1396">
      <c r="A1396" s="12" t="s">
        <v>1484</v>
      </c>
      <c r="F1396" s="19">
        <f>IFERROR(__xludf.DUMMYFUNCTION("SPLIT(A1392, "" |"")"),1390.0)</f>
        <v>1390</v>
      </c>
      <c r="G1396" s="19">
        <f>IFERROR(__xludf.DUMMYFUNCTION("""COMPUTED_VALUE"""),0.00229)</f>
        <v>0.00229</v>
      </c>
      <c r="H1396" s="19" t="str">
        <f>IFERROR(__xludf.DUMMYFUNCTION("""COMPUTED_VALUE"""),"-")</f>
        <v>-</v>
      </c>
      <c r="I1396" s="19">
        <f>IFERROR(__xludf.DUMMYFUNCTION("""COMPUTED_VALUE"""),0.0021)</f>
        <v>0.0021</v>
      </c>
      <c r="J1396" s="19">
        <f>IFERROR(__xludf.DUMMYFUNCTION("""COMPUTED_VALUE"""),0.04732)</f>
        <v>0.04732</v>
      </c>
      <c r="K1396" s="19" t="str">
        <f>IFERROR(__xludf.DUMMYFUNCTION("""COMPUTED_VALUE"""),"-")</f>
        <v>-</v>
      </c>
      <c r="L1396" s="19" t="str">
        <f>IFERROR(__xludf.DUMMYFUNCTION("""COMPUTED_VALUE"""),"-")</f>
        <v>-</v>
      </c>
      <c r="O1396" s="24">
        <f t="shared" si="4"/>
        <v>0</v>
      </c>
      <c r="P1396" s="24"/>
      <c r="Q1396" s="24">
        <f t="shared" si="6"/>
        <v>0</v>
      </c>
      <c r="R1396" s="24">
        <f t="shared" si="7"/>
        <v>0</v>
      </c>
      <c r="S1396" s="24"/>
      <c r="T1396" s="24"/>
    </row>
    <row r="1397">
      <c r="A1397" s="12" t="s">
        <v>1485</v>
      </c>
      <c r="F1397" s="19">
        <f>IFERROR(__xludf.DUMMYFUNCTION("SPLIT(A1393, "" |"")"),1391.0)</f>
        <v>1391</v>
      </c>
      <c r="G1397" s="19">
        <f>IFERROR(__xludf.DUMMYFUNCTION("""COMPUTED_VALUE"""),0.00229)</f>
        <v>0.00229</v>
      </c>
      <c r="H1397" s="19" t="str">
        <f>IFERROR(__xludf.DUMMYFUNCTION("""COMPUTED_VALUE"""),"-")</f>
        <v>-</v>
      </c>
      <c r="I1397" s="19">
        <f>IFERROR(__xludf.DUMMYFUNCTION("""COMPUTED_VALUE"""),0.00188)</f>
        <v>0.00188</v>
      </c>
      <c r="J1397" s="19">
        <f>IFERROR(__xludf.DUMMYFUNCTION("""COMPUTED_VALUE"""),0.04732)</f>
        <v>0.04732</v>
      </c>
      <c r="K1397" s="19" t="str">
        <f>IFERROR(__xludf.DUMMYFUNCTION("""COMPUTED_VALUE"""),"-")</f>
        <v>-</v>
      </c>
      <c r="L1397" s="19" t="str">
        <f>IFERROR(__xludf.DUMMYFUNCTION("""COMPUTED_VALUE"""),"-")</f>
        <v>-</v>
      </c>
      <c r="O1397" s="24">
        <f t="shared" si="4"/>
        <v>0</v>
      </c>
      <c r="P1397" s="24"/>
      <c r="Q1397" s="24">
        <f t="shared" si="6"/>
        <v>0</v>
      </c>
      <c r="R1397" s="24">
        <f t="shared" si="7"/>
        <v>0</v>
      </c>
      <c r="S1397" s="24"/>
      <c r="T1397" s="24"/>
    </row>
    <row r="1398">
      <c r="A1398" s="12" t="s">
        <v>1486</v>
      </c>
      <c r="F1398" s="19">
        <f>IFERROR(__xludf.DUMMYFUNCTION("SPLIT(A1394, "" |"")"),1392.0)</f>
        <v>1392</v>
      </c>
      <c r="G1398" s="19">
        <f>IFERROR(__xludf.DUMMYFUNCTION("""COMPUTED_VALUE"""),0.00235)</f>
        <v>0.00235</v>
      </c>
      <c r="H1398" s="19" t="str">
        <f>IFERROR(__xludf.DUMMYFUNCTION("""COMPUTED_VALUE"""),"-")</f>
        <v>-</v>
      </c>
      <c r="I1398" s="19">
        <f>IFERROR(__xludf.DUMMYFUNCTION("""COMPUTED_VALUE"""),0.00214)</f>
        <v>0.00214</v>
      </c>
      <c r="J1398" s="19">
        <f>IFERROR(__xludf.DUMMYFUNCTION("""COMPUTED_VALUE"""),0.04738)</f>
        <v>0.04738</v>
      </c>
      <c r="K1398" s="19" t="str">
        <f>IFERROR(__xludf.DUMMYFUNCTION("""COMPUTED_VALUE"""),"-")</f>
        <v>-</v>
      </c>
      <c r="L1398" s="19" t="str">
        <f>IFERROR(__xludf.DUMMYFUNCTION("""COMPUTED_VALUE"""),"-")</f>
        <v>-</v>
      </c>
      <c r="O1398" s="24">
        <f t="shared" si="4"/>
        <v>0</v>
      </c>
      <c r="P1398" s="24"/>
      <c r="Q1398" s="24">
        <f t="shared" si="6"/>
        <v>0</v>
      </c>
      <c r="R1398" s="24">
        <f t="shared" si="7"/>
        <v>0</v>
      </c>
      <c r="S1398" s="24"/>
      <c r="T1398" s="24"/>
    </row>
    <row r="1399">
      <c r="A1399" s="12" t="s">
        <v>1487</v>
      </c>
      <c r="F1399" s="19">
        <f>IFERROR(__xludf.DUMMYFUNCTION("SPLIT(A1395, "" |"")"),1393.0)</f>
        <v>1393</v>
      </c>
      <c r="G1399" s="19">
        <f>IFERROR(__xludf.DUMMYFUNCTION("""COMPUTED_VALUE"""),0.00231)</f>
        <v>0.00231</v>
      </c>
      <c r="H1399" s="19" t="str">
        <f>IFERROR(__xludf.DUMMYFUNCTION("""COMPUTED_VALUE"""),"-")</f>
        <v>-</v>
      </c>
      <c r="I1399" s="19">
        <f>IFERROR(__xludf.DUMMYFUNCTION("""COMPUTED_VALUE"""),0.00211)</f>
        <v>0.00211</v>
      </c>
      <c r="J1399" s="19">
        <f>IFERROR(__xludf.DUMMYFUNCTION("""COMPUTED_VALUE"""),0.04736)</f>
        <v>0.04736</v>
      </c>
      <c r="K1399" s="19" t="str">
        <f>IFERROR(__xludf.DUMMYFUNCTION("""COMPUTED_VALUE"""),"-")</f>
        <v>-</v>
      </c>
      <c r="L1399" s="19" t="str">
        <f>IFERROR(__xludf.DUMMYFUNCTION("""COMPUTED_VALUE"""),"-")</f>
        <v>-</v>
      </c>
      <c r="O1399" s="24">
        <f t="shared" si="4"/>
        <v>0</v>
      </c>
      <c r="P1399" s="24"/>
      <c r="Q1399" s="24">
        <f t="shared" si="6"/>
        <v>0</v>
      </c>
      <c r="R1399" s="24">
        <f t="shared" si="7"/>
        <v>0</v>
      </c>
      <c r="S1399" s="24"/>
      <c r="T1399" s="24"/>
    </row>
    <row r="1400">
      <c r="A1400" s="12" t="s">
        <v>1488</v>
      </c>
      <c r="F1400" s="19">
        <f>IFERROR(__xludf.DUMMYFUNCTION("SPLIT(A1396, "" |"")"),1394.0)</f>
        <v>1394</v>
      </c>
      <c r="G1400" s="19">
        <f>IFERROR(__xludf.DUMMYFUNCTION("""COMPUTED_VALUE"""),0.00224)</f>
        <v>0.00224</v>
      </c>
      <c r="H1400" s="19" t="str">
        <f>IFERROR(__xludf.DUMMYFUNCTION("""COMPUTED_VALUE"""),"-")</f>
        <v>-</v>
      </c>
      <c r="I1400" s="19">
        <f>IFERROR(__xludf.DUMMYFUNCTION("""COMPUTED_VALUE"""),0.00206)</f>
        <v>0.00206</v>
      </c>
      <c r="J1400" s="19">
        <f>IFERROR(__xludf.DUMMYFUNCTION("""COMPUTED_VALUE"""),0.0472)</f>
        <v>0.0472</v>
      </c>
      <c r="K1400" s="19" t="str">
        <f>IFERROR(__xludf.DUMMYFUNCTION("""COMPUTED_VALUE"""),"-")</f>
        <v>-</v>
      </c>
      <c r="L1400" s="19" t="str">
        <f>IFERROR(__xludf.DUMMYFUNCTION("""COMPUTED_VALUE"""),"-")</f>
        <v>-</v>
      </c>
      <c r="O1400" s="24">
        <f t="shared" si="4"/>
        <v>0</v>
      </c>
      <c r="P1400" s="24"/>
      <c r="Q1400" s="24">
        <f t="shared" si="6"/>
        <v>0</v>
      </c>
      <c r="R1400" s="24">
        <f t="shared" si="7"/>
        <v>0</v>
      </c>
      <c r="S1400" s="24"/>
      <c r="T1400" s="24"/>
    </row>
    <row r="1401">
      <c r="A1401" s="12" t="s">
        <v>1489</v>
      </c>
      <c r="F1401" s="19">
        <f>IFERROR(__xludf.DUMMYFUNCTION("SPLIT(A1397, "" |"")"),1395.0)</f>
        <v>1395</v>
      </c>
      <c r="G1401" s="19">
        <f>IFERROR(__xludf.DUMMYFUNCTION("""COMPUTED_VALUE"""),0.00224)</f>
        <v>0.00224</v>
      </c>
      <c r="H1401" s="19" t="str">
        <f>IFERROR(__xludf.DUMMYFUNCTION("""COMPUTED_VALUE"""),"-")</f>
        <v>-</v>
      </c>
      <c r="I1401" s="19">
        <f>IFERROR(__xludf.DUMMYFUNCTION("""COMPUTED_VALUE"""),0.00206)</f>
        <v>0.00206</v>
      </c>
      <c r="J1401" s="19">
        <f>IFERROR(__xludf.DUMMYFUNCTION("""COMPUTED_VALUE"""),0.04083)</f>
        <v>0.04083</v>
      </c>
      <c r="K1401" s="19" t="str">
        <f>IFERROR(__xludf.DUMMYFUNCTION("""COMPUTED_VALUE"""),"-")</f>
        <v>-</v>
      </c>
      <c r="L1401" s="19" t="str">
        <f>IFERROR(__xludf.DUMMYFUNCTION("""COMPUTED_VALUE"""),"-")</f>
        <v>-</v>
      </c>
      <c r="O1401" s="24">
        <f t="shared" si="4"/>
        <v>0</v>
      </c>
      <c r="P1401" s="24"/>
      <c r="Q1401" s="24">
        <f t="shared" si="6"/>
        <v>0</v>
      </c>
      <c r="R1401" s="24">
        <f t="shared" si="7"/>
        <v>1</v>
      </c>
      <c r="S1401" s="24"/>
      <c r="T1401" s="24"/>
    </row>
    <row r="1402">
      <c r="A1402" s="12" t="s">
        <v>1490</v>
      </c>
      <c r="F1402" s="19">
        <f>IFERROR(__xludf.DUMMYFUNCTION("SPLIT(A1398, "" |"")"),1396.0)</f>
        <v>1396</v>
      </c>
      <c r="G1402" s="19">
        <f>IFERROR(__xludf.DUMMYFUNCTION("""COMPUTED_VALUE"""),0.00224)</f>
        <v>0.00224</v>
      </c>
      <c r="H1402" s="19" t="str">
        <f>IFERROR(__xludf.DUMMYFUNCTION("""COMPUTED_VALUE"""),"-")</f>
        <v>-</v>
      </c>
      <c r="I1402" s="19">
        <f>IFERROR(__xludf.DUMMYFUNCTION("""COMPUTED_VALUE"""),0.00205)</f>
        <v>0.00205</v>
      </c>
      <c r="J1402" s="19">
        <f>IFERROR(__xludf.DUMMYFUNCTION("""COMPUTED_VALUE"""),0.04729)</f>
        <v>0.04729</v>
      </c>
      <c r="K1402" s="19" t="str">
        <f>IFERROR(__xludf.DUMMYFUNCTION("""COMPUTED_VALUE"""),"-")</f>
        <v>-</v>
      </c>
      <c r="L1402" s="19" t="str">
        <f>IFERROR(__xludf.DUMMYFUNCTION("""COMPUTED_VALUE"""),"-")</f>
        <v>-</v>
      </c>
      <c r="O1402" s="24">
        <f t="shared" si="4"/>
        <v>0</v>
      </c>
      <c r="P1402" s="24"/>
      <c r="Q1402" s="24">
        <f t="shared" si="6"/>
        <v>0</v>
      </c>
      <c r="R1402" s="24">
        <f t="shared" si="7"/>
        <v>0</v>
      </c>
      <c r="S1402" s="24"/>
      <c r="T1402" s="24"/>
    </row>
    <row r="1403">
      <c r="A1403" s="12" t="s">
        <v>1491</v>
      </c>
      <c r="F1403" s="19">
        <f>IFERROR(__xludf.DUMMYFUNCTION("SPLIT(A1399, "" |"")"),1397.0)</f>
        <v>1397</v>
      </c>
      <c r="G1403" s="19">
        <f>IFERROR(__xludf.DUMMYFUNCTION("""COMPUTED_VALUE"""),0.00224)</f>
        <v>0.00224</v>
      </c>
      <c r="H1403" s="19" t="str">
        <f>IFERROR(__xludf.DUMMYFUNCTION("""COMPUTED_VALUE"""),"-")</f>
        <v>-</v>
      </c>
      <c r="I1403" s="19">
        <f>IFERROR(__xludf.DUMMYFUNCTION("""COMPUTED_VALUE"""),0.00316)</f>
        <v>0.00316</v>
      </c>
      <c r="J1403" s="19">
        <f>IFERROR(__xludf.DUMMYFUNCTION("""COMPUTED_VALUE"""),0.04734)</f>
        <v>0.04734</v>
      </c>
      <c r="K1403" s="19" t="str">
        <f>IFERROR(__xludf.DUMMYFUNCTION("""COMPUTED_VALUE"""),"-")</f>
        <v>-</v>
      </c>
      <c r="L1403" s="19" t="str">
        <f>IFERROR(__xludf.DUMMYFUNCTION("""COMPUTED_VALUE"""),"-")</f>
        <v>-</v>
      </c>
      <c r="O1403" s="24">
        <f t="shared" si="4"/>
        <v>0</v>
      </c>
      <c r="P1403" s="24"/>
      <c r="Q1403" s="24">
        <f t="shared" si="6"/>
        <v>1</v>
      </c>
      <c r="R1403" s="24">
        <f t="shared" si="7"/>
        <v>0</v>
      </c>
      <c r="S1403" s="24"/>
      <c r="T1403" s="24"/>
    </row>
    <row r="1404">
      <c r="A1404" s="12" t="s">
        <v>1492</v>
      </c>
      <c r="F1404" s="19">
        <f>IFERROR(__xludf.DUMMYFUNCTION("SPLIT(A1400, "" |"")"),1398.0)</f>
        <v>1398</v>
      </c>
      <c r="G1404" s="19">
        <f>IFERROR(__xludf.DUMMYFUNCTION("""COMPUTED_VALUE"""),0.00222)</f>
        <v>0.00222</v>
      </c>
      <c r="H1404" s="19" t="str">
        <f>IFERROR(__xludf.DUMMYFUNCTION("""COMPUTED_VALUE"""),"-")</f>
        <v>-</v>
      </c>
      <c r="I1404" s="19">
        <f>IFERROR(__xludf.DUMMYFUNCTION("""COMPUTED_VALUE"""),0.00206)</f>
        <v>0.00206</v>
      </c>
      <c r="J1404" s="19">
        <f>IFERROR(__xludf.DUMMYFUNCTION("""COMPUTED_VALUE"""),0.04567)</f>
        <v>0.04567</v>
      </c>
      <c r="K1404" s="19" t="str">
        <f>IFERROR(__xludf.DUMMYFUNCTION("""COMPUTED_VALUE"""),"-")</f>
        <v>-</v>
      </c>
      <c r="L1404" s="19" t="str">
        <f>IFERROR(__xludf.DUMMYFUNCTION("""COMPUTED_VALUE"""),"-")</f>
        <v>-</v>
      </c>
      <c r="O1404" s="24">
        <f t="shared" si="4"/>
        <v>0</v>
      </c>
      <c r="P1404" s="24"/>
      <c r="Q1404" s="24">
        <f t="shared" si="6"/>
        <v>0</v>
      </c>
      <c r="R1404" s="24">
        <f t="shared" si="7"/>
        <v>0</v>
      </c>
      <c r="S1404" s="24"/>
      <c r="T1404" s="24"/>
    </row>
    <row r="1405">
      <c r="A1405" s="12" t="s">
        <v>1493</v>
      </c>
      <c r="F1405" s="19">
        <f>IFERROR(__xludf.DUMMYFUNCTION("SPLIT(A1401, "" |"")"),1399.0)</f>
        <v>1399</v>
      </c>
      <c r="G1405" s="19">
        <f>IFERROR(__xludf.DUMMYFUNCTION("""COMPUTED_VALUE"""),0.00222)</f>
        <v>0.00222</v>
      </c>
      <c r="H1405" s="19" t="str">
        <f>IFERROR(__xludf.DUMMYFUNCTION("""COMPUTED_VALUE"""),"-")</f>
        <v>-</v>
      </c>
      <c r="I1405" s="19">
        <f>IFERROR(__xludf.DUMMYFUNCTION("""COMPUTED_VALUE"""),0.00208)</f>
        <v>0.00208</v>
      </c>
      <c r="J1405" s="19">
        <f>IFERROR(__xludf.DUMMYFUNCTION("""COMPUTED_VALUE"""),0.04688)</f>
        <v>0.04688</v>
      </c>
      <c r="K1405" s="19" t="str">
        <f>IFERROR(__xludf.DUMMYFUNCTION("""COMPUTED_VALUE"""),"-")</f>
        <v>-</v>
      </c>
      <c r="L1405" s="19" t="str">
        <f>IFERROR(__xludf.DUMMYFUNCTION("""COMPUTED_VALUE"""),"-")</f>
        <v>-</v>
      </c>
      <c r="O1405" s="24">
        <f t="shared" si="4"/>
        <v>0</v>
      </c>
      <c r="P1405" s="24"/>
      <c r="Q1405" s="24">
        <f t="shared" si="6"/>
        <v>0</v>
      </c>
      <c r="R1405" s="24">
        <f t="shared" si="7"/>
        <v>0</v>
      </c>
      <c r="S1405" s="24"/>
      <c r="T1405" s="24"/>
    </row>
    <row r="1406">
      <c r="A1406" s="12" t="s">
        <v>1494</v>
      </c>
      <c r="F1406" s="19">
        <f>IFERROR(__xludf.DUMMYFUNCTION("SPLIT(A1402, "" |"")"),1400.0)</f>
        <v>1400</v>
      </c>
      <c r="G1406" s="19">
        <f>IFERROR(__xludf.DUMMYFUNCTION("""COMPUTED_VALUE"""),0.00243)</f>
        <v>0.00243</v>
      </c>
      <c r="H1406" s="19" t="str">
        <f>IFERROR(__xludf.DUMMYFUNCTION("""COMPUTED_VALUE"""),"-")</f>
        <v>-</v>
      </c>
      <c r="I1406" s="19">
        <f>IFERROR(__xludf.DUMMYFUNCTION("""COMPUTED_VALUE"""),0.00224)</f>
        <v>0.00224</v>
      </c>
      <c r="J1406" s="19">
        <f>IFERROR(__xludf.DUMMYFUNCTION("""COMPUTED_VALUE"""),0.04751)</f>
        <v>0.04751</v>
      </c>
      <c r="K1406" s="19" t="str">
        <f>IFERROR(__xludf.DUMMYFUNCTION("""COMPUTED_VALUE"""),"-")</f>
        <v>-</v>
      </c>
      <c r="L1406" s="19" t="str">
        <f>IFERROR(__xludf.DUMMYFUNCTION("""COMPUTED_VALUE"""),"-")</f>
        <v>-</v>
      </c>
      <c r="O1406" s="24">
        <f t="shared" si="4"/>
        <v>0</v>
      </c>
      <c r="P1406" s="24"/>
      <c r="Q1406" s="24">
        <f t="shared" si="6"/>
        <v>0</v>
      </c>
      <c r="R1406" s="24">
        <f t="shared" si="7"/>
        <v>0</v>
      </c>
      <c r="S1406" s="24"/>
      <c r="T1406" s="24"/>
    </row>
    <row r="1407">
      <c r="A1407" s="12" t="s">
        <v>1495</v>
      </c>
      <c r="F1407" s="19">
        <f>IFERROR(__xludf.DUMMYFUNCTION("SPLIT(A1403, "" |"")"),1401.0)</f>
        <v>1401</v>
      </c>
      <c r="G1407" s="19">
        <f>IFERROR(__xludf.DUMMYFUNCTION("""COMPUTED_VALUE"""),0.00236)</f>
        <v>0.00236</v>
      </c>
      <c r="H1407" s="19" t="str">
        <f>IFERROR(__xludf.DUMMYFUNCTION("""COMPUTED_VALUE"""),"-")</f>
        <v>-</v>
      </c>
      <c r="I1407" s="19">
        <f>IFERROR(__xludf.DUMMYFUNCTION("""COMPUTED_VALUE"""),0.00221)</f>
        <v>0.00221</v>
      </c>
      <c r="J1407" s="19">
        <f>IFERROR(__xludf.DUMMYFUNCTION("""COMPUTED_VALUE"""),0.04742)</f>
        <v>0.04742</v>
      </c>
      <c r="K1407" s="19" t="str">
        <f>IFERROR(__xludf.DUMMYFUNCTION("""COMPUTED_VALUE"""),"-")</f>
        <v>-</v>
      </c>
      <c r="L1407" s="19" t="str">
        <f>IFERROR(__xludf.DUMMYFUNCTION("""COMPUTED_VALUE"""),"-")</f>
        <v>-</v>
      </c>
      <c r="O1407" s="24">
        <f t="shared" si="4"/>
        <v>0</v>
      </c>
      <c r="P1407" s="24"/>
      <c r="Q1407" s="24">
        <f t="shared" si="6"/>
        <v>0</v>
      </c>
      <c r="R1407" s="24">
        <f t="shared" si="7"/>
        <v>0</v>
      </c>
      <c r="S1407" s="24"/>
      <c r="T1407" s="24"/>
    </row>
    <row r="1408">
      <c r="A1408" s="12" t="s">
        <v>1496</v>
      </c>
      <c r="F1408" s="19">
        <f>IFERROR(__xludf.DUMMYFUNCTION("SPLIT(A1404, "" |"")"),1402.0)</f>
        <v>1402</v>
      </c>
      <c r="G1408" s="19">
        <f>IFERROR(__xludf.DUMMYFUNCTION("""COMPUTED_VALUE"""),0.00232)</f>
        <v>0.00232</v>
      </c>
      <c r="H1408" s="19" t="str">
        <f>IFERROR(__xludf.DUMMYFUNCTION("""COMPUTED_VALUE"""),"-")</f>
        <v>-</v>
      </c>
      <c r="I1408" s="19">
        <f>IFERROR(__xludf.DUMMYFUNCTION("""COMPUTED_VALUE"""),0.00222)</f>
        <v>0.00222</v>
      </c>
      <c r="J1408" s="19">
        <f>IFERROR(__xludf.DUMMYFUNCTION("""COMPUTED_VALUE"""),0.04743)</f>
        <v>0.04743</v>
      </c>
      <c r="K1408" s="19" t="str">
        <f>IFERROR(__xludf.DUMMYFUNCTION("""COMPUTED_VALUE"""),"-")</f>
        <v>-</v>
      </c>
      <c r="L1408" s="19" t="str">
        <f>IFERROR(__xludf.DUMMYFUNCTION("""COMPUTED_VALUE"""),"-")</f>
        <v>-</v>
      </c>
      <c r="O1408" s="24">
        <f t="shared" si="4"/>
        <v>0</v>
      </c>
      <c r="P1408" s="24"/>
      <c r="Q1408" s="24">
        <f t="shared" si="6"/>
        <v>0</v>
      </c>
      <c r="R1408" s="24">
        <f t="shared" si="7"/>
        <v>0</v>
      </c>
      <c r="S1408" s="24"/>
      <c r="T1408" s="24"/>
    </row>
    <row r="1409">
      <c r="A1409" s="12" t="s">
        <v>1497</v>
      </c>
      <c r="F1409" s="19">
        <f>IFERROR(__xludf.DUMMYFUNCTION("SPLIT(A1405, "" |"")"),1403.0)</f>
        <v>1403</v>
      </c>
      <c r="G1409" s="19">
        <f>IFERROR(__xludf.DUMMYFUNCTION("""COMPUTED_VALUE"""),0.00236)</f>
        <v>0.00236</v>
      </c>
      <c r="H1409" s="19" t="str">
        <f>IFERROR(__xludf.DUMMYFUNCTION("""COMPUTED_VALUE"""),"-")</f>
        <v>-</v>
      </c>
      <c r="I1409" s="19">
        <f>IFERROR(__xludf.DUMMYFUNCTION("""COMPUTED_VALUE"""),0.00222)</f>
        <v>0.00222</v>
      </c>
      <c r="J1409" s="19">
        <f>IFERROR(__xludf.DUMMYFUNCTION("""COMPUTED_VALUE"""),0.04746)</f>
        <v>0.04746</v>
      </c>
      <c r="K1409" s="19" t="str">
        <f>IFERROR(__xludf.DUMMYFUNCTION("""COMPUTED_VALUE"""),"-")</f>
        <v>-</v>
      </c>
      <c r="L1409" s="19" t="str">
        <f>IFERROR(__xludf.DUMMYFUNCTION("""COMPUTED_VALUE"""),"-")</f>
        <v>-</v>
      </c>
      <c r="O1409" s="24">
        <f t="shared" si="4"/>
        <v>0</v>
      </c>
      <c r="P1409" s="24"/>
      <c r="Q1409" s="24">
        <f t="shared" si="6"/>
        <v>0</v>
      </c>
      <c r="R1409" s="24">
        <f t="shared" si="7"/>
        <v>0</v>
      </c>
      <c r="S1409" s="24"/>
      <c r="T1409" s="24"/>
    </row>
    <row r="1410">
      <c r="A1410" s="12" t="s">
        <v>1498</v>
      </c>
      <c r="F1410" s="19">
        <f>IFERROR(__xludf.DUMMYFUNCTION("SPLIT(A1406, "" |"")"),1404.0)</f>
        <v>1404</v>
      </c>
      <c r="G1410" s="19">
        <f>IFERROR(__xludf.DUMMYFUNCTION("""COMPUTED_VALUE"""),0.00231)</f>
        <v>0.00231</v>
      </c>
      <c r="H1410" s="19" t="str">
        <f>IFERROR(__xludf.DUMMYFUNCTION("""COMPUTED_VALUE"""),"-")</f>
        <v>-</v>
      </c>
      <c r="I1410" s="19">
        <f>IFERROR(__xludf.DUMMYFUNCTION("""COMPUTED_VALUE"""),0.0022)</f>
        <v>0.0022</v>
      </c>
      <c r="J1410" s="19">
        <f>IFERROR(__xludf.DUMMYFUNCTION("""COMPUTED_VALUE"""),0.04749)</f>
        <v>0.04749</v>
      </c>
      <c r="K1410" s="19" t="str">
        <f>IFERROR(__xludf.DUMMYFUNCTION("""COMPUTED_VALUE"""),"-")</f>
        <v>-</v>
      </c>
      <c r="L1410" s="19" t="str">
        <f>IFERROR(__xludf.DUMMYFUNCTION("""COMPUTED_VALUE"""),"-")</f>
        <v>-</v>
      </c>
      <c r="O1410" s="24">
        <f t="shared" si="4"/>
        <v>0</v>
      </c>
      <c r="P1410" s="24"/>
      <c r="Q1410" s="24">
        <f t="shared" si="6"/>
        <v>0</v>
      </c>
      <c r="R1410" s="24">
        <f t="shared" si="7"/>
        <v>0</v>
      </c>
      <c r="S1410" s="24"/>
      <c r="T1410" s="24"/>
    </row>
    <row r="1411">
      <c r="A1411" s="12" t="s">
        <v>1499</v>
      </c>
      <c r="F1411" s="19">
        <f>IFERROR(__xludf.DUMMYFUNCTION("SPLIT(A1407, "" |"")"),1405.0)</f>
        <v>1405</v>
      </c>
      <c r="G1411" s="19">
        <f>IFERROR(__xludf.DUMMYFUNCTION("""COMPUTED_VALUE"""),0.00233)</f>
        <v>0.00233</v>
      </c>
      <c r="H1411" s="19" t="str">
        <f>IFERROR(__xludf.DUMMYFUNCTION("""COMPUTED_VALUE"""),"-")</f>
        <v>-</v>
      </c>
      <c r="I1411" s="19">
        <f>IFERROR(__xludf.DUMMYFUNCTION("""COMPUTED_VALUE"""),0.00218)</f>
        <v>0.00218</v>
      </c>
      <c r="J1411" s="19">
        <f>IFERROR(__xludf.DUMMYFUNCTION("""COMPUTED_VALUE"""),0.0474)</f>
        <v>0.0474</v>
      </c>
      <c r="K1411" s="19" t="str">
        <f>IFERROR(__xludf.DUMMYFUNCTION("""COMPUTED_VALUE"""),"-")</f>
        <v>-</v>
      </c>
      <c r="L1411" s="19" t="str">
        <f>IFERROR(__xludf.DUMMYFUNCTION("""COMPUTED_VALUE"""),"-")</f>
        <v>-</v>
      </c>
      <c r="O1411" s="24">
        <f t="shared" si="4"/>
        <v>0</v>
      </c>
      <c r="P1411" s="24"/>
      <c r="Q1411" s="24">
        <f t="shared" si="6"/>
        <v>0</v>
      </c>
      <c r="R1411" s="24">
        <f t="shared" si="7"/>
        <v>0</v>
      </c>
      <c r="S1411" s="24"/>
      <c r="T1411" s="24"/>
    </row>
    <row r="1412">
      <c r="A1412" s="12" t="s">
        <v>1500</v>
      </c>
      <c r="F1412" s="19">
        <f>IFERROR(__xludf.DUMMYFUNCTION("SPLIT(A1408, "" |"")"),1406.0)</f>
        <v>1406</v>
      </c>
      <c r="G1412" s="19">
        <f>IFERROR(__xludf.DUMMYFUNCTION("""COMPUTED_VALUE"""),0.00227)</f>
        <v>0.00227</v>
      </c>
      <c r="H1412" s="19" t="str">
        <f>IFERROR(__xludf.DUMMYFUNCTION("""COMPUTED_VALUE"""),"-")</f>
        <v>-</v>
      </c>
      <c r="I1412" s="19">
        <f>IFERROR(__xludf.DUMMYFUNCTION("""COMPUTED_VALUE"""),0.00225)</f>
        <v>0.00225</v>
      </c>
      <c r="J1412" s="19">
        <f>IFERROR(__xludf.DUMMYFUNCTION("""COMPUTED_VALUE"""),0.04127)</f>
        <v>0.04127</v>
      </c>
      <c r="K1412" s="19" t="str">
        <f>IFERROR(__xludf.DUMMYFUNCTION("""COMPUTED_VALUE"""),"-")</f>
        <v>-</v>
      </c>
      <c r="L1412" s="19" t="str">
        <f>IFERROR(__xludf.DUMMYFUNCTION("""COMPUTED_VALUE"""),"-")</f>
        <v>-</v>
      </c>
      <c r="O1412" s="24">
        <f t="shared" si="4"/>
        <v>0</v>
      </c>
      <c r="P1412" s="24"/>
      <c r="Q1412" s="24">
        <f t="shared" si="6"/>
        <v>0</v>
      </c>
      <c r="R1412" s="24">
        <f t="shared" si="7"/>
        <v>1</v>
      </c>
      <c r="S1412" s="24"/>
      <c r="T1412" s="24"/>
    </row>
    <row r="1413">
      <c r="A1413" s="12" t="s">
        <v>1501</v>
      </c>
      <c r="F1413" s="19">
        <f>IFERROR(__xludf.DUMMYFUNCTION("SPLIT(A1409, "" |"")"),1407.0)</f>
        <v>1407</v>
      </c>
      <c r="G1413" s="19">
        <f>IFERROR(__xludf.DUMMYFUNCTION("""COMPUTED_VALUE"""),0.0024)</f>
        <v>0.0024</v>
      </c>
      <c r="H1413" s="19" t="str">
        <f>IFERROR(__xludf.DUMMYFUNCTION("""COMPUTED_VALUE"""),"-")</f>
        <v>-</v>
      </c>
      <c r="I1413" s="19">
        <f>IFERROR(__xludf.DUMMYFUNCTION("""COMPUTED_VALUE"""),0.00223)</f>
        <v>0.00223</v>
      </c>
      <c r="J1413" s="19">
        <f>IFERROR(__xludf.DUMMYFUNCTION("""COMPUTED_VALUE"""),0.04747)</f>
        <v>0.04747</v>
      </c>
      <c r="K1413" s="19" t="str">
        <f>IFERROR(__xludf.DUMMYFUNCTION("""COMPUTED_VALUE"""),"-")</f>
        <v>-</v>
      </c>
      <c r="L1413" s="19" t="str">
        <f>IFERROR(__xludf.DUMMYFUNCTION("""COMPUTED_VALUE"""),"-")</f>
        <v>-</v>
      </c>
      <c r="O1413" s="24">
        <f t="shared" si="4"/>
        <v>0</v>
      </c>
      <c r="P1413" s="24"/>
      <c r="Q1413" s="24">
        <f t="shared" si="6"/>
        <v>0</v>
      </c>
      <c r="R1413" s="24">
        <f t="shared" si="7"/>
        <v>0</v>
      </c>
      <c r="S1413" s="24"/>
      <c r="T1413" s="24"/>
    </row>
    <row r="1414">
      <c r="A1414" s="12" t="s">
        <v>1502</v>
      </c>
      <c r="F1414" s="19">
        <f>IFERROR(__xludf.DUMMYFUNCTION("SPLIT(A1410, "" |"")"),1408.0)</f>
        <v>1408</v>
      </c>
      <c r="G1414" s="19">
        <f>IFERROR(__xludf.DUMMYFUNCTION("""COMPUTED_VALUE"""),0.00235)</f>
        <v>0.00235</v>
      </c>
      <c r="H1414" s="19" t="str">
        <f>IFERROR(__xludf.DUMMYFUNCTION("""COMPUTED_VALUE"""),"-")</f>
        <v>-</v>
      </c>
      <c r="I1414" s="19">
        <f>IFERROR(__xludf.DUMMYFUNCTION("""COMPUTED_VALUE"""),0.00211)</f>
        <v>0.00211</v>
      </c>
      <c r="J1414" s="19">
        <f>IFERROR(__xludf.DUMMYFUNCTION("""COMPUTED_VALUE"""),0.04334)</f>
        <v>0.04334</v>
      </c>
      <c r="K1414" s="19" t="str">
        <f>IFERROR(__xludf.DUMMYFUNCTION("""COMPUTED_VALUE"""),"-")</f>
        <v>-</v>
      </c>
      <c r="L1414" s="19" t="str">
        <f>IFERROR(__xludf.DUMMYFUNCTION("""COMPUTED_VALUE"""),"-")</f>
        <v>-</v>
      </c>
      <c r="O1414" s="24">
        <f t="shared" si="4"/>
        <v>0</v>
      </c>
      <c r="P1414" s="24"/>
      <c r="Q1414" s="24">
        <f t="shared" si="6"/>
        <v>0</v>
      </c>
      <c r="R1414" s="24">
        <f t="shared" si="7"/>
        <v>1</v>
      </c>
      <c r="S1414" s="24"/>
      <c r="T1414" s="24"/>
    </row>
    <row r="1415">
      <c r="A1415" s="12" t="s">
        <v>1503</v>
      </c>
      <c r="F1415" s="19">
        <f>IFERROR(__xludf.DUMMYFUNCTION("SPLIT(A1411, "" |"")"),1409.0)</f>
        <v>1409</v>
      </c>
      <c r="G1415" s="19">
        <f>IFERROR(__xludf.DUMMYFUNCTION("""COMPUTED_VALUE"""),0.0024)</f>
        <v>0.0024</v>
      </c>
      <c r="H1415" s="19" t="str">
        <f>IFERROR(__xludf.DUMMYFUNCTION("""COMPUTED_VALUE"""),"-")</f>
        <v>-</v>
      </c>
      <c r="I1415" s="19">
        <f>IFERROR(__xludf.DUMMYFUNCTION("""COMPUTED_VALUE"""),0.00222)</f>
        <v>0.00222</v>
      </c>
      <c r="J1415" s="19">
        <f>IFERROR(__xludf.DUMMYFUNCTION("""COMPUTED_VALUE"""),0.04413)</f>
        <v>0.04413</v>
      </c>
      <c r="K1415" s="19" t="str">
        <f>IFERROR(__xludf.DUMMYFUNCTION("""COMPUTED_VALUE"""),"-")</f>
        <v>-</v>
      </c>
      <c r="L1415" s="19" t="str">
        <f>IFERROR(__xludf.DUMMYFUNCTION("""COMPUTED_VALUE"""),"-")</f>
        <v>-</v>
      </c>
      <c r="O1415" s="24">
        <f t="shared" si="4"/>
        <v>0</v>
      </c>
      <c r="P1415" s="24"/>
      <c r="Q1415" s="24">
        <f t="shared" si="6"/>
        <v>0</v>
      </c>
      <c r="R1415" s="24">
        <f t="shared" si="7"/>
        <v>1</v>
      </c>
      <c r="S1415" s="24"/>
      <c r="T1415" s="24"/>
    </row>
    <row r="1416">
      <c r="A1416" s="12" t="s">
        <v>1504</v>
      </c>
      <c r="F1416" s="19">
        <f>IFERROR(__xludf.DUMMYFUNCTION("SPLIT(A1412, "" |"")"),1410.0)</f>
        <v>1410</v>
      </c>
      <c r="G1416" s="19">
        <f>IFERROR(__xludf.DUMMYFUNCTION("""COMPUTED_VALUE"""),0.00229)</f>
        <v>0.00229</v>
      </c>
      <c r="H1416" s="19" t="str">
        <f>IFERROR(__xludf.DUMMYFUNCTION("""COMPUTED_VALUE"""),"-")</f>
        <v>-</v>
      </c>
      <c r="I1416" s="19">
        <f>IFERROR(__xludf.DUMMYFUNCTION("""COMPUTED_VALUE"""),0.00218)</f>
        <v>0.00218</v>
      </c>
      <c r="J1416" s="19">
        <f>IFERROR(__xludf.DUMMYFUNCTION("""COMPUTED_VALUE"""),0.04389)</f>
        <v>0.04389</v>
      </c>
      <c r="K1416" s="19" t="str">
        <f>IFERROR(__xludf.DUMMYFUNCTION("""COMPUTED_VALUE"""),"-")</f>
        <v>-</v>
      </c>
      <c r="L1416" s="19" t="str">
        <f>IFERROR(__xludf.DUMMYFUNCTION("""COMPUTED_VALUE"""),"-")</f>
        <v>-</v>
      </c>
      <c r="O1416" s="24">
        <f t="shared" si="4"/>
        <v>0</v>
      </c>
      <c r="P1416" s="24"/>
      <c r="Q1416" s="24">
        <f t="shared" si="6"/>
        <v>0</v>
      </c>
      <c r="R1416" s="24">
        <f t="shared" si="7"/>
        <v>1</v>
      </c>
      <c r="S1416" s="24"/>
      <c r="T1416" s="24"/>
    </row>
    <row r="1417">
      <c r="A1417" s="12" t="s">
        <v>1505</v>
      </c>
      <c r="F1417" s="19">
        <f>IFERROR(__xludf.DUMMYFUNCTION("SPLIT(A1413, "" |"")"),1411.0)</f>
        <v>1411</v>
      </c>
      <c r="G1417" s="19">
        <f>IFERROR(__xludf.DUMMYFUNCTION("""COMPUTED_VALUE"""),0.0023)</f>
        <v>0.0023</v>
      </c>
      <c r="H1417" s="19" t="str">
        <f>IFERROR(__xludf.DUMMYFUNCTION("""COMPUTED_VALUE"""),"-")</f>
        <v>-</v>
      </c>
      <c r="I1417" s="19">
        <f>IFERROR(__xludf.DUMMYFUNCTION("""COMPUTED_VALUE"""),0.00216)</f>
        <v>0.00216</v>
      </c>
      <c r="J1417" s="19">
        <f>IFERROR(__xludf.DUMMYFUNCTION("""COMPUTED_VALUE"""),0.04559)</f>
        <v>0.04559</v>
      </c>
      <c r="K1417" s="19" t="str">
        <f>IFERROR(__xludf.DUMMYFUNCTION("""COMPUTED_VALUE"""),"-")</f>
        <v>-</v>
      </c>
      <c r="L1417" s="19" t="str">
        <f>IFERROR(__xludf.DUMMYFUNCTION("""COMPUTED_VALUE"""),"-")</f>
        <v>-</v>
      </c>
      <c r="O1417" s="24">
        <f t="shared" si="4"/>
        <v>0</v>
      </c>
      <c r="P1417" s="24"/>
      <c r="Q1417" s="24">
        <f t="shared" si="6"/>
        <v>0</v>
      </c>
      <c r="R1417" s="24">
        <f t="shared" si="7"/>
        <v>0</v>
      </c>
      <c r="S1417" s="24"/>
      <c r="T1417" s="24"/>
    </row>
    <row r="1418">
      <c r="A1418" s="12" t="s">
        <v>1506</v>
      </c>
      <c r="F1418" s="19">
        <f>IFERROR(__xludf.DUMMYFUNCTION("SPLIT(A1414, "" |"")"),1412.0)</f>
        <v>1412</v>
      </c>
      <c r="G1418" s="19">
        <f>IFERROR(__xludf.DUMMYFUNCTION("""COMPUTED_VALUE"""),0.00238)</f>
        <v>0.00238</v>
      </c>
      <c r="H1418" s="19" t="str">
        <f>IFERROR(__xludf.DUMMYFUNCTION("""COMPUTED_VALUE"""),"-")</f>
        <v>-</v>
      </c>
      <c r="I1418" s="19">
        <f>IFERROR(__xludf.DUMMYFUNCTION("""COMPUTED_VALUE"""),0.00222)</f>
        <v>0.00222</v>
      </c>
      <c r="J1418" s="19">
        <f>IFERROR(__xludf.DUMMYFUNCTION("""COMPUTED_VALUE"""),0.0433)</f>
        <v>0.0433</v>
      </c>
      <c r="K1418" s="19" t="str">
        <f>IFERROR(__xludf.DUMMYFUNCTION("""COMPUTED_VALUE"""),"-")</f>
        <v>-</v>
      </c>
      <c r="L1418" s="19" t="str">
        <f>IFERROR(__xludf.DUMMYFUNCTION("""COMPUTED_VALUE"""),"-")</f>
        <v>-</v>
      </c>
      <c r="O1418" s="24">
        <f t="shared" si="4"/>
        <v>0</v>
      </c>
      <c r="P1418" s="24"/>
      <c r="Q1418" s="24">
        <f t="shared" si="6"/>
        <v>0</v>
      </c>
      <c r="R1418" s="24">
        <f t="shared" si="7"/>
        <v>1</v>
      </c>
      <c r="S1418" s="24"/>
      <c r="T1418" s="24"/>
    </row>
    <row r="1419">
      <c r="A1419" s="12" t="s">
        <v>1507</v>
      </c>
      <c r="F1419" s="19">
        <f>IFERROR(__xludf.DUMMYFUNCTION("SPLIT(A1415, "" |"")"),1413.0)</f>
        <v>1413</v>
      </c>
      <c r="G1419" s="19">
        <f>IFERROR(__xludf.DUMMYFUNCTION("""COMPUTED_VALUE"""),0.00244)</f>
        <v>0.00244</v>
      </c>
      <c r="H1419" s="19" t="str">
        <f>IFERROR(__xludf.DUMMYFUNCTION("""COMPUTED_VALUE"""),"-")</f>
        <v>-</v>
      </c>
      <c r="I1419" s="19">
        <f>IFERROR(__xludf.DUMMYFUNCTION("""COMPUTED_VALUE"""),0.00225)</f>
        <v>0.00225</v>
      </c>
      <c r="J1419" s="19">
        <f>IFERROR(__xludf.DUMMYFUNCTION("""COMPUTED_VALUE"""),0.04743)</f>
        <v>0.04743</v>
      </c>
      <c r="K1419" s="19" t="str">
        <f>IFERROR(__xludf.DUMMYFUNCTION("""COMPUTED_VALUE"""),"-")</f>
        <v>-</v>
      </c>
      <c r="L1419" s="19" t="str">
        <f>IFERROR(__xludf.DUMMYFUNCTION("""COMPUTED_VALUE"""),"-")</f>
        <v>-</v>
      </c>
      <c r="O1419" s="24">
        <f t="shared" si="4"/>
        <v>0</v>
      </c>
      <c r="P1419" s="24"/>
      <c r="Q1419" s="24">
        <f t="shared" si="6"/>
        <v>0</v>
      </c>
      <c r="R1419" s="24">
        <f t="shared" si="7"/>
        <v>0</v>
      </c>
      <c r="S1419" s="24"/>
      <c r="T1419" s="24"/>
    </row>
    <row r="1420">
      <c r="A1420" s="12" t="s">
        <v>1508</v>
      </c>
      <c r="F1420" s="19">
        <f>IFERROR(__xludf.DUMMYFUNCTION("SPLIT(A1416, "" |"")"),1414.0)</f>
        <v>1414</v>
      </c>
      <c r="G1420" s="19">
        <f>IFERROR(__xludf.DUMMYFUNCTION("""COMPUTED_VALUE"""),0.00243)</f>
        <v>0.00243</v>
      </c>
      <c r="H1420" s="19" t="str">
        <f>IFERROR(__xludf.DUMMYFUNCTION("""COMPUTED_VALUE"""),"-")</f>
        <v>-</v>
      </c>
      <c r="I1420" s="19">
        <f>IFERROR(__xludf.DUMMYFUNCTION("""COMPUTED_VALUE"""),0.00216)</f>
        <v>0.00216</v>
      </c>
      <c r="J1420" s="19">
        <f>IFERROR(__xludf.DUMMYFUNCTION("""COMPUTED_VALUE"""),0.04554)</f>
        <v>0.04554</v>
      </c>
      <c r="K1420" s="19" t="str">
        <f>IFERROR(__xludf.DUMMYFUNCTION("""COMPUTED_VALUE"""),"-")</f>
        <v>-</v>
      </c>
      <c r="L1420" s="19" t="str">
        <f>IFERROR(__xludf.DUMMYFUNCTION("""COMPUTED_VALUE"""),"-")</f>
        <v>-</v>
      </c>
      <c r="O1420" s="24">
        <f t="shared" si="4"/>
        <v>0</v>
      </c>
      <c r="P1420" s="24"/>
      <c r="Q1420" s="24">
        <f t="shared" si="6"/>
        <v>0</v>
      </c>
      <c r="R1420" s="24">
        <f t="shared" si="7"/>
        <v>0</v>
      </c>
      <c r="S1420" s="24"/>
      <c r="T1420" s="24"/>
    </row>
    <row r="1421">
      <c r="A1421" s="12" t="s">
        <v>1509</v>
      </c>
      <c r="F1421" s="19">
        <f>IFERROR(__xludf.DUMMYFUNCTION("SPLIT(A1417, "" |"")"),1415.0)</f>
        <v>1415</v>
      </c>
      <c r="G1421" s="19">
        <f>IFERROR(__xludf.DUMMYFUNCTION("""COMPUTED_VALUE"""),0.0024)</f>
        <v>0.0024</v>
      </c>
      <c r="H1421" s="19" t="str">
        <f>IFERROR(__xludf.DUMMYFUNCTION("""COMPUTED_VALUE"""),"-")</f>
        <v>-</v>
      </c>
      <c r="I1421" s="19">
        <f>IFERROR(__xludf.DUMMYFUNCTION("""COMPUTED_VALUE"""),0.00226)</f>
        <v>0.00226</v>
      </c>
      <c r="J1421" s="19">
        <f>IFERROR(__xludf.DUMMYFUNCTION("""COMPUTED_VALUE"""),0.04602)</f>
        <v>0.04602</v>
      </c>
      <c r="K1421" s="19" t="str">
        <f>IFERROR(__xludf.DUMMYFUNCTION("""COMPUTED_VALUE"""),"-")</f>
        <v>-</v>
      </c>
      <c r="L1421" s="19" t="str">
        <f>IFERROR(__xludf.DUMMYFUNCTION("""COMPUTED_VALUE"""),"-")</f>
        <v>-</v>
      </c>
      <c r="O1421" s="24">
        <f t="shared" si="4"/>
        <v>0</v>
      </c>
      <c r="P1421" s="24"/>
      <c r="Q1421" s="24">
        <f t="shared" si="6"/>
        <v>0</v>
      </c>
      <c r="R1421" s="24">
        <f t="shared" si="7"/>
        <v>0</v>
      </c>
      <c r="S1421" s="24"/>
      <c r="T1421" s="24"/>
    </row>
    <row r="1422">
      <c r="A1422" s="12" t="s">
        <v>1510</v>
      </c>
      <c r="F1422" s="19">
        <f>IFERROR(__xludf.DUMMYFUNCTION("SPLIT(A1418, "" |"")"),1416.0)</f>
        <v>1416</v>
      </c>
      <c r="G1422" s="19">
        <f>IFERROR(__xludf.DUMMYFUNCTION("""COMPUTED_VALUE"""),0.00234)</f>
        <v>0.00234</v>
      </c>
      <c r="H1422" s="19" t="str">
        <f>IFERROR(__xludf.DUMMYFUNCTION("""COMPUTED_VALUE"""),"-")</f>
        <v>-</v>
      </c>
      <c r="I1422" s="19">
        <f>IFERROR(__xludf.DUMMYFUNCTION("""COMPUTED_VALUE"""),0.00227)</f>
        <v>0.00227</v>
      </c>
      <c r="J1422" s="19">
        <f>IFERROR(__xludf.DUMMYFUNCTION("""COMPUTED_VALUE"""),0.04746)</f>
        <v>0.04746</v>
      </c>
      <c r="K1422" s="19" t="str">
        <f>IFERROR(__xludf.DUMMYFUNCTION("""COMPUTED_VALUE"""),"-")</f>
        <v>-</v>
      </c>
      <c r="L1422" s="19" t="str">
        <f>IFERROR(__xludf.DUMMYFUNCTION("""COMPUTED_VALUE"""),"-")</f>
        <v>-</v>
      </c>
      <c r="O1422" s="24">
        <f t="shared" si="4"/>
        <v>0</v>
      </c>
      <c r="P1422" s="24"/>
      <c r="Q1422" s="24">
        <f t="shared" si="6"/>
        <v>0</v>
      </c>
      <c r="R1422" s="24">
        <f t="shared" si="7"/>
        <v>0</v>
      </c>
      <c r="S1422" s="24"/>
      <c r="T1422" s="24"/>
    </row>
    <row r="1423">
      <c r="A1423" s="12" t="s">
        <v>1511</v>
      </c>
      <c r="F1423" s="19">
        <f>IFERROR(__xludf.DUMMYFUNCTION("SPLIT(A1419, "" |"")"),1417.0)</f>
        <v>1417</v>
      </c>
      <c r="G1423" s="19">
        <f>IFERROR(__xludf.DUMMYFUNCTION("""COMPUTED_VALUE"""),0.00236)</f>
        <v>0.00236</v>
      </c>
      <c r="H1423" s="19" t="str">
        <f>IFERROR(__xludf.DUMMYFUNCTION("""COMPUTED_VALUE"""),"-")</f>
        <v>-</v>
      </c>
      <c r="I1423" s="19">
        <f>IFERROR(__xludf.DUMMYFUNCTION("""COMPUTED_VALUE"""),0.00219)</f>
        <v>0.00219</v>
      </c>
      <c r="J1423" s="19">
        <f>IFERROR(__xludf.DUMMYFUNCTION("""COMPUTED_VALUE"""),0.04747)</f>
        <v>0.04747</v>
      </c>
      <c r="K1423" s="19" t="str">
        <f>IFERROR(__xludf.DUMMYFUNCTION("""COMPUTED_VALUE"""),"-")</f>
        <v>-</v>
      </c>
      <c r="L1423" s="19" t="str">
        <f>IFERROR(__xludf.DUMMYFUNCTION("""COMPUTED_VALUE"""),"-")</f>
        <v>-</v>
      </c>
      <c r="O1423" s="24">
        <f t="shared" si="4"/>
        <v>0</v>
      </c>
      <c r="P1423" s="24"/>
      <c r="Q1423" s="24">
        <f t="shared" si="6"/>
        <v>0</v>
      </c>
      <c r="R1423" s="24">
        <f t="shared" si="7"/>
        <v>0</v>
      </c>
      <c r="S1423" s="24"/>
      <c r="T1423" s="24"/>
    </row>
    <row r="1424">
      <c r="A1424" s="12" t="s">
        <v>1512</v>
      </c>
      <c r="F1424" s="19">
        <f>IFERROR(__xludf.DUMMYFUNCTION("SPLIT(A1420, "" |"")"),1418.0)</f>
        <v>1418</v>
      </c>
      <c r="G1424" s="19">
        <f>IFERROR(__xludf.DUMMYFUNCTION("""COMPUTED_VALUE"""),0.00234)</f>
        <v>0.00234</v>
      </c>
      <c r="H1424" s="19" t="str">
        <f>IFERROR(__xludf.DUMMYFUNCTION("""COMPUTED_VALUE"""),"-")</f>
        <v>-</v>
      </c>
      <c r="I1424" s="19">
        <f>IFERROR(__xludf.DUMMYFUNCTION("""COMPUTED_VALUE"""),0.00222)</f>
        <v>0.00222</v>
      </c>
      <c r="J1424" s="19">
        <f>IFERROR(__xludf.DUMMYFUNCTION("""COMPUTED_VALUE"""),0.04751)</f>
        <v>0.04751</v>
      </c>
      <c r="K1424" s="19" t="str">
        <f>IFERROR(__xludf.DUMMYFUNCTION("""COMPUTED_VALUE"""),"-")</f>
        <v>-</v>
      </c>
      <c r="L1424" s="19" t="str">
        <f>IFERROR(__xludf.DUMMYFUNCTION("""COMPUTED_VALUE"""),"-")</f>
        <v>-</v>
      </c>
      <c r="O1424" s="24">
        <f t="shared" si="4"/>
        <v>0</v>
      </c>
      <c r="P1424" s="24"/>
      <c r="Q1424" s="24">
        <f t="shared" si="6"/>
        <v>0</v>
      </c>
      <c r="R1424" s="24">
        <f t="shared" si="7"/>
        <v>0</v>
      </c>
      <c r="S1424" s="24"/>
      <c r="T1424" s="24"/>
    </row>
    <row r="1425">
      <c r="A1425" s="12" t="s">
        <v>1513</v>
      </c>
      <c r="F1425" s="19">
        <f>IFERROR(__xludf.DUMMYFUNCTION("SPLIT(A1421, "" |"")"),1419.0)</f>
        <v>1419</v>
      </c>
      <c r="G1425" s="19">
        <f>IFERROR(__xludf.DUMMYFUNCTION("""COMPUTED_VALUE"""),0.00238)</f>
        <v>0.00238</v>
      </c>
      <c r="H1425" s="19" t="str">
        <f>IFERROR(__xludf.DUMMYFUNCTION("""COMPUTED_VALUE"""),"-")</f>
        <v>-</v>
      </c>
      <c r="I1425" s="19">
        <f>IFERROR(__xludf.DUMMYFUNCTION("""COMPUTED_VALUE"""),0.00218)</f>
        <v>0.00218</v>
      </c>
      <c r="J1425" s="19">
        <f>IFERROR(__xludf.DUMMYFUNCTION("""COMPUTED_VALUE"""),0.04189)</f>
        <v>0.04189</v>
      </c>
      <c r="K1425" s="19" t="str">
        <f>IFERROR(__xludf.DUMMYFUNCTION("""COMPUTED_VALUE"""),"-")</f>
        <v>-</v>
      </c>
      <c r="L1425" s="19" t="str">
        <f>IFERROR(__xludf.DUMMYFUNCTION("""COMPUTED_VALUE"""),"-")</f>
        <v>-</v>
      </c>
      <c r="O1425" s="24">
        <f t="shared" si="4"/>
        <v>0</v>
      </c>
      <c r="P1425" s="24"/>
      <c r="Q1425" s="24">
        <f t="shared" si="6"/>
        <v>0</v>
      </c>
      <c r="R1425" s="24">
        <f t="shared" si="7"/>
        <v>1</v>
      </c>
      <c r="S1425" s="24"/>
      <c r="T1425" s="24"/>
    </row>
    <row r="1426">
      <c r="A1426" s="12" t="s">
        <v>1514</v>
      </c>
      <c r="F1426" s="19">
        <f>IFERROR(__xludf.DUMMYFUNCTION("SPLIT(A1422, "" |"")"),1420.0)</f>
        <v>1420</v>
      </c>
      <c r="G1426" s="19">
        <f>IFERROR(__xludf.DUMMYFUNCTION("""COMPUTED_VALUE"""),0.00237)</f>
        <v>0.00237</v>
      </c>
      <c r="H1426" s="19" t="str">
        <f>IFERROR(__xludf.DUMMYFUNCTION("""COMPUTED_VALUE"""),"-")</f>
        <v>-</v>
      </c>
      <c r="I1426" s="19">
        <f>IFERROR(__xludf.DUMMYFUNCTION("""COMPUTED_VALUE"""),0.00222)</f>
        <v>0.00222</v>
      </c>
      <c r="J1426" s="19">
        <f>IFERROR(__xludf.DUMMYFUNCTION("""COMPUTED_VALUE"""),0.04748)</f>
        <v>0.04748</v>
      </c>
      <c r="K1426" s="19" t="str">
        <f>IFERROR(__xludf.DUMMYFUNCTION("""COMPUTED_VALUE"""),"-")</f>
        <v>-</v>
      </c>
      <c r="L1426" s="19" t="str">
        <f>IFERROR(__xludf.DUMMYFUNCTION("""COMPUTED_VALUE"""),"-")</f>
        <v>-</v>
      </c>
      <c r="O1426" s="24">
        <f t="shared" si="4"/>
        <v>0</v>
      </c>
      <c r="P1426" s="24"/>
      <c r="Q1426" s="24">
        <f t="shared" si="6"/>
        <v>0</v>
      </c>
      <c r="R1426" s="24">
        <f t="shared" si="7"/>
        <v>0</v>
      </c>
      <c r="S1426" s="24"/>
      <c r="T1426" s="24"/>
    </row>
    <row r="1427">
      <c r="A1427" s="12" t="s">
        <v>1515</v>
      </c>
      <c r="F1427" s="19">
        <f>IFERROR(__xludf.DUMMYFUNCTION("SPLIT(A1423, "" |"")"),1421.0)</f>
        <v>1421</v>
      </c>
      <c r="G1427" s="19">
        <f>IFERROR(__xludf.DUMMYFUNCTION("""COMPUTED_VALUE"""),0.00233)</f>
        <v>0.00233</v>
      </c>
      <c r="H1427" s="19" t="str">
        <f>IFERROR(__xludf.DUMMYFUNCTION("""COMPUTED_VALUE"""),"-")</f>
        <v>-</v>
      </c>
      <c r="I1427" s="19">
        <f>IFERROR(__xludf.DUMMYFUNCTION("""COMPUTED_VALUE"""),0.00219)</f>
        <v>0.00219</v>
      </c>
      <c r="J1427" s="19">
        <f>IFERROR(__xludf.DUMMYFUNCTION("""COMPUTED_VALUE"""),0.04744)</f>
        <v>0.04744</v>
      </c>
      <c r="K1427" s="19" t="str">
        <f>IFERROR(__xludf.DUMMYFUNCTION("""COMPUTED_VALUE"""),"-")</f>
        <v>-</v>
      </c>
      <c r="L1427" s="19" t="str">
        <f>IFERROR(__xludf.DUMMYFUNCTION("""COMPUTED_VALUE"""),"-")</f>
        <v>-</v>
      </c>
      <c r="O1427" s="24">
        <f t="shared" si="4"/>
        <v>0</v>
      </c>
      <c r="P1427" s="24"/>
      <c r="Q1427" s="24">
        <f t="shared" si="6"/>
        <v>0</v>
      </c>
      <c r="R1427" s="24">
        <f t="shared" si="7"/>
        <v>0</v>
      </c>
      <c r="S1427" s="24"/>
      <c r="T1427" s="24"/>
    </row>
    <row r="1428">
      <c r="A1428" s="12" t="s">
        <v>1516</v>
      </c>
      <c r="F1428" s="19">
        <f>IFERROR(__xludf.DUMMYFUNCTION("SPLIT(A1424, "" |"")"),1422.0)</f>
        <v>1422</v>
      </c>
      <c r="G1428" s="19">
        <f>IFERROR(__xludf.DUMMYFUNCTION("""COMPUTED_VALUE"""),0.00236)</f>
        <v>0.00236</v>
      </c>
      <c r="H1428" s="19" t="str">
        <f>IFERROR(__xludf.DUMMYFUNCTION("""COMPUTED_VALUE"""),"-")</f>
        <v>-</v>
      </c>
      <c r="I1428" s="19">
        <f>IFERROR(__xludf.DUMMYFUNCTION("""COMPUTED_VALUE"""),0.00223)</f>
        <v>0.00223</v>
      </c>
      <c r="J1428" s="19">
        <f>IFERROR(__xludf.DUMMYFUNCTION("""COMPUTED_VALUE"""),0.04494)</f>
        <v>0.04494</v>
      </c>
      <c r="K1428" s="19" t="str">
        <f>IFERROR(__xludf.DUMMYFUNCTION("""COMPUTED_VALUE"""),"-")</f>
        <v>-</v>
      </c>
      <c r="L1428" s="19" t="str">
        <f>IFERROR(__xludf.DUMMYFUNCTION("""COMPUTED_VALUE"""),"-")</f>
        <v>-</v>
      </c>
      <c r="O1428" s="24">
        <f t="shared" si="4"/>
        <v>0</v>
      </c>
      <c r="P1428" s="24"/>
      <c r="Q1428" s="24">
        <f t="shared" si="6"/>
        <v>0</v>
      </c>
      <c r="R1428" s="24">
        <f t="shared" si="7"/>
        <v>0</v>
      </c>
      <c r="S1428" s="24"/>
      <c r="T1428" s="24"/>
    </row>
    <row r="1429">
      <c r="A1429" s="12" t="s">
        <v>1517</v>
      </c>
      <c r="F1429" s="19">
        <f>IFERROR(__xludf.DUMMYFUNCTION("SPLIT(A1425, "" |"")"),1423.0)</f>
        <v>1423</v>
      </c>
      <c r="G1429" s="19">
        <f>IFERROR(__xludf.DUMMYFUNCTION("""COMPUTED_VALUE"""),0.00235)</f>
        <v>0.00235</v>
      </c>
      <c r="H1429" s="19" t="str">
        <f>IFERROR(__xludf.DUMMYFUNCTION("""COMPUTED_VALUE"""),"-")</f>
        <v>-</v>
      </c>
      <c r="I1429" s="19">
        <f>IFERROR(__xludf.DUMMYFUNCTION("""COMPUTED_VALUE"""),0.00223)</f>
        <v>0.00223</v>
      </c>
      <c r="J1429" s="19">
        <f>IFERROR(__xludf.DUMMYFUNCTION("""COMPUTED_VALUE"""),0.04746)</f>
        <v>0.04746</v>
      </c>
      <c r="K1429" s="19" t="str">
        <f>IFERROR(__xludf.DUMMYFUNCTION("""COMPUTED_VALUE"""),"-")</f>
        <v>-</v>
      </c>
      <c r="L1429" s="19" t="str">
        <f>IFERROR(__xludf.DUMMYFUNCTION("""COMPUTED_VALUE"""),"-")</f>
        <v>-</v>
      </c>
      <c r="O1429" s="24">
        <f t="shared" si="4"/>
        <v>0</v>
      </c>
      <c r="P1429" s="24"/>
      <c r="Q1429" s="24">
        <f t="shared" si="6"/>
        <v>0</v>
      </c>
      <c r="R1429" s="24">
        <f t="shared" si="7"/>
        <v>0</v>
      </c>
      <c r="S1429" s="24"/>
      <c r="T1429" s="24"/>
    </row>
    <row r="1430">
      <c r="A1430" s="12" t="s">
        <v>1518</v>
      </c>
      <c r="F1430" s="19">
        <f>IFERROR(__xludf.DUMMYFUNCTION("SPLIT(A1426, "" |"")"),1424.0)</f>
        <v>1424</v>
      </c>
      <c r="G1430" s="19">
        <f>IFERROR(__xludf.DUMMYFUNCTION("""COMPUTED_VALUE"""),0.00231)</f>
        <v>0.00231</v>
      </c>
      <c r="H1430" s="19" t="str">
        <f>IFERROR(__xludf.DUMMYFUNCTION("""COMPUTED_VALUE"""),"-")</f>
        <v>-</v>
      </c>
      <c r="I1430" s="19">
        <f>IFERROR(__xludf.DUMMYFUNCTION("""COMPUTED_VALUE"""),0.0022)</f>
        <v>0.0022</v>
      </c>
      <c r="J1430" s="19">
        <f>IFERROR(__xludf.DUMMYFUNCTION("""COMPUTED_VALUE"""),0.04752)</f>
        <v>0.04752</v>
      </c>
      <c r="K1430" s="19" t="str">
        <f>IFERROR(__xludf.DUMMYFUNCTION("""COMPUTED_VALUE"""),"-")</f>
        <v>-</v>
      </c>
      <c r="L1430" s="19" t="str">
        <f>IFERROR(__xludf.DUMMYFUNCTION("""COMPUTED_VALUE"""),"-")</f>
        <v>-</v>
      </c>
      <c r="O1430" s="24">
        <f t="shared" si="4"/>
        <v>0</v>
      </c>
      <c r="P1430" s="24"/>
      <c r="Q1430" s="24">
        <f t="shared" si="6"/>
        <v>0</v>
      </c>
      <c r="R1430" s="24">
        <f t="shared" si="7"/>
        <v>0</v>
      </c>
      <c r="S1430" s="24"/>
      <c r="T1430" s="24"/>
    </row>
    <row r="1431">
      <c r="A1431" s="12" t="s">
        <v>1519</v>
      </c>
      <c r="F1431" s="19">
        <f>IFERROR(__xludf.DUMMYFUNCTION("SPLIT(A1427, "" |"")"),1425.0)</f>
        <v>1425</v>
      </c>
      <c r="G1431" s="19">
        <f>IFERROR(__xludf.DUMMYFUNCTION("""COMPUTED_VALUE"""),0.00233)</f>
        <v>0.00233</v>
      </c>
      <c r="H1431" s="19" t="str">
        <f>IFERROR(__xludf.DUMMYFUNCTION("""COMPUTED_VALUE"""),"-")</f>
        <v>-</v>
      </c>
      <c r="I1431" s="19">
        <f>IFERROR(__xludf.DUMMYFUNCTION("""COMPUTED_VALUE"""),0.00217)</f>
        <v>0.00217</v>
      </c>
      <c r="J1431" s="19">
        <f>IFERROR(__xludf.DUMMYFUNCTION("""COMPUTED_VALUE"""),0.0474)</f>
        <v>0.0474</v>
      </c>
      <c r="K1431" s="19" t="str">
        <f>IFERROR(__xludf.DUMMYFUNCTION("""COMPUTED_VALUE"""),"-")</f>
        <v>-</v>
      </c>
      <c r="L1431" s="19" t="str">
        <f>IFERROR(__xludf.DUMMYFUNCTION("""COMPUTED_VALUE"""),"-")</f>
        <v>-</v>
      </c>
      <c r="O1431" s="24">
        <f t="shared" si="4"/>
        <v>0</v>
      </c>
      <c r="P1431" s="24"/>
      <c r="Q1431" s="24">
        <f t="shared" si="6"/>
        <v>0</v>
      </c>
      <c r="R1431" s="24">
        <f t="shared" si="7"/>
        <v>0</v>
      </c>
      <c r="S1431" s="24"/>
      <c r="T1431" s="24"/>
    </row>
    <row r="1432">
      <c r="A1432" s="12" t="s">
        <v>1520</v>
      </c>
      <c r="F1432" s="19">
        <f>IFERROR(__xludf.DUMMYFUNCTION("SPLIT(A1428, "" |"")"),1426.0)</f>
        <v>1426</v>
      </c>
      <c r="G1432" s="19">
        <f>IFERROR(__xludf.DUMMYFUNCTION("""COMPUTED_VALUE"""),0.00237)</f>
        <v>0.00237</v>
      </c>
      <c r="H1432" s="19" t="str">
        <f>IFERROR(__xludf.DUMMYFUNCTION("""COMPUTED_VALUE"""),"-")</f>
        <v>-</v>
      </c>
      <c r="I1432" s="19">
        <f>IFERROR(__xludf.DUMMYFUNCTION("""COMPUTED_VALUE"""),0.0022)</f>
        <v>0.0022</v>
      </c>
      <c r="J1432" s="19">
        <f>IFERROR(__xludf.DUMMYFUNCTION("""COMPUTED_VALUE"""),0.04739)</f>
        <v>0.04739</v>
      </c>
      <c r="K1432" s="19" t="str">
        <f>IFERROR(__xludf.DUMMYFUNCTION("""COMPUTED_VALUE"""),"-")</f>
        <v>-</v>
      </c>
      <c r="L1432" s="19" t="str">
        <f>IFERROR(__xludf.DUMMYFUNCTION("""COMPUTED_VALUE"""),"-")</f>
        <v>-</v>
      </c>
      <c r="O1432" s="24">
        <f t="shared" si="4"/>
        <v>0</v>
      </c>
      <c r="P1432" s="24"/>
      <c r="Q1432" s="24">
        <f t="shared" si="6"/>
        <v>0</v>
      </c>
      <c r="R1432" s="24">
        <f t="shared" si="7"/>
        <v>0</v>
      </c>
      <c r="S1432" s="24"/>
      <c r="T1432" s="24"/>
    </row>
    <row r="1433">
      <c r="A1433" s="12" t="s">
        <v>1521</v>
      </c>
      <c r="F1433" s="19">
        <f>IFERROR(__xludf.DUMMYFUNCTION("SPLIT(A1429, "" |"")"),1427.0)</f>
        <v>1427</v>
      </c>
      <c r="G1433" s="19">
        <f>IFERROR(__xludf.DUMMYFUNCTION("""COMPUTED_VALUE"""),0.00244)</f>
        <v>0.00244</v>
      </c>
      <c r="H1433" s="19" t="str">
        <f>IFERROR(__xludf.DUMMYFUNCTION("""COMPUTED_VALUE"""),"-")</f>
        <v>-</v>
      </c>
      <c r="I1433" s="19">
        <f>IFERROR(__xludf.DUMMYFUNCTION("""COMPUTED_VALUE"""),0.00219)</f>
        <v>0.00219</v>
      </c>
      <c r="J1433" s="19">
        <f>IFERROR(__xludf.DUMMYFUNCTION("""COMPUTED_VALUE"""),0.04748)</f>
        <v>0.04748</v>
      </c>
      <c r="K1433" s="19" t="str">
        <f>IFERROR(__xludf.DUMMYFUNCTION("""COMPUTED_VALUE"""),"-")</f>
        <v>-</v>
      </c>
      <c r="L1433" s="19" t="str">
        <f>IFERROR(__xludf.DUMMYFUNCTION("""COMPUTED_VALUE"""),"-")</f>
        <v>-</v>
      </c>
      <c r="O1433" s="24">
        <f t="shared" si="4"/>
        <v>0</v>
      </c>
      <c r="P1433" s="24"/>
      <c r="Q1433" s="24">
        <f t="shared" si="6"/>
        <v>0</v>
      </c>
      <c r="R1433" s="24">
        <f t="shared" si="7"/>
        <v>0</v>
      </c>
      <c r="S1433" s="24"/>
      <c r="T1433" s="24"/>
    </row>
    <row r="1434">
      <c r="A1434" s="12" t="s">
        <v>1522</v>
      </c>
      <c r="F1434" s="19">
        <f>IFERROR(__xludf.DUMMYFUNCTION("SPLIT(A1430, "" |"")"),1428.0)</f>
        <v>1428</v>
      </c>
      <c r="G1434" s="19">
        <f>IFERROR(__xludf.DUMMYFUNCTION("""COMPUTED_VALUE"""),0.00232)</f>
        <v>0.00232</v>
      </c>
      <c r="H1434" s="19" t="str">
        <f>IFERROR(__xludf.DUMMYFUNCTION("""COMPUTED_VALUE"""),"-")</f>
        <v>-</v>
      </c>
      <c r="I1434" s="19">
        <f>IFERROR(__xludf.DUMMYFUNCTION("""COMPUTED_VALUE"""),0.00219)</f>
        <v>0.00219</v>
      </c>
      <c r="J1434" s="19">
        <f>IFERROR(__xludf.DUMMYFUNCTION("""COMPUTED_VALUE"""),0.04437)</f>
        <v>0.04437</v>
      </c>
      <c r="K1434" s="19" t="str">
        <f>IFERROR(__xludf.DUMMYFUNCTION("""COMPUTED_VALUE"""),"-")</f>
        <v>-</v>
      </c>
      <c r="L1434" s="19" t="str">
        <f>IFERROR(__xludf.DUMMYFUNCTION("""COMPUTED_VALUE"""),"-")</f>
        <v>-</v>
      </c>
      <c r="O1434" s="24">
        <f t="shared" si="4"/>
        <v>0</v>
      </c>
      <c r="P1434" s="24"/>
      <c r="Q1434" s="24">
        <f t="shared" si="6"/>
        <v>0</v>
      </c>
      <c r="R1434" s="24">
        <f t="shared" si="7"/>
        <v>1</v>
      </c>
      <c r="S1434" s="24"/>
      <c r="T1434" s="24"/>
    </row>
    <row r="1435">
      <c r="A1435" s="12" t="s">
        <v>1523</v>
      </c>
      <c r="F1435" s="19">
        <f>IFERROR(__xludf.DUMMYFUNCTION("SPLIT(A1431, "" |"")"),1429.0)</f>
        <v>1429</v>
      </c>
      <c r="G1435" s="19">
        <f>IFERROR(__xludf.DUMMYFUNCTION("""COMPUTED_VALUE"""),0.00236)</f>
        <v>0.00236</v>
      </c>
      <c r="H1435" s="19" t="str">
        <f>IFERROR(__xludf.DUMMYFUNCTION("""COMPUTED_VALUE"""),"-")</f>
        <v>-</v>
      </c>
      <c r="I1435" s="19">
        <f>IFERROR(__xludf.DUMMYFUNCTION("""COMPUTED_VALUE"""),0.00224)</f>
        <v>0.00224</v>
      </c>
      <c r="J1435" s="19">
        <f>IFERROR(__xludf.DUMMYFUNCTION("""COMPUTED_VALUE"""),0.04748)</f>
        <v>0.04748</v>
      </c>
      <c r="K1435" s="19" t="str">
        <f>IFERROR(__xludf.DUMMYFUNCTION("""COMPUTED_VALUE"""),"-")</f>
        <v>-</v>
      </c>
      <c r="L1435" s="19" t="str">
        <f>IFERROR(__xludf.DUMMYFUNCTION("""COMPUTED_VALUE"""),"-")</f>
        <v>-</v>
      </c>
      <c r="O1435" s="24">
        <f t="shared" si="4"/>
        <v>0</v>
      </c>
      <c r="P1435" s="24"/>
      <c r="Q1435" s="24">
        <f t="shared" si="6"/>
        <v>0</v>
      </c>
      <c r="R1435" s="24">
        <f t="shared" si="7"/>
        <v>0</v>
      </c>
      <c r="S1435" s="24"/>
      <c r="T1435" s="24"/>
    </row>
    <row r="1436">
      <c r="A1436" s="12" t="s">
        <v>1524</v>
      </c>
      <c r="F1436" s="19">
        <f>IFERROR(__xludf.DUMMYFUNCTION("SPLIT(A1432, "" |"")"),1430.0)</f>
        <v>1430</v>
      </c>
      <c r="G1436" s="19">
        <f>IFERROR(__xludf.DUMMYFUNCTION("""COMPUTED_VALUE"""),0.00235)</f>
        <v>0.00235</v>
      </c>
      <c r="H1436" s="19" t="str">
        <f>IFERROR(__xludf.DUMMYFUNCTION("""COMPUTED_VALUE"""),"-")</f>
        <v>-</v>
      </c>
      <c r="I1436" s="19">
        <f>IFERROR(__xludf.DUMMYFUNCTION("""COMPUTED_VALUE"""),0.00222)</f>
        <v>0.00222</v>
      </c>
      <c r="J1436" s="19">
        <f>IFERROR(__xludf.DUMMYFUNCTION("""COMPUTED_VALUE"""),0.04748)</f>
        <v>0.04748</v>
      </c>
      <c r="K1436" s="19" t="str">
        <f>IFERROR(__xludf.DUMMYFUNCTION("""COMPUTED_VALUE"""),"-")</f>
        <v>-</v>
      </c>
      <c r="L1436" s="19" t="str">
        <f>IFERROR(__xludf.DUMMYFUNCTION("""COMPUTED_VALUE"""),"-")</f>
        <v>-</v>
      </c>
      <c r="O1436" s="24">
        <f t="shared" si="4"/>
        <v>0</v>
      </c>
      <c r="P1436" s="24"/>
      <c r="Q1436" s="24">
        <f t="shared" si="6"/>
        <v>0</v>
      </c>
      <c r="R1436" s="24">
        <f t="shared" si="7"/>
        <v>0</v>
      </c>
      <c r="S1436" s="24"/>
      <c r="T1436" s="24"/>
    </row>
    <row r="1437">
      <c r="A1437" s="12" t="s">
        <v>1525</v>
      </c>
      <c r="F1437" s="19">
        <f>IFERROR(__xludf.DUMMYFUNCTION("SPLIT(A1433, "" |"")"),1431.0)</f>
        <v>1431</v>
      </c>
      <c r="G1437" s="19">
        <f>IFERROR(__xludf.DUMMYFUNCTION("""COMPUTED_VALUE"""),0.00245)</f>
        <v>0.00245</v>
      </c>
      <c r="H1437" s="19" t="str">
        <f>IFERROR(__xludf.DUMMYFUNCTION("""COMPUTED_VALUE"""),"-")</f>
        <v>-</v>
      </c>
      <c r="I1437" s="19">
        <f>IFERROR(__xludf.DUMMYFUNCTION("""COMPUTED_VALUE"""),0.00219)</f>
        <v>0.00219</v>
      </c>
      <c r="J1437" s="19">
        <f>IFERROR(__xludf.DUMMYFUNCTION("""COMPUTED_VALUE"""),0.04748)</f>
        <v>0.04748</v>
      </c>
      <c r="K1437" s="19" t="str">
        <f>IFERROR(__xludf.DUMMYFUNCTION("""COMPUTED_VALUE"""),"-")</f>
        <v>-</v>
      </c>
      <c r="L1437" s="19" t="str">
        <f>IFERROR(__xludf.DUMMYFUNCTION("""COMPUTED_VALUE"""),"-")</f>
        <v>-</v>
      </c>
      <c r="O1437" s="24">
        <f t="shared" si="4"/>
        <v>0</v>
      </c>
      <c r="P1437" s="24"/>
      <c r="Q1437" s="24">
        <f t="shared" si="6"/>
        <v>0</v>
      </c>
      <c r="R1437" s="24">
        <f t="shared" si="7"/>
        <v>0</v>
      </c>
      <c r="S1437" s="24"/>
      <c r="T1437" s="24"/>
    </row>
    <row r="1438">
      <c r="A1438" s="12" t="s">
        <v>1526</v>
      </c>
      <c r="F1438" s="19">
        <f>IFERROR(__xludf.DUMMYFUNCTION("SPLIT(A1434, "" |"")"),1432.0)</f>
        <v>1432</v>
      </c>
      <c r="G1438" s="19">
        <f>IFERROR(__xludf.DUMMYFUNCTION("""COMPUTED_VALUE"""),0.00231)</f>
        <v>0.00231</v>
      </c>
      <c r="H1438" s="19" t="str">
        <f>IFERROR(__xludf.DUMMYFUNCTION("""COMPUTED_VALUE"""),"-")</f>
        <v>-</v>
      </c>
      <c r="I1438" s="19">
        <f>IFERROR(__xludf.DUMMYFUNCTION("""COMPUTED_VALUE"""),0.0022)</f>
        <v>0.0022</v>
      </c>
      <c r="J1438" s="19">
        <f>IFERROR(__xludf.DUMMYFUNCTION("""COMPUTED_VALUE"""),0.04752)</f>
        <v>0.04752</v>
      </c>
      <c r="K1438" s="19" t="str">
        <f>IFERROR(__xludf.DUMMYFUNCTION("""COMPUTED_VALUE"""),"-")</f>
        <v>-</v>
      </c>
      <c r="L1438" s="19" t="str">
        <f>IFERROR(__xludf.DUMMYFUNCTION("""COMPUTED_VALUE"""),"-")</f>
        <v>-</v>
      </c>
      <c r="O1438" s="24">
        <f t="shared" si="4"/>
        <v>0</v>
      </c>
      <c r="P1438" s="24"/>
      <c r="Q1438" s="24">
        <f t="shared" si="6"/>
        <v>0</v>
      </c>
      <c r="R1438" s="24">
        <f t="shared" si="7"/>
        <v>0</v>
      </c>
      <c r="S1438" s="24"/>
      <c r="T1438" s="24"/>
    </row>
    <row r="1439">
      <c r="A1439" s="12" t="s">
        <v>1527</v>
      </c>
      <c r="F1439" s="19">
        <f>IFERROR(__xludf.DUMMYFUNCTION("SPLIT(A1435, "" |"")"),1433.0)</f>
        <v>1433</v>
      </c>
      <c r="G1439" s="19">
        <f>IFERROR(__xludf.DUMMYFUNCTION("""COMPUTED_VALUE"""),0.00239)</f>
        <v>0.00239</v>
      </c>
      <c r="H1439" s="19" t="str">
        <f>IFERROR(__xludf.DUMMYFUNCTION("""COMPUTED_VALUE"""),"-")</f>
        <v>-</v>
      </c>
      <c r="I1439" s="19">
        <f>IFERROR(__xludf.DUMMYFUNCTION("""COMPUTED_VALUE"""),0.00229)</f>
        <v>0.00229</v>
      </c>
      <c r="J1439" s="19">
        <f>IFERROR(__xludf.DUMMYFUNCTION("""COMPUTED_VALUE"""),0.04737)</f>
        <v>0.04737</v>
      </c>
      <c r="K1439" s="19" t="str">
        <f>IFERROR(__xludf.DUMMYFUNCTION("""COMPUTED_VALUE"""),"-")</f>
        <v>-</v>
      </c>
      <c r="L1439" s="19" t="str">
        <f>IFERROR(__xludf.DUMMYFUNCTION("""COMPUTED_VALUE"""),"-")</f>
        <v>-</v>
      </c>
      <c r="O1439" s="24">
        <f t="shared" si="4"/>
        <v>0</v>
      </c>
      <c r="P1439" s="24"/>
      <c r="Q1439" s="24">
        <f t="shared" si="6"/>
        <v>0</v>
      </c>
      <c r="R1439" s="24">
        <f t="shared" si="7"/>
        <v>0</v>
      </c>
      <c r="S1439" s="24"/>
      <c r="T1439" s="24"/>
    </row>
    <row r="1440">
      <c r="A1440" s="12" t="s">
        <v>1528</v>
      </c>
      <c r="F1440" s="19">
        <f>IFERROR(__xludf.DUMMYFUNCTION("SPLIT(A1436, "" |"")"),1434.0)</f>
        <v>1434</v>
      </c>
      <c r="G1440" s="19">
        <f>IFERROR(__xludf.DUMMYFUNCTION("""COMPUTED_VALUE"""),0.00234)</f>
        <v>0.00234</v>
      </c>
      <c r="H1440" s="19" t="str">
        <f>IFERROR(__xludf.DUMMYFUNCTION("""COMPUTED_VALUE"""),"-")</f>
        <v>-</v>
      </c>
      <c r="I1440" s="19">
        <f>IFERROR(__xludf.DUMMYFUNCTION("""COMPUTED_VALUE"""),0.00228)</f>
        <v>0.00228</v>
      </c>
      <c r="J1440" s="19">
        <f>IFERROR(__xludf.DUMMYFUNCTION("""COMPUTED_VALUE"""),0.04749)</f>
        <v>0.04749</v>
      </c>
      <c r="K1440" s="19" t="str">
        <f>IFERROR(__xludf.DUMMYFUNCTION("""COMPUTED_VALUE"""),"-")</f>
        <v>-</v>
      </c>
      <c r="L1440" s="19" t="str">
        <f>IFERROR(__xludf.DUMMYFUNCTION("""COMPUTED_VALUE"""),"-")</f>
        <v>-</v>
      </c>
      <c r="O1440" s="24">
        <f t="shared" si="4"/>
        <v>0</v>
      </c>
      <c r="P1440" s="24"/>
      <c r="Q1440" s="24">
        <f t="shared" si="6"/>
        <v>0</v>
      </c>
      <c r="R1440" s="24">
        <f t="shared" si="7"/>
        <v>0</v>
      </c>
      <c r="S1440" s="24"/>
      <c r="T1440" s="24"/>
    </row>
    <row r="1441">
      <c r="A1441" s="12" t="s">
        <v>1529</v>
      </c>
      <c r="F1441" s="19">
        <f>IFERROR(__xludf.DUMMYFUNCTION("SPLIT(A1437, "" |"")"),1435.0)</f>
        <v>1435</v>
      </c>
      <c r="G1441" s="19">
        <f>IFERROR(__xludf.DUMMYFUNCTION("""COMPUTED_VALUE"""),0.00234)</f>
        <v>0.00234</v>
      </c>
      <c r="H1441" s="19" t="str">
        <f>IFERROR(__xludf.DUMMYFUNCTION("""COMPUTED_VALUE"""),"-")</f>
        <v>-</v>
      </c>
      <c r="I1441" s="19">
        <f>IFERROR(__xludf.DUMMYFUNCTION("""COMPUTED_VALUE"""),0.00222)</f>
        <v>0.00222</v>
      </c>
      <c r="J1441" s="19">
        <f>IFERROR(__xludf.DUMMYFUNCTION("""COMPUTED_VALUE"""),0.04712)</f>
        <v>0.04712</v>
      </c>
      <c r="K1441" s="19" t="str">
        <f>IFERROR(__xludf.DUMMYFUNCTION("""COMPUTED_VALUE"""),"-")</f>
        <v>-</v>
      </c>
      <c r="L1441" s="19" t="str">
        <f>IFERROR(__xludf.DUMMYFUNCTION("""COMPUTED_VALUE"""),"-")</f>
        <v>-</v>
      </c>
      <c r="O1441" s="24">
        <f t="shared" si="4"/>
        <v>0</v>
      </c>
      <c r="P1441" s="24"/>
      <c r="Q1441" s="24">
        <f t="shared" si="6"/>
        <v>0</v>
      </c>
      <c r="R1441" s="24">
        <f t="shared" si="7"/>
        <v>0</v>
      </c>
      <c r="S1441" s="24"/>
      <c r="T1441" s="24"/>
    </row>
    <row r="1442">
      <c r="A1442" s="12" t="s">
        <v>1530</v>
      </c>
      <c r="F1442" s="19">
        <f>IFERROR(__xludf.DUMMYFUNCTION("SPLIT(A1438, "" |"")"),1436.0)</f>
        <v>1436</v>
      </c>
      <c r="G1442" s="19">
        <f>IFERROR(__xludf.DUMMYFUNCTION("""COMPUTED_VALUE"""),0.00221)</f>
        <v>0.00221</v>
      </c>
      <c r="H1442" s="19" t="str">
        <f>IFERROR(__xludf.DUMMYFUNCTION("""COMPUTED_VALUE"""),"-")</f>
        <v>-</v>
      </c>
      <c r="I1442" s="19">
        <f>IFERROR(__xludf.DUMMYFUNCTION("""COMPUTED_VALUE"""),0.0022)</f>
        <v>0.0022</v>
      </c>
      <c r="J1442" s="19">
        <f>IFERROR(__xludf.DUMMYFUNCTION("""COMPUTED_VALUE"""),0.04742)</f>
        <v>0.04742</v>
      </c>
      <c r="K1442" s="19" t="str">
        <f>IFERROR(__xludf.DUMMYFUNCTION("""COMPUTED_VALUE"""),"-")</f>
        <v>-</v>
      </c>
      <c r="L1442" s="19" t="str">
        <f>IFERROR(__xludf.DUMMYFUNCTION("""COMPUTED_VALUE"""),"-")</f>
        <v>-</v>
      </c>
      <c r="O1442" s="24">
        <f t="shared" si="4"/>
        <v>0</v>
      </c>
      <c r="P1442" s="24"/>
      <c r="Q1442" s="24">
        <f t="shared" si="6"/>
        <v>0</v>
      </c>
      <c r="R1442" s="24">
        <f t="shared" si="7"/>
        <v>0</v>
      </c>
      <c r="S1442" s="24"/>
      <c r="T1442" s="24"/>
    </row>
    <row r="1443">
      <c r="A1443" s="12" t="s">
        <v>1531</v>
      </c>
      <c r="F1443" s="19">
        <f>IFERROR(__xludf.DUMMYFUNCTION("SPLIT(A1439, "" |"")"),1437.0)</f>
        <v>1437</v>
      </c>
      <c r="G1443" s="19">
        <f>IFERROR(__xludf.DUMMYFUNCTION("""COMPUTED_VALUE"""),0.0024)</f>
        <v>0.0024</v>
      </c>
      <c r="H1443" s="19" t="str">
        <f>IFERROR(__xludf.DUMMYFUNCTION("""COMPUTED_VALUE"""),"-")</f>
        <v>-</v>
      </c>
      <c r="I1443" s="19">
        <f>IFERROR(__xludf.DUMMYFUNCTION("""COMPUTED_VALUE"""),0.00223)</f>
        <v>0.00223</v>
      </c>
      <c r="J1443" s="19">
        <f>IFERROR(__xludf.DUMMYFUNCTION("""COMPUTED_VALUE"""),0.04746)</f>
        <v>0.04746</v>
      </c>
      <c r="K1443" s="19" t="str">
        <f>IFERROR(__xludf.DUMMYFUNCTION("""COMPUTED_VALUE"""),"-")</f>
        <v>-</v>
      </c>
      <c r="L1443" s="19" t="str">
        <f>IFERROR(__xludf.DUMMYFUNCTION("""COMPUTED_VALUE"""),"-")</f>
        <v>-</v>
      </c>
      <c r="O1443" s="24">
        <f t="shared" si="4"/>
        <v>0</v>
      </c>
      <c r="P1443" s="24"/>
      <c r="Q1443" s="24">
        <f t="shared" si="6"/>
        <v>0</v>
      </c>
      <c r="R1443" s="24">
        <f t="shared" si="7"/>
        <v>0</v>
      </c>
      <c r="S1443" s="24"/>
      <c r="T1443" s="24"/>
    </row>
    <row r="1444">
      <c r="A1444" s="12" t="s">
        <v>1532</v>
      </c>
      <c r="F1444" s="19">
        <f>IFERROR(__xludf.DUMMYFUNCTION("SPLIT(A1440, "" |"")"),1438.0)</f>
        <v>1438</v>
      </c>
      <c r="G1444" s="19">
        <f>IFERROR(__xludf.DUMMYFUNCTION("""COMPUTED_VALUE"""),0.00234)</f>
        <v>0.00234</v>
      </c>
      <c r="H1444" s="19" t="str">
        <f>IFERROR(__xludf.DUMMYFUNCTION("""COMPUTED_VALUE"""),"-")</f>
        <v>-</v>
      </c>
      <c r="I1444" s="19">
        <f>IFERROR(__xludf.DUMMYFUNCTION("""COMPUTED_VALUE"""),0.00222)</f>
        <v>0.00222</v>
      </c>
      <c r="J1444" s="19">
        <f>IFERROR(__xludf.DUMMYFUNCTION("""COMPUTED_VALUE"""),0.04737)</f>
        <v>0.04737</v>
      </c>
      <c r="K1444" s="19" t="str">
        <f>IFERROR(__xludf.DUMMYFUNCTION("""COMPUTED_VALUE"""),"-")</f>
        <v>-</v>
      </c>
      <c r="L1444" s="19" t="str">
        <f>IFERROR(__xludf.DUMMYFUNCTION("""COMPUTED_VALUE"""),"-")</f>
        <v>-</v>
      </c>
      <c r="O1444" s="24">
        <f t="shared" si="4"/>
        <v>0</v>
      </c>
      <c r="P1444" s="24"/>
      <c r="Q1444" s="24">
        <f t="shared" si="6"/>
        <v>0</v>
      </c>
      <c r="R1444" s="24">
        <f t="shared" si="7"/>
        <v>0</v>
      </c>
      <c r="S1444" s="24"/>
      <c r="T1444" s="24"/>
    </row>
    <row r="1445">
      <c r="A1445" s="12" t="s">
        <v>1533</v>
      </c>
      <c r="F1445" s="19">
        <f>IFERROR(__xludf.DUMMYFUNCTION("SPLIT(A1441, "" |"")"),1439.0)</f>
        <v>1439</v>
      </c>
      <c r="G1445" s="19">
        <f>IFERROR(__xludf.DUMMYFUNCTION("""COMPUTED_VALUE"""),0.00244)</f>
        <v>0.00244</v>
      </c>
      <c r="H1445" s="19" t="str">
        <f>IFERROR(__xludf.DUMMYFUNCTION("""COMPUTED_VALUE"""),"-")</f>
        <v>-</v>
      </c>
      <c r="I1445" s="19">
        <f>IFERROR(__xludf.DUMMYFUNCTION("""COMPUTED_VALUE"""),0.00214)</f>
        <v>0.00214</v>
      </c>
      <c r="J1445" s="19">
        <f>IFERROR(__xludf.DUMMYFUNCTION("""COMPUTED_VALUE"""),0.04484)</f>
        <v>0.04484</v>
      </c>
      <c r="K1445" s="19" t="str">
        <f>IFERROR(__xludf.DUMMYFUNCTION("""COMPUTED_VALUE"""),"-")</f>
        <v>-</v>
      </c>
      <c r="L1445" s="19" t="str">
        <f>IFERROR(__xludf.DUMMYFUNCTION("""COMPUTED_VALUE"""),"-")</f>
        <v>-</v>
      </c>
      <c r="O1445" s="24">
        <f t="shared" si="4"/>
        <v>0</v>
      </c>
      <c r="P1445" s="24"/>
      <c r="Q1445" s="24">
        <f t="shared" si="6"/>
        <v>0</v>
      </c>
      <c r="R1445" s="24">
        <f t="shared" si="7"/>
        <v>1</v>
      </c>
      <c r="S1445" s="24"/>
      <c r="T1445" s="24"/>
    </row>
    <row r="1446">
      <c r="A1446" s="12" t="s">
        <v>1534</v>
      </c>
      <c r="F1446" s="19">
        <f>IFERROR(__xludf.DUMMYFUNCTION("SPLIT(A1442, "" |"")"),1440.0)</f>
        <v>1440</v>
      </c>
      <c r="G1446" s="19">
        <f>IFERROR(__xludf.DUMMYFUNCTION("""COMPUTED_VALUE"""),0.00239)</f>
        <v>0.00239</v>
      </c>
      <c r="H1446" s="19" t="str">
        <f>IFERROR(__xludf.DUMMYFUNCTION("""COMPUTED_VALUE"""),"-")</f>
        <v>-</v>
      </c>
      <c r="I1446" s="19">
        <f>IFERROR(__xludf.DUMMYFUNCTION("""COMPUTED_VALUE"""),0.00227)</f>
        <v>0.00227</v>
      </c>
      <c r="J1446" s="19">
        <f>IFERROR(__xludf.DUMMYFUNCTION("""COMPUTED_VALUE"""),0.0475)</f>
        <v>0.0475</v>
      </c>
      <c r="K1446" s="19" t="str">
        <f>IFERROR(__xludf.DUMMYFUNCTION("""COMPUTED_VALUE"""),"-")</f>
        <v>-</v>
      </c>
      <c r="L1446" s="19" t="str">
        <f>IFERROR(__xludf.DUMMYFUNCTION("""COMPUTED_VALUE"""),"-")</f>
        <v>-</v>
      </c>
      <c r="O1446" s="24">
        <f t="shared" si="4"/>
        <v>0</v>
      </c>
      <c r="P1446" s="24"/>
      <c r="Q1446" s="24">
        <f t="shared" si="6"/>
        <v>0</v>
      </c>
      <c r="R1446" s="24">
        <f t="shared" si="7"/>
        <v>0</v>
      </c>
      <c r="S1446" s="24"/>
      <c r="T1446" s="24"/>
    </row>
    <row r="1447">
      <c r="A1447" s="12" t="s">
        <v>1535</v>
      </c>
      <c r="F1447" s="19">
        <f>IFERROR(__xludf.DUMMYFUNCTION("SPLIT(A1443, "" |"")"),1441.0)</f>
        <v>1441</v>
      </c>
      <c r="G1447" s="19">
        <f>IFERROR(__xludf.DUMMYFUNCTION("""COMPUTED_VALUE"""),0.00233)</f>
        <v>0.00233</v>
      </c>
      <c r="H1447" s="19" t="str">
        <f>IFERROR(__xludf.DUMMYFUNCTION("""COMPUTED_VALUE"""),"-")</f>
        <v>-</v>
      </c>
      <c r="I1447" s="19">
        <f>IFERROR(__xludf.DUMMYFUNCTION("""COMPUTED_VALUE"""),0.00223)</f>
        <v>0.00223</v>
      </c>
      <c r="J1447" s="19">
        <f>IFERROR(__xludf.DUMMYFUNCTION("""COMPUTED_VALUE"""),0.0475)</f>
        <v>0.0475</v>
      </c>
      <c r="K1447" s="19" t="str">
        <f>IFERROR(__xludf.DUMMYFUNCTION("""COMPUTED_VALUE"""),"-")</f>
        <v>-</v>
      </c>
      <c r="L1447" s="19" t="str">
        <f>IFERROR(__xludf.DUMMYFUNCTION("""COMPUTED_VALUE"""),"-")</f>
        <v>-</v>
      </c>
      <c r="O1447" s="24">
        <f t="shared" si="4"/>
        <v>0</v>
      </c>
      <c r="P1447" s="24"/>
      <c r="Q1447" s="24">
        <f t="shared" si="6"/>
        <v>0</v>
      </c>
      <c r="R1447" s="24">
        <f t="shared" si="7"/>
        <v>0</v>
      </c>
      <c r="S1447" s="24"/>
      <c r="T1447" s="24"/>
    </row>
    <row r="1448">
      <c r="A1448" s="12" t="s">
        <v>1536</v>
      </c>
      <c r="F1448" s="19">
        <f>IFERROR(__xludf.DUMMYFUNCTION("SPLIT(A1444, "" |"")"),1442.0)</f>
        <v>1442</v>
      </c>
      <c r="G1448" s="19">
        <f>IFERROR(__xludf.DUMMYFUNCTION("""COMPUTED_VALUE"""),0.00232)</f>
        <v>0.00232</v>
      </c>
      <c r="H1448" s="19" t="str">
        <f>IFERROR(__xludf.DUMMYFUNCTION("""COMPUTED_VALUE"""),"-")</f>
        <v>-</v>
      </c>
      <c r="I1448" s="19">
        <f>IFERROR(__xludf.DUMMYFUNCTION("""COMPUTED_VALUE"""),0.00217)</f>
        <v>0.00217</v>
      </c>
      <c r="J1448" s="19">
        <f>IFERROR(__xludf.DUMMYFUNCTION("""COMPUTED_VALUE"""),0.04275)</f>
        <v>0.04275</v>
      </c>
      <c r="K1448" s="19" t="str">
        <f>IFERROR(__xludf.DUMMYFUNCTION("""COMPUTED_VALUE"""),"-")</f>
        <v>-</v>
      </c>
      <c r="L1448" s="19" t="str">
        <f>IFERROR(__xludf.DUMMYFUNCTION("""COMPUTED_VALUE"""),"-")</f>
        <v>-</v>
      </c>
      <c r="O1448" s="24">
        <f t="shared" si="4"/>
        <v>0</v>
      </c>
      <c r="P1448" s="24"/>
      <c r="Q1448" s="24">
        <f t="shared" si="6"/>
        <v>0</v>
      </c>
      <c r="R1448" s="24">
        <f t="shared" si="7"/>
        <v>1</v>
      </c>
      <c r="S1448" s="24"/>
      <c r="T1448" s="24"/>
    </row>
    <row r="1449">
      <c r="A1449" s="12" t="s">
        <v>1537</v>
      </c>
      <c r="F1449" s="19">
        <f>IFERROR(__xludf.DUMMYFUNCTION("SPLIT(A1445, "" |"")"),1443.0)</f>
        <v>1443</v>
      </c>
      <c r="G1449" s="19">
        <f>IFERROR(__xludf.DUMMYFUNCTION("""COMPUTED_VALUE"""),0.00235)</f>
        <v>0.00235</v>
      </c>
      <c r="H1449" s="19" t="str">
        <f>IFERROR(__xludf.DUMMYFUNCTION("""COMPUTED_VALUE"""),"-")</f>
        <v>-</v>
      </c>
      <c r="I1449" s="19">
        <f>IFERROR(__xludf.DUMMYFUNCTION("""COMPUTED_VALUE"""),0.00219)</f>
        <v>0.00219</v>
      </c>
      <c r="J1449" s="19">
        <f>IFERROR(__xludf.DUMMYFUNCTION("""COMPUTED_VALUE"""),0.04735)</f>
        <v>0.04735</v>
      </c>
      <c r="K1449" s="19" t="str">
        <f>IFERROR(__xludf.DUMMYFUNCTION("""COMPUTED_VALUE"""),"-")</f>
        <v>-</v>
      </c>
      <c r="L1449" s="19" t="str">
        <f>IFERROR(__xludf.DUMMYFUNCTION("""COMPUTED_VALUE"""),"-")</f>
        <v>-</v>
      </c>
      <c r="O1449" s="24">
        <f t="shared" si="4"/>
        <v>0</v>
      </c>
      <c r="P1449" s="24"/>
      <c r="Q1449" s="24">
        <f t="shared" si="6"/>
        <v>0</v>
      </c>
      <c r="R1449" s="24">
        <f t="shared" si="7"/>
        <v>0</v>
      </c>
      <c r="S1449" s="24"/>
      <c r="T1449" s="24"/>
    </row>
    <row r="1450">
      <c r="A1450" s="12" t="s">
        <v>1538</v>
      </c>
      <c r="F1450" s="19">
        <f>IFERROR(__xludf.DUMMYFUNCTION("SPLIT(A1446, "" |"")"),1444.0)</f>
        <v>1444</v>
      </c>
      <c r="G1450" s="19">
        <f>IFERROR(__xludf.DUMMYFUNCTION("""COMPUTED_VALUE"""),0.0022)</f>
        <v>0.0022</v>
      </c>
      <c r="H1450" s="19" t="str">
        <f>IFERROR(__xludf.DUMMYFUNCTION("""COMPUTED_VALUE"""),"-")</f>
        <v>-</v>
      </c>
      <c r="I1450" s="19">
        <f>IFERROR(__xludf.DUMMYFUNCTION("""COMPUTED_VALUE"""),0.00206)</f>
        <v>0.00206</v>
      </c>
      <c r="J1450" s="19">
        <f>IFERROR(__xludf.DUMMYFUNCTION("""COMPUTED_VALUE"""),0.04603)</f>
        <v>0.04603</v>
      </c>
      <c r="K1450" s="19" t="str">
        <f>IFERROR(__xludf.DUMMYFUNCTION("""COMPUTED_VALUE"""),"-")</f>
        <v>-</v>
      </c>
      <c r="L1450" s="19" t="str">
        <f>IFERROR(__xludf.DUMMYFUNCTION("""COMPUTED_VALUE"""),"-")</f>
        <v>-</v>
      </c>
      <c r="O1450" s="24">
        <f t="shared" si="4"/>
        <v>0</v>
      </c>
      <c r="P1450" s="24"/>
      <c r="Q1450" s="24">
        <f t="shared" si="6"/>
        <v>0</v>
      </c>
      <c r="R1450" s="24">
        <f t="shared" si="7"/>
        <v>0</v>
      </c>
      <c r="S1450" s="24"/>
      <c r="T1450" s="24"/>
    </row>
    <row r="1451">
      <c r="A1451" s="12" t="s">
        <v>1539</v>
      </c>
      <c r="F1451" s="19">
        <f>IFERROR(__xludf.DUMMYFUNCTION("SPLIT(A1447, "" |"")"),1445.0)</f>
        <v>1445</v>
      </c>
      <c r="G1451" s="19">
        <f>IFERROR(__xludf.DUMMYFUNCTION("""COMPUTED_VALUE"""),0.00222)</f>
        <v>0.00222</v>
      </c>
      <c r="H1451" s="19" t="str">
        <f>IFERROR(__xludf.DUMMYFUNCTION("""COMPUTED_VALUE"""),"-")</f>
        <v>-</v>
      </c>
      <c r="I1451" s="19">
        <f>IFERROR(__xludf.DUMMYFUNCTION("""COMPUTED_VALUE"""),0.00206)</f>
        <v>0.00206</v>
      </c>
      <c r="J1451" s="19">
        <f>IFERROR(__xludf.DUMMYFUNCTION("""COMPUTED_VALUE"""),0.04729)</f>
        <v>0.04729</v>
      </c>
      <c r="K1451" s="19" t="str">
        <f>IFERROR(__xludf.DUMMYFUNCTION("""COMPUTED_VALUE"""),"-")</f>
        <v>-</v>
      </c>
      <c r="L1451" s="19" t="str">
        <f>IFERROR(__xludf.DUMMYFUNCTION("""COMPUTED_VALUE"""),"-")</f>
        <v>-</v>
      </c>
      <c r="O1451" s="24">
        <f t="shared" si="4"/>
        <v>0</v>
      </c>
      <c r="P1451" s="24"/>
      <c r="Q1451" s="24">
        <f t="shared" si="6"/>
        <v>0</v>
      </c>
      <c r="R1451" s="24">
        <f t="shared" si="7"/>
        <v>0</v>
      </c>
      <c r="S1451" s="24"/>
      <c r="T1451" s="24"/>
    </row>
    <row r="1452">
      <c r="A1452" s="12" t="s">
        <v>1540</v>
      </c>
      <c r="F1452" s="19">
        <f>IFERROR(__xludf.DUMMYFUNCTION("SPLIT(A1448, "" |"")"),1446.0)</f>
        <v>1446</v>
      </c>
      <c r="G1452" s="19">
        <f>IFERROR(__xludf.DUMMYFUNCTION("""COMPUTED_VALUE"""),0.00231)</f>
        <v>0.00231</v>
      </c>
      <c r="H1452" s="19" t="str">
        <f>IFERROR(__xludf.DUMMYFUNCTION("""COMPUTED_VALUE"""),"-")</f>
        <v>-</v>
      </c>
      <c r="I1452" s="19">
        <f>IFERROR(__xludf.DUMMYFUNCTION("""COMPUTED_VALUE"""),0.00219)</f>
        <v>0.00219</v>
      </c>
      <c r="J1452" s="19">
        <f>IFERROR(__xludf.DUMMYFUNCTION("""COMPUTED_VALUE"""),0.04743)</f>
        <v>0.04743</v>
      </c>
      <c r="K1452" s="19" t="str">
        <f>IFERROR(__xludf.DUMMYFUNCTION("""COMPUTED_VALUE"""),"-")</f>
        <v>-</v>
      </c>
      <c r="L1452" s="19" t="str">
        <f>IFERROR(__xludf.DUMMYFUNCTION("""COMPUTED_VALUE"""),"-")</f>
        <v>-</v>
      </c>
      <c r="O1452" s="24">
        <f t="shared" si="4"/>
        <v>0</v>
      </c>
      <c r="P1452" s="24"/>
      <c r="Q1452" s="24">
        <f t="shared" si="6"/>
        <v>0</v>
      </c>
      <c r="R1452" s="24">
        <f t="shared" si="7"/>
        <v>0</v>
      </c>
      <c r="S1452" s="24"/>
      <c r="T1452" s="24"/>
    </row>
    <row r="1453">
      <c r="A1453" s="12" t="s">
        <v>1541</v>
      </c>
      <c r="F1453" s="19">
        <f>IFERROR(__xludf.DUMMYFUNCTION("SPLIT(A1449, "" |"")"),1447.0)</f>
        <v>1447</v>
      </c>
      <c r="G1453" s="19">
        <f>IFERROR(__xludf.DUMMYFUNCTION("""COMPUTED_VALUE"""),0.00239)</f>
        <v>0.00239</v>
      </c>
      <c r="H1453" s="19" t="str">
        <f>IFERROR(__xludf.DUMMYFUNCTION("""COMPUTED_VALUE"""),"-")</f>
        <v>-</v>
      </c>
      <c r="I1453" s="19">
        <f>IFERROR(__xludf.DUMMYFUNCTION("""COMPUTED_VALUE"""),0.00212)</f>
        <v>0.00212</v>
      </c>
      <c r="J1453" s="19">
        <f>IFERROR(__xludf.DUMMYFUNCTION("""COMPUTED_VALUE"""),0.04736)</f>
        <v>0.04736</v>
      </c>
      <c r="K1453" s="19" t="str">
        <f>IFERROR(__xludf.DUMMYFUNCTION("""COMPUTED_VALUE"""),"-")</f>
        <v>-</v>
      </c>
      <c r="L1453" s="19" t="str">
        <f>IFERROR(__xludf.DUMMYFUNCTION("""COMPUTED_VALUE"""),"-")</f>
        <v>-</v>
      </c>
      <c r="O1453" s="24">
        <f t="shared" si="4"/>
        <v>0</v>
      </c>
      <c r="P1453" s="24"/>
      <c r="Q1453" s="24">
        <f t="shared" si="6"/>
        <v>0</v>
      </c>
      <c r="R1453" s="24">
        <f t="shared" si="7"/>
        <v>0</v>
      </c>
      <c r="S1453" s="24"/>
      <c r="T1453" s="24"/>
    </row>
    <row r="1454">
      <c r="A1454" s="12" t="s">
        <v>1542</v>
      </c>
      <c r="F1454" s="19">
        <f>IFERROR(__xludf.DUMMYFUNCTION("SPLIT(A1450, "" |"")"),1448.0)</f>
        <v>1448</v>
      </c>
      <c r="G1454" s="19">
        <f>IFERROR(__xludf.DUMMYFUNCTION("""COMPUTED_VALUE"""),0.00225)</f>
        <v>0.00225</v>
      </c>
      <c r="H1454" s="19" t="str">
        <f>IFERROR(__xludf.DUMMYFUNCTION("""COMPUTED_VALUE"""),"-")</f>
        <v>-</v>
      </c>
      <c r="I1454" s="19">
        <f>IFERROR(__xludf.DUMMYFUNCTION("""COMPUTED_VALUE"""),0.00226)</f>
        <v>0.00226</v>
      </c>
      <c r="J1454" s="19">
        <f>IFERROR(__xludf.DUMMYFUNCTION("""COMPUTED_VALUE"""),0.04741)</f>
        <v>0.04741</v>
      </c>
      <c r="K1454" s="19" t="str">
        <f>IFERROR(__xludf.DUMMYFUNCTION("""COMPUTED_VALUE"""),"-")</f>
        <v>-</v>
      </c>
      <c r="L1454" s="19" t="str">
        <f>IFERROR(__xludf.DUMMYFUNCTION("""COMPUTED_VALUE"""),"-")</f>
        <v>-</v>
      </c>
      <c r="O1454" s="24">
        <f t="shared" si="4"/>
        <v>0</v>
      </c>
      <c r="P1454" s="24"/>
      <c r="Q1454" s="24">
        <f t="shared" si="6"/>
        <v>0</v>
      </c>
      <c r="R1454" s="24">
        <f t="shared" si="7"/>
        <v>0</v>
      </c>
      <c r="S1454" s="24"/>
      <c r="T1454" s="24"/>
    </row>
    <row r="1455">
      <c r="A1455" s="12" t="s">
        <v>1543</v>
      </c>
      <c r="F1455" s="19">
        <f>IFERROR(__xludf.DUMMYFUNCTION("SPLIT(A1451, "" |"")"),1449.0)</f>
        <v>1449</v>
      </c>
      <c r="G1455" s="19">
        <f>IFERROR(__xludf.DUMMYFUNCTION("""COMPUTED_VALUE"""),0.00234)</f>
        <v>0.00234</v>
      </c>
      <c r="H1455" s="19" t="str">
        <f>IFERROR(__xludf.DUMMYFUNCTION("""COMPUTED_VALUE"""),"-")</f>
        <v>-</v>
      </c>
      <c r="I1455" s="19">
        <f>IFERROR(__xludf.DUMMYFUNCTION("""COMPUTED_VALUE"""),0.0022)</f>
        <v>0.0022</v>
      </c>
      <c r="J1455" s="19">
        <f>IFERROR(__xludf.DUMMYFUNCTION("""COMPUTED_VALUE"""),0.04346)</f>
        <v>0.04346</v>
      </c>
      <c r="K1455" s="19" t="str">
        <f>IFERROR(__xludf.DUMMYFUNCTION("""COMPUTED_VALUE"""),"-")</f>
        <v>-</v>
      </c>
      <c r="L1455" s="19" t="str">
        <f>IFERROR(__xludf.DUMMYFUNCTION("""COMPUTED_VALUE"""),"-")</f>
        <v>-</v>
      </c>
      <c r="O1455" s="24">
        <f t="shared" si="4"/>
        <v>0</v>
      </c>
      <c r="P1455" s="24"/>
      <c r="Q1455" s="24">
        <f t="shared" si="6"/>
        <v>0</v>
      </c>
      <c r="R1455" s="24">
        <f t="shared" si="7"/>
        <v>1</v>
      </c>
      <c r="S1455" s="24"/>
      <c r="T1455" s="24"/>
    </row>
    <row r="1456">
      <c r="A1456" s="12" t="s">
        <v>1544</v>
      </c>
      <c r="F1456" s="19">
        <f>IFERROR(__xludf.DUMMYFUNCTION("SPLIT(A1452, "" |"")"),1450.0)</f>
        <v>1450</v>
      </c>
      <c r="G1456" s="19">
        <f>IFERROR(__xludf.DUMMYFUNCTION("""COMPUTED_VALUE"""),0.00235)</f>
        <v>0.00235</v>
      </c>
      <c r="H1456" s="19" t="str">
        <f>IFERROR(__xludf.DUMMYFUNCTION("""COMPUTED_VALUE"""),"-")</f>
        <v>-</v>
      </c>
      <c r="I1456" s="19">
        <f>IFERROR(__xludf.DUMMYFUNCTION("""COMPUTED_VALUE"""),0.00219)</f>
        <v>0.00219</v>
      </c>
      <c r="J1456" s="19">
        <f>IFERROR(__xludf.DUMMYFUNCTION("""COMPUTED_VALUE"""),0.04172)</f>
        <v>0.04172</v>
      </c>
      <c r="K1456" s="19" t="str">
        <f>IFERROR(__xludf.DUMMYFUNCTION("""COMPUTED_VALUE"""),"-")</f>
        <v>-</v>
      </c>
      <c r="L1456" s="19" t="str">
        <f>IFERROR(__xludf.DUMMYFUNCTION("""COMPUTED_VALUE"""),"-")</f>
        <v>-</v>
      </c>
      <c r="O1456" s="24">
        <f t="shared" si="4"/>
        <v>0</v>
      </c>
      <c r="P1456" s="24"/>
      <c r="Q1456" s="24">
        <f t="shared" si="6"/>
        <v>0</v>
      </c>
      <c r="R1456" s="24">
        <f t="shared" si="7"/>
        <v>1</v>
      </c>
      <c r="S1456" s="24"/>
      <c r="T1456" s="24"/>
    </row>
    <row r="1457">
      <c r="A1457" s="12" t="s">
        <v>1545</v>
      </c>
      <c r="F1457" s="19">
        <f>IFERROR(__xludf.DUMMYFUNCTION("SPLIT(A1453, "" |"")"),1451.0)</f>
        <v>1451</v>
      </c>
      <c r="G1457" s="19">
        <f>IFERROR(__xludf.DUMMYFUNCTION("""COMPUTED_VALUE"""),0.00234)</f>
        <v>0.00234</v>
      </c>
      <c r="H1457" s="19" t="str">
        <f>IFERROR(__xludf.DUMMYFUNCTION("""COMPUTED_VALUE"""),"-")</f>
        <v>-</v>
      </c>
      <c r="I1457" s="19">
        <f>IFERROR(__xludf.DUMMYFUNCTION("""COMPUTED_VALUE"""),0.00223)</f>
        <v>0.00223</v>
      </c>
      <c r="J1457" s="19">
        <f>IFERROR(__xludf.DUMMYFUNCTION("""COMPUTED_VALUE"""),0.04744)</f>
        <v>0.04744</v>
      </c>
      <c r="K1457" s="19" t="str">
        <f>IFERROR(__xludf.DUMMYFUNCTION("""COMPUTED_VALUE"""),"-")</f>
        <v>-</v>
      </c>
      <c r="L1457" s="19" t="str">
        <f>IFERROR(__xludf.DUMMYFUNCTION("""COMPUTED_VALUE"""),"-")</f>
        <v>-</v>
      </c>
      <c r="O1457" s="24">
        <f t="shared" si="4"/>
        <v>0</v>
      </c>
      <c r="P1457" s="24"/>
      <c r="Q1457" s="24">
        <f t="shared" si="6"/>
        <v>0</v>
      </c>
      <c r="R1457" s="24">
        <f t="shared" si="7"/>
        <v>0</v>
      </c>
      <c r="S1457" s="24"/>
      <c r="T1457" s="24"/>
    </row>
    <row r="1458">
      <c r="A1458" s="12" t="s">
        <v>1546</v>
      </c>
      <c r="F1458" s="19">
        <f>IFERROR(__xludf.DUMMYFUNCTION("SPLIT(A1454, "" |"")"),1452.0)</f>
        <v>1452</v>
      </c>
      <c r="G1458" s="19">
        <f>IFERROR(__xludf.DUMMYFUNCTION("""COMPUTED_VALUE"""),0.00229)</f>
        <v>0.00229</v>
      </c>
      <c r="H1458" s="19" t="str">
        <f>IFERROR(__xludf.DUMMYFUNCTION("""COMPUTED_VALUE"""),"-")</f>
        <v>-</v>
      </c>
      <c r="I1458" s="19">
        <f>IFERROR(__xludf.DUMMYFUNCTION("""COMPUTED_VALUE"""),0.00222)</f>
        <v>0.00222</v>
      </c>
      <c r="J1458" s="19">
        <f>IFERROR(__xludf.DUMMYFUNCTION("""COMPUTED_VALUE"""),0.04749)</f>
        <v>0.04749</v>
      </c>
      <c r="K1458" s="19" t="str">
        <f>IFERROR(__xludf.DUMMYFUNCTION("""COMPUTED_VALUE"""),"-")</f>
        <v>-</v>
      </c>
      <c r="L1458" s="19" t="str">
        <f>IFERROR(__xludf.DUMMYFUNCTION("""COMPUTED_VALUE"""),"-")</f>
        <v>-</v>
      </c>
      <c r="O1458" s="24">
        <f t="shared" si="4"/>
        <v>0</v>
      </c>
      <c r="P1458" s="24"/>
      <c r="Q1458" s="24">
        <f t="shared" si="6"/>
        <v>0</v>
      </c>
      <c r="R1458" s="24">
        <f t="shared" si="7"/>
        <v>0</v>
      </c>
      <c r="S1458" s="24"/>
      <c r="T1458" s="24"/>
    </row>
    <row r="1459">
      <c r="A1459" s="12" t="s">
        <v>1547</v>
      </c>
      <c r="F1459" s="19">
        <f>IFERROR(__xludf.DUMMYFUNCTION("SPLIT(A1455, "" |"")"),1453.0)</f>
        <v>1453</v>
      </c>
      <c r="G1459" s="19">
        <f>IFERROR(__xludf.DUMMYFUNCTION("""COMPUTED_VALUE"""),0.00241)</f>
        <v>0.00241</v>
      </c>
      <c r="H1459" s="19" t="str">
        <f>IFERROR(__xludf.DUMMYFUNCTION("""COMPUTED_VALUE"""),"-")</f>
        <v>-</v>
      </c>
      <c r="I1459" s="19">
        <f>IFERROR(__xludf.DUMMYFUNCTION("""COMPUTED_VALUE"""),0.00223)</f>
        <v>0.00223</v>
      </c>
      <c r="J1459" s="19">
        <f>IFERROR(__xludf.DUMMYFUNCTION("""COMPUTED_VALUE"""),0.04742)</f>
        <v>0.04742</v>
      </c>
      <c r="K1459" s="19" t="str">
        <f>IFERROR(__xludf.DUMMYFUNCTION("""COMPUTED_VALUE"""),"-")</f>
        <v>-</v>
      </c>
      <c r="L1459" s="19" t="str">
        <f>IFERROR(__xludf.DUMMYFUNCTION("""COMPUTED_VALUE"""),"-")</f>
        <v>-</v>
      </c>
      <c r="O1459" s="24">
        <f t="shared" si="4"/>
        <v>0</v>
      </c>
      <c r="P1459" s="24"/>
      <c r="Q1459" s="24">
        <f t="shared" si="6"/>
        <v>0</v>
      </c>
      <c r="R1459" s="24">
        <f t="shared" si="7"/>
        <v>0</v>
      </c>
      <c r="S1459" s="24"/>
      <c r="T1459" s="24"/>
    </row>
    <row r="1460">
      <c r="A1460" s="12" t="s">
        <v>1548</v>
      </c>
      <c r="F1460" s="19">
        <f>IFERROR(__xludf.DUMMYFUNCTION("SPLIT(A1456, "" |"")"),1454.0)</f>
        <v>1454</v>
      </c>
      <c r="G1460" s="19">
        <f>IFERROR(__xludf.DUMMYFUNCTION("""COMPUTED_VALUE"""),0.00236)</f>
        <v>0.00236</v>
      </c>
      <c r="H1460" s="19" t="str">
        <f>IFERROR(__xludf.DUMMYFUNCTION("""COMPUTED_VALUE"""),"-")</f>
        <v>-</v>
      </c>
      <c r="I1460" s="19">
        <f>IFERROR(__xludf.DUMMYFUNCTION("""COMPUTED_VALUE"""),0.00225)</f>
        <v>0.00225</v>
      </c>
      <c r="J1460" s="19">
        <f>IFERROR(__xludf.DUMMYFUNCTION("""COMPUTED_VALUE"""),0.04734)</f>
        <v>0.04734</v>
      </c>
      <c r="K1460" s="19" t="str">
        <f>IFERROR(__xludf.DUMMYFUNCTION("""COMPUTED_VALUE"""),"-")</f>
        <v>-</v>
      </c>
      <c r="L1460" s="19" t="str">
        <f>IFERROR(__xludf.DUMMYFUNCTION("""COMPUTED_VALUE"""),"-")</f>
        <v>-</v>
      </c>
      <c r="O1460" s="24">
        <f t="shared" si="4"/>
        <v>0</v>
      </c>
      <c r="P1460" s="24"/>
      <c r="Q1460" s="24">
        <f t="shared" si="6"/>
        <v>0</v>
      </c>
      <c r="R1460" s="24">
        <f t="shared" si="7"/>
        <v>0</v>
      </c>
      <c r="S1460" s="24"/>
      <c r="T1460" s="24"/>
    </row>
    <row r="1461">
      <c r="A1461" s="12" t="s">
        <v>1549</v>
      </c>
      <c r="F1461" s="19">
        <f>IFERROR(__xludf.DUMMYFUNCTION("SPLIT(A1457, "" |"")"),1455.0)</f>
        <v>1455</v>
      </c>
      <c r="G1461" s="19">
        <f>IFERROR(__xludf.DUMMYFUNCTION("""COMPUTED_VALUE"""),0.0023)</f>
        <v>0.0023</v>
      </c>
      <c r="H1461" s="19" t="str">
        <f>IFERROR(__xludf.DUMMYFUNCTION("""COMPUTED_VALUE"""),"-")</f>
        <v>-</v>
      </c>
      <c r="I1461" s="19">
        <f>IFERROR(__xludf.DUMMYFUNCTION("""COMPUTED_VALUE"""),0.00224)</f>
        <v>0.00224</v>
      </c>
      <c r="J1461" s="19">
        <f>IFERROR(__xludf.DUMMYFUNCTION("""COMPUTED_VALUE"""),0.04746)</f>
        <v>0.04746</v>
      </c>
      <c r="K1461" s="19" t="str">
        <f>IFERROR(__xludf.DUMMYFUNCTION("""COMPUTED_VALUE"""),"-")</f>
        <v>-</v>
      </c>
      <c r="L1461" s="19" t="str">
        <f>IFERROR(__xludf.DUMMYFUNCTION("""COMPUTED_VALUE"""),"-")</f>
        <v>-</v>
      </c>
      <c r="O1461" s="24">
        <f t="shared" si="4"/>
        <v>0</v>
      </c>
      <c r="P1461" s="24"/>
      <c r="Q1461" s="24">
        <f t="shared" si="6"/>
        <v>0</v>
      </c>
      <c r="R1461" s="24">
        <f t="shared" si="7"/>
        <v>0</v>
      </c>
      <c r="S1461" s="24"/>
      <c r="T1461" s="24"/>
    </row>
    <row r="1462">
      <c r="A1462" s="12" t="s">
        <v>1550</v>
      </c>
      <c r="F1462" s="19">
        <f>IFERROR(__xludf.DUMMYFUNCTION("SPLIT(A1458, "" |"")"),1456.0)</f>
        <v>1456</v>
      </c>
      <c r="G1462" s="19">
        <f>IFERROR(__xludf.DUMMYFUNCTION("""COMPUTED_VALUE"""),0.00235)</f>
        <v>0.00235</v>
      </c>
      <c r="H1462" s="19" t="str">
        <f>IFERROR(__xludf.DUMMYFUNCTION("""COMPUTED_VALUE"""),"-")</f>
        <v>-</v>
      </c>
      <c r="I1462" s="19">
        <f>IFERROR(__xludf.DUMMYFUNCTION("""COMPUTED_VALUE"""),0.00222)</f>
        <v>0.00222</v>
      </c>
      <c r="J1462" s="19">
        <f>IFERROR(__xludf.DUMMYFUNCTION("""COMPUTED_VALUE"""),0.04748)</f>
        <v>0.04748</v>
      </c>
      <c r="K1462" s="19" t="str">
        <f>IFERROR(__xludf.DUMMYFUNCTION("""COMPUTED_VALUE"""),"-")</f>
        <v>-</v>
      </c>
      <c r="L1462" s="19" t="str">
        <f>IFERROR(__xludf.DUMMYFUNCTION("""COMPUTED_VALUE"""),"-")</f>
        <v>-</v>
      </c>
      <c r="O1462" s="24">
        <f t="shared" si="4"/>
        <v>0</v>
      </c>
      <c r="P1462" s="24"/>
      <c r="Q1462" s="24">
        <f t="shared" si="6"/>
        <v>0</v>
      </c>
      <c r="R1462" s="24">
        <f t="shared" si="7"/>
        <v>0</v>
      </c>
      <c r="S1462" s="24"/>
      <c r="T1462" s="24"/>
    </row>
    <row r="1463">
      <c r="A1463" s="12" t="s">
        <v>1551</v>
      </c>
      <c r="F1463" s="19">
        <f>IFERROR(__xludf.DUMMYFUNCTION("SPLIT(A1459, "" |"")"),1457.0)</f>
        <v>1457</v>
      </c>
      <c r="G1463" s="19">
        <f>IFERROR(__xludf.DUMMYFUNCTION("""COMPUTED_VALUE"""),0.00232)</f>
        <v>0.00232</v>
      </c>
      <c r="H1463" s="19" t="str">
        <f>IFERROR(__xludf.DUMMYFUNCTION("""COMPUTED_VALUE"""),"-")</f>
        <v>-</v>
      </c>
      <c r="I1463" s="19">
        <f>IFERROR(__xludf.DUMMYFUNCTION("""COMPUTED_VALUE"""),0.00222)</f>
        <v>0.00222</v>
      </c>
      <c r="J1463" s="19">
        <f>IFERROR(__xludf.DUMMYFUNCTION("""COMPUTED_VALUE"""),0.04745)</f>
        <v>0.04745</v>
      </c>
      <c r="K1463" s="19" t="str">
        <f>IFERROR(__xludf.DUMMYFUNCTION("""COMPUTED_VALUE"""),"-")</f>
        <v>-</v>
      </c>
      <c r="L1463" s="19" t="str">
        <f>IFERROR(__xludf.DUMMYFUNCTION("""COMPUTED_VALUE"""),"-")</f>
        <v>-</v>
      </c>
      <c r="O1463" s="24">
        <f t="shared" si="4"/>
        <v>0</v>
      </c>
      <c r="P1463" s="24"/>
      <c r="Q1463" s="24">
        <f t="shared" si="6"/>
        <v>0</v>
      </c>
      <c r="R1463" s="24">
        <f t="shared" si="7"/>
        <v>0</v>
      </c>
      <c r="S1463" s="24"/>
      <c r="T1463" s="24"/>
    </row>
    <row r="1464">
      <c r="A1464" s="12" t="s">
        <v>1552</v>
      </c>
      <c r="F1464" s="19">
        <f>IFERROR(__xludf.DUMMYFUNCTION("SPLIT(A1460, "" |"")"),1458.0)</f>
        <v>1458</v>
      </c>
      <c r="G1464" s="19">
        <f>IFERROR(__xludf.DUMMYFUNCTION("""COMPUTED_VALUE"""),0.00239)</f>
        <v>0.00239</v>
      </c>
      <c r="H1464" s="19" t="str">
        <f>IFERROR(__xludf.DUMMYFUNCTION("""COMPUTED_VALUE"""),"-")</f>
        <v>-</v>
      </c>
      <c r="I1464" s="19">
        <f>IFERROR(__xludf.DUMMYFUNCTION("""COMPUTED_VALUE"""),0.00228)</f>
        <v>0.00228</v>
      </c>
      <c r="J1464" s="19">
        <f>IFERROR(__xludf.DUMMYFUNCTION("""COMPUTED_VALUE"""),0.04749)</f>
        <v>0.04749</v>
      </c>
      <c r="K1464" s="19" t="str">
        <f>IFERROR(__xludf.DUMMYFUNCTION("""COMPUTED_VALUE"""),"-")</f>
        <v>-</v>
      </c>
      <c r="L1464" s="19" t="str">
        <f>IFERROR(__xludf.DUMMYFUNCTION("""COMPUTED_VALUE"""),"-")</f>
        <v>-</v>
      </c>
      <c r="O1464" s="24">
        <f t="shared" si="4"/>
        <v>0</v>
      </c>
      <c r="P1464" s="24"/>
      <c r="Q1464" s="24">
        <f t="shared" si="6"/>
        <v>0</v>
      </c>
      <c r="R1464" s="24">
        <f t="shared" si="7"/>
        <v>0</v>
      </c>
      <c r="S1464" s="24"/>
      <c r="T1464" s="24"/>
    </row>
    <row r="1465">
      <c r="A1465" s="12" t="s">
        <v>1553</v>
      </c>
      <c r="F1465" s="19">
        <f>IFERROR(__xludf.DUMMYFUNCTION("SPLIT(A1461, "" |"")"),1459.0)</f>
        <v>1459</v>
      </c>
      <c r="G1465" s="19">
        <f>IFERROR(__xludf.DUMMYFUNCTION("""COMPUTED_VALUE"""),0.00224)</f>
        <v>0.00224</v>
      </c>
      <c r="H1465" s="19" t="str">
        <f>IFERROR(__xludf.DUMMYFUNCTION("""COMPUTED_VALUE"""),"-")</f>
        <v>-</v>
      </c>
      <c r="I1465" s="19">
        <f>IFERROR(__xludf.DUMMYFUNCTION("""COMPUTED_VALUE"""),0.00211)</f>
        <v>0.00211</v>
      </c>
      <c r="J1465" s="19">
        <f>IFERROR(__xludf.DUMMYFUNCTION("""COMPUTED_VALUE"""),0.04752)</f>
        <v>0.04752</v>
      </c>
      <c r="K1465" s="19" t="str">
        <f>IFERROR(__xludf.DUMMYFUNCTION("""COMPUTED_VALUE"""),"-")</f>
        <v>-</v>
      </c>
      <c r="L1465" s="19" t="str">
        <f>IFERROR(__xludf.DUMMYFUNCTION("""COMPUTED_VALUE"""),"-")</f>
        <v>-</v>
      </c>
      <c r="O1465" s="24">
        <f t="shared" si="4"/>
        <v>0</v>
      </c>
      <c r="P1465" s="24"/>
      <c r="Q1465" s="24">
        <f t="shared" si="6"/>
        <v>0</v>
      </c>
      <c r="R1465" s="24">
        <f t="shared" si="7"/>
        <v>0</v>
      </c>
      <c r="S1465" s="24"/>
      <c r="T1465" s="24"/>
    </row>
    <row r="1466">
      <c r="A1466" s="12" t="s">
        <v>1554</v>
      </c>
      <c r="F1466" s="19">
        <f>IFERROR(__xludf.DUMMYFUNCTION("SPLIT(A1462, "" |"")"),1460.0)</f>
        <v>1460</v>
      </c>
      <c r="G1466" s="19">
        <f>IFERROR(__xludf.DUMMYFUNCTION("""COMPUTED_VALUE"""),0.0024)</f>
        <v>0.0024</v>
      </c>
      <c r="H1466" s="19" t="str">
        <f>IFERROR(__xludf.DUMMYFUNCTION("""COMPUTED_VALUE"""),"-")</f>
        <v>-</v>
      </c>
      <c r="I1466" s="19">
        <f>IFERROR(__xludf.DUMMYFUNCTION("""COMPUTED_VALUE"""),0.0022)</f>
        <v>0.0022</v>
      </c>
      <c r="J1466" s="19">
        <f>IFERROR(__xludf.DUMMYFUNCTION("""COMPUTED_VALUE"""),0.04478)</f>
        <v>0.04478</v>
      </c>
      <c r="K1466" s="19" t="str">
        <f>IFERROR(__xludf.DUMMYFUNCTION("""COMPUTED_VALUE"""),"-")</f>
        <v>-</v>
      </c>
      <c r="L1466" s="19" t="str">
        <f>IFERROR(__xludf.DUMMYFUNCTION("""COMPUTED_VALUE"""),"-")</f>
        <v>-</v>
      </c>
      <c r="O1466" s="24">
        <f t="shared" si="4"/>
        <v>0</v>
      </c>
      <c r="P1466" s="24"/>
      <c r="Q1466" s="24">
        <f t="shared" si="6"/>
        <v>0</v>
      </c>
      <c r="R1466" s="24">
        <f t="shared" si="7"/>
        <v>1</v>
      </c>
      <c r="S1466" s="24"/>
      <c r="T1466" s="24"/>
    </row>
    <row r="1467">
      <c r="A1467" s="12" t="s">
        <v>1555</v>
      </c>
      <c r="F1467" s="19">
        <f>IFERROR(__xludf.DUMMYFUNCTION("SPLIT(A1463, "" |"")"),1461.0)</f>
        <v>1461</v>
      </c>
      <c r="G1467" s="19">
        <f>IFERROR(__xludf.DUMMYFUNCTION("""COMPUTED_VALUE"""),0.0024)</f>
        <v>0.0024</v>
      </c>
      <c r="H1467" s="19" t="str">
        <f>IFERROR(__xludf.DUMMYFUNCTION("""COMPUTED_VALUE"""),"-")</f>
        <v>-</v>
      </c>
      <c r="I1467" s="19">
        <f>IFERROR(__xludf.DUMMYFUNCTION("""COMPUTED_VALUE"""),0.00223)</f>
        <v>0.00223</v>
      </c>
      <c r="J1467" s="19">
        <f>IFERROR(__xludf.DUMMYFUNCTION("""COMPUTED_VALUE"""),0.04742)</f>
        <v>0.04742</v>
      </c>
      <c r="K1467" s="19" t="str">
        <f>IFERROR(__xludf.DUMMYFUNCTION("""COMPUTED_VALUE"""),"-")</f>
        <v>-</v>
      </c>
      <c r="L1467" s="19" t="str">
        <f>IFERROR(__xludf.DUMMYFUNCTION("""COMPUTED_VALUE"""),"-")</f>
        <v>-</v>
      </c>
      <c r="O1467" s="24">
        <f t="shared" si="4"/>
        <v>0</v>
      </c>
      <c r="P1467" s="24"/>
      <c r="Q1467" s="24">
        <f t="shared" si="6"/>
        <v>0</v>
      </c>
      <c r="R1467" s="24">
        <f t="shared" si="7"/>
        <v>0</v>
      </c>
      <c r="S1467" s="24"/>
      <c r="T1467" s="24"/>
    </row>
    <row r="1468">
      <c r="A1468" s="12" t="s">
        <v>1556</v>
      </c>
      <c r="F1468" s="19">
        <f>IFERROR(__xludf.DUMMYFUNCTION("SPLIT(A1464, "" |"")"),1462.0)</f>
        <v>1462</v>
      </c>
      <c r="G1468" s="19">
        <f>IFERROR(__xludf.DUMMYFUNCTION("""COMPUTED_VALUE"""),0.00234)</f>
        <v>0.00234</v>
      </c>
      <c r="H1468" s="19" t="str">
        <f>IFERROR(__xludf.DUMMYFUNCTION("""COMPUTED_VALUE"""),"-")</f>
        <v>-</v>
      </c>
      <c r="I1468" s="19">
        <f>IFERROR(__xludf.DUMMYFUNCTION("""COMPUTED_VALUE"""),0.0022)</f>
        <v>0.0022</v>
      </c>
      <c r="J1468" s="19">
        <f>IFERROR(__xludf.DUMMYFUNCTION("""COMPUTED_VALUE"""),0.04748)</f>
        <v>0.04748</v>
      </c>
      <c r="K1468" s="19" t="str">
        <f>IFERROR(__xludf.DUMMYFUNCTION("""COMPUTED_VALUE"""),"-")</f>
        <v>-</v>
      </c>
      <c r="L1468" s="19" t="str">
        <f>IFERROR(__xludf.DUMMYFUNCTION("""COMPUTED_VALUE"""),"-")</f>
        <v>-</v>
      </c>
      <c r="O1468" s="24">
        <f t="shared" si="4"/>
        <v>0</v>
      </c>
      <c r="P1468" s="24"/>
      <c r="Q1468" s="24">
        <f t="shared" si="6"/>
        <v>0</v>
      </c>
      <c r="R1468" s="24">
        <f t="shared" si="7"/>
        <v>0</v>
      </c>
      <c r="S1468" s="24"/>
      <c r="T1468" s="24"/>
    </row>
    <row r="1469">
      <c r="A1469" s="12" t="s">
        <v>1557</v>
      </c>
      <c r="F1469" s="19">
        <f>IFERROR(__xludf.DUMMYFUNCTION("SPLIT(A1465, "" |"")"),1463.0)</f>
        <v>1463</v>
      </c>
      <c r="G1469" s="19">
        <f>IFERROR(__xludf.DUMMYFUNCTION("""COMPUTED_VALUE"""),0.00238)</f>
        <v>0.00238</v>
      </c>
      <c r="H1469" s="19" t="str">
        <f>IFERROR(__xludf.DUMMYFUNCTION("""COMPUTED_VALUE"""),"-")</f>
        <v>-</v>
      </c>
      <c r="I1469" s="19">
        <f>IFERROR(__xludf.DUMMYFUNCTION("""COMPUTED_VALUE"""),0.00221)</f>
        <v>0.00221</v>
      </c>
      <c r="J1469" s="19">
        <f>IFERROR(__xludf.DUMMYFUNCTION("""COMPUTED_VALUE"""),0.04746)</f>
        <v>0.04746</v>
      </c>
      <c r="K1469" s="19" t="str">
        <f>IFERROR(__xludf.DUMMYFUNCTION("""COMPUTED_VALUE"""),"-")</f>
        <v>-</v>
      </c>
      <c r="L1469" s="19" t="str">
        <f>IFERROR(__xludf.DUMMYFUNCTION("""COMPUTED_VALUE"""),"-")</f>
        <v>-</v>
      </c>
      <c r="O1469" s="24">
        <f t="shared" si="4"/>
        <v>0</v>
      </c>
      <c r="P1469" s="24"/>
      <c r="Q1469" s="24">
        <f t="shared" si="6"/>
        <v>0</v>
      </c>
      <c r="R1469" s="24">
        <f t="shared" si="7"/>
        <v>0</v>
      </c>
      <c r="S1469" s="24"/>
      <c r="T1469" s="24"/>
    </row>
    <row r="1470">
      <c r="A1470" s="12" t="s">
        <v>1558</v>
      </c>
      <c r="F1470" s="19">
        <f>IFERROR(__xludf.DUMMYFUNCTION("SPLIT(A1466, "" |"")"),1464.0)</f>
        <v>1464</v>
      </c>
      <c r="G1470" s="19">
        <f>IFERROR(__xludf.DUMMYFUNCTION("""COMPUTED_VALUE"""),0.00231)</f>
        <v>0.00231</v>
      </c>
      <c r="H1470" s="19" t="str">
        <f>IFERROR(__xludf.DUMMYFUNCTION("""COMPUTED_VALUE"""),"-")</f>
        <v>-</v>
      </c>
      <c r="I1470" s="19">
        <f>IFERROR(__xludf.DUMMYFUNCTION("""COMPUTED_VALUE"""),0.0022)</f>
        <v>0.0022</v>
      </c>
      <c r="J1470" s="19">
        <f>IFERROR(__xludf.DUMMYFUNCTION("""COMPUTED_VALUE"""),0.04745)</f>
        <v>0.04745</v>
      </c>
      <c r="K1470" s="19" t="str">
        <f>IFERROR(__xludf.DUMMYFUNCTION("""COMPUTED_VALUE"""),"-")</f>
        <v>-</v>
      </c>
      <c r="L1470" s="19" t="str">
        <f>IFERROR(__xludf.DUMMYFUNCTION("""COMPUTED_VALUE"""),"-")</f>
        <v>-</v>
      </c>
      <c r="O1470" s="24">
        <f t="shared" si="4"/>
        <v>0</v>
      </c>
      <c r="P1470" s="24"/>
      <c r="Q1470" s="24">
        <f t="shared" si="6"/>
        <v>0</v>
      </c>
      <c r="R1470" s="24">
        <f t="shared" si="7"/>
        <v>0</v>
      </c>
      <c r="S1470" s="24"/>
      <c r="T1470" s="24"/>
    </row>
    <row r="1471">
      <c r="A1471" s="12" t="s">
        <v>1559</v>
      </c>
      <c r="F1471" s="19">
        <f>IFERROR(__xludf.DUMMYFUNCTION("SPLIT(A1467, "" |"")"),1465.0)</f>
        <v>1465</v>
      </c>
      <c r="G1471" s="19">
        <f>IFERROR(__xludf.DUMMYFUNCTION("""COMPUTED_VALUE"""),0.00234)</f>
        <v>0.00234</v>
      </c>
      <c r="H1471" s="19" t="str">
        <f>IFERROR(__xludf.DUMMYFUNCTION("""COMPUTED_VALUE"""),"-")</f>
        <v>-</v>
      </c>
      <c r="I1471" s="19">
        <f>IFERROR(__xludf.DUMMYFUNCTION("""COMPUTED_VALUE"""),0.0022)</f>
        <v>0.0022</v>
      </c>
      <c r="J1471" s="19">
        <f>IFERROR(__xludf.DUMMYFUNCTION("""COMPUTED_VALUE"""),0.04748)</f>
        <v>0.04748</v>
      </c>
      <c r="K1471" s="19" t="str">
        <f>IFERROR(__xludf.DUMMYFUNCTION("""COMPUTED_VALUE"""),"-")</f>
        <v>-</v>
      </c>
      <c r="L1471" s="19" t="str">
        <f>IFERROR(__xludf.DUMMYFUNCTION("""COMPUTED_VALUE"""),"-")</f>
        <v>-</v>
      </c>
      <c r="O1471" s="24">
        <f t="shared" si="4"/>
        <v>0</v>
      </c>
      <c r="P1471" s="24"/>
      <c r="Q1471" s="24">
        <f t="shared" si="6"/>
        <v>0</v>
      </c>
      <c r="R1471" s="24">
        <f t="shared" si="7"/>
        <v>0</v>
      </c>
      <c r="S1471" s="24"/>
      <c r="T1471" s="24"/>
    </row>
    <row r="1472">
      <c r="A1472" s="12" t="s">
        <v>1560</v>
      </c>
      <c r="F1472" s="19">
        <f>IFERROR(__xludf.DUMMYFUNCTION("SPLIT(A1468, "" |"")"),1466.0)</f>
        <v>1466</v>
      </c>
      <c r="G1472" s="19">
        <f>IFERROR(__xludf.DUMMYFUNCTION("""COMPUTED_VALUE"""),0.00234)</f>
        <v>0.00234</v>
      </c>
      <c r="H1472" s="19" t="str">
        <f>IFERROR(__xludf.DUMMYFUNCTION("""COMPUTED_VALUE"""),"-")</f>
        <v>-</v>
      </c>
      <c r="I1472" s="19">
        <f>IFERROR(__xludf.DUMMYFUNCTION("""COMPUTED_VALUE"""),0.0022)</f>
        <v>0.0022</v>
      </c>
      <c r="J1472" s="19">
        <f>IFERROR(__xludf.DUMMYFUNCTION("""COMPUTED_VALUE"""),0.04741)</f>
        <v>0.04741</v>
      </c>
      <c r="K1472" s="19" t="str">
        <f>IFERROR(__xludf.DUMMYFUNCTION("""COMPUTED_VALUE"""),"-")</f>
        <v>-</v>
      </c>
      <c r="L1472" s="19" t="str">
        <f>IFERROR(__xludf.DUMMYFUNCTION("""COMPUTED_VALUE"""),"-")</f>
        <v>-</v>
      </c>
      <c r="O1472" s="24">
        <f t="shared" si="4"/>
        <v>0</v>
      </c>
      <c r="P1472" s="24"/>
      <c r="Q1472" s="24">
        <f t="shared" si="6"/>
        <v>0</v>
      </c>
      <c r="R1472" s="24">
        <f t="shared" si="7"/>
        <v>0</v>
      </c>
      <c r="S1472" s="24"/>
      <c r="T1472" s="24"/>
    </row>
    <row r="1473">
      <c r="A1473" s="12" t="s">
        <v>1561</v>
      </c>
      <c r="F1473" s="19">
        <f>IFERROR(__xludf.DUMMYFUNCTION("SPLIT(A1469, "" |"")"),1467.0)</f>
        <v>1467</v>
      </c>
      <c r="G1473" s="19">
        <f>IFERROR(__xludf.DUMMYFUNCTION("""COMPUTED_VALUE"""),0.00224)</f>
        <v>0.00224</v>
      </c>
      <c r="H1473" s="19" t="str">
        <f>IFERROR(__xludf.DUMMYFUNCTION("""COMPUTED_VALUE"""),"-")</f>
        <v>-</v>
      </c>
      <c r="I1473" s="19">
        <f>IFERROR(__xludf.DUMMYFUNCTION("""COMPUTED_VALUE"""),0.00206)</f>
        <v>0.00206</v>
      </c>
      <c r="J1473" s="19">
        <f>IFERROR(__xludf.DUMMYFUNCTION("""COMPUTED_VALUE"""),0.04151)</f>
        <v>0.04151</v>
      </c>
      <c r="K1473" s="19" t="str">
        <f>IFERROR(__xludf.DUMMYFUNCTION("""COMPUTED_VALUE"""),"-")</f>
        <v>-</v>
      </c>
      <c r="L1473" s="19" t="str">
        <f>IFERROR(__xludf.DUMMYFUNCTION("""COMPUTED_VALUE"""),"-")</f>
        <v>-</v>
      </c>
      <c r="O1473" s="24">
        <f t="shared" si="4"/>
        <v>0</v>
      </c>
      <c r="P1473" s="24"/>
      <c r="Q1473" s="24">
        <f t="shared" si="6"/>
        <v>0</v>
      </c>
      <c r="R1473" s="24">
        <f t="shared" si="7"/>
        <v>1</v>
      </c>
      <c r="S1473" s="24"/>
      <c r="T1473" s="24"/>
    </row>
    <row r="1474">
      <c r="A1474" s="12" t="s">
        <v>1562</v>
      </c>
      <c r="F1474" s="19">
        <f>IFERROR(__xludf.DUMMYFUNCTION("SPLIT(A1470, "" |"")"),1468.0)</f>
        <v>1468</v>
      </c>
      <c r="G1474" s="19">
        <f>IFERROR(__xludf.DUMMYFUNCTION("""COMPUTED_VALUE"""),0.00233)</f>
        <v>0.00233</v>
      </c>
      <c r="H1474" s="19" t="str">
        <f>IFERROR(__xludf.DUMMYFUNCTION("""COMPUTED_VALUE"""),"-")</f>
        <v>-</v>
      </c>
      <c r="I1474" s="19">
        <f>IFERROR(__xludf.DUMMYFUNCTION("""COMPUTED_VALUE"""),0.00222)</f>
        <v>0.00222</v>
      </c>
      <c r="J1474" s="19">
        <f>IFERROR(__xludf.DUMMYFUNCTION("""COMPUTED_VALUE"""),0.04738)</f>
        <v>0.04738</v>
      </c>
      <c r="K1474" s="19" t="str">
        <f>IFERROR(__xludf.DUMMYFUNCTION("""COMPUTED_VALUE"""),"-")</f>
        <v>-</v>
      </c>
      <c r="L1474" s="19" t="str">
        <f>IFERROR(__xludf.DUMMYFUNCTION("""COMPUTED_VALUE"""),"-")</f>
        <v>-</v>
      </c>
      <c r="O1474" s="24">
        <f t="shared" si="4"/>
        <v>0</v>
      </c>
      <c r="P1474" s="24"/>
      <c r="Q1474" s="24">
        <f t="shared" si="6"/>
        <v>0</v>
      </c>
      <c r="R1474" s="24">
        <f t="shared" si="7"/>
        <v>0</v>
      </c>
      <c r="S1474" s="24"/>
      <c r="T1474" s="24"/>
    </row>
    <row r="1475">
      <c r="A1475" s="12" t="s">
        <v>1563</v>
      </c>
      <c r="F1475" s="19">
        <f>IFERROR(__xludf.DUMMYFUNCTION("SPLIT(A1471, "" |"")"),1469.0)</f>
        <v>1469</v>
      </c>
      <c r="G1475" s="19">
        <f>IFERROR(__xludf.DUMMYFUNCTION("""COMPUTED_VALUE"""),0.00235)</f>
        <v>0.00235</v>
      </c>
      <c r="H1475" s="19" t="str">
        <f>IFERROR(__xludf.DUMMYFUNCTION("""COMPUTED_VALUE"""),"-")</f>
        <v>-</v>
      </c>
      <c r="I1475" s="19">
        <f>IFERROR(__xludf.DUMMYFUNCTION("""COMPUTED_VALUE"""),0.00222)</f>
        <v>0.00222</v>
      </c>
      <c r="J1475" s="19">
        <f>IFERROR(__xludf.DUMMYFUNCTION("""COMPUTED_VALUE"""),0.04745)</f>
        <v>0.04745</v>
      </c>
      <c r="K1475" s="19" t="str">
        <f>IFERROR(__xludf.DUMMYFUNCTION("""COMPUTED_VALUE"""),"-")</f>
        <v>-</v>
      </c>
      <c r="L1475" s="19" t="str">
        <f>IFERROR(__xludf.DUMMYFUNCTION("""COMPUTED_VALUE"""),"-")</f>
        <v>-</v>
      </c>
      <c r="O1475" s="24">
        <f t="shared" si="4"/>
        <v>0</v>
      </c>
      <c r="P1475" s="24"/>
      <c r="Q1475" s="24">
        <f t="shared" si="6"/>
        <v>0</v>
      </c>
      <c r="R1475" s="24">
        <f t="shared" si="7"/>
        <v>0</v>
      </c>
      <c r="S1475" s="24"/>
      <c r="T1475" s="24"/>
    </row>
    <row r="1476">
      <c r="A1476" s="12" t="s">
        <v>1564</v>
      </c>
      <c r="F1476" s="19">
        <f>IFERROR(__xludf.DUMMYFUNCTION("SPLIT(A1472, "" |"")"),1470.0)</f>
        <v>1470</v>
      </c>
      <c r="G1476" s="19">
        <f>IFERROR(__xludf.DUMMYFUNCTION("""COMPUTED_VALUE"""),0.00236)</f>
        <v>0.00236</v>
      </c>
      <c r="H1476" s="19" t="str">
        <f>IFERROR(__xludf.DUMMYFUNCTION("""COMPUTED_VALUE"""),"-")</f>
        <v>-</v>
      </c>
      <c r="I1476" s="19">
        <f>IFERROR(__xludf.DUMMYFUNCTION("""COMPUTED_VALUE"""),0.00223)</f>
        <v>0.00223</v>
      </c>
      <c r="J1476" s="19">
        <f>IFERROR(__xludf.DUMMYFUNCTION("""COMPUTED_VALUE"""),0.04746)</f>
        <v>0.04746</v>
      </c>
      <c r="K1476" s="19" t="str">
        <f>IFERROR(__xludf.DUMMYFUNCTION("""COMPUTED_VALUE"""),"-")</f>
        <v>-</v>
      </c>
      <c r="L1476" s="19" t="str">
        <f>IFERROR(__xludf.DUMMYFUNCTION("""COMPUTED_VALUE"""),"-")</f>
        <v>-</v>
      </c>
      <c r="O1476" s="24">
        <f t="shared" si="4"/>
        <v>0</v>
      </c>
      <c r="P1476" s="24"/>
      <c r="Q1476" s="24">
        <f t="shared" si="6"/>
        <v>0</v>
      </c>
      <c r="R1476" s="24">
        <f t="shared" si="7"/>
        <v>0</v>
      </c>
      <c r="S1476" s="24"/>
      <c r="T1476" s="24"/>
    </row>
    <row r="1477">
      <c r="A1477" s="12" t="s">
        <v>1565</v>
      </c>
      <c r="F1477" s="19">
        <f>IFERROR(__xludf.DUMMYFUNCTION("SPLIT(A1473, "" |"")"),1471.0)</f>
        <v>1471</v>
      </c>
      <c r="G1477" s="19">
        <f>IFERROR(__xludf.DUMMYFUNCTION("""COMPUTED_VALUE"""),0.00226)</f>
        <v>0.00226</v>
      </c>
      <c r="H1477" s="19" t="str">
        <f>IFERROR(__xludf.DUMMYFUNCTION("""COMPUTED_VALUE"""),"-")</f>
        <v>-</v>
      </c>
      <c r="I1477" s="19">
        <f>IFERROR(__xludf.DUMMYFUNCTION("""COMPUTED_VALUE"""),0.00217)</f>
        <v>0.00217</v>
      </c>
      <c r="J1477" s="19">
        <f>IFERROR(__xludf.DUMMYFUNCTION("""COMPUTED_VALUE"""),0.04733)</f>
        <v>0.04733</v>
      </c>
      <c r="K1477" s="19" t="str">
        <f>IFERROR(__xludf.DUMMYFUNCTION("""COMPUTED_VALUE"""),"-")</f>
        <v>-</v>
      </c>
      <c r="L1477" s="19" t="str">
        <f>IFERROR(__xludf.DUMMYFUNCTION("""COMPUTED_VALUE"""),"-")</f>
        <v>-</v>
      </c>
      <c r="O1477" s="24">
        <f t="shared" si="4"/>
        <v>0</v>
      </c>
      <c r="P1477" s="24"/>
      <c r="Q1477" s="24">
        <f t="shared" si="6"/>
        <v>0</v>
      </c>
      <c r="R1477" s="24">
        <f t="shared" si="7"/>
        <v>0</v>
      </c>
      <c r="S1477" s="24"/>
      <c r="T1477" s="24"/>
    </row>
    <row r="1478">
      <c r="A1478" s="12" t="s">
        <v>1566</v>
      </c>
      <c r="F1478" s="19">
        <f>IFERROR(__xludf.DUMMYFUNCTION("SPLIT(A1474, "" |"")"),1472.0)</f>
        <v>1472</v>
      </c>
      <c r="G1478" s="19">
        <f>IFERROR(__xludf.DUMMYFUNCTION("""COMPUTED_VALUE"""),0.00239)</f>
        <v>0.00239</v>
      </c>
      <c r="H1478" s="19" t="str">
        <f>IFERROR(__xludf.DUMMYFUNCTION("""COMPUTED_VALUE"""),"-")</f>
        <v>-</v>
      </c>
      <c r="I1478" s="19">
        <f>IFERROR(__xludf.DUMMYFUNCTION("""COMPUTED_VALUE"""),0.00219)</f>
        <v>0.00219</v>
      </c>
      <c r="J1478" s="19">
        <f>IFERROR(__xludf.DUMMYFUNCTION("""COMPUTED_VALUE"""),0.04726)</f>
        <v>0.04726</v>
      </c>
      <c r="K1478" s="19" t="str">
        <f>IFERROR(__xludf.DUMMYFUNCTION("""COMPUTED_VALUE"""),"-")</f>
        <v>-</v>
      </c>
      <c r="L1478" s="19" t="str">
        <f>IFERROR(__xludf.DUMMYFUNCTION("""COMPUTED_VALUE"""),"-")</f>
        <v>-</v>
      </c>
      <c r="O1478" s="24">
        <f t="shared" si="4"/>
        <v>0</v>
      </c>
      <c r="P1478" s="24"/>
      <c r="Q1478" s="24">
        <f t="shared" si="6"/>
        <v>0</v>
      </c>
      <c r="R1478" s="24">
        <f t="shared" si="7"/>
        <v>0</v>
      </c>
      <c r="S1478" s="24"/>
      <c r="T1478" s="24"/>
    </row>
    <row r="1479">
      <c r="A1479" s="12" t="s">
        <v>1567</v>
      </c>
      <c r="F1479" s="19">
        <f>IFERROR(__xludf.DUMMYFUNCTION("SPLIT(A1475, "" |"")"),1473.0)</f>
        <v>1473</v>
      </c>
      <c r="G1479" s="19">
        <f>IFERROR(__xludf.DUMMYFUNCTION("""COMPUTED_VALUE"""),0.00237)</f>
        <v>0.00237</v>
      </c>
      <c r="H1479" s="19" t="str">
        <f>IFERROR(__xludf.DUMMYFUNCTION("""COMPUTED_VALUE"""),"-")</f>
        <v>-</v>
      </c>
      <c r="I1479" s="19">
        <f>IFERROR(__xludf.DUMMYFUNCTION("""COMPUTED_VALUE"""),0.00222)</f>
        <v>0.00222</v>
      </c>
      <c r="J1479" s="19">
        <f>IFERROR(__xludf.DUMMYFUNCTION("""COMPUTED_VALUE"""),0.0456)</f>
        <v>0.0456</v>
      </c>
      <c r="K1479" s="19" t="str">
        <f>IFERROR(__xludf.DUMMYFUNCTION("""COMPUTED_VALUE"""),"-")</f>
        <v>-</v>
      </c>
      <c r="L1479" s="19" t="str">
        <f>IFERROR(__xludf.DUMMYFUNCTION("""COMPUTED_VALUE"""),"-")</f>
        <v>-</v>
      </c>
      <c r="O1479" s="24">
        <f t="shared" si="4"/>
        <v>0</v>
      </c>
      <c r="P1479" s="24"/>
      <c r="Q1479" s="24">
        <f t="shared" si="6"/>
        <v>0</v>
      </c>
      <c r="R1479" s="24">
        <f t="shared" si="7"/>
        <v>0</v>
      </c>
      <c r="S1479" s="24"/>
      <c r="T1479" s="24"/>
    </row>
    <row r="1480">
      <c r="A1480" s="12" t="s">
        <v>1568</v>
      </c>
      <c r="F1480" s="19">
        <f>IFERROR(__xludf.DUMMYFUNCTION("SPLIT(A1476, "" |"")"),1474.0)</f>
        <v>1474</v>
      </c>
      <c r="G1480" s="19">
        <f>IFERROR(__xludf.DUMMYFUNCTION("""COMPUTED_VALUE"""),0.00239)</f>
        <v>0.00239</v>
      </c>
      <c r="H1480" s="19" t="str">
        <f>IFERROR(__xludf.DUMMYFUNCTION("""COMPUTED_VALUE"""),"-")</f>
        <v>-</v>
      </c>
      <c r="I1480" s="19">
        <f>IFERROR(__xludf.DUMMYFUNCTION("""COMPUTED_VALUE"""),0.00221)</f>
        <v>0.00221</v>
      </c>
      <c r="J1480" s="19">
        <f>IFERROR(__xludf.DUMMYFUNCTION("""COMPUTED_VALUE"""),0.04753)</f>
        <v>0.04753</v>
      </c>
      <c r="K1480" s="19" t="str">
        <f>IFERROR(__xludf.DUMMYFUNCTION("""COMPUTED_VALUE"""),"-")</f>
        <v>-</v>
      </c>
      <c r="L1480" s="19" t="str">
        <f>IFERROR(__xludf.DUMMYFUNCTION("""COMPUTED_VALUE"""),"-")</f>
        <v>-</v>
      </c>
      <c r="O1480" s="24">
        <f t="shared" si="4"/>
        <v>0</v>
      </c>
      <c r="P1480" s="24"/>
      <c r="Q1480" s="24">
        <f t="shared" si="6"/>
        <v>0</v>
      </c>
      <c r="R1480" s="24">
        <f t="shared" si="7"/>
        <v>0</v>
      </c>
      <c r="S1480" s="24"/>
      <c r="T1480" s="24"/>
    </row>
    <row r="1481">
      <c r="A1481" s="12" t="s">
        <v>1569</v>
      </c>
      <c r="F1481" s="19">
        <f>IFERROR(__xludf.DUMMYFUNCTION("SPLIT(A1477, "" |"")"),1475.0)</f>
        <v>1475</v>
      </c>
      <c r="G1481" s="19">
        <f>IFERROR(__xludf.DUMMYFUNCTION("""COMPUTED_VALUE"""),0.0024)</f>
        <v>0.0024</v>
      </c>
      <c r="H1481" s="19" t="str">
        <f>IFERROR(__xludf.DUMMYFUNCTION("""COMPUTED_VALUE"""),"-")</f>
        <v>-</v>
      </c>
      <c r="I1481" s="19">
        <f>IFERROR(__xludf.DUMMYFUNCTION("""COMPUTED_VALUE"""),0.00223)</f>
        <v>0.00223</v>
      </c>
      <c r="J1481" s="19">
        <f>IFERROR(__xludf.DUMMYFUNCTION("""COMPUTED_VALUE"""),0.0475)</f>
        <v>0.0475</v>
      </c>
      <c r="K1481" s="19" t="str">
        <f>IFERROR(__xludf.DUMMYFUNCTION("""COMPUTED_VALUE"""),"-")</f>
        <v>-</v>
      </c>
      <c r="L1481" s="19" t="str">
        <f>IFERROR(__xludf.DUMMYFUNCTION("""COMPUTED_VALUE"""),"-")</f>
        <v>-</v>
      </c>
      <c r="O1481" s="24">
        <f t="shared" si="4"/>
        <v>0</v>
      </c>
      <c r="P1481" s="24"/>
      <c r="Q1481" s="24">
        <f t="shared" si="6"/>
        <v>0</v>
      </c>
      <c r="R1481" s="24">
        <f t="shared" si="7"/>
        <v>0</v>
      </c>
      <c r="S1481" s="24"/>
      <c r="T1481" s="24"/>
    </row>
    <row r="1482">
      <c r="A1482" s="12" t="s">
        <v>1570</v>
      </c>
      <c r="F1482" s="19">
        <f>IFERROR(__xludf.DUMMYFUNCTION("SPLIT(A1478, "" |"")"),1476.0)</f>
        <v>1476</v>
      </c>
      <c r="G1482" s="19">
        <f>IFERROR(__xludf.DUMMYFUNCTION("""COMPUTED_VALUE"""),0.00233)</f>
        <v>0.00233</v>
      </c>
      <c r="H1482" s="19" t="str">
        <f>IFERROR(__xludf.DUMMYFUNCTION("""COMPUTED_VALUE"""),"-")</f>
        <v>-</v>
      </c>
      <c r="I1482" s="19">
        <f>IFERROR(__xludf.DUMMYFUNCTION("""COMPUTED_VALUE"""),0.00219)</f>
        <v>0.00219</v>
      </c>
      <c r="J1482" s="19">
        <f>IFERROR(__xludf.DUMMYFUNCTION("""COMPUTED_VALUE"""),0.04744)</f>
        <v>0.04744</v>
      </c>
      <c r="K1482" s="19" t="str">
        <f>IFERROR(__xludf.DUMMYFUNCTION("""COMPUTED_VALUE"""),"-")</f>
        <v>-</v>
      </c>
      <c r="L1482" s="19" t="str">
        <f>IFERROR(__xludf.DUMMYFUNCTION("""COMPUTED_VALUE"""),"-")</f>
        <v>-</v>
      </c>
      <c r="O1482" s="24">
        <f t="shared" si="4"/>
        <v>0</v>
      </c>
      <c r="P1482" s="24"/>
      <c r="Q1482" s="24">
        <f t="shared" si="6"/>
        <v>0</v>
      </c>
      <c r="R1482" s="24">
        <f t="shared" si="7"/>
        <v>0</v>
      </c>
      <c r="S1482" s="24"/>
      <c r="T1482" s="24"/>
    </row>
    <row r="1483">
      <c r="A1483" s="12" t="s">
        <v>1571</v>
      </c>
      <c r="F1483" s="19">
        <f>IFERROR(__xludf.DUMMYFUNCTION("SPLIT(A1479, "" |"")"),1477.0)</f>
        <v>1477</v>
      </c>
      <c r="G1483" s="19">
        <f>IFERROR(__xludf.DUMMYFUNCTION("""COMPUTED_VALUE"""),0.00237)</f>
        <v>0.00237</v>
      </c>
      <c r="H1483" s="19" t="str">
        <f>IFERROR(__xludf.DUMMYFUNCTION("""COMPUTED_VALUE"""),"-")</f>
        <v>-</v>
      </c>
      <c r="I1483" s="19">
        <f>IFERROR(__xludf.DUMMYFUNCTION("""COMPUTED_VALUE"""),0.0022)</f>
        <v>0.0022</v>
      </c>
      <c r="J1483" s="19">
        <f>IFERROR(__xludf.DUMMYFUNCTION("""COMPUTED_VALUE"""),0.04747)</f>
        <v>0.04747</v>
      </c>
      <c r="K1483" s="19" t="str">
        <f>IFERROR(__xludf.DUMMYFUNCTION("""COMPUTED_VALUE"""),"-")</f>
        <v>-</v>
      </c>
      <c r="L1483" s="19" t="str">
        <f>IFERROR(__xludf.DUMMYFUNCTION("""COMPUTED_VALUE"""),"-")</f>
        <v>-</v>
      </c>
      <c r="O1483" s="24">
        <f t="shared" si="4"/>
        <v>0</v>
      </c>
      <c r="P1483" s="24"/>
      <c r="Q1483" s="24">
        <f t="shared" si="6"/>
        <v>0</v>
      </c>
      <c r="R1483" s="24">
        <f t="shared" si="7"/>
        <v>0</v>
      </c>
      <c r="S1483" s="24"/>
      <c r="T1483" s="24"/>
    </row>
    <row r="1484">
      <c r="A1484" s="12" t="s">
        <v>1572</v>
      </c>
      <c r="F1484" s="19">
        <f>IFERROR(__xludf.DUMMYFUNCTION("SPLIT(A1480, "" |"")"),1478.0)</f>
        <v>1478</v>
      </c>
      <c r="G1484" s="19">
        <f>IFERROR(__xludf.DUMMYFUNCTION("""COMPUTED_VALUE"""),0.00233)</f>
        <v>0.00233</v>
      </c>
      <c r="H1484" s="19" t="str">
        <f>IFERROR(__xludf.DUMMYFUNCTION("""COMPUTED_VALUE"""),"-")</f>
        <v>-</v>
      </c>
      <c r="I1484" s="19">
        <f>IFERROR(__xludf.DUMMYFUNCTION("""COMPUTED_VALUE"""),0.00221)</f>
        <v>0.00221</v>
      </c>
      <c r="J1484" s="19">
        <f>IFERROR(__xludf.DUMMYFUNCTION("""COMPUTED_VALUE"""),0.04216)</f>
        <v>0.04216</v>
      </c>
      <c r="K1484" s="19" t="str">
        <f>IFERROR(__xludf.DUMMYFUNCTION("""COMPUTED_VALUE"""),"-")</f>
        <v>-</v>
      </c>
      <c r="L1484" s="19" t="str">
        <f>IFERROR(__xludf.DUMMYFUNCTION("""COMPUTED_VALUE"""),"-")</f>
        <v>-</v>
      </c>
      <c r="O1484" s="24">
        <f t="shared" si="4"/>
        <v>0</v>
      </c>
      <c r="P1484" s="24"/>
      <c r="Q1484" s="24">
        <f t="shared" si="6"/>
        <v>0</v>
      </c>
      <c r="R1484" s="24">
        <f t="shared" si="7"/>
        <v>1</v>
      </c>
      <c r="S1484" s="24"/>
      <c r="T1484" s="24"/>
    </row>
    <row r="1485">
      <c r="A1485" s="12" t="s">
        <v>1573</v>
      </c>
      <c r="F1485" s="19">
        <f>IFERROR(__xludf.DUMMYFUNCTION("SPLIT(A1481, "" |"")"),1479.0)</f>
        <v>1479</v>
      </c>
      <c r="G1485" s="19">
        <f>IFERROR(__xludf.DUMMYFUNCTION("""COMPUTED_VALUE"""),0.00252)</f>
        <v>0.00252</v>
      </c>
      <c r="H1485" s="19" t="str">
        <f>IFERROR(__xludf.DUMMYFUNCTION("""COMPUTED_VALUE"""),"-")</f>
        <v>-</v>
      </c>
      <c r="I1485" s="19">
        <f>IFERROR(__xludf.DUMMYFUNCTION("""COMPUTED_VALUE"""),0.00235)</f>
        <v>0.00235</v>
      </c>
      <c r="J1485" s="19">
        <f>IFERROR(__xludf.DUMMYFUNCTION("""COMPUTED_VALUE"""),0.04749)</f>
        <v>0.04749</v>
      </c>
      <c r="K1485" s="19" t="str">
        <f>IFERROR(__xludf.DUMMYFUNCTION("""COMPUTED_VALUE"""),"-")</f>
        <v>-</v>
      </c>
      <c r="L1485" s="19" t="str">
        <f>IFERROR(__xludf.DUMMYFUNCTION("""COMPUTED_VALUE"""),"-")</f>
        <v>-</v>
      </c>
      <c r="O1485" s="24">
        <f t="shared" si="4"/>
        <v>0</v>
      </c>
      <c r="P1485" s="24"/>
      <c r="Q1485" s="24">
        <f t="shared" si="6"/>
        <v>0</v>
      </c>
      <c r="R1485" s="24">
        <f t="shared" si="7"/>
        <v>0</v>
      </c>
      <c r="S1485" s="24"/>
      <c r="T1485" s="24"/>
    </row>
    <row r="1486">
      <c r="A1486" s="12" t="s">
        <v>1574</v>
      </c>
      <c r="F1486" s="19">
        <f>IFERROR(__xludf.DUMMYFUNCTION("SPLIT(A1482, "" |"")"),1480.0)</f>
        <v>1480</v>
      </c>
      <c r="G1486" s="19">
        <f>IFERROR(__xludf.DUMMYFUNCTION("""COMPUTED_VALUE"""),0.00241)</f>
        <v>0.00241</v>
      </c>
      <c r="H1486" s="19" t="str">
        <f>IFERROR(__xludf.DUMMYFUNCTION("""COMPUTED_VALUE"""),"-")</f>
        <v>-</v>
      </c>
      <c r="I1486" s="19">
        <f>IFERROR(__xludf.DUMMYFUNCTION("""COMPUTED_VALUE"""),0.00221)</f>
        <v>0.00221</v>
      </c>
      <c r="J1486" s="19">
        <f>IFERROR(__xludf.DUMMYFUNCTION("""COMPUTED_VALUE"""),0.04738)</f>
        <v>0.04738</v>
      </c>
      <c r="K1486" s="19" t="str">
        <f>IFERROR(__xludf.DUMMYFUNCTION("""COMPUTED_VALUE"""),"-")</f>
        <v>-</v>
      </c>
      <c r="L1486" s="19" t="str">
        <f>IFERROR(__xludf.DUMMYFUNCTION("""COMPUTED_VALUE"""),"-")</f>
        <v>-</v>
      </c>
      <c r="O1486" s="24">
        <f t="shared" si="4"/>
        <v>0</v>
      </c>
      <c r="P1486" s="24"/>
      <c r="Q1486" s="24">
        <f t="shared" si="6"/>
        <v>0</v>
      </c>
      <c r="R1486" s="24">
        <f t="shared" si="7"/>
        <v>0</v>
      </c>
      <c r="S1486" s="24"/>
      <c r="T1486" s="24"/>
    </row>
    <row r="1487">
      <c r="A1487" s="12" t="s">
        <v>1575</v>
      </c>
      <c r="F1487" s="19">
        <f>IFERROR(__xludf.DUMMYFUNCTION("SPLIT(A1483, "" |"")"),1481.0)</f>
        <v>1481</v>
      </c>
      <c r="G1487" s="19">
        <f>IFERROR(__xludf.DUMMYFUNCTION("""COMPUTED_VALUE"""),0.00235)</f>
        <v>0.00235</v>
      </c>
      <c r="H1487" s="19" t="str">
        <f>IFERROR(__xludf.DUMMYFUNCTION("""COMPUTED_VALUE"""),"-")</f>
        <v>-</v>
      </c>
      <c r="I1487" s="19">
        <f>IFERROR(__xludf.DUMMYFUNCTION("""COMPUTED_VALUE"""),0.00223)</f>
        <v>0.00223</v>
      </c>
      <c r="J1487" s="19">
        <f>IFERROR(__xludf.DUMMYFUNCTION("""COMPUTED_VALUE"""),0.0471)</f>
        <v>0.0471</v>
      </c>
      <c r="K1487" s="19" t="str">
        <f>IFERROR(__xludf.DUMMYFUNCTION("""COMPUTED_VALUE"""),"-")</f>
        <v>-</v>
      </c>
      <c r="L1487" s="19" t="str">
        <f>IFERROR(__xludf.DUMMYFUNCTION("""COMPUTED_VALUE"""),"-")</f>
        <v>-</v>
      </c>
      <c r="O1487" s="24">
        <f t="shared" si="4"/>
        <v>0</v>
      </c>
      <c r="P1487" s="24"/>
      <c r="Q1487" s="24">
        <f t="shared" si="6"/>
        <v>0</v>
      </c>
      <c r="R1487" s="24">
        <f t="shared" si="7"/>
        <v>0</v>
      </c>
      <c r="S1487" s="24"/>
      <c r="T1487" s="24"/>
    </row>
    <row r="1488">
      <c r="A1488" s="12" t="s">
        <v>1576</v>
      </c>
      <c r="F1488" s="19">
        <f>IFERROR(__xludf.DUMMYFUNCTION("SPLIT(A1484, "" |"")"),1482.0)</f>
        <v>1482</v>
      </c>
      <c r="G1488" s="19">
        <f>IFERROR(__xludf.DUMMYFUNCTION("""COMPUTED_VALUE"""),0.00231)</f>
        <v>0.00231</v>
      </c>
      <c r="H1488" s="19" t="str">
        <f>IFERROR(__xludf.DUMMYFUNCTION("""COMPUTED_VALUE"""),"-")</f>
        <v>-</v>
      </c>
      <c r="I1488" s="19">
        <f>IFERROR(__xludf.DUMMYFUNCTION("""COMPUTED_VALUE"""),0.00218)</f>
        <v>0.00218</v>
      </c>
      <c r="J1488" s="19">
        <f>IFERROR(__xludf.DUMMYFUNCTION("""COMPUTED_VALUE"""),0.04253)</f>
        <v>0.04253</v>
      </c>
      <c r="K1488" s="19" t="str">
        <f>IFERROR(__xludf.DUMMYFUNCTION("""COMPUTED_VALUE"""),"-")</f>
        <v>-</v>
      </c>
      <c r="L1488" s="19" t="str">
        <f>IFERROR(__xludf.DUMMYFUNCTION("""COMPUTED_VALUE"""),"-")</f>
        <v>-</v>
      </c>
      <c r="O1488" s="24">
        <f t="shared" si="4"/>
        <v>0</v>
      </c>
      <c r="P1488" s="24"/>
      <c r="Q1488" s="24">
        <f t="shared" si="6"/>
        <v>0</v>
      </c>
      <c r="R1488" s="24">
        <f t="shared" si="7"/>
        <v>1</v>
      </c>
      <c r="S1488" s="24"/>
      <c r="T1488" s="24"/>
    </row>
    <row r="1489">
      <c r="A1489" s="12" t="s">
        <v>1577</v>
      </c>
      <c r="F1489" s="19">
        <f>IFERROR(__xludf.DUMMYFUNCTION("SPLIT(A1485, "" |"")"),1483.0)</f>
        <v>1483</v>
      </c>
      <c r="G1489" s="19">
        <f>IFERROR(__xludf.DUMMYFUNCTION("""COMPUTED_VALUE"""),0.00231)</f>
        <v>0.00231</v>
      </c>
      <c r="H1489" s="19" t="str">
        <f>IFERROR(__xludf.DUMMYFUNCTION("""COMPUTED_VALUE"""),"-")</f>
        <v>-</v>
      </c>
      <c r="I1489" s="19">
        <f>IFERROR(__xludf.DUMMYFUNCTION("""COMPUTED_VALUE"""),0.00216)</f>
        <v>0.00216</v>
      </c>
      <c r="J1489" s="19">
        <f>IFERROR(__xludf.DUMMYFUNCTION("""COMPUTED_VALUE"""),0.04746)</f>
        <v>0.04746</v>
      </c>
      <c r="K1489" s="19" t="str">
        <f>IFERROR(__xludf.DUMMYFUNCTION("""COMPUTED_VALUE"""),"-")</f>
        <v>-</v>
      </c>
      <c r="L1489" s="19" t="str">
        <f>IFERROR(__xludf.DUMMYFUNCTION("""COMPUTED_VALUE"""),"-")</f>
        <v>-</v>
      </c>
      <c r="O1489" s="24">
        <f t="shared" si="4"/>
        <v>0</v>
      </c>
      <c r="P1489" s="24"/>
      <c r="Q1489" s="24">
        <f t="shared" si="6"/>
        <v>0</v>
      </c>
      <c r="R1489" s="24">
        <f t="shared" si="7"/>
        <v>0</v>
      </c>
      <c r="S1489" s="24"/>
      <c r="T1489" s="24"/>
    </row>
    <row r="1490">
      <c r="A1490" s="12" t="s">
        <v>1578</v>
      </c>
      <c r="F1490" s="19">
        <f>IFERROR(__xludf.DUMMYFUNCTION("SPLIT(A1486, "" |"")"),1484.0)</f>
        <v>1484</v>
      </c>
      <c r="G1490" s="19">
        <f>IFERROR(__xludf.DUMMYFUNCTION("""COMPUTED_VALUE"""),0.00235)</f>
        <v>0.00235</v>
      </c>
      <c r="H1490" s="19" t="str">
        <f>IFERROR(__xludf.DUMMYFUNCTION("""COMPUTED_VALUE"""),"-")</f>
        <v>-</v>
      </c>
      <c r="I1490" s="19">
        <f>IFERROR(__xludf.DUMMYFUNCTION("""COMPUTED_VALUE"""),0.00218)</f>
        <v>0.00218</v>
      </c>
      <c r="J1490" s="19">
        <f>IFERROR(__xludf.DUMMYFUNCTION("""COMPUTED_VALUE"""),0.04742)</f>
        <v>0.04742</v>
      </c>
      <c r="K1490" s="19" t="str">
        <f>IFERROR(__xludf.DUMMYFUNCTION("""COMPUTED_VALUE"""),"-")</f>
        <v>-</v>
      </c>
      <c r="L1490" s="19" t="str">
        <f>IFERROR(__xludf.DUMMYFUNCTION("""COMPUTED_VALUE"""),"-")</f>
        <v>-</v>
      </c>
      <c r="O1490" s="24">
        <f t="shared" si="4"/>
        <v>0</v>
      </c>
      <c r="P1490" s="24"/>
      <c r="Q1490" s="24">
        <f t="shared" si="6"/>
        <v>0</v>
      </c>
      <c r="R1490" s="24">
        <f t="shared" si="7"/>
        <v>0</v>
      </c>
      <c r="S1490" s="24"/>
      <c r="T1490" s="24"/>
    </row>
    <row r="1491">
      <c r="A1491" s="12" t="s">
        <v>1579</v>
      </c>
      <c r="F1491" s="19">
        <f>IFERROR(__xludf.DUMMYFUNCTION("SPLIT(A1487, "" |"")"),1485.0)</f>
        <v>1485</v>
      </c>
      <c r="G1491" s="19">
        <f>IFERROR(__xludf.DUMMYFUNCTION("""COMPUTED_VALUE"""),0.00233)</f>
        <v>0.00233</v>
      </c>
      <c r="H1491" s="19" t="str">
        <f>IFERROR(__xludf.DUMMYFUNCTION("""COMPUTED_VALUE"""),"-")</f>
        <v>-</v>
      </c>
      <c r="I1491" s="19">
        <f>IFERROR(__xludf.DUMMYFUNCTION("""COMPUTED_VALUE"""),0.00223)</f>
        <v>0.00223</v>
      </c>
      <c r="J1491" s="19">
        <f>IFERROR(__xludf.DUMMYFUNCTION("""COMPUTED_VALUE"""),0.04747)</f>
        <v>0.04747</v>
      </c>
      <c r="K1491" s="19" t="str">
        <f>IFERROR(__xludf.DUMMYFUNCTION("""COMPUTED_VALUE"""),"-")</f>
        <v>-</v>
      </c>
      <c r="L1491" s="19" t="str">
        <f>IFERROR(__xludf.DUMMYFUNCTION("""COMPUTED_VALUE"""),"-")</f>
        <v>-</v>
      </c>
      <c r="O1491" s="24">
        <f t="shared" si="4"/>
        <v>0</v>
      </c>
      <c r="P1491" s="24"/>
      <c r="Q1491" s="24">
        <f t="shared" si="6"/>
        <v>0</v>
      </c>
      <c r="R1491" s="24">
        <f t="shared" si="7"/>
        <v>0</v>
      </c>
      <c r="S1491" s="24"/>
      <c r="T1491" s="24"/>
    </row>
    <row r="1492">
      <c r="A1492" s="12" t="s">
        <v>1580</v>
      </c>
      <c r="F1492" s="19">
        <f>IFERROR(__xludf.DUMMYFUNCTION("SPLIT(A1488, "" |"")"),1486.0)</f>
        <v>1486</v>
      </c>
      <c r="G1492" s="19">
        <f>IFERROR(__xludf.DUMMYFUNCTION("""COMPUTED_VALUE"""),0.00234)</f>
        <v>0.00234</v>
      </c>
      <c r="H1492" s="19" t="str">
        <f>IFERROR(__xludf.DUMMYFUNCTION("""COMPUTED_VALUE"""),"-")</f>
        <v>-</v>
      </c>
      <c r="I1492" s="19">
        <f>IFERROR(__xludf.DUMMYFUNCTION("""COMPUTED_VALUE"""),0.00219)</f>
        <v>0.00219</v>
      </c>
      <c r="J1492" s="19">
        <f>IFERROR(__xludf.DUMMYFUNCTION("""COMPUTED_VALUE"""),0.04747)</f>
        <v>0.04747</v>
      </c>
      <c r="K1492" s="19" t="str">
        <f>IFERROR(__xludf.DUMMYFUNCTION("""COMPUTED_VALUE"""),"-")</f>
        <v>-</v>
      </c>
      <c r="L1492" s="19" t="str">
        <f>IFERROR(__xludf.DUMMYFUNCTION("""COMPUTED_VALUE"""),"-")</f>
        <v>-</v>
      </c>
      <c r="O1492" s="24">
        <f t="shared" si="4"/>
        <v>0</v>
      </c>
      <c r="P1492" s="24"/>
      <c r="Q1492" s="24">
        <f t="shared" si="6"/>
        <v>0</v>
      </c>
      <c r="R1492" s="24">
        <f t="shared" si="7"/>
        <v>0</v>
      </c>
      <c r="S1492" s="24"/>
      <c r="T1492" s="24"/>
    </row>
    <row r="1493">
      <c r="A1493" s="12" t="s">
        <v>1581</v>
      </c>
      <c r="F1493" s="19">
        <f>IFERROR(__xludf.DUMMYFUNCTION("SPLIT(A1489, "" |"")"),1487.0)</f>
        <v>1487</v>
      </c>
      <c r="G1493" s="19">
        <f>IFERROR(__xludf.DUMMYFUNCTION("""COMPUTED_VALUE"""),0.00233)</f>
        <v>0.00233</v>
      </c>
      <c r="H1493" s="19" t="str">
        <f>IFERROR(__xludf.DUMMYFUNCTION("""COMPUTED_VALUE"""),"-")</f>
        <v>-</v>
      </c>
      <c r="I1493" s="19">
        <f>IFERROR(__xludf.DUMMYFUNCTION("""COMPUTED_VALUE"""),0.00219)</f>
        <v>0.00219</v>
      </c>
      <c r="J1493" s="19">
        <f>IFERROR(__xludf.DUMMYFUNCTION("""COMPUTED_VALUE"""),0.04733)</f>
        <v>0.04733</v>
      </c>
      <c r="K1493" s="19" t="str">
        <f>IFERROR(__xludf.DUMMYFUNCTION("""COMPUTED_VALUE"""),"-")</f>
        <v>-</v>
      </c>
      <c r="L1493" s="19" t="str">
        <f>IFERROR(__xludf.DUMMYFUNCTION("""COMPUTED_VALUE"""),"-")</f>
        <v>-</v>
      </c>
      <c r="O1493" s="24">
        <f t="shared" si="4"/>
        <v>0</v>
      </c>
      <c r="P1493" s="24"/>
      <c r="Q1493" s="24">
        <f t="shared" si="6"/>
        <v>0</v>
      </c>
      <c r="R1493" s="24">
        <f t="shared" si="7"/>
        <v>0</v>
      </c>
      <c r="S1493" s="24"/>
      <c r="T1493" s="24"/>
    </row>
    <row r="1494">
      <c r="A1494" s="12" t="s">
        <v>1582</v>
      </c>
      <c r="F1494" s="19">
        <f>IFERROR(__xludf.DUMMYFUNCTION("SPLIT(A1490, "" |"")"),1488.0)</f>
        <v>1488</v>
      </c>
      <c r="G1494" s="19">
        <f>IFERROR(__xludf.DUMMYFUNCTION("""COMPUTED_VALUE"""),0.00242)</f>
        <v>0.00242</v>
      </c>
      <c r="H1494" s="19" t="str">
        <f>IFERROR(__xludf.DUMMYFUNCTION("""COMPUTED_VALUE"""),"-")</f>
        <v>-</v>
      </c>
      <c r="I1494" s="19">
        <f>IFERROR(__xludf.DUMMYFUNCTION("""COMPUTED_VALUE"""),0.00221)</f>
        <v>0.00221</v>
      </c>
      <c r="J1494" s="19">
        <f>IFERROR(__xludf.DUMMYFUNCTION("""COMPUTED_VALUE"""),0.0475)</f>
        <v>0.0475</v>
      </c>
      <c r="K1494" s="19" t="str">
        <f>IFERROR(__xludf.DUMMYFUNCTION("""COMPUTED_VALUE"""),"-")</f>
        <v>-</v>
      </c>
      <c r="L1494" s="19" t="str">
        <f>IFERROR(__xludf.DUMMYFUNCTION("""COMPUTED_VALUE"""),"-")</f>
        <v>-</v>
      </c>
      <c r="O1494" s="24">
        <f t="shared" si="4"/>
        <v>0</v>
      </c>
      <c r="P1494" s="24"/>
      <c r="Q1494" s="24">
        <f t="shared" si="6"/>
        <v>0</v>
      </c>
      <c r="R1494" s="24">
        <f t="shared" si="7"/>
        <v>0</v>
      </c>
      <c r="S1494" s="24"/>
      <c r="T1494" s="24"/>
    </row>
    <row r="1495">
      <c r="A1495" s="12" t="s">
        <v>1583</v>
      </c>
      <c r="F1495" s="19">
        <f>IFERROR(__xludf.DUMMYFUNCTION("SPLIT(A1491, "" |"")"),1489.0)</f>
        <v>1489</v>
      </c>
      <c r="G1495" s="19">
        <f>IFERROR(__xludf.DUMMYFUNCTION("""COMPUTED_VALUE"""),0.00236)</f>
        <v>0.00236</v>
      </c>
      <c r="H1495" s="19" t="str">
        <f>IFERROR(__xludf.DUMMYFUNCTION("""COMPUTED_VALUE"""),"-")</f>
        <v>-</v>
      </c>
      <c r="I1495" s="19">
        <f>IFERROR(__xludf.DUMMYFUNCTION("""COMPUTED_VALUE"""),0.00227)</f>
        <v>0.00227</v>
      </c>
      <c r="J1495" s="19">
        <f>IFERROR(__xludf.DUMMYFUNCTION("""COMPUTED_VALUE"""),0.04735)</f>
        <v>0.04735</v>
      </c>
      <c r="K1495" s="19" t="str">
        <f>IFERROR(__xludf.DUMMYFUNCTION("""COMPUTED_VALUE"""),"-")</f>
        <v>-</v>
      </c>
      <c r="L1495" s="19" t="str">
        <f>IFERROR(__xludf.DUMMYFUNCTION("""COMPUTED_VALUE"""),"-")</f>
        <v>-</v>
      </c>
      <c r="O1495" s="24">
        <f t="shared" si="4"/>
        <v>0</v>
      </c>
      <c r="P1495" s="24"/>
      <c r="Q1495" s="24">
        <f t="shared" si="6"/>
        <v>0</v>
      </c>
      <c r="R1495" s="24">
        <f t="shared" si="7"/>
        <v>0</v>
      </c>
      <c r="S1495" s="24"/>
      <c r="T1495" s="24"/>
    </row>
    <row r="1496">
      <c r="A1496" s="12" t="s">
        <v>1584</v>
      </c>
      <c r="F1496" s="19">
        <f>IFERROR(__xludf.DUMMYFUNCTION("SPLIT(A1492, "" |"")"),1490.0)</f>
        <v>1490</v>
      </c>
      <c r="G1496" s="19">
        <f>IFERROR(__xludf.DUMMYFUNCTION("""COMPUTED_VALUE"""),0.0024)</f>
        <v>0.0024</v>
      </c>
      <c r="H1496" s="19" t="str">
        <f>IFERROR(__xludf.DUMMYFUNCTION("""COMPUTED_VALUE"""),"-")</f>
        <v>-</v>
      </c>
      <c r="I1496" s="19">
        <f>IFERROR(__xludf.DUMMYFUNCTION("""COMPUTED_VALUE"""),0.00225)</f>
        <v>0.00225</v>
      </c>
      <c r="J1496" s="19">
        <f>IFERROR(__xludf.DUMMYFUNCTION("""COMPUTED_VALUE"""),0.04751)</f>
        <v>0.04751</v>
      </c>
      <c r="K1496" s="19" t="str">
        <f>IFERROR(__xludf.DUMMYFUNCTION("""COMPUTED_VALUE"""),"-")</f>
        <v>-</v>
      </c>
      <c r="L1496" s="19" t="str">
        <f>IFERROR(__xludf.DUMMYFUNCTION("""COMPUTED_VALUE"""),"-")</f>
        <v>-</v>
      </c>
      <c r="O1496" s="24">
        <f t="shared" si="4"/>
        <v>0</v>
      </c>
      <c r="P1496" s="24"/>
      <c r="Q1496" s="24">
        <f t="shared" si="6"/>
        <v>0</v>
      </c>
      <c r="R1496" s="24">
        <f t="shared" si="7"/>
        <v>0</v>
      </c>
      <c r="S1496" s="24"/>
      <c r="T1496" s="24"/>
    </row>
    <row r="1497">
      <c r="A1497" s="12" t="s">
        <v>1585</v>
      </c>
      <c r="F1497" s="19">
        <f>IFERROR(__xludf.DUMMYFUNCTION("SPLIT(A1493, "" |"")"),1491.0)</f>
        <v>1491</v>
      </c>
      <c r="G1497" s="19">
        <f>IFERROR(__xludf.DUMMYFUNCTION("""COMPUTED_VALUE"""),0.00238)</f>
        <v>0.00238</v>
      </c>
      <c r="H1497" s="19" t="str">
        <f>IFERROR(__xludf.DUMMYFUNCTION("""COMPUTED_VALUE"""),"-")</f>
        <v>-</v>
      </c>
      <c r="I1497" s="19">
        <f>IFERROR(__xludf.DUMMYFUNCTION("""COMPUTED_VALUE"""),0.00219)</f>
        <v>0.00219</v>
      </c>
      <c r="J1497" s="19">
        <f>IFERROR(__xludf.DUMMYFUNCTION("""COMPUTED_VALUE"""),0.04743)</f>
        <v>0.04743</v>
      </c>
      <c r="K1497" s="19" t="str">
        <f>IFERROR(__xludf.DUMMYFUNCTION("""COMPUTED_VALUE"""),"-")</f>
        <v>-</v>
      </c>
      <c r="L1497" s="19" t="str">
        <f>IFERROR(__xludf.DUMMYFUNCTION("""COMPUTED_VALUE"""),"-")</f>
        <v>-</v>
      </c>
      <c r="O1497" s="24">
        <f t="shared" si="4"/>
        <v>0</v>
      </c>
      <c r="P1497" s="24"/>
      <c r="Q1497" s="24">
        <f t="shared" si="6"/>
        <v>0</v>
      </c>
      <c r="R1497" s="24">
        <f t="shared" si="7"/>
        <v>0</v>
      </c>
      <c r="S1497" s="24"/>
      <c r="T1497" s="24"/>
    </row>
    <row r="1498">
      <c r="A1498" s="12" t="s">
        <v>1586</v>
      </c>
      <c r="F1498" s="19">
        <f>IFERROR(__xludf.DUMMYFUNCTION("SPLIT(A1494, "" |"")"),1492.0)</f>
        <v>1492</v>
      </c>
      <c r="G1498" s="19">
        <f>IFERROR(__xludf.DUMMYFUNCTION("""COMPUTED_VALUE"""),0.0024)</f>
        <v>0.0024</v>
      </c>
      <c r="H1498" s="19" t="str">
        <f>IFERROR(__xludf.DUMMYFUNCTION("""COMPUTED_VALUE"""),"-")</f>
        <v>-</v>
      </c>
      <c r="I1498" s="19">
        <f>IFERROR(__xludf.DUMMYFUNCTION("""COMPUTED_VALUE"""),0.00213)</f>
        <v>0.00213</v>
      </c>
      <c r="J1498" s="19">
        <f>IFERROR(__xludf.DUMMYFUNCTION("""COMPUTED_VALUE"""),0.04326)</f>
        <v>0.04326</v>
      </c>
      <c r="K1498" s="19" t="str">
        <f>IFERROR(__xludf.DUMMYFUNCTION("""COMPUTED_VALUE"""),"-")</f>
        <v>-</v>
      </c>
      <c r="L1498" s="19" t="str">
        <f>IFERROR(__xludf.DUMMYFUNCTION("""COMPUTED_VALUE"""),"-")</f>
        <v>-</v>
      </c>
      <c r="O1498" s="24">
        <f t="shared" si="4"/>
        <v>0</v>
      </c>
      <c r="P1498" s="24"/>
      <c r="Q1498" s="24">
        <f t="shared" si="6"/>
        <v>0</v>
      </c>
      <c r="R1498" s="24">
        <f t="shared" si="7"/>
        <v>1</v>
      </c>
      <c r="S1498" s="24"/>
      <c r="T1498" s="24"/>
    </row>
    <row r="1499">
      <c r="A1499" s="12" t="s">
        <v>1587</v>
      </c>
      <c r="F1499" s="19">
        <f>IFERROR(__xludf.DUMMYFUNCTION("SPLIT(A1495, "" |"")"),1493.0)</f>
        <v>1493</v>
      </c>
      <c r="G1499" s="19">
        <f>IFERROR(__xludf.DUMMYFUNCTION("""COMPUTED_VALUE"""),0.00239)</f>
        <v>0.00239</v>
      </c>
      <c r="H1499" s="19" t="str">
        <f>IFERROR(__xludf.DUMMYFUNCTION("""COMPUTED_VALUE"""),"-")</f>
        <v>-</v>
      </c>
      <c r="I1499" s="19">
        <f>IFERROR(__xludf.DUMMYFUNCTION("""COMPUTED_VALUE"""),0.00222)</f>
        <v>0.00222</v>
      </c>
      <c r="J1499" s="19">
        <f>IFERROR(__xludf.DUMMYFUNCTION("""COMPUTED_VALUE"""),0.04749)</f>
        <v>0.04749</v>
      </c>
      <c r="K1499" s="19" t="str">
        <f>IFERROR(__xludf.DUMMYFUNCTION("""COMPUTED_VALUE"""),"-")</f>
        <v>-</v>
      </c>
      <c r="L1499" s="19" t="str">
        <f>IFERROR(__xludf.DUMMYFUNCTION("""COMPUTED_VALUE"""),"-")</f>
        <v>-</v>
      </c>
      <c r="O1499" s="24">
        <f t="shared" si="4"/>
        <v>0</v>
      </c>
      <c r="P1499" s="24"/>
      <c r="Q1499" s="24">
        <f t="shared" si="6"/>
        <v>0</v>
      </c>
      <c r="R1499" s="24">
        <f t="shared" si="7"/>
        <v>0</v>
      </c>
      <c r="S1499" s="24"/>
      <c r="T1499" s="24"/>
    </row>
    <row r="1500">
      <c r="A1500" s="12" t="s">
        <v>1588</v>
      </c>
      <c r="F1500" s="19">
        <f>IFERROR(__xludf.DUMMYFUNCTION("SPLIT(A1496, "" |"")"),1494.0)</f>
        <v>1494</v>
      </c>
      <c r="G1500" s="19">
        <f>IFERROR(__xludf.DUMMYFUNCTION("""COMPUTED_VALUE"""),0.00233)</f>
        <v>0.00233</v>
      </c>
      <c r="H1500" s="19" t="str">
        <f>IFERROR(__xludf.DUMMYFUNCTION("""COMPUTED_VALUE"""),"-")</f>
        <v>-</v>
      </c>
      <c r="I1500" s="19">
        <f>IFERROR(__xludf.DUMMYFUNCTION("""COMPUTED_VALUE"""),0.00221)</f>
        <v>0.00221</v>
      </c>
      <c r="J1500" s="19">
        <f>IFERROR(__xludf.DUMMYFUNCTION("""COMPUTED_VALUE"""),0.04155)</f>
        <v>0.04155</v>
      </c>
      <c r="K1500" s="19" t="str">
        <f>IFERROR(__xludf.DUMMYFUNCTION("""COMPUTED_VALUE"""),"-")</f>
        <v>-</v>
      </c>
      <c r="L1500" s="19" t="str">
        <f>IFERROR(__xludf.DUMMYFUNCTION("""COMPUTED_VALUE"""),"-")</f>
        <v>-</v>
      </c>
      <c r="O1500" s="24">
        <f t="shared" si="4"/>
        <v>0</v>
      </c>
      <c r="P1500" s="24"/>
      <c r="Q1500" s="24">
        <f t="shared" si="6"/>
        <v>0</v>
      </c>
      <c r="R1500" s="24">
        <f t="shared" si="7"/>
        <v>1</v>
      </c>
      <c r="S1500" s="24"/>
      <c r="T1500" s="24"/>
    </row>
    <row r="1501">
      <c r="A1501" s="12" t="s">
        <v>1589</v>
      </c>
      <c r="F1501" s="19">
        <f>IFERROR(__xludf.DUMMYFUNCTION("SPLIT(A1497, "" |"")"),1495.0)</f>
        <v>1495</v>
      </c>
      <c r="G1501" s="19">
        <f>IFERROR(__xludf.DUMMYFUNCTION("""COMPUTED_VALUE"""),0.00223)</f>
        <v>0.00223</v>
      </c>
      <c r="H1501" s="19" t="str">
        <f>IFERROR(__xludf.DUMMYFUNCTION("""COMPUTED_VALUE"""),"-")</f>
        <v>-</v>
      </c>
      <c r="I1501" s="19">
        <f>IFERROR(__xludf.DUMMYFUNCTION("""COMPUTED_VALUE"""),0.00221)</f>
        <v>0.00221</v>
      </c>
      <c r="J1501" s="19">
        <f>IFERROR(__xludf.DUMMYFUNCTION("""COMPUTED_VALUE"""),0.04744)</f>
        <v>0.04744</v>
      </c>
      <c r="K1501" s="19" t="str">
        <f>IFERROR(__xludf.DUMMYFUNCTION("""COMPUTED_VALUE"""),"-")</f>
        <v>-</v>
      </c>
      <c r="L1501" s="19" t="str">
        <f>IFERROR(__xludf.DUMMYFUNCTION("""COMPUTED_VALUE"""),"-")</f>
        <v>-</v>
      </c>
      <c r="O1501" s="24">
        <f t="shared" si="4"/>
        <v>0</v>
      </c>
      <c r="P1501" s="24"/>
      <c r="Q1501" s="24">
        <f t="shared" si="6"/>
        <v>0</v>
      </c>
      <c r="R1501" s="24">
        <f t="shared" si="7"/>
        <v>0</v>
      </c>
      <c r="S1501" s="24"/>
      <c r="T1501" s="24"/>
    </row>
    <row r="1502">
      <c r="A1502" s="12" t="s">
        <v>1590</v>
      </c>
      <c r="F1502" s="19">
        <f>IFERROR(__xludf.DUMMYFUNCTION("SPLIT(A1498, "" |"")"),1496.0)</f>
        <v>1496</v>
      </c>
      <c r="G1502" s="19">
        <f>IFERROR(__xludf.DUMMYFUNCTION("""COMPUTED_VALUE"""),0.00239)</f>
        <v>0.00239</v>
      </c>
      <c r="H1502" s="19" t="str">
        <f>IFERROR(__xludf.DUMMYFUNCTION("""COMPUTED_VALUE"""),"-")</f>
        <v>-</v>
      </c>
      <c r="I1502" s="19">
        <f>IFERROR(__xludf.DUMMYFUNCTION("""COMPUTED_VALUE"""),0.0022)</f>
        <v>0.0022</v>
      </c>
      <c r="J1502" s="19">
        <f>IFERROR(__xludf.DUMMYFUNCTION("""COMPUTED_VALUE"""),0.04747)</f>
        <v>0.04747</v>
      </c>
      <c r="K1502" s="19" t="str">
        <f>IFERROR(__xludf.DUMMYFUNCTION("""COMPUTED_VALUE"""),"-")</f>
        <v>-</v>
      </c>
      <c r="L1502" s="19" t="str">
        <f>IFERROR(__xludf.DUMMYFUNCTION("""COMPUTED_VALUE"""),"-")</f>
        <v>-</v>
      </c>
      <c r="O1502" s="24">
        <f t="shared" si="4"/>
        <v>0</v>
      </c>
      <c r="P1502" s="24"/>
      <c r="Q1502" s="24">
        <f t="shared" si="6"/>
        <v>0</v>
      </c>
      <c r="R1502" s="24">
        <f t="shared" si="7"/>
        <v>0</v>
      </c>
      <c r="S1502" s="24"/>
      <c r="T1502" s="24"/>
    </row>
    <row r="1503">
      <c r="A1503" s="12" t="s">
        <v>1591</v>
      </c>
      <c r="F1503" s="19">
        <f>IFERROR(__xludf.DUMMYFUNCTION("SPLIT(A1499, "" |"")"),1497.0)</f>
        <v>1497</v>
      </c>
      <c r="G1503" s="19">
        <f>IFERROR(__xludf.DUMMYFUNCTION("""COMPUTED_VALUE"""),0.00234)</f>
        <v>0.00234</v>
      </c>
      <c r="H1503" s="19" t="str">
        <f>IFERROR(__xludf.DUMMYFUNCTION("""COMPUTED_VALUE"""),"-")</f>
        <v>-</v>
      </c>
      <c r="I1503" s="19">
        <f>IFERROR(__xludf.DUMMYFUNCTION("""COMPUTED_VALUE"""),0.00221)</f>
        <v>0.00221</v>
      </c>
      <c r="J1503" s="19">
        <f>IFERROR(__xludf.DUMMYFUNCTION("""COMPUTED_VALUE"""),0.04747)</f>
        <v>0.04747</v>
      </c>
      <c r="K1503" s="19" t="str">
        <f>IFERROR(__xludf.DUMMYFUNCTION("""COMPUTED_VALUE"""),"-")</f>
        <v>-</v>
      </c>
      <c r="L1503" s="19" t="str">
        <f>IFERROR(__xludf.DUMMYFUNCTION("""COMPUTED_VALUE"""),"-")</f>
        <v>-</v>
      </c>
      <c r="O1503" s="24">
        <f t="shared" si="4"/>
        <v>0</v>
      </c>
      <c r="P1503" s="24"/>
      <c r="Q1503" s="24">
        <f t="shared" si="6"/>
        <v>0</v>
      </c>
      <c r="R1503" s="24">
        <f t="shared" si="7"/>
        <v>0</v>
      </c>
      <c r="S1503" s="24"/>
      <c r="T1503" s="24"/>
    </row>
    <row r="1504">
      <c r="A1504" s="12" t="s">
        <v>1592</v>
      </c>
      <c r="F1504" s="19">
        <f>IFERROR(__xludf.DUMMYFUNCTION("SPLIT(A1500, "" |"")"),1498.0)</f>
        <v>1498</v>
      </c>
      <c r="G1504" s="19">
        <f>IFERROR(__xludf.DUMMYFUNCTION("""COMPUTED_VALUE"""),0.00235)</f>
        <v>0.00235</v>
      </c>
      <c r="H1504" s="19" t="str">
        <f>IFERROR(__xludf.DUMMYFUNCTION("""COMPUTED_VALUE"""),"-")</f>
        <v>-</v>
      </c>
      <c r="I1504" s="19">
        <f>IFERROR(__xludf.DUMMYFUNCTION("""COMPUTED_VALUE"""),0.00219)</f>
        <v>0.00219</v>
      </c>
      <c r="J1504" s="19">
        <f>IFERROR(__xludf.DUMMYFUNCTION("""COMPUTED_VALUE"""),0.04743)</f>
        <v>0.04743</v>
      </c>
      <c r="K1504" s="19" t="str">
        <f>IFERROR(__xludf.DUMMYFUNCTION("""COMPUTED_VALUE"""),"-")</f>
        <v>-</v>
      </c>
      <c r="L1504" s="19" t="str">
        <f>IFERROR(__xludf.DUMMYFUNCTION("""COMPUTED_VALUE"""),"-")</f>
        <v>-</v>
      </c>
      <c r="O1504" s="24">
        <f t="shared" si="4"/>
        <v>0</v>
      </c>
      <c r="P1504" s="24"/>
      <c r="Q1504" s="24">
        <f t="shared" si="6"/>
        <v>0</v>
      </c>
      <c r="R1504" s="24">
        <f t="shared" si="7"/>
        <v>0</v>
      </c>
      <c r="S1504" s="24"/>
      <c r="T1504" s="24"/>
    </row>
    <row r="1505">
      <c r="A1505" s="12" t="s">
        <v>1593</v>
      </c>
      <c r="F1505" s="19">
        <f>IFERROR(__xludf.DUMMYFUNCTION("SPLIT(A1501, "" |"")"),1499.0)</f>
        <v>1499</v>
      </c>
      <c r="G1505" s="19">
        <f>IFERROR(__xludf.DUMMYFUNCTION("""COMPUTED_VALUE"""),0.00238)</f>
        <v>0.00238</v>
      </c>
      <c r="H1505" s="19" t="str">
        <f>IFERROR(__xludf.DUMMYFUNCTION("""COMPUTED_VALUE"""),"-")</f>
        <v>-</v>
      </c>
      <c r="I1505" s="19">
        <f>IFERROR(__xludf.DUMMYFUNCTION("""COMPUTED_VALUE"""),0.00221)</f>
        <v>0.00221</v>
      </c>
      <c r="J1505" s="19">
        <f>IFERROR(__xludf.DUMMYFUNCTION("""COMPUTED_VALUE"""),0.04746)</f>
        <v>0.04746</v>
      </c>
      <c r="K1505" s="19" t="str">
        <f>IFERROR(__xludf.DUMMYFUNCTION("""COMPUTED_VALUE"""),"-")</f>
        <v>-</v>
      </c>
      <c r="L1505" s="19" t="str">
        <f>IFERROR(__xludf.DUMMYFUNCTION("""COMPUTED_VALUE"""),"-")</f>
        <v>-</v>
      </c>
      <c r="O1505" s="24">
        <f t="shared" si="4"/>
        <v>0</v>
      </c>
      <c r="P1505" s="24"/>
      <c r="Q1505" s="24">
        <f t="shared" si="6"/>
        <v>0</v>
      </c>
      <c r="R1505" s="24">
        <f t="shared" si="7"/>
        <v>0</v>
      </c>
      <c r="S1505" s="24"/>
      <c r="T1505" s="24"/>
    </row>
    <row r="1506">
      <c r="A1506" s="12" t="s">
        <v>1594</v>
      </c>
      <c r="F1506" s="19">
        <f>IFERROR(__xludf.DUMMYFUNCTION("SPLIT(A1502, "" |"")"),1500.0)</f>
        <v>1500</v>
      </c>
      <c r="G1506" s="19">
        <f>IFERROR(__xludf.DUMMYFUNCTION("""COMPUTED_VALUE"""),0.00233)</f>
        <v>0.00233</v>
      </c>
      <c r="H1506" s="19" t="str">
        <f>IFERROR(__xludf.DUMMYFUNCTION("""COMPUTED_VALUE"""),"-")</f>
        <v>-</v>
      </c>
      <c r="I1506" s="19">
        <f>IFERROR(__xludf.DUMMYFUNCTION("""COMPUTED_VALUE"""),0.00221)</f>
        <v>0.00221</v>
      </c>
      <c r="J1506" s="19">
        <f>IFERROR(__xludf.DUMMYFUNCTION("""COMPUTED_VALUE"""),0.04747)</f>
        <v>0.04747</v>
      </c>
      <c r="K1506" s="19" t="str">
        <f>IFERROR(__xludf.DUMMYFUNCTION("""COMPUTED_VALUE"""),"-")</f>
        <v>-</v>
      </c>
      <c r="L1506" s="19" t="str">
        <f>IFERROR(__xludf.DUMMYFUNCTION("""COMPUTED_VALUE"""),"-")</f>
        <v>-</v>
      </c>
      <c r="O1506" s="24">
        <f t="shared" si="4"/>
        <v>0</v>
      </c>
      <c r="P1506" s="24"/>
      <c r="Q1506" s="24">
        <f t="shared" si="6"/>
        <v>0</v>
      </c>
      <c r="R1506" s="24">
        <f t="shared" si="7"/>
        <v>0</v>
      </c>
      <c r="S1506" s="24"/>
      <c r="T1506" s="24"/>
    </row>
    <row r="1507">
      <c r="A1507" s="12" t="s">
        <v>1595</v>
      </c>
      <c r="F1507" s="19">
        <f>IFERROR(__xludf.DUMMYFUNCTION("SPLIT(A1503, "" |"")"),1501.0)</f>
        <v>1501</v>
      </c>
      <c r="G1507" s="19">
        <f>IFERROR(__xludf.DUMMYFUNCTION("""COMPUTED_VALUE"""),0.00232)</f>
        <v>0.00232</v>
      </c>
      <c r="H1507" s="19" t="str">
        <f>IFERROR(__xludf.DUMMYFUNCTION("""COMPUTED_VALUE"""),"-")</f>
        <v>-</v>
      </c>
      <c r="I1507" s="19">
        <f>IFERROR(__xludf.DUMMYFUNCTION("""COMPUTED_VALUE"""),0.0022)</f>
        <v>0.0022</v>
      </c>
      <c r="J1507" s="19">
        <f>IFERROR(__xludf.DUMMYFUNCTION("""COMPUTED_VALUE"""),0.04618)</f>
        <v>0.04618</v>
      </c>
      <c r="K1507" s="19" t="str">
        <f>IFERROR(__xludf.DUMMYFUNCTION("""COMPUTED_VALUE"""),"-")</f>
        <v>-</v>
      </c>
      <c r="L1507" s="19" t="str">
        <f>IFERROR(__xludf.DUMMYFUNCTION("""COMPUTED_VALUE"""),"-")</f>
        <v>-</v>
      </c>
      <c r="O1507" s="24">
        <f t="shared" si="4"/>
        <v>0</v>
      </c>
      <c r="P1507" s="24"/>
      <c r="Q1507" s="24">
        <f t="shared" si="6"/>
        <v>0</v>
      </c>
      <c r="R1507" s="24">
        <f t="shared" si="7"/>
        <v>0</v>
      </c>
      <c r="S1507" s="24"/>
      <c r="T1507" s="24"/>
    </row>
    <row r="1508">
      <c r="A1508" s="12" t="s">
        <v>1596</v>
      </c>
      <c r="F1508" s="19">
        <f>IFERROR(__xludf.DUMMYFUNCTION("SPLIT(A1504, "" |"")"),1502.0)</f>
        <v>1502</v>
      </c>
      <c r="G1508" s="19">
        <f>IFERROR(__xludf.DUMMYFUNCTION("""COMPUTED_VALUE"""),0.00235)</f>
        <v>0.00235</v>
      </c>
      <c r="H1508" s="19" t="str">
        <f>IFERROR(__xludf.DUMMYFUNCTION("""COMPUTED_VALUE"""),"-")</f>
        <v>-</v>
      </c>
      <c r="I1508" s="19">
        <f>IFERROR(__xludf.DUMMYFUNCTION("""COMPUTED_VALUE"""),0.00227)</f>
        <v>0.00227</v>
      </c>
      <c r="J1508" s="19">
        <f>IFERROR(__xludf.DUMMYFUNCTION("""COMPUTED_VALUE"""),0.04139)</f>
        <v>0.04139</v>
      </c>
      <c r="K1508" s="19" t="str">
        <f>IFERROR(__xludf.DUMMYFUNCTION("""COMPUTED_VALUE"""),"-")</f>
        <v>-</v>
      </c>
      <c r="L1508" s="19" t="str">
        <f>IFERROR(__xludf.DUMMYFUNCTION("""COMPUTED_VALUE"""),"-")</f>
        <v>-</v>
      </c>
      <c r="O1508" s="24">
        <f t="shared" si="4"/>
        <v>0</v>
      </c>
      <c r="P1508" s="24"/>
      <c r="Q1508" s="24">
        <f t="shared" si="6"/>
        <v>0</v>
      </c>
      <c r="R1508" s="24">
        <f t="shared" si="7"/>
        <v>1</v>
      </c>
      <c r="S1508" s="24"/>
      <c r="T1508" s="24"/>
    </row>
    <row r="1509">
      <c r="A1509" s="12" t="s">
        <v>1597</v>
      </c>
      <c r="F1509" s="19">
        <f>IFERROR(__xludf.DUMMYFUNCTION("SPLIT(A1505, "" |"")"),1503.0)</f>
        <v>1503</v>
      </c>
      <c r="G1509" s="19">
        <f>IFERROR(__xludf.DUMMYFUNCTION("""COMPUTED_VALUE"""),0.00233)</f>
        <v>0.00233</v>
      </c>
      <c r="H1509" s="19" t="str">
        <f>IFERROR(__xludf.DUMMYFUNCTION("""COMPUTED_VALUE"""),"-")</f>
        <v>-</v>
      </c>
      <c r="I1509" s="19">
        <f>IFERROR(__xludf.DUMMYFUNCTION("""COMPUTED_VALUE"""),0.00218)</f>
        <v>0.00218</v>
      </c>
      <c r="J1509" s="19">
        <f>IFERROR(__xludf.DUMMYFUNCTION("""COMPUTED_VALUE"""),0.04747)</f>
        <v>0.04747</v>
      </c>
      <c r="K1509" s="19" t="str">
        <f>IFERROR(__xludf.DUMMYFUNCTION("""COMPUTED_VALUE"""),"-")</f>
        <v>-</v>
      </c>
      <c r="L1509" s="19" t="str">
        <f>IFERROR(__xludf.DUMMYFUNCTION("""COMPUTED_VALUE"""),"-")</f>
        <v>-</v>
      </c>
      <c r="O1509" s="24">
        <f t="shared" si="4"/>
        <v>0</v>
      </c>
      <c r="P1509" s="24"/>
      <c r="Q1509" s="24">
        <f t="shared" si="6"/>
        <v>0</v>
      </c>
      <c r="R1509" s="24">
        <f t="shared" si="7"/>
        <v>0</v>
      </c>
      <c r="S1509" s="24"/>
      <c r="T1509" s="24"/>
    </row>
    <row r="1510">
      <c r="A1510" s="12" t="s">
        <v>1598</v>
      </c>
      <c r="F1510" s="19">
        <f>IFERROR(__xludf.DUMMYFUNCTION("SPLIT(A1506, "" |"")"),1504.0)</f>
        <v>1504</v>
      </c>
      <c r="G1510" s="19">
        <f>IFERROR(__xludf.DUMMYFUNCTION("""COMPUTED_VALUE"""),0.00234)</f>
        <v>0.00234</v>
      </c>
      <c r="H1510" s="19" t="str">
        <f>IFERROR(__xludf.DUMMYFUNCTION("""COMPUTED_VALUE"""),"-")</f>
        <v>-</v>
      </c>
      <c r="I1510" s="19">
        <f>IFERROR(__xludf.DUMMYFUNCTION("""COMPUTED_VALUE"""),0.00217)</f>
        <v>0.00217</v>
      </c>
      <c r="J1510" s="19">
        <f>IFERROR(__xludf.DUMMYFUNCTION("""COMPUTED_VALUE"""),0.04746)</f>
        <v>0.04746</v>
      </c>
      <c r="K1510" s="19" t="str">
        <f>IFERROR(__xludf.DUMMYFUNCTION("""COMPUTED_VALUE"""),"-")</f>
        <v>-</v>
      </c>
      <c r="L1510" s="19" t="str">
        <f>IFERROR(__xludf.DUMMYFUNCTION("""COMPUTED_VALUE"""),"-")</f>
        <v>-</v>
      </c>
      <c r="O1510" s="24">
        <f t="shared" si="4"/>
        <v>0</v>
      </c>
      <c r="P1510" s="24"/>
      <c r="Q1510" s="24">
        <f t="shared" si="6"/>
        <v>0</v>
      </c>
      <c r="R1510" s="24">
        <f t="shared" si="7"/>
        <v>0</v>
      </c>
      <c r="S1510" s="24"/>
      <c r="T1510" s="24"/>
    </row>
    <row r="1511">
      <c r="A1511" s="12" t="s">
        <v>1599</v>
      </c>
      <c r="F1511" s="19">
        <f>IFERROR(__xludf.DUMMYFUNCTION("SPLIT(A1507, "" |"")"),1505.0)</f>
        <v>1505</v>
      </c>
      <c r="G1511" s="19">
        <f>IFERROR(__xludf.DUMMYFUNCTION("""COMPUTED_VALUE"""),0.00235)</f>
        <v>0.00235</v>
      </c>
      <c r="H1511" s="19" t="str">
        <f>IFERROR(__xludf.DUMMYFUNCTION("""COMPUTED_VALUE"""),"-")</f>
        <v>-</v>
      </c>
      <c r="I1511" s="19">
        <f>IFERROR(__xludf.DUMMYFUNCTION("""COMPUTED_VALUE"""),0.00222)</f>
        <v>0.00222</v>
      </c>
      <c r="J1511" s="19">
        <f>IFERROR(__xludf.DUMMYFUNCTION("""COMPUTED_VALUE"""),0.04744)</f>
        <v>0.04744</v>
      </c>
      <c r="K1511" s="19" t="str">
        <f>IFERROR(__xludf.DUMMYFUNCTION("""COMPUTED_VALUE"""),"-")</f>
        <v>-</v>
      </c>
      <c r="L1511" s="19" t="str">
        <f>IFERROR(__xludf.DUMMYFUNCTION("""COMPUTED_VALUE"""),"-")</f>
        <v>-</v>
      </c>
      <c r="O1511" s="24">
        <f t="shared" si="4"/>
        <v>0</v>
      </c>
      <c r="P1511" s="24"/>
      <c r="Q1511" s="24">
        <f t="shared" si="6"/>
        <v>0</v>
      </c>
      <c r="R1511" s="24">
        <f t="shared" si="7"/>
        <v>0</v>
      </c>
      <c r="S1511" s="24"/>
      <c r="T1511" s="24"/>
    </row>
    <row r="1512">
      <c r="A1512" s="12" t="s">
        <v>1600</v>
      </c>
      <c r="F1512" s="19">
        <f>IFERROR(__xludf.DUMMYFUNCTION("SPLIT(A1508, "" |"")"),1506.0)</f>
        <v>1506</v>
      </c>
      <c r="G1512" s="19">
        <f>IFERROR(__xludf.DUMMYFUNCTION("""COMPUTED_VALUE"""),0.00234)</f>
        <v>0.00234</v>
      </c>
      <c r="H1512" s="19" t="str">
        <f>IFERROR(__xludf.DUMMYFUNCTION("""COMPUTED_VALUE"""),"-")</f>
        <v>-</v>
      </c>
      <c r="I1512" s="19">
        <f>IFERROR(__xludf.DUMMYFUNCTION("""COMPUTED_VALUE"""),0.00219)</f>
        <v>0.00219</v>
      </c>
      <c r="J1512" s="19">
        <f>IFERROR(__xludf.DUMMYFUNCTION("""COMPUTED_VALUE"""),0.04609)</f>
        <v>0.04609</v>
      </c>
      <c r="K1512" s="19" t="str">
        <f>IFERROR(__xludf.DUMMYFUNCTION("""COMPUTED_VALUE"""),"-")</f>
        <v>-</v>
      </c>
      <c r="L1512" s="19" t="str">
        <f>IFERROR(__xludf.DUMMYFUNCTION("""COMPUTED_VALUE"""),"-")</f>
        <v>-</v>
      </c>
      <c r="O1512" s="24">
        <f t="shared" si="4"/>
        <v>0</v>
      </c>
      <c r="P1512" s="24"/>
      <c r="Q1512" s="24">
        <f t="shared" si="6"/>
        <v>0</v>
      </c>
      <c r="R1512" s="24">
        <f t="shared" si="7"/>
        <v>0</v>
      </c>
      <c r="S1512" s="24"/>
      <c r="T1512" s="24"/>
    </row>
    <row r="1513">
      <c r="A1513" s="12" t="s">
        <v>1601</v>
      </c>
      <c r="F1513" s="19">
        <f>IFERROR(__xludf.DUMMYFUNCTION("SPLIT(A1509, "" |"")"),1507.0)</f>
        <v>1507</v>
      </c>
      <c r="G1513" s="19">
        <f>IFERROR(__xludf.DUMMYFUNCTION("""COMPUTED_VALUE"""),0.00233)</f>
        <v>0.00233</v>
      </c>
      <c r="H1513" s="19" t="str">
        <f>IFERROR(__xludf.DUMMYFUNCTION("""COMPUTED_VALUE"""),"-")</f>
        <v>-</v>
      </c>
      <c r="I1513" s="19">
        <f>IFERROR(__xludf.DUMMYFUNCTION("""COMPUTED_VALUE"""),0.0022)</f>
        <v>0.0022</v>
      </c>
      <c r="J1513" s="19">
        <f>IFERROR(__xludf.DUMMYFUNCTION("""COMPUTED_VALUE"""),0.04744)</f>
        <v>0.04744</v>
      </c>
      <c r="K1513" s="19" t="str">
        <f>IFERROR(__xludf.DUMMYFUNCTION("""COMPUTED_VALUE"""),"-")</f>
        <v>-</v>
      </c>
      <c r="L1513" s="19" t="str">
        <f>IFERROR(__xludf.DUMMYFUNCTION("""COMPUTED_VALUE"""),"-")</f>
        <v>-</v>
      </c>
      <c r="O1513" s="24">
        <f t="shared" si="4"/>
        <v>0</v>
      </c>
      <c r="P1513" s="24"/>
      <c r="Q1513" s="24">
        <f t="shared" si="6"/>
        <v>0</v>
      </c>
      <c r="R1513" s="24">
        <f t="shared" si="7"/>
        <v>0</v>
      </c>
      <c r="S1513" s="24"/>
      <c r="T1513" s="24"/>
    </row>
    <row r="1514">
      <c r="A1514" s="12" t="s">
        <v>1602</v>
      </c>
      <c r="F1514" s="19">
        <f>IFERROR(__xludf.DUMMYFUNCTION("SPLIT(A1510, "" |"")"),1508.0)</f>
        <v>1508</v>
      </c>
      <c r="G1514" s="19">
        <f>IFERROR(__xludf.DUMMYFUNCTION("""COMPUTED_VALUE"""),0.00233)</f>
        <v>0.00233</v>
      </c>
      <c r="H1514" s="19" t="str">
        <f>IFERROR(__xludf.DUMMYFUNCTION("""COMPUTED_VALUE"""),"-")</f>
        <v>-</v>
      </c>
      <c r="I1514" s="19">
        <f>IFERROR(__xludf.DUMMYFUNCTION("""COMPUTED_VALUE"""),0.00219)</f>
        <v>0.00219</v>
      </c>
      <c r="J1514" s="19">
        <f>IFERROR(__xludf.DUMMYFUNCTION("""COMPUTED_VALUE"""),0.0438)</f>
        <v>0.0438</v>
      </c>
      <c r="K1514" s="19" t="str">
        <f>IFERROR(__xludf.DUMMYFUNCTION("""COMPUTED_VALUE"""),"-")</f>
        <v>-</v>
      </c>
      <c r="L1514" s="19" t="str">
        <f>IFERROR(__xludf.DUMMYFUNCTION("""COMPUTED_VALUE"""),"-")</f>
        <v>-</v>
      </c>
      <c r="O1514" s="24">
        <f t="shared" si="4"/>
        <v>0</v>
      </c>
      <c r="P1514" s="24"/>
      <c r="Q1514" s="24">
        <f t="shared" si="6"/>
        <v>0</v>
      </c>
      <c r="R1514" s="24">
        <f t="shared" si="7"/>
        <v>1</v>
      </c>
      <c r="S1514" s="24"/>
      <c r="T1514" s="24"/>
    </row>
    <row r="1515">
      <c r="A1515" s="12" t="s">
        <v>1603</v>
      </c>
      <c r="F1515" s="19">
        <f>IFERROR(__xludf.DUMMYFUNCTION("SPLIT(A1511, "" |"")"),1509.0)</f>
        <v>1509</v>
      </c>
      <c r="G1515" s="19">
        <f>IFERROR(__xludf.DUMMYFUNCTION("""COMPUTED_VALUE"""),0.00224)</f>
        <v>0.00224</v>
      </c>
      <c r="H1515" s="19" t="str">
        <f>IFERROR(__xludf.DUMMYFUNCTION("""COMPUTED_VALUE"""),"-")</f>
        <v>-</v>
      </c>
      <c r="I1515" s="19">
        <f>IFERROR(__xludf.DUMMYFUNCTION("""COMPUTED_VALUE"""),0.00214)</f>
        <v>0.00214</v>
      </c>
      <c r="J1515" s="19">
        <f>IFERROR(__xludf.DUMMYFUNCTION("""COMPUTED_VALUE"""),0.04529)</f>
        <v>0.04529</v>
      </c>
      <c r="K1515" s="19" t="str">
        <f>IFERROR(__xludf.DUMMYFUNCTION("""COMPUTED_VALUE"""),"-")</f>
        <v>-</v>
      </c>
      <c r="L1515" s="19" t="str">
        <f>IFERROR(__xludf.DUMMYFUNCTION("""COMPUTED_VALUE"""),"-")</f>
        <v>-</v>
      </c>
      <c r="O1515" s="24">
        <f t="shared" si="4"/>
        <v>0</v>
      </c>
      <c r="P1515" s="24"/>
      <c r="Q1515" s="24">
        <f t="shared" si="6"/>
        <v>0</v>
      </c>
      <c r="R1515" s="24">
        <f t="shared" si="7"/>
        <v>0</v>
      </c>
      <c r="S1515" s="24"/>
      <c r="T1515" s="24"/>
    </row>
    <row r="1516">
      <c r="A1516" s="12" t="s">
        <v>1604</v>
      </c>
      <c r="F1516" s="19">
        <f>IFERROR(__xludf.DUMMYFUNCTION("SPLIT(A1512, "" |"")"),1510.0)</f>
        <v>1510</v>
      </c>
      <c r="G1516" s="19">
        <f>IFERROR(__xludf.DUMMYFUNCTION("""COMPUTED_VALUE"""),0.00245)</f>
        <v>0.00245</v>
      </c>
      <c r="H1516" s="19" t="str">
        <f>IFERROR(__xludf.DUMMYFUNCTION("""COMPUTED_VALUE"""),"-")</f>
        <v>-</v>
      </c>
      <c r="I1516" s="19">
        <f>IFERROR(__xludf.DUMMYFUNCTION("""COMPUTED_VALUE"""),0.00223)</f>
        <v>0.00223</v>
      </c>
      <c r="J1516" s="19">
        <f>IFERROR(__xludf.DUMMYFUNCTION("""COMPUTED_VALUE"""),0.03994)</f>
        <v>0.03994</v>
      </c>
      <c r="K1516" s="19" t="str">
        <f>IFERROR(__xludf.DUMMYFUNCTION("""COMPUTED_VALUE"""),"-")</f>
        <v>-</v>
      </c>
      <c r="L1516" s="19" t="str">
        <f>IFERROR(__xludf.DUMMYFUNCTION("""COMPUTED_VALUE"""),"-")</f>
        <v>-</v>
      </c>
      <c r="O1516" s="24">
        <f t="shared" si="4"/>
        <v>0</v>
      </c>
      <c r="P1516" s="24"/>
      <c r="Q1516" s="24">
        <f t="shared" si="6"/>
        <v>0</v>
      </c>
      <c r="R1516" s="24">
        <f t="shared" si="7"/>
        <v>1</v>
      </c>
      <c r="S1516" s="24"/>
      <c r="T1516" s="24"/>
    </row>
    <row r="1517">
      <c r="A1517" s="12" t="s">
        <v>1605</v>
      </c>
      <c r="F1517" s="19">
        <f>IFERROR(__xludf.DUMMYFUNCTION("SPLIT(A1513, "" |"")"),1511.0)</f>
        <v>1511</v>
      </c>
      <c r="G1517" s="19">
        <f>IFERROR(__xludf.DUMMYFUNCTION("""COMPUTED_VALUE"""),0.00229)</f>
        <v>0.00229</v>
      </c>
      <c r="H1517" s="19" t="str">
        <f>IFERROR(__xludf.DUMMYFUNCTION("""COMPUTED_VALUE"""),"-")</f>
        <v>-</v>
      </c>
      <c r="I1517" s="19">
        <f>IFERROR(__xludf.DUMMYFUNCTION("""COMPUTED_VALUE"""),0.00213)</f>
        <v>0.00213</v>
      </c>
      <c r="J1517" s="19">
        <f>IFERROR(__xludf.DUMMYFUNCTION("""COMPUTED_VALUE"""),0.04742)</f>
        <v>0.04742</v>
      </c>
      <c r="K1517" s="19" t="str">
        <f>IFERROR(__xludf.DUMMYFUNCTION("""COMPUTED_VALUE"""),"-")</f>
        <v>-</v>
      </c>
      <c r="L1517" s="19" t="str">
        <f>IFERROR(__xludf.DUMMYFUNCTION("""COMPUTED_VALUE"""),"-")</f>
        <v>-</v>
      </c>
      <c r="O1517" s="24">
        <f t="shared" si="4"/>
        <v>0</v>
      </c>
      <c r="P1517" s="24"/>
      <c r="Q1517" s="24">
        <f t="shared" si="6"/>
        <v>0</v>
      </c>
      <c r="R1517" s="24">
        <f t="shared" si="7"/>
        <v>0</v>
      </c>
      <c r="S1517" s="24"/>
      <c r="T1517" s="24"/>
    </row>
    <row r="1518">
      <c r="A1518" s="12" t="s">
        <v>1606</v>
      </c>
      <c r="F1518" s="19">
        <f>IFERROR(__xludf.DUMMYFUNCTION("SPLIT(A1514, "" |"")"),1512.0)</f>
        <v>1512</v>
      </c>
      <c r="G1518" s="19">
        <f>IFERROR(__xludf.DUMMYFUNCTION("""COMPUTED_VALUE"""),0.00234)</f>
        <v>0.00234</v>
      </c>
      <c r="H1518" s="19" t="str">
        <f>IFERROR(__xludf.DUMMYFUNCTION("""COMPUTED_VALUE"""),"-")</f>
        <v>-</v>
      </c>
      <c r="I1518" s="19">
        <f>IFERROR(__xludf.DUMMYFUNCTION("""COMPUTED_VALUE"""),0.00227)</f>
        <v>0.00227</v>
      </c>
      <c r="J1518" s="19">
        <f>IFERROR(__xludf.DUMMYFUNCTION("""COMPUTED_VALUE"""),0.04757)</f>
        <v>0.04757</v>
      </c>
      <c r="K1518" s="19" t="str">
        <f>IFERROR(__xludf.DUMMYFUNCTION("""COMPUTED_VALUE"""),"-")</f>
        <v>-</v>
      </c>
      <c r="L1518" s="19" t="str">
        <f>IFERROR(__xludf.DUMMYFUNCTION("""COMPUTED_VALUE"""),"-")</f>
        <v>-</v>
      </c>
      <c r="O1518" s="24">
        <f t="shared" si="4"/>
        <v>0</v>
      </c>
      <c r="P1518" s="24"/>
      <c r="Q1518" s="24">
        <f t="shared" si="6"/>
        <v>0</v>
      </c>
      <c r="R1518" s="24">
        <f t="shared" si="7"/>
        <v>0</v>
      </c>
      <c r="S1518" s="24"/>
      <c r="T1518" s="24"/>
    </row>
    <row r="1519">
      <c r="A1519" s="12" t="s">
        <v>1607</v>
      </c>
      <c r="F1519" s="19">
        <f>IFERROR(__xludf.DUMMYFUNCTION("SPLIT(A1515, "" |"")"),1513.0)</f>
        <v>1513</v>
      </c>
      <c r="G1519" s="19">
        <f>IFERROR(__xludf.DUMMYFUNCTION("""COMPUTED_VALUE"""),0.00237)</f>
        <v>0.00237</v>
      </c>
      <c r="H1519" s="19" t="str">
        <f>IFERROR(__xludf.DUMMYFUNCTION("""COMPUTED_VALUE"""),"-")</f>
        <v>-</v>
      </c>
      <c r="I1519" s="19">
        <f>IFERROR(__xludf.DUMMYFUNCTION("""COMPUTED_VALUE"""),0.00225)</f>
        <v>0.00225</v>
      </c>
      <c r="J1519" s="19">
        <f>IFERROR(__xludf.DUMMYFUNCTION("""COMPUTED_VALUE"""),0.04737)</f>
        <v>0.04737</v>
      </c>
      <c r="K1519" s="19" t="str">
        <f>IFERROR(__xludf.DUMMYFUNCTION("""COMPUTED_VALUE"""),"-")</f>
        <v>-</v>
      </c>
      <c r="L1519" s="19" t="str">
        <f>IFERROR(__xludf.DUMMYFUNCTION("""COMPUTED_VALUE"""),"-")</f>
        <v>-</v>
      </c>
      <c r="O1519" s="24">
        <f t="shared" si="4"/>
        <v>0</v>
      </c>
      <c r="P1519" s="24"/>
      <c r="Q1519" s="24">
        <f t="shared" si="6"/>
        <v>0</v>
      </c>
      <c r="R1519" s="24">
        <f t="shared" si="7"/>
        <v>0</v>
      </c>
      <c r="S1519" s="24"/>
      <c r="T1519" s="24"/>
    </row>
    <row r="1520">
      <c r="A1520" s="12" t="s">
        <v>1608</v>
      </c>
      <c r="F1520" s="19">
        <f>IFERROR(__xludf.DUMMYFUNCTION("SPLIT(A1516, "" |"")"),1514.0)</f>
        <v>1514</v>
      </c>
      <c r="G1520" s="19">
        <f>IFERROR(__xludf.DUMMYFUNCTION("""COMPUTED_VALUE"""),0.00208)</f>
        <v>0.00208</v>
      </c>
      <c r="H1520" s="19" t="str">
        <f>IFERROR(__xludf.DUMMYFUNCTION("""COMPUTED_VALUE"""),"-")</f>
        <v>-</v>
      </c>
      <c r="I1520" s="19">
        <f>IFERROR(__xludf.DUMMYFUNCTION("""COMPUTED_VALUE"""),0.00227)</f>
        <v>0.00227</v>
      </c>
      <c r="J1520" s="19">
        <f>IFERROR(__xludf.DUMMYFUNCTION("""COMPUTED_VALUE"""),0.04734)</f>
        <v>0.04734</v>
      </c>
      <c r="K1520" s="19" t="str">
        <f>IFERROR(__xludf.DUMMYFUNCTION("""COMPUTED_VALUE"""),"-")</f>
        <v>-</v>
      </c>
      <c r="L1520" s="19" t="str">
        <f>IFERROR(__xludf.DUMMYFUNCTION("""COMPUTED_VALUE"""),"-")</f>
        <v>-</v>
      </c>
      <c r="O1520" s="24">
        <f t="shared" si="4"/>
        <v>0</v>
      </c>
      <c r="P1520" s="24"/>
      <c r="Q1520" s="24">
        <f t="shared" si="6"/>
        <v>0</v>
      </c>
      <c r="R1520" s="24">
        <f t="shared" si="7"/>
        <v>0</v>
      </c>
      <c r="S1520" s="24"/>
      <c r="T1520" s="24"/>
    </row>
    <row r="1521">
      <c r="A1521" s="12" t="s">
        <v>1609</v>
      </c>
      <c r="F1521" s="19">
        <f>IFERROR(__xludf.DUMMYFUNCTION("SPLIT(A1517, "" |"")"),1515.0)</f>
        <v>1515</v>
      </c>
      <c r="G1521" s="19">
        <f>IFERROR(__xludf.DUMMYFUNCTION("""COMPUTED_VALUE"""),0.00233)</f>
        <v>0.00233</v>
      </c>
      <c r="H1521" s="19" t="str">
        <f>IFERROR(__xludf.DUMMYFUNCTION("""COMPUTED_VALUE"""),"-")</f>
        <v>-</v>
      </c>
      <c r="I1521" s="19">
        <f>IFERROR(__xludf.DUMMYFUNCTION("""COMPUTED_VALUE"""),0.0022)</f>
        <v>0.0022</v>
      </c>
      <c r="J1521" s="19">
        <f>IFERROR(__xludf.DUMMYFUNCTION("""COMPUTED_VALUE"""),0.04737)</f>
        <v>0.04737</v>
      </c>
      <c r="K1521" s="19" t="str">
        <f>IFERROR(__xludf.DUMMYFUNCTION("""COMPUTED_VALUE"""),"-")</f>
        <v>-</v>
      </c>
      <c r="L1521" s="19" t="str">
        <f>IFERROR(__xludf.DUMMYFUNCTION("""COMPUTED_VALUE"""),"-")</f>
        <v>-</v>
      </c>
      <c r="O1521" s="24">
        <f t="shared" si="4"/>
        <v>0</v>
      </c>
      <c r="P1521" s="24"/>
      <c r="Q1521" s="24">
        <f t="shared" si="6"/>
        <v>0</v>
      </c>
      <c r="R1521" s="24">
        <f t="shared" si="7"/>
        <v>0</v>
      </c>
      <c r="S1521" s="24"/>
      <c r="T1521" s="24"/>
    </row>
    <row r="1522">
      <c r="A1522" s="12" t="s">
        <v>1610</v>
      </c>
      <c r="F1522" s="19">
        <f>IFERROR(__xludf.DUMMYFUNCTION("SPLIT(A1518, "" |"")"),1516.0)</f>
        <v>1516</v>
      </c>
      <c r="G1522" s="19">
        <f>IFERROR(__xludf.DUMMYFUNCTION("""COMPUTED_VALUE"""),0.00237)</f>
        <v>0.00237</v>
      </c>
      <c r="H1522" s="19" t="str">
        <f>IFERROR(__xludf.DUMMYFUNCTION("""COMPUTED_VALUE"""),"-")</f>
        <v>-</v>
      </c>
      <c r="I1522" s="19">
        <f>IFERROR(__xludf.DUMMYFUNCTION("""COMPUTED_VALUE"""),0.00224)</f>
        <v>0.00224</v>
      </c>
      <c r="J1522" s="19">
        <f>IFERROR(__xludf.DUMMYFUNCTION("""COMPUTED_VALUE"""),0.04747)</f>
        <v>0.04747</v>
      </c>
      <c r="K1522" s="19" t="str">
        <f>IFERROR(__xludf.DUMMYFUNCTION("""COMPUTED_VALUE"""),"-")</f>
        <v>-</v>
      </c>
      <c r="L1522" s="19" t="str">
        <f>IFERROR(__xludf.DUMMYFUNCTION("""COMPUTED_VALUE"""),"-")</f>
        <v>-</v>
      </c>
      <c r="O1522" s="24">
        <f t="shared" si="4"/>
        <v>0</v>
      </c>
      <c r="P1522" s="24"/>
      <c r="Q1522" s="24">
        <f t="shared" si="6"/>
        <v>0</v>
      </c>
      <c r="R1522" s="24">
        <f t="shared" si="7"/>
        <v>0</v>
      </c>
      <c r="S1522" s="24"/>
      <c r="T1522" s="24"/>
    </row>
    <row r="1523">
      <c r="A1523" s="12" t="s">
        <v>1611</v>
      </c>
      <c r="F1523" s="19">
        <f>IFERROR(__xludf.DUMMYFUNCTION("SPLIT(A1519, "" |"")"),1517.0)</f>
        <v>1517</v>
      </c>
      <c r="G1523" s="19">
        <f>IFERROR(__xludf.DUMMYFUNCTION("""COMPUTED_VALUE"""),0.00236)</f>
        <v>0.00236</v>
      </c>
      <c r="H1523" s="19" t="str">
        <f>IFERROR(__xludf.DUMMYFUNCTION("""COMPUTED_VALUE"""),"-")</f>
        <v>-</v>
      </c>
      <c r="I1523" s="19">
        <f>IFERROR(__xludf.DUMMYFUNCTION("""COMPUTED_VALUE"""),0.0022)</f>
        <v>0.0022</v>
      </c>
      <c r="J1523" s="19">
        <f>IFERROR(__xludf.DUMMYFUNCTION("""COMPUTED_VALUE"""),0.04743)</f>
        <v>0.04743</v>
      </c>
      <c r="K1523" s="19" t="str">
        <f>IFERROR(__xludf.DUMMYFUNCTION("""COMPUTED_VALUE"""),"-")</f>
        <v>-</v>
      </c>
      <c r="L1523" s="19" t="str">
        <f>IFERROR(__xludf.DUMMYFUNCTION("""COMPUTED_VALUE"""),"-")</f>
        <v>-</v>
      </c>
      <c r="O1523" s="24">
        <f t="shared" si="4"/>
        <v>0</v>
      </c>
      <c r="P1523" s="24"/>
      <c r="Q1523" s="24">
        <f t="shared" si="6"/>
        <v>0</v>
      </c>
      <c r="R1523" s="24">
        <f t="shared" si="7"/>
        <v>0</v>
      </c>
      <c r="S1523" s="24"/>
      <c r="T1523" s="24"/>
    </row>
    <row r="1524">
      <c r="A1524" s="12" t="s">
        <v>1612</v>
      </c>
      <c r="F1524" s="19">
        <f>IFERROR(__xludf.DUMMYFUNCTION("SPLIT(A1520, "" |"")"),1518.0)</f>
        <v>1518</v>
      </c>
      <c r="G1524" s="19">
        <f>IFERROR(__xludf.DUMMYFUNCTION("""COMPUTED_VALUE"""),0.00235)</f>
        <v>0.00235</v>
      </c>
      <c r="H1524" s="19" t="str">
        <f>IFERROR(__xludf.DUMMYFUNCTION("""COMPUTED_VALUE"""),"-")</f>
        <v>-</v>
      </c>
      <c r="I1524" s="19">
        <f>IFERROR(__xludf.DUMMYFUNCTION("""COMPUTED_VALUE"""),0.00223)</f>
        <v>0.00223</v>
      </c>
      <c r="J1524" s="19">
        <f>IFERROR(__xludf.DUMMYFUNCTION("""COMPUTED_VALUE"""),0.04439)</f>
        <v>0.04439</v>
      </c>
      <c r="K1524" s="19" t="str">
        <f>IFERROR(__xludf.DUMMYFUNCTION("""COMPUTED_VALUE"""),"-")</f>
        <v>-</v>
      </c>
      <c r="L1524" s="19" t="str">
        <f>IFERROR(__xludf.DUMMYFUNCTION("""COMPUTED_VALUE"""),"-")</f>
        <v>-</v>
      </c>
      <c r="O1524" s="24">
        <f t="shared" si="4"/>
        <v>0</v>
      </c>
      <c r="P1524" s="24"/>
      <c r="Q1524" s="24">
        <f t="shared" si="6"/>
        <v>0</v>
      </c>
      <c r="R1524" s="24">
        <f t="shared" si="7"/>
        <v>1</v>
      </c>
      <c r="S1524" s="24"/>
      <c r="T1524" s="24"/>
    </row>
    <row r="1525">
      <c r="A1525" s="12" t="s">
        <v>1613</v>
      </c>
      <c r="F1525" s="19">
        <f>IFERROR(__xludf.DUMMYFUNCTION("SPLIT(A1521, "" |"")"),1519.0)</f>
        <v>1519</v>
      </c>
      <c r="G1525" s="19">
        <f>IFERROR(__xludf.DUMMYFUNCTION("""COMPUTED_VALUE"""),0.00239)</f>
        <v>0.00239</v>
      </c>
      <c r="H1525" s="19" t="str">
        <f>IFERROR(__xludf.DUMMYFUNCTION("""COMPUTED_VALUE"""),"-")</f>
        <v>-</v>
      </c>
      <c r="I1525" s="19">
        <f>IFERROR(__xludf.DUMMYFUNCTION("""COMPUTED_VALUE"""),0.00209)</f>
        <v>0.00209</v>
      </c>
      <c r="J1525" s="19">
        <f>IFERROR(__xludf.DUMMYFUNCTION("""COMPUTED_VALUE"""),0.04746)</f>
        <v>0.04746</v>
      </c>
      <c r="K1525" s="19" t="str">
        <f>IFERROR(__xludf.DUMMYFUNCTION("""COMPUTED_VALUE"""),"-")</f>
        <v>-</v>
      </c>
      <c r="L1525" s="19" t="str">
        <f>IFERROR(__xludf.DUMMYFUNCTION("""COMPUTED_VALUE"""),"-")</f>
        <v>-</v>
      </c>
      <c r="O1525" s="24">
        <f t="shared" si="4"/>
        <v>0</v>
      </c>
      <c r="P1525" s="24"/>
      <c r="Q1525" s="24">
        <f t="shared" si="6"/>
        <v>0</v>
      </c>
      <c r="R1525" s="24">
        <f t="shared" si="7"/>
        <v>0</v>
      </c>
      <c r="S1525" s="24"/>
      <c r="T1525" s="24"/>
    </row>
    <row r="1526">
      <c r="A1526" s="12" t="s">
        <v>1614</v>
      </c>
      <c r="F1526" s="19">
        <f>IFERROR(__xludf.DUMMYFUNCTION("SPLIT(A1522, "" |"")"),1520.0)</f>
        <v>1520</v>
      </c>
      <c r="G1526" s="19">
        <f>IFERROR(__xludf.DUMMYFUNCTION("""COMPUTED_VALUE"""),0.00234)</f>
        <v>0.00234</v>
      </c>
      <c r="H1526" s="19" t="str">
        <f>IFERROR(__xludf.DUMMYFUNCTION("""COMPUTED_VALUE"""),"-")</f>
        <v>-</v>
      </c>
      <c r="I1526" s="19">
        <f>IFERROR(__xludf.DUMMYFUNCTION("""COMPUTED_VALUE"""),0.00218)</f>
        <v>0.00218</v>
      </c>
      <c r="J1526" s="19">
        <f>IFERROR(__xludf.DUMMYFUNCTION("""COMPUTED_VALUE"""),0.04751)</f>
        <v>0.04751</v>
      </c>
      <c r="K1526" s="19" t="str">
        <f>IFERROR(__xludf.DUMMYFUNCTION("""COMPUTED_VALUE"""),"-")</f>
        <v>-</v>
      </c>
      <c r="L1526" s="19" t="str">
        <f>IFERROR(__xludf.DUMMYFUNCTION("""COMPUTED_VALUE"""),"-")</f>
        <v>-</v>
      </c>
      <c r="O1526" s="24">
        <f t="shared" si="4"/>
        <v>0</v>
      </c>
      <c r="P1526" s="24"/>
      <c r="Q1526" s="24">
        <f t="shared" si="6"/>
        <v>0</v>
      </c>
      <c r="R1526" s="24">
        <f t="shared" si="7"/>
        <v>0</v>
      </c>
      <c r="S1526" s="24"/>
      <c r="T1526" s="24"/>
    </row>
    <row r="1527">
      <c r="A1527" s="12" t="s">
        <v>1615</v>
      </c>
      <c r="F1527" s="19">
        <f>IFERROR(__xludf.DUMMYFUNCTION("SPLIT(A1523, "" |"")"),1521.0)</f>
        <v>1521</v>
      </c>
      <c r="G1527" s="19">
        <f>IFERROR(__xludf.DUMMYFUNCTION("""COMPUTED_VALUE"""),0.00238)</f>
        <v>0.00238</v>
      </c>
      <c r="H1527" s="19" t="str">
        <f>IFERROR(__xludf.DUMMYFUNCTION("""COMPUTED_VALUE"""),"-")</f>
        <v>-</v>
      </c>
      <c r="I1527" s="19">
        <f>IFERROR(__xludf.DUMMYFUNCTION("""COMPUTED_VALUE"""),0.00228)</f>
        <v>0.00228</v>
      </c>
      <c r="J1527" s="19">
        <f>IFERROR(__xludf.DUMMYFUNCTION("""COMPUTED_VALUE"""),0.03949)</f>
        <v>0.03949</v>
      </c>
      <c r="K1527" s="19" t="str">
        <f>IFERROR(__xludf.DUMMYFUNCTION("""COMPUTED_VALUE"""),"-")</f>
        <v>-</v>
      </c>
      <c r="L1527" s="19" t="str">
        <f>IFERROR(__xludf.DUMMYFUNCTION("""COMPUTED_VALUE"""),"-")</f>
        <v>-</v>
      </c>
      <c r="O1527" s="24">
        <f t="shared" si="4"/>
        <v>0</v>
      </c>
      <c r="P1527" s="24"/>
      <c r="Q1527" s="24">
        <f t="shared" si="6"/>
        <v>0</v>
      </c>
      <c r="R1527" s="24">
        <f t="shared" si="7"/>
        <v>1</v>
      </c>
      <c r="S1527" s="24"/>
      <c r="T1527" s="24"/>
    </row>
    <row r="1528">
      <c r="A1528" s="12" t="s">
        <v>1616</v>
      </c>
      <c r="F1528" s="19">
        <f>IFERROR(__xludf.DUMMYFUNCTION("SPLIT(A1524, "" |"")"),1522.0)</f>
        <v>1522</v>
      </c>
      <c r="G1528" s="19">
        <f>IFERROR(__xludf.DUMMYFUNCTION("""COMPUTED_VALUE"""),0.0023)</f>
        <v>0.0023</v>
      </c>
      <c r="H1528" s="19" t="str">
        <f>IFERROR(__xludf.DUMMYFUNCTION("""COMPUTED_VALUE"""),"-")</f>
        <v>-</v>
      </c>
      <c r="I1528" s="19">
        <f>IFERROR(__xludf.DUMMYFUNCTION("""COMPUTED_VALUE"""),0.00217)</f>
        <v>0.00217</v>
      </c>
      <c r="J1528" s="19">
        <f>IFERROR(__xludf.DUMMYFUNCTION("""COMPUTED_VALUE"""),0.04744)</f>
        <v>0.04744</v>
      </c>
      <c r="K1528" s="19" t="str">
        <f>IFERROR(__xludf.DUMMYFUNCTION("""COMPUTED_VALUE"""),"-")</f>
        <v>-</v>
      </c>
      <c r="L1528" s="19" t="str">
        <f>IFERROR(__xludf.DUMMYFUNCTION("""COMPUTED_VALUE"""),"-")</f>
        <v>-</v>
      </c>
      <c r="O1528" s="24">
        <f t="shared" si="4"/>
        <v>0</v>
      </c>
      <c r="P1528" s="24"/>
      <c r="Q1528" s="24">
        <f t="shared" si="6"/>
        <v>0</v>
      </c>
      <c r="R1528" s="24">
        <f t="shared" si="7"/>
        <v>0</v>
      </c>
      <c r="S1528" s="24"/>
      <c r="T1528" s="24"/>
    </row>
    <row r="1529">
      <c r="A1529" s="12" t="s">
        <v>1617</v>
      </c>
      <c r="F1529" s="19">
        <f>IFERROR(__xludf.DUMMYFUNCTION("SPLIT(A1525, "" |"")"),1523.0)</f>
        <v>1523</v>
      </c>
      <c r="G1529" s="19">
        <f>IFERROR(__xludf.DUMMYFUNCTION("""COMPUTED_VALUE"""),0.00247)</f>
        <v>0.00247</v>
      </c>
      <c r="H1529" s="19" t="str">
        <f>IFERROR(__xludf.DUMMYFUNCTION("""COMPUTED_VALUE"""),"-")</f>
        <v>-</v>
      </c>
      <c r="I1529" s="19">
        <f>IFERROR(__xludf.DUMMYFUNCTION("""COMPUTED_VALUE"""),0.00224)</f>
        <v>0.00224</v>
      </c>
      <c r="J1529" s="19">
        <f>IFERROR(__xludf.DUMMYFUNCTION("""COMPUTED_VALUE"""),0.04748)</f>
        <v>0.04748</v>
      </c>
      <c r="K1529" s="19" t="str">
        <f>IFERROR(__xludf.DUMMYFUNCTION("""COMPUTED_VALUE"""),"-")</f>
        <v>-</v>
      </c>
      <c r="L1529" s="19" t="str">
        <f>IFERROR(__xludf.DUMMYFUNCTION("""COMPUTED_VALUE"""),"-")</f>
        <v>-</v>
      </c>
      <c r="O1529" s="24">
        <f t="shared" si="4"/>
        <v>0</v>
      </c>
      <c r="P1529" s="24"/>
      <c r="Q1529" s="24">
        <f t="shared" si="6"/>
        <v>0</v>
      </c>
      <c r="R1529" s="24">
        <f t="shared" si="7"/>
        <v>0</v>
      </c>
      <c r="S1529" s="24"/>
      <c r="T1529" s="24"/>
    </row>
    <row r="1530">
      <c r="A1530" s="12" t="s">
        <v>1618</v>
      </c>
      <c r="F1530" s="19">
        <f>IFERROR(__xludf.DUMMYFUNCTION("SPLIT(A1526, "" |"")"),1524.0)</f>
        <v>1524</v>
      </c>
      <c r="G1530" s="19">
        <f>IFERROR(__xludf.DUMMYFUNCTION("""COMPUTED_VALUE"""),0.00235)</f>
        <v>0.00235</v>
      </c>
      <c r="H1530" s="19" t="str">
        <f>IFERROR(__xludf.DUMMYFUNCTION("""COMPUTED_VALUE"""),"-")</f>
        <v>-</v>
      </c>
      <c r="I1530" s="19">
        <f>IFERROR(__xludf.DUMMYFUNCTION("""COMPUTED_VALUE"""),0.00222)</f>
        <v>0.00222</v>
      </c>
      <c r="J1530" s="19">
        <f>IFERROR(__xludf.DUMMYFUNCTION("""COMPUTED_VALUE"""),0.0474)</f>
        <v>0.0474</v>
      </c>
      <c r="K1530" s="19" t="str">
        <f>IFERROR(__xludf.DUMMYFUNCTION("""COMPUTED_VALUE"""),"-")</f>
        <v>-</v>
      </c>
      <c r="L1530" s="19" t="str">
        <f>IFERROR(__xludf.DUMMYFUNCTION("""COMPUTED_VALUE"""),"-")</f>
        <v>-</v>
      </c>
      <c r="O1530" s="24">
        <f t="shared" si="4"/>
        <v>0</v>
      </c>
      <c r="P1530" s="24"/>
      <c r="Q1530" s="24">
        <f t="shared" si="6"/>
        <v>0</v>
      </c>
      <c r="R1530" s="24">
        <f t="shared" si="7"/>
        <v>0</v>
      </c>
      <c r="S1530" s="24"/>
      <c r="T1530" s="24"/>
    </row>
    <row r="1531">
      <c r="A1531" s="12" t="s">
        <v>1619</v>
      </c>
      <c r="F1531" s="19">
        <f>IFERROR(__xludf.DUMMYFUNCTION("SPLIT(A1527, "" |"")"),1525.0)</f>
        <v>1525</v>
      </c>
      <c r="G1531" s="19">
        <f>IFERROR(__xludf.DUMMYFUNCTION("""COMPUTED_VALUE"""),0.00235)</f>
        <v>0.00235</v>
      </c>
      <c r="H1531" s="19" t="str">
        <f>IFERROR(__xludf.DUMMYFUNCTION("""COMPUTED_VALUE"""),"-")</f>
        <v>-</v>
      </c>
      <c r="I1531" s="19">
        <f>IFERROR(__xludf.DUMMYFUNCTION("""COMPUTED_VALUE"""),0.00221)</f>
        <v>0.00221</v>
      </c>
      <c r="J1531" s="19">
        <f>IFERROR(__xludf.DUMMYFUNCTION("""COMPUTED_VALUE"""),0.04739)</f>
        <v>0.04739</v>
      </c>
      <c r="K1531" s="19" t="str">
        <f>IFERROR(__xludf.DUMMYFUNCTION("""COMPUTED_VALUE"""),"-")</f>
        <v>-</v>
      </c>
      <c r="L1531" s="19" t="str">
        <f>IFERROR(__xludf.DUMMYFUNCTION("""COMPUTED_VALUE"""),"-")</f>
        <v>-</v>
      </c>
      <c r="O1531" s="24">
        <f t="shared" si="4"/>
        <v>0</v>
      </c>
      <c r="P1531" s="24"/>
      <c r="Q1531" s="24">
        <f t="shared" si="6"/>
        <v>0</v>
      </c>
      <c r="R1531" s="24">
        <f t="shared" si="7"/>
        <v>0</v>
      </c>
      <c r="S1531" s="24"/>
      <c r="T1531" s="24"/>
    </row>
    <row r="1532">
      <c r="A1532" s="12" t="s">
        <v>1620</v>
      </c>
      <c r="F1532" s="19">
        <f>IFERROR(__xludf.DUMMYFUNCTION("SPLIT(A1528, "" |"")"),1526.0)</f>
        <v>1526</v>
      </c>
      <c r="G1532" s="19">
        <f>IFERROR(__xludf.DUMMYFUNCTION("""COMPUTED_VALUE"""),0.00237)</f>
        <v>0.00237</v>
      </c>
      <c r="H1532" s="19" t="str">
        <f>IFERROR(__xludf.DUMMYFUNCTION("""COMPUTED_VALUE"""),"-")</f>
        <v>-</v>
      </c>
      <c r="I1532" s="19">
        <f>IFERROR(__xludf.DUMMYFUNCTION("""COMPUTED_VALUE"""),0.00223)</f>
        <v>0.00223</v>
      </c>
      <c r="J1532" s="19">
        <f>IFERROR(__xludf.DUMMYFUNCTION("""COMPUTED_VALUE"""),0.04747)</f>
        <v>0.04747</v>
      </c>
      <c r="K1532" s="19" t="str">
        <f>IFERROR(__xludf.DUMMYFUNCTION("""COMPUTED_VALUE"""),"-")</f>
        <v>-</v>
      </c>
      <c r="L1532" s="19" t="str">
        <f>IFERROR(__xludf.DUMMYFUNCTION("""COMPUTED_VALUE"""),"-")</f>
        <v>-</v>
      </c>
      <c r="O1532" s="24">
        <f t="shared" si="4"/>
        <v>0</v>
      </c>
      <c r="P1532" s="24"/>
      <c r="Q1532" s="24">
        <f t="shared" si="6"/>
        <v>0</v>
      </c>
      <c r="R1532" s="24">
        <f t="shared" si="7"/>
        <v>0</v>
      </c>
      <c r="S1532" s="24"/>
      <c r="T1532" s="24"/>
    </row>
    <row r="1533">
      <c r="A1533" s="12" t="s">
        <v>1621</v>
      </c>
      <c r="F1533" s="19">
        <f>IFERROR(__xludf.DUMMYFUNCTION("SPLIT(A1529, "" |"")"),1527.0)</f>
        <v>1527</v>
      </c>
      <c r="G1533" s="19">
        <f>IFERROR(__xludf.DUMMYFUNCTION("""COMPUTED_VALUE"""),0.00234)</f>
        <v>0.00234</v>
      </c>
      <c r="H1533" s="19" t="str">
        <f>IFERROR(__xludf.DUMMYFUNCTION("""COMPUTED_VALUE"""),"-")</f>
        <v>-</v>
      </c>
      <c r="I1533" s="19">
        <f>IFERROR(__xludf.DUMMYFUNCTION("""COMPUTED_VALUE"""),0.00221)</f>
        <v>0.00221</v>
      </c>
      <c r="J1533" s="19">
        <f>IFERROR(__xludf.DUMMYFUNCTION("""COMPUTED_VALUE"""),0.04749)</f>
        <v>0.04749</v>
      </c>
      <c r="K1533" s="19" t="str">
        <f>IFERROR(__xludf.DUMMYFUNCTION("""COMPUTED_VALUE"""),"-")</f>
        <v>-</v>
      </c>
      <c r="L1533" s="19" t="str">
        <f>IFERROR(__xludf.DUMMYFUNCTION("""COMPUTED_VALUE"""),"-")</f>
        <v>-</v>
      </c>
      <c r="O1533" s="24">
        <f t="shared" si="4"/>
        <v>0</v>
      </c>
      <c r="P1533" s="24"/>
      <c r="Q1533" s="24">
        <f t="shared" si="6"/>
        <v>0</v>
      </c>
      <c r="R1533" s="24">
        <f t="shared" si="7"/>
        <v>0</v>
      </c>
      <c r="S1533" s="24"/>
      <c r="T1533" s="24"/>
    </row>
    <row r="1534">
      <c r="A1534" s="12" t="s">
        <v>1622</v>
      </c>
      <c r="F1534" s="19">
        <f>IFERROR(__xludf.DUMMYFUNCTION("SPLIT(A1530, "" |"")"),1528.0)</f>
        <v>1528</v>
      </c>
      <c r="G1534" s="19">
        <f>IFERROR(__xludf.DUMMYFUNCTION("""COMPUTED_VALUE"""),0.00244)</f>
        <v>0.00244</v>
      </c>
      <c r="H1534" s="19" t="str">
        <f>IFERROR(__xludf.DUMMYFUNCTION("""COMPUTED_VALUE"""),"-")</f>
        <v>-</v>
      </c>
      <c r="I1534" s="19">
        <f>IFERROR(__xludf.DUMMYFUNCTION("""COMPUTED_VALUE"""),0.00226)</f>
        <v>0.00226</v>
      </c>
      <c r="J1534" s="19">
        <f>IFERROR(__xludf.DUMMYFUNCTION("""COMPUTED_VALUE"""),0.04403)</f>
        <v>0.04403</v>
      </c>
      <c r="K1534" s="19" t="str">
        <f>IFERROR(__xludf.DUMMYFUNCTION("""COMPUTED_VALUE"""),"-")</f>
        <v>-</v>
      </c>
      <c r="L1534" s="19" t="str">
        <f>IFERROR(__xludf.DUMMYFUNCTION("""COMPUTED_VALUE"""),"-")</f>
        <v>-</v>
      </c>
      <c r="O1534" s="24">
        <f t="shared" si="4"/>
        <v>0</v>
      </c>
      <c r="P1534" s="24"/>
      <c r="Q1534" s="24">
        <f t="shared" si="6"/>
        <v>0</v>
      </c>
      <c r="R1534" s="24">
        <f t="shared" si="7"/>
        <v>1</v>
      </c>
      <c r="S1534" s="24"/>
      <c r="T1534" s="24"/>
    </row>
    <row r="1535">
      <c r="A1535" s="12" t="s">
        <v>1623</v>
      </c>
      <c r="F1535" s="19">
        <f>IFERROR(__xludf.DUMMYFUNCTION("SPLIT(A1531, "" |"")"),1529.0)</f>
        <v>1529</v>
      </c>
      <c r="G1535" s="19">
        <f>IFERROR(__xludf.DUMMYFUNCTION("""COMPUTED_VALUE"""),0.00233)</f>
        <v>0.00233</v>
      </c>
      <c r="H1535" s="19" t="str">
        <f>IFERROR(__xludf.DUMMYFUNCTION("""COMPUTED_VALUE"""),"-")</f>
        <v>-</v>
      </c>
      <c r="I1535" s="19">
        <f>IFERROR(__xludf.DUMMYFUNCTION("""COMPUTED_VALUE"""),0.00218)</f>
        <v>0.00218</v>
      </c>
      <c r="J1535" s="19">
        <f>IFERROR(__xludf.DUMMYFUNCTION("""COMPUTED_VALUE"""),0.04747)</f>
        <v>0.04747</v>
      </c>
      <c r="K1535" s="19" t="str">
        <f>IFERROR(__xludf.DUMMYFUNCTION("""COMPUTED_VALUE"""),"-")</f>
        <v>-</v>
      </c>
      <c r="L1535" s="19" t="str">
        <f>IFERROR(__xludf.DUMMYFUNCTION("""COMPUTED_VALUE"""),"-")</f>
        <v>-</v>
      </c>
      <c r="O1535" s="24">
        <f t="shared" si="4"/>
        <v>0</v>
      </c>
      <c r="P1535" s="24"/>
      <c r="Q1535" s="24">
        <f t="shared" si="6"/>
        <v>0</v>
      </c>
      <c r="R1535" s="24">
        <f t="shared" si="7"/>
        <v>0</v>
      </c>
      <c r="S1535" s="24"/>
      <c r="T1535" s="24"/>
    </row>
    <row r="1536">
      <c r="A1536" s="12" t="s">
        <v>1624</v>
      </c>
      <c r="F1536" s="19">
        <f>IFERROR(__xludf.DUMMYFUNCTION("SPLIT(A1532, "" |"")"),1530.0)</f>
        <v>1530</v>
      </c>
      <c r="G1536" s="19">
        <f>IFERROR(__xludf.DUMMYFUNCTION("""COMPUTED_VALUE"""),0.00233)</f>
        <v>0.00233</v>
      </c>
      <c r="H1536" s="19" t="str">
        <f>IFERROR(__xludf.DUMMYFUNCTION("""COMPUTED_VALUE"""),"-")</f>
        <v>-</v>
      </c>
      <c r="I1536" s="19">
        <f>IFERROR(__xludf.DUMMYFUNCTION("""COMPUTED_VALUE"""),0.0022)</f>
        <v>0.0022</v>
      </c>
      <c r="J1536" s="19">
        <f>IFERROR(__xludf.DUMMYFUNCTION("""COMPUTED_VALUE"""),0.04747)</f>
        <v>0.04747</v>
      </c>
      <c r="K1536" s="19" t="str">
        <f>IFERROR(__xludf.DUMMYFUNCTION("""COMPUTED_VALUE"""),"-")</f>
        <v>-</v>
      </c>
      <c r="L1536" s="19" t="str">
        <f>IFERROR(__xludf.DUMMYFUNCTION("""COMPUTED_VALUE"""),"-")</f>
        <v>-</v>
      </c>
      <c r="O1536" s="24">
        <f t="shared" si="4"/>
        <v>0</v>
      </c>
      <c r="P1536" s="24"/>
      <c r="Q1536" s="24">
        <f t="shared" si="6"/>
        <v>0</v>
      </c>
      <c r="R1536" s="24">
        <f t="shared" si="7"/>
        <v>0</v>
      </c>
      <c r="S1536" s="24"/>
      <c r="T1536" s="24"/>
    </row>
    <row r="1537">
      <c r="A1537" s="12" t="s">
        <v>1625</v>
      </c>
      <c r="F1537" s="19">
        <f>IFERROR(__xludf.DUMMYFUNCTION("SPLIT(A1533, "" |"")"),1531.0)</f>
        <v>1531</v>
      </c>
      <c r="G1537" s="19">
        <f>IFERROR(__xludf.DUMMYFUNCTION("""COMPUTED_VALUE"""),0.00229)</f>
        <v>0.00229</v>
      </c>
      <c r="H1537" s="19" t="str">
        <f>IFERROR(__xludf.DUMMYFUNCTION("""COMPUTED_VALUE"""),"-")</f>
        <v>-</v>
      </c>
      <c r="I1537" s="19">
        <f>IFERROR(__xludf.DUMMYFUNCTION("""COMPUTED_VALUE"""),0.00214)</f>
        <v>0.00214</v>
      </c>
      <c r="J1537" s="19">
        <f>IFERROR(__xludf.DUMMYFUNCTION("""COMPUTED_VALUE"""),0.03973)</f>
        <v>0.03973</v>
      </c>
      <c r="K1537" s="19" t="str">
        <f>IFERROR(__xludf.DUMMYFUNCTION("""COMPUTED_VALUE"""),"-")</f>
        <v>-</v>
      </c>
      <c r="L1537" s="19" t="str">
        <f>IFERROR(__xludf.DUMMYFUNCTION("""COMPUTED_VALUE"""),"-")</f>
        <v>-</v>
      </c>
      <c r="O1537" s="24">
        <f t="shared" si="4"/>
        <v>0</v>
      </c>
      <c r="P1537" s="24"/>
      <c r="Q1537" s="24">
        <f t="shared" si="6"/>
        <v>0</v>
      </c>
      <c r="R1537" s="24">
        <f t="shared" si="7"/>
        <v>1</v>
      </c>
      <c r="S1537" s="24"/>
      <c r="T1537" s="24"/>
    </row>
    <row r="1538">
      <c r="A1538" s="12" t="s">
        <v>1626</v>
      </c>
      <c r="F1538" s="19">
        <f>IFERROR(__xludf.DUMMYFUNCTION("SPLIT(A1534, "" |"")"),1532.0)</f>
        <v>1532</v>
      </c>
      <c r="G1538" s="19">
        <f>IFERROR(__xludf.DUMMYFUNCTION("""COMPUTED_VALUE"""),0.00239)</f>
        <v>0.00239</v>
      </c>
      <c r="H1538" s="19" t="str">
        <f>IFERROR(__xludf.DUMMYFUNCTION("""COMPUTED_VALUE"""),"-")</f>
        <v>-</v>
      </c>
      <c r="I1538" s="19">
        <f>IFERROR(__xludf.DUMMYFUNCTION("""COMPUTED_VALUE"""),0.00224)</f>
        <v>0.00224</v>
      </c>
      <c r="J1538" s="19">
        <f>IFERROR(__xludf.DUMMYFUNCTION("""COMPUTED_VALUE"""),0.0474)</f>
        <v>0.0474</v>
      </c>
      <c r="K1538" s="19" t="str">
        <f>IFERROR(__xludf.DUMMYFUNCTION("""COMPUTED_VALUE"""),"-")</f>
        <v>-</v>
      </c>
      <c r="L1538" s="19" t="str">
        <f>IFERROR(__xludf.DUMMYFUNCTION("""COMPUTED_VALUE"""),"-")</f>
        <v>-</v>
      </c>
      <c r="O1538" s="24">
        <f t="shared" si="4"/>
        <v>0</v>
      </c>
      <c r="P1538" s="24"/>
      <c r="Q1538" s="24">
        <f t="shared" si="6"/>
        <v>0</v>
      </c>
      <c r="R1538" s="24">
        <f t="shared" si="7"/>
        <v>0</v>
      </c>
      <c r="S1538" s="24"/>
      <c r="T1538" s="24"/>
    </row>
    <row r="1539">
      <c r="A1539" s="12" t="s">
        <v>1627</v>
      </c>
      <c r="F1539" s="19">
        <f>IFERROR(__xludf.DUMMYFUNCTION("SPLIT(A1535, "" |"")"),1533.0)</f>
        <v>1533</v>
      </c>
      <c r="G1539" s="19">
        <f>IFERROR(__xludf.DUMMYFUNCTION("""COMPUTED_VALUE"""),0.00249)</f>
        <v>0.00249</v>
      </c>
      <c r="H1539" s="19" t="str">
        <f>IFERROR(__xludf.DUMMYFUNCTION("""COMPUTED_VALUE"""),"-")</f>
        <v>-</v>
      </c>
      <c r="I1539" s="19">
        <f>IFERROR(__xludf.DUMMYFUNCTION("""COMPUTED_VALUE"""),0.0023)</f>
        <v>0.0023</v>
      </c>
      <c r="J1539" s="19">
        <f>IFERROR(__xludf.DUMMYFUNCTION("""COMPUTED_VALUE"""),0.03965)</f>
        <v>0.03965</v>
      </c>
      <c r="K1539" s="19" t="str">
        <f>IFERROR(__xludf.DUMMYFUNCTION("""COMPUTED_VALUE"""),"-")</f>
        <v>-</v>
      </c>
      <c r="L1539" s="19" t="str">
        <f>IFERROR(__xludf.DUMMYFUNCTION("""COMPUTED_VALUE"""),"-")</f>
        <v>-</v>
      </c>
      <c r="O1539" s="24">
        <f t="shared" si="4"/>
        <v>0</v>
      </c>
      <c r="P1539" s="24"/>
      <c r="Q1539" s="24">
        <f t="shared" si="6"/>
        <v>0</v>
      </c>
      <c r="R1539" s="24">
        <f t="shared" si="7"/>
        <v>1</v>
      </c>
      <c r="S1539" s="24"/>
      <c r="T1539" s="24"/>
    </row>
    <row r="1540">
      <c r="A1540" s="12" t="s">
        <v>1628</v>
      </c>
      <c r="F1540" s="19">
        <f>IFERROR(__xludf.DUMMYFUNCTION("SPLIT(A1536, "" |"")"),1534.0)</f>
        <v>1534</v>
      </c>
      <c r="G1540" s="19">
        <f>IFERROR(__xludf.DUMMYFUNCTION("""COMPUTED_VALUE"""),0.00238)</f>
        <v>0.00238</v>
      </c>
      <c r="H1540" s="19" t="str">
        <f>IFERROR(__xludf.DUMMYFUNCTION("""COMPUTED_VALUE"""),"-")</f>
        <v>-</v>
      </c>
      <c r="I1540" s="19">
        <f>IFERROR(__xludf.DUMMYFUNCTION("""COMPUTED_VALUE"""),0.00222)</f>
        <v>0.00222</v>
      </c>
      <c r="J1540" s="19">
        <f>IFERROR(__xludf.DUMMYFUNCTION("""COMPUTED_VALUE"""),0.04743)</f>
        <v>0.04743</v>
      </c>
      <c r="K1540" s="19" t="str">
        <f>IFERROR(__xludf.DUMMYFUNCTION("""COMPUTED_VALUE"""),"-")</f>
        <v>-</v>
      </c>
      <c r="L1540" s="19" t="str">
        <f>IFERROR(__xludf.DUMMYFUNCTION("""COMPUTED_VALUE"""),"-")</f>
        <v>-</v>
      </c>
      <c r="O1540" s="24">
        <f t="shared" si="4"/>
        <v>0</v>
      </c>
      <c r="P1540" s="24"/>
      <c r="Q1540" s="24">
        <f t="shared" si="6"/>
        <v>0</v>
      </c>
      <c r="R1540" s="24">
        <f t="shared" si="7"/>
        <v>0</v>
      </c>
      <c r="S1540" s="24"/>
      <c r="T1540" s="24"/>
    </row>
    <row r="1541">
      <c r="A1541" s="12" t="s">
        <v>1629</v>
      </c>
      <c r="F1541" s="19">
        <f>IFERROR(__xludf.DUMMYFUNCTION("SPLIT(A1537, "" |"")"),1535.0)</f>
        <v>1535</v>
      </c>
      <c r="G1541" s="19">
        <f>IFERROR(__xludf.DUMMYFUNCTION("""COMPUTED_VALUE"""),0.00233)</f>
        <v>0.00233</v>
      </c>
      <c r="H1541" s="19" t="str">
        <f>IFERROR(__xludf.DUMMYFUNCTION("""COMPUTED_VALUE"""),"-")</f>
        <v>-</v>
      </c>
      <c r="I1541" s="19">
        <f>IFERROR(__xludf.DUMMYFUNCTION("""COMPUTED_VALUE"""),0.00219)</f>
        <v>0.00219</v>
      </c>
      <c r="J1541" s="19">
        <f>IFERROR(__xludf.DUMMYFUNCTION("""COMPUTED_VALUE"""),0.04745)</f>
        <v>0.04745</v>
      </c>
      <c r="K1541" s="19" t="str">
        <f>IFERROR(__xludf.DUMMYFUNCTION("""COMPUTED_VALUE"""),"-")</f>
        <v>-</v>
      </c>
      <c r="L1541" s="19" t="str">
        <f>IFERROR(__xludf.DUMMYFUNCTION("""COMPUTED_VALUE"""),"-")</f>
        <v>-</v>
      </c>
      <c r="O1541" s="24">
        <f t="shared" si="4"/>
        <v>0</v>
      </c>
      <c r="P1541" s="24"/>
      <c r="Q1541" s="24">
        <f t="shared" si="6"/>
        <v>0</v>
      </c>
      <c r="R1541" s="24">
        <f t="shared" si="7"/>
        <v>0</v>
      </c>
      <c r="S1541" s="24"/>
      <c r="T1541" s="24"/>
    </row>
    <row r="1542">
      <c r="A1542" s="12" t="s">
        <v>1630</v>
      </c>
      <c r="F1542" s="19">
        <f>IFERROR(__xludf.DUMMYFUNCTION("SPLIT(A1538, "" |"")"),1536.0)</f>
        <v>1536</v>
      </c>
      <c r="G1542" s="19">
        <f>IFERROR(__xludf.DUMMYFUNCTION("""COMPUTED_VALUE"""),0.00235)</f>
        <v>0.00235</v>
      </c>
      <c r="H1542" s="19" t="str">
        <f>IFERROR(__xludf.DUMMYFUNCTION("""COMPUTED_VALUE"""),"-")</f>
        <v>-</v>
      </c>
      <c r="I1542" s="19">
        <f>IFERROR(__xludf.DUMMYFUNCTION("""COMPUTED_VALUE"""),0.00221)</f>
        <v>0.00221</v>
      </c>
      <c r="J1542" s="19">
        <f>IFERROR(__xludf.DUMMYFUNCTION("""COMPUTED_VALUE"""),0.04739)</f>
        <v>0.04739</v>
      </c>
      <c r="K1542" s="19" t="str">
        <f>IFERROR(__xludf.DUMMYFUNCTION("""COMPUTED_VALUE"""),"-")</f>
        <v>-</v>
      </c>
      <c r="L1542" s="19" t="str">
        <f>IFERROR(__xludf.DUMMYFUNCTION("""COMPUTED_VALUE"""),"-")</f>
        <v>-</v>
      </c>
      <c r="O1542" s="24">
        <f t="shared" si="4"/>
        <v>0</v>
      </c>
      <c r="P1542" s="24"/>
      <c r="Q1542" s="24">
        <f t="shared" si="6"/>
        <v>0</v>
      </c>
      <c r="R1542" s="24">
        <f t="shared" si="7"/>
        <v>0</v>
      </c>
      <c r="S1542" s="24"/>
      <c r="T1542" s="24"/>
    </row>
    <row r="1543">
      <c r="A1543" s="12" t="s">
        <v>1631</v>
      </c>
      <c r="F1543" s="19">
        <f>IFERROR(__xludf.DUMMYFUNCTION("SPLIT(A1539, "" |"")"),1537.0)</f>
        <v>1537</v>
      </c>
      <c r="G1543" s="19">
        <f>IFERROR(__xludf.DUMMYFUNCTION("""COMPUTED_VALUE"""),0.00237)</f>
        <v>0.00237</v>
      </c>
      <c r="H1543" s="19" t="str">
        <f>IFERROR(__xludf.DUMMYFUNCTION("""COMPUTED_VALUE"""),"-")</f>
        <v>-</v>
      </c>
      <c r="I1543" s="19">
        <f>IFERROR(__xludf.DUMMYFUNCTION("""COMPUTED_VALUE"""),0.00211)</f>
        <v>0.00211</v>
      </c>
      <c r="J1543" s="19">
        <f>IFERROR(__xludf.DUMMYFUNCTION("""COMPUTED_VALUE"""),0.04117)</f>
        <v>0.04117</v>
      </c>
      <c r="K1543" s="19" t="str">
        <f>IFERROR(__xludf.DUMMYFUNCTION("""COMPUTED_VALUE"""),"-")</f>
        <v>-</v>
      </c>
      <c r="L1543" s="19" t="str">
        <f>IFERROR(__xludf.DUMMYFUNCTION("""COMPUTED_VALUE"""),"-")</f>
        <v>-</v>
      </c>
      <c r="O1543" s="24">
        <f t="shared" si="4"/>
        <v>0</v>
      </c>
      <c r="P1543" s="24"/>
      <c r="Q1543" s="24">
        <f t="shared" si="6"/>
        <v>0</v>
      </c>
      <c r="R1543" s="24">
        <f t="shared" si="7"/>
        <v>1</v>
      </c>
      <c r="S1543" s="24"/>
      <c r="T1543" s="24"/>
    </row>
    <row r="1544">
      <c r="A1544" s="12" t="s">
        <v>1632</v>
      </c>
      <c r="F1544" s="19">
        <f>IFERROR(__xludf.DUMMYFUNCTION("SPLIT(A1540, "" |"")"),1538.0)</f>
        <v>1538</v>
      </c>
      <c r="G1544" s="19">
        <f>IFERROR(__xludf.DUMMYFUNCTION("""COMPUTED_VALUE"""),0.00235)</f>
        <v>0.00235</v>
      </c>
      <c r="H1544" s="19" t="str">
        <f>IFERROR(__xludf.DUMMYFUNCTION("""COMPUTED_VALUE"""),"-")</f>
        <v>-</v>
      </c>
      <c r="I1544" s="19">
        <f>IFERROR(__xludf.DUMMYFUNCTION("""COMPUTED_VALUE"""),0.00224)</f>
        <v>0.00224</v>
      </c>
      <c r="J1544" s="19">
        <f>IFERROR(__xludf.DUMMYFUNCTION("""COMPUTED_VALUE"""),0.04745)</f>
        <v>0.04745</v>
      </c>
      <c r="K1544" s="19" t="str">
        <f>IFERROR(__xludf.DUMMYFUNCTION("""COMPUTED_VALUE"""),"-")</f>
        <v>-</v>
      </c>
      <c r="L1544" s="19" t="str">
        <f>IFERROR(__xludf.DUMMYFUNCTION("""COMPUTED_VALUE"""),"-")</f>
        <v>-</v>
      </c>
      <c r="O1544" s="24">
        <f t="shared" si="4"/>
        <v>0</v>
      </c>
      <c r="P1544" s="24"/>
      <c r="Q1544" s="24">
        <f t="shared" si="6"/>
        <v>0</v>
      </c>
      <c r="R1544" s="24">
        <f t="shared" si="7"/>
        <v>0</v>
      </c>
      <c r="S1544" s="24"/>
      <c r="T1544" s="24"/>
    </row>
    <row r="1545">
      <c r="A1545" s="12" t="s">
        <v>1633</v>
      </c>
      <c r="F1545" s="19">
        <f>IFERROR(__xludf.DUMMYFUNCTION("SPLIT(A1541, "" |"")"),1539.0)</f>
        <v>1539</v>
      </c>
      <c r="G1545" s="19">
        <f>IFERROR(__xludf.DUMMYFUNCTION("""COMPUTED_VALUE"""),0.00246)</f>
        <v>0.00246</v>
      </c>
      <c r="H1545" s="19" t="str">
        <f>IFERROR(__xludf.DUMMYFUNCTION("""COMPUTED_VALUE"""),"-")</f>
        <v>-</v>
      </c>
      <c r="I1545" s="19">
        <f>IFERROR(__xludf.DUMMYFUNCTION("""COMPUTED_VALUE"""),0.00221)</f>
        <v>0.00221</v>
      </c>
      <c r="J1545" s="19">
        <f>IFERROR(__xludf.DUMMYFUNCTION("""COMPUTED_VALUE"""),0.04747)</f>
        <v>0.04747</v>
      </c>
      <c r="K1545" s="19" t="str">
        <f>IFERROR(__xludf.DUMMYFUNCTION("""COMPUTED_VALUE"""),"-")</f>
        <v>-</v>
      </c>
      <c r="L1545" s="19" t="str">
        <f>IFERROR(__xludf.DUMMYFUNCTION("""COMPUTED_VALUE"""),"-")</f>
        <v>-</v>
      </c>
      <c r="O1545" s="24">
        <f t="shared" si="4"/>
        <v>0</v>
      </c>
      <c r="P1545" s="24"/>
      <c r="Q1545" s="24">
        <f t="shared" si="6"/>
        <v>0</v>
      </c>
      <c r="R1545" s="24">
        <f t="shared" si="7"/>
        <v>0</v>
      </c>
      <c r="S1545" s="24"/>
      <c r="T1545" s="24"/>
    </row>
    <row r="1546">
      <c r="A1546" s="12" t="s">
        <v>1634</v>
      </c>
      <c r="F1546" s="19">
        <f>IFERROR(__xludf.DUMMYFUNCTION("SPLIT(A1542, "" |"")"),1540.0)</f>
        <v>1540</v>
      </c>
      <c r="G1546" s="19">
        <f>IFERROR(__xludf.DUMMYFUNCTION("""COMPUTED_VALUE"""),0.00235)</f>
        <v>0.00235</v>
      </c>
      <c r="H1546" s="19" t="str">
        <f>IFERROR(__xludf.DUMMYFUNCTION("""COMPUTED_VALUE"""),"-")</f>
        <v>-</v>
      </c>
      <c r="I1546" s="19">
        <f>IFERROR(__xludf.DUMMYFUNCTION("""COMPUTED_VALUE"""),0.00229)</f>
        <v>0.00229</v>
      </c>
      <c r="J1546" s="19">
        <f>IFERROR(__xludf.DUMMYFUNCTION("""COMPUTED_VALUE"""),0.04739)</f>
        <v>0.04739</v>
      </c>
      <c r="K1546" s="19" t="str">
        <f>IFERROR(__xludf.DUMMYFUNCTION("""COMPUTED_VALUE"""),"-")</f>
        <v>-</v>
      </c>
      <c r="L1546" s="19" t="str">
        <f>IFERROR(__xludf.DUMMYFUNCTION("""COMPUTED_VALUE"""),"-")</f>
        <v>-</v>
      </c>
      <c r="O1546" s="24">
        <f t="shared" si="4"/>
        <v>0</v>
      </c>
      <c r="P1546" s="24"/>
      <c r="Q1546" s="24">
        <f t="shared" si="6"/>
        <v>0</v>
      </c>
      <c r="R1546" s="24">
        <f t="shared" si="7"/>
        <v>0</v>
      </c>
      <c r="S1546" s="24"/>
      <c r="T1546" s="24"/>
    </row>
    <row r="1547">
      <c r="A1547" s="12" t="s">
        <v>1635</v>
      </c>
      <c r="F1547" s="19">
        <f>IFERROR(__xludf.DUMMYFUNCTION("SPLIT(A1543, "" |"")"),1541.0)</f>
        <v>1541</v>
      </c>
      <c r="G1547" s="19">
        <f>IFERROR(__xludf.DUMMYFUNCTION("""COMPUTED_VALUE"""),0.00248)</f>
        <v>0.00248</v>
      </c>
      <c r="H1547" s="19" t="str">
        <f>IFERROR(__xludf.DUMMYFUNCTION("""COMPUTED_VALUE"""),"-")</f>
        <v>-</v>
      </c>
      <c r="I1547" s="19">
        <f>IFERROR(__xludf.DUMMYFUNCTION("""COMPUTED_VALUE"""),0.00222)</f>
        <v>0.00222</v>
      </c>
      <c r="J1547" s="19">
        <f>IFERROR(__xludf.DUMMYFUNCTION("""COMPUTED_VALUE"""),0.04743)</f>
        <v>0.04743</v>
      </c>
      <c r="K1547" s="19" t="str">
        <f>IFERROR(__xludf.DUMMYFUNCTION("""COMPUTED_VALUE"""),"-")</f>
        <v>-</v>
      </c>
      <c r="L1547" s="19" t="str">
        <f>IFERROR(__xludf.DUMMYFUNCTION("""COMPUTED_VALUE"""),"-")</f>
        <v>-</v>
      </c>
      <c r="O1547" s="24">
        <f t="shared" si="4"/>
        <v>0</v>
      </c>
      <c r="P1547" s="24"/>
      <c r="Q1547" s="24">
        <f t="shared" si="6"/>
        <v>0</v>
      </c>
      <c r="R1547" s="24">
        <f t="shared" si="7"/>
        <v>0</v>
      </c>
      <c r="S1547" s="24"/>
      <c r="T1547" s="24"/>
    </row>
    <row r="1548">
      <c r="A1548" s="12" t="s">
        <v>1636</v>
      </c>
      <c r="F1548" s="19">
        <f>IFERROR(__xludf.DUMMYFUNCTION("SPLIT(A1544, "" |"")"),1542.0)</f>
        <v>1542</v>
      </c>
      <c r="G1548" s="19">
        <f>IFERROR(__xludf.DUMMYFUNCTION("""COMPUTED_VALUE"""),0.00234)</f>
        <v>0.00234</v>
      </c>
      <c r="H1548" s="19" t="str">
        <f>IFERROR(__xludf.DUMMYFUNCTION("""COMPUTED_VALUE"""),"-")</f>
        <v>-</v>
      </c>
      <c r="I1548" s="19">
        <f>IFERROR(__xludf.DUMMYFUNCTION("""COMPUTED_VALUE"""),0.00215)</f>
        <v>0.00215</v>
      </c>
      <c r="J1548" s="19">
        <f>IFERROR(__xludf.DUMMYFUNCTION("""COMPUTED_VALUE"""),0.0473)</f>
        <v>0.0473</v>
      </c>
      <c r="K1548" s="19" t="str">
        <f>IFERROR(__xludf.DUMMYFUNCTION("""COMPUTED_VALUE"""),"-")</f>
        <v>-</v>
      </c>
      <c r="L1548" s="19" t="str">
        <f>IFERROR(__xludf.DUMMYFUNCTION("""COMPUTED_VALUE"""),"-")</f>
        <v>-</v>
      </c>
      <c r="O1548" s="24">
        <f t="shared" si="4"/>
        <v>0</v>
      </c>
      <c r="P1548" s="24"/>
      <c r="Q1548" s="24">
        <f t="shared" si="6"/>
        <v>0</v>
      </c>
      <c r="R1548" s="24">
        <f t="shared" si="7"/>
        <v>0</v>
      </c>
      <c r="S1548" s="24"/>
      <c r="T1548" s="24"/>
    </row>
    <row r="1549">
      <c r="A1549" s="12" t="s">
        <v>1637</v>
      </c>
      <c r="F1549" s="19">
        <f>IFERROR(__xludf.DUMMYFUNCTION("SPLIT(A1545, "" |"")"),1543.0)</f>
        <v>1543</v>
      </c>
      <c r="G1549" s="19">
        <f>IFERROR(__xludf.DUMMYFUNCTION("""COMPUTED_VALUE"""),0.00227)</f>
        <v>0.00227</v>
      </c>
      <c r="H1549" s="19" t="str">
        <f>IFERROR(__xludf.DUMMYFUNCTION("""COMPUTED_VALUE"""),"-")</f>
        <v>-</v>
      </c>
      <c r="I1549" s="19">
        <f>IFERROR(__xludf.DUMMYFUNCTION("""COMPUTED_VALUE"""),0.00218)</f>
        <v>0.00218</v>
      </c>
      <c r="J1549" s="19">
        <f>IFERROR(__xludf.DUMMYFUNCTION("""COMPUTED_VALUE"""),0.04713)</f>
        <v>0.04713</v>
      </c>
      <c r="K1549" s="19" t="str">
        <f>IFERROR(__xludf.DUMMYFUNCTION("""COMPUTED_VALUE"""),"-")</f>
        <v>-</v>
      </c>
      <c r="L1549" s="19" t="str">
        <f>IFERROR(__xludf.DUMMYFUNCTION("""COMPUTED_VALUE"""),"-")</f>
        <v>-</v>
      </c>
      <c r="O1549" s="24">
        <f t="shared" si="4"/>
        <v>0</v>
      </c>
      <c r="P1549" s="24"/>
      <c r="Q1549" s="24">
        <f t="shared" si="6"/>
        <v>0</v>
      </c>
      <c r="R1549" s="24">
        <f t="shared" si="7"/>
        <v>0</v>
      </c>
      <c r="S1549" s="24"/>
      <c r="T1549" s="24"/>
    </row>
    <row r="1550">
      <c r="A1550" s="12" t="s">
        <v>1638</v>
      </c>
      <c r="F1550" s="19">
        <f>IFERROR(__xludf.DUMMYFUNCTION("SPLIT(A1546, "" |"")"),1544.0)</f>
        <v>1544</v>
      </c>
      <c r="G1550" s="19">
        <f>IFERROR(__xludf.DUMMYFUNCTION("""COMPUTED_VALUE"""),0.00234)</f>
        <v>0.00234</v>
      </c>
      <c r="H1550" s="19" t="str">
        <f>IFERROR(__xludf.DUMMYFUNCTION("""COMPUTED_VALUE"""),"-")</f>
        <v>-</v>
      </c>
      <c r="I1550" s="19">
        <f>IFERROR(__xludf.DUMMYFUNCTION("""COMPUTED_VALUE"""),0.00221)</f>
        <v>0.00221</v>
      </c>
      <c r="J1550" s="19">
        <f>IFERROR(__xludf.DUMMYFUNCTION("""COMPUTED_VALUE"""),0.04299)</f>
        <v>0.04299</v>
      </c>
      <c r="K1550" s="19" t="str">
        <f>IFERROR(__xludf.DUMMYFUNCTION("""COMPUTED_VALUE"""),"-")</f>
        <v>-</v>
      </c>
      <c r="L1550" s="19" t="str">
        <f>IFERROR(__xludf.DUMMYFUNCTION("""COMPUTED_VALUE"""),"-")</f>
        <v>-</v>
      </c>
      <c r="O1550" s="24">
        <f t="shared" si="4"/>
        <v>0</v>
      </c>
      <c r="P1550" s="24"/>
      <c r="Q1550" s="24">
        <f t="shared" si="6"/>
        <v>0</v>
      </c>
      <c r="R1550" s="24">
        <f t="shared" si="7"/>
        <v>1</v>
      </c>
      <c r="S1550" s="24"/>
      <c r="T1550" s="24"/>
    </row>
    <row r="1551">
      <c r="A1551" s="12" t="s">
        <v>1639</v>
      </c>
      <c r="F1551" s="19">
        <f>IFERROR(__xludf.DUMMYFUNCTION("SPLIT(A1547, "" |"")"),1545.0)</f>
        <v>1545</v>
      </c>
      <c r="G1551" s="19">
        <f>IFERROR(__xludf.DUMMYFUNCTION("""COMPUTED_VALUE"""),0.00233)</f>
        <v>0.00233</v>
      </c>
      <c r="H1551" s="19" t="str">
        <f>IFERROR(__xludf.DUMMYFUNCTION("""COMPUTED_VALUE"""),"-")</f>
        <v>-</v>
      </c>
      <c r="I1551" s="19">
        <f>IFERROR(__xludf.DUMMYFUNCTION("""COMPUTED_VALUE"""),0.00222)</f>
        <v>0.00222</v>
      </c>
      <c r="J1551" s="19">
        <f>IFERROR(__xludf.DUMMYFUNCTION("""COMPUTED_VALUE"""),0.04728)</f>
        <v>0.04728</v>
      </c>
      <c r="K1551" s="19" t="str">
        <f>IFERROR(__xludf.DUMMYFUNCTION("""COMPUTED_VALUE"""),"-")</f>
        <v>-</v>
      </c>
      <c r="L1551" s="19" t="str">
        <f>IFERROR(__xludf.DUMMYFUNCTION("""COMPUTED_VALUE"""),"-")</f>
        <v>-</v>
      </c>
      <c r="O1551" s="24">
        <f t="shared" si="4"/>
        <v>0</v>
      </c>
      <c r="P1551" s="24"/>
      <c r="Q1551" s="24">
        <f t="shared" si="6"/>
        <v>0</v>
      </c>
      <c r="R1551" s="24">
        <f t="shared" si="7"/>
        <v>0</v>
      </c>
      <c r="S1551" s="24"/>
      <c r="T1551" s="24"/>
    </row>
    <row r="1552">
      <c r="A1552" s="12" t="s">
        <v>1640</v>
      </c>
      <c r="F1552" s="19">
        <f>IFERROR(__xludf.DUMMYFUNCTION("SPLIT(A1548, "" |"")"),1546.0)</f>
        <v>1546</v>
      </c>
      <c r="G1552" s="19">
        <f>IFERROR(__xludf.DUMMYFUNCTION("""COMPUTED_VALUE"""),0.00238)</f>
        <v>0.00238</v>
      </c>
      <c r="H1552" s="19" t="str">
        <f>IFERROR(__xludf.DUMMYFUNCTION("""COMPUTED_VALUE"""),"-")</f>
        <v>-</v>
      </c>
      <c r="I1552" s="19">
        <f>IFERROR(__xludf.DUMMYFUNCTION("""COMPUTED_VALUE"""),0.0022)</f>
        <v>0.0022</v>
      </c>
      <c r="J1552" s="19">
        <f>IFERROR(__xludf.DUMMYFUNCTION("""COMPUTED_VALUE"""),0.04741)</f>
        <v>0.04741</v>
      </c>
      <c r="K1552" s="19" t="str">
        <f>IFERROR(__xludf.DUMMYFUNCTION("""COMPUTED_VALUE"""),"-")</f>
        <v>-</v>
      </c>
      <c r="L1552" s="19" t="str">
        <f>IFERROR(__xludf.DUMMYFUNCTION("""COMPUTED_VALUE"""),"-")</f>
        <v>-</v>
      </c>
      <c r="O1552" s="24">
        <f t="shared" si="4"/>
        <v>0</v>
      </c>
      <c r="P1552" s="24"/>
      <c r="Q1552" s="24">
        <f t="shared" si="6"/>
        <v>0</v>
      </c>
      <c r="R1552" s="24">
        <f t="shared" si="7"/>
        <v>0</v>
      </c>
      <c r="S1552" s="24"/>
      <c r="T1552" s="24"/>
    </row>
    <row r="1553">
      <c r="A1553" s="12" t="s">
        <v>1641</v>
      </c>
      <c r="F1553" s="19">
        <f>IFERROR(__xludf.DUMMYFUNCTION("SPLIT(A1549, "" |"")"),1547.0)</f>
        <v>1547</v>
      </c>
      <c r="G1553" s="19">
        <f>IFERROR(__xludf.DUMMYFUNCTION("""COMPUTED_VALUE"""),0.00235)</f>
        <v>0.00235</v>
      </c>
      <c r="H1553" s="19" t="str">
        <f>IFERROR(__xludf.DUMMYFUNCTION("""COMPUTED_VALUE"""),"-")</f>
        <v>-</v>
      </c>
      <c r="I1553" s="19">
        <f>IFERROR(__xludf.DUMMYFUNCTION("""COMPUTED_VALUE"""),0.00219)</f>
        <v>0.00219</v>
      </c>
      <c r="J1553" s="19">
        <f>IFERROR(__xludf.DUMMYFUNCTION("""COMPUTED_VALUE"""),0.04744)</f>
        <v>0.04744</v>
      </c>
      <c r="K1553" s="19" t="str">
        <f>IFERROR(__xludf.DUMMYFUNCTION("""COMPUTED_VALUE"""),"-")</f>
        <v>-</v>
      </c>
      <c r="L1553" s="19" t="str">
        <f>IFERROR(__xludf.DUMMYFUNCTION("""COMPUTED_VALUE"""),"-")</f>
        <v>-</v>
      </c>
      <c r="O1553" s="24">
        <f t="shared" si="4"/>
        <v>0</v>
      </c>
      <c r="P1553" s="24"/>
      <c r="Q1553" s="24">
        <f t="shared" si="6"/>
        <v>0</v>
      </c>
      <c r="R1553" s="24">
        <f t="shared" si="7"/>
        <v>0</v>
      </c>
      <c r="S1553" s="24"/>
      <c r="T1553" s="24"/>
    </row>
    <row r="1554">
      <c r="A1554" s="12" t="s">
        <v>1642</v>
      </c>
      <c r="F1554" s="19">
        <f>IFERROR(__xludf.DUMMYFUNCTION("SPLIT(A1550, "" |"")"),1548.0)</f>
        <v>1548</v>
      </c>
      <c r="G1554" s="19">
        <f>IFERROR(__xludf.DUMMYFUNCTION("""COMPUTED_VALUE"""),0.00236)</f>
        <v>0.00236</v>
      </c>
      <c r="H1554" s="19" t="str">
        <f>IFERROR(__xludf.DUMMYFUNCTION("""COMPUTED_VALUE"""),"-")</f>
        <v>-</v>
      </c>
      <c r="I1554" s="19">
        <f>IFERROR(__xludf.DUMMYFUNCTION("""COMPUTED_VALUE"""),0.00222)</f>
        <v>0.00222</v>
      </c>
      <c r="J1554" s="19">
        <f>IFERROR(__xludf.DUMMYFUNCTION("""COMPUTED_VALUE"""),0.04748)</f>
        <v>0.04748</v>
      </c>
      <c r="K1554" s="19" t="str">
        <f>IFERROR(__xludf.DUMMYFUNCTION("""COMPUTED_VALUE"""),"-")</f>
        <v>-</v>
      </c>
      <c r="L1554" s="19" t="str">
        <f>IFERROR(__xludf.DUMMYFUNCTION("""COMPUTED_VALUE"""),"-")</f>
        <v>-</v>
      </c>
      <c r="O1554" s="24">
        <f t="shared" si="4"/>
        <v>0</v>
      </c>
      <c r="P1554" s="24"/>
      <c r="Q1554" s="24">
        <f t="shared" si="6"/>
        <v>0</v>
      </c>
      <c r="R1554" s="24">
        <f t="shared" si="7"/>
        <v>0</v>
      </c>
      <c r="S1554" s="24"/>
      <c r="T1554" s="24"/>
    </row>
    <row r="1555">
      <c r="A1555" s="12" t="s">
        <v>1643</v>
      </c>
      <c r="F1555" s="19">
        <f>IFERROR(__xludf.DUMMYFUNCTION("SPLIT(A1551, "" |"")"),1549.0)</f>
        <v>1549</v>
      </c>
      <c r="G1555" s="19">
        <f>IFERROR(__xludf.DUMMYFUNCTION("""COMPUTED_VALUE"""),0.00235)</f>
        <v>0.00235</v>
      </c>
      <c r="H1555" s="19" t="str">
        <f>IFERROR(__xludf.DUMMYFUNCTION("""COMPUTED_VALUE"""),"-")</f>
        <v>-</v>
      </c>
      <c r="I1555" s="19">
        <f>IFERROR(__xludf.DUMMYFUNCTION("""COMPUTED_VALUE"""),0.00226)</f>
        <v>0.00226</v>
      </c>
      <c r="J1555" s="19">
        <f>IFERROR(__xludf.DUMMYFUNCTION("""COMPUTED_VALUE"""),0.04739)</f>
        <v>0.04739</v>
      </c>
      <c r="K1555" s="19" t="str">
        <f>IFERROR(__xludf.DUMMYFUNCTION("""COMPUTED_VALUE"""),"-")</f>
        <v>-</v>
      </c>
      <c r="L1555" s="19" t="str">
        <f>IFERROR(__xludf.DUMMYFUNCTION("""COMPUTED_VALUE"""),"-")</f>
        <v>-</v>
      </c>
      <c r="O1555" s="24">
        <f t="shared" si="4"/>
        <v>0</v>
      </c>
      <c r="P1555" s="24"/>
      <c r="Q1555" s="24">
        <f t="shared" si="6"/>
        <v>0</v>
      </c>
      <c r="R1555" s="24">
        <f t="shared" si="7"/>
        <v>0</v>
      </c>
      <c r="S1555" s="24"/>
      <c r="T1555" s="24"/>
    </row>
    <row r="1556">
      <c r="A1556" s="12" t="s">
        <v>1644</v>
      </c>
      <c r="F1556" s="19">
        <f>IFERROR(__xludf.DUMMYFUNCTION("SPLIT(A1552, "" |"")"),1550.0)</f>
        <v>1550</v>
      </c>
      <c r="G1556" s="19">
        <f>IFERROR(__xludf.DUMMYFUNCTION("""COMPUTED_VALUE"""),0.00244)</f>
        <v>0.00244</v>
      </c>
      <c r="H1556" s="19" t="str">
        <f>IFERROR(__xludf.DUMMYFUNCTION("""COMPUTED_VALUE"""),"-")</f>
        <v>-</v>
      </c>
      <c r="I1556" s="19">
        <f>IFERROR(__xludf.DUMMYFUNCTION("""COMPUTED_VALUE"""),0.00228)</f>
        <v>0.00228</v>
      </c>
      <c r="J1556" s="19">
        <f>IFERROR(__xludf.DUMMYFUNCTION("""COMPUTED_VALUE"""),0.04741)</f>
        <v>0.04741</v>
      </c>
      <c r="K1556" s="19" t="str">
        <f>IFERROR(__xludf.DUMMYFUNCTION("""COMPUTED_VALUE"""),"-")</f>
        <v>-</v>
      </c>
      <c r="L1556" s="19" t="str">
        <f>IFERROR(__xludf.DUMMYFUNCTION("""COMPUTED_VALUE"""),"-")</f>
        <v>-</v>
      </c>
      <c r="O1556" s="24">
        <f t="shared" si="4"/>
        <v>0</v>
      </c>
      <c r="P1556" s="24"/>
      <c r="Q1556" s="24">
        <f t="shared" si="6"/>
        <v>0</v>
      </c>
      <c r="R1556" s="24">
        <f t="shared" si="7"/>
        <v>0</v>
      </c>
      <c r="S1556" s="24"/>
      <c r="T1556" s="24"/>
    </row>
    <row r="1557">
      <c r="A1557" s="12" t="s">
        <v>1645</v>
      </c>
      <c r="F1557" s="19">
        <f>IFERROR(__xludf.DUMMYFUNCTION("SPLIT(A1553, "" |"")"),1551.0)</f>
        <v>1551</v>
      </c>
      <c r="G1557" s="19">
        <f>IFERROR(__xludf.DUMMYFUNCTION("""COMPUTED_VALUE"""),0.00225)</f>
        <v>0.00225</v>
      </c>
      <c r="H1557" s="19" t="str">
        <f>IFERROR(__xludf.DUMMYFUNCTION("""COMPUTED_VALUE"""),"-")</f>
        <v>-</v>
      </c>
      <c r="I1557" s="19">
        <f>IFERROR(__xludf.DUMMYFUNCTION("""COMPUTED_VALUE"""),0.00222)</f>
        <v>0.00222</v>
      </c>
      <c r="J1557" s="19">
        <f>IFERROR(__xludf.DUMMYFUNCTION("""COMPUTED_VALUE"""),0.04149)</f>
        <v>0.04149</v>
      </c>
      <c r="K1557" s="19" t="str">
        <f>IFERROR(__xludf.DUMMYFUNCTION("""COMPUTED_VALUE"""),"-")</f>
        <v>-</v>
      </c>
      <c r="L1557" s="19" t="str">
        <f>IFERROR(__xludf.DUMMYFUNCTION("""COMPUTED_VALUE"""),"-")</f>
        <v>-</v>
      </c>
      <c r="O1557" s="24">
        <f t="shared" si="4"/>
        <v>0</v>
      </c>
      <c r="P1557" s="24"/>
      <c r="Q1557" s="24">
        <f t="shared" si="6"/>
        <v>0</v>
      </c>
      <c r="R1557" s="24">
        <f t="shared" si="7"/>
        <v>1</v>
      </c>
      <c r="S1557" s="24"/>
      <c r="T1557" s="24"/>
    </row>
    <row r="1558">
      <c r="A1558" s="12" t="s">
        <v>1646</v>
      </c>
      <c r="F1558" s="19">
        <f>IFERROR(__xludf.DUMMYFUNCTION("SPLIT(A1554, "" |"")"),1552.0)</f>
        <v>1552</v>
      </c>
      <c r="G1558" s="19">
        <f>IFERROR(__xludf.DUMMYFUNCTION("""COMPUTED_VALUE"""),0.00236)</f>
        <v>0.00236</v>
      </c>
      <c r="H1558" s="19" t="str">
        <f>IFERROR(__xludf.DUMMYFUNCTION("""COMPUTED_VALUE"""),"-")</f>
        <v>-</v>
      </c>
      <c r="I1558" s="19">
        <f>IFERROR(__xludf.DUMMYFUNCTION("""COMPUTED_VALUE"""),0.0022)</f>
        <v>0.0022</v>
      </c>
      <c r="J1558" s="19">
        <f>IFERROR(__xludf.DUMMYFUNCTION("""COMPUTED_VALUE"""),0.04743)</f>
        <v>0.04743</v>
      </c>
      <c r="K1558" s="19" t="str">
        <f>IFERROR(__xludf.DUMMYFUNCTION("""COMPUTED_VALUE"""),"-")</f>
        <v>-</v>
      </c>
      <c r="L1558" s="19" t="str">
        <f>IFERROR(__xludf.DUMMYFUNCTION("""COMPUTED_VALUE"""),"-")</f>
        <v>-</v>
      </c>
      <c r="O1558" s="24">
        <f t="shared" si="4"/>
        <v>0</v>
      </c>
      <c r="P1558" s="24"/>
      <c r="Q1558" s="24">
        <f t="shared" si="6"/>
        <v>0</v>
      </c>
      <c r="R1558" s="24">
        <f t="shared" si="7"/>
        <v>0</v>
      </c>
      <c r="S1558" s="24"/>
      <c r="T1558" s="24"/>
    </row>
    <row r="1559">
      <c r="A1559" s="12" t="s">
        <v>1647</v>
      </c>
      <c r="F1559" s="19">
        <f>IFERROR(__xludf.DUMMYFUNCTION("SPLIT(A1555, "" |"")"),1553.0)</f>
        <v>1553</v>
      </c>
      <c r="G1559" s="19">
        <f>IFERROR(__xludf.DUMMYFUNCTION("""COMPUTED_VALUE"""),0.00235)</f>
        <v>0.00235</v>
      </c>
      <c r="H1559" s="19" t="str">
        <f>IFERROR(__xludf.DUMMYFUNCTION("""COMPUTED_VALUE"""),"-")</f>
        <v>-</v>
      </c>
      <c r="I1559" s="19">
        <f>IFERROR(__xludf.DUMMYFUNCTION("""COMPUTED_VALUE"""),0.00223)</f>
        <v>0.00223</v>
      </c>
      <c r="J1559" s="19">
        <f>IFERROR(__xludf.DUMMYFUNCTION("""COMPUTED_VALUE"""),0.04596)</f>
        <v>0.04596</v>
      </c>
      <c r="K1559" s="19" t="str">
        <f>IFERROR(__xludf.DUMMYFUNCTION("""COMPUTED_VALUE"""),"-")</f>
        <v>-</v>
      </c>
      <c r="L1559" s="19" t="str">
        <f>IFERROR(__xludf.DUMMYFUNCTION("""COMPUTED_VALUE"""),"-")</f>
        <v>-</v>
      </c>
      <c r="O1559" s="24">
        <f t="shared" si="4"/>
        <v>0</v>
      </c>
      <c r="P1559" s="24"/>
      <c r="Q1559" s="24">
        <f t="shared" si="6"/>
        <v>0</v>
      </c>
      <c r="R1559" s="24">
        <f t="shared" si="7"/>
        <v>0</v>
      </c>
      <c r="S1559" s="24"/>
      <c r="T1559" s="24"/>
    </row>
    <row r="1560">
      <c r="A1560" s="12" t="s">
        <v>1648</v>
      </c>
      <c r="F1560" s="19">
        <f>IFERROR(__xludf.DUMMYFUNCTION("SPLIT(A1556, "" |"")"),1554.0)</f>
        <v>1554</v>
      </c>
      <c r="G1560" s="19">
        <f>IFERROR(__xludf.DUMMYFUNCTION("""COMPUTED_VALUE"""),0.00239)</f>
        <v>0.00239</v>
      </c>
      <c r="H1560" s="19" t="str">
        <f>IFERROR(__xludf.DUMMYFUNCTION("""COMPUTED_VALUE"""),"-")</f>
        <v>-</v>
      </c>
      <c r="I1560" s="19">
        <f>IFERROR(__xludf.DUMMYFUNCTION("""COMPUTED_VALUE"""),0.00221)</f>
        <v>0.00221</v>
      </c>
      <c r="J1560" s="19">
        <f>IFERROR(__xludf.DUMMYFUNCTION("""COMPUTED_VALUE"""),0.04387)</f>
        <v>0.04387</v>
      </c>
      <c r="K1560" s="19" t="str">
        <f>IFERROR(__xludf.DUMMYFUNCTION("""COMPUTED_VALUE"""),"-")</f>
        <v>-</v>
      </c>
      <c r="L1560" s="19" t="str">
        <f>IFERROR(__xludf.DUMMYFUNCTION("""COMPUTED_VALUE"""),"-")</f>
        <v>-</v>
      </c>
      <c r="O1560" s="24">
        <f t="shared" si="4"/>
        <v>0</v>
      </c>
      <c r="P1560" s="24"/>
      <c r="Q1560" s="24">
        <f t="shared" si="6"/>
        <v>0</v>
      </c>
      <c r="R1560" s="24">
        <f t="shared" si="7"/>
        <v>1</v>
      </c>
      <c r="S1560" s="24"/>
      <c r="T1560" s="24"/>
    </row>
    <row r="1561">
      <c r="A1561" s="12" t="s">
        <v>1649</v>
      </c>
      <c r="F1561" s="19">
        <f>IFERROR(__xludf.DUMMYFUNCTION("SPLIT(A1557, "" |"")"),1555.0)</f>
        <v>1555</v>
      </c>
      <c r="G1561" s="19">
        <f>IFERROR(__xludf.DUMMYFUNCTION("""COMPUTED_VALUE"""),0.00232)</f>
        <v>0.00232</v>
      </c>
      <c r="H1561" s="19" t="str">
        <f>IFERROR(__xludf.DUMMYFUNCTION("""COMPUTED_VALUE"""),"-")</f>
        <v>-</v>
      </c>
      <c r="I1561" s="19">
        <f>IFERROR(__xludf.DUMMYFUNCTION("""COMPUTED_VALUE"""),0.0022)</f>
        <v>0.0022</v>
      </c>
      <c r="J1561" s="19">
        <f>IFERROR(__xludf.DUMMYFUNCTION("""COMPUTED_VALUE"""),0.04746)</f>
        <v>0.04746</v>
      </c>
      <c r="K1561" s="19" t="str">
        <f>IFERROR(__xludf.DUMMYFUNCTION("""COMPUTED_VALUE"""),"-")</f>
        <v>-</v>
      </c>
      <c r="L1561" s="19" t="str">
        <f>IFERROR(__xludf.DUMMYFUNCTION("""COMPUTED_VALUE"""),"-")</f>
        <v>-</v>
      </c>
      <c r="O1561" s="24">
        <f t="shared" si="4"/>
        <v>0</v>
      </c>
      <c r="P1561" s="24"/>
      <c r="Q1561" s="24">
        <f t="shared" si="6"/>
        <v>0</v>
      </c>
      <c r="R1561" s="24">
        <f t="shared" si="7"/>
        <v>0</v>
      </c>
      <c r="S1561" s="24"/>
      <c r="T1561" s="24"/>
    </row>
    <row r="1562">
      <c r="A1562" s="12" t="s">
        <v>1650</v>
      </c>
      <c r="F1562" s="19">
        <f>IFERROR(__xludf.DUMMYFUNCTION("SPLIT(A1558, "" |"")"),1556.0)</f>
        <v>1556</v>
      </c>
      <c r="G1562" s="19">
        <f>IFERROR(__xludf.DUMMYFUNCTION("""COMPUTED_VALUE"""),0.00232)</f>
        <v>0.00232</v>
      </c>
      <c r="H1562" s="19" t="str">
        <f>IFERROR(__xludf.DUMMYFUNCTION("""COMPUTED_VALUE"""),"-")</f>
        <v>-</v>
      </c>
      <c r="I1562" s="19">
        <f>IFERROR(__xludf.DUMMYFUNCTION("""COMPUTED_VALUE"""),0.00221)</f>
        <v>0.00221</v>
      </c>
      <c r="J1562" s="19">
        <f>IFERROR(__xludf.DUMMYFUNCTION("""COMPUTED_VALUE"""),0.04748)</f>
        <v>0.04748</v>
      </c>
      <c r="K1562" s="19" t="str">
        <f>IFERROR(__xludf.DUMMYFUNCTION("""COMPUTED_VALUE"""),"-")</f>
        <v>-</v>
      </c>
      <c r="L1562" s="19" t="str">
        <f>IFERROR(__xludf.DUMMYFUNCTION("""COMPUTED_VALUE"""),"-")</f>
        <v>-</v>
      </c>
      <c r="O1562" s="24">
        <f t="shared" si="4"/>
        <v>0</v>
      </c>
      <c r="P1562" s="24"/>
      <c r="Q1562" s="24">
        <f t="shared" si="6"/>
        <v>0</v>
      </c>
      <c r="R1562" s="24">
        <f t="shared" si="7"/>
        <v>0</v>
      </c>
      <c r="S1562" s="24"/>
      <c r="T1562" s="24"/>
    </row>
    <row r="1563">
      <c r="A1563" s="12" t="s">
        <v>1651</v>
      </c>
      <c r="F1563" s="19">
        <f>IFERROR(__xludf.DUMMYFUNCTION("SPLIT(A1559, "" |"")"),1557.0)</f>
        <v>1557</v>
      </c>
      <c r="G1563" s="19">
        <f>IFERROR(__xludf.DUMMYFUNCTION("""COMPUTED_VALUE"""),0.00237)</f>
        <v>0.00237</v>
      </c>
      <c r="H1563" s="19" t="str">
        <f>IFERROR(__xludf.DUMMYFUNCTION("""COMPUTED_VALUE"""),"-")</f>
        <v>-</v>
      </c>
      <c r="I1563" s="19">
        <f>IFERROR(__xludf.DUMMYFUNCTION("""COMPUTED_VALUE"""),0.00222)</f>
        <v>0.00222</v>
      </c>
      <c r="J1563" s="19">
        <f>IFERROR(__xludf.DUMMYFUNCTION("""COMPUTED_VALUE"""),0.03971)</f>
        <v>0.03971</v>
      </c>
      <c r="K1563" s="19" t="str">
        <f>IFERROR(__xludf.DUMMYFUNCTION("""COMPUTED_VALUE"""),"-")</f>
        <v>-</v>
      </c>
      <c r="L1563" s="19" t="str">
        <f>IFERROR(__xludf.DUMMYFUNCTION("""COMPUTED_VALUE"""),"-")</f>
        <v>-</v>
      </c>
      <c r="O1563" s="24">
        <f t="shared" si="4"/>
        <v>0</v>
      </c>
      <c r="P1563" s="24"/>
      <c r="Q1563" s="24">
        <f t="shared" si="6"/>
        <v>0</v>
      </c>
      <c r="R1563" s="24">
        <f t="shared" si="7"/>
        <v>1</v>
      </c>
      <c r="S1563" s="24"/>
      <c r="T1563" s="24"/>
    </row>
    <row r="1564">
      <c r="A1564" s="12" t="s">
        <v>1652</v>
      </c>
      <c r="F1564" s="19">
        <f>IFERROR(__xludf.DUMMYFUNCTION("SPLIT(A1560, "" |"")"),1558.0)</f>
        <v>1558</v>
      </c>
      <c r="G1564" s="19">
        <f>IFERROR(__xludf.DUMMYFUNCTION("""COMPUTED_VALUE"""),0.00231)</f>
        <v>0.00231</v>
      </c>
      <c r="H1564" s="19" t="str">
        <f>IFERROR(__xludf.DUMMYFUNCTION("""COMPUTED_VALUE"""),"-")</f>
        <v>-</v>
      </c>
      <c r="I1564" s="19">
        <f>IFERROR(__xludf.DUMMYFUNCTION("""COMPUTED_VALUE"""),0.00219)</f>
        <v>0.00219</v>
      </c>
      <c r="J1564" s="19">
        <f>IFERROR(__xludf.DUMMYFUNCTION("""COMPUTED_VALUE"""),0.04751)</f>
        <v>0.04751</v>
      </c>
      <c r="K1564" s="19" t="str">
        <f>IFERROR(__xludf.DUMMYFUNCTION("""COMPUTED_VALUE"""),"-")</f>
        <v>-</v>
      </c>
      <c r="L1564" s="19" t="str">
        <f>IFERROR(__xludf.DUMMYFUNCTION("""COMPUTED_VALUE"""),"-")</f>
        <v>-</v>
      </c>
      <c r="O1564" s="24">
        <f t="shared" si="4"/>
        <v>0</v>
      </c>
      <c r="P1564" s="24"/>
      <c r="Q1564" s="24">
        <f t="shared" si="6"/>
        <v>0</v>
      </c>
      <c r="R1564" s="24">
        <f t="shared" si="7"/>
        <v>0</v>
      </c>
      <c r="S1564" s="24"/>
      <c r="T1564" s="24"/>
    </row>
    <row r="1565">
      <c r="A1565" s="12" t="s">
        <v>1653</v>
      </c>
      <c r="F1565" s="19">
        <f>IFERROR(__xludf.DUMMYFUNCTION("SPLIT(A1561, "" |"")"),1559.0)</f>
        <v>1559</v>
      </c>
      <c r="G1565" s="19">
        <f>IFERROR(__xludf.DUMMYFUNCTION("""COMPUTED_VALUE"""),0.00237)</f>
        <v>0.00237</v>
      </c>
      <c r="H1565" s="19" t="str">
        <f>IFERROR(__xludf.DUMMYFUNCTION("""COMPUTED_VALUE"""),"-")</f>
        <v>-</v>
      </c>
      <c r="I1565" s="19">
        <f>IFERROR(__xludf.DUMMYFUNCTION("""COMPUTED_VALUE"""),0.00222)</f>
        <v>0.00222</v>
      </c>
      <c r="J1565" s="19">
        <f>IFERROR(__xludf.DUMMYFUNCTION("""COMPUTED_VALUE"""),0.04743)</f>
        <v>0.04743</v>
      </c>
      <c r="K1565" s="19" t="str">
        <f>IFERROR(__xludf.DUMMYFUNCTION("""COMPUTED_VALUE"""),"-")</f>
        <v>-</v>
      </c>
      <c r="L1565" s="19" t="str">
        <f>IFERROR(__xludf.DUMMYFUNCTION("""COMPUTED_VALUE"""),"-")</f>
        <v>-</v>
      </c>
      <c r="O1565" s="24">
        <f t="shared" si="4"/>
        <v>0</v>
      </c>
      <c r="P1565" s="24"/>
      <c r="Q1565" s="24">
        <f t="shared" si="6"/>
        <v>0</v>
      </c>
      <c r="R1565" s="24">
        <f t="shared" si="7"/>
        <v>0</v>
      </c>
      <c r="S1565" s="24"/>
      <c r="T1565" s="24"/>
    </row>
    <row r="1566">
      <c r="A1566" s="12" t="s">
        <v>1654</v>
      </c>
      <c r="F1566" s="19">
        <f>IFERROR(__xludf.DUMMYFUNCTION("SPLIT(A1562, "" |"")"),1560.0)</f>
        <v>1560</v>
      </c>
      <c r="G1566" s="19">
        <f>IFERROR(__xludf.DUMMYFUNCTION("""COMPUTED_VALUE"""),0.00242)</f>
        <v>0.00242</v>
      </c>
      <c r="H1566" s="19" t="str">
        <f>IFERROR(__xludf.DUMMYFUNCTION("""COMPUTED_VALUE"""),"-")</f>
        <v>-</v>
      </c>
      <c r="I1566" s="19">
        <f>IFERROR(__xludf.DUMMYFUNCTION("""COMPUTED_VALUE"""),0.00227)</f>
        <v>0.00227</v>
      </c>
      <c r="J1566" s="19">
        <f>IFERROR(__xludf.DUMMYFUNCTION("""COMPUTED_VALUE"""),0.04744)</f>
        <v>0.04744</v>
      </c>
      <c r="K1566" s="19" t="str">
        <f>IFERROR(__xludf.DUMMYFUNCTION("""COMPUTED_VALUE"""),"-")</f>
        <v>-</v>
      </c>
      <c r="L1566" s="19" t="str">
        <f>IFERROR(__xludf.DUMMYFUNCTION("""COMPUTED_VALUE"""),"-")</f>
        <v>-</v>
      </c>
      <c r="O1566" s="24">
        <f t="shared" si="4"/>
        <v>0</v>
      </c>
      <c r="P1566" s="24"/>
      <c r="Q1566" s="24">
        <f t="shared" si="6"/>
        <v>0</v>
      </c>
      <c r="R1566" s="24">
        <f t="shared" si="7"/>
        <v>0</v>
      </c>
      <c r="S1566" s="24"/>
      <c r="T1566" s="24"/>
    </row>
    <row r="1567">
      <c r="A1567" s="12" t="s">
        <v>1655</v>
      </c>
      <c r="F1567" s="19">
        <f>IFERROR(__xludf.DUMMYFUNCTION("SPLIT(A1563, "" |"")"),1561.0)</f>
        <v>1561</v>
      </c>
      <c r="G1567" s="19">
        <f>IFERROR(__xludf.DUMMYFUNCTION("""COMPUTED_VALUE"""),0.00235)</f>
        <v>0.00235</v>
      </c>
      <c r="H1567" s="19" t="str">
        <f>IFERROR(__xludf.DUMMYFUNCTION("""COMPUTED_VALUE"""),"-")</f>
        <v>-</v>
      </c>
      <c r="I1567" s="19">
        <f>IFERROR(__xludf.DUMMYFUNCTION("""COMPUTED_VALUE"""),0.00225)</f>
        <v>0.00225</v>
      </c>
      <c r="J1567" s="19">
        <f>IFERROR(__xludf.DUMMYFUNCTION("""COMPUTED_VALUE"""),0.04659)</f>
        <v>0.04659</v>
      </c>
      <c r="K1567" s="19" t="str">
        <f>IFERROR(__xludf.DUMMYFUNCTION("""COMPUTED_VALUE"""),"-")</f>
        <v>-</v>
      </c>
      <c r="L1567" s="19" t="str">
        <f>IFERROR(__xludf.DUMMYFUNCTION("""COMPUTED_VALUE"""),"-")</f>
        <v>-</v>
      </c>
      <c r="O1567" s="24">
        <f t="shared" si="4"/>
        <v>0</v>
      </c>
      <c r="P1567" s="24"/>
      <c r="Q1567" s="24">
        <f t="shared" si="6"/>
        <v>0</v>
      </c>
      <c r="R1567" s="24">
        <f t="shared" si="7"/>
        <v>0</v>
      </c>
      <c r="S1567" s="24"/>
      <c r="T1567" s="24"/>
    </row>
    <row r="1568">
      <c r="A1568" s="12" t="s">
        <v>1656</v>
      </c>
      <c r="F1568" s="19">
        <f>IFERROR(__xludf.DUMMYFUNCTION("SPLIT(A1564, "" |"")"),1562.0)</f>
        <v>1562</v>
      </c>
      <c r="G1568" s="19">
        <f>IFERROR(__xludf.DUMMYFUNCTION("""COMPUTED_VALUE"""),0.00247)</f>
        <v>0.00247</v>
      </c>
      <c r="H1568" s="19" t="str">
        <f>IFERROR(__xludf.DUMMYFUNCTION("""COMPUTED_VALUE"""),"-")</f>
        <v>-</v>
      </c>
      <c r="I1568" s="19">
        <f>IFERROR(__xludf.DUMMYFUNCTION("""COMPUTED_VALUE"""),0.00223)</f>
        <v>0.00223</v>
      </c>
      <c r="J1568" s="19">
        <f>IFERROR(__xludf.DUMMYFUNCTION("""COMPUTED_VALUE"""),0.04747)</f>
        <v>0.04747</v>
      </c>
      <c r="K1568" s="19" t="str">
        <f>IFERROR(__xludf.DUMMYFUNCTION("""COMPUTED_VALUE"""),"-")</f>
        <v>-</v>
      </c>
      <c r="L1568" s="19" t="str">
        <f>IFERROR(__xludf.DUMMYFUNCTION("""COMPUTED_VALUE"""),"-")</f>
        <v>-</v>
      </c>
      <c r="O1568" s="24">
        <f t="shared" si="4"/>
        <v>0</v>
      </c>
      <c r="P1568" s="24"/>
      <c r="Q1568" s="24">
        <f t="shared" si="6"/>
        <v>0</v>
      </c>
      <c r="R1568" s="24">
        <f t="shared" si="7"/>
        <v>0</v>
      </c>
      <c r="S1568" s="24"/>
      <c r="T1568" s="24"/>
    </row>
    <row r="1569">
      <c r="A1569" s="12" t="s">
        <v>1657</v>
      </c>
      <c r="F1569" s="19">
        <f>IFERROR(__xludf.DUMMYFUNCTION("SPLIT(A1565, "" |"")"),1563.0)</f>
        <v>1563</v>
      </c>
      <c r="G1569" s="19">
        <f>IFERROR(__xludf.DUMMYFUNCTION("""COMPUTED_VALUE"""),0.00233)</f>
        <v>0.00233</v>
      </c>
      <c r="H1569" s="19" t="str">
        <f>IFERROR(__xludf.DUMMYFUNCTION("""COMPUTED_VALUE"""),"-")</f>
        <v>-</v>
      </c>
      <c r="I1569" s="19">
        <f>IFERROR(__xludf.DUMMYFUNCTION("""COMPUTED_VALUE"""),0.0022)</f>
        <v>0.0022</v>
      </c>
      <c r="J1569" s="19">
        <f>IFERROR(__xludf.DUMMYFUNCTION("""COMPUTED_VALUE"""),0.04746)</f>
        <v>0.04746</v>
      </c>
      <c r="K1569" s="19" t="str">
        <f>IFERROR(__xludf.DUMMYFUNCTION("""COMPUTED_VALUE"""),"-")</f>
        <v>-</v>
      </c>
      <c r="L1569" s="19" t="str">
        <f>IFERROR(__xludf.DUMMYFUNCTION("""COMPUTED_VALUE"""),"-")</f>
        <v>-</v>
      </c>
      <c r="O1569" s="24">
        <f t="shared" si="4"/>
        <v>0</v>
      </c>
      <c r="P1569" s="24"/>
      <c r="Q1569" s="24">
        <f t="shared" si="6"/>
        <v>0</v>
      </c>
      <c r="R1569" s="24">
        <f t="shared" si="7"/>
        <v>0</v>
      </c>
      <c r="S1569" s="24"/>
      <c r="T1569" s="24"/>
    </row>
    <row r="1570">
      <c r="A1570" s="12" t="s">
        <v>1658</v>
      </c>
      <c r="F1570" s="19">
        <f>IFERROR(__xludf.DUMMYFUNCTION("SPLIT(A1566, "" |"")"),1564.0)</f>
        <v>1564</v>
      </c>
      <c r="G1570" s="19">
        <f>IFERROR(__xludf.DUMMYFUNCTION("""COMPUTED_VALUE"""),0.00234)</f>
        <v>0.00234</v>
      </c>
      <c r="H1570" s="19" t="str">
        <f>IFERROR(__xludf.DUMMYFUNCTION("""COMPUTED_VALUE"""),"-")</f>
        <v>-</v>
      </c>
      <c r="I1570" s="19">
        <f>IFERROR(__xludf.DUMMYFUNCTION("""COMPUTED_VALUE"""),0.0022)</f>
        <v>0.0022</v>
      </c>
      <c r="J1570" s="19">
        <f>IFERROR(__xludf.DUMMYFUNCTION("""COMPUTED_VALUE"""),0.0446)</f>
        <v>0.0446</v>
      </c>
      <c r="K1570" s="19" t="str">
        <f>IFERROR(__xludf.DUMMYFUNCTION("""COMPUTED_VALUE"""),"-")</f>
        <v>-</v>
      </c>
      <c r="L1570" s="19" t="str">
        <f>IFERROR(__xludf.DUMMYFUNCTION("""COMPUTED_VALUE"""),"-")</f>
        <v>-</v>
      </c>
      <c r="O1570" s="24">
        <f t="shared" si="4"/>
        <v>0</v>
      </c>
      <c r="P1570" s="24"/>
      <c r="Q1570" s="24">
        <f t="shared" si="6"/>
        <v>0</v>
      </c>
      <c r="R1570" s="24">
        <f t="shared" si="7"/>
        <v>1</v>
      </c>
      <c r="S1570" s="24"/>
      <c r="T1570" s="24"/>
    </row>
    <row r="1571">
      <c r="A1571" s="12" t="s">
        <v>1659</v>
      </c>
      <c r="F1571" s="19">
        <f>IFERROR(__xludf.DUMMYFUNCTION("SPLIT(A1567, "" |"")"),1565.0)</f>
        <v>1565</v>
      </c>
      <c r="G1571" s="19">
        <f>IFERROR(__xludf.DUMMYFUNCTION("""COMPUTED_VALUE"""),0.00235)</f>
        <v>0.00235</v>
      </c>
      <c r="H1571" s="19" t="str">
        <f>IFERROR(__xludf.DUMMYFUNCTION("""COMPUTED_VALUE"""),"-")</f>
        <v>-</v>
      </c>
      <c r="I1571" s="19">
        <f>IFERROR(__xludf.DUMMYFUNCTION("""COMPUTED_VALUE"""),0.00224)</f>
        <v>0.00224</v>
      </c>
      <c r="J1571" s="19">
        <f>IFERROR(__xludf.DUMMYFUNCTION("""COMPUTED_VALUE"""),0.04747)</f>
        <v>0.04747</v>
      </c>
      <c r="K1571" s="19" t="str">
        <f>IFERROR(__xludf.DUMMYFUNCTION("""COMPUTED_VALUE"""),"-")</f>
        <v>-</v>
      </c>
      <c r="L1571" s="19" t="str">
        <f>IFERROR(__xludf.DUMMYFUNCTION("""COMPUTED_VALUE"""),"-")</f>
        <v>-</v>
      </c>
      <c r="O1571" s="24">
        <f t="shared" si="4"/>
        <v>0</v>
      </c>
      <c r="P1571" s="24"/>
      <c r="Q1571" s="24">
        <f t="shared" si="6"/>
        <v>0</v>
      </c>
      <c r="R1571" s="24">
        <f t="shared" si="7"/>
        <v>0</v>
      </c>
      <c r="S1571" s="24"/>
      <c r="T1571" s="24"/>
    </row>
    <row r="1572">
      <c r="A1572" s="12" t="s">
        <v>1660</v>
      </c>
      <c r="F1572" s="19">
        <f>IFERROR(__xludf.DUMMYFUNCTION("SPLIT(A1568, "" |"")"),1566.0)</f>
        <v>1566</v>
      </c>
      <c r="G1572" s="19">
        <f>IFERROR(__xludf.DUMMYFUNCTION("""COMPUTED_VALUE"""),0.00224)</f>
        <v>0.00224</v>
      </c>
      <c r="H1572" s="19" t="str">
        <f>IFERROR(__xludf.DUMMYFUNCTION("""COMPUTED_VALUE"""),"-")</f>
        <v>-</v>
      </c>
      <c r="I1572" s="19">
        <f>IFERROR(__xludf.DUMMYFUNCTION("""COMPUTED_VALUE"""),0.00227)</f>
        <v>0.00227</v>
      </c>
      <c r="J1572" s="19">
        <f>IFERROR(__xludf.DUMMYFUNCTION("""COMPUTED_VALUE"""),0.04747)</f>
        <v>0.04747</v>
      </c>
      <c r="K1572" s="19" t="str">
        <f>IFERROR(__xludf.DUMMYFUNCTION("""COMPUTED_VALUE"""),"-")</f>
        <v>-</v>
      </c>
      <c r="L1572" s="19" t="str">
        <f>IFERROR(__xludf.DUMMYFUNCTION("""COMPUTED_VALUE"""),"-")</f>
        <v>-</v>
      </c>
      <c r="O1572" s="24">
        <f t="shared" si="4"/>
        <v>0</v>
      </c>
      <c r="P1572" s="24"/>
      <c r="Q1572" s="24">
        <f t="shared" si="6"/>
        <v>0</v>
      </c>
      <c r="R1572" s="24">
        <f t="shared" si="7"/>
        <v>0</v>
      </c>
      <c r="S1572" s="24"/>
      <c r="T1572" s="24"/>
    </row>
    <row r="1573">
      <c r="A1573" s="12" t="s">
        <v>1661</v>
      </c>
      <c r="F1573" s="19">
        <f>IFERROR(__xludf.DUMMYFUNCTION("SPLIT(A1569, "" |"")"),1567.0)</f>
        <v>1567</v>
      </c>
      <c r="G1573" s="19">
        <f>IFERROR(__xludf.DUMMYFUNCTION("""COMPUTED_VALUE"""),0.00242)</f>
        <v>0.00242</v>
      </c>
      <c r="H1573" s="19" t="str">
        <f>IFERROR(__xludf.DUMMYFUNCTION("""COMPUTED_VALUE"""),"-")</f>
        <v>-</v>
      </c>
      <c r="I1573" s="19">
        <f>IFERROR(__xludf.DUMMYFUNCTION("""COMPUTED_VALUE"""),0.00224)</f>
        <v>0.00224</v>
      </c>
      <c r="J1573" s="19">
        <f>IFERROR(__xludf.DUMMYFUNCTION("""COMPUTED_VALUE"""),0.03961)</f>
        <v>0.03961</v>
      </c>
      <c r="K1573" s="19" t="str">
        <f>IFERROR(__xludf.DUMMYFUNCTION("""COMPUTED_VALUE"""),"-")</f>
        <v>-</v>
      </c>
      <c r="L1573" s="19" t="str">
        <f>IFERROR(__xludf.DUMMYFUNCTION("""COMPUTED_VALUE"""),"-")</f>
        <v>-</v>
      </c>
      <c r="O1573" s="24">
        <f t="shared" si="4"/>
        <v>0</v>
      </c>
      <c r="P1573" s="24"/>
      <c r="Q1573" s="24">
        <f t="shared" si="6"/>
        <v>0</v>
      </c>
      <c r="R1573" s="24">
        <f t="shared" si="7"/>
        <v>1</v>
      </c>
      <c r="S1573" s="24"/>
      <c r="T1573" s="24"/>
    </row>
    <row r="1574">
      <c r="A1574" s="12" t="s">
        <v>1662</v>
      </c>
      <c r="F1574" s="19">
        <f>IFERROR(__xludf.DUMMYFUNCTION("SPLIT(A1570, "" |"")"),1568.0)</f>
        <v>1568</v>
      </c>
      <c r="G1574" s="19">
        <f>IFERROR(__xludf.DUMMYFUNCTION("""COMPUTED_VALUE"""),0.00237)</f>
        <v>0.00237</v>
      </c>
      <c r="H1574" s="19" t="str">
        <f>IFERROR(__xludf.DUMMYFUNCTION("""COMPUTED_VALUE"""),"-")</f>
        <v>-</v>
      </c>
      <c r="I1574" s="19">
        <f>IFERROR(__xludf.DUMMYFUNCTION("""COMPUTED_VALUE"""),0.00221)</f>
        <v>0.00221</v>
      </c>
      <c r="J1574" s="19">
        <f>IFERROR(__xludf.DUMMYFUNCTION("""COMPUTED_VALUE"""),0.04628)</f>
        <v>0.04628</v>
      </c>
      <c r="K1574" s="19" t="str">
        <f>IFERROR(__xludf.DUMMYFUNCTION("""COMPUTED_VALUE"""),"-")</f>
        <v>-</v>
      </c>
      <c r="L1574" s="19" t="str">
        <f>IFERROR(__xludf.DUMMYFUNCTION("""COMPUTED_VALUE"""),"-")</f>
        <v>-</v>
      </c>
      <c r="O1574" s="24">
        <f t="shared" si="4"/>
        <v>0</v>
      </c>
      <c r="P1574" s="24"/>
      <c r="Q1574" s="24">
        <f t="shared" si="6"/>
        <v>0</v>
      </c>
      <c r="R1574" s="24">
        <f t="shared" si="7"/>
        <v>0</v>
      </c>
      <c r="S1574" s="24"/>
      <c r="T1574" s="24"/>
    </row>
    <row r="1575">
      <c r="A1575" s="12" t="s">
        <v>1663</v>
      </c>
      <c r="F1575" s="19">
        <f>IFERROR(__xludf.DUMMYFUNCTION("SPLIT(A1571, "" |"")"),1569.0)</f>
        <v>1569</v>
      </c>
      <c r="G1575" s="19">
        <f>IFERROR(__xludf.DUMMYFUNCTION("""COMPUTED_VALUE"""),0.00234)</f>
        <v>0.00234</v>
      </c>
      <c r="H1575" s="19" t="str">
        <f>IFERROR(__xludf.DUMMYFUNCTION("""COMPUTED_VALUE"""),"-")</f>
        <v>-</v>
      </c>
      <c r="I1575" s="19">
        <f>IFERROR(__xludf.DUMMYFUNCTION("""COMPUTED_VALUE"""),0.00223)</f>
        <v>0.00223</v>
      </c>
      <c r="J1575" s="19">
        <f>IFERROR(__xludf.DUMMYFUNCTION("""COMPUTED_VALUE"""),0.0475)</f>
        <v>0.0475</v>
      </c>
      <c r="K1575" s="19" t="str">
        <f>IFERROR(__xludf.DUMMYFUNCTION("""COMPUTED_VALUE"""),"-")</f>
        <v>-</v>
      </c>
      <c r="L1575" s="19" t="str">
        <f>IFERROR(__xludf.DUMMYFUNCTION("""COMPUTED_VALUE"""),"-")</f>
        <v>-</v>
      </c>
      <c r="O1575" s="24">
        <f t="shared" si="4"/>
        <v>0</v>
      </c>
      <c r="P1575" s="24"/>
      <c r="Q1575" s="24">
        <f t="shared" si="6"/>
        <v>0</v>
      </c>
      <c r="R1575" s="24">
        <f t="shared" si="7"/>
        <v>0</v>
      </c>
      <c r="S1575" s="24"/>
      <c r="T1575" s="24"/>
    </row>
    <row r="1576">
      <c r="A1576" s="12" t="s">
        <v>1664</v>
      </c>
      <c r="F1576" s="19">
        <f>IFERROR(__xludf.DUMMYFUNCTION("SPLIT(A1572, "" |"")"),1570.0)</f>
        <v>1570</v>
      </c>
      <c r="G1576" s="19">
        <f>IFERROR(__xludf.DUMMYFUNCTION("""COMPUTED_VALUE"""),0.00238)</f>
        <v>0.00238</v>
      </c>
      <c r="H1576" s="19" t="str">
        <f>IFERROR(__xludf.DUMMYFUNCTION("""COMPUTED_VALUE"""),"-")</f>
        <v>-</v>
      </c>
      <c r="I1576" s="19">
        <f>IFERROR(__xludf.DUMMYFUNCTION("""COMPUTED_VALUE"""),0.00224)</f>
        <v>0.00224</v>
      </c>
      <c r="J1576" s="19">
        <f>IFERROR(__xludf.DUMMYFUNCTION("""COMPUTED_VALUE"""),0.04742)</f>
        <v>0.04742</v>
      </c>
      <c r="K1576" s="19" t="str">
        <f>IFERROR(__xludf.DUMMYFUNCTION("""COMPUTED_VALUE"""),"-")</f>
        <v>-</v>
      </c>
      <c r="L1576" s="19" t="str">
        <f>IFERROR(__xludf.DUMMYFUNCTION("""COMPUTED_VALUE"""),"-")</f>
        <v>-</v>
      </c>
      <c r="O1576" s="24">
        <f t="shared" si="4"/>
        <v>0</v>
      </c>
      <c r="P1576" s="24"/>
      <c r="Q1576" s="24">
        <f t="shared" si="6"/>
        <v>0</v>
      </c>
      <c r="R1576" s="24">
        <f t="shared" si="7"/>
        <v>0</v>
      </c>
      <c r="S1576" s="24"/>
      <c r="T1576" s="24"/>
    </row>
    <row r="1577">
      <c r="A1577" s="12" t="s">
        <v>1665</v>
      </c>
      <c r="F1577" s="19">
        <f>IFERROR(__xludf.DUMMYFUNCTION("SPLIT(A1573, "" |"")"),1571.0)</f>
        <v>1571</v>
      </c>
      <c r="G1577" s="19">
        <f>IFERROR(__xludf.DUMMYFUNCTION("""COMPUTED_VALUE"""),0.00227)</f>
        <v>0.00227</v>
      </c>
      <c r="H1577" s="19" t="str">
        <f>IFERROR(__xludf.DUMMYFUNCTION("""COMPUTED_VALUE"""),"-")</f>
        <v>-</v>
      </c>
      <c r="I1577" s="19">
        <f>IFERROR(__xludf.DUMMYFUNCTION("""COMPUTED_VALUE"""),0.00214)</f>
        <v>0.00214</v>
      </c>
      <c r="J1577" s="19">
        <f>IFERROR(__xludf.DUMMYFUNCTION("""COMPUTED_VALUE"""),0.03808)</f>
        <v>0.03808</v>
      </c>
      <c r="K1577" s="19" t="str">
        <f>IFERROR(__xludf.DUMMYFUNCTION("""COMPUTED_VALUE"""),"-")</f>
        <v>-</v>
      </c>
      <c r="L1577" s="19" t="str">
        <f>IFERROR(__xludf.DUMMYFUNCTION("""COMPUTED_VALUE"""),"-")</f>
        <v>-</v>
      </c>
      <c r="O1577" s="24">
        <f t="shared" si="4"/>
        <v>0</v>
      </c>
      <c r="P1577" s="24"/>
      <c r="Q1577" s="24">
        <f t="shared" si="6"/>
        <v>0</v>
      </c>
      <c r="R1577" s="24">
        <f t="shared" si="7"/>
        <v>1</v>
      </c>
      <c r="S1577" s="24"/>
      <c r="T1577" s="24"/>
    </row>
    <row r="1578">
      <c r="A1578" s="12" t="s">
        <v>1666</v>
      </c>
      <c r="F1578" s="19">
        <f>IFERROR(__xludf.DUMMYFUNCTION("SPLIT(A1574, "" |"")"),1572.0)</f>
        <v>1572</v>
      </c>
      <c r="G1578" s="19">
        <f>IFERROR(__xludf.DUMMYFUNCTION("""COMPUTED_VALUE"""),0.00247)</f>
        <v>0.00247</v>
      </c>
      <c r="H1578" s="19" t="str">
        <f>IFERROR(__xludf.DUMMYFUNCTION("""COMPUTED_VALUE"""),"-")</f>
        <v>-</v>
      </c>
      <c r="I1578" s="19">
        <f>IFERROR(__xludf.DUMMYFUNCTION("""COMPUTED_VALUE"""),0.00221)</f>
        <v>0.00221</v>
      </c>
      <c r="J1578" s="19">
        <f>IFERROR(__xludf.DUMMYFUNCTION("""COMPUTED_VALUE"""),0.04748)</f>
        <v>0.04748</v>
      </c>
      <c r="K1578" s="19" t="str">
        <f>IFERROR(__xludf.DUMMYFUNCTION("""COMPUTED_VALUE"""),"-")</f>
        <v>-</v>
      </c>
      <c r="L1578" s="19" t="str">
        <f>IFERROR(__xludf.DUMMYFUNCTION("""COMPUTED_VALUE"""),"-")</f>
        <v>-</v>
      </c>
      <c r="O1578" s="24">
        <f t="shared" si="4"/>
        <v>0</v>
      </c>
      <c r="P1578" s="24"/>
      <c r="Q1578" s="24">
        <f t="shared" si="6"/>
        <v>0</v>
      </c>
      <c r="R1578" s="24">
        <f t="shared" si="7"/>
        <v>0</v>
      </c>
      <c r="S1578" s="24"/>
      <c r="T1578" s="24"/>
    </row>
    <row r="1579">
      <c r="A1579" s="12" t="s">
        <v>1667</v>
      </c>
      <c r="F1579" s="19">
        <f>IFERROR(__xludf.DUMMYFUNCTION("SPLIT(A1575, "" |"")"),1573.0)</f>
        <v>1573</v>
      </c>
      <c r="G1579" s="19">
        <f>IFERROR(__xludf.DUMMYFUNCTION("""COMPUTED_VALUE"""),0.00236)</f>
        <v>0.00236</v>
      </c>
      <c r="H1579" s="19" t="str">
        <f>IFERROR(__xludf.DUMMYFUNCTION("""COMPUTED_VALUE"""),"-")</f>
        <v>-</v>
      </c>
      <c r="I1579" s="19">
        <f>IFERROR(__xludf.DUMMYFUNCTION("""COMPUTED_VALUE"""),0.0022)</f>
        <v>0.0022</v>
      </c>
      <c r="J1579" s="19">
        <f>IFERROR(__xludf.DUMMYFUNCTION("""COMPUTED_VALUE"""),0.04274)</f>
        <v>0.04274</v>
      </c>
      <c r="K1579" s="19" t="str">
        <f>IFERROR(__xludf.DUMMYFUNCTION("""COMPUTED_VALUE"""),"-")</f>
        <v>-</v>
      </c>
      <c r="L1579" s="19" t="str">
        <f>IFERROR(__xludf.DUMMYFUNCTION("""COMPUTED_VALUE"""),"-")</f>
        <v>-</v>
      </c>
      <c r="O1579" s="24">
        <f t="shared" si="4"/>
        <v>0</v>
      </c>
      <c r="P1579" s="24"/>
      <c r="Q1579" s="24">
        <f t="shared" si="6"/>
        <v>0</v>
      </c>
      <c r="R1579" s="24">
        <f t="shared" si="7"/>
        <v>1</v>
      </c>
      <c r="S1579" s="24"/>
      <c r="T1579" s="24"/>
    </row>
    <row r="1580">
      <c r="A1580" s="12" t="s">
        <v>1668</v>
      </c>
      <c r="F1580" s="19">
        <f>IFERROR(__xludf.DUMMYFUNCTION("SPLIT(A1576, "" |"")"),1574.0)</f>
        <v>1574</v>
      </c>
      <c r="G1580" s="19">
        <f>IFERROR(__xludf.DUMMYFUNCTION("""COMPUTED_VALUE"""),0.00221)</f>
        <v>0.00221</v>
      </c>
      <c r="H1580" s="19" t="str">
        <f>IFERROR(__xludf.DUMMYFUNCTION("""COMPUTED_VALUE"""),"-")</f>
        <v>-</v>
      </c>
      <c r="I1580" s="19">
        <f>IFERROR(__xludf.DUMMYFUNCTION("""COMPUTED_VALUE"""),0.00208)</f>
        <v>0.00208</v>
      </c>
      <c r="J1580" s="19">
        <f>IFERROR(__xludf.DUMMYFUNCTION("""COMPUTED_VALUE"""),0.04737)</f>
        <v>0.04737</v>
      </c>
      <c r="K1580" s="19" t="str">
        <f>IFERROR(__xludf.DUMMYFUNCTION("""COMPUTED_VALUE"""),"-")</f>
        <v>-</v>
      </c>
      <c r="L1580" s="19" t="str">
        <f>IFERROR(__xludf.DUMMYFUNCTION("""COMPUTED_VALUE"""),"-")</f>
        <v>-</v>
      </c>
      <c r="O1580" s="24">
        <f t="shared" si="4"/>
        <v>0</v>
      </c>
      <c r="P1580" s="24"/>
      <c r="Q1580" s="24">
        <f t="shared" si="6"/>
        <v>0</v>
      </c>
      <c r="R1580" s="24">
        <f t="shared" si="7"/>
        <v>0</v>
      </c>
      <c r="S1580" s="24"/>
      <c r="T1580" s="24"/>
    </row>
    <row r="1581">
      <c r="A1581" s="12" t="s">
        <v>1669</v>
      </c>
      <c r="F1581" s="19">
        <f>IFERROR(__xludf.DUMMYFUNCTION("SPLIT(A1577, "" |"")"),1575.0)</f>
        <v>1575</v>
      </c>
      <c r="G1581" s="19">
        <f>IFERROR(__xludf.DUMMYFUNCTION("""COMPUTED_VALUE"""),0.00236)</f>
        <v>0.00236</v>
      </c>
      <c r="H1581" s="19" t="str">
        <f>IFERROR(__xludf.DUMMYFUNCTION("""COMPUTED_VALUE"""),"-")</f>
        <v>-</v>
      </c>
      <c r="I1581" s="19">
        <f>IFERROR(__xludf.DUMMYFUNCTION("""COMPUTED_VALUE"""),0.00221)</f>
        <v>0.00221</v>
      </c>
      <c r="J1581" s="19">
        <f>IFERROR(__xludf.DUMMYFUNCTION("""COMPUTED_VALUE"""),0.04749)</f>
        <v>0.04749</v>
      </c>
      <c r="K1581" s="19" t="str">
        <f>IFERROR(__xludf.DUMMYFUNCTION("""COMPUTED_VALUE"""),"-")</f>
        <v>-</v>
      </c>
      <c r="L1581" s="19" t="str">
        <f>IFERROR(__xludf.DUMMYFUNCTION("""COMPUTED_VALUE"""),"-")</f>
        <v>-</v>
      </c>
      <c r="O1581" s="24">
        <f t="shared" si="4"/>
        <v>0</v>
      </c>
      <c r="P1581" s="24"/>
      <c r="Q1581" s="24">
        <f t="shared" si="6"/>
        <v>0</v>
      </c>
      <c r="R1581" s="24">
        <f t="shared" si="7"/>
        <v>0</v>
      </c>
      <c r="S1581" s="24"/>
      <c r="T1581" s="24"/>
    </row>
    <row r="1582">
      <c r="A1582" s="12" t="s">
        <v>1670</v>
      </c>
      <c r="F1582" s="19">
        <f>IFERROR(__xludf.DUMMYFUNCTION("SPLIT(A1578, "" |"")"),1576.0)</f>
        <v>1576</v>
      </c>
      <c r="G1582" s="19">
        <f>IFERROR(__xludf.DUMMYFUNCTION("""COMPUTED_VALUE"""),0.00236)</f>
        <v>0.00236</v>
      </c>
      <c r="H1582" s="19" t="str">
        <f>IFERROR(__xludf.DUMMYFUNCTION("""COMPUTED_VALUE"""),"-")</f>
        <v>-</v>
      </c>
      <c r="I1582" s="19">
        <f>IFERROR(__xludf.DUMMYFUNCTION("""COMPUTED_VALUE"""),0.00217)</f>
        <v>0.00217</v>
      </c>
      <c r="J1582" s="19">
        <f>IFERROR(__xludf.DUMMYFUNCTION("""COMPUTED_VALUE"""),0.04739)</f>
        <v>0.04739</v>
      </c>
      <c r="K1582" s="19" t="str">
        <f>IFERROR(__xludf.DUMMYFUNCTION("""COMPUTED_VALUE"""),"-")</f>
        <v>-</v>
      </c>
      <c r="L1582" s="19" t="str">
        <f>IFERROR(__xludf.DUMMYFUNCTION("""COMPUTED_VALUE"""),"-")</f>
        <v>-</v>
      </c>
      <c r="O1582" s="24">
        <f t="shared" si="4"/>
        <v>0</v>
      </c>
      <c r="P1582" s="24"/>
      <c r="Q1582" s="24">
        <f t="shared" si="6"/>
        <v>0</v>
      </c>
      <c r="R1582" s="24">
        <f t="shared" si="7"/>
        <v>0</v>
      </c>
      <c r="S1582" s="24"/>
      <c r="T1582" s="24"/>
    </row>
    <row r="1583">
      <c r="A1583" s="12" t="s">
        <v>1671</v>
      </c>
      <c r="F1583" s="19">
        <f>IFERROR(__xludf.DUMMYFUNCTION("SPLIT(A1579, "" |"")"),1577.0)</f>
        <v>1577</v>
      </c>
      <c r="G1583" s="19">
        <f>IFERROR(__xludf.DUMMYFUNCTION("""COMPUTED_VALUE"""),0.00236)</f>
        <v>0.00236</v>
      </c>
      <c r="H1583" s="19" t="str">
        <f>IFERROR(__xludf.DUMMYFUNCTION("""COMPUTED_VALUE"""),"-")</f>
        <v>-</v>
      </c>
      <c r="I1583" s="19">
        <f>IFERROR(__xludf.DUMMYFUNCTION("""COMPUTED_VALUE"""),0.00217)</f>
        <v>0.00217</v>
      </c>
      <c r="J1583" s="19">
        <f>IFERROR(__xludf.DUMMYFUNCTION("""COMPUTED_VALUE"""),0.04301)</f>
        <v>0.04301</v>
      </c>
      <c r="K1583" s="19" t="str">
        <f>IFERROR(__xludf.DUMMYFUNCTION("""COMPUTED_VALUE"""),"-")</f>
        <v>-</v>
      </c>
      <c r="L1583" s="19" t="str">
        <f>IFERROR(__xludf.DUMMYFUNCTION("""COMPUTED_VALUE"""),"-")</f>
        <v>-</v>
      </c>
      <c r="O1583" s="24">
        <f t="shared" si="4"/>
        <v>0</v>
      </c>
      <c r="P1583" s="24"/>
      <c r="Q1583" s="24">
        <f t="shared" si="6"/>
        <v>0</v>
      </c>
      <c r="R1583" s="24">
        <f t="shared" si="7"/>
        <v>1</v>
      </c>
      <c r="S1583" s="24"/>
      <c r="T1583" s="24"/>
    </row>
    <row r="1584">
      <c r="A1584" s="12" t="s">
        <v>1672</v>
      </c>
      <c r="F1584" s="19">
        <f>IFERROR(__xludf.DUMMYFUNCTION("SPLIT(A1580, "" |"")"),1578.0)</f>
        <v>1578</v>
      </c>
      <c r="G1584" s="19">
        <f>IFERROR(__xludf.DUMMYFUNCTION("""COMPUTED_VALUE"""),0.00234)</f>
        <v>0.00234</v>
      </c>
      <c r="H1584" s="19" t="str">
        <f>IFERROR(__xludf.DUMMYFUNCTION("""COMPUTED_VALUE"""),"-")</f>
        <v>-</v>
      </c>
      <c r="I1584" s="19">
        <f>IFERROR(__xludf.DUMMYFUNCTION("""COMPUTED_VALUE"""),0.00217)</f>
        <v>0.00217</v>
      </c>
      <c r="J1584" s="19">
        <f>IFERROR(__xludf.DUMMYFUNCTION("""COMPUTED_VALUE"""),0.04749)</f>
        <v>0.04749</v>
      </c>
      <c r="K1584" s="19" t="str">
        <f>IFERROR(__xludf.DUMMYFUNCTION("""COMPUTED_VALUE"""),"-")</f>
        <v>-</v>
      </c>
      <c r="L1584" s="19" t="str">
        <f>IFERROR(__xludf.DUMMYFUNCTION("""COMPUTED_VALUE"""),"-")</f>
        <v>-</v>
      </c>
      <c r="O1584" s="24">
        <f t="shared" si="4"/>
        <v>0</v>
      </c>
      <c r="P1584" s="24"/>
      <c r="Q1584" s="24">
        <f t="shared" si="6"/>
        <v>0</v>
      </c>
      <c r="R1584" s="24">
        <f t="shared" si="7"/>
        <v>0</v>
      </c>
      <c r="S1584" s="24"/>
      <c r="T1584" s="24"/>
    </row>
    <row r="1585">
      <c r="A1585" s="12" t="s">
        <v>1673</v>
      </c>
      <c r="F1585" s="19">
        <f>IFERROR(__xludf.DUMMYFUNCTION("SPLIT(A1581, "" |"")"),1579.0)</f>
        <v>1579</v>
      </c>
      <c r="G1585" s="19">
        <f>IFERROR(__xludf.DUMMYFUNCTION("""COMPUTED_VALUE"""),0.0024)</f>
        <v>0.0024</v>
      </c>
      <c r="H1585" s="19" t="str">
        <f>IFERROR(__xludf.DUMMYFUNCTION("""COMPUTED_VALUE"""),"-")</f>
        <v>-</v>
      </c>
      <c r="I1585" s="19">
        <f>IFERROR(__xludf.DUMMYFUNCTION("""COMPUTED_VALUE"""),0.0022)</f>
        <v>0.0022</v>
      </c>
      <c r="J1585" s="19">
        <f>IFERROR(__xludf.DUMMYFUNCTION("""COMPUTED_VALUE"""),0.0474)</f>
        <v>0.0474</v>
      </c>
      <c r="K1585" s="19" t="str">
        <f>IFERROR(__xludf.DUMMYFUNCTION("""COMPUTED_VALUE"""),"-")</f>
        <v>-</v>
      </c>
      <c r="L1585" s="19" t="str">
        <f>IFERROR(__xludf.DUMMYFUNCTION("""COMPUTED_VALUE"""),"-")</f>
        <v>-</v>
      </c>
      <c r="O1585" s="24">
        <f t="shared" si="4"/>
        <v>0</v>
      </c>
      <c r="P1585" s="24"/>
      <c r="Q1585" s="24">
        <f t="shared" si="6"/>
        <v>0</v>
      </c>
      <c r="R1585" s="24">
        <f t="shared" si="7"/>
        <v>0</v>
      </c>
      <c r="S1585" s="24"/>
      <c r="T1585" s="24"/>
    </row>
    <row r="1586">
      <c r="A1586" s="12" t="s">
        <v>1674</v>
      </c>
      <c r="F1586" s="19">
        <f>IFERROR(__xludf.DUMMYFUNCTION("SPLIT(A1582, "" |"")"),1580.0)</f>
        <v>1580</v>
      </c>
      <c r="G1586" s="19">
        <f>IFERROR(__xludf.DUMMYFUNCTION("""COMPUTED_VALUE"""),0.0024)</f>
        <v>0.0024</v>
      </c>
      <c r="H1586" s="19" t="str">
        <f>IFERROR(__xludf.DUMMYFUNCTION("""COMPUTED_VALUE"""),"-")</f>
        <v>-</v>
      </c>
      <c r="I1586" s="19">
        <f>IFERROR(__xludf.DUMMYFUNCTION("""COMPUTED_VALUE"""),0.00225)</f>
        <v>0.00225</v>
      </c>
      <c r="J1586" s="19">
        <f>IFERROR(__xludf.DUMMYFUNCTION("""COMPUTED_VALUE"""),0.04743)</f>
        <v>0.04743</v>
      </c>
      <c r="K1586" s="19" t="str">
        <f>IFERROR(__xludf.DUMMYFUNCTION("""COMPUTED_VALUE"""),"-")</f>
        <v>-</v>
      </c>
      <c r="L1586" s="19" t="str">
        <f>IFERROR(__xludf.DUMMYFUNCTION("""COMPUTED_VALUE"""),"-")</f>
        <v>-</v>
      </c>
      <c r="O1586" s="24">
        <f t="shared" si="4"/>
        <v>0</v>
      </c>
      <c r="P1586" s="24"/>
      <c r="Q1586" s="24">
        <f t="shared" si="6"/>
        <v>0</v>
      </c>
      <c r="R1586" s="24">
        <f t="shared" si="7"/>
        <v>0</v>
      </c>
      <c r="S1586" s="24"/>
      <c r="T1586" s="24"/>
    </row>
    <row r="1587">
      <c r="A1587" s="12" t="s">
        <v>1675</v>
      </c>
      <c r="F1587" s="19">
        <f>IFERROR(__xludf.DUMMYFUNCTION("SPLIT(A1583, "" |"")"),1581.0)</f>
        <v>1581</v>
      </c>
      <c r="G1587" s="19">
        <f>IFERROR(__xludf.DUMMYFUNCTION("""COMPUTED_VALUE"""),0.0024)</f>
        <v>0.0024</v>
      </c>
      <c r="H1587" s="19" t="str">
        <f>IFERROR(__xludf.DUMMYFUNCTION("""COMPUTED_VALUE"""),"-")</f>
        <v>-</v>
      </c>
      <c r="I1587" s="19">
        <f>IFERROR(__xludf.DUMMYFUNCTION("""COMPUTED_VALUE"""),0.00222)</f>
        <v>0.00222</v>
      </c>
      <c r="J1587" s="19">
        <f>IFERROR(__xludf.DUMMYFUNCTION("""COMPUTED_VALUE"""),0.04742)</f>
        <v>0.04742</v>
      </c>
      <c r="K1587" s="19" t="str">
        <f>IFERROR(__xludf.DUMMYFUNCTION("""COMPUTED_VALUE"""),"-")</f>
        <v>-</v>
      </c>
      <c r="L1587" s="19" t="str">
        <f>IFERROR(__xludf.DUMMYFUNCTION("""COMPUTED_VALUE"""),"-")</f>
        <v>-</v>
      </c>
      <c r="O1587" s="24">
        <f t="shared" si="4"/>
        <v>0</v>
      </c>
      <c r="P1587" s="24"/>
      <c r="Q1587" s="24">
        <f t="shared" si="6"/>
        <v>0</v>
      </c>
      <c r="R1587" s="24">
        <f t="shared" si="7"/>
        <v>0</v>
      </c>
      <c r="S1587" s="24"/>
      <c r="T1587" s="24"/>
    </row>
    <row r="1588">
      <c r="A1588" s="12" t="s">
        <v>1676</v>
      </c>
      <c r="F1588" s="19">
        <f>IFERROR(__xludf.DUMMYFUNCTION("SPLIT(A1584, "" |"")"),1582.0)</f>
        <v>1582</v>
      </c>
      <c r="G1588" s="19">
        <f>IFERROR(__xludf.DUMMYFUNCTION("""COMPUTED_VALUE"""),0.00241)</f>
        <v>0.00241</v>
      </c>
      <c r="H1588" s="19" t="str">
        <f>IFERROR(__xludf.DUMMYFUNCTION("""COMPUTED_VALUE"""),"-")</f>
        <v>-</v>
      </c>
      <c r="I1588" s="19">
        <f>IFERROR(__xludf.DUMMYFUNCTION("""COMPUTED_VALUE"""),0.00225)</f>
        <v>0.00225</v>
      </c>
      <c r="J1588" s="19">
        <f>IFERROR(__xludf.DUMMYFUNCTION("""COMPUTED_VALUE"""),0.04746)</f>
        <v>0.04746</v>
      </c>
      <c r="K1588" s="19" t="str">
        <f>IFERROR(__xludf.DUMMYFUNCTION("""COMPUTED_VALUE"""),"-")</f>
        <v>-</v>
      </c>
      <c r="L1588" s="19" t="str">
        <f>IFERROR(__xludf.DUMMYFUNCTION("""COMPUTED_VALUE"""),"-")</f>
        <v>-</v>
      </c>
      <c r="O1588" s="24">
        <f t="shared" si="4"/>
        <v>0</v>
      </c>
      <c r="P1588" s="24"/>
      <c r="Q1588" s="24">
        <f t="shared" si="6"/>
        <v>0</v>
      </c>
      <c r="R1588" s="24">
        <f t="shared" si="7"/>
        <v>0</v>
      </c>
      <c r="S1588" s="24"/>
      <c r="T1588" s="24"/>
    </row>
    <row r="1589">
      <c r="A1589" s="12" t="s">
        <v>1677</v>
      </c>
      <c r="F1589" s="19">
        <f>IFERROR(__xludf.DUMMYFUNCTION("SPLIT(A1585, "" |"")"),1583.0)</f>
        <v>1583</v>
      </c>
      <c r="G1589" s="19">
        <f>IFERROR(__xludf.DUMMYFUNCTION("""COMPUTED_VALUE"""),0.00243)</f>
        <v>0.00243</v>
      </c>
      <c r="H1589" s="19" t="str">
        <f>IFERROR(__xludf.DUMMYFUNCTION("""COMPUTED_VALUE"""),"-")</f>
        <v>-</v>
      </c>
      <c r="I1589" s="19">
        <f>IFERROR(__xludf.DUMMYFUNCTION("""COMPUTED_VALUE"""),0.00222)</f>
        <v>0.00222</v>
      </c>
      <c r="J1589" s="19">
        <f>IFERROR(__xludf.DUMMYFUNCTION("""COMPUTED_VALUE"""),0.04089)</f>
        <v>0.04089</v>
      </c>
      <c r="K1589" s="19" t="str">
        <f>IFERROR(__xludf.DUMMYFUNCTION("""COMPUTED_VALUE"""),"-")</f>
        <v>-</v>
      </c>
      <c r="L1589" s="19" t="str">
        <f>IFERROR(__xludf.DUMMYFUNCTION("""COMPUTED_VALUE"""),"-")</f>
        <v>-</v>
      </c>
      <c r="O1589" s="24">
        <f t="shared" si="4"/>
        <v>0</v>
      </c>
      <c r="P1589" s="24"/>
      <c r="Q1589" s="24">
        <f t="shared" si="6"/>
        <v>0</v>
      </c>
      <c r="R1589" s="24">
        <f t="shared" si="7"/>
        <v>1</v>
      </c>
      <c r="S1589" s="24"/>
      <c r="T1589" s="24"/>
    </row>
    <row r="1590">
      <c r="A1590" s="12" t="s">
        <v>1678</v>
      </c>
      <c r="F1590" s="19">
        <f>IFERROR(__xludf.DUMMYFUNCTION("SPLIT(A1586, "" |"")"),1584.0)</f>
        <v>1584</v>
      </c>
      <c r="G1590" s="19">
        <f>IFERROR(__xludf.DUMMYFUNCTION("""COMPUTED_VALUE"""),0.0023)</f>
        <v>0.0023</v>
      </c>
      <c r="H1590" s="19" t="str">
        <f>IFERROR(__xludf.DUMMYFUNCTION("""COMPUTED_VALUE"""),"-")</f>
        <v>-</v>
      </c>
      <c r="I1590" s="19">
        <f>IFERROR(__xludf.DUMMYFUNCTION("""COMPUTED_VALUE"""),0.00218)</f>
        <v>0.00218</v>
      </c>
      <c r="J1590" s="19">
        <f>IFERROR(__xludf.DUMMYFUNCTION("""COMPUTED_VALUE"""),0.04747)</f>
        <v>0.04747</v>
      </c>
      <c r="K1590" s="19" t="str">
        <f>IFERROR(__xludf.DUMMYFUNCTION("""COMPUTED_VALUE"""),"-")</f>
        <v>-</v>
      </c>
      <c r="L1590" s="19" t="str">
        <f>IFERROR(__xludf.DUMMYFUNCTION("""COMPUTED_VALUE"""),"-")</f>
        <v>-</v>
      </c>
      <c r="O1590" s="24">
        <f t="shared" si="4"/>
        <v>0</v>
      </c>
      <c r="P1590" s="24"/>
      <c r="Q1590" s="24">
        <f t="shared" si="6"/>
        <v>0</v>
      </c>
      <c r="R1590" s="24">
        <f t="shared" si="7"/>
        <v>0</v>
      </c>
      <c r="S1590" s="24"/>
      <c r="T1590" s="24"/>
    </row>
    <row r="1591">
      <c r="A1591" s="12" t="s">
        <v>1679</v>
      </c>
      <c r="F1591" s="19">
        <f>IFERROR(__xludf.DUMMYFUNCTION("SPLIT(A1587, "" |"")"),1585.0)</f>
        <v>1585</v>
      </c>
      <c r="G1591" s="19">
        <f>IFERROR(__xludf.DUMMYFUNCTION("""COMPUTED_VALUE"""),0.00234)</f>
        <v>0.00234</v>
      </c>
      <c r="H1591" s="19" t="str">
        <f>IFERROR(__xludf.DUMMYFUNCTION("""COMPUTED_VALUE"""),"-")</f>
        <v>-</v>
      </c>
      <c r="I1591" s="19">
        <f>IFERROR(__xludf.DUMMYFUNCTION("""COMPUTED_VALUE"""),0.00223)</f>
        <v>0.00223</v>
      </c>
      <c r="J1591" s="19">
        <f>IFERROR(__xludf.DUMMYFUNCTION("""COMPUTED_VALUE"""),0.04749)</f>
        <v>0.04749</v>
      </c>
      <c r="K1591" s="19" t="str">
        <f>IFERROR(__xludf.DUMMYFUNCTION("""COMPUTED_VALUE"""),"-")</f>
        <v>-</v>
      </c>
      <c r="L1591" s="19" t="str">
        <f>IFERROR(__xludf.DUMMYFUNCTION("""COMPUTED_VALUE"""),"-")</f>
        <v>-</v>
      </c>
      <c r="O1591" s="24">
        <f t="shared" si="4"/>
        <v>0</v>
      </c>
      <c r="P1591" s="24"/>
      <c r="Q1591" s="24">
        <f t="shared" si="6"/>
        <v>0</v>
      </c>
      <c r="R1591" s="24">
        <f t="shared" si="7"/>
        <v>0</v>
      </c>
      <c r="S1591" s="24"/>
      <c r="T1591" s="24"/>
    </row>
    <row r="1592">
      <c r="A1592" s="12" t="s">
        <v>1680</v>
      </c>
      <c r="F1592" s="19">
        <f>IFERROR(__xludf.DUMMYFUNCTION("SPLIT(A1588, "" |"")"),1586.0)</f>
        <v>1586</v>
      </c>
      <c r="G1592" s="19">
        <f>IFERROR(__xludf.DUMMYFUNCTION("""COMPUTED_VALUE"""),0.00239)</f>
        <v>0.00239</v>
      </c>
      <c r="H1592" s="19" t="str">
        <f>IFERROR(__xludf.DUMMYFUNCTION("""COMPUTED_VALUE"""),"-")</f>
        <v>-</v>
      </c>
      <c r="I1592" s="19">
        <f>IFERROR(__xludf.DUMMYFUNCTION("""COMPUTED_VALUE"""),0.00229)</f>
        <v>0.00229</v>
      </c>
      <c r="J1592" s="19">
        <f>IFERROR(__xludf.DUMMYFUNCTION("""COMPUTED_VALUE"""),0.04746)</f>
        <v>0.04746</v>
      </c>
      <c r="K1592" s="19" t="str">
        <f>IFERROR(__xludf.DUMMYFUNCTION("""COMPUTED_VALUE"""),"-")</f>
        <v>-</v>
      </c>
      <c r="L1592" s="19" t="str">
        <f>IFERROR(__xludf.DUMMYFUNCTION("""COMPUTED_VALUE"""),"-")</f>
        <v>-</v>
      </c>
      <c r="O1592" s="24">
        <f t="shared" si="4"/>
        <v>0</v>
      </c>
      <c r="P1592" s="24"/>
      <c r="Q1592" s="24">
        <f t="shared" si="6"/>
        <v>0</v>
      </c>
      <c r="R1592" s="24">
        <f t="shared" si="7"/>
        <v>0</v>
      </c>
      <c r="S1592" s="24"/>
      <c r="T1592" s="24"/>
    </row>
    <row r="1593">
      <c r="A1593" s="12" t="s">
        <v>1681</v>
      </c>
      <c r="F1593" s="19">
        <f>IFERROR(__xludf.DUMMYFUNCTION("SPLIT(A1589, "" |"")"),1587.0)</f>
        <v>1587</v>
      </c>
      <c r="G1593" s="19">
        <f>IFERROR(__xludf.DUMMYFUNCTION("""COMPUTED_VALUE"""),0.00234)</f>
        <v>0.00234</v>
      </c>
      <c r="H1593" s="19" t="str">
        <f>IFERROR(__xludf.DUMMYFUNCTION("""COMPUTED_VALUE"""),"-")</f>
        <v>-</v>
      </c>
      <c r="I1593" s="19">
        <f>IFERROR(__xludf.DUMMYFUNCTION("""COMPUTED_VALUE"""),0.00223)</f>
        <v>0.00223</v>
      </c>
      <c r="J1593" s="19">
        <f>IFERROR(__xludf.DUMMYFUNCTION("""COMPUTED_VALUE"""),0.04745)</f>
        <v>0.04745</v>
      </c>
      <c r="K1593" s="19" t="str">
        <f>IFERROR(__xludf.DUMMYFUNCTION("""COMPUTED_VALUE"""),"-")</f>
        <v>-</v>
      </c>
      <c r="L1593" s="19" t="str">
        <f>IFERROR(__xludf.DUMMYFUNCTION("""COMPUTED_VALUE"""),"-")</f>
        <v>-</v>
      </c>
      <c r="O1593" s="24">
        <f t="shared" si="4"/>
        <v>0</v>
      </c>
      <c r="P1593" s="24"/>
      <c r="Q1593" s="24">
        <f t="shared" si="6"/>
        <v>0</v>
      </c>
      <c r="R1593" s="24">
        <f t="shared" si="7"/>
        <v>0</v>
      </c>
      <c r="S1593" s="24"/>
      <c r="T1593" s="24"/>
    </row>
    <row r="1594">
      <c r="A1594" s="12" t="s">
        <v>1682</v>
      </c>
      <c r="F1594" s="19">
        <f>IFERROR(__xludf.DUMMYFUNCTION("SPLIT(A1590, "" |"")"),1588.0)</f>
        <v>1588</v>
      </c>
      <c r="G1594" s="19">
        <f>IFERROR(__xludf.DUMMYFUNCTION("""COMPUTED_VALUE"""),0.00235)</f>
        <v>0.00235</v>
      </c>
      <c r="H1594" s="19" t="str">
        <f>IFERROR(__xludf.DUMMYFUNCTION("""COMPUTED_VALUE"""),"-")</f>
        <v>-</v>
      </c>
      <c r="I1594" s="19">
        <f>IFERROR(__xludf.DUMMYFUNCTION("""COMPUTED_VALUE"""),0.00221)</f>
        <v>0.00221</v>
      </c>
      <c r="J1594" s="19">
        <f>IFERROR(__xludf.DUMMYFUNCTION("""COMPUTED_VALUE"""),0.04741)</f>
        <v>0.04741</v>
      </c>
      <c r="K1594" s="19" t="str">
        <f>IFERROR(__xludf.DUMMYFUNCTION("""COMPUTED_VALUE"""),"-")</f>
        <v>-</v>
      </c>
      <c r="L1594" s="19" t="str">
        <f>IFERROR(__xludf.DUMMYFUNCTION("""COMPUTED_VALUE"""),"-")</f>
        <v>-</v>
      </c>
      <c r="O1594" s="24">
        <f t="shared" si="4"/>
        <v>0</v>
      </c>
      <c r="P1594" s="24"/>
      <c r="Q1594" s="24">
        <f t="shared" si="6"/>
        <v>0</v>
      </c>
      <c r="R1594" s="24">
        <f t="shared" si="7"/>
        <v>0</v>
      </c>
      <c r="S1594" s="24"/>
      <c r="T1594" s="24"/>
    </row>
    <row r="1595">
      <c r="A1595" s="12" t="s">
        <v>1683</v>
      </c>
      <c r="F1595" s="19">
        <f>IFERROR(__xludf.DUMMYFUNCTION("SPLIT(A1591, "" |"")"),1589.0)</f>
        <v>1589</v>
      </c>
      <c r="G1595" s="19">
        <f>IFERROR(__xludf.DUMMYFUNCTION("""COMPUTED_VALUE"""),0.00235)</f>
        <v>0.00235</v>
      </c>
      <c r="H1595" s="19" t="str">
        <f>IFERROR(__xludf.DUMMYFUNCTION("""COMPUTED_VALUE"""),"-")</f>
        <v>-</v>
      </c>
      <c r="I1595" s="19">
        <f>IFERROR(__xludf.DUMMYFUNCTION("""COMPUTED_VALUE"""),0.00222)</f>
        <v>0.00222</v>
      </c>
      <c r="J1595" s="19">
        <f>IFERROR(__xludf.DUMMYFUNCTION("""COMPUTED_VALUE"""),0.04358)</f>
        <v>0.04358</v>
      </c>
      <c r="K1595" s="19" t="str">
        <f>IFERROR(__xludf.DUMMYFUNCTION("""COMPUTED_VALUE"""),"-")</f>
        <v>-</v>
      </c>
      <c r="L1595" s="19" t="str">
        <f>IFERROR(__xludf.DUMMYFUNCTION("""COMPUTED_VALUE"""),"-")</f>
        <v>-</v>
      </c>
      <c r="O1595" s="24">
        <f t="shared" si="4"/>
        <v>0</v>
      </c>
      <c r="P1595" s="24"/>
      <c r="Q1595" s="24">
        <f t="shared" si="6"/>
        <v>0</v>
      </c>
      <c r="R1595" s="24">
        <f t="shared" si="7"/>
        <v>1</v>
      </c>
      <c r="S1595" s="24"/>
      <c r="T1595" s="24"/>
    </row>
    <row r="1596">
      <c r="A1596" s="12" t="s">
        <v>1684</v>
      </c>
      <c r="F1596" s="19">
        <f>IFERROR(__xludf.DUMMYFUNCTION("SPLIT(A1592, "" |"")"),1590.0)</f>
        <v>1590</v>
      </c>
      <c r="G1596" s="19">
        <f>IFERROR(__xludf.DUMMYFUNCTION("""COMPUTED_VALUE"""),0.00235)</f>
        <v>0.00235</v>
      </c>
      <c r="H1596" s="19" t="str">
        <f>IFERROR(__xludf.DUMMYFUNCTION("""COMPUTED_VALUE"""),"-")</f>
        <v>-</v>
      </c>
      <c r="I1596" s="19">
        <f>IFERROR(__xludf.DUMMYFUNCTION("""COMPUTED_VALUE"""),0.00211)</f>
        <v>0.00211</v>
      </c>
      <c r="J1596" s="19">
        <f>IFERROR(__xludf.DUMMYFUNCTION("""COMPUTED_VALUE"""),0.04747)</f>
        <v>0.04747</v>
      </c>
      <c r="K1596" s="19" t="str">
        <f>IFERROR(__xludf.DUMMYFUNCTION("""COMPUTED_VALUE"""),"-")</f>
        <v>-</v>
      </c>
      <c r="L1596" s="19" t="str">
        <f>IFERROR(__xludf.DUMMYFUNCTION("""COMPUTED_VALUE"""),"-")</f>
        <v>-</v>
      </c>
      <c r="O1596" s="24">
        <f t="shared" si="4"/>
        <v>0</v>
      </c>
      <c r="P1596" s="24"/>
      <c r="Q1596" s="24">
        <f t="shared" si="6"/>
        <v>0</v>
      </c>
      <c r="R1596" s="24">
        <f t="shared" si="7"/>
        <v>0</v>
      </c>
      <c r="S1596" s="24"/>
      <c r="T1596" s="24"/>
    </row>
    <row r="1597">
      <c r="A1597" s="12" t="s">
        <v>1685</v>
      </c>
      <c r="F1597" s="19">
        <f>IFERROR(__xludf.DUMMYFUNCTION("SPLIT(A1593, "" |"")"),1591.0)</f>
        <v>1591</v>
      </c>
      <c r="G1597" s="19">
        <f>IFERROR(__xludf.DUMMYFUNCTION("""COMPUTED_VALUE"""),0.00243)</f>
        <v>0.00243</v>
      </c>
      <c r="H1597" s="19" t="str">
        <f>IFERROR(__xludf.DUMMYFUNCTION("""COMPUTED_VALUE"""),"-")</f>
        <v>-</v>
      </c>
      <c r="I1597" s="19">
        <f>IFERROR(__xludf.DUMMYFUNCTION("""COMPUTED_VALUE"""),0.00216)</f>
        <v>0.00216</v>
      </c>
      <c r="J1597" s="19">
        <f>IFERROR(__xludf.DUMMYFUNCTION("""COMPUTED_VALUE"""),0.0477)</f>
        <v>0.0477</v>
      </c>
      <c r="K1597" s="19" t="str">
        <f>IFERROR(__xludf.DUMMYFUNCTION("""COMPUTED_VALUE"""),"-")</f>
        <v>-</v>
      </c>
      <c r="L1597" s="19" t="str">
        <f>IFERROR(__xludf.DUMMYFUNCTION("""COMPUTED_VALUE"""),"-")</f>
        <v>-</v>
      </c>
      <c r="O1597" s="24">
        <f t="shared" si="4"/>
        <v>0</v>
      </c>
      <c r="P1597" s="24"/>
      <c r="Q1597" s="24">
        <f t="shared" si="6"/>
        <v>0</v>
      </c>
      <c r="R1597" s="24">
        <f t="shared" si="7"/>
        <v>0</v>
      </c>
      <c r="S1597" s="24"/>
      <c r="T1597" s="24"/>
    </row>
    <row r="1598">
      <c r="A1598" s="12" t="s">
        <v>1686</v>
      </c>
      <c r="F1598" s="19">
        <f>IFERROR(__xludf.DUMMYFUNCTION("SPLIT(A1594, "" |"")"),1592.0)</f>
        <v>1592</v>
      </c>
      <c r="G1598" s="19">
        <f>IFERROR(__xludf.DUMMYFUNCTION("""COMPUTED_VALUE"""),0.00254)</f>
        <v>0.00254</v>
      </c>
      <c r="H1598" s="19" t="str">
        <f>IFERROR(__xludf.DUMMYFUNCTION("""COMPUTED_VALUE"""),"-")</f>
        <v>-</v>
      </c>
      <c r="I1598" s="19">
        <f>IFERROR(__xludf.DUMMYFUNCTION("""COMPUTED_VALUE"""),0.00227)</f>
        <v>0.00227</v>
      </c>
      <c r="J1598" s="19">
        <f>IFERROR(__xludf.DUMMYFUNCTION("""COMPUTED_VALUE"""),0.0412)</f>
        <v>0.0412</v>
      </c>
      <c r="K1598" s="19" t="str">
        <f>IFERROR(__xludf.DUMMYFUNCTION("""COMPUTED_VALUE"""),"-")</f>
        <v>-</v>
      </c>
      <c r="L1598" s="19" t="str">
        <f>IFERROR(__xludf.DUMMYFUNCTION("""COMPUTED_VALUE"""),"-")</f>
        <v>-</v>
      </c>
      <c r="O1598" s="24">
        <f t="shared" si="4"/>
        <v>0</v>
      </c>
      <c r="P1598" s="24"/>
      <c r="Q1598" s="24">
        <f t="shared" si="6"/>
        <v>0</v>
      </c>
      <c r="R1598" s="24">
        <f t="shared" si="7"/>
        <v>1</v>
      </c>
      <c r="S1598" s="24"/>
      <c r="T1598" s="24"/>
    </row>
    <row r="1599">
      <c r="A1599" s="12" t="s">
        <v>1687</v>
      </c>
      <c r="F1599" s="19">
        <f>IFERROR(__xludf.DUMMYFUNCTION("SPLIT(A1595, "" |"")"),1593.0)</f>
        <v>1593</v>
      </c>
      <c r="G1599" s="19">
        <f>IFERROR(__xludf.DUMMYFUNCTION("""COMPUTED_VALUE"""),0.00242)</f>
        <v>0.00242</v>
      </c>
      <c r="H1599" s="19" t="str">
        <f>IFERROR(__xludf.DUMMYFUNCTION("""COMPUTED_VALUE"""),"-")</f>
        <v>-</v>
      </c>
      <c r="I1599" s="19">
        <f>IFERROR(__xludf.DUMMYFUNCTION("""COMPUTED_VALUE"""),0.00219)</f>
        <v>0.00219</v>
      </c>
      <c r="J1599" s="19">
        <f>IFERROR(__xludf.DUMMYFUNCTION("""COMPUTED_VALUE"""),0.04572)</f>
        <v>0.04572</v>
      </c>
      <c r="K1599" s="19" t="str">
        <f>IFERROR(__xludf.DUMMYFUNCTION("""COMPUTED_VALUE"""),"-")</f>
        <v>-</v>
      </c>
      <c r="L1599" s="19" t="str">
        <f>IFERROR(__xludf.DUMMYFUNCTION("""COMPUTED_VALUE"""),"-")</f>
        <v>-</v>
      </c>
      <c r="O1599" s="24">
        <f t="shared" si="4"/>
        <v>0</v>
      </c>
      <c r="P1599" s="24"/>
      <c r="Q1599" s="24">
        <f t="shared" si="6"/>
        <v>0</v>
      </c>
      <c r="R1599" s="24">
        <f t="shared" si="7"/>
        <v>0</v>
      </c>
      <c r="S1599" s="24"/>
      <c r="T1599" s="24"/>
    </row>
    <row r="1600">
      <c r="A1600" s="12" t="s">
        <v>1688</v>
      </c>
      <c r="F1600" s="19">
        <f>IFERROR(__xludf.DUMMYFUNCTION("SPLIT(A1596, "" |"")"),1594.0)</f>
        <v>1594</v>
      </c>
      <c r="G1600" s="19">
        <f>IFERROR(__xludf.DUMMYFUNCTION("""COMPUTED_VALUE"""),0.00243)</f>
        <v>0.00243</v>
      </c>
      <c r="H1600" s="19" t="str">
        <f>IFERROR(__xludf.DUMMYFUNCTION("""COMPUTED_VALUE"""),"-")</f>
        <v>-</v>
      </c>
      <c r="I1600" s="19">
        <f>IFERROR(__xludf.DUMMYFUNCTION("""COMPUTED_VALUE"""),0.00221)</f>
        <v>0.00221</v>
      </c>
      <c r="J1600" s="19">
        <f>IFERROR(__xludf.DUMMYFUNCTION("""COMPUTED_VALUE"""),0.04748)</f>
        <v>0.04748</v>
      </c>
      <c r="K1600" s="19" t="str">
        <f>IFERROR(__xludf.DUMMYFUNCTION("""COMPUTED_VALUE"""),"-")</f>
        <v>-</v>
      </c>
      <c r="L1600" s="19" t="str">
        <f>IFERROR(__xludf.DUMMYFUNCTION("""COMPUTED_VALUE"""),"-")</f>
        <v>-</v>
      </c>
      <c r="O1600" s="24">
        <f t="shared" si="4"/>
        <v>0</v>
      </c>
      <c r="P1600" s="24"/>
      <c r="Q1600" s="24">
        <f t="shared" si="6"/>
        <v>0</v>
      </c>
      <c r="R1600" s="24">
        <f t="shared" si="7"/>
        <v>0</v>
      </c>
      <c r="S1600" s="24"/>
      <c r="T1600" s="24"/>
    </row>
    <row r="1601">
      <c r="A1601" s="12" t="s">
        <v>1689</v>
      </c>
      <c r="F1601" s="19">
        <f>IFERROR(__xludf.DUMMYFUNCTION("SPLIT(A1597, "" |"")"),1595.0)</f>
        <v>1595</v>
      </c>
      <c r="G1601" s="19">
        <f>IFERROR(__xludf.DUMMYFUNCTION("""COMPUTED_VALUE"""),0.00241)</f>
        <v>0.00241</v>
      </c>
      <c r="H1601" s="19" t="str">
        <f>IFERROR(__xludf.DUMMYFUNCTION("""COMPUTED_VALUE"""),"-")</f>
        <v>-</v>
      </c>
      <c r="I1601" s="19">
        <f>IFERROR(__xludf.DUMMYFUNCTION("""COMPUTED_VALUE"""),0.00229)</f>
        <v>0.00229</v>
      </c>
      <c r="J1601" s="19">
        <f>IFERROR(__xludf.DUMMYFUNCTION("""COMPUTED_VALUE"""),0.04742)</f>
        <v>0.04742</v>
      </c>
      <c r="K1601" s="19" t="str">
        <f>IFERROR(__xludf.DUMMYFUNCTION("""COMPUTED_VALUE"""),"-")</f>
        <v>-</v>
      </c>
      <c r="L1601" s="19" t="str">
        <f>IFERROR(__xludf.DUMMYFUNCTION("""COMPUTED_VALUE"""),"-")</f>
        <v>-</v>
      </c>
      <c r="O1601" s="24">
        <f t="shared" si="4"/>
        <v>0</v>
      </c>
      <c r="P1601" s="24"/>
      <c r="Q1601" s="24">
        <f t="shared" si="6"/>
        <v>0</v>
      </c>
      <c r="R1601" s="24">
        <f t="shared" si="7"/>
        <v>0</v>
      </c>
      <c r="S1601" s="24"/>
      <c r="T1601" s="24"/>
    </row>
    <row r="1602">
      <c r="A1602" s="12" t="s">
        <v>1690</v>
      </c>
      <c r="F1602" s="19">
        <f>IFERROR(__xludf.DUMMYFUNCTION("SPLIT(A1598, "" |"")"),1596.0)</f>
        <v>1596</v>
      </c>
      <c r="G1602" s="19">
        <f>IFERROR(__xludf.DUMMYFUNCTION("""COMPUTED_VALUE"""),0.00237)</f>
        <v>0.00237</v>
      </c>
      <c r="H1602" s="19" t="str">
        <f>IFERROR(__xludf.DUMMYFUNCTION("""COMPUTED_VALUE"""),"-")</f>
        <v>-</v>
      </c>
      <c r="I1602" s="19">
        <f>IFERROR(__xludf.DUMMYFUNCTION("""COMPUTED_VALUE"""),0.0022)</f>
        <v>0.0022</v>
      </c>
      <c r="J1602" s="19">
        <f>IFERROR(__xludf.DUMMYFUNCTION("""COMPUTED_VALUE"""),0.0475)</f>
        <v>0.0475</v>
      </c>
      <c r="K1602" s="19" t="str">
        <f>IFERROR(__xludf.DUMMYFUNCTION("""COMPUTED_VALUE"""),"-")</f>
        <v>-</v>
      </c>
      <c r="L1602" s="19" t="str">
        <f>IFERROR(__xludf.DUMMYFUNCTION("""COMPUTED_VALUE"""),"-")</f>
        <v>-</v>
      </c>
      <c r="O1602" s="24">
        <f t="shared" si="4"/>
        <v>0</v>
      </c>
      <c r="P1602" s="24"/>
      <c r="Q1602" s="24">
        <f t="shared" si="6"/>
        <v>0</v>
      </c>
      <c r="R1602" s="24">
        <f t="shared" si="7"/>
        <v>0</v>
      </c>
      <c r="S1602" s="24"/>
      <c r="T1602" s="24"/>
    </row>
    <row r="1603">
      <c r="A1603" s="12" t="s">
        <v>1691</v>
      </c>
      <c r="F1603" s="19">
        <f>IFERROR(__xludf.DUMMYFUNCTION("SPLIT(A1599, "" |"")"),1597.0)</f>
        <v>1597</v>
      </c>
      <c r="G1603" s="19">
        <f>IFERROR(__xludf.DUMMYFUNCTION("""COMPUTED_VALUE"""),0.00238)</f>
        <v>0.00238</v>
      </c>
      <c r="H1603" s="19" t="str">
        <f>IFERROR(__xludf.DUMMYFUNCTION("""COMPUTED_VALUE"""),"-")</f>
        <v>-</v>
      </c>
      <c r="I1603" s="19">
        <f>IFERROR(__xludf.DUMMYFUNCTION("""COMPUTED_VALUE"""),0.00218)</f>
        <v>0.00218</v>
      </c>
      <c r="J1603" s="19">
        <f>IFERROR(__xludf.DUMMYFUNCTION("""COMPUTED_VALUE"""),0.04749)</f>
        <v>0.04749</v>
      </c>
      <c r="K1603" s="19" t="str">
        <f>IFERROR(__xludf.DUMMYFUNCTION("""COMPUTED_VALUE"""),"-")</f>
        <v>-</v>
      </c>
      <c r="L1603" s="19" t="str">
        <f>IFERROR(__xludf.DUMMYFUNCTION("""COMPUTED_VALUE"""),"-")</f>
        <v>-</v>
      </c>
      <c r="O1603" s="24">
        <f t="shared" si="4"/>
        <v>0</v>
      </c>
      <c r="P1603" s="24"/>
      <c r="Q1603" s="24">
        <f t="shared" si="6"/>
        <v>0</v>
      </c>
      <c r="R1603" s="24">
        <f t="shared" si="7"/>
        <v>0</v>
      </c>
      <c r="S1603" s="24"/>
      <c r="T1603" s="24"/>
    </row>
    <row r="1604">
      <c r="A1604" s="12" t="s">
        <v>1692</v>
      </c>
      <c r="F1604" s="19">
        <f>IFERROR(__xludf.DUMMYFUNCTION("SPLIT(A1600, "" |"")"),1598.0)</f>
        <v>1598</v>
      </c>
      <c r="G1604" s="19">
        <f>IFERROR(__xludf.DUMMYFUNCTION("""COMPUTED_VALUE"""),0.00241)</f>
        <v>0.00241</v>
      </c>
      <c r="H1604" s="19" t="str">
        <f>IFERROR(__xludf.DUMMYFUNCTION("""COMPUTED_VALUE"""),"-")</f>
        <v>-</v>
      </c>
      <c r="I1604" s="19">
        <f>IFERROR(__xludf.DUMMYFUNCTION("""COMPUTED_VALUE"""),0.00225)</f>
        <v>0.00225</v>
      </c>
      <c r="J1604" s="19">
        <f>IFERROR(__xludf.DUMMYFUNCTION("""COMPUTED_VALUE"""),0.04081)</f>
        <v>0.04081</v>
      </c>
      <c r="K1604" s="19" t="str">
        <f>IFERROR(__xludf.DUMMYFUNCTION("""COMPUTED_VALUE"""),"-")</f>
        <v>-</v>
      </c>
      <c r="L1604" s="19" t="str">
        <f>IFERROR(__xludf.DUMMYFUNCTION("""COMPUTED_VALUE"""),"-")</f>
        <v>-</v>
      </c>
      <c r="O1604" s="24">
        <f t="shared" si="4"/>
        <v>0</v>
      </c>
      <c r="P1604" s="24"/>
      <c r="Q1604" s="24">
        <f t="shared" si="6"/>
        <v>0</v>
      </c>
      <c r="R1604" s="24">
        <f t="shared" si="7"/>
        <v>1</v>
      </c>
      <c r="S1604" s="24"/>
      <c r="T1604" s="24"/>
    </row>
    <row r="1605">
      <c r="A1605" s="12" t="s">
        <v>1693</v>
      </c>
      <c r="F1605" s="19">
        <f>IFERROR(__xludf.DUMMYFUNCTION("SPLIT(A1601, "" |"")"),1599.0)</f>
        <v>1599</v>
      </c>
      <c r="G1605" s="19">
        <f>IFERROR(__xludf.DUMMYFUNCTION("""COMPUTED_VALUE"""),0.00235)</f>
        <v>0.00235</v>
      </c>
      <c r="H1605" s="19" t="str">
        <f>IFERROR(__xludf.DUMMYFUNCTION("""COMPUTED_VALUE"""),"-")</f>
        <v>-</v>
      </c>
      <c r="I1605" s="19">
        <f>IFERROR(__xludf.DUMMYFUNCTION("""COMPUTED_VALUE"""),0.00221)</f>
        <v>0.00221</v>
      </c>
      <c r="J1605" s="19">
        <f>IFERROR(__xludf.DUMMYFUNCTION("""COMPUTED_VALUE"""),0.04747)</f>
        <v>0.04747</v>
      </c>
      <c r="K1605" s="19" t="str">
        <f>IFERROR(__xludf.DUMMYFUNCTION("""COMPUTED_VALUE"""),"-")</f>
        <v>-</v>
      </c>
      <c r="L1605" s="19" t="str">
        <f>IFERROR(__xludf.DUMMYFUNCTION("""COMPUTED_VALUE"""),"-")</f>
        <v>-</v>
      </c>
      <c r="O1605" s="24">
        <f t="shared" si="4"/>
        <v>0</v>
      </c>
      <c r="P1605" s="24"/>
      <c r="Q1605" s="24">
        <f t="shared" si="6"/>
        <v>0</v>
      </c>
      <c r="R1605" s="24">
        <f t="shared" si="7"/>
        <v>0</v>
      </c>
      <c r="S1605" s="24"/>
      <c r="T1605" s="24"/>
    </row>
    <row r="1606">
      <c r="A1606" s="12" t="s">
        <v>1694</v>
      </c>
      <c r="F1606" s="19">
        <f>IFERROR(__xludf.DUMMYFUNCTION("SPLIT(A1602, "" |"")"),1600.0)</f>
        <v>1600</v>
      </c>
      <c r="G1606" s="19">
        <f>IFERROR(__xludf.DUMMYFUNCTION("""COMPUTED_VALUE"""),0.00239)</f>
        <v>0.00239</v>
      </c>
      <c r="H1606" s="19" t="str">
        <f>IFERROR(__xludf.DUMMYFUNCTION("""COMPUTED_VALUE"""),"-")</f>
        <v>-</v>
      </c>
      <c r="I1606" s="19">
        <f>IFERROR(__xludf.DUMMYFUNCTION("""COMPUTED_VALUE"""),0.0022)</f>
        <v>0.0022</v>
      </c>
      <c r="J1606" s="19">
        <f>IFERROR(__xludf.DUMMYFUNCTION("""COMPUTED_VALUE"""),0.04744)</f>
        <v>0.04744</v>
      </c>
      <c r="K1606" s="19" t="str">
        <f>IFERROR(__xludf.DUMMYFUNCTION("""COMPUTED_VALUE"""),"-")</f>
        <v>-</v>
      </c>
      <c r="L1606" s="19" t="str">
        <f>IFERROR(__xludf.DUMMYFUNCTION("""COMPUTED_VALUE"""),"-")</f>
        <v>-</v>
      </c>
      <c r="O1606" s="24">
        <f t="shared" si="4"/>
        <v>0</v>
      </c>
      <c r="P1606" s="24"/>
      <c r="Q1606" s="24">
        <f t="shared" si="6"/>
        <v>0</v>
      </c>
      <c r="R1606" s="24">
        <f t="shared" si="7"/>
        <v>0</v>
      </c>
      <c r="S1606" s="24"/>
      <c r="T1606" s="24"/>
    </row>
    <row r="1607">
      <c r="A1607" s="12" t="s">
        <v>1695</v>
      </c>
      <c r="F1607" s="19">
        <f>IFERROR(__xludf.DUMMYFUNCTION("SPLIT(A1603, "" |"")"),1601.0)</f>
        <v>1601</v>
      </c>
      <c r="G1607" s="19">
        <f>IFERROR(__xludf.DUMMYFUNCTION("""COMPUTED_VALUE"""),0.00236)</f>
        <v>0.00236</v>
      </c>
      <c r="H1607" s="19" t="str">
        <f>IFERROR(__xludf.DUMMYFUNCTION("""COMPUTED_VALUE"""),"-")</f>
        <v>-</v>
      </c>
      <c r="I1607" s="19">
        <f>IFERROR(__xludf.DUMMYFUNCTION("""COMPUTED_VALUE"""),0.00214)</f>
        <v>0.00214</v>
      </c>
      <c r="J1607" s="19">
        <f>IFERROR(__xludf.DUMMYFUNCTION("""COMPUTED_VALUE"""),0.04637)</f>
        <v>0.04637</v>
      </c>
      <c r="K1607" s="19" t="str">
        <f>IFERROR(__xludf.DUMMYFUNCTION("""COMPUTED_VALUE"""),"-")</f>
        <v>-</v>
      </c>
      <c r="L1607" s="19" t="str">
        <f>IFERROR(__xludf.DUMMYFUNCTION("""COMPUTED_VALUE"""),"-")</f>
        <v>-</v>
      </c>
      <c r="O1607" s="24">
        <f t="shared" si="4"/>
        <v>0</v>
      </c>
      <c r="P1607" s="24"/>
      <c r="Q1607" s="24">
        <f t="shared" si="6"/>
        <v>0</v>
      </c>
      <c r="R1607" s="24">
        <f t="shared" si="7"/>
        <v>0</v>
      </c>
      <c r="S1607" s="24"/>
      <c r="T1607" s="24"/>
    </row>
    <row r="1608">
      <c r="A1608" s="12" t="s">
        <v>1696</v>
      </c>
      <c r="F1608" s="19">
        <f>IFERROR(__xludf.DUMMYFUNCTION("SPLIT(A1604, "" |"")"),1602.0)</f>
        <v>1602</v>
      </c>
      <c r="G1608" s="19">
        <f>IFERROR(__xludf.DUMMYFUNCTION("""COMPUTED_VALUE"""),0.0022)</f>
        <v>0.0022</v>
      </c>
      <c r="H1608" s="19" t="str">
        <f>IFERROR(__xludf.DUMMYFUNCTION("""COMPUTED_VALUE"""),"-")</f>
        <v>-</v>
      </c>
      <c r="I1608" s="19">
        <f>IFERROR(__xludf.DUMMYFUNCTION("""COMPUTED_VALUE"""),0.00207)</f>
        <v>0.00207</v>
      </c>
      <c r="J1608" s="19">
        <f>IFERROR(__xludf.DUMMYFUNCTION("""COMPUTED_VALUE"""),0.04728)</f>
        <v>0.04728</v>
      </c>
      <c r="K1608" s="19" t="str">
        <f>IFERROR(__xludf.DUMMYFUNCTION("""COMPUTED_VALUE"""),"-")</f>
        <v>-</v>
      </c>
      <c r="L1608" s="19" t="str">
        <f>IFERROR(__xludf.DUMMYFUNCTION("""COMPUTED_VALUE"""),"-")</f>
        <v>-</v>
      </c>
      <c r="O1608" s="24">
        <f t="shared" si="4"/>
        <v>0</v>
      </c>
      <c r="P1608" s="24"/>
      <c r="Q1608" s="24">
        <f t="shared" si="6"/>
        <v>0</v>
      </c>
      <c r="R1608" s="24">
        <f t="shared" si="7"/>
        <v>0</v>
      </c>
      <c r="S1608" s="24"/>
      <c r="T1608" s="24"/>
    </row>
    <row r="1609">
      <c r="A1609" s="12" t="s">
        <v>1697</v>
      </c>
      <c r="F1609" s="19">
        <f>IFERROR(__xludf.DUMMYFUNCTION("SPLIT(A1605, "" |"")"),1603.0)</f>
        <v>1603</v>
      </c>
      <c r="G1609" s="19">
        <f>IFERROR(__xludf.DUMMYFUNCTION("""COMPUTED_VALUE"""),0.00246)</f>
        <v>0.00246</v>
      </c>
      <c r="H1609" s="19" t="str">
        <f>IFERROR(__xludf.DUMMYFUNCTION("""COMPUTED_VALUE"""),"-")</f>
        <v>-</v>
      </c>
      <c r="I1609" s="19">
        <f>IFERROR(__xludf.DUMMYFUNCTION("""COMPUTED_VALUE"""),0.00228)</f>
        <v>0.00228</v>
      </c>
      <c r="J1609" s="19">
        <f>IFERROR(__xludf.DUMMYFUNCTION("""COMPUTED_VALUE"""),0.04341)</f>
        <v>0.04341</v>
      </c>
      <c r="K1609" s="19" t="str">
        <f>IFERROR(__xludf.DUMMYFUNCTION("""COMPUTED_VALUE"""),"-")</f>
        <v>-</v>
      </c>
      <c r="L1609" s="19" t="str">
        <f>IFERROR(__xludf.DUMMYFUNCTION("""COMPUTED_VALUE"""),"-")</f>
        <v>-</v>
      </c>
      <c r="O1609" s="24">
        <f t="shared" si="4"/>
        <v>0</v>
      </c>
      <c r="P1609" s="24"/>
      <c r="Q1609" s="24">
        <f t="shared" si="6"/>
        <v>0</v>
      </c>
      <c r="R1609" s="24">
        <f t="shared" si="7"/>
        <v>1</v>
      </c>
      <c r="S1609" s="24"/>
      <c r="T1609" s="24"/>
    </row>
    <row r="1610">
      <c r="A1610" s="12" t="s">
        <v>1698</v>
      </c>
      <c r="F1610" s="19">
        <f>IFERROR(__xludf.DUMMYFUNCTION("SPLIT(A1606, "" |"")"),1604.0)</f>
        <v>1604</v>
      </c>
      <c r="G1610" s="19">
        <f>IFERROR(__xludf.DUMMYFUNCTION("""COMPUTED_VALUE"""),0.00231)</f>
        <v>0.00231</v>
      </c>
      <c r="H1610" s="19" t="str">
        <f>IFERROR(__xludf.DUMMYFUNCTION("""COMPUTED_VALUE"""),"-")</f>
        <v>-</v>
      </c>
      <c r="I1610" s="19">
        <f>IFERROR(__xludf.DUMMYFUNCTION("""COMPUTED_VALUE"""),0.00223)</f>
        <v>0.00223</v>
      </c>
      <c r="J1610" s="19">
        <f>IFERROR(__xludf.DUMMYFUNCTION("""COMPUTED_VALUE"""),0.04744)</f>
        <v>0.04744</v>
      </c>
      <c r="K1610" s="19" t="str">
        <f>IFERROR(__xludf.DUMMYFUNCTION("""COMPUTED_VALUE"""),"-")</f>
        <v>-</v>
      </c>
      <c r="L1610" s="19" t="str">
        <f>IFERROR(__xludf.DUMMYFUNCTION("""COMPUTED_VALUE"""),"-")</f>
        <v>-</v>
      </c>
      <c r="O1610" s="24">
        <f t="shared" si="4"/>
        <v>0</v>
      </c>
      <c r="P1610" s="24"/>
      <c r="Q1610" s="24">
        <f t="shared" si="6"/>
        <v>0</v>
      </c>
      <c r="R1610" s="24">
        <f t="shared" si="7"/>
        <v>0</v>
      </c>
      <c r="S1610" s="24"/>
      <c r="T1610" s="24"/>
    </row>
    <row r="1611">
      <c r="A1611" s="12" t="s">
        <v>1699</v>
      </c>
      <c r="F1611" s="19">
        <f>IFERROR(__xludf.DUMMYFUNCTION("SPLIT(A1607, "" |"")"),1605.0)</f>
        <v>1605</v>
      </c>
      <c r="G1611" s="19">
        <f>IFERROR(__xludf.DUMMYFUNCTION("""COMPUTED_VALUE"""),0.00234)</f>
        <v>0.00234</v>
      </c>
      <c r="H1611" s="19" t="str">
        <f>IFERROR(__xludf.DUMMYFUNCTION("""COMPUTED_VALUE"""),"-")</f>
        <v>-</v>
      </c>
      <c r="I1611" s="19">
        <f>IFERROR(__xludf.DUMMYFUNCTION("""COMPUTED_VALUE"""),0.00221)</f>
        <v>0.00221</v>
      </c>
      <c r="J1611" s="19">
        <f>IFERROR(__xludf.DUMMYFUNCTION("""COMPUTED_VALUE"""),0.04747)</f>
        <v>0.04747</v>
      </c>
      <c r="K1611" s="19" t="str">
        <f>IFERROR(__xludf.DUMMYFUNCTION("""COMPUTED_VALUE"""),"-")</f>
        <v>-</v>
      </c>
      <c r="L1611" s="19" t="str">
        <f>IFERROR(__xludf.DUMMYFUNCTION("""COMPUTED_VALUE"""),"-")</f>
        <v>-</v>
      </c>
      <c r="O1611" s="24">
        <f t="shared" si="4"/>
        <v>0</v>
      </c>
      <c r="P1611" s="24"/>
      <c r="Q1611" s="24">
        <f t="shared" si="6"/>
        <v>0</v>
      </c>
      <c r="R1611" s="24">
        <f t="shared" si="7"/>
        <v>0</v>
      </c>
      <c r="S1611" s="24"/>
      <c r="T1611" s="24"/>
    </row>
    <row r="1612">
      <c r="A1612" s="12" t="s">
        <v>1700</v>
      </c>
      <c r="F1612" s="19">
        <f>IFERROR(__xludf.DUMMYFUNCTION("SPLIT(A1608, "" |"")"),1606.0)</f>
        <v>1606</v>
      </c>
      <c r="G1612" s="19">
        <f>IFERROR(__xludf.DUMMYFUNCTION("""COMPUTED_VALUE"""),0.00238)</f>
        <v>0.00238</v>
      </c>
      <c r="H1612" s="19" t="str">
        <f>IFERROR(__xludf.DUMMYFUNCTION("""COMPUTED_VALUE"""),"-")</f>
        <v>-</v>
      </c>
      <c r="I1612" s="19">
        <f>IFERROR(__xludf.DUMMYFUNCTION("""COMPUTED_VALUE"""),0.00227)</f>
        <v>0.00227</v>
      </c>
      <c r="J1612" s="19">
        <f>IFERROR(__xludf.DUMMYFUNCTION("""COMPUTED_VALUE"""),0.04747)</f>
        <v>0.04747</v>
      </c>
      <c r="K1612" s="19" t="str">
        <f>IFERROR(__xludf.DUMMYFUNCTION("""COMPUTED_VALUE"""),"-")</f>
        <v>-</v>
      </c>
      <c r="L1612" s="19" t="str">
        <f>IFERROR(__xludf.DUMMYFUNCTION("""COMPUTED_VALUE"""),"-")</f>
        <v>-</v>
      </c>
      <c r="O1612" s="24">
        <f t="shared" si="4"/>
        <v>0</v>
      </c>
      <c r="P1612" s="24"/>
      <c r="Q1612" s="24">
        <f t="shared" si="6"/>
        <v>0</v>
      </c>
      <c r="R1612" s="24">
        <f t="shared" si="7"/>
        <v>0</v>
      </c>
      <c r="S1612" s="24"/>
      <c r="T1612" s="24"/>
    </row>
    <row r="1613">
      <c r="A1613" s="12" t="s">
        <v>1701</v>
      </c>
      <c r="F1613" s="19">
        <f>IFERROR(__xludf.DUMMYFUNCTION("SPLIT(A1609, "" |"")"),1607.0)</f>
        <v>1607</v>
      </c>
      <c r="G1613" s="19">
        <f>IFERROR(__xludf.DUMMYFUNCTION("""COMPUTED_VALUE"""),0.00238)</f>
        <v>0.00238</v>
      </c>
      <c r="H1613" s="19" t="str">
        <f>IFERROR(__xludf.DUMMYFUNCTION("""COMPUTED_VALUE"""),"-")</f>
        <v>-</v>
      </c>
      <c r="I1613" s="19">
        <f>IFERROR(__xludf.DUMMYFUNCTION("""COMPUTED_VALUE"""),0.00224)</f>
        <v>0.00224</v>
      </c>
      <c r="J1613" s="19">
        <f>IFERROR(__xludf.DUMMYFUNCTION("""COMPUTED_VALUE"""),0.04749)</f>
        <v>0.04749</v>
      </c>
      <c r="K1613" s="19" t="str">
        <f>IFERROR(__xludf.DUMMYFUNCTION("""COMPUTED_VALUE"""),"-")</f>
        <v>-</v>
      </c>
      <c r="L1613" s="19" t="str">
        <f>IFERROR(__xludf.DUMMYFUNCTION("""COMPUTED_VALUE"""),"-")</f>
        <v>-</v>
      </c>
      <c r="O1613" s="24">
        <f t="shared" si="4"/>
        <v>0</v>
      </c>
      <c r="P1613" s="24"/>
      <c r="Q1613" s="24">
        <f t="shared" si="6"/>
        <v>0</v>
      </c>
      <c r="R1613" s="24">
        <f t="shared" si="7"/>
        <v>0</v>
      </c>
      <c r="S1613" s="24"/>
      <c r="T1613" s="24"/>
    </row>
    <row r="1614">
      <c r="A1614" s="12" t="s">
        <v>1702</v>
      </c>
      <c r="F1614" s="19">
        <f>IFERROR(__xludf.DUMMYFUNCTION("SPLIT(A1610, "" |"")"),1608.0)</f>
        <v>1608</v>
      </c>
      <c r="G1614" s="19">
        <f>IFERROR(__xludf.DUMMYFUNCTION("""COMPUTED_VALUE"""),0.00235)</f>
        <v>0.00235</v>
      </c>
      <c r="H1614" s="19" t="str">
        <f>IFERROR(__xludf.DUMMYFUNCTION("""COMPUTED_VALUE"""),"-")</f>
        <v>-</v>
      </c>
      <c r="I1614" s="19">
        <f>IFERROR(__xludf.DUMMYFUNCTION("""COMPUTED_VALUE"""),0.0023)</f>
        <v>0.0023</v>
      </c>
      <c r="J1614" s="19">
        <f>IFERROR(__xludf.DUMMYFUNCTION("""COMPUTED_VALUE"""),0.04342)</f>
        <v>0.04342</v>
      </c>
      <c r="K1614" s="19" t="str">
        <f>IFERROR(__xludf.DUMMYFUNCTION("""COMPUTED_VALUE"""),"-")</f>
        <v>-</v>
      </c>
      <c r="L1614" s="19" t="str">
        <f>IFERROR(__xludf.DUMMYFUNCTION("""COMPUTED_VALUE"""),"-")</f>
        <v>-</v>
      </c>
      <c r="O1614" s="24">
        <f t="shared" si="4"/>
        <v>0</v>
      </c>
      <c r="P1614" s="24"/>
      <c r="Q1614" s="24">
        <f t="shared" si="6"/>
        <v>0</v>
      </c>
      <c r="R1614" s="24">
        <f t="shared" si="7"/>
        <v>1</v>
      </c>
      <c r="S1614" s="24"/>
      <c r="T1614" s="24"/>
    </row>
    <row r="1615">
      <c r="A1615" s="12" t="s">
        <v>1703</v>
      </c>
      <c r="F1615" s="19">
        <f>IFERROR(__xludf.DUMMYFUNCTION("SPLIT(A1611, "" |"")"),1609.0)</f>
        <v>1609</v>
      </c>
      <c r="G1615" s="19">
        <f>IFERROR(__xludf.DUMMYFUNCTION("""COMPUTED_VALUE"""),0.00233)</f>
        <v>0.00233</v>
      </c>
      <c r="H1615" s="19" t="str">
        <f>IFERROR(__xludf.DUMMYFUNCTION("""COMPUTED_VALUE"""),"-")</f>
        <v>-</v>
      </c>
      <c r="I1615" s="19">
        <f>IFERROR(__xludf.DUMMYFUNCTION("""COMPUTED_VALUE"""),0.00216)</f>
        <v>0.00216</v>
      </c>
      <c r="J1615" s="19">
        <f>IFERROR(__xludf.DUMMYFUNCTION("""COMPUTED_VALUE"""),0.04751)</f>
        <v>0.04751</v>
      </c>
      <c r="K1615" s="19" t="str">
        <f>IFERROR(__xludf.DUMMYFUNCTION("""COMPUTED_VALUE"""),"-")</f>
        <v>-</v>
      </c>
      <c r="L1615" s="19" t="str">
        <f>IFERROR(__xludf.DUMMYFUNCTION("""COMPUTED_VALUE"""),"-")</f>
        <v>-</v>
      </c>
      <c r="O1615" s="24">
        <f t="shared" si="4"/>
        <v>0</v>
      </c>
      <c r="P1615" s="24"/>
      <c r="Q1615" s="24">
        <f t="shared" si="6"/>
        <v>0</v>
      </c>
      <c r="R1615" s="24">
        <f t="shared" si="7"/>
        <v>0</v>
      </c>
      <c r="S1615" s="24"/>
      <c r="T1615" s="24"/>
    </row>
    <row r="1616">
      <c r="A1616" s="12" t="s">
        <v>1704</v>
      </c>
      <c r="F1616" s="19">
        <f>IFERROR(__xludf.DUMMYFUNCTION("SPLIT(A1612, "" |"")"),1610.0)</f>
        <v>1610</v>
      </c>
      <c r="G1616" s="19">
        <f>IFERROR(__xludf.DUMMYFUNCTION("""COMPUTED_VALUE"""),0.00243)</f>
        <v>0.00243</v>
      </c>
      <c r="H1616" s="19" t="str">
        <f>IFERROR(__xludf.DUMMYFUNCTION("""COMPUTED_VALUE"""),"-")</f>
        <v>-</v>
      </c>
      <c r="I1616" s="19">
        <f>IFERROR(__xludf.DUMMYFUNCTION("""COMPUTED_VALUE"""),0.0022)</f>
        <v>0.0022</v>
      </c>
      <c r="J1616" s="19">
        <f>IFERROR(__xludf.DUMMYFUNCTION("""COMPUTED_VALUE"""),0.03955)</f>
        <v>0.03955</v>
      </c>
      <c r="K1616" s="19" t="str">
        <f>IFERROR(__xludf.DUMMYFUNCTION("""COMPUTED_VALUE"""),"-")</f>
        <v>-</v>
      </c>
      <c r="L1616" s="19" t="str">
        <f>IFERROR(__xludf.DUMMYFUNCTION("""COMPUTED_VALUE"""),"-")</f>
        <v>-</v>
      </c>
      <c r="O1616" s="24">
        <f t="shared" si="4"/>
        <v>0</v>
      </c>
      <c r="P1616" s="24"/>
      <c r="Q1616" s="24">
        <f t="shared" si="6"/>
        <v>0</v>
      </c>
      <c r="R1616" s="24">
        <f t="shared" si="7"/>
        <v>1</v>
      </c>
      <c r="S1616" s="24"/>
      <c r="T1616" s="24"/>
    </row>
    <row r="1617">
      <c r="A1617" s="12" t="s">
        <v>1705</v>
      </c>
      <c r="F1617" s="19">
        <f>IFERROR(__xludf.DUMMYFUNCTION("SPLIT(A1613, "" |"")"),1611.0)</f>
        <v>1611</v>
      </c>
      <c r="G1617" s="19">
        <f>IFERROR(__xludf.DUMMYFUNCTION("""COMPUTED_VALUE"""),0.00244)</f>
        <v>0.00244</v>
      </c>
      <c r="H1617" s="19" t="str">
        <f>IFERROR(__xludf.DUMMYFUNCTION("""COMPUTED_VALUE"""),"-")</f>
        <v>-</v>
      </c>
      <c r="I1617" s="19">
        <f>IFERROR(__xludf.DUMMYFUNCTION("""COMPUTED_VALUE"""),0.00217)</f>
        <v>0.00217</v>
      </c>
      <c r="J1617" s="19">
        <f>IFERROR(__xludf.DUMMYFUNCTION("""COMPUTED_VALUE"""),0.04751)</f>
        <v>0.04751</v>
      </c>
      <c r="K1617" s="19" t="str">
        <f>IFERROR(__xludf.DUMMYFUNCTION("""COMPUTED_VALUE"""),"-")</f>
        <v>-</v>
      </c>
      <c r="L1617" s="19" t="str">
        <f>IFERROR(__xludf.DUMMYFUNCTION("""COMPUTED_VALUE"""),"-")</f>
        <v>-</v>
      </c>
      <c r="O1617" s="24">
        <f t="shared" si="4"/>
        <v>0</v>
      </c>
      <c r="P1617" s="24"/>
      <c r="Q1617" s="24">
        <f t="shared" si="6"/>
        <v>0</v>
      </c>
      <c r="R1617" s="24">
        <f t="shared" si="7"/>
        <v>0</v>
      </c>
      <c r="S1617" s="24"/>
      <c r="T1617" s="24"/>
    </row>
    <row r="1618">
      <c r="A1618" s="12" t="s">
        <v>1706</v>
      </c>
      <c r="F1618" s="19">
        <f>IFERROR(__xludf.DUMMYFUNCTION("SPLIT(A1614, "" |"")"),1612.0)</f>
        <v>1612</v>
      </c>
      <c r="G1618" s="19">
        <f>IFERROR(__xludf.DUMMYFUNCTION("""COMPUTED_VALUE"""),0.00236)</f>
        <v>0.00236</v>
      </c>
      <c r="H1618" s="19" t="str">
        <f>IFERROR(__xludf.DUMMYFUNCTION("""COMPUTED_VALUE"""),"-")</f>
        <v>-</v>
      </c>
      <c r="I1618" s="19">
        <f>IFERROR(__xludf.DUMMYFUNCTION("""COMPUTED_VALUE"""),0.00228)</f>
        <v>0.00228</v>
      </c>
      <c r="J1618" s="19">
        <f>IFERROR(__xludf.DUMMYFUNCTION("""COMPUTED_VALUE"""),0.04748)</f>
        <v>0.04748</v>
      </c>
      <c r="K1618" s="19" t="str">
        <f>IFERROR(__xludf.DUMMYFUNCTION("""COMPUTED_VALUE"""),"-")</f>
        <v>-</v>
      </c>
      <c r="L1618" s="19" t="str">
        <f>IFERROR(__xludf.DUMMYFUNCTION("""COMPUTED_VALUE"""),"-")</f>
        <v>-</v>
      </c>
      <c r="O1618" s="24">
        <f t="shared" si="4"/>
        <v>0</v>
      </c>
      <c r="P1618" s="24"/>
      <c r="Q1618" s="24">
        <f t="shared" si="6"/>
        <v>0</v>
      </c>
      <c r="R1618" s="24">
        <f t="shared" si="7"/>
        <v>0</v>
      </c>
      <c r="S1618" s="24"/>
      <c r="T1618" s="24"/>
    </row>
    <row r="1619">
      <c r="A1619" s="12" t="s">
        <v>1707</v>
      </c>
      <c r="F1619" s="19">
        <f>IFERROR(__xludf.DUMMYFUNCTION("SPLIT(A1615, "" |"")"),1613.0)</f>
        <v>1613</v>
      </c>
      <c r="G1619" s="19">
        <f>IFERROR(__xludf.DUMMYFUNCTION("""COMPUTED_VALUE"""),0.00236)</f>
        <v>0.00236</v>
      </c>
      <c r="H1619" s="19" t="str">
        <f>IFERROR(__xludf.DUMMYFUNCTION("""COMPUTED_VALUE"""),"-")</f>
        <v>-</v>
      </c>
      <c r="I1619" s="19">
        <f>IFERROR(__xludf.DUMMYFUNCTION("""COMPUTED_VALUE"""),0.00223)</f>
        <v>0.00223</v>
      </c>
      <c r="J1619" s="19">
        <f>IFERROR(__xludf.DUMMYFUNCTION("""COMPUTED_VALUE"""),0.04464)</f>
        <v>0.04464</v>
      </c>
      <c r="K1619" s="19" t="str">
        <f>IFERROR(__xludf.DUMMYFUNCTION("""COMPUTED_VALUE"""),"-")</f>
        <v>-</v>
      </c>
      <c r="L1619" s="19" t="str">
        <f>IFERROR(__xludf.DUMMYFUNCTION("""COMPUTED_VALUE"""),"-")</f>
        <v>-</v>
      </c>
      <c r="O1619" s="24">
        <f t="shared" si="4"/>
        <v>0</v>
      </c>
      <c r="P1619" s="24"/>
      <c r="Q1619" s="24">
        <f t="shared" si="6"/>
        <v>0</v>
      </c>
      <c r="R1619" s="24">
        <f t="shared" si="7"/>
        <v>1</v>
      </c>
      <c r="S1619" s="24"/>
      <c r="T1619" s="24"/>
    </row>
    <row r="1620">
      <c r="A1620" s="12" t="s">
        <v>1708</v>
      </c>
      <c r="F1620" s="19">
        <f>IFERROR(__xludf.DUMMYFUNCTION("SPLIT(A1616, "" |"")"),1614.0)</f>
        <v>1614</v>
      </c>
      <c r="G1620" s="19">
        <f>IFERROR(__xludf.DUMMYFUNCTION("""COMPUTED_VALUE"""),0.00239)</f>
        <v>0.00239</v>
      </c>
      <c r="H1620" s="19" t="str">
        <f>IFERROR(__xludf.DUMMYFUNCTION("""COMPUTED_VALUE"""),"-")</f>
        <v>-</v>
      </c>
      <c r="I1620" s="19">
        <f>IFERROR(__xludf.DUMMYFUNCTION("""COMPUTED_VALUE"""),0.00223)</f>
        <v>0.00223</v>
      </c>
      <c r="J1620" s="19">
        <f>IFERROR(__xludf.DUMMYFUNCTION("""COMPUTED_VALUE"""),0.04745)</f>
        <v>0.04745</v>
      </c>
      <c r="K1620" s="19" t="str">
        <f>IFERROR(__xludf.DUMMYFUNCTION("""COMPUTED_VALUE"""),"-")</f>
        <v>-</v>
      </c>
      <c r="L1620" s="19" t="str">
        <f>IFERROR(__xludf.DUMMYFUNCTION("""COMPUTED_VALUE"""),"-")</f>
        <v>-</v>
      </c>
      <c r="O1620" s="24">
        <f t="shared" si="4"/>
        <v>0</v>
      </c>
      <c r="P1620" s="24"/>
      <c r="Q1620" s="24">
        <f t="shared" si="6"/>
        <v>0</v>
      </c>
      <c r="R1620" s="24">
        <f t="shared" si="7"/>
        <v>0</v>
      </c>
      <c r="S1620" s="24"/>
      <c r="T1620" s="24"/>
    </row>
    <row r="1621">
      <c r="A1621" s="12" t="s">
        <v>1709</v>
      </c>
      <c r="F1621" s="19">
        <f>IFERROR(__xludf.DUMMYFUNCTION("SPLIT(A1617, "" |"")"),1615.0)</f>
        <v>1615</v>
      </c>
      <c r="G1621" s="19">
        <f>IFERROR(__xludf.DUMMYFUNCTION("""COMPUTED_VALUE"""),0.00235)</f>
        <v>0.00235</v>
      </c>
      <c r="H1621" s="19" t="str">
        <f>IFERROR(__xludf.DUMMYFUNCTION("""COMPUTED_VALUE"""),"-")</f>
        <v>-</v>
      </c>
      <c r="I1621" s="19">
        <f>IFERROR(__xludf.DUMMYFUNCTION("""COMPUTED_VALUE"""),0.00222)</f>
        <v>0.00222</v>
      </c>
      <c r="J1621" s="19">
        <f>IFERROR(__xludf.DUMMYFUNCTION("""COMPUTED_VALUE"""),0.04748)</f>
        <v>0.04748</v>
      </c>
      <c r="K1621" s="19" t="str">
        <f>IFERROR(__xludf.DUMMYFUNCTION("""COMPUTED_VALUE"""),"-")</f>
        <v>-</v>
      </c>
      <c r="L1621" s="19" t="str">
        <f>IFERROR(__xludf.DUMMYFUNCTION("""COMPUTED_VALUE"""),"-")</f>
        <v>-</v>
      </c>
      <c r="O1621" s="24">
        <f t="shared" si="4"/>
        <v>0</v>
      </c>
      <c r="P1621" s="24"/>
      <c r="Q1621" s="24">
        <f t="shared" si="6"/>
        <v>0</v>
      </c>
      <c r="R1621" s="24">
        <f t="shared" si="7"/>
        <v>0</v>
      </c>
      <c r="S1621" s="24"/>
      <c r="T1621" s="24"/>
    </row>
    <row r="1622">
      <c r="A1622" s="12" t="s">
        <v>1710</v>
      </c>
      <c r="F1622" s="19">
        <f>IFERROR(__xludf.DUMMYFUNCTION("SPLIT(A1618, "" |"")"),1616.0)</f>
        <v>1616</v>
      </c>
      <c r="G1622" s="19">
        <f>IFERROR(__xludf.DUMMYFUNCTION("""COMPUTED_VALUE"""),0.00237)</f>
        <v>0.00237</v>
      </c>
      <c r="H1622" s="19" t="str">
        <f>IFERROR(__xludf.DUMMYFUNCTION("""COMPUTED_VALUE"""),"-")</f>
        <v>-</v>
      </c>
      <c r="I1622" s="19">
        <f>IFERROR(__xludf.DUMMYFUNCTION("""COMPUTED_VALUE"""),0.00223)</f>
        <v>0.00223</v>
      </c>
      <c r="J1622" s="19">
        <f>IFERROR(__xludf.DUMMYFUNCTION("""COMPUTED_VALUE"""),0.04742)</f>
        <v>0.04742</v>
      </c>
      <c r="K1622" s="19" t="str">
        <f>IFERROR(__xludf.DUMMYFUNCTION("""COMPUTED_VALUE"""),"-")</f>
        <v>-</v>
      </c>
      <c r="L1622" s="19" t="str">
        <f>IFERROR(__xludf.DUMMYFUNCTION("""COMPUTED_VALUE"""),"-")</f>
        <v>-</v>
      </c>
      <c r="O1622" s="24">
        <f t="shared" si="4"/>
        <v>0</v>
      </c>
      <c r="P1622" s="24"/>
      <c r="Q1622" s="24">
        <f t="shared" si="6"/>
        <v>0</v>
      </c>
      <c r="R1622" s="24">
        <f t="shared" si="7"/>
        <v>0</v>
      </c>
      <c r="S1622" s="24"/>
      <c r="T1622" s="24"/>
    </row>
    <row r="1623">
      <c r="A1623" s="12" t="s">
        <v>1711</v>
      </c>
      <c r="F1623" s="19">
        <f>IFERROR(__xludf.DUMMYFUNCTION("SPLIT(A1619, "" |"")"),1617.0)</f>
        <v>1617</v>
      </c>
      <c r="G1623" s="19">
        <f>IFERROR(__xludf.DUMMYFUNCTION("""COMPUTED_VALUE"""),0.00243)</f>
        <v>0.00243</v>
      </c>
      <c r="H1623" s="19" t="str">
        <f>IFERROR(__xludf.DUMMYFUNCTION("""COMPUTED_VALUE"""),"-")</f>
        <v>-</v>
      </c>
      <c r="I1623" s="19">
        <f>IFERROR(__xludf.DUMMYFUNCTION("""COMPUTED_VALUE"""),0.00222)</f>
        <v>0.00222</v>
      </c>
      <c r="J1623" s="19">
        <f>IFERROR(__xludf.DUMMYFUNCTION("""COMPUTED_VALUE"""),0.04752)</f>
        <v>0.04752</v>
      </c>
      <c r="K1623" s="19" t="str">
        <f>IFERROR(__xludf.DUMMYFUNCTION("""COMPUTED_VALUE"""),"-")</f>
        <v>-</v>
      </c>
      <c r="L1623" s="19" t="str">
        <f>IFERROR(__xludf.DUMMYFUNCTION("""COMPUTED_VALUE"""),"-")</f>
        <v>-</v>
      </c>
      <c r="O1623" s="24">
        <f t="shared" si="4"/>
        <v>0</v>
      </c>
      <c r="P1623" s="24"/>
      <c r="Q1623" s="24">
        <f t="shared" si="6"/>
        <v>0</v>
      </c>
      <c r="R1623" s="24">
        <f t="shared" si="7"/>
        <v>0</v>
      </c>
      <c r="S1623" s="24"/>
      <c r="T1623" s="24"/>
    </row>
    <row r="1624">
      <c r="A1624" s="12" t="s">
        <v>1712</v>
      </c>
      <c r="F1624" s="19">
        <f>IFERROR(__xludf.DUMMYFUNCTION("SPLIT(A1620, "" |"")"),1618.0)</f>
        <v>1618</v>
      </c>
      <c r="G1624" s="19">
        <f>IFERROR(__xludf.DUMMYFUNCTION("""COMPUTED_VALUE"""),0.00239)</f>
        <v>0.00239</v>
      </c>
      <c r="H1624" s="19" t="str">
        <f>IFERROR(__xludf.DUMMYFUNCTION("""COMPUTED_VALUE"""),"-")</f>
        <v>-</v>
      </c>
      <c r="I1624" s="19">
        <f>IFERROR(__xludf.DUMMYFUNCTION("""COMPUTED_VALUE"""),0.00226)</f>
        <v>0.00226</v>
      </c>
      <c r="J1624" s="19">
        <f>IFERROR(__xludf.DUMMYFUNCTION("""COMPUTED_VALUE"""),0.04748)</f>
        <v>0.04748</v>
      </c>
      <c r="K1624" s="19" t="str">
        <f>IFERROR(__xludf.DUMMYFUNCTION("""COMPUTED_VALUE"""),"-")</f>
        <v>-</v>
      </c>
      <c r="L1624" s="19" t="str">
        <f>IFERROR(__xludf.DUMMYFUNCTION("""COMPUTED_VALUE"""),"-")</f>
        <v>-</v>
      </c>
      <c r="O1624" s="24">
        <f t="shared" si="4"/>
        <v>0</v>
      </c>
      <c r="P1624" s="24"/>
      <c r="Q1624" s="24">
        <f t="shared" si="6"/>
        <v>0</v>
      </c>
      <c r="R1624" s="24">
        <f t="shared" si="7"/>
        <v>0</v>
      </c>
      <c r="S1624" s="24"/>
      <c r="T1624" s="24"/>
    </row>
    <row r="1625">
      <c r="A1625" s="12" t="s">
        <v>1713</v>
      </c>
      <c r="F1625" s="19">
        <f>IFERROR(__xludf.DUMMYFUNCTION("SPLIT(A1621, "" |"")"),1619.0)</f>
        <v>1619</v>
      </c>
      <c r="G1625" s="19">
        <f>IFERROR(__xludf.DUMMYFUNCTION("""COMPUTED_VALUE"""),0.00234)</f>
        <v>0.00234</v>
      </c>
      <c r="H1625" s="19" t="str">
        <f>IFERROR(__xludf.DUMMYFUNCTION("""COMPUTED_VALUE"""),"-")</f>
        <v>-</v>
      </c>
      <c r="I1625" s="19">
        <f>IFERROR(__xludf.DUMMYFUNCTION("""COMPUTED_VALUE"""),0.00219)</f>
        <v>0.00219</v>
      </c>
      <c r="J1625" s="19">
        <f>IFERROR(__xludf.DUMMYFUNCTION("""COMPUTED_VALUE"""),0.04743)</f>
        <v>0.04743</v>
      </c>
      <c r="K1625" s="19" t="str">
        <f>IFERROR(__xludf.DUMMYFUNCTION("""COMPUTED_VALUE"""),"-")</f>
        <v>-</v>
      </c>
      <c r="L1625" s="19" t="str">
        <f>IFERROR(__xludf.DUMMYFUNCTION("""COMPUTED_VALUE"""),"-")</f>
        <v>-</v>
      </c>
      <c r="O1625" s="24">
        <f t="shared" si="4"/>
        <v>0</v>
      </c>
      <c r="P1625" s="24"/>
      <c r="Q1625" s="24">
        <f t="shared" si="6"/>
        <v>0</v>
      </c>
      <c r="R1625" s="24">
        <f t="shared" si="7"/>
        <v>0</v>
      </c>
      <c r="S1625" s="24"/>
      <c r="T1625" s="24"/>
    </row>
    <row r="1626">
      <c r="A1626" s="12" t="s">
        <v>1714</v>
      </c>
      <c r="F1626" s="19">
        <f>IFERROR(__xludf.DUMMYFUNCTION("SPLIT(A1622, "" |"")"),1620.0)</f>
        <v>1620</v>
      </c>
      <c r="G1626" s="19">
        <f>IFERROR(__xludf.DUMMYFUNCTION("""COMPUTED_VALUE"""),0.00234)</f>
        <v>0.00234</v>
      </c>
      <c r="H1626" s="19" t="str">
        <f>IFERROR(__xludf.DUMMYFUNCTION("""COMPUTED_VALUE"""),"-")</f>
        <v>-</v>
      </c>
      <c r="I1626" s="19">
        <f>IFERROR(__xludf.DUMMYFUNCTION("""COMPUTED_VALUE"""),0.00224)</f>
        <v>0.00224</v>
      </c>
      <c r="J1626" s="19">
        <f>IFERROR(__xludf.DUMMYFUNCTION("""COMPUTED_VALUE"""),0.04567)</f>
        <v>0.04567</v>
      </c>
      <c r="K1626" s="19" t="str">
        <f>IFERROR(__xludf.DUMMYFUNCTION("""COMPUTED_VALUE"""),"-")</f>
        <v>-</v>
      </c>
      <c r="L1626" s="19" t="str">
        <f>IFERROR(__xludf.DUMMYFUNCTION("""COMPUTED_VALUE"""),"-")</f>
        <v>-</v>
      </c>
      <c r="O1626" s="24">
        <f t="shared" si="4"/>
        <v>0</v>
      </c>
      <c r="P1626" s="24"/>
      <c r="Q1626" s="24">
        <f t="shared" si="6"/>
        <v>0</v>
      </c>
      <c r="R1626" s="24">
        <f t="shared" si="7"/>
        <v>0</v>
      </c>
      <c r="S1626" s="24"/>
      <c r="T1626" s="24"/>
    </row>
    <row r="1627">
      <c r="A1627" s="12" t="s">
        <v>1715</v>
      </c>
      <c r="F1627" s="19">
        <f>IFERROR(__xludf.DUMMYFUNCTION("SPLIT(A1623, "" |"")"),1621.0)</f>
        <v>1621</v>
      </c>
      <c r="G1627" s="19">
        <f>IFERROR(__xludf.DUMMYFUNCTION("""COMPUTED_VALUE"""),0.00237)</f>
        <v>0.00237</v>
      </c>
      <c r="H1627" s="19" t="str">
        <f>IFERROR(__xludf.DUMMYFUNCTION("""COMPUTED_VALUE"""),"-")</f>
        <v>-</v>
      </c>
      <c r="I1627" s="19">
        <f>IFERROR(__xludf.DUMMYFUNCTION("""COMPUTED_VALUE"""),0.00209)</f>
        <v>0.00209</v>
      </c>
      <c r="J1627" s="19">
        <f>IFERROR(__xludf.DUMMYFUNCTION("""COMPUTED_VALUE"""),0.0473)</f>
        <v>0.0473</v>
      </c>
      <c r="K1627" s="19" t="str">
        <f>IFERROR(__xludf.DUMMYFUNCTION("""COMPUTED_VALUE"""),"-")</f>
        <v>-</v>
      </c>
      <c r="L1627" s="19" t="str">
        <f>IFERROR(__xludf.DUMMYFUNCTION("""COMPUTED_VALUE"""),"-")</f>
        <v>-</v>
      </c>
      <c r="O1627" s="24">
        <f t="shared" si="4"/>
        <v>0</v>
      </c>
      <c r="P1627" s="24"/>
      <c r="Q1627" s="24">
        <f t="shared" si="6"/>
        <v>0</v>
      </c>
      <c r="R1627" s="24">
        <f t="shared" si="7"/>
        <v>0</v>
      </c>
      <c r="S1627" s="24"/>
      <c r="T1627" s="24"/>
    </row>
    <row r="1628">
      <c r="A1628" s="12" t="s">
        <v>1716</v>
      </c>
      <c r="F1628" s="19">
        <f>IFERROR(__xludf.DUMMYFUNCTION("SPLIT(A1624, "" |"")"),1622.0)</f>
        <v>1622</v>
      </c>
      <c r="G1628" s="19">
        <f>IFERROR(__xludf.DUMMYFUNCTION("""COMPUTED_VALUE"""),0.00252)</f>
        <v>0.00252</v>
      </c>
      <c r="H1628" s="19" t="str">
        <f>IFERROR(__xludf.DUMMYFUNCTION("""COMPUTED_VALUE"""),"-")</f>
        <v>-</v>
      </c>
      <c r="I1628" s="19">
        <f>IFERROR(__xludf.DUMMYFUNCTION("""COMPUTED_VALUE"""),0.00222)</f>
        <v>0.00222</v>
      </c>
      <c r="J1628" s="19">
        <f>IFERROR(__xludf.DUMMYFUNCTION("""COMPUTED_VALUE"""),0.04748)</f>
        <v>0.04748</v>
      </c>
      <c r="K1628" s="19" t="str">
        <f>IFERROR(__xludf.DUMMYFUNCTION("""COMPUTED_VALUE"""),"-")</f>
        <v>-</v>
      </c>
      <c r="L1628" s="19" t="str">
        <f>IFERROR(__xludf.DUMMYFUNCTION("""COMPUTED_VALUE"""),"-")</f>
        <v>-</v>
      </c>
      <c r="O1628" s="24">
        <f t="shared" si="4"/>
        <v>0</v>
      </c>
      <c r="P1628" s="24"/>
      <c r="Q1628" s="24">
        <f t="shared" si="6"/>
        <v>0</v>
      </c>
      <c r="R1628" s="24">
        <f t="shared" si="7"/>
        <v>0</v>
      </c>
      <c r="S1628" s="24"/>
      <c r="T1628" s="24"/>
    </row>
    <row r="1629">
      <c r="A1629" s="12" t="s">
        <v>1717</v>
      </c>
      <c r="F1629" s="19">
        <f>IFERROR(__xludf.DUMMYFUNCTION("SPLIT(A1625, "" |"")"),1623.0)</f>
        <v>1623</v>
      </c>
      <c r="G1629" s="19">
        <f>IFERROR(__xludf.DUMMYFUNCTION("""COMPUTED_VALUE"""),0.00236)</f>
        <v>0.00236</v>
      </c>
      <c r="H1629" s="19" t="str">
        <f>IFERROR(__xludf.DUMMYFUNCTION("""COMPUTED_VALUE"""),"-")</f>
        <v>-</v>
      </c>
      <c r="I1629" s="19">
        <f>IFERROR(__xludf.DUMMYFUNCTION("""COMPUTED_VALUE"""),0.00218)</f>
        <v>0.00218</v>
      </c>
      <c r="J1629" s="19">
        <f>IFERROR(__xludf.DUMMYFUNCTION("""COMPUTED_VALUE"""),0.04026)</f>
        <v>0.04026</v>
      </c>
      <c r="K1629" s="19" t="str">
        <f>IFERROR(__xludf.DUMMYFUNCTION("""COMPUTED_VALUE"""),"-")</f>
        <v>-</v>
      </c>
      <c r="L1629" s="19" t="str">
        <f>IFERROR(__xludf.DUMMYFUNCTION("""COMPUTED_VALUE"""),"-")</f>
        <v>-</v>
      </c>
      <c r="O1629" s="24">
        <f t="shared" si="4"/>
        <v>0</v>
      </c>
      <c r="P1629" s="24"/>
      <c r="Q1629" s="24">
        <f t="shared" si="6"/>
        <v>0</v>
      </c>
      <c r="R1629" s="24">
        <f t="shared" si="7"/>
        <v>1</v>
      </c>
      <c r="S1629" s="24"/>
      <c r="T1629" s="24"/>
    </row>
    <row r="1630">
      <c r="A1630" s="12" t="s">
        <v>1718</v>
      </c>
      <c r="F1630" s="19">
        <f>IFERROR(__xludf.DUMMYFUNCTION("SPLIT(A1626, "" |"")"),1624.0)</f>
        <v>1624</v>
      </c>
      <c r="G1630" s="19">
        <f>IFERROR(__xludf.DUMMYFUNCTION("""COMPUTED_VALUE"""),0.00236)</f>
        <v>0.00236</v>
      </c>
      <c r="H1630" s="19" t="str">
        <f>IFERROR(__xludf.DUMMYFUNCTION("""COMPUTED_VALUE"""),"-")</f>
        <v>-</v>
      </c>
      <c r="I1630" s="19">
        <f>IFERROR(__xludf.DUMMYFUNCTION("""COMPUTED_VALUE"""),0.00224)</f>
        <v>0.00224</v>
      </c>
      <c r="J1630" s="19">
        <f>IFERROR(__xludf.DUMMYFUNCTION("""COMPUTED_VALUE"""),0.04493)</f>
        <v>0.04493</v>
      </c>
      <c r="K1630" s="19" t="str">
        <f>IFERROR(__xludf.DUMMYFUNCTION("""COMPUTED_VALUE"""),"-")</f>
        <v>-</v>
      </c>
      <c r="L1630" s="19" t="str">
        <f>IFERROR(__xludf.DUMMYFUNCTION("""COMPUTED_VALUE"""),"-")</f>
        <v>-</v>
      </c>
      <c r="O1630" s="24">
        <f t="shared" si="4"/>
        <v>0</v>
      </c>
      <c r="P1630" s="24"/>
      <c r="Q1630" s="24">
        <f t="shared" si="6"/>
        <v>0</v>
      </c>
      <c r="R1630" s="24">
        <f t="shared" si="7"/>
        <v>0</v>
      </c>
      <c r="S1630" s="24"/>
      <c r="T1630" s="24"/>
    </row>
    <row r="1631">
      <c r="A1631" s="12" t="s">
        <v>1719</v>
      </c>
      <c r="F1631" s="19">
        <f>IFERROR(__xludf.DUMMYFUNCTION("SPLIT(A1627, "" |"")"),1625.0)</f>
        <v>1625</v>
      </c>
      <c r="G1631" s="19">
        <f>IFERROR(__xludf.DUMMYFUNCTION("""COMPUTED_VALUE"""),0.00238)</f>
        <v>0.00238</v>
      </c>
      <c r="H1631" s="19" t="str">
        <f>IFERROR(__xludf.DUMMYFUNCTION("""COMPUTED_VALUE"""),"-")</f>
        <v>-</v>
      </c>
      <c r="I1631" s="19">
        <f>IFERROR(__xludf.DUMMYFUNCTION("""COMPUTED_VALUE"""),0.00224)</f>
        <v>0.00224</v>
      </c>
      <c r="J1631" s="19">
        <f>IFERROR(__xludf.DUMMYFUNCTION("""COMPUTED_VALUE"""),0.04744)</f>
        <v>0.04744</v>
      </c>
      <c r="K1631" s="19" t="str">
        <f>IFERROR(__xludf.DUMMYFUNCTION("""COMPUTED_VALUE"""),"-")</f>
        <v>-</v>
      </c>
      <c r="L1631" s="19" t="str">
        <f>IFERROR(__xludf.DUMMYFUNCTION("""COMPUTED_VALUE"""),"-")</f>
        <v>-</v>
      </c>
      <c r="O1631" s="24">
        <f t="shared" si="4"/>
        <v>0</v>
      </c>
      <c r="P1631" s="24"/>
      <c r="Q1631" s="24">
        <f t="shared" si="6"/>
        <v>0</v>
      </c>
      <c r="R1631" s="24">
        <f t="shared" si="7"/>
        <v>0</v>
      </c>
      <c r="S1631" s="24"/>
      <c r="T1631" s="24"/>
    </row>
    <row r="1632">
      <c r="A1632" s="12" t="s">
        <v>1720</v>
      </c>
      <c r="F1632" s="19">
        <f>IFERROR(__xludf.DUMMYFUNCTION("SPLIT(A1628, "" |"")"),1626.0)</f>
        <v>1626</v>
      </c>
      <c r="G1632" s="19">
        <f>IFERROR(__xludf.DUMMYFUNCTION("""COMPUTED_VALUE"""),0.00226)</f>
        <v>0.00226</v>
      </c>
      <c r="H1632" s="19" t="str">
        <f>IFERROR(__xludf.DUMMYFUNCTION("""COMPUTED_VALUE"""),"-")</f>
        <v>-</v>
      </c>
      <c r="I1632" s="19">
        <f>IFERROR(__xludf.DUMMYFUNCTION("""COMPUTED_VALUE"""),0.00232)</f>
        <v>0.00232</v>
      </c>
      <c r="J1632" s="19">
        <f>IFERROR(__xludf.DUMMYFUNCTION("""COMPUTED_VALUE"""),0.04749)</f>
        <v>0.04749</v>
      </c>
      <c r="K1632" s="19" t="str">
        <f>IFERROR(__xludf.DUMMYFUNCTION("""COMPUTED_VALUE"""),"-")</f>
        <v>-</v>
      </c>
      <c r="L1632" s="19" t="str">
        <f>IFERROR(__xludf.DUMMYFUNCTION("""COMPUTED_VALUE"""),"-")</f>
        <v>-</v>
      </c>
      <c r="O1632" s="24">
        <f t="shared" si="4"/>
        <v>0</v>
      </c>
      <c r="P1632" s="24"/>
      <c r="Q1632" s="24">
        <f t="shared" si="6"/>
        <v>0</v>
      </c>
      <c r="R1632" s="24">
        <f t="shared" si="7"/>
        <v>0</v>
      </c>
      <c r="S1632" s="24"/>
      <c r="T1632" s="24"/>
    </row>
    <row r="1633">
      <c r="A1633" s="12" t="s">
        <v>1721</v>
      </c>
      <c r="F1633" s="19">
        <f>IFERROR(__xludf.DUMMYFUNCTION("SPLIT(A1629, "" |"")"),1627.0)</f>
        <v>1627</v>
      </c>
      <c r="G1633" s="19">
        <f>IFERROR(__xludf.DUMMYFUNCTION("""COMPUTED_VALUE"""),0.0024)</f>
        <v>0.0024</v>
      </c>
      <c r="H1633" s="19" t="str">
        <f>IFERROR(__xludf.DUMMYFUNCTION("""COMPUTED_VALUE"""),"-")</f>
        <v>-</v>
      </c>
      <c r="I1633" s="19">
        <f>IFERROR(__xludf.DUMMYFUNCTION("""COMPUTED_VALUE"""),0.00227)</f>
        <v>0.00227</v>
      </c>
      <c r="J1633" s="19">
        <f>IFERROR(__xludf.DUMMYFUNCTION("""COMPUTED_VALUE"""),0.04747)</f>
        <v>0.04747</v>
      </c>
      <c r="K1633" s="19" t="str">
        <f>IFERROR(__xludf.DUMMYFUNCTION("""COMPUTED_VALUE"""),"-")</f>
        <v>-</v>
      </c>
      <c r="L1633" s="19" t="str">
        <f>IFERROR(__xludf.DUMMYFUNCTION("""COMPUTED_VALUE"""),"-")</f>
        <v>-</v>
      </c>
      <c r="O1633" s="24">
        <f t="shared" si="4"/>
        <v>0</v>
      </c>
      <c r="P1633" s="24"/>
      <c r="Q1633" s="24">
        <f t="shared" si="6"/>
        <v>0</v>
      </c>
      <c r="R1633" s="24">
        <f t="shared" si="7"/>
        <v>0</v>
      </c>
      <c r="S1633" s="24"/>
      <c r="T1633" s="24"/>
    </row>
    <row r="1634">
      <c r="A1634" s="12" t="s">
        <v>1722</v>
      </c>
      <c r="F1634" s="19">
        <f>IFERROR(__xludf.DUMMYFUNCTION("SPLIT(A1630, "" |"")"),1628.0)</f>
        <v>1628</v>
      </c>
      <c r="G1634" s="19">
        <f>IFERROR(__xludf.DUMMYFUNCTION("""COMPUTED_VALUE"""),0.0024)</f>
        <v>0.0024</v>
      </c>
      <c r="H1634" s="19" t="str">
        <f>IFERROR(__xludf.DUMMYFUNCTION("""COMPUTED_VALUE"""),"-")</f>
        <v>-</v>
      </c>
      <c r="I1634" s="19">
        <f>IFERROR(__xludf.DUMMYFUNCTION("""COMPUTED_VALUE"""),0.00222)</f>
        <v>0.00222</v>
      </c>
      <c r="J1634" s="19">
        <f>IFERROR(__xludf.DUMMYFUNCTION("""COMPUTED_VALUE"""),0.04418)</f>
        <v>0.04418</v>
      </c>
      <c r="K1634" s="19" t="str">
        <f>IFERROR(__xludf.DUMMYFUNCTION("""COMPUTED_VALUE"""),"-")</f>
        <v>-</v>
      </c>
      <c r="L1634" s="19" t="str">
        <f>IFERROR(__xludf.DUMMYFUNCTION("""COMPUTED_VALUE"""),"-")</f>
        <v>-</v>
      </c>
      <c r="O1634" s="24">
        <f t="shared" si="4"/>
        <v>0</v>
      </c>
      <c r="P1634" s="24"/>
      <c r="Q1634" s="24">
        <f t="shared" si="6"/>
        <v>0</v>
      </c>
      <c r="R1634" s="24">
        <f t="shared" si="7"/>
        <v>1</v>
      </c>
      <c r="S1634" s="24"/>
      <c r="T1634" s="24"/>
    </row>
    <row r="1635">
      <c r="A1635" s="12" t="s">
        <v>1723</v>
      </c>
      <c r="F1635" s="19">
        <f>IFERROR(__xludf.DUMMYFUNCTION("SPLIT(A1631, "" |"")"),1629.0)</f>
        <v>1629</v>
      </c>
      <c r="G1635" s="19">
        <f>IFERROR(__xludf.DUMMYFUNCTION("""COMPUTED_VALUE"""),0.00232)</f>
        <v>0.00232</v>
      </c>
      <c r="H1635" s="19" t="str">
        <f>IFERROR(__xludf.DUMMYFUNCTION("""COMPUTED_VALUE"""),"-")</f>
        <v>-</v>
      </c>
      <c r="I1635" s="19">
        <f>IFERROR(__xludf.DUMMYFUNCTION("""COMPUTED_VALUE"""),0.00216)</f>
        <v>0.00216</v>
      </c>
      <c r="J1635" s="19">
        <f>IFERROR(__xludf.DUMMYFUNCTION("""COMPUTED_VALUE"""),0.04734)</f>
        <v>0.04734</v>
      </c>
      <c r="K1635" s="19" t="str">
        <f>IFERROR(__xludf.DUMMYFUNCTION("""COMPUTED_VALUE"""),"-")</f>
        <v>-</v>
      </c>
      <c r="L1635" s="19" t="str">
        <f>IFERROR(__xludf.DUMMYFUNCTION("""COMPUTED_VALUE"""),"-")</f>
        <v>-</v>
      </c>
      <c r="O1635" s="24">
        <f t="shared" si="4"/>
        <v>0</v>
      </c>
      <c r="P1635" s="24"/>
      <c r="Q1635" s="24">
        <f t="shared" si="6"/>
        <v>0</v>
      </c>
      <c r="R1635" s="24">
        <f t="shared" si="7"/>
        <v>0</v>
      </c>
      <c r="S1635" s="24"/>
      <c r="T1635" s="24"/>
    </row>
    <row r="1636">
      <c r="A1636" s="12" t="s">
        <v>1724</v>
      </c>
      <c r="F1636" s="19">
        <f>IFERROR(__xludf.DUMMYFUNCTION("SPLIT(A1632, "" |"")"),1630.0)</f>
        <v>1630</v>
      </c>
      <c r="G1636" s="19">
        <f>IFERROR(__xludf.DUMMYFUNCTION("""COMPUTED_VALUE"""),0.00235)</f>
        <v>0.00235</v>
      </c>
      <c r="H1636" s="19" t="str">
        <f>IFERROR(__xludf.DUMMYFUNCTION("""COMPUTED_VALUE"""),"-")</f>
        <v>-</v>
      </c>
      <c r="I1636" s="19">
        <f>IFERROR(__xludf.DUMMYFUNCTION("""COMPUTED_VALUE"""),0.00233)</f>
        <v>0.00233</v>
      </c>
      <c r="J1636" s="19">
        <f>IFERROR(__xludf.DUMMYFUNCTION("""COMPUTED_VALUE"""),0.04768)</f>
        <v>0.04768</v>
      </c>
      <c r="K1636" s="19" t="str">
        <f>IFERROR(__xludf.DUMMYFUNCTION("""COMPUTED_VALUE"""),"-")</f>
        <v>-</v>
      </c>
      <c r="L1636" s="19" t="str">
        <f>IFERROR(__xludf.DUMMYFUNCTION("""COMPUTED_VALUE"""),"-")</f>
        <v>-</v>
      </c>
      <c r="O1636" s="24">
        <f t="shared" si="4"/>
        <v>0</v>
      </c>
      <c r="P1636" s="24"/>
      <c r="Q1636" s="24">
        <f t="shared" si="6"/>
        <v>0</v>
      </c>
      <c r="R1636" s="24">
        <f t="shared" si="7"/>
        <v>0</v>
      </c>
      <c r="S1636" s="24"/>
      <c r="T1636" s="24"/>
    </row>
    <row r="1637">
      <c r="A1637" s="12" t="s">
        <v>1725</v>
      </c>
      <c r="F1637" s="19">
        <f>IFERROR(__xludf.DUMMYFUNCTION("SPLIT(A1633, "" |"")"),1631.0)</f>
        <v>1631</v>
      </c>
      <c r="G1637" s="19">
        <f>IFERROR(__xludf.DUMMYFUNCTION("""COMPUTED_VALUE"""),0.00239)</f>
        <v>0.00239</v>
      </c>
      <c r="H1637" s="19" t="str">
        <f>IFERROR(__xludf.DUMMYFUNCTION("""COMPUTED_VALUE"""),"-")</f>
        <v>-</v>
      </c>
      <c r="I1637" s="19">
        <f>IFERROR(__xludf.DUMMYFUNCTION("""COMPUTED_VALUE"""),0.00223)</f>
        <v>0.00223</v>
      </c>
      <c r="J1637" s="19">
        <f>IFERROR(__xludf.DUMMYFUNCTION("""COMPUTED_VALUE"""),0.0415)</f>
        <v>0.0415</v>
      </c>
      <c r="K1637" s="19" t="str">
        <f>IFERROR(__xludf.DUMMYFUNCTION("""COMPUTED_VALUE"""),"-")</f>
        <v>-</v>
      </c>
      <c r="L1637" s="19" t="str">
        <f>IFERROR(__xludf.DUMMYFUNCTION("""COMPUTED_VALUE"""),"-")</f>
        <v>-</v>
      </c>
      <c r="O1637" s="24">
        <f t="shared" si="4"/>
        <v>0</v>
      </c>
      <c r="P1637" s="24"/>
      <c r="Q1637" s="24">
        <f t="shared" si="6"/>
        <v>0</v>
      </c>
      <c r="R1637" s="24">
        <f t="shared" si="7"/>
        <v>1</v>
      </c>
      <c r="S1637" s="24"/>
      <c r="T1637" s="24"/>
    </row>
    <row r="1638">
      <c r="A1638" s="12" t="s">
        <v>1726</v>
      </c>
      <c r="F1638" s="19">
        <f>IFERROR(__xludf.DUMMYFUNCTION("SPLIT(A1634, "" |"")"),1632.0)</f>
        <v>1632</v>
      </c>
      <c r="G1638" s="19">
        <f>IFERROR(__xludf.DUMMYFUNCTION("""COMPUTED_VALUE"""),0.00233)</f>
        <v>0.00233</v>
      </c>
      <c r="H1638" s="19" t="str">
        <f>IFERROR(__xludf.DUMMYFUNCTION("""COMPUTED_VALUE"""),"-")</f>
        <v>-</v>
      </c>
      <c r="I1638" s="19">
        <f>IFERROR(__xludf.DUMMYFUNCTION("""COMPUTED_VALUE"""),0.0022)</f>
        <v>0.0022</v>
      </c>
      <c r="J1638" s="19">
        <f>IFERROR(__xludf.DUMMYFUNCTION("""COMPUTED_VALUE"""),0.04746)</f>
        <v>0.04746</v>
      </c>
      <c r="K1638" s="19" t="str">
        <f>IFERROR(__xludf.DUMMYFUNCTION("""COMPUTED_VALUE"""),"-")</f>
        <v>-</v>
      </c>
      <c r="L1638" s="19" t="str">
        <f>IFERROR(__xludf.DUMMYFUNCTION("""COMPUTED_VALUE"""),"-")</f>
        <v>-</v>
      </c>
      <c r="O1638" s="24">
        <f t="shared" si="4"/>
        <v>0</v>
      </c>
      <c r="P1638" s="24"/>
      <c r="Q1638" s="24">
        <f t="shared" si="6"/>
        <v>0</v>
      </c>
      <c r="R1638" s="24">
        <f t="shared" si="7"/>
        <v>0</v>
      </c>
      <c r="S1638" s="24"/>
      <c r="T1638" s="24"/>
    </row>
    <row r="1639">
      <c r="A1639" s="12" t="s">
        <v>1727</v>
      </c>
      <c r="F1639" s="19">
        <f>IFERROR(__xludf.DUMMYFUNCTION("SPLIT(A1635, "" |"")"),1633.0)</f>
        <v>1633</v>
      </c>
      <c r="G1639" s="19">
        <f>IFERROR(__xludf.DUMMYFUNCTION("""COMPUTED_VALUE"""),0.00229)</f>
        <v>0.00229</v>
      </c>
      <c r="H1639" s="19" t="str">
        <f>IFERROR(__xludf.DUMMYFUNCTION("""COMPUTED_VALUE"""),"-")</f>
        <v>-</v>
      </c>
      <c r="I1639" s="19">
        <f>IFERROR(__xludf.DUMMYFUNCTION("""COMPUTED_VALUE"""),0.00219)</f>
        <v>0.00219</v>
      </c>
      <c r="J1639" s="19">
        <f>IFERROR(__xludf.DUMMYFUNCTION("""COMPUTED_VALUE"""),0.04745)</f>
        <v>0.04745</v>
      </c>
      <c r="K1639" s="19" t="str">
        <f>IFERROR(__xludf.DUMMYFUNCTION("""COMPUTED_VALUE"""),"-")</f>
        <v>-</v>
      </c>
      <c r="L1639" s="19" t="str">
        <f>IFERROR(__xludf.DUMMYFUNCTION("""COMPUTED_VALUE"""),"-")</f>
        <v>-</v>
      </c>
      <c r="O1639" s="24">
        <f t="shared" si="4"/>
        <v>0</v>
      </c>
      <c r="P1639" s="24"/>
      <c r="Q1639" s="24">
        <f t="shared" si="6"/>
        <v>0</v>
      </c>
      <c r="R1639" s="24">
        <f t="shared" si="7"/>
        <v>0</v>
      </c>
      <c r="S1639" s="24"/>
      <c r="T1639" s="24"/>
    </row>
    <row r="1640">
      <c r="A1640" s="12" t="s">
        <v>1728</v>
      </c>
      <c r="F1640" s="19">
        <f>IFERROR(__xludf.DUMMYFUNCTION("SPLIT(A1636, "" |"")"),1634.0)</f>
        <v>1634</v>
      </c>
      <c r="G1640" s="19">
        <f>IFERROR(__xludf.DUMMYFUNCTION("""COMPUTED_VALUE"""),0.00241)</f>
        <v>0.00241</v>
      </c>
      <c r="H1640" s="19" t="str">
        <f>IFERROR(__xludf.DUMMYFUNCTION("""COMPUTED_VALUE"""),"-")</f>
        <v>-</v>
      </c>
      <c r="I1640" s="19">
        <f>IFERROR(__xludf.DUMMYFUNCTION("""COMPUTED_VALUE"""),0.00222)</f>
        <v>0.00222</v>
      </c>
      <c r="J1640" s="19">
        <f>IFERROR(__xludf.DUMMYFUNCTION("""COMPUTED_VALUE"""),0.04741)</f>
        <v>0.04741</v>
      </c>
      <c r="K1640" s="19" t="str">
        <f>IFERROR(__xludf.DUMMYFUNCTION("""COMPUTED_VALUE"""),"-")</f>
        <v>-</v>
      </c>
      <c r="L1640" s="19" t="str">
        <f>IFERROR(__xludf.DUMMYFUNCTION("""COMPUTED_VALUE"""),"-")</f>
        <v>-</v>
      </c>
      <c r="O1640" s="24">
        <f t="shared" si="4"/>
        <v>0</v>
      </c>
      <c r="P1640" s="24"/>
      <c r="Q1640" s="24">
        <f t="shared" si="6"/>
        <v>0</v>
      </c>
      <c r="R1640" s="24">
        <f t="shared" si="7"/>
        <v>0</v>
      </c>
      <c r="S1640" s="24"/>
      <c r="T1640" s="24"/>
    </row>
    <row r="1641">
      <c r="A1641" s="12" t="s">
        <v>1729</v>
      </c>
      <c r="F1641" s="19">
        <f>IFERROR(__xludf.DUMMYFUNCTION("SPLIT(A1637, "" |"")"),1635.0)</f>
        <v>1635</v>
      </c>
      <c r="G1641" s="19">
        <f>IFERROR(__xludf.DUMMYFUNCTION("""COMPUTED_VALUE"""),0.00241)</f>
        <v>0.00241</v>
      </c>
      <c r="H1641" s="19" t="str">
        <f>IFERROR(__xludf.DUMMYFUNCTION("""COMPUTED_VALUE"""),"-")</f>
        <v>-</v>
      </c>
      <c r="I1641" s="19">
        <f>IFERROR(__xludf.DUMMYFUNCTION("""COMPUTED_VALUE"""),0.00217)</f>
        <v>0.00217</v>
      </c>
      <c r="J1641" s="19">
        <f>IFERROR(__xludf.DUMMYFUNCTION("""COMPUTED_VALUE"""),0.04738)</f>
        <v>0.04738</v>
      </c>
      <c r="K1641" s="19" t="str">
        <f>IFERROR(__xludf.DUMMYFUNCTION("""COMPUTED_VALUE"""),"-")</f>
        <v>-</v>
      </c>
      <c r="L1641" s="19" t="str">
        <f>IFERROR(__xludf.DUMMYFUNCTION("""COMPUTED_VALUE"""),"-")</f>
        <v>-</v>
      </c>
      <c r="O1641" s="24">
        <f t="shared" si="4"/>
        <v>0</v>
      </c>
      <c r="P1641" s="24"/>
      <c r="Q1641" s="24">
        <f t="shared" si="6"/>
        <v>0</v>
      </c>
      <c r="R1641" s="24">
        <f t="shared" si="7"/>
        <v>0</v>
      </c>
      <c r="S1641" s="24"/>
      <c r="T1641" s="24"/>
    </row>
    <row r="1642">
      <c r="A1642" s="12" t="s">
        <v>1730</v>
      </c>
      <c r="F1642" s="19">
        <f>IFERROR(__xludf.DUMMYFUNCTION("SPLIT(A1638, "" |"")"),1636.0)</f>
        <v>1636</v>
      </c>
      <c r="G1642" s="19">
        <f>IFERROR(__xludf.DUMMYFUNCTION("""COMPUTED_VALUE"""),0.00234)</f>
        <v>0.00234</v>
      </c>
      <c r="H1642" s="19" t="str">
        <f>IFERROR(__xludf.DUMMYFUNCTION("""COMPUTED_VALUE"""),"-")</f>
        <v>-</v>
      </c>
      <c r="I1642" s="19">
        <f>IFERROR(__xludf.DUMMYFUNCTION("""COMPUTED_VALUE"""),0.00222)</f>
        <v>0.00222</v>
      </c>
      <c r="J1642" s="19">
        <f>IFERROR(__xludf.DUMMYFUNCTION("""COMPUTED_VALUE"""),0.04748)</f>
        <v>0.04748</v>
      </c>
      <c r="K1642" s="19" t="str">
        <f>IFERROR(__xludf.DUMMYFUNCTION("""COMPUTED_VALUE"""),"-")</f>
        <v>-</v>
      </c>
      <c r="L1642" s="19" t="str">
        <f>IFERROR(__xludf.DUMMYFUNCTION("""COMPUTED_VALUE"""),"-")</f>
        <v>-</v>
      </c>
      <c r="O1642" s="24">
        <f t="shared" si="4"/>
        <v>0</v>
      </c>
      <c r="P1642" s="24"/>
      <c r="Q1642" s="24">
        <f t="shared" si="6"/>
        <v>0</v>
      </c>
      <c r="R1642" s="24">
        <f t="shared" si="7"/>
        <v>0</v>
      </c>
      <c r="S1642" s="24"/>
      <c r="T1642" s="24"/>
    </row>
    <row r="1643">
      <c r="A1643" s="12" t="s">
        <v>1731</v>
      </c>
      <c r="F1643" s="19">
        <f>IFERROR(__xludf.DUMMYFUNCTION("SPLIT(A1639, "" |"")"),1637.0)</f>
        <v>1637</v>
      </c>
      <c r="G1643" s="19">
        <f>IFERROR(__xludf.DUMMYFUNCTION("""COMPUTED_VALUE"""),0.00233)</f>
        <v>0.00233</v>
      </c>
      <c r="H1643" s="19" t="str">
        <f>IFERROR(__xludf.DUMMYFUNCTION("""COMPUTED_VALUE"""),"-")</f>
        <v>-</v>
      </c>
      <c r="I1643" s="19">
        <f>IFERROR(__xludf.DUMMYFUNCTION("""COMPUTED_VALUE"""),0.00218)</f>
        <v>0.00218</v>
      </c>
      <c r="J1643" s="19">
        <f>IFERROR(__xludf.DUMMYFUNCTION("""COMPUTED_VALUE"""),0.04737)</f>
        <v>0.04737</v>
      </c>
      <c r="K1643" s="19" t="str">
        <f>IFERROR(__xludf.DUMMYFUNCTION("""COMPUTED_VALUE"""),"-")</f>
        <v>-</v>
      </c>
      <c r="L1643" s="19" t="str">
        <f>IFERROR(__xludf.DUMMYFUNCTION("""COMPUTED_VALUE"""),"-")</f>
        <v>-</v>
      </c>
      <c r="O1643" s="24">
        <f t="shared" si="4"/>
        <v>0</v>
      </c>
      <c r="P1643" s="24"/>
      <c r="Q1643" s="24">
        <f t="shared" si="6"/>
        <v>0</v>
      </c>
      <c r="R1643" s="24">
        <f t="shared" si="7"/>
        <v>0</v>
      </c>
      <c r="S1643" s="24"/>
      <c r="T1643" s="24"/>
    </row>
    <row r="1644">
      <c r="A1644" s="12" t="s">
        <v>1732</v>
      </c>
      <c r="F1644" s="19">
        <f>IFERROR(__xludf.DUMMYFUNCTION("SPLIT(A1640, "" |"")"),1638.0)</f>
        <v>1638</v>
      </c>
      <c r="G1644" s="19">
        <f>IFERROR(__xludf.DUMMYFUNCTION("""COMPUTED_VALUE"""),0.00238)</f>
        <v>0.00238</v>
      </c>
      <c r="H1644" s="19" t="str">
        <f>IFERROR(__xludf.DUMMYFUNCTION("""COMPUTED_VALUE"""),"-")</f>
        <v>-</v>
      </c>
      <c r="I1644" s="19">
        <f>IFERROR(__xludf.DUMMYFUNCTION("""COMPUTED_VALUE"""),0.0022)</f>
        <v>0.0022</v>
      </c>
      <c r="J1644" s="19">
        <f>IFERROR(__xludf.DUMMYFUNCTION("""COMPUTED_VALUE"""),0.0474)</f>
        <v>0.0474</v>
      </c>
      <c r="K1644" s="19" t="str">
        <f>IFERROR(__xludf.DUMMYFUNCTION("""COMPUTED_VALUE"""),"-")</f>
        <v>-</v>
      </c>
      <c r="L1644" s="19" t="str">
        <f>IFERROR(__xludf.DUMMYFUNCTION("""COMPUTED_VALUE"""),"-")</f>
        <v>-</v>
      </c>
      <c r="O1644" s="24">
        <f t="shared" si="4"/>
        <v>0</v>
      </c>
      <c r="P1644" s="24"/>
      <c r="Q1644" s="24">
        <f t="shared" si="6"/>
        <v>0</v>
      </c>
      <c r="R1644" s="24">
        <f t="shared" si="7"/>
        <v>0</v>
      </c>
      <c r="S1644" s="24"/>
      <c r="T1644" s="24"/>
    </row>
    <row r="1645">
      <c r="A1645" s="12" t="s">
        <v>1733</v>
      </c>
      <c r="F1645" s="19">
        <f>IFERROR(__xludf.DUMMYFUNCTION("SPLIT(A1641, "" |"")"),1639.0)</f>
        <v>1639</v>
      </c>
      <c r="G1645" s="19">
        <f>IFERROR(__xludf.DUMMYFUNCTION("""COMPUTED_VALUE"""),0.00235)</f>
        <v>0.00235</v>
      </c>
      <c r="H1645" s="19" t="str">
        <f>IFERROR(__xludf.DUMMYFUNCTION("""COMPUTED_VALUE"""),"-")</f>
        <v>-</v>
      </c>
      <c r="I1645" s="19">
        <f>IFERROR(__xludf.DUMMYFUNCTION("""COMPUTED_VALUE"""),0.00213)</f>
        <v>0.00213</v>
      </c>
      <c r="J1645" s="19">
        <f>IFERROR(__xludf.DUMMYFUNCTION("""COMPUTED_VALUE"""),0.04745)</f>
        <v>0.04745</v>
      </c>
      <c r="K1645" s="19" t="str">
        <f>IFERROR(__xludf.DUMMYFUNCTION("""COMPUTED_VALUE"""),"-")</f>
        <v>-</v>
      </c>
      <c r="L1645" s="19" t="str">
        <f>IFERROR(__xludf.DUMMYFUNCTION("""COMPUTED_VALUE"""),"-")</f>
        <v>-</v>
      </c>
      <c r="O1645" s="24">
        <f t="shared" si="4"/>
        <v>0</v>
      </c>
      <c r="P1645" s="24"/>
      <c r="Q1645" s="24">
        <f t="shared" si="6"/>
        <v>0</v>
      </c>
      <c r="R1645" s="24">
        <f t="shared" si="7"/>
        <v>0</v>
      </c>
      <c r="S1645" s="24"/>
      <c r="T1645" s="24"/>
    </row>
    <row r="1646">
      <c r="A1646" s="12" t="s">
        <v>1734</v>
      </c>
      <c r="F1646" s="19">
        <f>IFERROR(__xludf.DUMMYFUNCTION("SPLIT(A1642, "" |"")"),1640.0)</f>
        <v>1640</v>
      </c>
      <c r="G1646" s="19">
        <f>IFERROR(__xludf.DUMMYFUNCTION("""COMPUTED_VALUE"""),0.00242)</f>
        <v>0.00242</v>
      </c>
      <c r="H1646" s="19" t="str">
        <f>IFERROR(__xludf.DUMMYFUNCTION("""COMPUTED_VALUE"""),"-")</f>
        <v>-</v>
      </c>
      <c r="I1646" s="19">
        <f>IFERROR(__xludf.DUMMYFUNCTION("""COMPUTED_VALUE"""),0.00213)</f>
        <v>0.00213</v>
      </c>
      <c r="J1646" s="19">
        <f>IFERROR(__xludf.DUMMYFUNCTION("""COMPUTED_VALUE"""),0.046)</f>
        <v>0.046</v>
      </c>
      <c r="K1646" s="19" t="str">
        <f>IFERROR(__xludf.DUMMYFUNCTION("""COMPUTED_VALUE"""),"-")</f>
        <v>-</v>
      </c>
      <c r="L1646" s="19" t="str">
        <f>IFERROR(__xludf.DUMMYFUNCTION("""COMPUTED_VALUE"""),"-")</f>
        <v>-</v>
      </c>
      <c r="O1646" s="24">
        <f t="shared" si="4"/>
        <v>0</v>
      </c>
      <c r="P1646" s="24"/>
      <c r="Q1646" s="24">
        <f t="shared" si="6"/>
        <v>0</v>
      </c>
      <c r="R1646" s="24">
        <f t="shared" si="7"/>
        <v>0</v>
      </c>
      <c r="S1646" s="24"/>
      <c r="T1646" s="24"/>
    </row>
    <row r="1647">
      <c r="A1647" s="12" t="s">
        <v>1735</v>
      </c>
      <c r="F1647" s="19">
        <f>IFERROR(__xludf.DUMMYFUNCTION("SPLIT(A1643, "" |"")"),1641.0)</f>
        <v>1641</v>
      </c>
      <c r="G1647" s="19">
        <f>IFERROR(__xludf.DUMMYFUNCTION("""COMPUTED_VALUE"""),0.00226)</f>
        <v>0.00226</v>
      </c>
      <c r="H1647" s="19" t="str">
        <f>IFERROR(__xludf.DUMMYFUNCTION("""COMPUTED_VALUE"""),"-")</f>
        <v>-</v>
      </c>
      <c r="I1647" s="19">
        <f>IFERROR(__xludf.DUMMYFUNCTION("""COMPUTED_VALUE"""),0.00206)</f>
        <v>0.00206</v>
      </c>
      <c r="J1647" s="19">
        <f>IFERROR(__xludf.DUMMYFUNCTION("""COMPUTED_VALUE"""),0.04729)</f>
        <v>0.04729</v>
      </c>
      <c r="K1647" s="19" t="str">
        <f>IFERROR(__xludf.DUMMYFUNCTION("""COMPUTED_VALUE"""),"-")</f>
        <v>-</v>
      </c>
      <c r="L1647" s="19" t="str">
        <f>IFERROR(__xludf.DUMMYFUNCTION("""COMPUTED_VALUE"""),"-")</f>
        <v>-</v>
      </c>
      <c r="O1647" s="24">
        <f t="shared" si="4"/>
        <v>0</v>
      </c>
      <c r="P1647" s="24"/>
      <c r="Q1647" s="24">
        <f t="shared" si="6"/>
        <v>0</v>
      </c>
      <c r="R1647" s="24">
        <f t="shared" si="7"/>
        <v>0</v>
      </c>
      <c r="S1647" s="24"/>
      <c r="T1647" s="24"/>
    </row>
    <row r="1648">
      <c r="A1648" s="12" t="s">
        <v>1736</v>
      </c>
      <c r="F1648" s="19">
        <f>IFERROR(__xludf.DUMMYFUNCTION("SPLIT(A1644, "" |"")"),1642.0)</f>
        <v>1642</v>
      </c>
      <c r="G1648" s="19">
        <f>IFERROR(__xludf.DUMMYFUNCTION("""COMPUTED_VALUE"""),0.00249)</f>
        <v>0.00249</v>
      </c>
      <c r="H1648" s="19" t="str">
        <f>IFERROR(__xludf.DUMMYFUNCTION("""COMPUTED_VALUE"""),"-")</f>
        <v>-</v>
      </c>
      <c r="I1648" s="19">
        <f>IFERROR(__xludf.DUMMYFUNCTION("""COMPUTED_VALUE"""),0.00221)</f>
        <v>0.00221</v>
      </c>
      <c r="J1648" s="19">
        <f>IFERROR(__xludf.DUMMYFUNCTION("""COMPUTED_VALUE"""),0.04747)</f>
        <v>0.04747</v>
      </c>
      <c r="K1648" s="19" t="str">
        <f>IFERROR(__xludf.DUMMYFUNCTION("""COMPUTED_VALUE"""),"-")</f>
        <v>-</v>
      </c>
      <c r="L1648" s="19" t="str">
        <f>IFERROR(__xludf.DUMMYFUNCTION("""COMPUTED_VALUE"""),"-")</f>
        <v>-</v>
      </c>
      <c r="O1648" s="24">
        <f t="shared" si="4"/>
        <v>0</v>
      </c>
      <c r="P1648" s="24"/>
      <c r="Q1648" s="24">
        <f t="shared" si="6"/>
        <v>0</v>
      </c>
      <c r="R1648" s="24">
        <f t="shared" si="7"/>
        <v>0</v>
      </c>
      <c r="S1648" s="24"/>
      <c r="T1648" s="24"/>
    </row>
    <row r="1649">
      <c r="A1649" s="12" t="s">
        <v>1737</v>
      </c>
      <c r="F1649" s="19">
        <f>IFERROR(__xludf.DUMMYFUNCTION("SPLIT(A1645, "" |"")"),1643.0)</f>
        <v>1643</v>
      </c>
      <c r="G1649" s="19">
        <f>IFERROR(__xludf.DUMMYFUNCTION("""COMPUTED_VALUE"""),0.00235)</f>
        <v>0.00235</v>
      </c>
      <c r="H1649" s="19" t="str">
        <f>IFERROR(__xludf.DUMMYFUNCTION("""COMPUTED_VALUE"""),"-")</f>
        <v>-</v>
      </c>
      <c r="I1649" s="19">
        <f>IFERROR(__xludf.DUMMYFUNCTION("""COMPUTED_VALUE"""),0.00219)</f>
        <v>0.00219</v>
      </c>
      <c r="J1649" s="19">
        <f>IFERROR(__xludf.DUMMYFUNCTION("""COMPUTED_VALUE"""),0.04742)</f>
        <v>0.04742</v>
      </c>
      <c r="K1649" s="19" t="str">
        <f>IFERROR(__xludf.DUMMYFUNCTION("""COMPUTED_VALUE"""),"-")</f>
        <v>-</v>
      </c>
      <c r="L1649" s="19" t="str">
        <f>IFERROR(__xludf.DUMMYFUNCTION("""COMPUTED_VALUE"""),"-")</f>
        <v>-</v>
      </c>
      <c r="O1649" s="24">
        <f t="shared" si="4"/>
        <v>0</v>
      </c>
      <c r="P1649" s="24"/>
      <c r="Q1649" s="24">
        <f t="shared" si="6"/>
        <v>0</v>
      </c>
      <c r="R1649" s="24">
        <f t="shared" si="7"/>
        <v>0</v>
      </c>
      <c r="S1649" s="24"/>
      <c r="T1649" s="24"/>
    </row>
    <row r="1650">
      <c r="A1650" s="12" t="s">
        <v>1738</v>
      </c>
      <c r="F1650" s="19">
        <f>IFERROR(__xludf.DUMMYFUNCTION("SPLIT(A1646, "" |"")"),1644.0)</f>
        <v>1644</v>
      </c>
      <c r="G1650" s="19">
        <f>IFERROR(__xludf.DUMMYFUNCTION("""COMPUTED_VALUE"""),0.00235)</f>
        <v>0.00235</v>
      </c>
      <c r="H1650" s="19" t="str">
        <f>IFERROR(__xludf.DUMMYFUNCTION("""COMPUTED_VALUE"""),"-")</f>
        <v>-</v>
      </c>
      <c r="I1650" s="19">
        <f>IFERROR(__xludf.DUMMYFUNCTION("""COMPUTED_VALUE"""),0.00221)</f>
        <v>0.00221</v>
      </c>
      <c r="J1650" s="19">
        <f>IFERROR(__xludf.DUMMYFUNCTION("""COMPUTED_VALUE"""),0.04043)</f>
        <v>0.04043</v>
      </c>
      <c r="K1650" s="19" t="str">
        <f>IFERROR(__xludf.DUMMYFUNCTION("""COMPUTED_VALUE"""),"-")</f>
        <v>-</v>
      </c>
      <c r="L1650" s="19" t="str">
        <f>IFERROR(__xludf.DUMMYFUNCTION("""COMPUTED_VALUE"""),"-")</f>
        <v>-</v>
      </c>
      <c r="O1650" s="24">
        <f t="shared" si="4"/>
        <v>0</v>
      </c>
      <c r="P1650" s="24"/>
      <c r="Q1650" s="24">
        <f t="shared" si="6"/>
        <v>0</v>
      </c>
      <c r="R1650" s="24">
        <f t="shared" si="7"/>
        <v>1</v>
      </c>
      <c r="S1650" s="24"/>
      <c r="T1650" s="24"/>
    </row>
    <row r="1651">
      <c r="A1651" s="12" t="s">
        <v>1739</v>
      </c>
      <c r="F1651" s="19">
        <f>IFERROR(__xludf.DUMMYFUNCTION("SPLIT(A1647, "" |"")"),1645.0)</f>
        <v>1645</v>
      </c>
      <c r="G1651" s="19">
        <f>IFERROR(__xludf.DUMMYFUNCTION("""COMPUTED_VALUE"""),0.00225)</f>
        <v>0.00225</v>
      </c>
      <c r="H1651" s="19" t="str">
        <f>IFERROR(__xludf.DUMMYFUNCTION("""COMPUTED_VALUE"""),"-")</f>
        <v>-</v>
      </c>
      <c r="I1651" s="19">
        <f>IFERROR(__xludf.DUMMYFUNCTION("""COMPUTED_VALUE"""),0.0022)</f>
        <v>0.0022</v>
      </c>
      <c r="J1651" s="19">
        <f>IFERROR(__xludf.DUMMYFUNCTION("""COMPUTED_VALUE"""),0.04746)</f>
        <v>0.04746</v>
      </c>
      <c r="K1651" s="19" t="str">
        <f>IFERROR(__xludf.DUMMYFUNCTION("""COMPUTED_VALUE"""),"-")</f>
        <v>-</v>
      </c>
      <c r="L1651" s="19" t="str">
        <f>IFERROR(__xludf.DUMMYFUNCTION("""COMPUTED_VALUE"""),"-")</f>
        <v>-</v>
      </c>
      <c r="O1651" s="24">
        <f t="shared" si="4"/>
        <v>0</v>
      </c>
      <c r="P1651" s="24"/>
      <c r="Q1651" s="24">
        <f t="shared" si="6"/>
        <v>0</v>
      </c>
      <c r="R1651" s="24">
        <f t="shared" si="7"/>
        <v>0</v>
      </c>
      <c r="S1651" s="24"/>
      <c r="T1651" s="24"/>
    </row>
    <row r="1652">
      <c r="A1652" s="12" t="s">
        <v>1740</v>
      </c>
      <c r="F1652" s="19">
        <f>IFERROR(__xludf.DUMMYFUNCTION("SPLIT(A1648, "" |"")"),1646.0)</f>
        <v>1646</v>
      </c>
      <c r="G1652" s="19">
        <f>IFERROR(__xludf.DUMMYFUNCTION("""COMPUTED_VALUE"""),0.0024)</f>
        <v>0.0024</v>
      </c>
      <c r="H1652" s="19" t="str">
        <f>IFERROR(__xludf.DUMMYFUNCTION("""COMPUTED_VALUE"""),"-")</f>
        <v>-</v>
      </c>
      <c r="I1652" s="19">
        <f>IFERROR(__xludf.DUMMYFUNCTION("""COMPUTED_VALUE"""),0.00219)</f>
        <v>0.00219</v>
      </c>
      <c r="J1652" s="19">
        <f>IFERROR(__xludf.DUMMYFUNCTION("""COMPUTED_VALUE"""),0.04315)</f>
        <v>0.04315</v>
      </c>
      <c r="K1652" s="19" t="str">
        <f>IFERROR(__xludf.DUMMYFUNCTION("""COMPUTED_VALUE"""),"-")</f>
        <v>-</v>
      </c>
      <c r="L1652" s="19" t="str">
        <f>IFERROR(__xludf.DUMMYFUNCTION("""COMPUTED_VALUE"""),"-")</f>
        <v>-</v>
      </c>
      <c r="O1652" s="24">
        <f t="shared" si="4"/>
        <v>0</v>
      </c>
      <c r="P1652" s="24"/>
      <c r="Q1652" s="24">
        <f t="shared" si="6"/>
        <v>0</v>
      </c>
      <c r="R1652" s="24">
        <f t="shared" si="7"/>
        <v>1</v>
      </c>
      <c r="S1652" s="24"/>
      <c r="T1652" s="24"/>
    </row>
    <row r="1653">
      <c r="A1653" s="12" t="s">
        <v>1741</v>
      </c>
      <c r="F1653" s="19">
        <f>IFERROR(__xludf.DUMMYFUNCTION("SPLIT(A1649, "" |"")"),1647.0)</f>
        <v>1647</v>
      </c>
      <c r="G1653" s="19">
        <f>IFERROR(__xludf.DUMMYFUNCTION("""COMPUTED_VALUE"""),0.00235)</f>
        <v>0.00235</v>
      </c>
      <c r="H1653" s="19" t="str">
        <f>IFERROR(__xludf.DUMMYFUNCTION("""COMPUTED_VALUE"""),"-")</f>
        <v>-</v>
      </c>
      <c r="I1653" s="19">
        <f>IFERROR(__xludf.DUMMYFUNCTION("""COMPUTED_VALUE"""),0.0022)</f>
        <v>0.0022</v>
      </c>
      <c r="J1653" s="19">
        <f>IFERROR(__xludf.DUMMYFUNCTION("""COMPUTED_VALUE"""),0.04747)</f>
        <v>0.04747</v>
      </c>
      <c r="K1653" s="19" t="str">
        <f>IFERROR(__xludf.DUMMYFUNCTION("""COMPUTED_VALUE"""),"-")</f>
        <v>-</v>
      </c>
      <c r="L1653" s="19" t="str">
        <f>IFERROR(__xludf.DUMMYFUNCTION("""COMPUTED_VALUE"""),"-")</f>
        <v>-</v>
      </c>
      <c r="O1653" s="24">
        <f t="shared" si="4"/>
        <v>0</v>
      </c>
      <c r="P1653" s="24"/>
      <c r="Q1653" s="24">
        <f t="shared" si="6"/>
        <v>0</v>
      </c>
      <c r="R1653" s="24">
        <f t="shared" si="7"/>
        <v>0</v>
      </c>
      <c r="S1653" s="24"/>
      <c r="T1653" s="24"/>
    </row>
    <row r="1654">
      <c r="A1654" s="12" t="s">
        <v>1742</v>
      </c>
      <c r="F1654" s="19">
        <f>IFERROR(__xludf.DUMMYFUNCTION("SPLIT(A1650, "" |"")"),1648.0)</f>
        <v>1648</v>
      </c>
      <c r="G1654" s="19">
        <f>IFERROR(__xludf.DUMMYFUNCTION("""COMPUTED_VALUE"""),0.00231)</f>
        <v>0.00231</v>
      </c>
      <c r="H1654" s="19" t="str">
        <f>IFERROR(__xludf.DUMMYFUNCTION("""COMPUTED_VALUE"""),"-")</f>
        <v>-</v>
      </c>
      <c r="I1654" s="19">
        <f>IFERROR(__xludf.DUMMYFUNCTION("""COMPUTED_VALUE"""),0.00223)</f>
        <v>0.00223</v>
      </c>
      <c r="J1654" s="19">
        <f>IFERROR(__xludf.DUMMYFUNCTION("""COMPUTED_VALUE"""),0.04417)</f>
        <v>0.04417</v>
      </c>
      <c r="K1654" s="19" t="str">
        <f>IFERROR(__xludf.DUMMYFUNCTION("""COMPUTED_VALUE"""),"-")</f>
        <v>-</v>
      </c>
      <c r="L1654" s="19" t="str">
        <f>IFERROR(__xludf.DUMMYFUNCTION("""COMPUTED_VALUE"""),"-")</f>
        <v>-</v>
      </c>
      <c r="O1654" s="24">
        <f t="shared" si="4"/>
        <v>0</v>
      </c>
      <c r="P1654" s="24"/>
      <c r="Q1654" s="24">
        <f t="shared" si="6"/>
        <v>0</v>
      </c>
      <c r="R1654" s="24">
        <f t="shared" si="7"/>
        <v>1</v>
      </c>
      <c r="S1654" s="24"/>
      <c r="T1654" s="24"/>
    </row>
    <row r="1655">
      <c r="A1655" s="12" t="s">
        <v>1743</v>
      </c>
      <c r="F1655" s="19">
        <f>IFERROR(__xludf.DUMMYFUNCTION("SPLIT(A1651, "" |"")"),1649.0)</f>
        <v>1649</v>
      </c>
      <c r="G1655" s="19">
        <f>IFERROR(__xludf.DUMMYFUNCTION("""COMPUTED_VALUE"""),0.00234)</f>
        <v>0.00234</v>
      </c>
      <c r="H1655" s="19" t="str">
        <f>IFERROR(__xludf.DUMMYFUNCTION("""COMPUTED_VALUE"""),"-")</f>
        <v>-</v>
      </c>
      <c r="I1655" s="19">
        <f>IFERROR(__xludf.DUMMYFUNCTION("""COMPUTED_VALUE"""),0.00225)</f>
        <v>0.00225</v>
      </c>
      <c r="J1655" s="19">
        <f>IFERROR(__xludf.DUMMYFUNCTION("""COMPUTED_VALUE"""),0.04747)</f>
        <v>0.04747</v>
      </c>
      <c r="K1655" s="19" t="str">
        <f>IFERROR(__xludf.DUMMYFUNCTION("""COMPUTED_VALUE"""),"-")</f>
        <v>-</v>
      </c>
      <c r="L1655" s="19" t="str">
        <f>IFERROR(__xludf.DUMMYFUNCTION("""COMPUTED_VALUE"""),"-")</f>
        <v>-</v>
      </c>
      <c r="O1655" s="24">
        <f t="shared" si="4"/>
        <v>0</v>
      </c>
      <c r="P1655" s="24"/>
      <c r="Q1655" s="24">
        <f t="shared" si="6"/>
        <v>0</v>
      </c>
      <c r="R1655" s="24">
        <f t="shared" si="7"/>
        <v>0</v>
      </c>
      <c r="S1655" s="24"/>
      <c r="T1655" s="24"/>
    </row>
    <row r="1656">
      <c r="A1656" s="12" t="s">
        <v>1744</v>
      </c>
      <c r="F1656" s="19">
        <f>IFERROR(__xludf.DUMMYFUNCTION("SPLIT(A1652, "" |"")"),1650.0)</f>
        <v>1650</v>
      </c>
      <c r="G1656" s="19">
        <f>IFERROR(__xludf.DUMMYFUNCTION("""COMPUTED_VALUE"""),0.00247)</f>
        <v>0.00247</v>
      </c>
      <c r="H1656" s="19" t="str">
        <f>IFERROR(__xludf.DUMMYFUNCTION("""COMPUTED_VALUE"""),"-")</f>
        <v>-</v>
      </c>
      <c r="I1656" s="19">
        <f>IFERROR(__xludf.DUMMYFUNCTION("""COMPUTED_VALUE"""),0.00222)</f>
        <v>0.00222</v>
      </c>
      <c r="J1656" s="19">
        <f>IFERROR(__xludf.DUMMYFUNCTION("""COMPUTED_VALUE"""),0.04745)</f>
        <v>0.04745</v>
      </c>
      <c r="K1656" s="19" t="str">
        <f>IFERROR(__xludf.DUMMYFUNCTION("""COMPUTED_VALUE"""),"-")</f>
        <v>-</v>
      </c>
      <c r="L1656" s="19" t="str">
        <f>IFERROR(__xludf.DUMMYFUNCTION("""COMPUTED_VALUE"""),"-")</f>
        <v>-</v>
      </c>
      <c r="O1656" s="24">
        <f t="shared" si="4"/>
        <v>0</v>
      </c>
      <c r="P1656" s="24"/>
      <c r="Q1656" s="24">
        <f t="shared" si="6"/>
        <v>0</v>
      </c>
      <c r="R1656" s="24">
        <f t="shared" si="7"/>
        <v>0</v>
      </c>
      <c r="S1656" s="24"/>
      <c r="T1656" s="24"/>
    </row>
    <row r="1657">
      <c r="A1657" s="12" t="s">
        <v>1745</v>
      </c>
      <c r="F1657" s="19">
        <f>IFERROR(__xludf.DUMMYFUNCTION("SPLIT(A1653, "" |"")"),1651.0)</f>
        <v>1651</v>
      </c>
      <c r="G1657" s="19">
        <f>IFERROR(__xludf.DUMMYFUNCTION("""COMPUTED_VALUE"""),0.00226)</f>
        <v>0.00226</v>
      </c>
      <c r="H1657" s="19" t="str">
        <f>IFERROR(__xludf.DUMMYFUNCTION("""COMPUTED_VALUE"""),"-")</f>
        <v>-</v>
      </c>
      <c r="I1657" s="19">
        <f>IFERROR(__xludf.DUMMYFUNCTION("""COMPUTED_VALUE"""),0.00226)</f>
        <v>0.00226</v>
      </c>
      <c r="J1657" s="19">
        <f>IFERROR(__xludf.DUMMYFUNCTION("""COMPUTED_VALUE"""),0.04738)</f>
        <v>0.04738</v>
      </c>
      <c r="K1657" s="19" t="str">
        <f>IFERROR(__xludf.DUMMYFUNCTION("""COMPUTED_VALUE"""),"-")</f>
        <v>-</v>
      </c>
      <c r="L1657" s="19" t="str">
        <f>IFERROR(__xludf.DUMMYFUNCTION("""COMPUTED_VALUE"""),"-")</f>
        <v>-</v>
      </c>
      <c r="O1657" s="24">
        <f t="shared" si="4"/>
        <v>0</v>
      </c>
      <c r="P1657" s="24"/>
      <c r="Q1657" s="24">
        <f t="shared" si="6"/>
        <v>0</v>
      </c>
      <c r="R1657" s="24">
        <f t="shared" si="7"/>
        <v>0</v>
      </c>
      <c r="S1657" s="24"/>
      <c r="T1657" s="24"/>
    </row>
    <row r="1658">
      <c r="A1658" s="12" t="s">
        <v>1746</v>
      </c>
      <c r="F1658" s="19">
        <f>IFERROR(__xludf.DUMMYFUNCTION("SPLIT(A1654, "" |"")"),1652.0)</f>
        <v>1652</v>
      </c>
      <c r="G1658" s="19">
        <f>IFERROR(__xludf.DUMMYFUNCTION("""COMPUTED_VALUE"""),0.00237)</f>
        <v>0.00237</v>
      </c>
      <c r="H1658" s="19" t="str">
        <f>IFERROR(__xludf.DUMMYFUNCTION("""COMPUTED_VALUE"""),"-")</f>
        <v>-</v>
      </c>
      <c r="I1658" s="19">
        <f>IFERROR(__xludf.DUMMYFUNCTION("""COMPUTED_VALUE"""),0.00222)</f>
        <v>0.00222</v>
      </c>
      <c r="J1658" s="19">
        <f>IFERROR(__xludf.DUMMYFUNCTION("""COMPUTED_VALUE"""),0.04738)</f>
        <v>0.04738</v>
      </c>
      <c r="K1658" s="19" t="str">
        <f>IFERROR(__xludf.DUMMYFUNCTION("""COMPUTED_VALUE"""),"-")</f>
        <v>-</v>
      </c>
      <c r="L1658" s="19" t="str">
        <f>IFERROR(__xludf.DUMMYFUNCTION("""COMPUTED_VALUE"""),"-")</f>
        <v>-</v>
      </c>
      <c r="O1658" s="24">
        <f t="shared" si="4"/>
        <v>0</v>
      </c>
      <c r="P1658" s="24"/>
      <c r="Q1658" s="24">
        <f t="shared" si="6"/>
        <v>0</v>
      </c>
      <c r="R1658" s="24">
        <f t="shared" si="7"/>
        <v>0</v>
      </c>
      <c r="S1658" s="24"/>
      <c r="T1658" s="24"/>
    </row>
    <row r="1659">
      <c r="A1659" s="12" t="s">
        <v>1747</v>
      </c>
      <c r="F1659" s="19">
        <f>IFERROR(__xludf.DUMMYFUNCTION("SPLIT(A1655, "" |"")"),1653.0)</f>
        <v>1653</v>
      </c>
      <c r="G1659" s="19">
        <f>IFERROR(__xludf.DUMMYFUNCTION("""COMPUTED_VALUE"""),0.00239)</f>
        <v>0.00239</v>
      </c>
      <c r="H1659" s="19" t="str">
        <f>IFERROR(__xludf.DUMMYFUNCTION("""COMPUTED_VALUE"""),"-")</f>
        <v>-</v>
      </c>
      <c r="I1659" s="19">
        <f>IFERROR(__xludf.DUMMYFUNCTION("""COMPUTED_VALUE"""),0.00223)</f>
        <v>0.00223</v>
      </c>
      <c r="J1659" s="19">
        <f>IFERROR(__xludf.DUMMYFUNCTION("""COMPUTED_VALUE"""),0.04153)</f>
        <v>0.04153</v>
      </c>
      <c r="K1659" s="19" t="str">
        <f>IFERROR(__xludf.DUMMYFUNCTION("""COMPUTED_VALUE"""),"-")</f>
        <v>-</v>
      </c>
      <c r="L1659" s="19" t="str">
        <f>IFERROR(__xludf.DUMMYFUNCTION("""COMPUTED_VALUE"""),"-")</f>
        <v>-</v>
      </c>
      <c r="O1659" s="24">
        <f t="shared" si="4"/>
        <v>0</v>
      </c>
      <c r="P1659" s="24"/>
      <c r="Q1659" s="24">
        <f t="shared" si="6"/>
        <v>0</v>
      </c>
      <c r="R1659" s="24">
        <f t="shared" si="7"/>
        <v>1</v>
      </c>
      <c r="S1659" s="24"/>
      <c r="T1659" s="24"/>
    </row>
    <row r="1660">
      <c r="A1660" s="12" t="s">
        <v>1748</v>
      </c>
      <c r="F1660" s="19">
        <f>IFERROR(__xludf.DUMMYFUNCTION("SPLIT(A1656, "" |"")"),1654.0)</f>
        <v>1654</v>
      </c>
      <c r="G1660" s="19">
        <f>IFERROR(__xludf.DUMMYFUNCTION("""COMPUTED_VALUE"""),0.00236)</f>
        <v>0.00236</v>
      </c>
      <c r="H1660" s="19" t="str">
        <f>IFERROR(__xludf.DUMMYFUNCTION("""COMPUTED_VALUE"""),"-")</f>
        <v>-</v>
      </c>
      <c r="I1660" s="19">
        <f>IFERROR(__xludf.DUMMYFUNCTION("""COMPUTED_VALUE"""),0.00221)</f>
        <v>0.00221</v>
      </c>
      <c r="J1660" s="19">
        <f>IFERROR(__xludf.DUMMYFUNCTION("""COMPUTED_VALUE"""),0.04739)</f>
        <v>0.04739</v>
      </c>
      <c r="K1660" s="19" t="str">
        <f>IFERROR(__xludf.DUMMYFUNCTION("""COMPUTED_VALUE"""),"-")</f>
        <v>-</v>
      </c>
      <c r="L1660" s="19" t="str">
        <f>IFERROR(__xludf.DUMMYFUNCTION("""COMPUTED_VALUE"""),"-")</f>
        <v>-</v>
      </c>
      <c r="O1660" s="24">
        <f t="shared" si="4"/>
        <v>0</v>
      </c>
      <c r="P1660" s="24"/>
      <c r="Q1660" s="24">
        <f t="shared" si="6"/>
        <v>0</v>
      </c>
      <c r="R1660" s="24">
        <f t="shared" si="7"/>
        <v>0</v>
      </c>
      <c r="S1660" s="24"/>
      <c r="T1660" s="24"/>
    </row>
    <row r="1661">
      <c r="A1661" s="12" t="s">
        <v>1749</v>
      </c>
      <c r="F1661" s="19">
        <f>IFERROR(__xludf.DUMMYFUNCTION("SPLIT(A1657, "" |"")"),1655.0)</f>
        <v>1655</v>
      </c>
      <c r="G1661" s="19">
        <f>IFERROR(__xludf.DUMMYFUNCTION("""COMPUTED_VALUE"""),0.0023)</f>
        <v>0.0023</v>
      </c>
      <c r="H1661" s="19" t="str">
        <f>IFERROR(__xludf.DUMMYFUNCTION("""COMPUTED_VALUE"""),"-")</f>
        <v>-</v>
      </c>
      <c r="I1661" s="19">
        <f>IFERROR(__xludf.DUMMYFUNCTION("""COMPUTED_VALUE"""),0.00225)</f>
        <v>0.00225</v>
      </c>
      <c r="J1661" s="19">
        <f>IFERROR(__xludf.DUMMYFUNCTION("""COMPUTED_VALUE"""),0.04744)</f>
        <v>0.04744</v>
      </c>
      <c r="K1661" s="19" t="str">
        <f>IFERROR(__xludf.DUMMYFUNCTION("""COMPUTED_VALUE"""),"-")</f>
        <v>-</v>
      </c>
      <c r="L1661" s="19" t="str">
        <f>IFERROR(__xludf.DUMMYFUNCTION("""COMPUTED_VALUE"""),"-")</f>
        <v>-</v>
      </c>
      <c r="O1661" s="24">
        <f t="shared" si="4"/>
        <v>0</v>
      </c>
      <c r="P1661" s="24"/>
      <c r="Q1661" s="24">
        <f t="shared" si="6"/>
        <v>0</v>
      </c>
      <c r="R1661" s="24">
        <f t="shared" si="7"/>
        <v>0</v>
      </c>
      <c r="S1661" s="24"/>
      <c r="T1661" s="24"/>
    </row>
    <row r="1662">
      <c r="A1662" s="12" t="s">
        <v>1750</v>
      </c>
      <c r="F1662" s="19">
        <f>IFERROR(__xludf.DUMMYFUNCTION("SPLIT(A1658, "" |"")"),1656.0)</f>
        <v>1656</v>
      </c>
      <c r="G1662" s="19">
        <f>IFERROR(__xludf.DUMMYFUNCTION("""COMPUTED_VALUE"""),0.00233)</f>
        <v>0.00233</v>
      </c>
      <c r="H1662" s="19" t="str">
        <f>IFERROR(__xludf.DUMMYFUNCTION("""COMPUTED_VALUE"""),"-")</f>
        <v>-</v>
      </c>
      <c r="I1662" s="19">
        <f>IFERROR(__xludf.DUMMYFUNCTION("""COMPUTED_VALUE"""),0.00219)</f>
        <v>0.00219</v>
      </c>
      <c r="J1662" s="19">
        <f>IFERROR(__xludf.DUMMYFUNCTION("""COMPUTED_VALUE"""),0.03963)</f>
        <v>0.03963</v>
      </c>
      <c r="K1662" s="19" t="str">
        <f>IFERROR(__xludf.DUMMYFUNCTION("""COMPUTED_VALUE"""),"-")</f>
        <v>-</v>
      </c>
      <c r="L1662" s="19" t="str">
        <f>IFERROR(__xludf.DUMMYFUNCTION("""COMPUTED_VALUE"""),"-")</f>
        <v>-</v>
      </c>
      <c r="O1662" s="24">
        <f t="shared" si="4"/>
        <v>0</v>
      </c>
      <c r="P1662" s="24"/>
      <c r="Q1662" s="24">
        <f t="shared" si="6"/>
        <v>0</v>
      </c>
      <c r="R1662" s="24">
        <f t="shared" si="7"/>
        <v>1</v>
      </c>
      <c r="S1662" s="24"/>
      <c r="T1662" s="24"/>
    </row>
    <row r="1663">
      <c r="A1663" s="12" t="s">
        <v>1751</v>
      </c>
      <c r="F1663" s="19">
        <f>IFERROR(__xludf.DUMMYFUNCTION("SPLIT(A1659, "" |"")"),1657.0)</f>
        <v>1657</v>
      </c>
      <c r="G1663" s="19">
        <f>IFERROR(__xludf.DUMMYFUNCTION("""COMPUTED_VALUE"""),0.00243)</f>
        <v>0.00243</v>
      </c>
      <c r="H1663" s="19" t="str">
        <f>IFERROR(__xludf.DUMMYFUNCTION("""COMPUTED_VALUE"""),"-")</f>
        <v>-</v>
      </c>
      <c r="I1663" s="19">
        <f>IFERROR(__xludf.DUMMYFUNCTION("""COMPUTED_VALUE"""),0.00219)</f>
        <v>0.00219</v>
      </c>
      <c r="J1663" s="19">
        <f>IFERROR(__xludf.DUMMYFUNCTION("""COMPUTED_VALUE"""),0.045)</f>
        <v>0.045</v>
      </c>
      <c r="K1663" s="19" t="str">
        <f>IFERROR(__xludf.DUMMYFUNCTION("""COMPUTED_VALUE"""),"-")</f>
        <v>-</v>
      </c>
      <c r="L1663" s="19" t="str">
        <f>IFERROR(__xludf.DUMMYFUNCTION("""COMPUTED_VALUE"""),"-")</f>
        <v>-</v>
      </c>
      <c r="O1663" s="24">
        <f t="shared" si="4"/>
        <v>0</v>
      </c>
      <c r="P1663" s="24"/>
      <c r="Q1663" s="24">
        <f t="shared" si="6"/>
        <v>0</v>
      </c>
      <c r="R1663" s="24">
        <f t="shared" si="7"/>
        <v>0</v>
      </c>
      <c r="S1663" s="24"/>
      <c r="T1663" s="24"/>
    </row>
    <row r="1664">
      <c r="A1664" s="12" t="s">
        <v>1752</v>
      </c>
      <c r="F1664" s="19">
        <f>IFERROR(__xludf.DUMMYFUNCTION("SPLIT(A1660, "" |"")"),1658.0)</f>
        <v>1658</v>
      </c>
      <c r="G1664" s="19">
        <f>IFERROR(__xludf.DUMMYFUNCTION("""COMPUTED_VALUE"""),0.00234)</f>
        <v>0.00234</v>
      </c>
      <c r="H1664" s="19" t="str">
        <f>IFERROR(__xludf.DUMMYFUNCTION("""COMPUTED_VALUE"""),"-")</f>
        <v>-</v>
      </c>
      <c r="I1664" s="19">
        <f>IFERROR(__xludf.DUMMYFUNCTION("""COMPUTED_VALUE"""),0.0022)</f>
        <v>0.0022</v>
      </c>
      <c r="J1664" s="19">
        <f>IFERROR(__xludf.DUMMYFUNCTION("""COMPUTED_VALUE"""),0.04744)</f>
        <v>0.04744</v>
      </c>
      <c r="K1664" s="19" t="str">
        <f>IFERROR(__xludf.DUMMYFUNCTION("""COMPUTED_VALUE"""),"-")</f>
        <v>-</v>
      </c>
      <c r="L1664" s="19" t="str">
        <f>IFERROR(__xludf.DUMMYFUNCTION("""COMPUTED_VALUE"""),"-")</f>
        <v>-</v>
      </c>
      <c r="O1664" s="24">
        <f t="shared" si="4"/>
        <v>0</v>
      </c>
      <c r="P1664" s="24"/>
      <c r="Q1664" s="24">
        <f t="shared" si="6"/>
        <v>0</v>
      </c>
      <c r="R1664" s="24">
        <f t="shared" si="7"/>
        <v>0</v>
      </c>
      <c r="S1664" s="24"/>
      <c r="T1664" s="24"/>
    </row>
    <row r="1665">
      <c r="A1665" s="12" t="s">
        <v>1753</v>
      </c>
      <c r="F1665" s="19">
        <f>IFERROR(__xludf.DUMMYFUNCTION("SPLIT(A1661, "" |"")"),1659.0)</f>
        <v>1659</v>
      </c>
      <c r="G1665" s="19">
        <f>IFERROR(__xludf.DUMMYFUNCTION("""COMPUTED_VALUE"""),0.0023)</f>
        <v>0.0023</v>
      </c>
      <c r="H1665" s="19" t="str">
        <f>IFERROR(__xludf.DUMMYFUNCTION("""COMPUTED_VALUE"""),"-")</f>
        <v>-</v>
      </c>
      <c r="I1665" s="19">
        <f>IFERROR(__xludf.DUMMYFUNCTION("""COMPUTED_VALUE"""),0.00221)</f>
        <v>0.00221</v>
      </c>
      <c r="J1665" s="19">
        <f>IFERROR(__xludf.DUMMYFUNCTION("""COMPUTED_VALUE"""),0.04062)</f>
        <v>0.04062</v>
      </c>
      <c r="K1665" s="19" t="str">
        <f>IFERROR(__xludf.DUMMYFUNCTION("""COMPUTED_VALUE"""),"-")</f>
        <v>-</v>
      </c>
      <c r="L1665" s="19" t="str">
        <f>IFERROR(__xludf.DUMMYFUNCTION("""COMPUTED_VALUE"""),"-")</f>
        <v>-</v>
      </c>
      <c r="O1665" s="24">
        <f t="shared" si="4"/>
        <v>0</v>
      </c>
      <c r="P1665" s="24"/>
      <c r="Q1665" s="24">
        <f t="shared" si="6"/>
        <v>0</v>
      </c>
      <c r="R1665" s="24">
        <f t="shared" si="7"/>
        <v>1</v>
      </c>
      <c r="S1665" s="24"/>
      <c r="T1665" s="24"/>
    </row>
    <row r="1666">
      <c r="A1666" s="12" t="s">
        <v>1754</v>
      </c>
      <c r="F1666" s="19">
        <f>IFERROR(__xludf.DUMMYFUNCTION("SPLIT(A1662, "" |"")"),1660.0)</f>
        <v>1660</v>
      </c>
      <c r="G1666" s="19">
        <f>IFERROR(__xludf.DUMMYFUNCTION("""COMPUTED_VALUE"""),0.00234)</f>
        <v>0.00234</v>
      </c>
      <c r="H1666" s="19" t="str">
        <f>IFERROR(__xludf.DUMMYFUNCTION("""COMPUTED_VALUE"""),"-")</f>
        <v>-</v>
      </c>
      <c r="I1666" s="19">
        <f>IFERROR(__xludf.DUMMYFUNCTION("""COMPUTED_VALUE"""),0.00219)</f>
        <v>0.00219</v>
      </c>
      <c r="J1666" s="19">
        <f>IFERROR(__xludf.DUMMYFUNCTION("""COMPUTED_VALUE"""),0.04327)</f>
        <v>0.04327</v>
      </c>
      <c r="K1666" s="19" t="str">
        <f>IFERROR(__xludf.DUMMYFUNCTION("""COMPUTED_VALUE"""),"-")</f>
        <v>-</v>
      </c>
      <c r="L1666" s="19" t="str">
        <f>IFERROR(__xludf.DUMMYFUNCTION("""COMPUTED_VALUE"""),"-")</f>
        <v>-</v>
      </c>
      <c r="O1666" s="24">
        <f t="shared" si="4"/>
        <v>0</v>
      </c>
      <c r="P1666" s="24"/>
      <c r="Q1666" s="24">
        <f t="shared" si="6"/>
        <v>0</v>
      </c>
      <c r="R1666" s="24">
        <f t="shared" si="7"/>
        <v>1</v>
      </c>
      <c r="S1666" s="24"/>
      <c r="T1666" s="24"/>
    </row>
    <row r="1667">
      <c r="A1667" s="12" t="s">
        <v>1755</v>
      </c>
      <c r="F1667" s="19">
        <f>IFERROR(__xludf.DUMMYFUNCTION("SPLIT(A1663, "" |"")"),1661.0)</f>
        <v>1661</v>
      </c>
      <c r="G1667" s="19">
        <f>IFERROR(__xludf.DUMMYFUNCTION("""COMPUTED_VALUE"""),0.00235)</f>
        <v>0.00235</v>
      </c>
      <c r="H1667" s="19" t="str">
        <f>IFERROR(__xludf.DUMMYFUNCTION("""COMPUTED_VALUE"""),"-")</f>
        <v>-</v>
      </c>
      <c r="I1667" s="19">
        <f>IFERROR(__xludf.DUMMYFUNCTION("""COMPUTED_VALUE"""),0.00216)</f>
        <v>0.00216</v>
      </c>
      <c r="J1667" s="19">
        <f>IFERROR(__xludf.DUMMYFUNCTION("""COMPUTED_VALUE"""),0.04743)</f>
        <v>0.04743</v>
      </c>
      <c r="K1667" s="19" t="str">
        <f>IFERROR(__xludf.DUMMYFUNCTION("""COMPUTED_VALUE"""),"-")</f>
        <v>-</v>
      </c>
      <c r="L1667" s="19" t="str">
        <f>IFERROR(__xludf.DUMMYFUNCTION("""COMPUTED_VALUE"""),"-")</f>
        <v>-</v>
      </c>
      <c r="O1667" s="24">
        <f t="shared" si="4"/>
        <v>0</v>
      </c>
      <c r="P1667" s="24"/>
      <c r="Q1667" s="24">
        <f t="shared" si="6"/>
        <v>0</v>
      </c>
      <c r="R1667" s="24">
        <f t="shared" si="7"/>
        <v>0</v>
      </c>
      <c r="S1667" s="24"/>
      <c r="T1667" s="24"/>
    </row>
    <row r="1668">
      <c r="A1668" s="12" t="s">
        <v>1756</v>
      </c>
      <c r="F1668" s="19">
        <f>IFERROR(__xludf.DUMMYFUNCTION("SPLIT(A1664, "" |"")"),1662.0)</f>
        <v>1662</v>
      </c>
      <c r="G1668" s="19">
        <f>IFERROR(__xludf.DUMMYFUNCTION("""COMPUTED_VALUE"""),0.00234)</f>
        <v>0.00234</v>
      </c>
      <c r="H1668" s="19" t="str">
        <f>IFERROR(__xludf.DUMMYFUNCTION("""COMPUTED_VALUE"""),"-")</f>
        <v>-</v>
      </c>
      <c r="I1668" s="19">
        <f>IFERROR(__xludf.DUMMYFUNCTION("""COMPUTED_VALUE"""),0.00221)</f>
        <v>0.00221</v>
      </c>
      <c r="J1668" s="19">
        <f>IFERROR(__xludf.DUMMYFUNCTION("""COMPUTED_VALUE"""),0.04748)</f>
        <v>0.04748</v>
      </c>
      <c r="K1668" s="19" t="str">
        <f>IFERROR(__xludf.DUMMYFUNCTION("""COMPUTED_VALUE"""),"-")</f>
        <v>-</v>
      </c>
      <c r="L1668" s="19" t="str">
        <f>IFERROR(__xludf.DUMMYFUNCTION("""COMPUTED_VALUE"""),"-")</f>
        <v>-</v>
      </c>
      <c r="O1668" s="24">
        <f t="shared" si="4"/>
        <v>0</v>
      </c>
      <c r="P1668" s="24"/>
      <c r="Q1668" s="24">
        <f t="shared" si="6"/>
        <v>0</v>
      </c>
      <c r="R1668" s="24">
        <f t="shared" si="7"/>
        <v>0</v>
      </c>
      <c r="S1668" s="24"/>
      <c r="T1668" s="24"/>
    </row>
    <row r="1669">
      <c r="A1669" s="12" t="s">
        <v>1757</v>
      </c>
      <c r="F1669" s="19">
        <f>IFERROR(__xludf.DUMMYFUNCTION("SPLIT(A1665, "" |"")"),1663.0)</f>
        <v>1663</v>
      </c>
      <c r="G1669" s="19">
        <f>IFERROR(__xludf.DUMMYFUNCTION("""COMPUTED_VALUE"""),0.00234)</f>
        <v>0.00234</v>
      </c>
      <c r="H1669" s="19" t="str">
        <f>IFERROR(__xludf.DUMMYFUNCTION("""COMPUTED_VALUE"""),"-")</f>
        <v>-</v>
      </c>
      <c r="I1669" s="19">
        <f>IFERROR(__xludf.DUMMYFUNCTION("""COMPUTED_VALUE"""),0.0022)</f>
        <v>0.0022</v>
      </c>
      <c r="J1669" s="19">
        <f>IFERROR(__xludf.DUMMYFUNCTION("""COMPUTED_VALUE"""),0.04745)</f>
        <v>0.04745</v>
      </c>
      <c r="K1669" s="19" t="str">
        <f>IFERROR(__xludf.DUMMYFUNCTION("""COMPUTED_VALUE"""),"-")</f>
        <v>-</v>
      </c>
      <c r="L1669" s="19" t="str">
        <f>IFERROR(__xludf.DUMMYFUNCTION("""COMPUTED_VALUE"""),"-")</f>
        <v>-</v>
      </c>
      <c r="O1669" s="24">
        <f t="shared" si="4"/>
        <v>0</v>
      </c>
      <c r="P1669" s="24"/>
      <c r="Q1669" s="24">
        <f t="shared" si="6"/>
        <v>0</v>
      </c>
      <c r="R1669" s="24">
        <f t="shared" si="7"/>
        <v>0</v>
      </c>
      <c r="S1669" s="24"/>
      <c r="T1669" s="24"/>
    </row>
    <row r="1670">
      <c r="A1670" s="12" t="s">
        <v>1758</v>
      </c>
      <c r="F1670" s="19">
        <f>IFERROR(__xludf.DUMMYFUNCTION("SPLIT(A1666, "" |"")"),1664.0)</f>
        <v>1664</v>
      </c>
      <c r="G1670" s="19">
        <f>IFERROR(__xludf.DUMMYFUNCTION("""COMPUTED_VALUE"""),0.00233)</f>
        <v>0.00233</v>
      </c>
      <c r="H1670" s="19" t="str">
        <f>IFERROR(__xludf.DUMMYFUNCTION("""COMPUTED_VALUE"""),"-")</f>
        <v>-</v>
      </c>
      <c r="I1670" s="19">
        <f>IFERROR(__xludf.DUMMYFUNCTION("""COMPUTED_VALUE"""),0.00218)</f>
        <v>0.00218</v>
      </c>
      <c r="J1670" s="19">
        <f>IFERROR(__xludf.DUMMYFUNCTION("""COMPUTED_VALUE"""),0.04743)</f>
        <v>0.04743</v>
      </c>
      <c r="K1670" s="19" t="str">
        <f>IFERROR(__xludf.DUMMYFUNCTION("""COMPUTED_VALUE"""),"-")</f>
        <v>-</v>
      </c>
      <c r="L1670" s="19" t="str">
        <f>IFERROR(__xludf.DUMMYFUNCTION("""COMPUTED_VALUE"""),"-")</f>
        <v>-</v>
      </c>
      <c r="O1670" s="24">
        <f t="shared" si="4"/>
        <v>0</v>
      </c>
      <c r="P1670" s="24"/>
      <c r="Q1670" s="24">
        <f t="shared" si="6"/>
        <v>0</v>
      </c>
      <c r="R1670" s="24">
        <f t="shared" si="7"/>
        <v>0</v>
      </c>
      <c r="S1670" s="24"/>
      <c r="T1670" s="24"/>
    </row>
    <row r="1671">
      <c r="A1671" s="12" t="s">
        <v>1759</v>
      </c>
      <c r="F1671" s="19">
        <f>IFERROR(__xludf.DUMMYFUNCTION("SPLIT(A1667, "" |"")"),1665.0)</f>
        <v>1665</v>
      </c>
      <c r="G1671" s="19">
        <f>IFERROR(__xludf.DUMMYFUNCTION("""COMPUTED_VALUE"""),0.00221)</f>
        <v>0.00221</v>
      </c>
      <c r="H1671" s="19" t="str">
        <f>IFERROR(__xludf.DUMMYFUNCTION("""COMPUTED_VALUE"""),"-")</f>
        <v>-</v>
      </c>
      <c r="I1671" s="19">
        <f>IFERROR(__xludf.DUMMYFUNCTION("""COMPUTED_VALUE"""),0.0021)</f>
        <v>0.0021</v>
      </c>
      <c r="J1671" s="19">
        <f>IFERROR(__xludf.DUMMYFUNCTION("""COMPUTED_VALUE"""),0.04748)</f>
        <v>0.04748</v>
      </c>
      <c r="K1671" s="19" t="str">
        <f>IFERROR(__xludf.DUMMYFUNCTION("""COMPUTED_VALUE"""),"-")</f>
        <v>-</v>
      </c>
      <c r="L1671" s="19" t="str">
        <f>IFERROR(__xludf.DUMMYFUNCTION("""COMPUTED_VALUE"""),"-")</f>
        <v>-</v>
      </c>
      <c r="O1671" s="24">
        <f t="shared" si="4"/>
        <v>0</v>
      </c>
      <c r="P1671" s="24"/>
      <c r="Q1671" s="24">
        <f t="shared" si="6"/>
        <v>0</v>
      </c>
      <c r="R1671" s="24">
        <f t="shared" si="7"/>
        <v>0</v>
      </c>
      <c r="S1671" s="24"/>
      <c r="T1671" s="24"/>
    </row>
    <row r="1672">
      <c r="A1672" s="12" t="s">
        <v>1760</v>
      </c>
      <c r="F1672" s="19">
        <f>IFERROR(__xludf.DUMMYFUNCTION("SPLIT(A1668, "" |"")"),1666.0)</f>
        <v>1666</v>
      </c>
      <c r="G1672" s="19">
        <f>IFERROR(__xludf.DUMMYFUNCTION("""COMPUTED_VALUE"""),0.00221)</f>
        <v>0.00221</v>
      </c>
      <c r="H1672" s="19" t="str">
        <f>IFERROR(__xludf.DUMMYFUNCTION("""COMPUTED_VALUE"""),"-")</f>
        <v>-</v>
      </c>
      <c r="I1672" s="19">
        <f>IFERROR(__xludf.DUMMYFUNCTION("""COMPUTED_VALUE"""),0.00215)</f>
        <v>0.00215</v>
      </c>
      <c r="J1672" s="19">
        <f>IFERROR(__xludf.DUMMYFUNCTION("""COMPUTED_VALUE"""),0.04724)</f>
        <v>0.04724</v>
      </c>
      <c r="K1672" s="19" t="str">
        <f>IFERROR(__xludf.DUMMYFUNCTION("""COMPUTED_VALUE"""),"-")</f>
        <v>-</v>
      </c>
      <c r="L1672" s="19" t="str">
        <f>IFERROR(__xludf.DUMMYFUNCTION("""COMPUTED_VALUE"""),"-")</f>
        <v>-</v>
      </c>
      <c r="O1672" s="24">
        <f t="shared" si="4"/>
        <v>0</v>
      </c>
      <c r="P1672" s="24"/>
      <c r="Q1672" s="24">
        <f t="shared" si="6"/>
        <v>0</v>
      </c>
      <c r="R1672" s="24">
        <f t="shared" si="7"/>
        <v>0</v>
      </c>
      <c r="S1672" s="24"/>
      <c r="T1672" s="24"/>
    </row>
    <row r="1673">
      <c r="A1673" s="12" t="s">
        <v>1761</v>
      </c>
      <c r="F1673" s="19">
        <f>IFERROR(__xludf.DUMMYFUNCTION("SPLIT(A1669, "" |"")"),1667.0)</f>
        <v>1667</v>
      </c>
      <c r="G1673" s="19">
        <f>IFERROR(__xludf.DUMMYFUNCTION("""COMPUTED_VALUE"""),0.00247)</f>
        <v>0.00247</v>
      </c>
      <c r="H1673" s="19" t="str">
        <f>IFERROR(__xludf.DUMMYFUNCTION("""COMPUTED_VALUE"""),"-")</f>
        <v>-</v>
      </c>
      <c r="I1673" s="19">
        <f>IFERROR(__xludf.DUMMYFUNCTION("""COMPUTED_VALUE"""),0.00228)</f>
        <v>0.00228</v>
      </c>
      <c r="J1673" s="19">
        <f>IFERROR(__xludf.DUMMYFUNCTION("""COMPUTED_VALUE"""),0.04737)</f>
        <v>0.04737</v>
      </c>
      <c r="K1673" s="19" t="str">
        <f>IFERROR(__xludf.DUMMYFUNCTION("""COMPUTED_VALUE"""),"-")</f>
        <v>-</v>
      </c>
      <c r="L1673" s="19" t="str">
        <f>IFERROR(__xludf.DUMMYFUNCTION("""COMPUTED_VALUE"""),"-")</f>
        <v>-</v>
      </c>
      <c r="O1673" s="24">
        <f t="shared" si="4"/>
        <v>0</v>
      </c>
      <c r="P1673" s="24"/>
      <c r="Q1673" s="24">
        <f t="shared" si="6"/>
        <v>0</v>
      </c>
      <c r="R1673" s="24">
        <f t="shared" si="7"/>
        <v>0</v>
      </c>
      <c r="S1673" s="24"/>
      <c r="T1673" s="24"/>
    </row>
    <row r="1674">
      <c r="A1674" s="12" t="s">
        <v>1762</v>
      </c>
      <c r="F1674" s="19">
        <f>IFERROR(__xludf.DUMMYFUNCTION("SPLIT(A1670, "" |"")"),1668.0)</f>
        <v>1668</v>
      </c>
      <c r="G1674" s="19">
        <f>IFERROR(__xludf.DUMMYFUNCTION("""COMPUTED_VALUE"""),0.00244)</f>
        <v>0.00244</v>
      </c>
      <c r="H1674" s="19" t="str">
        <f>IFERROR(__xludf.DUMMYFUNCTION("""COMPUTED_VALUE"""),"-")</f>
        <v>-</v>
      </c>
      <c r="I1674" s="19">
        <f>IFERROR(__xludf.DUMMYFUNCTION("""COMPUTED_VALUE"""),0.00224)</f>
        <v>0.00224</v>
      </c>
      <c r="J1674" s="19">
        <f>IFERROR(__xludf.DUMMYFUNCTION("""COMPUTED_VALUE"""),0.04166)</f>
        <v>0.04166</v>
      </c>
      <c r="K1674" s="19" t="str">
        <f>IFERROR(__xludf.DUMMYFUNCTION("""COMPUTED_VALUE"""),"-")</f>
        <v>-</v>
      </c>
      <c r="L1674" s="19" t="str">
        <f>IFERROR(__xludf.DUMMYFUNCTION("""COMPUTED_VALUE"""),"-")</f>
        <v>-</v>
      </c>
      <c r="O1674" s="24">
        <f t="shared" si="4"/>
        <v>0</v>
      </c>
      <c r="P1674" s="24"/>
      <c r="Q1674" s="24">
        <f t="shared" si="6"/>
        <v>0</v>
      </c>
      <c r="R1674" s="24">
        <f t="shared" si="7"/>
        <v>1</v>
      </c>
      <c r="S1674" s="24"/>
      <c r="T1674" s="24"/>
    </row>
    <row r="1675">
      <c r="A1675" s="12" t="s">
        <v>1763</v>
      </c>
      <c r="F1675" s="19">
        <f>IFERROR(__xludf.DUMMYFUNCTION("SPLIT(A1671, "" |"")"),1669.0)</f>
        <v>1669</v>
      </c>
      <c r="G1675" s="19">
        <f>IFERROR(__xludf.DUMMYFUNCTION("""COMPUTED_VALUE"""),0.00232)</f>
        <v>0.00232</v>
      </c>
      <c r="H1675" s="19" t="str">
        <f>IFERROR(__xludf.DUMMYFUNCTION("""COMPUTED_VALUE"""),"-")</f>
        <v>-</v>
      </c>
      <c r="I1675" s="19">
        <f>IFERROR(__xludf.DUMMYFUNCTION("""COMPUTED_VALUE"""),0.00214)</f>
        <v>0.00214</v>
      </c>
      <c r="J1675" s="19">
        <f>IFERROR(__xludf.DUMMYFUNCTION("""COMPUTED_VALUE"""),0.04539)</f>
        <v>0.04539</v>
      </c>
      <c r="K1675" s="19" t="str">
        <f>IFERROR(__xludf.DUMMYFUNCTION("""COMPUTED_VALUE"""),"-")</f>
        <v>-</v>
      </c>
      <c r="L1675" s="19" t="str">
        <f>IFERROR(__xludf.DUMMYFUNCTION("""COMPUTED_VALUE"""),"-")</f>
        <v>-</v>
      </c>
      <c r="O1675" s="24">
        <f t="shared" si="4"/>
        <v>0</v>
      </c>
      <c r="P1675" s="24"/>
      <c r="Q1675" s="24">
        <f t="shared" si="6"/>
        <v>0</v>
      </c>
      <c r="R1675" s="24">
        <f t="shared" si="7"/>
        <v>0</v>
      </c>
      <c r="S1675" s="24"/>
      <c r="T1675" s="24"/>
    </row>
    <row r="1676">
      <c r="A1676" s="12" t="s">
        <v>1764</v>
      </c>
      <c r="F1676" s="19">
        <f>IFERROR(__xludf.DUMMYFUNCTION("SPLIT(A1672, "" |"")"),1670.0)</f>
        <v>1670</v>
      </c>
      <c r="G1676" s="19">
        <f>IFERROR(__xludf.DUMMYFUNCTION("""COMPUTED_VALUE"""),0.00227)</f>
        <v>0.00227</v>
      </c>
      <c r="H1676" s="19" t="str">
        <f>IFERROR(__xludf.DUMMYFUNCTION("""COMPUTED_VALUE"""),"-")</f>
        <v>-</v>
      </c>
      <c r="I1676" s="19">
        <f>IFERROR(__xludf.DUMMYFUNCTION("""COMPUTED_VALUE"""),0.00208)</f>
        <v>0.00208</v>
      </c>
      <c r="J1676" s="19">
        <f>IFERROR(__xludf.DUMMYFUNCTION("""COMPUTED_VALUE"""),0.0473)</f>
        <v>0.0473</v>
      </c>
      <c r="K1676" s="19" t="str">
        <f>IFERROR(__xludf.DUMMYFUNCTION("""COMPUTED_VALUE"""),"-")</f>
        <v>-</v>
      </c>
      <c r="L1676" s="19" t="str">
        <f>IFERROR(__xludf.DUMMYFUNCTION("""COMPUTED_VALUE"""),"-")</f>
        <v>-</v>
      </c>
      <c r="O1676" s="24">
        <f t="shared" si="4"/>
        <v>0</v>
      </c>
      <c r="P1676" s="24"/>
      <c r="Q1676" s="24">
        <f t="shared" si="6"/>
        <v>0</v>
      </c>
      <c r="R1676" s="24">
        <f t="shared" si="7"/>
        <v>0</v>
      </c>
      <c r="S1676" s="24"/>
      <c r="T1676" s="24"/>
    </row>
    <row r="1677">
      <c r="A1677" s="12" t="s">
        <v>1765</v>
      </c>
      <c r="F1677" s="19">
        <f>IFERROR(__xludf.DUMMYFUNCTION("SPLIT(A1673, "" |"")"),1671.0)</f>
        <v>1671</v>
      </c>
      <c r="G1677" s="19">
        <f>IFERROR(__xludf.DUMMYFUNCTION("""COMPUTED_VALUE"""),0.00241)</f>
        <v>0.00241</v>
      </c>
      <c r="H1677" s="19" t="str">
        <f>IFERROR(__xludf.DUMMYFUNCTION("""COMPUTED_VALUE"""),"-")</f>
        <v>-</v>
      </c>
      <c r="I1677" s="19">
        <f>IFERROR(__xludf.DUMMYFUNCTION("""COMPUTED_VALUE"""),0.00219)</f>
        <v>0.00219</v>
      </c>
      <c r="J1677" s="19">
        <f>IFERROR(__xludf.DUMMYFUNCTION("""COMPUTED_VALUE"""),0.04696)</f>
        <v>0.04696</v>
      </c>
      <c r="K1677" s="19" t="str">
        <f>IFERROR(__xludf.DUMMYFUNCTION("""COMPUTED_VALUE"""),"-")</f>
        <v>-</v>
      </c>
      <c r="L1677" s="19" t="str">
        <f>IFERROR(__xludf.DUMMYFUNCTION("""COMPUTED_VALUE"""),"-")</f>
        <v>-</v>
      </c>
      <c r="O1677" s="24">
        <f t="shared" si="4"/>
        <v>0</v>
      </c>
      <c r="P1677" s="24"/>
      <c r="Q1677" s="24">
        <f t="shared" si="6"/>
        <v>0</v>
      </c>
      <c r="R1677" s="24">
        <f t="shared" si="7"/>
        <v>0</v>
      </c>
      <c r="S1677" s="24"/>
      <c r="T1677" s="24"/>
    </row>
    <row r="1678">
      <c r="A1678" s="12" t="s">
        <v>1766</v>
      </c>
      <c r="F1678" s="19">
        <f>IFERROR(__xludf.DUMMYFUNCTION("SPLIT(A1674, "" |"")"),1672.0)</f>
        <v>1672</v>
      </c>
      <c r="G1678" s="19">
        <f>IFERROR(__xludf.DUMMYFUNCTION("""COMPUTED_VALUE"""),0.00229)</f>
        <v>0.00229</v>
      </c>
      <c r="H1678" s="19" t="str">
        <f>IFERROR(__xludf.DUMMYFUNCTION("""COMPUTED_VALUE"""),"-")</f>
        <v>-</v>
      </c>
      <c r="I1678" s="19">
        <f>IFERROR(__xludf.DUMMYFUNCTION("""COMPUTED_VALUE"""),0.00215)</f>
        <v>0.00215</v>
      </c>
      <c r="J1678" s="19">
        <f>IFERROR(__xludf.DUMMYFUNCTION("""COMPUTED_VALUE"""),0.04725)</f>
        <v>0.04725</v>
      </c>
      <c r="K1678" s="19" t="str">
        <f>IFERROR(__xludf.DUMMYFUNCTION("""COMPUTED_VALUE"""),"-")</f>
        <v>-</v>
      </c>
      <c r="L1678" s="19" t="str">
        <f>IFERROR(__xludf.DUMMYFUNCTION("""COMPUTED_VALUE"""),"-")</f>
        <v>-</v>
      </c>
      <c r="O1678" s="24">
        <f t="shared" si="4"/>
        <v>0</v>
      </c>
      <c r="P1678" s="24"/>
      <c r="Q1678" s="24">
        <f t="shared" si="6"/>
        <v>0</v>
      </c>
      <c r="R1678" s="24">
        <f t="shared" si="7"/>
        <v>0</v>
      </c>
      <c r="S1678" s="24"/>
      <c r="T1678" s="24"/>
    </row>
    <row r="1679">
      <c r="A1679" s="12" t="s">
        <v>1767</v>
      </c>
      <c r="F1679" s="19">
        <f>IFERROR(__xludf.DUMMYFUNCTION("SPLIT(A1675, "" |"")"),1673.0)</f>
        <v>1673</v>
      </c>
      <c r="G1679" s="19">
        <f>IFERROR(__xludf.DUMMYFUNCTION("""COMPUTED_VALUE"""),0.00225)</f>
        <v>0.00225</v>
      </c>
      <c r="H1679" s="19" t="str">
        <f>IFERROR(__xludf.DUMMYFUNCTION("""COMPUTED_VALUE"""),"-")</f>
        <v>-</v>
      </c>
      <c r="I1679" s="19">
        <f>IFERROR(__xludf.DUMMYFUNCTION("""COMPUTED_VALUE"""),0.00209)</f>
        <v>0.00209</v>
      </c>
      <c r="J1679" s="19">
        <f>IFERROR(__xludf.DUMMYFUNCTION("""COMPUTED_VALUE"""),0.04728)</f>
        <v>0.04728</v>
      </c>
      <c r="K1679" s="19" t="str">
        <f>IFERROR(__xludf.DUMMYFUNCTION("""COMPUTED_VALUE"""),"-")</f>
        <v>-</v>
      </c>
      <c r="L1679" s="19" t="str">
        <f>IFERROR(__xludf.DUMMYFUNCTION("""COMPUTED_VALUE"""),"-")</f>
        <v>-</v>
      </c>
      <c r="O1679" s="24">
        <f t="shared" si="4"/>
        <v>0</v>
      </c>
      <c r="P1679" s="24"/>
      <c r="Q1679" s="24">
        <f t="shared" si="6"/>
        <v>0</v>
      </c>
      <c r="R1679" s="24">
        <f t="shared" si="7"/>
        <v>0</v>
      </c>
      <c r="S1679" s="24"/>
      <c r="T1679" s="24"/>
    </row>
    <row r="1680">
      <c r="A1680" s="12" t="s">
        <v>1768</v>
      </c>
      <c r="F1680" s="19">
        <f>IFERROR(__xludf.DUMMYFUNCTION("SPLIT(A1676, "" |"")"),1674.0)</f>
        <v>1674</v>
      </c>
      <c r="G1680" s="19">
        <f>IFERROR(__xludf.DUMMYFUNCTION("""COMPUTED_VALUE"""),0.00219)</f>
        <v>0.00219</v>
      </c>
      <c r="H1680" s="19" t="str">
        <f>IFERROR(__xludf.DUMMYFUNCTION("""COMPUTED_VALUE"""),"-")</f>
        <v>-</v>
      </c>
      <c r="I1680" s="19">
        <f>IFERROR(__xludf.DUMMYFUNCTION("""COMPUTED_VALUE"""),0.00206)</f>
        <v>0.00206</v>
      </c>
      <c r="J1680" s="19">
        <f>IFERROR(__xludf.DUMMYFUNCTION("""COMPUTED_VALUE"""),0.04677)</f>
        <v>0.04677</v>
      </c>
      <c r="K1680" s="19" t="str">
        <f>IFERROR(__xludf.DUMMYFUNCTION("""COMPUTED_VALUE"""),"-")</f>
        <v>-</v>
      </c>
      <c r="L1680" s="19" t="str">
        <f>IFERROR(__xludf.DUMMYFUNCTION("""COMPUTED_VALUE"""),"-")</f>
        <v>-</v>
      </c>
      <c r="O1680" s="24">
        <f t="shared" si="4"/>
        <v>0</v>
      </c>
      <c r="P1680" s="24"/>
      <c r="Q1680" s="24">
        <f t="shared" si="6"/>
        <v>0</v>
      </c>
      <c r="R1680" s="24">
        <f t="shared" si="7"/>
        <v>0</v>
      </c>
      <c r="S1680" s="24"/>
      <c r="T1680" s="24"/>
    </row>
    <row r="1681">
      <c r="A1681" s="12" t="s">
        <v>1769</v>
      </c>
      <c r="F1681" s="19">
        <f>IFERROR(__xludf.DUMMYFUNCTION("SPLIT(A1677, "" |"")"),1675.0)</f>
        <v>1675</v>
      </c>
      <c r="G1681" s="19">
        <f>IFERROR(__xludf.DUMMYFUNCTION("""COMPUTED_VALUE"""),0.00224)</f>
        <v>0.00224</v>
      </c>
      <c r="H1681" s="19" t="str">
        <f>IFERROR(__xludf.DUMMYFUNCTION("""COMPUTED_VALUE"""),"-")</f>
        <v>-</v>
      </c>
      <c r="I1681" s="19">
        <f>IFERROR(__xludf.DUMMYFUNCTION("""COMPUTED_VALUE"""),0.00209)</f>
        <v>0.00209</v>
      </c>
      <c r="J1681" s="19">
        <f>IFERROR(__xludf.DUMMYFUNCTION("""COMPUTED_VALUE"""),0.04729)</f>
        <v>0.04729</v>
      </c>
      <c r="K1681" s="19" t="str">
        <f>IFERROR(__xludf.DUMMYFUNCTION("""COMPUTED_VALUE"""),"-")</f>
        <v>-</v>
      </c>
      <c r="L1681" s="19" t="str">
        <f>IFERROR(__xludf.DUMMYFUNCTION("""COMPUTED_VALUE"""),"-")</f>
        <v>-</v>
      </c>
      <c r="O1681" s="24">
        <f t="shared" si="4"/>
        <v>0</v>
      </c>
      <c r="P1681" s="24"/>
      <c r="Q1681" s="24">
        <f t="shared" si="6"/>
        <v>0</v>
      </c>
      <c r="R1681" s="24">
        <f t="shared" si="7"/>
        <v>0</v>
      </c>
      <c r="S1681" s="24"/>
      <c r="T1681" s="24"/>
    </row>
    <row r="1682">
      <c r="A1682" s="12" t="s">
        <v>1770</v>
      </c>
      <c r="F1682" s="19">
        <f>IFERROR(__xludf.DUMMYFUNCTION("SPLIT(A1678, "" |"")"),1676.0)</f>
        <v>1676</v>
      </c>
      <c r="G1682" s="19">
        <f>IFERROR(__xludf.DUMMYFUNCTION("""COMPUTED_VALUE"""),0.00224)</f>
        <v>0.00224</v>
      </c>
      <c r="H1682" s="19" t="str">
        <f>IFERROR(__xludf.DUMMYFUNCTION("""COMPUTED_VALUE"""),"-")</f>
        <v>-</v>
      </c>
      <c r="I1682" s="19">
        <f>IFERROR(__xludf.DUMMYFUNCTION("""COMPUTED_VALUE"""),0.00214)</f>
        <v>0.00214</v>
      </c>
      <c r="J1682" s="19">
        <f>IFERROR(__xludf.DUMMYFUNCTION("""COMPUTED_VALUE"""),0.04558)</f>
        <v>0.04558</v>
      </c>
      <c r="K1682" s="19" t="str">
        <f>IFERROR(__xludf.DUMMYFUNCTION("""COMPUTED_VALUE"""),"-")</f>
        <v>-</v>
      </c>
      <c r="L1682" s="19" t="str">
        <f>IFERROR(__xludf.DUMMYFUNCTION("""COMPUTED_VALUE"""),"-")</f>
        <v>-</v>
      </c>
      <c r="O1682" s="24">
        <f t="shared" si="4"/>
        <v>0</v>
      </c>
      <c r="P1682" s="24"/>
      <c r="Q1682" s="24">
        <f t="shared" si="6"/>
        <v>0</v>
      </c>
      <c r="R1682" s="24">
        <f t="shared" si="7"/>
        <v>0</v>
      </c>
      <c r="S1682" s="24"/>
      <c r="T1682" s="24"/>
    </row>
    <row r="1683">
      <c r="A1683" s="12" t="s">
        <v>1771</v>
      </c>
      <c r="F1683" s="19">
        <f>IFERROR(__xludf.DUMMYFUNCTION("SPLIT(A1679, "" |"")"),1677.0)</f>
        <v>1677</v>
      </c>
      <c r="G1683" s="19">
        <f>IFERROR(__xludf.DUMMYFUNCTION("""COMPUTED_VALUE"""),0.00233)</f>
        <v>0.00233</v>
      </c>
      <c r="H1683" s="19" t="str">
        <f>IFERROR(__xludf.DUMMYFUNCTION("""COMPUTED_VALUE"""),"-")</f>
        <v>-</v>
      </c>
      <c r="I1683" s="19">
        <f>IFERROR(__xludf.DUMMYFUNCTION("""COMPUTED_VALUE"""),0.00227)</f>
        <v>0.00227</v>
      </c>
      <c r="J1683" s="19">
        <f>IFERROR(__xludf.DUMMYFUNCTION("""COMPUTED_VALUE"""),0.04748)</f>
        <v>0.04748</v>
      </c>
      <c r="K1683" s="19" t="str">
        <f>IFERROR(__xludf.DUMMYFUNCTION("""COMPUTED_VALUE"""),"-")</f>
        <v>-</v>
      </c>
      <c r="L1683" s="19" t="str">
        <f>IFERROR(__xludf.DUMMYFUNCTION("""COMPUTED_VALUE"""),"-")</f>
        <v>-</v>
      </c>
      <c r="O1683" s="24">
        <f t="shared" si="4"/>
        <v>0</v>
      </c>
      <c r="P1683" s="24"/>
      <c r="Q1683" s="24">
        <f t="shared" si="6"/>
        <v>0</v>
      </c>
      <c r="R1683" s="24">
        <f t="shared" si="7"/>
        <v>0</v>
      </c>
      <c r="S1683" s="24"/>
      <c r="T1683" s="24"/>
    </row>
    <row r="1684">
      <c r="A1684" s="12" t="s">
        <v>1772</v>
      </c>
      <c r="F1684" s="19">
        <f>IFERROR(__xludf.DUMMYFUNCTION("SPLIT(A1680, "" |"")"),1678.0)</f>
        <v>1678</v>
      </c>
      <c r="G1684" s="19">
        <f>IFERROR(__xludf.DUMMYFUNCTION("""COMPUTED_VALUE"""),0.0024)</f>
        <v>0.0024</v>
      </c>
      <c r="H1684" s="19" t="str">
        <f>IFERROR(__xludf.DUMMYFUNCTION("""COMPUTED_VALUE"""),"-")</f>
        <v>-</v>
      </c>
      <c r="I1684" s="19">
        <f>IFERROR(__xludf.DUMMYFUNCTION("""COMPUTED_VALUE"""),0.00219)</f>
        <v>0.00219</v>
      </c>
      <c r="J1684" s="19">
        <f>IFERROR(__xludf.DUMMYFUNCTION("""COMPUTED_VALUE"""),0.04593)</f>
        <v>0.04593</v>
      </c>
      <c r="K1684" s="19" t="str">
        <f>IFERROR(__xludf.DUMMYFUNCTION("""COMPUTED_VALUE"""),"-")</f>
        <v>-</v>
      </c>
      <c r="L1684" s="19" t="str">
        <f>IFERROR(__xludf.DUMMYFUNCTION("""COMPUTED_VALUE"""),"-")</f>
        <v>-</v>
      </c>
      <c r="O1684" s="24">
        <f t="shared" si="4"/>
        <v>0</v>
      </c>
      <c r="P1684" s="24"/>
      <c r="Q1684" s="24">
        <f t="shared" si="6"/>
        <v>0</v>
      </c>
      <c r="R1684" s="24">
        <f t="shared" si="7"/>
        <v>0</v>
      </c>
      <c r="S1684" s="24"/>
      <c r="T1684" s="24"/>
    </row>
    <row r="1685">
      <c r="A1685" s="12" t="s">
        <v>1773</v>
      </c>
      <c r="F1685" s="19">
        <f>IFERROR(__xludf.DUMMYFUNCTION("SPLIT(A1681, "" |"")"),1679.0)</f>
        <v>1679</v>
      </c>
      <c r="G1685" s="19">
        <f>IFERROR(__xludf.DUMMYFUNCTION("""COMPUTED_VALUE"""),0.00235)</f>
        <v>0.00235</v>
      </c>
      <c r="H1685" s="19" t="str">
        <f>IFERROR(__xludf.DUMMYFUNCTION("""COMPUTED_VALUE"""),"-")</f>
        <v>-</v>
      </c>
      <c r="I1685" s="19">
        <f>IFERROR(__xludf.DUMMYFUNCTION("""COMPUTED_VALUE"""),0.00222)</f>
        <v>0.00222</v>
      </c>
      <c r="J1685" s="19">
        <f>IFERROR(__xludf.DUMMYFUNCTION("""COMPUTED_VALUE"""),0.04077)</f>
        <v>0.04077</v>
      </c>
      <c r="K1685" s="19" t="str">
        <f>IFERROR(__xludf.DUMMYFUNCTION("""COMPUTED_VALUE"""),"-")</f>
        <v>-</v>
      </c>
      <c r="L1685" s="19" t="str">
        <f>IFERROR(__xludf.DUMMYFUNCTION("""COMPUTED_VALUE"""),"-")</f>
        <v>-</v>
      </c>
      <c r="O1685" s="24">
        <f t="shared" si="4"/>
        <v>0</v>
      </c>
      <c r="P1685" s="24"/>
      <c r="Q1685" s="24">
        <f t="shared" si="6"/>
        <v>0</v>
      </c>
      <c r="R1685" s="24">
        <f t="shared" si="7"/>
        <v>1</v>
      </c>
      <c r="S1685" s="24"/>
      <c r="T1685" s="24"/>
    </row>
    <row r="1686">
      <c r="A1686" s="12" t="s">
        <v>1774</v>
      </c>
      <c r="F1686" s="19">
        <f>IFERROR(__xludf.DUMMYFUNCTION("SPLIT(A1682, "" |"")"),1680.0)</f>
        <v>1680</v>
      </c>
      <c r="G1686" s="19">
        <f>IFERROR(__xludf.DUMMYFUNCTION("""COMPUTED_VALUE"""),0.00228)</f>
        <v>0.00228</v>
      </c>
      <c r="H1686" s="19" t="str">
        <f>IFERROR(__xludf.DUMMYFUNCTION("""COMPUTED_VALUE"""),"-")</f>
        <v>-</v>
      </c>
      <c r="I1686" s="19">
        <f>IFERROR(__xludf.DUMMYFUNCTION("""COMPUTED_VALUE"""),0.00209)</f>
        <v>0.00209</v>
      </c>
      <c r="J1686" s="19">
        <f>IFERROR(__xludf.DUMMYFUNCTION("""COMPUTED_VALUE"""),0.0431)</f>
        <v>0.0431</v>
      </c>
      <c r="K1686" s="19" t="str">
        <f>IFERROR(__xludf.DUMMYFUNCTION("""COMPUTED_VALUE"""),"-")</f>
        <v>-</v>
      </c>
      <c r="L1686" s="19" t="str">
        <f>IFERROR(__xludf.DUMMYFUNCTION("""COMPUTED_VALUE"""),"-")</f>
        <v>-</v>
      </c>
      <c r="O1686" s="24">
        <f t="shared" si="4"/>
        <v>0</v>
      </c>
      <c r="P1686" s="24"/>
      <c r="Q1686" s="24">
        <f t="shared" si="6"/>
        <v>0</v>
      </c>
      <c r="R1686" s="24">
        <f t="shared" si="7"/>
        <v>1</v>
      </c>
      <c r="S1686" s="24"/>
      <c r="T1686" s="24"/>
    </row>
    <row r="1687">
      <c r="A1687" s="12" t="s">
        <v>1775</v>
      </c>
      <c r="F1687" s="19">
        <f>IFERROR(__xludf.DUMMYFUNCTION("SPLIT(A1683, "" |"")"),1681.0)</f>
        <v>1681</v>
      </c>
      <c r="G1687" s="19">
        <f>IFERROR(__xludf.DUMMYFUNCTION("""COMPUTED_VALUE"""),0.00237)</f>
        <v>0.00237</v>
      </c>
      <c r="H1687" s="19" t="str">
        <f>IFERROR(__xludf.DUMMYFUNCTION("""COMPUTED_VALUE"""),"-")</f>
        <v>-</v>
      </c>
      <c r="I1687" s="19">
        <f>IFERROR(__xludf.DUMMYFUNCTION("""COMPUTED_VALUE"""),0.00226)</f>
        <v>0.00226</v>
      </c>
      <c r="J1687" s="19">
        <f>IFERROR(__xludf.DUMMYFUNCTION("""COMPUTED_VALUE"""),0.04752)</f>
        <v>0.04752</v>
      </c>
      <c r="K1687" s="19" t="str">
        <f>IFERROR(__xludf.DUMMYFUNCTION("""COMPUTED_VALUE"""),"-")</f>
        <v>-</v>
      </c>
      <c r="L1687" s="19" t="str">
        <f>IFERROR(__xludf.DUMMYFUNCTION("""COMPUTED_VALUE"""),"-")</f>
        <v>-</v>
      </c>
      <c r="O1687" s="24">
        <f t="shared" si="4"/>
        <v>0</v>
      </c>
      <c r="P1687" s="24"/>
      <c r="Q1687" s="24">
        <f t="shared" si="6"/>
        <v>0</v>
      </c>
      <c r="R1687" s="24">
        <f t="shared" si="7"/>
        <v>0</v>
      </c>
      <c r="S1687" s="24"/>
      <c r="T1687" s="24"/>
    </row>
    <row r="1688">
      <c r="A1688" s="12" t="s">
        <v>1776</v>
      </c>
      <c r="F1688" s="19">
        <f>IFERROR(__xludf.DUMMYFUNCTION("SPLIT(A1684, "" |"")"),1682.0)</f>
        <v>1682</v>
      </c>
      <c r="G1688" s="19">
        <f>IFERROR(__xludf.DUMMYFUNCTION("""COMPUTED_VALUE"""),0.00234)</f>
        <v>0.00234</v>
      </c>
      <c r="H1688" s="19" t="str">
        <f>IFERROR(__xludf.DUMMYFUNCTION("""COMPUTED_VALUE"""),"-")</f>
        <v>-</v>
      </c>
      <c r="I1688" s="19">
        <f>IFERROR(__xludf.DUMMYFUNCTION("""COMPUTED_VALUE"""),0.00218)</f>
        <v>0.00218</v>
      </c>
      <c r="J1688" s="19">
        <f>IFERROR(__xludf.DUMMYFUNCTION("""COMPUTED_VALUE"""),0.04746)</f>
        <v>0.04746</v>
      </c>
      <c r="K1688" s="19" t="str">
        <f>IFERROR(__xludf.DUMMYFUNCTION("""COMPUTED_VALUE"""),"-")</f>
        <v>-</v>
      </c>
      <c r="L1688" s="19" t="str">
        <f>IFERROR(__xludf.DUMMYFUNCTION("""COMPUTED_VALUE"""),"-")</f>
        <v>-</v>
      </c>
      <c r="O1688" s="24">
        <f t="shared" si="4"/>
        <v>0</v>
      </c>
      <c r="P1688" s="24"/>
      <c r="Q1688" s="24">
        <f t="shared" si="6"/>
        <v>0</v>
      </c>
      <c r="R1688" s="24">
        <f t="shared" si="7"/>
        <v>0</v>
      </c>
      <c r="S1688" s="24"/>
      <c r="T1688" s="24"/>
    </row>
    <row r="1689">
      <c r="A1689" s="12" t="s">
        <v>1777</v>
      </c>
      <c r="F1689" s="19">
        <f>IFERROR(__xludf.DUMMYFUNCTION("SPLIT(A1685, "" |"")"),1683.0)</f>
        <v>1683</v>
      </c>
      <c r="G1689" s="19">
        <f>IFERROR(__xludf.DUMMYFUNCTION("""COMPUTED_VALUE"""),0.0023)</f>
        <v>0.0023</v>
      </c>
      <c r="H1689" s="19" t="str">
        <f>IFERROR(__xludf.DUMMYFUNCTION("""COMPUTED_VALUE"""),"-")</f>
        <v>-</v>
      </c>
      <c r="I1689" s="19">
        <f>IFERROR(__xludf.DUMMYFUNCTION("""COMPUTED_VALUE"""),0.0022)</f>
        <v>0.0022</v>
      </c>
      <c r="J1689" s="19">
        <f>IFERROR(__xludf.DUMMYFUNCTION("""COMPUTED_VALUE"""),0.04729)</f>
        <v>0.04729</v>
      </c>
      <c r="K1689" s="19" t="str">
        <f>IFERROR(__xludf.DUMMYFUNCTION("""COMPUTED_VALUE"""),"-")</f>
        <v>-</v>
      </c>
      <c r="L1689" s="19" t="str">
        <f>IFERROR(__xludf.DUMMYFUNCTION("""COMPUTED_VALUE"""),"-")</f>
        <v>-</v>
      </c>
      <c r="O1689" s="24">
        <f t="shared" si="4"/>
        <v>0</v>
      </c>
      <c r="P1689" s="24"/>
      <c r="Q1689" s="24">
        <f t="shared" si="6"/>
        <v>0</v>
      </c>
      <c r="R1689" s="24">
        <f t="shared" si="7"/>
        <v>0</v>
      </c>
      <c r="S1689" s="24"/>
      <c r="T1689" s="24"/>
    </row>
    <row r="1690">
      <c r="A1690" s="12" t="s">
        <v>1778</v>
      </c>
      <c r="F1690" s="19">
        <f>IFERROR(__xludf.DUMMYFUNCTION("SPLIT(A1686, "" |"")"),1684.0)</f>
        <v>1684</v>
      </c>
      <c r="G1690" s="19">
        <f>IFERROR(__xludf.DUMMYFUNCTION("""COMPUTED_VALUE"""),0.00231)</f>
        <v>0.00231</v>
      </c>
      <c r="H1690" s="19" t="str">
        <f>IFERROR(__xludf.DUMMYFUNCTION("""COMPUTED_VALUE"""),"-")</f>
        <v>-</v>
      </c>
      <c r="I1690" s="19">
        <f>IFERROR(__xludf.DUMMYFUNCTION("""COMPUTED_VALUE"""),0.00219)</f>
        <v>0.00219</v>
      </c>
      <c r="J1690" s="19">
        <f>IFERROR(__xludf.DUMMYFUNCTION("""COMPUTED_VALUE"""),0.04137)</f>
        <v>0.04137</v>
      </c>
      <c r="K1690" s="19" t="str">
        <f>IFERROR(__xludf.DUMMYFUNCTION("""COMPUTED_VALUE"""),"-")</f>
        <v>-</v>
      </c>
      <c r="L1690" s="19" t="str">
        <f>IFERROR(__xludf.DUMMYFUNCTION("""COMPUTED_VALUE"""),"-")</f>
        <v>-</v>
      </c>
      <c r="O1690" s="24">
        <f t="shared" si="4"/>
        <v>0</v>
      </c>
      <c r="P1690" s="24"/>
      <c r="Q1690" s="24">
        <f t="shared" si="6"/>
        <v>0</v>
      </c>
      <c r="R1690" s="24">
        <f t="shared" si="7"/>
        <v>1</v>
      </c>
      <c r="S1690" s="24"/>
      <c r="T1690" s="24"/>
    </row>
    <row r="1691">
      <c r="A1691" s="12" t="s">
        <v>1779</v>
      </c>
      <c r="F1691" s="19">
        <f>IFERROR(__xludf.DUMMYFUNCTION("SPLIT(A1687, "" |"")"),1685.0)</f>
        <v>1685</v>
      </c>
      <c r="G1691" s="19">
        <f>IFERROR(__xludf.DUMMYFUNCTION("""COMPUTED_VALUE"""),0.00227)</f>
        <v>0.00227</v>
      </c>
      <c r="H1691" s="19" t="str">
        <f>IFERROR(__xludf.DUMMYFUNCTION("""COMPUTED_VALUE"""),"-")</f>
        <v>-</v>
      </c>
      <c r="I1691" s="19">
        <f>IFERROR(__xludf.DUMMYFUNCTION("""COMPUTED_VALUE"""),0.00219)</f>
        <v>0.00219</v>
      </c>
      <c r="J1691" s="19">
        <f>IFERROR(__xludf.DUMMYFUNCTION("""COMPUTED_VALUE"""),0.04747)</f>
        <v>0.04747</v>
      </c>
      <c r="K1691" s="19" t="str">
        <f>IFERROR(__xludf.DUMMYFUNCTION("""COMPUTED_VALUE"""),"-")</f>
        <v>-</v>
      </c>
      <c r="L1691" s="19" t="str">
        <f>IFERROR(__xludf.DUMMYFUNCTION("""COMPUTED_VALUE"""),"-")</f>
        <v>-</v>
      </c>
      <c r="O1691" s="24">
        <f t="shared" si="4"/>
        <v>0</v>
      </c>
      <c r="P1691" s="24"/>
      <c r="Q1691" s="24">
        <f t="shared" si="6"/>
        <v>0</v>
      </c>
      <c r="R1691" s="24">
        <f t="shared" si="7"/>
        <v>0</v>
      </c>
      <c r="S1691" s="24"/>
      <c r="T1691" s="24"/>
    </row>
    <row r="1692">
      <c r="A1692" s="12" t="s">
        <v>1780</v>
      </c>
      <c r="F1692" s="19">
        <f>IFERROR(__xludf.DUMMYFUNCTION("SPLIT(A1688, "" |"")"),1686.0)</f>
        <v>1686</v>
      </c>
      <c r="G1692" s="19">
        <f>IFERROR(__xludf.DUMMYFUNCTION("""COMPUTED_VALUE"""),0.00237)</f>
        <v>0.00237</v>
      </c>
      <c r="H1692" s="19" t="str">
        <f>IFERROR(__xludf.DUMMYFUNCTION("""COMPUTED_VALUE"""),"-")</f>
        <v>-</v>
      </c>
      <c r="I1692" s="19">
        <f>IFERROR(__xludf.DUMMYFUNCTION("""COMPUTED_VALUE"""),0.00221)</f>
        <v>0.00221</v>
      </c>
      <c r="J1692" s="19">
        <f>IFERROR(__xludf.DUMMYFUNCTION("""COMPUTED_VALUE"""),0.04747)</f>
        <v>0.04747</v>
      </c>
      <c r="K1692" s="19" t="str">
        <f>IFERROR(__xludf.DUMMYFUNCTION("""COMPUTED_VALUE"""),"-")</f>
        <v>-</v>
      </c>
      <c r="L1692" s="19" t="str">
        <f>IFERROR(__xludf.DUMMYFUNCTION("""COMPUTED_VALUE"""),"-")</f>
        <v>-</v>
      </c>
      <c r="O1692" s="24">
        <f t="shared" si="4"/>
        <v>0</v>
      </c>
      <c r="P1692" s="24"/>
      <c r="Q1692" s="24">
        <f t="shared" si="6"/>
        <v>0</v>
      </c>
      <c r="R1692" s="24">
        <f t="shared" si="7"/>
        <v>0</v>
      </c>
      <c r="S1692" s="24"/>
      <c r="T1692" s="24"/>
    </row>
    <row r="1693">
      <c r="A1693" s="12" t="s">
        <v>1781</v>
      </c>
      <c r="F1693" s="19">
        <f>IFERROR(__xludf.DUMMYFUNCTION("SPLIT(A1689, "" |"")"),1687.0)</f>
        <v>1687</v>
      </c>
      <c r="G1693" s="19">
        <f>IFERROR(__xludf.DUMMYFUNCTION("""COMPUTED_VALUE"""),0.00234)</f>
        <v>0.00234</v>
      </c>
      <c r="H1693" s="19" t="str">
        <f>IFERROR(__xludf.DUMMYFUNCTION("""COMPUTED_VALUE"""),"-")</f>
        <v>-</v>
      </c>
      <c r="I1693" s="19">
        <f>IFERROR(__xludf.DUMMYFUNCTION("""COMPUTED_VALUE"""),0.00221)</f>
        <v>0.00221</v>
      </c>
      <c r="J1693" s="19">
        <f>IFERROR(__xludf.DUMMYFUNCTION("""COMPUTED_VALUE"""),0.04746)</f>
        <v>0.04746</v>
      </c>
      <c r="K1693" s="19" t="str">
        <f>IFERROR(__xludf.DUMMYFUNCTION("""COMPUTED_VALUE"""),"-")</f>
        <v>-</v>
      </c>
      <c r="L1693" s="19" t="str">
        <f>IFERROR(__xludf.DUMMYFUNCTION("""COMPUTED_VALUE"""),"-")</f>
        <v>-</v>
      </c>
      <c r="O1693" s="24">
        <f t="shared" si="4"/>
        <v>0</v>
      </c>
      <c r="P1693" s="24"/>
      <c r="Q1693" s="24">
        <f t="shared" si="6"/>
        <v>0</v>
      </c>
      <c r="R1693" s="24">
        <f t="shared" si="7"/>
        <v>0</v>
      </c>
      <c r="S1693" s="24"/>
      <c r="T1693" s="24"/>
    </row>
    <row r="1694">
      <c r="A1694" s="12" t="s">
        <v>1782</v>
      </c>
      <c r="F1694" s="19">
        <f>IFERROR(__xludf.DUMMYFUNCTION("SPLIT(A1690, "" |"")"),1688.0)</f>
        <v>1688</v>
      </c>
      <c r="G1694" s="19">
        <f>IFERROR(__xludf.DUMMYFUNCTION("""COMPUTED_VALUE"""),0.00233)</f>
        <v>0.00233</v>
      </c>
      <c r="H1694" s="19" t="str">
        <f>IFERROR(__xludf.DUMMYFUNCTION("""COMPUTED_VALUE"""),"-")</f>
        <v>-</v>
      </c>
      <c r="I1694" s="19">
        <f>IFERROR(__xludf.DUMMYFUNCTION("""COMPUTED_VALUE"""),0.00218)</f>
        <v>0.00218</v>
      </c>
      <c r="J1694" s="19">
        <f>IFERROR(__xludf.DUMMYFUNCTION("""COMPUTED_VALUE"""),0.04128)</f>
        <v>0.04128</v>
      </c>
      <c r="K1694" s="19" t="str">
        <f>IFERROR(__xludf.DUMMYFUNCTION("""COMPUTED_VALUE"""),"-")</f>
        <v>-</v>
      </c>
      <c r="L1694" s="19" t="str">
        <f>IFERROR(__xludf.DUMMYFUNCTION("""COMPUTED_VALUE"""),"-")</f>
        <v>-</v>
      </c>
      <c r="O1694" s="24">
        <f t="shared" si="4"/>
        <v>0</v>
      </c>
      <c r="P1694" s="24"/>
      <c r="Q1694" s="24">
        <f t="shared" si="6"/>
        <v>0</v>
      </c>
      <c r="R1694" s="24">
        <f t="shared" si="7"/>
        <v>1</v>
      </c>
      <c r="S1694" s="24"/>
      <c r="T1694" s="24"/>
    </row>
    <row r="1695">
      <c r="A1695" s="12" t="s">
        <v>1783</v>
      </c>
      <c r="F1695" s="19">
        <f>IFERROR(__xludf.DUMMYFUNCTION("SPLIT(A1691, "" |"")"),1689.0)</f>
        <v>1689</v>
      </c>
      <c r="G1695" s="19">
        <f>IFERROR(__xludf.DUMMYFUNCTION("""COMPUTED_VALUE"""),0.00221)</f>
        <v>0.00221</v>
      </c>
      <c r="H1695" s="19" t="str">
        <f>IFERROR(__xludf.DUMMYFUNCTION("""COMPUTED_VALUE"""),"-")</f>
        <v>-</v>
      </c>
      <c r="I1695" s="19">
        <f>IFERROR(__xludf.DUMMYFUNCTION("""COMPUTED_VALUE"""),0.00207)</f>
        <v>0.00207</v>
      </c>
      <c r="J1695" s="19">
        <f>IFERROR(__xludf.DUMMYFUNCTION("""COMPUTED_VALUE"""),0.04741)</f>
        <v>0.04741</v>
      </c>
      <c r="K1695" s="19" t="str">
        <f>IFERROR(__xludf.DUMMYFUNCTION("""COMPUTED_VALUE"""),"-")</f>
        <v>-</v>
      </c>
      <c r="L1695" s="19" t="str">
        <f>IFERROR(__xludf.DUMMYFUNCTION("""COMPUTED_VALUE"""),"-")</f>
        <v>-</v>
      </c>
      <c r="O1695" s="24">
        <f t="shared" si="4"/>
        <v>0</v>
      </c>
      <c r="P1695" s="24"/>
      <c r="Q1695" s="24">
        <f t="shared" si="6"/>
        <v>0</v>
      </c>
      <c r="R1695" s="24">
        <f t="shared" si="7"/>
        <v>0</v>
      </c>
      <c r="S1695" s="24"/>
      <c r="T1695" s="24"/>
    </row>
    <row r="1696">
      <c r="A1696" s="12" t="s">
        <v>1784</v>
      </c>
      <c r="F1696" s="19">
        <f>IFERROR(__xludf.DUMMYFUNCTION("SPLIT(A1692, "" |"")"),1690.0)</f>
        <v>1690</v>
      </c>
      <c r="G1696" s="19">
        <f>IFERROR(__xludf.DUMMYFUNCTION("""COMPUTED_VALUE"""),0.00237)</f>
        <v>0.00237</v>
      </c>
      <c r="H1696" s="19" t="str">
        <f>IFERROR(__xludf.DUMMYFUNCTION("""COMPUTED_VALUE"""),"-")</f>
        <v>-</v>
      </c>
      <c r="I1696" s="19">
        <f>IFERROR(__xludf.DUMMYFUNCTION("""COMPUTED_VALUE"""),0.00229)</f>
        <v>0.00229</v>
      </c>
      <c r="J1696" s="19">
        <f>IFERROR(__xludf.DUMMYFUNCTION("""COMPUTED_VALUE"""),0.04741)</f>
        <v>0.04741</v>
      </c>
      <c r="K1696" s="19" t="str">
        <f>IFERROR(__xludf.DUMMYFUNCTION("""COMPUTED_VALUE"""),"-")</f>
        <v>-</v>
      </c>
      <c r="L1696" s="19" t="str">
        <f>IFERROR(__xludf.DUMMYFUNCTION("""COMPUTED_VALUE"""),"-")</f>
        <v>-</v>
      </c>
      <c r="O1696" s="24">
        <f t="shared" si="4"/>
        <v>0</v>
      </c>
      <c r="P1696" s="24"/>
      <c r="Q1696" s="24">
        <f t="shared" si="6"/>
        <v>0</v>
      </c>
      <c r="R1696" s="24">
        <f t="shared" si="7"/>
        <v>0</v>
      </c>
      <c r="S1696" s="24"/>
      <c r="T1696" s="24"/>
    </row>
    <row r="1697">
      <c r="A1697" s="12" t="s">
        <v>1785</v>
      </c>
      <c r="F1697" s="19">
        <f>IFERROR(__xludf.DUMMYFUNCTION("SPLIT(A1693, "" |"")"),1691.0)</f>
        <v>1691</v>
      </c>
      <c r="G1697" s="19">
        <f>IFERROR(__xludf.DUMMYFUNCTION("""COMPUTED_VALUE"""),0.0022)</f>
        <v>0.0022</v>
      </c>
      <c r="H1697" s="19" t="str">
        <f>IFERROR(__xludf.DUMMYFUNCTION("""COMPUTED_VALUE"""),"-")</f>
        <v>-</v>
      </c>
      <c r="I1697" s="19">
        <f>IFERROR(__xludf.DUMMYFUNCTION("""COMPUTED_VALUE"""),0.00213)</f>
        <v>0.00213</v>
      </c>
      <c r="J1697" s="19">
        <f>IFERROR(__xludf.DUMMYFUNCTION("""COMPUTED_VALUE"""),0.04748)</f>
        <v>0.04748</v>
      </c>
      <c r="K1697" s="19" t="str">
        <f>IFERROR(__xludf.DUMMYFUNCTION("""COMPUTED_VALUE"""),"-")</f>
        <v>-</v>
      </c>
      <c r="L1697" s="19" t="str">
        <f>IFERROR(__xludf.DUMMYFUNCTION("""COMPUTED_VALUE"""),"-")</f>
        <v>-</v>
      </c>
      <c r="O1697" s="24">
        <f t="shared" si="4"/>
        <v>0</v>
      </c>
      <c r="P1697" s="24"/>
      <c r="Q1697" s="24">
        <f t="shared" si="6"/>
        <v>0</v>
      </c>
      <c r="R1697" s="24">
        <f t="shared" si="7"/>
        <v>0</v>
      </c>
      <c r="S1697" s="24"/>
      <c r="T1697" s="24"/>
    </row>
    <row r="1698">
      <c r="A1698" s="12" t="s">
        <v>1786</v>
      </c>
      <c r="F1698" s="19">
        <f>IFERROR(__xludf.DUMMYFUNCTION("SPLIT(A1694, "" |"")"),1692.0)</f>
        <v>1692</v>
      </c>
      <c r="G1698" s="19">
        <f>IFERROR(__xludf.DUMMYFUNCTION("""COMPUTED_VALUE"""),0.00237)</f>
        <v>0.00237</v>
      </c>
      <c r="H1698" s="19" t="str">
        <f>IFERROR(__xludf.DUMMYFUNCTION("""COMPUTED_VALUE"""),"-")</f>
        <v>-</v>
      </c>
      <c r="I1698" s="19">
        <f>IFERROR(__xludf.DUMMYFUNCTION("""COMPUTED_VALUE"""),0.0022)</f>
        <v>0.0022</v>
      </c>
      <c r="J1698" s="19">
        <f>IFERROR(__xludf.DUMMYFUNCTION("""COMPUTED_VALUE"""),0.04742)</f>
        <v>0.04742</v>
      </c>
      <c r="K1698" s="19" t="str">
        <f>IFERROR(__xludf.DUMMYFUNCTION("""COMPUTED_VALUE"""),"-")</f>
        <v>-</v>
      </c>
      <c r="L1698" s="19" t="str">
        <f>IFERROR(__xludf.DUMMYFUNCTION("""COMPUTED_VALUE"""),"-")</f>
        <v>-</v>
      </c>
      <c r="O1698" s="24">
        <f t="shared" si="4"/>
        <v>0</v>
      </c>
      <c r="P1698" s="24"/>
      <c r="Q1698" s="24">
        <f t="shared" si="6"/>
        <v>0</v>
      </c>
      <c r="R1698" s="24">
        <f t="shared" si="7"/>
        <v>0</v>
      </c>
      <c r="S1698" s="24"/>
      <c r="T1698" s="24"/>
    </row>
    <row r="1699">
      <c r="A1699" s="12" t="s">
        <v>1787</v>
      </c>
      <c r="F1699" s="19">
        <f>IFERROR(__xludf.DUMMYFUNCTION("SPLIT(A1695, "" |"")"),1693.0)</f>
        <v>1693</v>
      </c>
      <c r="G1699" s="19">
        <f>IFERROR(__xludf.DUMMYFUNCTION("""COMPUTED_VALUE"""),0.00236)</f>
        <v>0.00236</v>
      </c>
      <c r="H1699" s="19" t="str">
        <f>IFERROR(__xludf.DUMMYFUNCTION("""COMPUTED_VALUE"""),"-")</f>
        <v>-</v>
      </c>
      <c r="I1699" s="19">
        <f>IFERROR(__xludf.DUMMYFUNCTION("""COMPUTED_VALUE"""),0.0022)</f>
        <v>0.0022</v>
      </c>
      <c r="J1699" s="19">
        <f>IFERROR(__xludf.DUMMYFUNCTION("""COMPUTED_VALUE"""),0.04747)</f>
        <v>0.04747</v>
      </c>
      <c r="K1699" s="19" t="str">
        <f>IFERROR(__xludf.DUMMYFUNCTION("""COMPUTED_VALUE"""),"-")</f>
        <v>-</v>
      </c>
      <c r="L1699" s="19" t="str">
        <f>IFERROR(__xludf.DUMMYFUNCTION("""COMPUTED_VALUE"""),"-")</f>
        <v>-</v>
      </c>
      <c r="O1699" s="24">
        <f t="shared" si="4"/>
        <v>0</v>
      </c>
      <c r="P1699" s="24"/>
      <c r="Q1699" s="24">
        <f t="shared" si="6"/>
        <v>0</v>
      </c>
      <c r="R1699" s="24">
        <f t="shared" si="7"/>
        <v>0</v>
      </c>
      <c r="S1699" s="24"/>
      <c r="T1699" s="24"/>
    </row>
    <row r="1700">
      <c r="A1700" s="12" t="s">
        <v>1788</v>
      </c>
      <c r="F1700" s="19">
        <f>IFERROR(__xludf.DUMMYFUNCTION("SPLIT(A1696, "" |"")"),1694.0)</f>
        <v>1694</v>
      </c>
      <c r="G1700" s="19">
        <f>IFERROR(__xludf.DUMMYFUNCTION("""COMPUTED_VALUE"""),0.00241)</f>
        <v>0.00241</v>
      </c>
      <c r="H1700" s="19" t="str">
        <f>IFERROR(__xludf.DUMMYFUNCTION("""COMPUTED_VALUE"""),"-")</f>
        <v>-</v>
      </c>
      <c r="I1700" s="19">
        <f>IFERROR(__xludf.DUMMYFUNCTION("""COMPUTED_VALUE"""),0.00221)</f>
        <v>0.00221</v>
      </c>
      <c r="J1700" s="19">
        <f>IFERROR(__xludf.DUMMYFUNCTION("""COMPUTED_VALUE"""),0.04537)</f>
        <v>0.04537</v>
      </c>
      <c r="K1700" s="19" t="str">
        <f>IFERROR(__xludf.DUMMYFUNCTION("""COMPUTED_VALUE"""),"-")</f>
        <v>-</v>
      </c>
      <c r="L1700" s="19" t="str">
        <f>IFERROR(__xludf.DUMMYFUNCTION("""COMPUTED_VALUE"""),"-")</f>
        <v>-</v>
      </c>
      <c r="O1700" s="24">
        <f t="shared" si="4"/>
        <v>0</v>
      </c>
      <c r="P1700" s="24"/>
      <c r="Q1700" s="24">
        <f t="shared" si="6"/>
        <v>0</v>
      </c>
      <c r="R1700" s="24">
        <f t="shared" si="7"/>
        <v>0</v>
      </c>
      <c r="S1700" s="24"/>
      <c r="T1700" s="24"/>
    </row>
    <row r="1701">
      <c r="A1701" s="12" t="s">
        <v>1789</v>
      </c>
      <c r="F1701" s="19">
        <f>IFERROR(__xludf.DUMMYFUNCTION("SPLIT(A1697, "" |"")"),1695.0)</f>
        <v>1695</v>
      </c>
      <c r="G1701" s="19">
        <f>IFERROR(__xludf.DUMMYFUNCTION("""COMPUTED_VALUE"""),0.00232)</f>
        <v>0.00232</v>
      </c>
      <c r="H1701" s="19" t="str">
        <f>IFERROR(__xludf.DUMMYFUNCTION("""COMPUTED_VALUE"""),"-")</f>
        <v>-</v>
      </c>
      <c r="I1701" s="19">
        <f>IFERROR(__xludf.DUMMYFUNCTION("""COMPUTED_VALUE"""),0.00217)</f>
        <v>0.00217</v>
      </c>
      <c r="J1701" s="19">
        <f>IFERROR(__xludf.DUMMYFUNCTION("""COMPUTED_VALUE"""),0.04745)</f>
        <v>0.04745</v>
      </c>
      <c r="K1701" s="19" t="str">
        <f>IFERROR(__xludf.DUMMYFUNCTION("""COMPUTED_VALUE"""),"-")</f>
        <v>-</v>
      </c>
      <c r="L1701" s="19" t="str">
        <f>IFERROR(__xludf.DUMMYFUNCTION("""COMPUTED_VALUE"""),"-")</f>
        <v>-</v>
      </c>
      <c r="O1701" s="24">
        <f t="shared" si="4"/>
        <v>0</v>
      </c>
      <c r="P1701" s="24"/>
      <c r="Q1701" s="24">
        <f t="shared" si="6"/>
        <v>0</v>
      </c>
      <c r="R1701" s="24">
        <f t="shared" si="7"/>
        <v>0</v>
      </c>
      <c r="S1701" s="24"/>
      <c r="T1701" s="24"/>
    </row>
    <row r="1702">
      <c r="A1702" s="12" t="s">
        <v>1790</v>
      </c>
      <c r="F1702" s="19">
        <f>IFERROR(__xludf.DUMMYFUNCTION("SPLIT(A1698, "" |"")"),1696.0)</f>
        <v>1696</v>
      </c>
      <c r="G1702" s="19">
        <f>IFERROR(__xludf.DUMMYFUNCTION("""COMPUTED_VALUE"""),0.00236)</f>
        <v>0.00236</v>
      </c>
      <c r="H1702" s="19" t="str">
        <f>IFERROR(__xludf.DUMMYFUNCTION("""COMPUTED_VALUE"""),"-")</f>
        <v>-</v>
      </c>
      <c r="I1702" s="19">
        <f>IFERROR(__xludf.DUMMYFUNCTION("""COMPUTED_VALUE"""),0.00219)</f>
        <v>0.00219</v>
      </c>
      <c r="J1702" s="19">
        <f>IFERROR(__xludf.DUMMYFUNCTION("""COMPUTED_VALUE"""),0.04744)</f>
        <v>0.04744</v>
      </c>
      <c r="K1702" s="19" t="str">
        <f>IFERROR(__xludf.DUMMYFUNCTION("""COMPUTED_VALUE"""),"-")</f>
        <v>-</v>
      </c>
      <c r="L1702" s="19" t="str">
        <f>IFERROR(__xludf.DUMMYFUNCTION("""COMPUTED_VALUE"""),"-")</f>
        <v>-</v>
      </c>
      <c r="O1702" s="24">
        <f t="shared" si="4"/>
        <v>0</v>
      </c>
      <c r="P1702" s="24"/>
      <c r="Q1702" s="24">
        <f t="shared" si="6"/>
        <v>0</v>
      </c>
      <c r="R1702" s="24">
        <f t="shared" si="7"/>
        <v>0</v>
      </c>
      <c r="S1702" s="24"/>
      <c r="T1702" s="24"/>
    </row>
    <row r="1703">
      <c r="A1703" s="12" t="s">
        <v>1791</v>
      </c>
      <c r="F1703" s="19">
        <f>IFERROR(__xludf.DUMMYFUNCTION("SPLIT(A1699, "" |"")"),1697.0)</f>
        <v>1697</v>
      </c>
      <c r="G1703" s="19">
        <f>IFERROR(__xludf.DUMMYFUNCTION("""COMPUTED_VALUE"""),0.00238)</f>
        <v>0.00238</v>
      </c>
      <c r="H1703" s="19" t="str">
        <f>IFERROR(__xludf.DUMMYFUNCTION("""COMPUTED_VALUE"""),"-")</f>
        <v>-</v>
      </c>
      <c r="I1703" s="19">
        <f>IFERROR(__xludf.DUMMYFUNCTION("""COMPUTED_VALUE"""),0.00221)</f>
        <v>0.00221</v>
      </c>
      <c r="J1703" s="19">
        <f>IFERROR(__xludf.DUMMYFUNCTION("""COMPUTED_VALUE"""),0.04503)</f>
        <v>0.04503</v>
      </c>
      <c r="K1703" s="19" t="str">
        <f>IFERROR(__xludf.DUMMYFUNCTION("""COMPUTED_VALUE"""),"-")</f>
        <v>-</v>
      </c>
      <c r="L1703" s="19" t="str">
        <f>IFERROR(__xludf.DUMMYFUNCTION("""COMPUTED_VALUE"""),"-")</f>
        <v>-</v>
      </c>
      <c r="O1703" s="24">
        <f t="shared" si="4"/>
        <v>0</v>
      </c>
      <c r="P1703" s="24"/>
      <c r="Q1703" s="24">
        <f t="shared" si="6"/>
        <v>0</v>
      </c>
      <c r="R1703" s="24">
        <f t="shared" si="7"/>
        <v>0</v>
      </c>
      <c r="S1703" s="24"/>
      <c r="T1703" s="24"/>
    </row>
    <row r="1704">
      <c r="A1704" s="12" t="s">
        <v>1792</v>
      </c>
      <c r="F1704" s="19">
        <f>IFERROR(__xludf.DUMMYFUNCTION("SPLIT(A1700, "" |"")"),1698.0)</f>
        <v>1698</v>
      </c>
      <c r="G1704" s="19">
        <f>IFERROR(__xludf.DUMMYFUNCTION("""COMPUTED_VALUE"""),0.00241)</f>
        <v>0.00241</v>
      </c>
      <c r="H1704" s="19" t="str">
        <f>IFERROR(__xludf.DUMMYFUNCTION("""COMPUTED_VALUE"""),"-")</f>
        <v>-</v>
      </c>
      <c r="I1704" s="19">
        <f>IFERROR(__xludf.DUMMYFUNCTION("""COMPUTED_VALUE"""),0.0022)</f>
        <v>0.0022</v>
      </c>
      <c r="J1704" s="19">
        <f>IFERROR(__xludf.DUMMYFUNCTION("""COMPUTED_VALUE"""),0.04741)</f>
        <v>0.04741</v>
      </c>
      <c r="K1704" s="19" t="str">
        <f>IFERROR(__xludf.DUMMYFUNCTION("""COMPUTED_VALUE"""),"-")</f>
        <v>-</v>
      </c>
      <c r="L1704" s="19" t="str">
        <f>IFERROR(__xludf.DUMMYFUNCTION("""COMPUTED_VALUE"""),"-")</f>
        <v>-</v>
      </c>
      <c r="O1704" s="24">
        <f t="shared" si="4"/>
        <v>0</v>
      </c>
      <c r="P1704" s="24"/>
      <c r="Q1704" s="24">
        <f t="shared" si="6"/>
        <v>0</v>
      </c>
      <c r="R1704" s="24">
        <f t="shared" si="7"/>
        <v>0</v>
      </c>
      <c r="S1704" s="24"/>
      <c r="T1704" s="24"/>
    </row>
    <row r="1705">
      <c r="A1705" s="12" t="s">
        <v>1793</v>
      </c>
      <c r="F1705" s="19">
        <f>IFERROR(__xludf.DUMMYFUNCTION("SPLIT(A1701, "" |"")"),1699.0)</f>
        <v>1699</v>
      </c>
      <c r="G1705" s="19">
        <f>IFERROR(__xludf.DUMMYFUNCTION("""COMPUTED_VALUE"""),0.00227)</f>
        <v>0.00227</v>
      </c>
      <c r="H1705" s="19" t="str">
        <f>IFERROR(__xludf.DUMMYFUNCTION("""COMPUTED_VALUE"""),"-")</f>
        <v>-</v>
      </c>
      <c r="I1705" s="19">
        <f>IFERROR(__xludf.DUMMYFUNCTION("""COMPUTED_VALUE"""),0.00222)</f>
        <v>0.00222</v>
      </c>
      <c r="J1705" s="19">
        <f>IFERROR(__xludf.DUMMYFUNCTION("""COMPUTED_VALUE"""),0.04267)</f>
        <v>0.04267</v>
      </c>
      <c r="K1705" s="19" t="str">
        <f>IFERROR(__xludf.DUMMYFUNCTION("""COMPUTED_VALUE"""),"-")</f>
        <v>-</v>
      </c>
      <c r="L1705" s="19" t="str">
        <f>IFERROR(__xludf.DUMMYFUNCTION("""COMPUTED_VALUE"""),"-")</f>
        <v>-</v>
      </c>
      <c r="O1705" s="24">
        <f t="shared" si="4"/>
        <v>0</v>
      </c>
      <c r="P1705" s="24"/>
      <c r="Q1705" s="24">
        <f t="shared" si="6"/>
        <v>0</v>
      </c>
      <c r="R1705" s="24">
        <f t="shared" si="7"/>
        <v>1</v>
      </c>
      <c r="S1705" s="24"/>
      <c r="T1705" s="24"/>
    </row>
    <row r="1706">
      <c r="A1706" s="12" t="s">
        <v>1794</v>
      </c>
      <c r="F1706" s="19">
        <f>IFERROR(__xludf.DUMMYFUNCTION("SPLIT(A1702, "" |"")"),1700.0)</f>
        <v>1700</v>
      </c>
      <c r="G1706" s="19">
        <f>IFERROR(__xludf.DUMMYFUNCTION("""COMPUTED_VALUE"""),0.00234)</f>
        <v>0.00234</v>
      </c>
      <c r="H1706" s="19" t="str">
        <f>IFERROR(__xludf.DUMMYFUNCTION("""COMPUTED_VALUE"""),"-")</f>
        <v>-</v>
      </c>
      <c r="I1706" s="19">
        <f>IFERROR(__xludf.DUMMYFUNCTION("""COMPUTED_VALUE"""),0.00217)</f>
        <v>0.00217</v>
      </c>
      <c r="J1706" s="19">
        <f>IFERROR(__xludf.DUMMYFUNCTION("""COMPUTED_VALUE"""),0.04746)</f>
        <v>0.04746</v>
      </c>
      <c r="K1706" s="19" t="str">
        <f>IFERROR(__xludf.DUMMYFUNCTION("""COMPUTED_VALUE"""),"-")</f>
        <v>-</v>
      </c>
      <c r="L1706" s="19" t="str">
        <f>IFERROR(__xludf.DUMMYFUNCTION("""COMPUTED_VALUE"""),"-")</f>
        <v>-</v>
      </c>
      <c r="O1706" s="24">
        <f t="shared" si="4"/>
        <v>0</v>
      </c>
      <c r="P1706" s="24"/>
      <c r="Q1706" s="24">
        <f t="shared" si="6"/>
        <v>0</v>
      </c>
      <c r="R1706" s="24">
        <f t="shared" si="7"/>
        <v>0</v>
      </c>
      <c r="S1706" s="24"/>
      <c r="T1706" s="24"/>
    </row>
    <row r="1707">
      <c r="A1707" s="12" t="s">
        <v>1795</v>
      </c>
      <c r="F1707" s="19">
        <f>IFERROR(__xludf.DUMMYFUNCTION("SPLIT(A1703, "" |"")"),1701.0)</f>
        <v>1701</v>
      </c>
      <c r="G1707" s="19">
        <f>IFERROR(__xludf.DUMMYFUNCTION("""COMPUTED_VALUE"""),0.00239)</f>
        <v>0.00239</v>
      </c>
      <c r="H1707" s="19" t="str">
        <f>IFERROR(__xludf.DUMMYFUNCTION("""COMPUTED_VALUE"""),"-")</f>
        <v>-</v>
      </c>
      <c r="I1707" s="19">
        <f>IFERROR(__xludf.DUMMYFUNCTION("""COMPUTED_VALUE"""),0.00226)</f>
        <v>0.00226</v>
      </c>
      <c r="J1707" s="19">
        <f>IFERROR(__xludf.DUMMYFUNCTION("""COMPUTED_VALUE"""),0.04224)</f>
        <v>0.04224</v>
      </c>
      <c r="K1707" s="19" t="str">
        <f>IFERROR(__xludf.DUMMYFUNCTION("""COMPUTED_VALUE"""),"-")</f>
        <v>-</v>
      </c>
      <c r="L1707" s="19" t="str">
        <f>IFERROR(__xludf.DUMMYFUNCTION("""COMPUTED_VALUE"""),"-")</f>
        <v>-</v>
      </c>
      <c r="O1707" s="24">
        <f t="shared" si="4"/>
        <v>0</v>
      </c>
      <c r="P1707" s="24"/>
      <c r="Q1707" s="24">
        <f t="shared" si="6"/>
        <v>0</v>
      </c>
      <c r="R1707" s="24">
        <f t="shared" si="7"/>
        <v>1</v>
      </c>
      <c r="S1707" s="24"/>
      <c r="T1707" s="24"/>
    </row>
    <row r="1708">
      <c r="A1708" s="12" t="s">
        <v>1796</v>
      </c>
      <c r="F1708" s="19">
        <f>IFERROR(__xludf.DUMMYFUNCTION("SPLIT(A1704, "" |"")"),1702.0)</f>
        <v>1702</v>
      </c>
      <c r="G1708" s="19">
        <f>IFERROR(__xludf.DUMMYFUNCTION("""COMPUTED_VALUE"""),0.00237)</f>
        <v>0.00237</v>
      </c>
      <c r="H1708" s="19" t="str">
        <f>IFERROR(__xludf.DUMMYFUNCTION("""COMPUTED_VALUE"""),"-")</f>
        <v>-</v>
      </c>
      <c r="I1708" s="19">
        <f>IFERROR(__xludf.DUMMYFUNCTION("""COMPUTED_VALUE"""),0.00216)</f>
        <v>0.00216</v>
      </c>
      <c r="J1708" s="19">
        <f>IFERROR(__xludf.DUMMYFUNCTION("""COMPUTED_VALUE"""),0.04722)</f>
        <v>0.04722</v>
      </c>
      <c r="K1708" s="19" t="str">
        <f>IFERROR(__xludf.DUMMYFUNCTION("""COMPUTED_VALUE"""),"-")</f>
        <v>-</v>
      </c>
      <c r="L1708" s="19" t="str">
        <f>IFERROR(__xludf.DUMMYFUNCTION("""COMPUTED_VALUE"""),"-")</f>
        <v>-</v>
      </c>
      <c r="O1708" s="24">
        <f t="shared" si="4"/>
        <v>0</v>
      </c>
      <c r="P1708" s="24"/>
      <c r="Q1708" s="24">
        <f t="shared" si="6"/>
        <v>0</v>
      </c>
      <c r="R1708" s="24">
        <f t="shared" si="7"/>
        <v>0</v>
      </c>
      <c r="S1708" s="24"/>
      <c r="T1708" s="24"/>
    </row>
    <row r="1709">
      <c r="A1709" s="12" t="s">
        <v>1797</v>
      </c>
      <c r="F1709" s="19">
        <f>IFERROR(__xludf.DUMMYFUNCTION("SPLIT(A1705, "" |"")"),1703.0)</f>
        <v>1703</v>
      </c>
      <c r="G1709" s="19">
        <f>IFERROR(__xludf.DUMMYFUNCTION("""COMPUTED_VALUE"""),0.00236)</f>
        <v>0.00236</v>
      </c>
      <c r="H1709" s="19" t="str">
        <f>IFERROR(__xludf.DUMMYFUNCTION("""COMPUTED_VALUE"""),"-")</f>
        <v>-</v>
      </c>
      <c r="I1709" s="19">
        <f>IFERROR(__xludf.DUMMYFUNCTION("""COMPUTED_VALUE"""),0.00219)</f>
        <v>0.00219</v>
      </c>
      <c r="J1709" s="19">
        <f>IFERROR(__xludf.DUMMYFUNCTION("""COMPUTED_VALUE"""),0.04621)</f>
        <v>0.04621</v>
      </c>
      <c r="K1709" s="19" t="str">
        <f>IFERROR(__xludf.DUMMYFUNCTION("""COMPUTED_VALUE"""),"-")</f>
        <v>-</v>
      </c>
      <c r="L1709" s="19" t="str">
        <f>IFERROR(__xludf.DUMMYFUNCTION("""COMPUTED_VALUE"""),"-")</f>
        <v>-</v>
      </c>
      <c r="O1709" s="24">
        <f t="shared" si="4"/>
        <v>0</v>
      </c>
      <c r="P1709" s="24"/>
      <c r="Q1709" s="24">
        <f t="shared" si="6"/>
        <v>0</v>
      </c>
      <c r="R1709" s="24">
        <f t="shared" si="7"/>
        <v>0</v>
      </c>
      <c r="S1709" s="24"/>
      <c r="T1709" s="24"/>
    </row>
    <row r="1710">
      <c r="A1710" s="12" t="s">
        <v>1798</v>
      </c>
      <c r="F1710" s="19">
        <f>IFERROR(__xludf.DUMMYFUNCTION("SPLIT(A1706, "" |"")"),1704.0)</f>
        <v>1704</v>
      </c>
      <c r="G1710" s="19">
        <f>IFERROR(__xludf.DUMMYFUNCTION("""COMPUTED_VALUE"""),0.00234)</f>
        <v>0.00234</v>
      </c>
      <c r="H1710" s="19" t="str">
        <f>IFERROR(__xludf.DUMMYFUNCTION("""COMPUTED_VALUE"""),"-")</f>
        <v>-</v>
      </c>
      <c r="I1710" s="19">
        <f>IFERROR(__xludf.DUMMYFUNCTION("""COMPUTED_VALUE"""),0.00217)</f>
        <v>0.00217</v>
      </c>
      <c r="J1710" s="19">
        <f>IFERROR(__xludf.DUMMYFUNCTION("""COMPUTED_VALUE"""),0.04744)</f>
        <v>0.04744</v>
      </c>
      <c r="K1710" s="19" t="str">
        <f>IFERROR(__xludf.DUMMYFUNCTION("""COMPUTED_VALUE"""),"-")</f>
        <v>-</v>
      </c>
      <c r="L1710" s="19" t="str">
        <f>IFERROR(__xludf.DUMMYFUNCTION("""COMPUTED_VALUE"""),"-")</f>
        <v>-</v>
      </c>
      <c r="O1710" s="24">
        <f t="shared" si="4"/>
        <v>0</v>
      </c>
      <c r="P1710" s="24"/>
      <c r="Q1710" s="24">
        <f t="shared" si="6"/>
        <v>0</v>
      </c>
      <c r="R1710" s="24">
        <f t="shared" si="7"/>
        <v>0</v>
      </c>
      <c r="S1710" s="24"/>
      <c r="T1710" s="24"/>
    </row>
    <row r="1711">
      <c r="A1711" s="12" t="s">
        <v>1799</v>
      </c>
      <c r="F1711" s="19">
        <f>IFERROR(__xludf.DUMMYFUNCTION("SPLIT(A1707, "" |"")"),1705.0)</f>
        <v>1705</v>
      </c>
      <c r="G1711" s="19">
        <f>IFERROR(__xludf.DUMMYFUNCTION("""COMPUTED_VALUE"""),0.00233)</f>
        <v>0.00233</v>
      </c>
      <c r="H1711" s="19" t="str">
        <f>IFERROR(__xludf.DUMMYFUNCTION("""COMPUTED_VALUE"""),"-")</f>
        <v>-</v>
      </c>
      <c r="I1711" s="19">
        <f>IFERROR(__xludf.DUMMYFUNCTION("""COMPUTED_VALUE"""),0.00221)</f>
        <v>0.00221</v>
      </c>
      <c r="J1711" s="19">
        <f>IFERROR(__xludf.DUMMYFUNCTION("""COMPUTED_VALUE"""),0.04744)</f>
        <v>0.04744</v>
      </c>
      <c r="K1711" s="19" t="str">
        <f>IFERROR(__xludf.DUMMYFUNCTION("""COMPUTED_VALUE"""),"-")</f>
        <v>-</v>
      </c>
      <c r="L1711" s="19" t="str">
        <f>IFERROR(__xludf.DUMMYFUNCTION("""COMPUTED_VALUE"""),"-")</f>
        <v>-</v>
      </c>
      <c r="O1711" s="24">
        <f t="shared" si="4"/>
        <v>0</v>
      </c>
      <c r="P1711" s="24"/>
      <c r="Q1711" s="24">
        <f t="shared" si="6"/>
        <v>0</v>
      </c>
      <c r="R1711" s="24">
        <f t="shared" si="7"/>
        <v>0</v>
      </c>
      <c r="S1711" s="24"/>
      <c r="T1711" s="24"/>
    </row>
    <row r="1712">
      <c r="A1712" s="12" t="s">
        <v>1800</v>
      </c>
      <c r="F1712" s="19">
        <f>IFERROR(__xludf.DUMMYFUNCTION("SPLIT(A1708, "" |"")"),1706.0)</f>
        <v>1706</v>
      </c>
      <c r="G1712" s="19">
        <f>IFERROR(__xludf.DUMMYFUNCTION("""COMPUTED_VALUE"""),0.00224)</f>
        <v>0.00224</v>
      </c>
      <c r="H1712" s="19" t="str">
        <f>IFERROR(__xludf.DUMMYFUNCTION("""COMPUTED_VALUE"""),"-")</f>
        <v>-</v>
      </c>
      <c r="I1712" s="19">
        <f>IFERROR(__xludf.DUMMYFUNCTION("""COMPUTED_VALUE"""),0.00208)</f>
        <v>0.00208</v>
      </c>
      <c r="J1712" s="19">
        <f>IFERROR(__xludf.DUMMYFUNCTION("""COMPUTED_VALUE"""),0.04734)</f>
        <v>0.04734</v>
      </c>
      <c r="K1712" s="19" t="str">
        <f>IFERROR(__xludf.DUMMYFUNCTION("""COMPUTED_VALUE"""),"-")</f>
        <v>-</v>
      </c>
      <c r="L1712" s="19" t="str">
        <f>IFERROR(__xludf.DUMMYFUNCTION("""COMPUTED_VALUE"""),"-")</f>
        <v>-</v>
      </c>
      <c r="O1712" s="24">
        <f t="shared" si="4"/>
        <v>0</v>
      </c>
      <c r="P1712" s="24"/>
      <c r="Q1712" s="24">
        <f t="shared" si="6"/>
        <v>0</v>
      </c>
      <c r="R1712" s="24">
        <f t="shared" si="7"/>
        <v>0</v>
      </c>
      <c r="S1712" s="24"/>
      <c r="T1712" s="24"/>
    </row>
    <row r="1713">
      <c r="A1713" s="12" t="s">
        <v>1801</v>
      </c>
      <c r="F1713" s="19">
        <f>IFERROR(__xludf.DUMMYFUNCTION("SPLIT(A1709, "" |"")"),1707.0)</f>
        <v>1707</v>
      </c>
      <c r="G1713" s="19">
        <f>IFERROR(__xludf.DUMMYFUNCTION("""COMPUTED_VALUE"""),0.00232)</f>
        <v>0.00232</v>
      </c>
      <c r="H1713" s="19" t="str">
        <f>IFERROR(__xludf.DUMMYFUNCTION("""COMPUTED_VALUE"""),"-")</f>
        <v>-</v>
      </c>
      <c r="I1713" s="19">
        <f>IFERROR(__xludf.DUMMYFUNCTION("""COMPUTED_VALUE"""),0.00218)</f>
        <v>0.00218</v>
      </c>
      <c r="J1713" s="19">
        <f>IFERROR(__xludf.DUMMYFUNCTION("""COMPUTED_VALUE"""),0.04744)</f>
        <v>0.04744</v>
      </c>
      <c r="K1713" s="19" t="str">
        <f>IFERROR(__xludf.DUMMYFUNCTION("""COMPUTED_VALUE"""),"-")</f>
        <v>-</v>
      </c>
      <c r="L1713" s="19" t="str">
        <f>IFERROR(__xludf.DUMMYFUNCTION("""COMPUTED_VALUE"""),"-")</f>
        <v>-</v>
      </c>
      <c r="O1713" s="24">
        <f t="shared" si="4"/>
        <v>0</v>
      </c>
      <c r="P1713" s="24"/>
      <c r="Q1713" s="24">
        <f t="shared" si="6"/>
        <v>0</v>
      </c>
      <c r="R1713" s="24">
        <f t="shared" si="7"/>
        <v>0</v>
      </c>
      <c r="S1713" s="24"/>
      <c r="T1713" s="24"/>
    </row>
    <row r="1714">
      <c r="A1714" s="12" t="s">
        <v>1802</v>
      </c>
      <c r="F1714" s="19">
        <f>IFERROR(__xludf.DUMMYFUNCTION("SPLIT(A1710, "" |"")"),1708.0)</f>
        <v>1708</v>
      </c>
      <c r="G1714" s="19">
        <f>IFERROR(__xludf.DUMMYFUNCTION("""COMPUTED_VALUE"""),0.0024)</f>
        <v>0.0024</v>
      </c>
      <c r="H1714" s="19" t="str">
        <f>IFERROR(__xludf.DUMMYFUNCTION("""COMPUTED_VALUE"""),"-")</f>
        <v>-</v>
      </c>
      <c r="I1714" s="19">
        <f>IFERROR(__xludf.DUMMYFUNCTION("""COMPUTED_VALUE"""),0.00227)</f>
        <v>0.00227</v>
      </c>
      <c r="J1714" s="19">
        <f>IFERROR(__xludf.DUMMYFUNCTION("""COMPUTED_VALUE"""),0.04747)</f>
        <v>0.04747</v>
      </c>
      <c r="K1714" s="19" t="str">
        <f>IFERROR(__xludf.DUMMYFUNCTION("""COMPUTED_VALUE"""),"-")</f>
        <v>-</v>
      </c>
      <c r="L1714" s="19" t="str">
        <f>IFERROR(__xludf.DUMMYFUNCTION("""COMPUTED_VALUE"""),"-")</f>
        <v>-</v>
      </c>
      <c r="O1714" s="24">
        <f t="shared" si="4"/>
        <v>0</v>
      </c>
      <c r="P1714" s="24"/>
      <c r="Q1714" s="24">
        <f t="shared" si="6"/>
        <v>0</v>
      </c>
      <c r="R1714" s="24">
        <f t="shared" si="7"/>
        <v>0</v>
      </c>
      <c r="S1714" s="24"/>
      <c r="T1714" s="24"/>
    </row>
    <row r="1715">
      <c r="A1715" s="12" t="s">
        <v>1803</v>
      </c>
      <c r="F1715" s="19">
        <f>IFERROR(__xludf.DUMMYFUNCTION("SPLIT(A1711, "" |"")"),1709.0)</f>
        <v>1709</v>
      </c>
      <c r="G1715" s="19">
        <f>IFERROR(__xludf.DUMMYFUNCTION("""COMPUTED_VALUE"""),0.00237)</f>
        <v>0.00237</v>
      </c>
      <c r="H1715" s="19" t="str">
        <f>IFERROR(__xludf.DUMMYFUNCTION("""COMPUTED_VALUE"""),"-")</f>
        <v>-</v>
      </c>
      <c r="I1715" s="19">
        <f>IFERROR(__xludf.DUMMYFUNCTION("""COMPUTED_VALUE"""),0.00225)</f>
        <v>0.00225</v>
      </c>
      <c r="J1715" s="19">
        <f>IFERROR(__xludf.DUMMYFUNCTION("""COMPUTED_VALUE"""),0.04746)</f>
        <v>0.04746</v>
      </c>
      <c r="K1715" s="19" t="str">
        <f>IFERROR(__xludf.DUMMYFUNCTION("""COMPUTED_VALUE"""),"-")</f>
        <v>-</v>
      </c>
      <c r="L1715" s="19" t="str">
        <f>IFERROR(__xludf.DUMMYFUNCTION("""COMPUTED_VALUE"""),"-")</f>
        <v>-</v>
      </c>
      <c r="O1715" s="24">
        <f t="shared" si="4"/>
        <v>0</v>
      </c>
      <c r="P1715" s="24"/>
      <c r="Q1715" s="24">
        <f t="shared" si="6"/>
        <v>0</v>
      </c>
      <c r="R1715" s="24">
        <f t="shared" si="7"/>
        <v>0</v>
      </c>
      <c r="S1715" s="24"/>
      <c r="T1715" s="24"/>
    </row>
    <row r="1716">
      <c r="A1716" s="12" t="s">
        <v>1804</v>
      </c>
      <c r="F1716" s="19">
        <f>IFERROR(__xludf.DUMMYFUNCTION("SPLIT(A1712, "" |"")"),1710.0)</f>
        <v>1710</v>
      </c>
      <c r="G1716" s="19">
        <f>IFERROR(__xludf.DUMMYFUNCTION("""COMPUTED_VALUE"""),0.00235)</f>
        <v>0.00235</v>
      </c>
      <c r="H1716" s="19" t="str">
        <f>IFERROR(__xludf.DUMMYFUNCTION("""COMPUTED_VALUE"""),"-")</f>
        <v>-</v>
      </c>
      <c r="I1716" s="19">
        <f>IFERROR(__xludf.DUMMYFUNCTION("""COMPUTED_VALUE"""),0.00215)</f>
        <v>0.00215</v>
      </c>
      <c r="J1716" s="19">
        <f>IFERROR(__xludf.DUMMYFUNCTION("""COMPUTED_VALUE"""),0.04744)</f>
        <v>0.04744</v>
      </c>
      <c r="K1716" s="19" t="str">
        <f>IFERROR(__xludf.DUMMYFUNCTION("""COMPUTED_VALUE"""),"-")</f>
        <v>-</v>
      </c>
      <c r="L1716" s="19" t="str">
        <f>IFERROR(__xludf.DUMMYFUNCTION("""COMPUTED_VALUE"""),"-")</f>
        <v>-</v>
      </c>
      <c r="O1716" s="24">
        <f t="shared" si="4"/>
        <v>0</v>
      </c>
      <c r="P1716" s="24"/>
      <c r="Q1716" s="24">
        <f t="shared" si="6"/>
        <v>0</v>
      </c>
      <c r="R1716" s="24">
        <f t="shared" si="7"/>
        <v>0</v>
      </c>
      <c r="S1716" s="24"/>
      <c r="T1716" s="24"/>
    </row>
    <row r="1717">
      <c r="A1717" s="12" t="s">
        <v>1805</v>
      </c>
      <c r="F1717" s="19">
        <f>IFERROR(__xludf.DUMMYFUNCTION("SPLIT(A1713, "" |"")"),1711.0)</f>
        <v>1711</v>
      </c>
      <c r="G1717" s="19">
        <f>IFERROR(__xludf.DUMMYFUNCTION("""COMPUTED_VALUE"""),0.00236)</f>
        <v>0.00236</v>
      </c>
      <c r="H1717" s="19" t="str">
        <f>IFERROR(__xludf.DUMMYFUNCTION("""COMPUTED_VALUE"""),"-")</f>
        <v>-</v>
      </c>
      <c r="I1717" s="19">
        <f>IFERROR(__xludf.DUMMYFUNCTION("""COMPUTED_VALUE"""),0.0022)</f>
        <v>0.0022</v>
      </c>
      <c r="J1717" s="19">
        <f>IFERROR(__xludf.DUMMYFUNCTION("""COMPUTED_VALUE"""),0.04733)</f>
        <v>0.04733</v>
      </c>
      <c r="K1717" s="19" t="str">
        <f>IFERROR(__xludf.DUMMYFUNCTION("""COMPUTED_VALUE"""),"-")</f>
        <v>-</v>
      </c>
      <c r="L1717" s="19" t="str">
        <f>IFERROR(__xludf.DUMMYFUNCTION("""COMPUTED_VALUE"""),"-")</f>
        <v>-</v>
      </c>
      <c r="O1717" s="24">
        <f t="shared" si="4"/>
        <v>0</v>
      </c>
      <c r="P1717" s="24"/>
      <c r="Q1717" s="24">
        <f t="shared" si="6"/>
        <v>0</v>
      </c>
      <c r="R1717" s="24">
        <f t="shared" si="7"/>
        <v>0</v>
      </c>
      <c r="S1717" s="24"/>
      <c r="T1717" s="24"/>
    </row>
    <row r="1718">
      <c r="A1718" s="12" t="s">
        <v>1806</v>
      </c>
      <c r="F1718" s="19">
        <f>IFERROR(__xludf.DUMMYFUNCTION("SPLIT(A1714, "" |"")"),1712.0)</f>
        <v>1712</v>
      </c>
      <c r="G1718" s="19">
        <f>IFERROR(__xludf.DUMMYFUNCTION("""COMPUTED_VALUE"""),0.00234)</f>
        <v>0.00234</v>
      </c>
      <c r="H1718" s="19" t="str">
        <f>IFERROR(__xludf.DUMMYFUNCTION("""COMPUTED_VALUE"""),"-")</f>
        <v>-</v>
      </c>
      <c r="I1718" s="19">
        <f>IFERROR(__xludf.DUMMYFUNCTION("""COMPUTED_VALUE"""),0.00215)</f>
        <v>0.00215</v>
      </c>
      <c r="J1718" s="19">
        <f>IFERROR(__xludf.DUMMYFUNCTION("""COMPUTED_VALUE"""),0.04744)</f>
        <v>0.04744</v>
      </c>
      <c r="K1718" s="19" t="str">
        <f>IFERROR(__xludf.DUMMYFUNCTION("""COMPUTED_VALUE"""),"-")</f>
        <v>-</v>
      </c>
      <c r="L1718" s="19" t="str">
        <f>IFERROR(__xludf.DUMMYFUNCTION("""COMPUTED_VALUE"""),"-")</f>
        <v>-</v>
      </c>
      <c r="O1718" s="24">
        <f t="shared" si="4"/>
        <v>0</v>
      </c>
      <c r="P1718" s="24"/>
      <c r="Q1718" s="24">
        <f t="shared" si="6"/>
        <v>0</v>
      </c>
      <c r="R1718" s="24">
        <f t="shared" si="7"/>
        <v>0</v>
      </c>
      <c r="S1718" s="24"/>
      <c r="T1718" s="24"/>
    </row>
    <row r="1719">
      <c r="A1719" s="12" t="s">
        <v>1807</v>
      </c>
      <c r="F1719" s="19">
        <f>IFERROR(__xludf.DUMMYFUNCTION("SPLIT(A1715, "" |"")"),1713.0)</f>
        <v>1713</v>
      </c>
      <c r="G1719" s="19">
        <f>IFERROR(__xludf.DUMMYFUNCTION("""COMPUTED_VALUE"""),0.00235)</f>
        <v>0.00235</v>
      </c>
      <c r="H1719" s="19" t="str">
        <f>IFERROR(__xludf.DUMMYFUNCTION("""COMPUTED_VALUE"""),"-")</f>
        <v>-</v>
      </c>
      <c r="I1719" s="19">
        <f>IFERROR(__xludf.DUMMYFUNCTION("""COMPUTED_VALUE"""),0.0022)</f>
        <v>0.0022</v>
      </c>
      <c r="J1719" s="19">
        <f>IFERROR(__xludf.DUMMYFUNCTION("""COMPUTED_VALUE"""),0.04745)</f>
        <v>0.04745</v>
      </c>
      <c r="K1719" s="19" t="str">
        <f>IFERROR(__xludf.DUMMYFUNCTION("""COMPUTED_VALUE"""),"-")</f>
        <v>-</v>
      </c>
      <c r="L1719" s="19" t="str">
        <f>IFERROR(__xludf.DUMMYFUNCTION("""COMPUTED_VALUE"""),"-")</f>
        <v>-</v>
      </c>
      <c r="O1719" s="24">
        <f t="shared" si="4"/>
        <v>0</v>
      </c>
      <c r="P1719" s="24"/>
      <c r="Q1719" s="24">
        <f t="shared" si="6"/>
        <v>0</v>
      </c>
      <c r="R1719" s="24">
        <f t="shared" si="7"/>
        <v>0</v>
      </c>
      <c r="S1719" s="24"/>
      <c r="T1719" s="24"/>
    </row>
    <row r="1720">
      <c r="A1720" s="12" t="s">
        <v>1808</v>
      </c>
      <c r="F1720" s="19">
        <f>IFERROR(__xludf.DUMMYFUNCTION("SPLIT(A1716, "" |"")"),1714.0)</f>
        <v>1714</v>
      </c>
      <c r="G1720" s="19">
        <f>IFERROR(__xludf.DUMMYFUNCTION("""COMPUTED_VALUE"""),0.00238)</f>
        <v>0.00238</v>
      </c>
      <c r="H1720" s="19" t="str">
        <f>IFERROR(__xludf.DUMMYFUNCTION("""COMPUTED_VALUE"""),"-")</f>
        <v>-</v>
      </c>
      <c r="I1720" s="19">
        <f>IFERROR(__xludf.DUMMYFUNCTION("""COMPUTED_VALUE"""),0.00218)</f>
        <v>0.00218</v>
      </c>
      <c r="J1720" s="19">
        <f>IFERROR(__xludf.DUMMYFUNCTION("""COMPUTED_VALUE"""),0.04746)</f>
        <v>0.04746</v>
      </c>
      <c r="K1720" s="19" t="str">
        <f>IFERROR(__xludf.DUMMYFUNCTION("""COMPUTED_VALUE"""),"-")</f>
        <v>-</v>
      </c>
      <c r="L1720" s="19" t="str">
        <f>IFERROR(__xludf.DUMMYFUNCTION("""COMPUTED_VALUE"""),"-")</f>
        <v>-</v>
      </c>
      <c r="O1720" s="24">
        <f t="shared" si="4"/>
        <v>0</v>
      </c>
      <c r="P1720" s="24"/>
      <c r="Q1720" s="24">
        <f t="shared" si="6"/>
        <v>0</v>
      </c>
      <c r="R1720" s="24">
        <f t="shared" si="7"/>
        <v>0</v>
      </c>
      <c r="S1720" s="24"/>
      <c r="T1720" s="24"/>
    </row>
    <row r="1721">
      <c r="A1721" s="12" t="s">
        <v>1809</v>
      </c>
      <c r="F1721" s="19">
        <f>IFERROR(__xludf.DUMMYFUNCTION("SPLIT(A1717, "" |"")"),1715.0)</f>
        <v>1715</v>
      </c>
      <c r="G1721" s="19">
        <f>IFERROR(__xludf.DUMMYFUNCTION("""COMPUTED_VALUE"""),0.00235)</f>
        <v>0.00235</v>
      </c>
      <c r="H1721" s="19" t="str">
        <f>IFERROR(__xludf.DUMMYFUNCTION("""COMPUTED_VALUE"""),"-")</f>
        <v>-</v>
      </c>
      <c r="I1721" s="19">
        <f>IFERROR(__xludf.DUMMYFUNCTION("""COMPUTED_VALUE"""),0.00221)</f>
        <v>0.00221</v>
      </c>
      <c r="J1721" s="19">
        <f>IFERROR(__xludf.DUMMYFUNCTION("""COMPUTED_VALUE"""),0.04753)</f>
        <v>0.04753</v>
      </c>
      <c r="K1721" s="19" t="str">
        <f>IFERROR(__xludf.DUMMYFUNCTION("""COMPUTED_VALUE"""),"-")</f>
        <v>-</v>
      </c>
      <c r="L1721" s="19" t="str">
        <f>IFERROR(__xludf.DUMMYFUNCTION("""COMPUTED_VALUE"""),"-")</f>
        <v>-</v>
      </c>
      <c r="O1721" s="24">
        <f t="shared" si="4"/>
        <v>0</v>
      </c>
      <c r="P1721" s="24"/>
      <c r="Q1721" s="24">
        <f t="shared" si="6"/>
        <v>0</v>
      </c>
      <c r="R1721" s="24">
        <f t="shared" si="7"/>
        <v>0</v>
      </c>
      <c r="S1721" s="24"/>
      <c r="T1721" s="24"/>
    </row>
    <row r="1722">
      <c r="A1722" s="12" t="s">
        <v>1810</v>
      </c>
      <c r="F1722" s="19">
        <f>IFERROR(__xludf.DUMMYFUNCTION("SPLIT(A1718, "" |"")"),1716.0)</f>
        <v>1716</v>
      </c>
      <c r="G1722" s="19">
        <f>IFERROR(__xludf.DUMMYFUNCTION("""COMPUTED_VALUE"""),0.00247)</f>
        <v>0.00247</v>
      </c>
      <c r="H1722" s="19" t="str">
        <f>IFERROR(__xludf.DUMMYFUNCTION("""COMPUTED_VALUE"""),"-")</f>
        <v>-</v>
      </c>
      <c r="I1722" s="19">
        <f>IFERROR(__xludf.DUMMYFUNCTION("""COMPUTED_VALUE"""),0.00224)</f>
        <v>0.00224</v>
      </c>
      <c r="J1722" s="19">
        <f>IFERROR(__xludf.DUMMYFUNCTION("""COMPUTED_VALUE"""),0.04085)</f>
        <v>0.04085</v>
      </c>
      <c r="K1722" s="19" t="str">
        <f>IFERROR(__xludf.DUMMYFUNCTION("""COMPUTED_VALUE"""),"-")</f>
        <v>-</v>
      </c>
      <c r="L1722" s="19" t="str">
        <f>IFERROR(__xludf.DUMMYFUNCTION("""COMPUTED_VALUE"""),"-")</f>
        <v>-</v>
      </c>
      <c r="O1722" s="24">
        <f t="shared" si="4"/>
        <v>0</v>
      </c>
      <c r="P1722" s="24"/>
      <c r="Q1722" s="24">
        <f t="shared" si="6"/>
        <v>0</v>
      </c>
      <c r="R1722" s="24">
        <f t="shared" si="7"/>
        <v>1</v>
      </c>
      <c r="S1722" s="24"/>
      <c r="T1722" s="24"/>
    </row>
    <row r="1723">
      <c r="A1723" s="12" t="s">
        <v>1811</v>
      </c>
      <c r="F1723" s="19">
        <f>IFERROR(__xludf.DUMMYFUNCTION("SPLIT(A1719, "" |"")"),1717.0)</f>
        <v>1717</v>
      </c>
      <c r="G1723" s="19">
        <f>IFERROR(__xludf.DUMMYFUNCTION("""COMPUTED_VALUE"""),0.00233)</f>
        <v>0.00233</v>
      </c>
      <c r="H1723" s="19" t="str">
        <f>IFERROR(__xludf.DUMMYFUNCTION("""COMPUTED_VALUE"""),"-")</f>
        <v>-</v>
      </c>
      <c r="I1723" s="19">
        <f>IFERROR(__xludf.DUMMYFUNCTION("""COMPUTED_VALUE"""),0.00218)</f>
        <v>0.00218</v>
      </c>
      <c r="J1723" s="19">
        <f>IFERROR(__xludf.DUMMYFUNCTION("""COMPUTED_VALUE"""),0.04279)</f>
        <v>0.04279</v>
      </c>
      <c r="K1723" s="19" t="str">
        <f>IFERROR(__xludf.DUMMYFUNCTION("""COMPUTED_VALUE"""),"-")</f>
        <v>-</v>
      </c>
      <c r="L1723" s="19" t="str">
        <f>IFERROR(__xludf.DUMMYFUNCTION("""COMPUTED_VALUE"""),"-")</f>
        <v>-</v>
      </c>
      <c r="O1723" s="24">
        <f t="shared" si="4"/>
        <v>0</v>
      </c>
      <c r="P1723" s="24"/>
      <c r="Q1723" s="24">
        <f t="shared" si="6"/>
        <v>0</v>
      </c>
      <c r="R1723" s="24">
        <f t="shared" si="7"/>
        <v>1</v>
      </c>
      <c r="S1723" s="24"/>
      <c r="T1723" s="24"/>
    </row>
    <row r="1724">
      <c r="A1724" s="12" t="s">
        <v>1812</v>
      </c>
      <c r="F1724" s="19">
        <f>IFERROR(__xludf.DUMMYFUNCTION("SPLIT(A1720, "" |"")"),1718.0)</f>
        <v>1718</v>
      </c>
      <c r="G1724" s="19">
        <f>IFERROR(__xludf.DUMMYFUNCTION("""COMPUTED_VALUE"""),0.0023)</f>
        <v>0.0023</v>
      </c>
      <c r="H1724" s="19" t="str">
        <f>IFERROR(__xludf.DUMMYFUNCTION("""COMPUTED_VALUE"""),"-")</f>
        <v>-</v>
      </c>
      <c r="I1724" s="19">
        <f>IFERROR(__xludf.DUMMYFUNCTION("""COMPUTED_VALUE"""),0.00223)</f>
        <v>0.00223</v>
      </c>
      <c r="J1724" s="19">
        <f>IFERROR(__xludf.DUMMYFUNCTION("""COMPUTED_VALUE"""),0.04738)</f>
        <v>0.04738</v>
      </c>
      <c r="K1724" s="19" t="str">
        <f>IFERROR(__xludf.DUMMYFUNCTION("""COMPUTED_VALUE"""),"-")</f>
        <v>-</v>
      </c>
      <c r="L1724" s="19" t="str">
        <f>IFERROR(__xludf.DUMMYFUNCTION("""COMPUTED_VALUE"""),"-")</f>
        <v>-</v>
      </c>
      <c r="O1724" s="24">
        <f t="shared" si="4"/>
        <v>0</v>
      </c>
      <c r="P1724" s="24"/>
      <c r="Q1724" s="24">
        <f t="shared" si="6"/>
        <v>0</v>
      </c>
      <c r="R1724" s="24">
        <f t="shared" si="7"/>
        <v>0</v>
      </c>
      <c r="S1724" s="24"/>
      <c r="T1724" s="24"/>
    </row>
    <row r="1725">
      <c r="A1725" s="12" t="s">
        <v>1813</v>
      </c>
      <c r="F1725" s="19">
        <f>IFERROR(__xludf.DUMMYFUNCTION("SPLIT(A1721, "" |"")"),1719.0)</f>
        <v>1719</v>
      </c>
      <c r="G1725" s="19">
        <f>IFERROR(__xludf.DUMMYFUNCTION("""COMPUTED_VALUE"""),0.00238)</f>
        <v>0.00238</v>
      </c>
      <c r="H1725" s="19" t="str">
        <f>IFERROR(__xludf.DUMMYFUNCTION("""COMPUTED_VALUE"""),"-")</f>
        <v>-</v>
      </c>
      <c r="I1725" s="19">
        <f>IFERROR(__xludf.DUMMYFUNCTION("""COMPUTED_VALUE"""),0.00218)</f>
        <v>0.00218</v>
      </c>
      <c r="J1725" s="19">
        <f>IFERROR(__xludf.DUMMYFUNCTION("""COMPUTED_VALUE"""),0.04747)</f>
        <v>0.04747</v>
      </c>
      <c r="K1725" s="19" t="str">
        <f>IFERROR(__xludf.DUMMYFUNCTION("""COMPUTED_VALUE"""),"-")</f>
        <v>-</v>
      </c>
      <c r="L1725" s="19" t="str">
        <f>IFERROR(__xludf.DUMMYFUNCTION("""COMPUTED_VALUE"""),"-")</f>
        <v>-</v>
      </c>
      <c r="O1725" s="24">
        <f t="shared" si="4"/>
        <v>0</v>
      </c>
      <c r="P1725" s="24"/>
      <c r="Q1725" s="24">
        <f t="shared" si="6"/>
        <v>0</v>
      </c>
      <c r="R1725" s="24">
        <f t="shared" si="7"/>
        <v>0</v>
      </c>
      <c r="S1725" s="24"/>
      <c r="T1725" s="24"/>
    </row>
    <row r="1726">
      <c r="A1726" s="12" t="s">
        <v>1814</v>
      </c>
      <c r="F1726" s="19">
        <f>IFERROR(__xludf.DUMMYFUNCTION("SPLIT(A1722, "" |"")"),1720.0)</f>
        <v>1720</v>
      </c>
      <c r="G1726" s="19">
        <f>IFERROR(__xludf.DUMMYFUNCTION("""COMPUTED_VALUE"""),0.00238)</f>
        <v>0.00238</v>
      </c>
      <c r="H1726" s="19" t="str">
        <f>IFERROR(__xludf.DUMMYFUNCTION("""COMPUTED_VALUE"""),"-")</f>
        <v>-</v>
      </c>
      <c r="I1726" s="19">
        <f>IFERROR(__xludf.DUMMYFUNCTION("""COMPUTED_VALUE"""),0.00228)</f>
        <v>0.00228</v>
      </c>
      <c r="J1726" s="19">
        <f>IFERROR(__xludf.DUMMYFUNCTION("""COMPUTED_VALUE"""),0.04742)</f>
        <v>0.04742</v>
      </c>
      <c r="K1726" s="19" t="str">
        <f>IFERROR(__xludf.DUMMYFUNCTION("""COMPUTED_VALUE"""),"-")</f>
        <v>-</v>
      </c>
      <c r="L1726" s="19" t="str">
        <f>IFERROR(__xludf.DUMMYFUNCTION("""COMPUTED_VALUE"""),"-")</f>
        <v>-</v>
      </c>
      <c r="O1726" s="24">
        <f t="shared" si="4"/>
        <v>0</v>
      </c>
      <c r="P1726" s="24"/>
      <c r="Q1726" s="24">
        <f t="shared" si="6"/>
        <v>0</v>
      </c>
      <c r="R1726" s="24">
        <f t="shared" si="7"/>
        <v>0</v>
      </c>
      <c r="S1726" s="24"/>
      <c r="T1726" s="24"/>
    </row>
    <row r="1727">
      <c r="A1727" s="12" t="s">
        <v>1815</v>
      </c>
      <c r="F1727" s="19">
        <f>IFERROR(__xludf.DUMMYFUNCTION("SPLIT(A1723, "" |"")"),1721.0)</f>
        <v>1721</v>
      </c>
      <c r="G1727" s="19">
        <f>IFERROR(__xludf.DUMMYFUNCTION("""COMPUTED_VALUE"""),0.00238)</f>
        <v>0.00238</v>
      </c>
      <c r="H1727" s="19" t="str">
        <f>IFERROR(__xludf.DUMMYFUNCTION("""COMPUTED_VALUE"""),"-")</f>
        <v>-</v>
      </c>
      <c r="I1727" s="19">
        <f>IFERROR(__xludf.DUMMYFUNCTION("""COMPUTED_VALUE"""),0.00221)</f>
        <v>0.00221</v>
      </c>
      <c r="J1727" s="19">
        <f>IFERROR(__xludf.DUMMYFUNCTION("""COMPUTED_VALUE"""),0.04457)</f>
        <v>0.04457</v>
      </c>
      <c r="K1727" s="19" t="str">
        <f>IFERROR(__xludf.DUMMYFUNCTION("""COMPUTED_VALUE"""),"-")</f>
        <v>-</v>
      </c>
      <c r="L1727" s="19" t="str">
        <f>IFERROR(__xludf.DUMMYFUNCTION("""COMPUTED_VALUE"""),"-")</f>
        <v>-</v>
      </c>
      <c r="O1727" s="24">
        <f t="shared" si="4"/>
        <v>0</v>
      </c>
      <c r="P1727" s="24"/>
      <c r="Q1727" s="24">
        <f t="shared" si="6"/>
        <v>0</v>
      </c>
      <c r="R1727" s="24">
        <f t="shared" si="7"/>
        <v>1</v>
      </c>
      <c r="S1727" s="24"/>
      <c r="T1727" s="24"/>
    </row>
    <row r="1728">
      <c r="A1728" s="12" t="s">
        <v>1816</v>
      </c>
      <c r="F1728" s="19">
        <f>IFERROR(__xludf.DUMMYFUNCTION("SPLIT(A1724, "" |"")"),1722.0)</f>
        <v>1722</v>
      </c>
      <c r="G1728" s="19">
        <f>IFERROR(__xludf.DUMMYFUNCTION("""COMPUTED_VALUE"""),0.00239)</f>
        <v>0.00239</v>
      </c>
      <c r="H1728" s="19" t="str">
        <f>IFERROR(__xludf.DUMMYFUNCTION("""COMPUTED_VALUE"""),"-")</f>
        <v>-</v>
      </c>
      <c r="I1728" s="19">
        <f>IFERROR(__xludf.DUMMYFUNCTION("""COMPUTED_VALUE"""),0.00226)</f>
        <v>0.00226</v>
      </c>
      <c r="J1728" s="19">
        <f>IFERROR(__xludf.DUMMYFUNCTION("""COMPUTED_VALUE"""),0.04743)</f>
        <v>0.04743</v>
      </c>
      <c r="K1728" s="19" t="str">
        <f>IFERROR(__xludf.DUMMYFUNCTION("""COMPUTED_VALUE"""),"-")</f>
        <v>-</v>
      </c>
      <c r="L1728" s="19" t="str">
        <f>IFERROR(__xludf.DUMMYFUNCTION("""COMPUTED_VALUE"""),"-")</f>
        <v>-</v>
      </c>
      <c r="O1728" s="24">
        <f t="shared" si="4"/>
        <v>0</v>
      </c>
      <c r="P1728" s="24"/>
      <c r="Q1728" s="24">
        <f t="shared" si="6"/>
        <v>0</v>
      </c>
      <c r="R1728" s="24">
        <f t="shared" si="7"/>
        <v>0</v>
      </c>
      <c r="S1728" s="24"/>
      <c r="T1728" s="24"/>
    </row>
    <row r="1729">
      <c r="A1729" s="12" t="s">
        <v>1817</v>
      </c>
      <c r="F1729" s="19">
        <f>IFERROR(__xludf.DUMMYFUNCTION("SPLIT(A1725, "" |"")"),1723.0)</f>
        <v>1723</v>
      </c>
      <c r="G1729" s="19">
        <f>IFERROR(__xludf.DUMMYFUNCTION("""COMPUTED_VALUE"""),0.0024)</f>
        <v>0.0024</v>
      </c>
      <c r="H1729" s="19" t="str">
        <f>IFERROR(__xludf.DUMMYFUNCTION("""COMPUTED_VALUE"""),"-")</f>
        <v>-</v>
      </c>
      <c r="I1729" s="19">
        <f>IFERROR(__xludf.DUMMYFUNCTION("""COMPUTED_VALUE"""),0.00222)</f>
        <v>0.00222</v>
      </c>
      <c r="J1729" s="19">
        <f>IFERROR(__xludf.DUMMYFUNCTION("""COMPUTED_VALUE"""),0.04372)</f>
        <v>0.04372</v>
      </c>
      <c r="K1729" s="19" t="str">
        <f>IFERROR(__xludf.DUMMYFUNCTION("""COMPUTED_VALUE"""),"-")</f>
        <v>-</v>
      </c>
      <c r="L1729" s="19" t="str">
        <f>IFERROR(__xludf.DUMMYFUNCTION("""COMPUTED_VALUE"""),"-")</f>
        <v>-</v>
      </c>
      <c r="O1729" s="24">
        <f t="shared" si="4"/>
        <v>0</v>
      </c>
      <c r="P1729" s="24"/>
      <c r="Q1729" s="24">
        <f t="shared" si="6"/>
        <v>0</v>
      </c>
      <c r="R1729" s="24">
        <f t="shared" si="7"/>
        <v>1</v>
      </c>
      <c r="S1729" s="24"/>
      <c r="T1729" s="24"/>
    </row>
    <row r="1730">
      <c r="A1730" s="12" t="s">
        <v>1818</v>
      </c>
      <c r="F1730" s="19">
        <f>IFERROR(__xludf.DUMMYFUNCTION("SPLIT(A1726, "" |"")"),1724.0)</f>
        <v>1724</v>
      </c>
      <c r="G1730" s="19">
        <f>IFERROR(__xludf.DUMMYFUNCTION("""COMPUTED_VALUE"""),0.0024)</f>
        <v>0.0024</v>
      </c>
      <c r="H1730" s="19" t="str">
        <f>IFERROR(__xludf.DUMMYFUNCTION("""COMPUTED_VALUE"""),"-")</f>
        <v>-</v>
      </c>
      <c r="I1730" s="19">
        <f>IFERROR(__xludf.DUMMYFUNCTION("""COMPUTED_VALUE"""),0.00221)</f>
        <v>0.00221</v>
      </c>
      <c r="J1730" s="19">
        <f>IFERROR(__xludf.DUMMYFUNCTION("""COMPUTED_VALUE"""),0.04216)</f>
        <v>0.04216</v>
      </c>
      <c r="K1730" s="19" t="str">
        <f>IFERROR(__xludf.DUMMYFUNCTION("""COMPUTED_VALUE"""),"-")</f>
        <v>-</v>
      </c>
      <c r="L1730" s="19" t="str">
        <f>IFERROR(__xludf.DUMMYFUNCTION("""COMPUTED_VALUE"""),"-")</f>
        <v>-</v>
      </c>
      <c r="O1730" s="24">
        <f t="shared" si="4"/>
        <v>0</v>
      </c>
      <c r="P1730" s="24"/>
      <c r="Q1730" s="24">
        <f t="shared" si="6"/>
        <v>0</v>
      </c>
      <c r="R1730" s="24">
        <f t="shared" si="7"/>
        <v>1</v>
      </c>
      <c r="S1730" s="24"/>
      <c r="T1730" s="24"/>
    </row>
    <row r="1731">
      <c r="A1731" s="12" t="s">
        <v>1819</v>
      </c>
      <c r="F1731" s="19">
        <f>IFERROR(__xludf.DUMMYFUNCTION("SPLIT(A1727, "" |"")"),1725.0)</f>
        <v>1725</v>
      </c>
      <c r="G1731" s="19">
        <f>IFERROR(__xludf.DUMMYFUNCTION("""COMPUTED_VALUE"""),0.00239)</f>
        <v>0.00239</v>
      </c>
      <c r="H1731" s="19" t="str">
        <f>IFERROR(__xludf.DUMMYFUNCTION("""COMPUTED_VALUE"""),"-")</f>
        <v>-</v>
      </c>
      <c r="I1731" s="19">
        <f>IFERROR(__xludf.DUMMYFUNCTION("""COMPUTED_VALUE"""),0.00223)</f>
        <v>0.00223</v>
      </c>
      <c r="J1731" s="19">
        <f>IFERROR(__xludf.DUMMYFUNCTION("""COMPUTED_VALUE"""),0.04746)</f>
        <v>0.04746</v>
      </c>
      <c r="K1731" s="19" t="str">
        <f>IFERROR(__xludf.DUMMYFUNCTION("""COMPUTED_VALUE"""),"-")</f>
        <v>-</v>
      </c>
      <c r="L1731" s="19" t="str">
        <f>IFERROR(__xludf.DUMMYFUNCTION("""COMPUTED_VALUE"""),"-")</f>
        <v>-</v>
      </c>
      <c r="O1731" s="24">
        <f t="shared" si="4"/>
        <v>0</v>
      </c>
      <c r="P1731" s="24"/>
      <c r="Q1731" s="24">
        <f t="shared" si="6"/>
        <v>0</v>
      </c>
      <c r="R1731" s="24">
        <f t="shared" si="7"/>
        <v>0</v>
      </c>
      <c r="S1731" s="24"/>
      <c r="T1731" s="24"/>
    </row>
    <row r="1732">
      <c r="A1732" s="12" t="s">
        <v>1820</v>
      </c>
      <c r="F1732" s="19">
        <f>IFERROR(__xludf.DUMMYFUNCTION("SPLIT(A1728, "" |"")"),1726.0)</f>
        <v>1726</v>
      </c>
      <c r="G1732" s="19">
        <f>IFERROR(__xludf.DUMMYFUNCTION("""COMPUTED_VALUE"""),0.00238)</f>
        <v>0.00238</v>
      </c>
      <c r="H1732" s="19" t="str">
        <f>IFERROR(__xludf.DUMMYFUNCTION("""COMPUTED_VALUE"""),"-")</f>
        <v>-</v>
      </c>
      <c r="I1732" s="19">
        <f>IFERROR(__xludf.DUMMYFUNCTION("""COMPUTED_VALUE"""),0.00224)</f>
        <v>0.00224</v>
      </c>
      <c r="J1732" s="19">
        <f>IFERROR(__xludf.DUMMYFUNCTION("""COMPUTED_VALUE"""),0.04744)</f>
        <v>0.04744</v>
      </c>
      <c r="K1732" s="19" t="str">
        <f>IFERROR(__xludf.DUMMYFUNCTION("""COMPUTED_VALUE"""),"-")</f>
        <v>-</v>
      </c>
      <c r="L1732" s="19" t="str">
        <f>IFERROR(__xludf.DUMMYFUNCTION("""COMPUTED_VALUE"""),"-")</f>
        <v>-</v>
      </c>
      <c r="O1732" s="24">
        <f t="shared" si="4"/>
        <v>0</v>
      </c>
      <c r="P1732" s="24"/>
      <c r="Q1732" s="24">
        <f t="shared" si="6"/>
        <v>0</v>
      </c>
      <c r="R1732" s="24">
        <f t="shared" si="7"/>
        <v>0</v>
      </c>
      <c r="S1732" s="24"/>
      <c r="T1732" s="24"/>
    </row>
    <row r="1733">
      <c r="A1733" s="12" t="s">
        <v>1821</v>
      </c>
      <c r="F1733" s="19">
        <f>IFERROR(__xludf.DUMMYFUNCTION("SPLIT(A1729, "" |"")"),1727.0)</f>
        <v>1727</v>
      </c>
      <c r="G1733" s="19">
        <f>IFERROR(__xludf.DUMMYFUNCTION("""COMPUTED_VALUE"""),0.00236)</f>
        <v>0.00236</v>
      </c>
      <c r="H1733" s="19" t="str">
        <f>IFERROR(__xludf.DUMMYFUNCTION("""COMPUTED_VALUE"""),"-")</f>
        <v>-</v>
      </c>
      <c r="I1733" s="19">
        <f>IFERROR(__xludf.DUMMYFUNCTION("""COMPUTED_VALUE"""),0.00227)</f>
        <v>0.00227</v>
      </c>
      <c r="J1733" s="19">
        <f>IFERROR(__xludf.DUMMYFUNCTION("""COMPUTED_VALUE"""),0.04747)</f>
        <v>0.04747</v>
      </c>
      <c r="K1733" s="19" t="str">
        <f>IFERROR(__xludf.DUMMYFUNCTION("""COMPUTED_VALUE"""),"-")</f>
        <v>-</v>
      </c>
      <c r="L1733" s="19" t="str">
        <f>IFERROR(__xludf.DUMMYFUNCTION("""COMPUTED_VALUE"""),"-")</f>
        <v>-</v>
      </c>
      <c r="O1733" s="24">
        <f t="shared" si="4"/>
        <v>0</v>
      </c>
      <c r="P1733" s="24"/>
      <c r="Q1733" s="24">
        <f t="shared" si="6"/>
        <v>0</v>
      </c>
      <c r="R1733" s="24">
        <f t="shared" si="7"/>
        <v>0</v>
      </c>
      <c r="S1733" s="24"/>
      <c r="T1733" s="24"/>
    </row>
    <row r="1734">
      <c r="A1734" s="12" t="s">
        <v>1822</v>
      </c>
      <c r="F1734" s="19">
        <f>IFERROR(__xludf.DUMMYFUNCTION("SPLIT(A1730, "" |"")"),1728.0)</f>
        <v>1728</v>
      </c>
      <c r="G1734" s="19">
        <f>IFERROR(__xludf.DUMMYFUNCTION("""COMPUTED_VALUE"""),0.00239)</f>
        <v>0.00239</v>
      </c>
      <c r="H1734" s="19" t="str">
        <f>IFERROR(__xludf.DUMMYFUNCTION("""COMPUTED_VALUE"""),"-")</f>
        <v>-</v>
      </c>
      <c r="I1734" s="19">
        <f>IFERROR(__xludf.DUMMYFUNCTION("""COMPUTED_VALUE"""),0.00219)</f>
        <v>0.00219</v>
      </c>
      <c r="J1734" s="19">
        <f>IFERROR(__xludf.DUMMYFUNCTION("""COMPUTED_VALUE"""),0.04264)</f>
        <v>0.04264</v>
      </c>
      <c r="K1734" s="19" t="str">
        <f>IFERROR(__xludf.DUMMYFUNCTION("""COMPUTED_VALUE"""),"-")</f>
        <v>-</v>
      </c>
      <c r="L1734" s="19" t="str">
        <f>IFERROR(__xludf.DUMMYFUNCTION("""COMPUTED_VALUE"""),"-")</f>
        <v>-</v>
      </c>
      <c r="O1734" s="24">
        <f t="shared" si="4"/>
        <v>0</v>
      </c>
      <c r="P1734" s="24"/>
      <c r="Q1734" s="24">
        <f t="shared" si="6"/>
        <v>0</v>
      </c>
      <c r="R1734" s="24">
        <f t="shared" si="7"/>
        <v>1</v>
      </c>
      <c r="S1734" s="24"/>
      <c r="T1734" s="24"/>
    </row>
    <row r="1735">
      <c r="A1735" s="12" t="s">
        <v>1823</v>
      </c>
      <c r="F1735" s="19">
        <f>IFERROR(__xludf.DUMMYFUNCTION("SPLIT(A1731, "" |"")"),1729.0)</f>
        <v>1729</v>
      </c>
      <c r="G1735" s="19">
        <f>IFERROR(__xludf.DUMMYFUNCTION("""COMPUTED_VALUE"""),0.00237)</f>
        <v>0.00237</v>
      </c>
      <c r="H1735" s="19" t="str">
        <f>IFERROR(__xludf.DUMMYFUNCTION("""COMPUTED_VALUE"""),"-")</f>
        <v>-</v>
      </c>
      <c r="I1735" s="19">
        <f>IFERROR(__xludf.DUMMYFUNCTION("""COMPUTED_VALUE"""),0.00211)</f>
        <v>0.00211</v>
      </c>
      <c r="J1735" s="19">
        <f>IFERROR(__xludf.DUMMYFUNCTION("""COMPUTED_VALUE"""),0.04561)</f>
        <v>0.04561</v>
      </c>
      <c r="K1735" s="19" t="str">
        <f>IFERROR(__xludf.DUMMYFUNCTION("""COMPUTED_VALUE"""),"-")</f>
        <v>-</v>
      </c>
      <c r="L1735" s="19" t="str">
        <f>IFERROR(__xludf.DUMMYFUNCTION("""COMPUTED_VALUE"""),"-")</f>
        <v>-</v>
      </c>
      <c r="O1735" s="24">
        <f t="shared" si="4"/>
        <v>0</v>
      </c>
      <c r="P1735" s="24"/>
      <c r="Q1735" s="24">
        <f t="shared" si="6"/>
        <v>0</v>
      </c>
      <c r="R1735" s="24">
        <f t="shared" si="7"/>
        <v>0</v>
      </c>
      <c r="S1735" s="24"/>
      <c r="T1735" s="24"/>
    </row>
    <row r="1736">
      <c r="A1736" s="12" t="s">
        <v>1824</v>
      </c>
      <c r="F1736" s="19">
        <f>IFERROR(__xludf.DUMMYFUNCTION("SPLIT(A1732, "" |"")"),1730.0)</f>
        <v>1730</v>
      </c>
      <c r="G1736" s="19">
        <f>IFERROR(__xludf.DUMMYFUNCTION("""COMPUTED_VALUE"""),0.00261)</f>
        <v>0.00261</v>
      </c>
      <c r="H1736" s="19" t="str">
        <f>IFERROR(__xludf.DUMMYFUNCTION("""COMPUTED_VALUE"""),"-")</f>
        <v>-</v>
      </c>
      <c r="I1736" s="19">
        <f>IFERROR(__xludf.DUMMYFUNCTION("""COMPUTED_VALUE"""),0.00239)</f>
        <v>0.00239</v>
      </c>
      <c r="J1736" s="19">
        <f>IFERROR(__xludf.DUMMYFUNCTION("""COMPUTED_VALUE"""),0.04747)</f>
        <v>0.04747</v>
      </c>
      <c r="K1736" s="19" t="str">
        <f>IFERROR(__xludf.DUMMYFUNCTION("""COMPUTED_VALUE"""),"-")</f>
        <v>-</v>
      </c>
      <c r="L1736" s="19" t="str">
        <f>IFERROR(__xludf.DUMMYFUNCTION("""COMPUTED_VALUE"""),"-")</f>
        <v>-</v>
      </c>
      <c r="O1736" s="24">
        <f t="shared" si="4"/>
        <v>0</v>
      </c>
      <c r="P1736" s="24"/>
      <c r="Q1736" s="24">
        <f t="shared" si="6"/>
        <v>0</v>
      </c>
      <c r="R1736" s="24">
        <f t="shared" si="7"/>
        <v>0</v>
      </c>
      <c r="S1736" s="24"/>
      <c r="T1736" s="24"/>
    </row>
    <row r="1737">
      <c r="A1737" s="12" t="s">
        <v>1825</v>
      </c>
      <c r="F1737" s="19">
        <f>IFERROR(__xludf.DUMMYFUNCTION("SPLIT(A1733, "" |"")"),1731.0)</f>
        <v>1731</v>
      </c>
      <c r="G1737" s="19">
        <f>IFERROR(__xludf.DUMMYFUNCTION("""COMPUTED_VALUE"""),0.00229)</f>
        <v>0.00229</v>
      </c>
      <c r="H1737" s="19" t="str">
        <f>IFERROR(__xludf.DUMMYFUNCTION("""COMPUTED_VALUE"""),"-")</f>
        <v>-</v>
      </c>
      <c r="I1737" s="19">
        <f>IFERROR(__xludf.DUMMYFUNCTION("""COMPUTED_VALUE"""),0.00211)</f>
        <v>0.00211</v>
      </c>
      <c r="J1737" s="19">
        <f>IFERROR(__xludf.DUMMYFUNCTION("""COMPUTED_VALUE"""),0.04751)</f>
        <v>0.04751</v>
      </c>
      <c r="K1737" s="19" t="str">
        <f>IFERROR(__xludf.DUMMYFUNCTION("""COMPUTED_VALUE"""),"-")</f>
        <v>-</v>
      </c>
      <c r="L1737" s="19" t="str">
        <f>IFERROR(__xludf.DUMMYFUNCTION("""COMPUTED_VALUE"""),"-")</f>
        <v>-</v>
      </c>
      <c r="O1737" s="24">
        <f t="shared" si="4"/>
        <v>0</v>
      </c>
      <c r="P1737" s="24"/>
      <c r="Q1737" s="24">
        <f t="shared" si="6"/>
        <v>0</v>
      </c>
      <c r="R1737" s="24">
        <f t="shared" si="7"/>
        <v>0</v>
      </c>
      <c r="S1737" s="24"/>
      <c r="T1737" s="24"/>
    </row>
    <row r="1738">
      <c r="A1738" s="12" t="s">
        <v>1826</v>
      </c>
      <c r="F1738" s="19">
        <f>IFERROR(__xludf.DUMMYFUNCTION("SPLIT(A1734, "" |"")"),1732.0)</f>
        <v>1732</v>
      </c>
      <c r="G1738" s="19">
        <f>IFERROR(__xludf.DUMMYFUNCTION("""COMPUTED_VALUE"""),0.0024)</f>
        <v>0.0024</v>
      </c>
      <c r="H1738" s="19" t="str">
        <f>IFERROR(__xludf.DUMMYFUNCTION("""COMPUTED_VALUE"""),"-")</f>
        <v>-</v>
      </c>
      <c r="I1738" s="19">
        <f>IFERROR(__xludf.DUMMYFUNCTION("""COMPUTED_VALUE"""),0.00221)</f>
        <v>0.00221</v>
      </c>
      <c r="J1738" s="19">
        <f>IFERROR(__xludf.DUMMYFUNCTION("""COMPUTED_VALUE"""),0.04747)</f>
        <v>0.04747</v>
      </c>
      <c r="K1738" s="19" t="str">
        <f>IFERROR(__xludf.DUMMYFUNCTION("""COMPUTED_VALUE"""),"-")</f>
        <v>-</v>
      </c>
      <c r="L1738" s="19" t="str">
        <f>IFERROR(__xludf.DUMMYFUNCTION("""COMPUTED_VALUE"""),"-")</f>
        <v>-</v>
      </c>
      <c r="O1738" s="24">
        <f t="shared" si="4"/>
        <v>0</v>
      </c>
      <c r="P1738" s="24"/>
      <c r="Q1738" s="24">
        <f t="shared" si="6"/>
        <v>0</v>
      </c>
      <c r="R1738" s="24">
        <f t="shared" si="7"/>
        <v>0</v>
      </c>
      <c r="S1738" s="24"/>
      <c r="T1738" s="24"/>
    </row>
    <row r="1739">
      <c r="A1739" s="12" t="s">
        <v>1827</v>
      </c>
      <c r="F1739" s="19">
        <f>IFERROR(__xludf.DUMMYFUNCTION("SPLIT(A1735, "" |"")"),1733.0)</f>
        <v>1733</v>
      </c>
      <c r="G1739" s="19">
        <f>IFERROR(__xludf.DUMMYFUNCTION("""COMPUTED_VALUE"""),0.0023)</f>
        <v>0.0023</v>
      </c>
      <c r="H1739" s="19" t="str">
        <f>IFERROR(__xludf.DUMMYFUNCTION("""COMPUTED_VALUE"""),"-")</f>
        <v>-</v>
      </c>
      <c r="I1739" s="19">
        <f>IFERROR(__xludf.DUMMYFUNCTION("""COMPUTED_VALUE"""),0.00219)</f>
        <v>0.00219</v>
      </c>
      <c r="J1739" s="19">
        <f>IFERROR(__xludf.DUMMYFUNCTION("""COMPUTED_VALUE"""),0.04339)</f>
        <v>0.04339</v>
      </c>
      <c r="K1739" s="19" t="str">
        <f>IFERROR(__xludf.DUMMYFUNCTION("""COMPUTED_VALUE"""),"-")</f>
        <v>-</v>
      </c>
      <c r="L1739" s="19" t="str">
        <f>IFERROR(__xludf.DUMMYFUNCTION("""COMPUTED_VALUE"""),"-")</f>
        <v>-</v>
      </c>
      <c r="O1739" s="24">
        <f t="shared" si="4"/>
        <v>0</v>
      </c>
      <c r="P1739" s="24"/>
      <c r="Q1739" s="24">
        <f t="shared" si="6"/>
        <v>0</v>
      </c>
      <c r="R1739" s="24">
        <f t="shared" si="7"/>
        <v>1</v>
      </c>
      <c r="S1739" s="24"/>
      <c r="T1739" s="24"/>
    </row>
    <row r="1740">
      <c r="A1740" s="12" t="s">
        <v>1828</v>
      </c>
      <c r="F1740" s="19">
        <f>IFERROR(__xludf.DUMMYFUNCTION("SPLIT(A1736, "" |"")"),1734.0)</f>
        <v>1734</v>
      </c>
      <c r="G1740" s="19">
        <f>IFERROR(__xludf.DUMMYFUNCTION("""COMPUTED_VALUE"""),0.00237)</f>
        <v>0.00237</v>
      </c>
      <c r="H1740" s="19" t="str">
        <f>IFERROR(__xludf.DUMMYFUNCTION("""COMPUTED_VALUE"""),"-")</f>
        <v>-</v>
      </c>
      <c r="I1740" s="19">
        <f>IFERROR(__xludf.DUMMYFUNCTION("""COMPUTED_VALUE"""),0.00216)</f>
        <v>0.00216</v>
      </c>
      <c r="J1740" s="19">
        <f>IFERROR(__xludf.DUMMYFUNCTION("""COMPUTED_VALUE"""),0.04649)</f>
        <v>0.04649</v>
      </c>
      <c r="K1740" s="19" t="str">
        <f>IFERROR(__xludf.DUMMYFUNCTION("""COMPUTED_VALUE"""),"-")</f>
        <v>-</v>
      </c>
      <c r="L1740" s="19" t="str">
        <f>IFERROR(__xludf.DUMMYFUNCTION("""COMPUTED_VALUE"""),"-")</f>
        <v>-</v>
      </c>
      <c r="O1740" s="24">
        <f t="shared" si="4"/>
        <v>0</v>
      </c>
      <c r="P1740" s="24"/>
      <c r="Q1740" s="24">
        <f t="shared" si="6"/>
        <v>0</v>
      </c>
      <c r="R1740" s="24">
        <f t="shared" si="7"/>
        <v>0</v>
      </c>
      <c r="S1740" s="24"/>
      <c r="T1740" s="24"/>
    </row>
    <row r="1741">
      <c r="A1741" s="12" t="s">
        <v>1829</v>
      </c>
      <c r="F1741" s="19">
        <f>IFERROR(__xludf.DUMMYFUNCTION("SPLIT(A1737, "" |"")"),1735.0)</f>
        <v>1735</v>
      </c>
      <c r="G1741" s="19">
        <f>IFERROR(__xludf.DUMMYFUNCTION("""COMPUTED_VALUE"""),0.00234)</f>
        <v>0.00234</v>
      </c>
      <c r="H1741" s="19" t="str">
        <f>IFERROR(__xludf.DUMMYFUNCTION("""COMPUTED_VALUE"""),"-")</f>
        <v>-</v>
      </c>
      <c r="I1741" s="19">
        <f>IFERROR(__xludf.DUMMYFUNCTION("""COMPUTED_VALUE"""),0.00221)</f>
        <v>0.00221</v>
      </c>
      <c r="J1741" s="19">
        <f>IFERROR(__xludf.DUMMYFUNCTION("""COMPUTED_VALUE"""),0.0475)</f>
        <v>0.0475</v>
      </c>
      <c r="K1741" s="19" t="str">
        <f>IFERROR(__xludf.DUMMYFUNCTION("""COMPUTED_VALUE"""),"-")</f>
        <v>-</v>
      </c>
      <c r="L1741" s="19" t="str">
        <f>IFERROR(__xludf.DUMMYFUNCTION("""COMPUTED_VALUE"""),"-")</f>
        <v>-</v>
      </c>
      <c r="O1741" s="24">
        <f t="shared" si="4"/>
        <v>0</v>
      </c>
      <c r="P1741" s="24"/>
      <c r="Q1741" s="24">
        <f t="shared" si="6"/>
        <v>0</v>
      </c>
      <c r="R1741" s="24">
        <f t="shared" si="7"/>
        <v>0</v>
      </c>
      <c r="S1741" s="24"/>
      <c r="T1741" s="24"/>
    </row>
    <row r="1742">
      <c r="A1742" s="12" t="s">
        <v>1830</v>
      </c>
      <c r="F1742" s="19">
        <f>IFERROR(__xludf.DUMMYFUNCTION("SPLIT(A1738, "" |"")"),1736.0)</f>
        <v>1736</v>
      </c>
      <c r="G1742" s="19">
        <f>IFERROR(__xludf.DUMMYFUNCTION("""COMPUTED_VALUE"""),0.00241)</f>
        <v>0.00241</v>
      </c>
      <c r="H1742" s="19" t="str">
        <f>IFERROR(__xludf.DUMMYFUNCTION("""COMPUTED_VALUE"""),"-")</f>
        <v>-</v>
      </c>
      <c r="I1742" s="19">
        <f>IFERROR(__xludf.DUMMYFUNCTION("""COMPUTED_VALUE"""),0.00228)</f>
        <v>0.00228</v>
      </c>
      <c r="J1742" s="19">
        <f>IFERROR(__xludf.DUMMYFUNCTION("""COMPUTED_VALUE"""),0.04742)</f>
        <v>0.04742</v>
      </c>
      <c r="K1742" s="19" t="str">
        <f>IFERROR(__xludf.DUMMYFUNCTION("""COMPUTED_VALUE"""),"-")</f>
        <v>-</v>
      </c>
      <c r="L1742" s="19" t="str">
        <f>IFERROR(__xludf.DUMMYFUNCTION("""COMPUTED_VALUE"""),"-")</f>
        <v>-</v>
      </c>
      <c r="O1742" s="24">
        <f t="shared" si="4"/>
        <v>0</v>
      </c>
      <c r="P1742" s="24"/>
      <c r="Q1742" s="24">
        <f t="shared" si="6"/>
        <v>0</v>
      </c>
      <c r="R1742" s="24">
        <f t="shared" si="7"/>
        <v>0</v>
      </c>
      <c r="S1742" s="24"/>
      <c r="T1742" s="24"/>
    </row>
    <row r="1743">
      <c r="A1743" s="12" t="s">
        <v>1831</v>
      </c>
      <c r="F1743" s="19">
        <f>IFERROR(__xludf.DUMMYFUNCTION("SPLIT(A1739, "" |"")"),1737.0)</f>
        <v>1737</v>
      </c>
      <c r="G1743" s="19">
        <f>IFERROR(__xludf.DUMMYFUNCTION("""COMPUTED_VALUE"""),0.00229)</f>
        <v>0.00229</v>
      </c>
      <c r="H1743" s="19" t="str">
        <f>IFERROR(__xludf.DUMMYFUNCTION("""COMPUTED_VALUE"""),"-")</f>
        <v>-</v>
      </c>
      <c r="I1743" s="19">
        <f>IFERROR(__xludf.DUMMYFUNCTION("""COMPUTED_VALUE"""),0.00213)</f>
        <v>0.00213</v>
      </c>
      <c r="J1743" s="19">
        <f>IFERROR(__xludf.DUMMYFUNCTION("""COMPUTED_VALUE"""),0.04735)</f>
        <v>0.04735</v>
      </c>
      <c r="K1743" s="19" t="str">
        <f>IFERROR(__xludf.DUMMYFUNCTION("""COMPUTED_VALUE"""),"-")</f>
        <v>-</v>
      </c>
      <c r="L1743" s="19" t="str">
        <f>IFERROR(__xludf.DUMMYFUNCTION("""COMPUTED_VALUE"""),"-")</f>
        <v>-</v>
      </c>
      <c r="O1743" s="24">
        <f t="shared" si="4"/>
        <v>0</v>
      </c>
      <c r="P1743" s="24"/>
      <c r="Q1743" s="24">
        <f t="shared" si="6"/>
        <v>0</v>
      </c>
      <c r="R1743" s="24">
        <f t="shared" si="7"/>
        <v>0</v>
      </c>
      <c r="S1743" s="24"/>
      <c r="T1743" s="24"/>
    </row>
    <row r="1744">
      <c r="A1744" s="12" t="s">
        <v>1832</v>
      </c>
      <c r="F1744" s="19">
        <f>IFERROR(__xludf.DUMMYFUNCTION("SPLIT(A1740, "" |"")"),1738.0)</f>
        <v>1738</v>
      </c>
      <c r="G1744" s="19">
        <f>IFERROR(__xludf.DUMMYFUNCTION("""COMPUTED_VALUE"""),0.00243)</f>
        <v>0.00243</v>
      </c>
      <c r="H1744" s="19" t="str">
        <f>IFERROR(__xludf.DUMMYFUNCTION("""COMPUTED_VALUE"""),"-")</f>
        <v>-</v>
      </c>
      <c r="I1744" s="19">
        <f>IFERROR(__xludf.DUMMYFUNCTION("""COMPUTED_VALUE"""),0.00223)</f>
        <v>0.00223</v>
      </c>
      <c r="J1744" s="19">
        <f>IFERROR(__xludf.DUMMYFUNCTION("""COMPUTED_VALUE"""),0.04759)</f>
        <v>0.04759</v>
      </c>
      <c r="K1744" s="19" t="str">
        <f>IFERROR(__xludf.DUMMYFUNCTION("""COMPUTED_VALUE"""),"-")</f>
        <v>-</v>
      </c>
      <c r="L1744" s="19" t="str">
        <f>IFERROR(__xludf.DUMMYFUNCTION("""COMPUTED_VALUE"""),"-")</f>
        <v>-</v>
      </c>
      <c r="O1744" s="24">
        <f t="shared" si="4"/>
        <v>0</v>
      </c>
      <c r="P1744" s="24"/>
      <c r="Q1744" s="24">
        <f t="shared" si="6"/>
        <v>0</v>
      </c>
      <c r="R1744" s="24">
        <f t="shared" si="7"/>
        <v>0</v>
      </c>
      <c r="S1744" s="24"/>
      <c r="T1744" s="24"/>
    </row>
    <row r="1745">
      <c r="A1745" s="12" t="s">
        <v>1833</v>
      </c>
      <c r="F1745" s="19">
        <f>IFERROR(__xludf.DUMMYFUNCTION("SPLIT(A1741, "" |"")"),1739.0)</f>
        <v>1739</v>
      </c>
      <c r="G1745" s="19">
        <f>IFERROR(__xludf.DUMMYFUNCTION("""COMPUTED_VALUE"""),0.00231)</f>
        <v>0.00231</v>
      </c>
      <c r="H1745" s="19" t="str">
        <f>IFERROR(__xludf.DUMMYFUNCTION("""COMPUTED_VALUE"""),"-")</f>
        <v>-</v>
      </c>
      <c r="I1745" s="19">
        <f>IFERROR(__xludf.DUMMYFUNCTION("""COMPUTED_VALUE"""),0.0021)</f>
        <v>0.0021</v>
      </c>
      <c r="J1745" s="19">
        <f>IFERROR(__xludf.DUMMYFUNCTION("""COMPUTED_VALUE"""),0.04739)</f>
        <v>0.04739</v>
      </c>
      <c r="K1745" s="19" t="str">
        <f>IFERROR(__xludf.DUMMYFUNCTION("""COMPUTED_VALUE"""),"-")</f>
        <v>-</v>
      </c>
      <c r="L1745" s="19" t="str">
        <f>IFERROR(__xludf.DUMMYFUNCTION("""COMPUTED_VALUE"""),"-")</f>
        <v>-</v>
      </c>
      <c r="O1745" s="24">
        <f t="shared" si="4"/>
        <v>0</v>
      </c>
      <c r="P1745" s="24"/>
      <c r="Q1745" s="24">
        <f t="shared" si="6"/>
        <v>0</v>
      </c>
      <c r="R1745" s="24">
        <f t="shared" si="7"/>
        <v>0</v>
      </c>
      <c r="S1745" s="24"/>
      <c r="T1745" s="24"/>
    </row>
    <row r="1746">
      <c r="A1746" s="12" t="s">
        <v>1834</v>
      </c>
      <c r="F1746" s="19">
        <f>IFERROR(__xludf.DUMMYFUNCTION("SPLIT(A1742, "" |"")"),1740.0)</f>
        <v>1740</v>
      </c>
      <c r="G1746" s="19">
        <f>IFERROR(__xludf.DUMMYFUNCTION("""COMPUTED_VALUE"""),0.00235)</f>
        <v>0.00235</v>
      </c>
      <c r="H1746" s="19" t="str">
        <f>IFERROR(__xludf.DUMMYFUNCTION("""COMPUTED_VALUE"""),"-")</f>
        <v>-</v>
      </c>
      <c r="I1746" s="19">
        <f>IFERROR(__xludf.DUMMYFUNCTION("""COMPUTED_VALUE"""),0.00226)</f>
        <v>0.00226</v>
      </c>
      <c r="J1746" s="19">
        <f>IFERROR(__xludf.DUMMYFUNCTION("""COMPUTED_VALUE"""),0.04754)</f>
        <v>0.04754</v>
      </c>
      <c r="K1746" s="19" t="str">
        <f>IFERROR(__xludf.DUMMYFUNCTION("""COMPUTED_VALUE"""),"-")</f>
        <v>-</v>
      </c>
      <c r="L1746" s="19" t="str">
        <f>IFERROR(__xludf.DUMMYFUNCTION("""COMPUTED_VALUE"""),"-")</f>
        <v>-</v>
      </c>
      <c r="O1746" s="24">
        <f t="shared" si="4"/>
        <v>0</v>
      </c>
      <c r="P1746" s="24"/>
      <c r="Q1746" s="24">
        <f t="shared" si="6"/>
        <v>0</v>
      </c>
      <c r="R1746" s="24">
        <f t="shared" si="7"/>
        <v>0</v>
      </c>
      <c r="S1746" s="24"/>
      <c r="T1746" s="24"/>
    </row>
    <row r="1747">
      <c r="A1747" s="12" t="s">
        <v>1835</v>
      </c>
      <c r="F1747" s="19">
        <f>IFERROR(__xludf.DUMMYFUNCTION("SPLIT(A1743, "" |"")"),1741.0)</f>
        <v>1741</v>
      </c>
      <c r="G1747" s="19">
        <f>IFERROR(__xludf.DUMMYFUNCTION("""COMPUTED_VALUE"""),0.00234)</f>
        <v>0.00234</v>
      </c>
      <c r="H1747" s="19" t="str">
        <f>IFERROR(__xludf.DUMMYFUNCTION("""COMPUTED_VALUE"""),"-")</f>
        <v>-</v>
      </c>
      <c r="I1747" s="19">
        <f>IFERROR(__xludf.DUMMYFUNCTION("""COMPUTED_VALUE"""),0.00221)</f>
        <v>0.00221</v>
      </c>
      <c r="J1747" s="19">
        <f>IFERROR(__xludf.DUMMYFUNCTION("""COMPUTED_VALUE"""),0.04736)</f>
        <v>0.04736</v>
      </c>
      <c r="K1747" s="19" t="str">
        <f>IFERROR(__xludf.DUMMYFUNCTION("""COMPUTED_VALUE"""),"-")</f>
        <v>-</v>
      </c>
      <c r="L1747" s="19" t="str">
        <f>IFERROR(__xludf.DUMMYFUNCTION("""COMPUTED_VALUE"""),"-")</f>
        <v>-</v>
      </c>
      <c r="O1747" s="24">
        <f t="shared" si="4"/>
        <v>0</v>
      </c>
      <c r="P1747" s="24"/>
      <c r="Q1747" s="24">
        <f t="shared" si="6"/>
        <v>0</v>
      </c>
      <c r="R1747" s="24">
        <f t="shared" si="7"/>
        <v>0</v>
      </c>
      <c r="S1747" s="24"/>
      <c r="T1747" s="24"/>
    </row>
    <row r="1748">
      <c r="A1748" s="12" t="s">
        <v>1836</v>
      </c>
      <c r="F1748" s="19">
        <f>IFERROR(__xludf.DUMMYFUNCTION("SPLIT(A1744, "" |"")"),1742.0)</f>
        <v>1742</v>
      </c>
      <c r="G1748" s="19">
        <f>IFERROR(__xludf.DUMMYFUNCTION("""COMPUTED_VALUE"""),0.00239)</f>
        <v>0.00239</v>
      </c>
      <c r="H1748" s="19" t="str">
        <f>IFERROR(__xludf.DUMMYFUNCTION("""COMPUTED_VALUE"""),"-")</f>
        <v>-</v>
      </c>
      <c r="I1748" s="19">
        <f>IFERROR(__xludf.DUMMYFUNCTION("""COMPUTED_VALUE"""),0.00224)</f>
        <v>0.00224</v>
      </c>
      <c r="J1748" s="19">
        <f>IFERROR(__xludf.DUMMYFUNCTION("""COMPUTED_VALUE"""),0.04748)</f>
        <v>0.04748</v>
      </c>
      <c r="K1748" s="19" t="str">
        <f>IFERROR(__xludf.DUMMYFUNCTION("""COMPUTED_VALUE"""),"-")</f>
        <v>-</v>
      </c>
      <c r="L1748" s="19" t="str">
        <f>IFERROR(__xludf.DUMMYFUNCTION("""COMPUTED_VALUE"""),"-")</f>
        <v>-</v>
      </c>
      <c r="O1748" s="24">
        <f t="shared" si="4"/>
        <v>0</v>
      </c>
      <c r="P1748" s="24"/>
      <c r="Q1748" s="24">
        <f t="shared" si="6"/>
        <v>0</v>
      </c>
      <c r="R1748" s="24">
        <f t="shared" si="7"/>
        <v>0</v>
      </c>
      <c r="S1748" s="24"/>
      <c r="T1748" s="24"/>
    </row>
    <row r="1749">
      <c r="A1749" s="12" t="s">
        <v>1837</v>
      </c>
      <c r="F1749" s="19">
        <f>IFERROR(__xludf.DUMMYFUNCTION("SPLIT(A1745, "" |"")"),1743.0)</f>
        <v>1743</v>
      </c>
      <c r="G1749" s="19">
        <f>IFERROR(__xludf.DUMMYFUNCTION("""COMPUTED_VALUE"""),0.00237)</f>
        <v>0.00237</v>
      </c>
      <c r="H1749" s="19" t="str">
        <f>IFERROR(__xludf.DUMMYFUNCTION("""COMPUTED_VALUE"""),"-")</f>
        <v>-</v>
      </c>
      <c r="I1749" s="19">
        <f>IFERROR(__xludf.DUMMYFUNCTION("""COMPUTED_VALUE"""),0.0022)</f>
        <v>0.0022</v>
      </c>
      <c r="J1749" s="19">
        <f>IFERROR(__xludf.DUMMYFUNCTION("""COMPUTED_VALUE"""),0.04747)</f>
        <v>0.04747</v>
      </c>
      <c r="K1749" s="19" t="str">
        <f>IFERROR(__xludf.DUMMYFUNCTION("""COMPUTED_VALUE"""),"-")</f>
        <v>-</v>
      </c>
      <c r="L1749" s="19" t="str">
        <f>IFERROR(__xludf.DUMMYFUNCTION("""COMPUTED_VALUE"""),"-")</f>
        <v>-</v>
      </c>
      <c r="O1749" s="24">
        <f t="shared" si="4"/>
        <v>0</v>
      </c>
      <c r="P1749" s="24"/>
      <c r="Q1749" s="24">
        <f t="shared" si="6"/>
        <v>0</v>
      </c>
      <c r="R1749" s="24">
        <f t="shared" si="7"/>
        <v>0</v>
      </c>
      <c r="S1749" s="24"/>
      <c r="T1749" s="24"/>
    </row>
    <row r="1750">
      <c r="A1750" s="12" t="s">
        <v>1838</v>
      </c>
      <c r="F1750" s="19">
        <f>IFERROR(__xludf.DUMMYFUNCTION("SPLIT(A1746, "" |"")"),1744.0)</f>
        <v>1744</v>
      </c>
      <c r="G1750" s="19">
        <f>IFERROR(__xludf.DUMMYFUNCTION("""COMPUTED_VALUE"""),0.0024)</f>
        <v>0.0024</v>
      </c>
      <c r="H1750" s="19" t="str">
        <f>IFERROR(__xludf.DUMMYFUNCTION("""COMPUTED_VALUE"""),"-")</f>
        <v>-</v>
      </c>
      <c r="I1750" s="19">
        <f>IFERROR(__xludf.DUMMYFUNCTION("""COMPUTED_VALUE"""),0.00222)</f>
        <v>0.00222</v>
      </c>
      <c r="J1750" s="19">
        <f>IFERROR(__xludf.DUMMYFUNCTION("""COMPUTED_VALUE"""),0.04742)</f>
        <v>0.04742</v>
      </c>
      <c r="K1750" s="19" t="str">
        <f>IFERROR(__xludf.DUMMYFUNCTION("""COMPUTED_VALUE"""),"-")</f>
        <v>-</v>
      </c>
      <c r="L1750" s="19" t="str">
        <f>IFERROR(__xludf.DUMMYFUNCTION("""COMPUTED_VALUE"""),"-")</f>
        <v>-</v>
      </c>
      <c r="O1750" s="24">
        <f t="shared" si="4"/>
        <v>0</v>
      </c>
      <c r="P1750" s="24"/>
      <c r="Q1750" s="24">
        <f t="shared" si="6"/>
        <v>0</v>
      </c>
      <c r="R1750" s="24">
        <f t="shared" si="7"/>
        <v>0</v>
      </c>
      <c r="S1750" s="24"/>
      <c r="T1750" s="24"/>
    </row>
    <row r="1751">
      <c r="A1751" s="12" t="s">
        <v>1839</v>
      </c>
      <c r="F1751" s="19">
        <f>IFERROR(__xludf.DUMMYFUNCTION("SPLIT(A1747, "" |"")"),1745.0)</f>
        <v>1745</v>
      </c>
      <c r="G1751" s="19">
        <f>IFERROR(__xludf.DUMMYFUNCTION("""COMPUTED_VALUE"""),0.00238)</f>
        <v>0.00238</v>
      </c>
      <c r="H1751" s="19" t="str">
        <f>IFERROR(__xludf.DUMMYFUNCTION("""COMPUTED_VALUE"""),"-")</f>
        <v>-</v>
      </c>
      <c r="I1751" s="19">
        <f>IFERROR(__xludf.DUMMYFUNCTION("""COMPUTED_VALUE"""),0.00223)</f>
        <v>0.00223</v>
      </c>
      <c r="J1751" s="19">
        <f>IFERROR(__xludf.DUMMYFUNCTION("""COMPUTED_VALUE"""),0.04749)</f>
        <v>0.04749</v>
      </c>
      <c r="K1751" s="19" t="str">
        <f>IFERROR(__xludf.DUMMYFUNCTION("""COMPUTED_VALUE"""),"-")</f>
        <v>-</v>
      </c>
      <c r="L1751" s="19" t="str">
        <f>IFERROR(__xludf.DUMMYFUNCTION("""COMPUTED_VALUE"""),"-")</f>
        <v>-</v>
      </c>
      <c r="O1751" s="24">
        <f t="shared" si="4"/>
        <v>0</v>
      </c>
      <c r="P1751" s="24"/>
      <c r="Q1751" s="24">
        <f t="shared" si="6"/>
        <v>0</v>
      </c>
      <c r="R1751" s="24">
        <f t="shared" si="7"/>
        <v>0</v>
      </c>
      <c r="S1751" s="24"/>
      <c r="T1751" s="24"/>
    </row>
    <row r="1752">
      <c r="A1752" s="12" t="s">
        <v>1840</v>
      </c>
      <c r="F1752" s="19">
        <f>IFERROR(__xludf.DUMMYFUNCTION("SPLIT(A1748, "" |"")"),1746.0)</f>
        <v>1746</v>
      </c>
      <c r="G1752" s="19">
        <f>IFERROR(__xludf.DUMMYFUNCTION("""COMPUTED_VALUE"""),0.00241)</f>
        <v>0.00241</v>
      </c>
      <c r="H1752" s="19" t="str">
        <f>IFERROR(__xludf.DUMMYFUNCTION("""COMPUTED_VALUE"""),"-")</f>
        <v>-</v>
      </c>
      <c r="I1752" s="19">
        <f>IFERROR(__xludf.DUMMYFUNCTION("""COMPUTED_VALUE"""),0.00226)</f>
        <v>0.00226</v>
      </c>
      <c r="J1752" s="19">
        <f>IFERROR(__xludf.DUMMYFUNCTION("""COMPUTED_VALUE"""),0.04747)</f>
        <v>0.04747</v>
      </c>
      <c r="K1752" s="19" t="str">
        <f>IFERROR(__xludf.DUMMYFUNCTION("""COMPUTED_VALUE"""),"-")</f>
        <v>-</v>
      </c>
      <c r="L1752" s="19" t="str">
        <f>IFERROR(__xludf.DUMMYFUNCTION("""COMPUTED_VALUE"""),"-")</f>
        <v>-</v>
      </c>
      <c r="O1752" s="24">
        <f t="shared" si="4"/>
        <v>0</v>
      </c>
      <c r="P1752" s="24"/>
      <c r="Q1752" s="24">
        <f t="shared" si="6"/>
        <v>0</v>
      </c>
      <c r="R1752" s="24">
        <f t="shared" si="7"/>
        <v>0</v>
      </c>
      <c r="S1752" s="24"/>
      <c r="T1752" s="24"/>
    </row>
    <row r="1753">
      <c r="A1753" s="12" t="s">
        <v>1841</v>
      </c>
      <c r="F1753" s="19">
        <f>IFERROR(__xludf.DUMMYFUNCTION("SPLIT(A1749, "" |"")"),1747.0)</f>
        <v>1747</v>
      </c>
      <c r="G1753" s="19">
        <f>IFERROR(__xludf.DUMMYFUNCTION("""COMPUTED_VALUE"""),0.00238)</f>
        <v>0.00238</v>
      </c>
      <c r="H1753" s="19" t="str">
        <f>IFERROR(__xludf.DUMMYFUNCTION("""COMPUTED_VALUE"""),"-")</f>
        <v>-</v>
      </c>
      <c r="I1753" s="19">
        <f>IFERROR(__xludf.DUMMYFUNCTION("""COMPUTED_VALUE"""),0.00216)</f>
        <v>0.00216</v>
      </c>
      <c r="J1753" s="19">
        <f>IFERROR(__xludf.DUMMYFUNCTION("""COMPUTED_VALUE"""),0.04746)</f>
        <v>0.04746</v>
      </c>
      <c r="K1753" s="19" t="str">
        <f>IFERROR(__xludf.DUMMYFUNCTION("""COMPUTED_VALUE"""),"-")</f>
        <v>-</v>
      </c>
      <c r="L1753" s="19" t="str">
        <f>IFERROR(__xludf.DUMMYFUNCTION("""COMPUTED_VALUE"""),"-")</f>
        <v>-</v>
      </c>
      <c r="O1753" s="24">
        <f t="shared" si="4"/>
        <v>0</v>
      </c>
      <c r="P1753" s="24"/>
      <c r="Q1753" s="24">
        <f t="shared" si="6"/>
        <v>0</v>
      </c>
      <c r="R1753" s="24">
        <f t="shared" si="7"/>
        <v>0</v>
      </c>
      <c r="S1753" s="24"/>
      <c r="T1753" s="24"/>
    </row>
    <row r="1754">
      <c r="A1754" s="12" t="s">
        <v>1842</v>
      </c>
      <c r="F1754" s="19">
        <f>IFERROR(__xludf.DUMMYFUNCTION("SPLIT(A1750, "" |"")"),1748.0)</f>
        <v>1748</v>
      </c>
      <c r="G1754" s="19">
        <f>IFERROR(__xludf.DUMMYFUNCTION("""COMPUTED_VALUE"""),0.00231)</f>
        <v>0.00231</v>
      </c>
      <c r="H1754" s="19" t="str">
        <f>IFERROR(__xludf.DUMMYFUNCTION("""COMPUTED_VALUE"""),"-")</f>
        <v>-</v>
      </c>
      <c r="I1754" s="19">
        <f>IFERROR(__xludf.DUMMYFUNCTION("""COMPUTED_VALUE"""),0.00226)</f>
        <v>0.00226</v>
      </c>
      <c r="J1754" s="19">
        <f>IFERROR(__xludf.DUMMYFUNCTION("""COMPUTED_VALUE"""),0.0475)</f>
        <v>0.0475</v>
      </c>
      <c r="K1754" s="19" t="str">
        <f>IFERROR(__xludf.DUMMYFUNCTION("""COMPUTED_VALUE"""),"-")</f>
        <v>-</v>
      </c>
      <c r="L1754" s="19" t="str">
        <f>IFERROR(__xludf.DUMMYFUNCTION("""COMPUTED_VALUE"""),"-")</f>
        <v>-</v>
      </c>
      <c r="O1754" s="24">
        <f t="shared" si="4"/>
        <v>0</v>
      </c>
      <c r="P1754" s="24"/>
      <c r="Q1754" s="24">
        <f t="shared" si="6"/>
        <v>0</v>
      </c>
      <c r="R1754" s="24">
        <f t="shared" si="7"/>
        <v>0</v>
      </c>
      <c r="S1754" s="24"/>
      <c r="T1754" s="24"/>
    </row>
    <row r="1755">
      <c r="A1755" s="12" t="s">
        <v>1843</v>
      </c>
      <c r="F1755" s="19">
        <f>IFERROR(__xludf.DUMMYFUNCTION("SPLIT(A1751, "" |"")"),1749.0)</f>
        <v>1749</v>
      </c>
      <c r="G1755" s="19">
        <f>IFERROR(__xludf.DUMMYFUNCTION("""COMPUTED_VALUE"""),0.00241)</f>
        <v>0.00241</v>
      </c>
      <c r="H1755" s="19" t="str">
        <f>IFERROR(__xludf.DUMMYFUNCTION("""COMPUTED_VALUE"""),"-")</f>
        <v>-</v>
      </c>
      <c r="I1755" s="19">
        <f>IFERROR(__xludf.DUMMYFUNCTION("""COMPUTED_VALUE"""),0.00228)</f>
        <v>0.00228</v>
      </c>
      <c r="J1755" s="19">
        <f>IFERROR(__xludf.DUMMYFUNCTION("""COMPUTED_VALUE"""),0.04757)</f>
        <v>0.04757</v>
      </c>
      <c r="K1755" s="19" t="str">
        <f>IFERROR(__xludf.DUMMYFUNCTION("""COMPUTED_VALUE"""),"-")</f>
        <v>-</v>
      </c>
      <c r="L1755" s="19" t="str">
        <f>IFERROR(__xludf.DUMMYFUNCTION("""COMPUTED_VALUE"""),"-")</f>
        <v>-</v>
      </c>
      <c r="O1755" s="24">
        <f t="shared" si="4"/>
        <v>0</v>
      </c>
      <c r="P1755" s="24"/>
      <c r="Q1755" s="24">
        <f t="shared" si="6"/>
        <v>0</v>
      </c>
      <c r="R1755" s="24">
        <f t="shared" si="7"/>
        <v>0</v>
      </c>
      <c r="S1755" s="24"/>
      <c r="T1755" s="24"/>
    </row>
    <row r="1756">
      <c r="A1756" s="12" t="s">
        <v>1844</v>
      </c>
      <c r="F1756" s="19">
        <f>IFERROR(__xludf.DUMMYFUNCTION("SPLIT(A1752, "" |"")"),1750.0)</f>
        <v>1750</v>
      </c>
      <c r="G1756" s="19">
        <f>IFERROR(__xludf.DUMMYFUNCTION("""COMPUTED_VALUE"""),0.00244)</f>
        <v>0.00244</v>
      </c>
      <c r="H1756" s="19" t="str">
        <f>IFERROR(__xludf.DUMMYFUNCTION("""COMPUTED_VALUE"""),"-")</f>
        <v>-</v>
      </c>
      <c r="I1756" s="19">
        <f>IFERROR(__xludf.DUMMYFUNCTION("""COMPUTED_VALUE"""),0.00223)</f>
        <v>0.00223</v>
      </c>
      <c r="J1756" s="19">
        <f>IFERROR(__xludf.DUMMYFUNCTION("""COMPUTED_VALUE"""),0.04746)</f>
        <v>0.04746</v>
      </c>
      <c r="K1756" s="19" t="str">
        <f>IFERROR(__xludf.DUMMYFUNCTION("""COMPUTED_VALUE"""),"-")</f>
        <v>-</v>
      </c>
      <c r="L1756" s="19" t="str">
        <f>IFERROR(__xludf.DUMMYFUNCTION("""COMPUTED_VALUE"""),"-")</f>
        <v>-</v>
      </c>
      <c r="O1756" s="24">
        <f t="shared" si="4"/>
        <v>0</v>
      </c>
      <c r="P1756" s="24"/>
      <c r="Q1756" s="24">
        <f t="shared" si="6"/>
        <v>0</v>
      </c>
      <c r="R1756" s="24">
        <f t="shared" si="7"/>
        <v>0</v>
      </c>
      <c r="S1756" s="24"/>
      <c r="T1756" s="24"/>
    </row>
    <row r="1757">
      <c r="A1757" s="12" t="s">
        <v>1845</v>
      </c>
      <c r="F1757" s="19">
        <f>IFERROR(__xludf.DUMMYFUNCTION("SPLIT(A1753, "" |"")"),1751.0)</f>
        <v>1751</v>
      </c>
      <c r="G1757" s="19">
        <f>IFERROR(__xludf.DUMMYFUNCTION("""COMPUTED_VALUE"""),0.00235)</f>
        <v>0.00235</v>
      </c>
      <c r="H1757" s="19" t="str">
        <f>IFERROR(__xludf.DUMMYFUNCTION("""COMPUTED_VALUE"""),"-")</f>
        <v>-</v>
      </c>
      <c r="I1757" s="19">
        <f>IFERROR(__xludf.DUMMYFUNCTION("""COMPUTED_VALUE"""),0.00219)</f>
        <v>0.00219</v>
      </c>
      <c r="J1757" s="19">
        <f>IFERROR(__xludf.DUMMYFUNCTION("""COMPUTED_VALUE"""),0.0473)</f>
        <v>0.0473</v>
      </c>
      <c r="K1757" s="19" t="str">
        <f>IFERROR(__xludf.DUMMYFUNCTION("""COMPUTED_VALUE"""),"-")</f>
        <v>-</v>
      </c>
      <c r="L1757" s="19" t="str">
        <f>IFERROR(__xludf.DUMMYFUNCTION("""COMPUTED_VALUE"""),"-")</f>
        <v>-</v>
      </c>
      <c r="O1757" s="24">
        <f t="shared" si="4"/>
        <v>0</v>
      </c>
      <c r="P1757" s="24"/>
      <c r="Q1757" s="24">
        <f t="shared" si="6"/>
        <v>0</v>
      </c>
      <c r="R1757" s="24">
        <f t="shared" si="7"/>
        <v>0</v>
      </c>
      <c r="S1757" s="24"/>
      <c r="T1757" s="24"/>
    </row>
    <row r="1758">
      <c r="A1758" s="12" t="s">
        <v>1846</v>
      </c>
      <c r="F1758" s="19">
        <f>IFERROR(__xludf.DUMMYFUNCTION("SPLIT(A1754, "" |"")"),1752.0)</f>
        <v>1752</v>
      </c>
      <c r="G1758" s="19">
        <f>IFERROR(__xludf.DUMMYFUNCTION("""COMPUTED_VALUE"""),0.00239)</f>
        <v>0.00239</v>
      </c>
      <c r="H1758" s="19" t="str">
        <f>IFERROR(__xludf.DUMMYFUNCTION("""COMPUTED_VALUE"""),"-")</f>
        <v>-</v>
      </c>
      <c r="I1758" s="19">
        <f>IFERROR(__xludf.DUMMYFUNCTION("""COMPUTED_VALUE"""),0.00227)</f>
        <v>0.00227</v>
      </c>
      <c r="J1758" s="19">
        <f>IFERROR(__xludf.DUMMYFUNCTION("""COMPUTED_VALUE"""),0.04751)</f>
        <v>0.04751</v>
      </c>
      <c r="K1758" s="19" t="str">
        <f>IFERROR(__xludf.DUMMYFUNCTION("""COMPUTED_VALUE"""),"-")</f>
        <v>-</v>
      </c>
      <c r="L1758" s="19" t="str">
        <f>IFERROR(__xludf.DUMMYFUNCTION("""COMPUTED_VALUE"""),"-")</f>
        <v>-</v>
      </c>
      <c r="O1758" s="24">
        <f t="shared" si="4"/>
        <v>0</v>
      </c>
      <c r="P1758" s="24"/>
      <c r="Q1758" s="24">
        <f t="shared" si="6"/>
        <v>0</v>
      </c>
      <c r="R1758" s="24">
        <f t="shared" si="7"/>
        <v>0</v>
      </c>
      <c r="S1758" s="24"/>
      <c r="T1758" s="24"/>
    </row>
    <row r="1759">
      <c r="A1759" s="12" t="s">
        <v>1847</v>
      </c>
      <c r="F1759" s="19">
        <f>IFERROR(__xludf.DUMMYFUNCTION("SPLIT(A1755, "" |"")"),1753.0)</f>
        <v>1753</v>
      </c>
      <c r="G1759" s="19">
        <f>IFERROR(__xludf.DUMMYFUNCTION("""COMPUTED_VALUE"""),0.00234)</f>
        <v>0.00234</v>
      </c>
      <c r="H1759" s="19" t="str">
        <f>IFERROR(__xludf.DUMMYFUNCTION("""COMPUTED_VALUE"""),"-")</f>
        <v>-</v>
      </c>
      <c r="I1759" s="19">
        <f>IFERROR(__xludf.DUMMYFUNCTION("""COMPUTED_VALUE"""),0.0022)</f>
        <v>0.0022</v>
      </c>
      <c r="J1759" s="19">
        <f>IFERROR(__xludf.DUMMYFUNCTION("""COMPUTED_VALUE"""),0.04749)</f>
        <v>0.04749</v>
      </c>
      <c r="K1759" s="19" t="str">
        <f>IFERROR(__xludf.DUMMYFUNCTION("""COMPUTED_VALUE"""),"-")</f>
        <v>-</v>
      </c>
      <c r="L1759" s="19" t="str">
        <f>IFERROR(__xludf.DUMMYFUNCTION("""COMPUTED_VALUE"""),"-")</f>
        <v>-</v>
      </c>
      <c r="O1759" s="24">
        <f t="shared" si="4"/>
        <v>0</v>
      </c>
      <c r="P1759" s="24"/>
      <c r="Q1759" s="24">
        <f t="shared" si="6"/>
        <v>0</v>
      </c>
      <c r="R1759" s="24">
        <f t="shared" si="7"/>
        <v>0</v>
      </c>
      <c r="S1759" s="24"/>
      <c r="T1759" s="24"/>
    </row>
    <row r="1760">
      <c r="A1760" s="12" t="s">
        <v>1848</v>
      </c>
      <c r="F1760" s="19">
        <f>IFERROR(__xludf.DUMMYFUNCTION("SPLIT(A1756, "" |"")"),1754.0)</f>
        <v>1754</v>
      </c>
      <c r="G1760" s="19">
        <f>IFERROR(__xludf.DUMMYFUNCTION("""COMPUTED_VALUE"""),0.00243)</f>
        <v>0.00243</v>
      </c>
      <c r="H1760" s="19" t="str">
        <f>IFERROR(__xludf.DUMMYFUNCTION("""COMPUTED_VALUE"""),"-")</f>
        <v>-</v>
      </c>
      <c r="I1760" s="19">
        <f>IFERROR(__xludf.DUMMYFUNCTION("""COMPUTED_VALUE"""),0.00224)</f>
        <v>0.00224</v>
      </c>
      <c r="J1760" s="19">
        <f>IFERROR(__xludf.DUMMYFUNCTION("""COMPUTED_VALUE"""),0.04753)</f>
        <v>0.04753</v>
      </c>
      <c r="K1760" s="19" t="str">
        <f>IFERROR(__xludf.DUMMYFUNCTION("""COMPUTED_VALUE"""),"-")</f>
        <v>-</v>
      </c>
      <c r="L1760" s="19" t="str">
        <f>IFERROR(__xludf.DUMMYFUNCTION("""COMPUTED_VALUE"""),"-")</f>
        <v>-</v>
      </c>
      <c r="O1760" s="24">
        <f t="shared" si="4"/>
        <v>0</v>
      </c>
      <c r="P1760" s="24"/>
      <c r="Q1760" s="24">
        <f t="shared" si="6"/>
        <v>0</v>
      </c>
      <c r="R1760" s="24">
        <f t="shared" si="7"/>
        <v>0</v>
      </c>
      <c r="S1760" s="24"/>
      <c r="T1760" s="24"/>
    </row>
    <row r="1761">
      <c r="A1761" s="12" t="s">
        <v>1849</v>
      </c>
      <c r="F1761" s="19">
        <f>IFERROR(__xludf.DUMMYFUNCTION("SPLIT(A1757, "" |"")"),1755.0)</f>
        <v>1755</v>
      </c>
      <c r="G1761" s="19">
        <f>IFERROR(__xludf.DUMMYFUNCTION("""COMPUTED_VALUE"""),0.00242)</f>
        <v>0.00242</v>
      </c>
      <c r="H1761" s="19" t="str">
        <f>IFERROR(__xludf.DUMMYFUNCTION("""COMPUTED_VALUE"""),"-")</f>
        <v>-</v>
      </c>
      <c r="I1761" s="19">
        <f>IFERROR(__xludf.DUMMYFUNCTION("""COMPUTED_VALUE"""),0.00228)</f>
        <v>0.00228</v>
      </c>
      <c r="J1761" s="19">
        <f>IFERROR(__xludf.DUMMYFUNCTION("""COMPUTED_VALUE"""),0.04751)</f>
        <v>0.04751</v>
      </c>
      <c r="K1761" s="19" t="str">
        <f>IFERROR(__xludf.DUMMYFUNCTION("""COMPUTED_VALUE"""),"-")</f>
        <v>-</v>
      </c>
      <c r="L1761" s="19" t="str">
        <f>IFERROR(__xludf.DUMMYFUNCTION("""COMPUTED_VALUE"""),"-")</f>
        <v>-</v>
      </c>
      <c r="O1761" s="24">
        <f t="shared" si="4"/>
        <v>0</v>
      </c>
      <c r="P1761" s="24"/>
      <c r="Q1761" s="24">
        <f t="shared" si="6"/>
        <v>0</v>
      </c>
      <c r="R1761" s="24">
        <f t="shared" si="7"/>
        <v>0</v>
      </c>
      <c r="S1761" s="24"/>
      <c r="T1761" s="24"/>
    </row>
    <row r="1762">
      <c r="A1762" s="12" t="s">
        <v>1850</v>
      </c>
      <c r="F1762" s="19">
        <f>IFERROR(__xludf.DUMMYFUNCTION("SPLIT(A1758, "" |"")"),1756.0)</f>
        <v>1756</v>
      </c>
      <c r="G1762" s="19">
        <f>IFERROR(__xludf.DUMMYFUNCTION("""COMPUTED_VALUE"""),0.0024)</f>
        <v>0.0024</v>
      </c>
      <c r="H1762" s="19" t="str">
        <f>IFERROR(__xludf.DUMMYFUNCTION("""COMPUTED_VALUE"""),"-")</f>
        <v>-</v>
      </c>
      <c r="I1762" s="19">
        <f>IFERROR(__xludf.DUMMYFUNCTION("""COMPUTED_VALUE"""),0.00217)</f>
        <v>0.00217</v>
      </c>
      <c r="J1762" s="19">
        <f>IFERROR(__xludf.DUMMYFUNCTION("""COMPUTED_VALUE"""),0.04745)</f>
        <v>0.04745</v>
      </c>
      <c r="K1762" s="19" t="str">
        <f>IFERROR(__xludf.DUMMYFUNCTION("""COMPUTED_VALUE"""),"-")</f>
        <v>-</v>
      </c>
      <c r="L1762" s="19" t="str">
        <f>IFERROR(__xludf.DUMMYFUNCTION("""COMPUTED_VALUE"""),"-")</f>
        <v>-</v>
      </c>
      <c r="O1762" s="24">
        <f t="shared" si="4"/>
        <v>0</v>
      </c>
      <c r="P1762" s="24"/>
      <c r="Q1762" s="24">
        <f t="shared" si="6"/>
        <v>0</v>
      </c>
      <c r="R1762" s="24">
        <f t="shared" si="7"/>
        <v>0</v>
      </c>
      <c r="S1762" s="24"/>
      <c r="T1762" s="24"/>
    </row>
    <row r="1763">
      <c r="A1763" s="12" t="s">
        <v>1851</v>
      </c>
      <c r="F1763" s="19">
        <f>IFERROR(__xludf.DUMMYFUNCTION("SPLIT(A1759, "" |"")"),1757.0)</f>
        <v>1757</v>
      </c>
      <c r="G1763" s="19">
        <f>IFERROR(__xludf.DUMMYFUNCTION("""COMPUTED_VALUE"""),0.00234)</f>
        <v>0.00234</v>
      </c>
      <c r="H1763" s="19" t="str">
        <f>IFERROR(__xludf.DUMMYFUNCTION("""COMPUTED_VALUE"""),"-")</f>
        <v>-</v>
      </c>
      <c r="I1763" s="19">
        <f>IFERROR(__xludf.DUMMYFUNCTION("""COMPUTED_VALUE"""),0.0022)</f>
        <v>0.0022</v>
      </c>
      <c r="J1763" s="19">
        <f>IFERROR(__xludf.DUMMYFUNCTION("""COMPUTED_VALUE"""),0.04106)</f>
        <v>0.04106</v>
      </c>
      <c r="K1763" s="19" t="str">
        <f>IFERROR(__xludf.DUMMYFUNCTION("""COMPUTED_VALUE"""),"-")</f>
        <v>-</v>
      </c>
      <c r="L1763" s="19" t="str">
        <f>IFERROR(__xludf.DUMMYFUNCTION("""COMPUTED_VALUE"""),"-")</f>
        <v>-</v>
      </c>
      <c r="O1763" s="24">
        <f t="shared" si="4"/>
        <v>0</v>
      </c>
      <c r="P1763" s="24"/>
      <c r="Q1763" s="24">
        <f t="shared" si="6"/>
        <v>0</v>
      </c>
      <c r="R1763" s="24">
        <f t="shared" si="7"/>
        <v>1</v>
      </c>
      <c r="S1763" s="24"/>
      <c r="T1763" s="24"/>
    </row>
    <row r="1764">
      <c r="A1764" s="12" t="s">
        <v>1852</v>
      </c>
      <c r="F1764" s="19">
        <f>IFERROR(__xludf.DUMMYFUNCTION("SPLIT(A1760, "" |"")"),1758.0)</f>
        <v>1758</v>
      </c>
      <c r="G1764" s="19">
        <f>IFERROR(__xludf.DUMMYFUNCTION("""COMPUTED_VALUE"""),0.00242)</f>
        <v>0.00242</v>
      </c>
      <c r="H1764" s="19" t="str">
        <f>IFERROR(__xludf.DUMMYFUNCTION("""COMPUTED_VALUE"""),"-")</f>
        <v>-</v>
      </c>
      <c r="I1764" s="19">
        <f>IFERROR(__xludf.DUMMYFUNCTION("""COMPUTED_VALUE"""),0.00225)</f>
        <v>0.00225</v>
      </c>
      <c r="J1764" s="19">
        <f>IFERROR(__xludf.DUMMYFUNCTION("""COMPUTED_VALUE"""),0.04709)</f>
        <v>0.04709</v>
      </c>
      <c r="K1764" s="19" t="str">
        <f>IFERROR(__xludf.DUMMYFUNCTION("""COMPUTED_VALUE"""),"-")</f>
        <v>-</v>
      </c>
      <c r="L1764" s="19" t="str">
        <f>IFERROR(__xludf.DUMMYFUNCTION("""COMPUTED_VALUE"""),"-")</f>
        <v>-</v>
      </c>
      <c r="O1764" s="24">
        <f t="shared" si="4"/>
        <v>0</v>
      </c>
      <c r="P1764" s="24"/>
      <c r="Q1764" s="24">
        <f t="shared" si="6"/>
        <v>0</v>
      </c>
      <c r="R1764" s="24">
        <f t="shared" si="7"/>
        <v>0</v>
      </c>
      <c r="S1764" s="24"/>
      <c r="T1764" s="24"/>
    </row>
    <row r="1765">
      <c r="A1765" s="12" t="s">
        <v>1853</v>
      </c>
      <c r="F1765" s="19">
        <f>IFERROR(__xludf.DUMMYFUNCTION("SPLIT(A1761, "" |"")"),1759.0)</f>
        <v>1759</v>
      </c>
      <c r="G1765" s="19">
        <f>IFERROR(__xludf.DUMMYFUNCTION("""COMPUTED_VALUE"""),0.00234)</f>
        <v>0.00234</v>
      </c>
      <c r="H1765" s="19" t="str">
        <f>IFERROR(__xludf.DUMMYFUNCTION("""COMPUTED_VALUE"""),"-")</f>
        <v>-</v>
      </c>
      <c r="I1765" s="19">
        <f>IFERROR(__xludf.DUMMYFUNCTION("""COMPUTED_VALUE"""),0.0022)</f>
        <v>0.0022</v>
      </c>
      <c r="J1765" s="19">
        <f>IFERROR(__xludf.DUMMYFUNCTION("""COMPUTED_VALUE"""),0.0395)</f>
        <v>0.0395</v>
      </c>
      <c r="K1765" s="19" t="str">
        <f>IFERROR(__xludf.DUMMYFUNCTION("""COMPUTED_VALUE"""),"-")</f>
        <v>-</v>
      </c>
      <c r="L1765" s="19" t="str">
        <f>IFERROR(__xludf.DUMMYFUNCTION("""COMPUTED_VALUE"""),"-")</f>
        <v>-</v>
      </c>
      <c r="O1765" s="24">
        <f t="shared" si="4"/>
        <v>0</v>
      </c>
      <c r="P1765" s="24"/>
      <c r="Q1765" s="24">
        <f t="shared" si="6"/>
        <v>0</v>
      </c>
      <c r="R1765" s="24">
        <f t="shared" si="7"/>
        <v>1</v>
      </c>
      <c r="S1765" s="24"/>
      <c r="T1765" s="24"/>
    </row>
    <row r="1766">
      <c r="A1766" s="12" t="s">
        <v>1854</v>
      </c>
      <c r="F1766" s="19">
        <f>IFERROR(__xludf.DUMMYFUNCTION("SPLIT(A1762, "" |"")"),1760.0)</f>
        <v>1760</v>
      </c>
      <c r="G1766" s="19">
        <f>IFERROR(__xludf.DUMMYFUNCTION("""COMPUTED_VALUE"""),0.00239)</f>
        <v>0.00239</v>
      </c>
      <c r="H1766" s="19" t="str">
        <f>IFERROR(__xludf.DUMMYFUNCTION("""COMPUTED_VALUE"""),"-")</f>
        <v>-</v>
      </c>
      <c r="I1766" s="19">
        <f>IFERROR(__xludf.DUMMYFUNCTION("""COMPUTED_VALUE"""),0.00226)</f>
        <v>0.00226</v>
      </c>
      <c r="J1766" s="19">
        <f>IFERROR(__xludf.DUMMYFUNCTION("""COMPUTED_VALUE"""),0.04743)</f>
        <v>0.04743</v>
      </c>
      <c r="K1766" s="19" t="str">
        <f>IFERROR(__xludf.DUMMYFUNCTION("""COMPUTED_VALUE"""),"-")</f>
        <v>-</v>
      </c>
      <c r="L1766" s="19" t="str">
        <f>IFERROR(__xludf.DUMMYFUNCTION("""COMPUTED_VALUE"""),"-")</f>
        <v>-</v>
      </c>
      <c r="O1766" s="24">
        <f t="shared" si="4"/>
        <v>0</v>
      </c>
      <c r="P1766" s="24"/>
      <c r="Q1766" s="24">
        <f t="shared" si="6"/>
        <v>0</v>
      </c>
      <c r="R1766" s="24">
        <f t="shared" si="7"/>
        <v>0</v>
      </c>
      <c r="S1766" s="24"/>
      <c r="T1766" s="24"/>
    </row>
    <row r="1767">
      <c r="A1767" s="12" t="s">
        <v>1855</v>
      </c>
      <c r="F1767" s="19">
        <f>IFERROR(__xludf.DUMMYFUNCTION("SPLIT(A1763, "" |"")"),1761.0)</f>
        <v>1761</v>
      </c>
      <c r="G1767" s="19">
        <f>IFERROR(__xludf.DUMMYFUNCTION("""COMPUTED_VALUE"""),0.00242)</f>
        <v>0.00242</v>
      </c>
      <c r="H1767" s="19" t="str">
        <f>IFERROR(__xludf.DUMMYFUNCTION("""COMPUTED_VALUE"""),"-")</f>
        <v>-</v>
      </c>
      <c r="I1767" s="19">
        <f>IFERROR(__xludf.DUMMYFUNCTION("""COMPUTED_VALUE"""),0.0022)</f>
        <v>0.0022</v>
      </c>
      <c r="J1767" s="19">
        <f>IFERROR(__xludf.DUMMYFUNCTION("""COMPUTED_VALUE"""),0.0475)</f>
        <v>0.0475</v>
      </c>
      <c r="K1767" s="19" t="str">
        <f>IFERROR(__xludf.DUMMYFUNCTION("""COMPUTED_VALUE"""),"-")</f>
        <v>-</v>
      </c>
      <c r="L1767" s="19" t="str">
        <f>IFERROR(__xludf.DUMMYFUNCTION("""COMPUTED_VALUE"""),"-")</f>
        <v>-</v>
      </c>
      <c r="O1767" s="24">
        <f t="shared" si="4"/>
        <v>0</v>
      </c>
      <c r="P1767" s="24"/>
      <c r="Q1767" s="24">
        <f t="shared" si="6"/>
        <v>0</v>
      </c>
      <c r="R1767" s="24">
        <f t="shared" si="7"/>
        <v>0</v>
      </c>
      <c r="S1767" s="24"/>
      <c r="T1767" s="24"/>
    </row>
    <row r="1768">
      <c r="A1768" s="12" t="s">
        <v>1856</v>
      </c>
      <c r="F1768" s="19">
        <f>IFERROR(__xludf.DUMMYFUNCTION("SPLIT(A1764, "" |"")"),1762.0)</f>
        <v>1762</v>
      </c>
      <c r="G1768" s="19">
        <f>IFERROR(__xludf.DUMMYFUNCTION("""COMPUTED_VALUE"""),0.00237)</f>
        <v>0.00237</v>
      </c>
      <c r="H1768" s="19" t="str">
        <f>IFERROR(__xludf.DUMMYFUNCTION("""COMPUTED_VALUE"""),"-")</f>
        <v>-</v>
      </c>
      <c r="I1768" s="19">
        <f>IFERROR(__xludf.DUMMYFUNCTION("""COMPUTED_VALUE"""),0.00228)</f>
        <v>0.00228</v>
      </c>
      <c r="J1768" s="19">
        <f>IFERROR(__xludf.DUMMYFUNCTION("""COMPUTED_VALUE"""),0.04743)</f>
        <v>0.04743</v>
      </c>
      <c r="K1768" s="19" t="str">
        <f>IFERROR(__xludf.DUMMYFUNCTION("""COMPUTED_VALUE"""),"-")</f>
        <v>-</v>
      </c>
      <c r="L1768" s="19" t="str">
        <f>IFERROR(__xludf.DUMMYFUNCTION("""COMPUTED_VALUE"""),"-")</f>
        <v>-</v>
      </c>
      <c r="O1768" s="24">
        <f t="shared" si="4"/>
        <v>0</v>
      </c>
      <c r="P1768" s="24"/>
      <c r="Q1768" s="24">
        <f t="shared" si="6"/>
        <v>0</v>
      </c>
      <c r="R1768" s="24">
        <f t="shared" si="7"/>
        <v>0</v>
      </c>
      <c r="S1768" s="24"/>
      <c r="T1768" s="24"/>
    </row>
    <row r="1769">
      <c r="A1769" s="12" t="s">
        <v>1857</v>
      </c>
      <c r="F1769" s="19">
        <f>IFERROR(__xludf.DUMMYFUNCTION("SPLIT(A1765, "" |"")"),1763.0)</f>
        <v>1763</v>
      </c>
      <c r="G1769" s="19">
        <f>IFERROR(__xludf.DUMMYFUNCTION("""COMPUTED_VALUE"""),0.00224)</f>
        <v>0.00224</v>
      </c>
      <c r="H1769" s="19" t="str">
        <f>IFERROR(__xludf.DUMMYFUNCTION("""COMPUTED_VALUE"""),"-")</f>
        <v>-</v>
      </c>
      <c r="I1769" s="19">
        <f>IFERROR(__xludf.DUMMYFUNCTION("""COMPUTED_VALUE"""),0.00211)</f>
        <v>0.00211</v>
      </c>
      <c r="J1769" s="19">
        <f>IFERROR(__xludf.DUMMYFUNCTION("""COMPUTED_VALUE"""),0.04748)</f>
        <v>0.04748</v>
      </c>
      <c r="K1769" s="19" t="str">
        <f>IFERROR(__xludf.DUMMYFUNCTION("""COMPUTED_VALUE"""),"-")</f>
        <v>-</v>
      </c>
      <c r="L1769" s="19" t="str">
        <f>IFERROR(__xludf.DUMMYFUNCTION("""COMPUTED_VALUE"""),"-")</f>
        <v>-</v>
      </c>
      <c r="O1769" s="24">
        <f t="shared" si="4"/>
        <v>0</v>
      </c>
      <c r="P1769" s="24"/>
      <c r="Q1769" s="24">
        <f t="shared" si="6"/>
        <v>0</v>
      </c>
      <c r="R1769" s="24">
        <f t="shared" si="7"/>
        <v>0</v>
      </c>
      <c r="S1769" s="24"/>
      <c r="T1769" s="24"/>
    </row>
    <row r="1770">
      <c r="A1770" s="12" t="s">
        <v>1858</v>
      </c>
      <c r="F1770" s="19">
        <f>IFERROR(__xludf.DUMMYFUNCTION("SPLIT(A1766, "" |"")"),1764.0)</f>
        <v>1764</v>
      </c>
      <c r="G1770" s="19">
        <f>IFERROR(__xludf.DUMMYFUNCTION("""COMPUTED_VALUE"""),0.00235)</f>
        <v>0.00235</v>
      </c>
      <c r="H1770" s="19" t="str">
        <f>IFERROR(__xludf.DUMMYFUNCTION("""COMPUTED_VALUE"""),"-")</f>
        <v>-</v>
      </c>
      <c r="I1770" s="19">
        <f>IFERROR(__xludf.DUMMYFUNCTION("""COMPUTED_VALUE"""),0.00222)</f>
        <v>0.00222</v>
      </c>
      <c r="J1770" s="19">
        <f>IFERROR(__xludf.DUMMYFUNCTION("""COMPUTED_VALUE"""),0.04748)</f>
        <v>0.04748</v>
      </c>
      <c r="K1770" s="19" t="str">
        <f>IFERROR(__xludf.DUMMYFUNCTION("""COMPUTED_VALUE"""),"-")</f>
        <v>-</v>
      </c>
      <c r="L1770" s="19" t="str">
        <f>IFERROR(__xludf.DUMMYFUNCTION("""COMPUTED_VALUE"""),"-")</f>
        <v>-</v>
      </c>
      <c r="O1770" s="24">
        <f t="shared" si="4"/>
        <v>0</v>
      </c>
      <c r="P1770" s="24"/>
      <c r="Q1770" s="24">
        <f t="shared" si="6"/>
        <v>0</v>
      </c>
      <c r="R1770" s="24">
        <f t="shared" si="7"/>
        <v>0</v>
      </c>
      <c r="S1770" s="24"/>
      <c r="T1770" s="24"/>
    </row>
    <row r="1771">
      <c r="A1771" s="12" t="s">
        <v>1859</v>
      </c>
      <c r="F1771" s="19">
        <f>IFERROR(__xludf.DUMMYFUNCTION("SPLIT(A1767, "" |"")"),1765.0)</f>
        <v>1765</v>
      </c>
      <c r="G1771" s="19">
        <f>IFERROR(__xludf.DUMMYFUNCTION("""COMPUTED_VALUE"""),0.00235)</f>
        <v>0.00235</v>
      </c>
      <c r="H1771" s="19" t="str">
        <f>IFERROR(__xludf.DUMMYFUNCTION("""COMPUTED_VALUE"""),"-")</f>
        <v>-</v>
      </c>
      <c r="I1771" s="19">
        <f>IFERROR(__xludf.DUMMYFUNCTION("""COMPUTED_VALUE"""),0.00222)</f>
        <v>0.00222</v>
      </c>
      <c r="J1771" s="19">
        <f>IFERROR(__xludf.DUMMYFUNCTION("""COMPUTED_VALUE"""),0.04744)</f>
        <v>0.04744</v>
      </c>
      <c r="K1771" s="19" t="str">
        <f>IFERROR(__xludf.DUMMYFUNCTION("""COMPUTED_VALUE"""),"-")</f>
        <v>-</v>
      </c>
      <c r="L1771" s="19" t="str">
        <f>IFERROR(__xludf.DUMMYFUNCTION("""COMPUTED_VALUE"""),"-")</f>
        <v>-</v>
      </c>
      <c r="O1771" s="24">
        <f t="shared" si="4"/>
        <v>0</v>
      </c>
      <c r="P1771" s="24"/>
      <c r="Q1771" s="24">
        <f t="shared" si="6"/>
        <v>0</v>
      </c>
      <c r="R1771" s="24">
        <f t="shared" si="7"/>
        <v>0</v>
      </c>
      <c r="S1771" s="24"/>
      <c r="T1771" s="24"/>
    </row>
    <row r="1772">
      <c r="A1772" s="12" t="s">
        <v>1860</v>
      </c>
      <c r="F1772" s="19">
        <f>IFERROR(__xludf.DUMMYFUNCTION("SPLIT(A1768, "" |"")"),1766.0)</f>
        <v>1766</v>
      </c>
      <c r="G1772" s="19">
        <f>IFERROR(__xludf.DUMMYFUNCTION("""COMPUTED_VALUE"""),0.00223)</f>
        <v>0.00223</v>
      </c>
      <c r="H1772" s="19" t="str">
        <f>IFERROR(__xludf.DUMMYFUNCTION("""COMPUTED_VALUE"""),"-")</f>
        <v>-</v>
      </c>
      <c r="I1772" s="19">
        <f>IFERROR(__xludf.DUMMYFUNCTION("""COMPUTED_VALUE"""),0.00217)</f>
        <v>0.00217</v>
      </c>
      <c r="J1772" s="19">
        <f>IFERROR(__xludf.DUMMYFUNCTION("""COMPUTED_VALUE"""),0.04529)</f>
        <v>0.04529</v>
      </c>
      <c r="K1772" s="19" t="str">
        <f>IFERROR(__xludf.DUMMYFUNCTION("""COMPUTED_VALUE"""),"-")</f>
        <v>-</v>
      </c>
      <c r="L1772" s="19" t="str">
        <f>IFERROR(__xludf.DUMMYFUNCTION("""COMPUTED_VALUE"""),"-")</f>
        <v>-</v>
      </c>
      <c r="O1772" s="24">
        <f t="shared" si="4"/>
        <v>0</v>
      </c>
      <c r="P1772" s="24"/>
      <c r="Q1772" s="24">
        <f t="shared" si="6"/>
        <v>0</v>
      </c>
      <c r="R1772" s="24">
        <f t="shared" si="7"/>
        <v>0</v>
      </c>
      <c r="S1772" s="24"/>
      <c r="T1772" s="24"/>
    </row>
    <row r="1773">
      <c r="A1773" s="12" t="s">
        <v>1861</v>
      </c>
      <c r="F1773" s="19">
        <f>IFERROR(__xludf.DUMMYFUNCTION("SPLIT(A1769, "" |"")"),1767.0)</f>
        <v>1767</v>
      </c>
      <c r="G1773" s="19">
        <f>IFERROR(__xludf.DUMMYFUNCTION("""COMPUTED_VALUE"""),0.0023)</f>
        <v>0.0023</v>
      </c>
      <c r="H1773" s="19" t="str">
        <f>IFERROR(__xludf.DUMMYFUNCTION("""COMPUTED_VALUE"""),"-")</f>
        <v>-</v>
      </c>
      <c r="I1773" s="19">
        <f>IFERROR(__xludf.DUMMYFUNCTION("""COMPUTED_VALUE"""),0.00213)</f>
        <v>0.00213</v>
      </c>
      <c r="J1773" s="19">
        <f>IFERROR(__xludf.DUMMYFUNCTION("""COMPUTED_VALUE"""),0.04495)</f>
        <v>0.04495</v>
      </c>
      <c r="K1773" s="19" t="str">
        <f>IFERROR(__xludf.DUMMYFUNCTION("""COMPUTED_VALUE"""),"-")</f>
        <v>-</v>
      </c>
      <c r="L1773" s="19" t="str">
        <f>IFERROR(__xludf.DUMMYFUNCTION("""COMPUTED_VALUE"""),"-")</f>
        <v>-</v>
      </c>
      <c r="O1773" s="24">
        <f t="shared" si="4"/>
        <v>0</v>
      </c>
      <c r="P1773" s="24"/>
      <c r="Q1773" s="24">
        <f t="shared" si="6"/>
        <v>0</v>
      </c>
      <c r="R1773" s="24">
        <f t="shared" si="7"/>
        <v>0</v>
      </c>
      <c r="S1773" s="24"/>
      <c r="T1773" s="24"/>
    </row>
    <row r="1774">
      <c r="A1774" s="12" t="s">
        <v>1862</v>
      </c>
      <c r="F1774" s="19">
        <f>IFERROR(__xludf.DUMMYFUNCTION("SPLIT(A1770, "" |"")"),1768.0)</f>
        <v>1768</v>
      </c>
      <c r="G1774" s="19">
        <f>IFERROR(__xludf.DUMMYFUNCTION("""COMPUTED_VALUE"""),0.00242)</f>
        <v>0.00242</v>
      </c>
      <c r="H1774" s="19" t="str">
        <f>IFERROR(__xludf.DUMMYFUNCTION("""COMPUTED_VALUE"""),"-")</f>
        <v>-</v>
      </c>
      <c r="I1774" s="19">
        <f>IFERROR(__xludf.DUMMYFUNCTION("""COMPUTED_VALUE"""),0.00227)</f>
        <v>0.00227</v>
      </c>
      <c r="J1774" s="19">
        <f>IFERROR(__xludf.DUMMYFUNCTION("""COMPUTED_VALUE"""),0.04748)</f>
        <v>0.04748</v>
      </c>
      <c r="K1774" s="19" t="str">
        <f>IFERROR(__xludf.DUMMYFUNCTION("""COMPUTED_VALUE"""),"-")</f>
        <v>-</v>
      </c>
      <c r="L1774" s="19" t="str">
        <f>IFERROR(__xludf.DUMMYFUNCTION("""COMPUTED_VALUE"""),"-")</f>
        <v>-</v>
      </c>
      <c r="O1774" s="24">
        <f t="shared" si="4"/>
        <v>0</v>
      </c>
      <c r="P1774" s="24"/>
      <c r="Q1774" s="24">
        <f t="shared" si="6"/>
        <v>0</v>
      </c>
      <c r="R1774" s="24">
        <f t="shared" si="7"/>
        <v>0</v>
      </c>
      <c r="S1774" s="24"/>
      <c r="T1774" s="24"/>
    </row>
    <row r="1775">
      <c r="A1775" s="12" t="s">
        <v>1863</v>
      </c>
      <c r="F1775" s="19">
        <f>IFERROR(__xludf.DUMMYFUNCTION("SPLIT(A1771, "" |"")"),1769.0)</f>
        <v>1769</v>
      </c>
      <c r="G1775" s="19">
        <f>IFERROR(__xludf.DUMMYFUNCTION("""COMPUTED_VALUE"""),0.00232)</f>
        <v>0.00232</v>
      </c>
      <c r="H1775" s="19" t="str">
        <f>IFERROR(__xludf.DUMMYFUNCTION("""COMPUTED_VALUE"""),"-")</f>
        <v>-</v>
      </c>
      <c r="I1775" s="19">
        <f>IFERROR(__xludf.DUMMYFUNCTION("""COMPUTED_VALUE"""),0.00219)</f>
        <v>0.00219</v>
      </c>
      <c r="J1775" s="19">
        <f>IFERROR(__xludf.DUMMYFUNCTION("""COMPUTED_VALUE"""),0.04744)</f>
        <v>0.04744</v>
      </c>
      <c r="K1775" s="19" t="str">
        <f>IFERROR(__xludf.DUMMYFUNCTION("""COMPUTED_VALUE"""),"-")</f>
        <v>-</v>
      </c>
      <c r="L1775" s="19" t="str">
        <f>IFERROR(__xludf.DUMMYFUNCTION("""COMPUTED_VALUE"""),"-")</f>
        <v>-</v>
      </c>
      <c r="O1775" s="24">
        <f t="shared" si="4"/>
        <v>0</v>
      </c>
      <c r="P1775" s="24"/>
      <c r="Q1775" s="24">
        <f t="shared" si="6"/>
        <v>0</v>
      </c>
      <c r="R1775" s="24">
        <f t="shared" si="7"/>
        <v>0</v>
      </c>
      <c r="S1775" s="24"/>
      <c r="T1775" s="24"/>
    </row>
    <row r="1776">
      <c r="A1776" s="12" t="s">
        <v>1864</v>
      </c>
      <c r="F1776" s="19">
        <f>IFERROR(__xludf.DUMMYFUNCTION("SPLIT(A1772, "" |"")"),1770.0)</f>
        <v>1770</v>
      </c>
      <c r="G1776" s="19">
        <f>IFERROR(__xludf.DUMMYFUNCTION("""COMPUTED_VALUE"""),0.00241)</f>
        <v>0.00241</v>
      </c>
      <c r="H1776" s="19" t="str">
        <f>IFERROR(__xludf.DUMMYFUNCTION("""COMPUTED_VALUE"""),"-")</f>
        <v>-</v>
      </c>
      <c r="I1776" s="19">
        <f>IFERROR(__xludf.DUMMYFUNCTION("""COMPUTED_VALUE"""),0.00223)</f>
        <v>0.00223</v>
      </c>
      <c r="J1776" s="19">
        <f>IFERROR(__xludf.DUMMYFUNCTION("""COMPUTED_VALUE"""),0.04587)</f>
        <v>0.04587</v>
      </c>
      <c r="K1776" s="19" t="str">
        <f>IFERROR(__xludf.DUMMYFUNCTION("""COMPUTED_VALUE"""),"-")</f>
        <v>-</v>
      </c>
      <c r="L1776" s="19" t="str">
        <f>IFERROR(__xludf.DUMMYFUNCTION("""COMPUTED_VALUE"""),"-")</f>
        <v>-</v>
      </c>
      <c r="O1776" s="24">
        <f t="shared" si="4"/>
        <v>0</v>
      </c>
      <c r="P1776" s="24"/>
      <c r="Q1776" s="24">
        <f t="shared" si="6"/>
        <v>0</v>
      </c>
      <c r="R1776" s="24">
        <f t="shared" si="7"/>
        <v>0</v>
      </c>
      <c r="S1776" s="24"/>
      <c r="T1776" s="24"/>
    </row>
    <row r="1777">
      <c r="A1777" s="12" t="s">
        <v>1865</v>
      </c>
      <c r="F1777" s="19">
        <f>IFERROR(__xludf.DUMMYFUNCTION("SPLIT(A1773, "" |"")"),1771.0)</f>
        <v>1771</v>
      </c>
      <c r="G1777" s="19">
        <f>IFERROR(__xludf.DUMMYFUNCTION("""COMPUTED_VALUE"""),0.00244)</f>
        <v>0.00244</v>
      </c>
      <c r="H1777" s="19" t="str">
        <f>IFERROR(__xludf.DUMMYFUNCTION("""COMPUTED_VALUE"""),"-")</f>
        <v>-</v>
      </c>
      <c r="I1777" s="19">
        <f>IFERROR(__xludf.DUMMYFUNCTION("""COMPUTED_VALUE"""),0.00223)</f>
        <v>0.00223</v>
      </c>
      <c r="J1777" s="19">
        <f>IFERROR(__xludf.DUMMYFUNCTION("""COMPUTED_VALUE"""),0.04748)</f>
        <v>0.04748</v>
      </c>
      <c r="K1777" s="19" t="str">
        <f>IFERROR(__xludf.DUMMYFUNCTION("""COMPUTED_VALUE"""),"-")</f>
        <v>-</v>
      </c>
      <c r="L1777" s="19" t="str">
        <f>IFERROR(__xludf.DUMMYFUNCTION("""COMPUTED_VALUE"""),"-")</f>
        <v>-</v>
      </c>
      <c r="O1777" s="24">
        <f t="shared" si="4"/>
        <v>0</v>
      </c>
      <c r="P1777" s="24"/>
      <c r="Q1777" s="24">
        <f t="shared" si="6"/>
        <v>0</v>
      </c>
      <c r="R1777" s="24">
        <f t="shared" si="7"/>
        <v>0</v>
      </c>
      <c r="S1777" s="24"/>
      <c r="T1777" s="24"/>
    </row>
    <row r="1778">
      <c r="A1778" s="12" t="s">
        <v>1866</v>
      </c>
      <c r="F1778" s="19">
        <f>IFERROR(__xludf.DUMMYFUNCTION("SPLIT(A1774, "" |"")"),1772.0)</f>
        <v>1772</v>
      </c>
      <c r="G1778" s="19">
        <f>IFERROR(__xludf.DUMMYFUNCTION("""COMPUTED_VALUE"""),0.00235)</f>
        <v>0.00235</v>
      </c>
      <c r="H1778" s="19" t="str">
        <f>IFERROR(__xludf.DUMMYFUNCTION("""COMPUTED_VALUE"""),"-")</f>
        <v>-</v>
      </c>
      <c r="I1778" s="19">
        <f>IFERROR(__xludf.DUMMYFUNCTION("""COMPUTED_VALUE"""),0.00219)</f>
        <v>0.00219</v>
      </c>
      <c r="J1778" s="19">
        <f>IFERROR(__xludf.DUMMYFUNCTION("""COMPUTED_VALUE"""),0.04745)</f>
        <v>0.04745</v>
      </c>
      <c r="K1778" s="19" t="str">
        <f>IFERROR(__xludf.DUMMYFUNCTION("""COMPUTED_VALUE"""),"-")</f>
        <v>-</v>
      </c>
      <c r="L1778" s="19" t="str">
        <f>IFERROR(__xludf.DUMMYFUNCTION("""COMPUTED_VALUE"""),"-")</f>
        <v>-</v>
      </c>
      <c r="O1778" s="24">
        <f t="shared" si="4"/>
        <v>0</v>
      </c>
      <c r="P1778" s="24"/>
      <c r="Q1778" s="24">
        <f t="shared" si="6"/>
        <v>0</v>
      </c>
      <c r="R1778" s="24">
        <f t="shared" si="7"/>
        <v>0</v>
      </c>
      <c r="S1778" s="24"/>
      <c r="T1778" s="24"/>
    </row>
    <row r="1779">
      <c r="A1779" s="12" t="s">
        <v>1867</v>
      </c>
      <c r="F1779" s="19">
        <f>IFERROR(__xludf.DUMMYFUNCTION("SPLIT(A1775, "" |"")"),1773.0)</f>
        <v>1773</v>
      </c>
      <c r="G1779" s="19">
        <f>IFERROR(__xludf.DUMMYFUNCTION("""COMPUTED_VALUE"""),0.00234)</f>
        <v>0.00234</v>
      </c>
      <c r="H1779" s="19" t="str">
        <f>IFERROR(__xludf.DUMMYFUNCTION("""COMPUTED_VALUE"""),"-")</f>
        <v>-</v>
      </c>
      <c r="I1779" s="19">
        <f>IFERROR(__xludf.DUMMYFUNCTION("""COMPUTED_VALUE"""),0.00213)</f>
        <v>0.00213</v>
      </c>
      <c r="J1779" s="19">
        <f>IFERROR(__xludf.DUMMYFUNCTION("""COMPUTED_VALUE"""),0.04742)</f>
        <v>0.04742</v>
      </c>
      <c r="K1779" s="19" t="str">
        <f>IFERROR(__xludf.DUMMYFUNCTION("""COMPUTED_VALUE"""),"-")</f>
        <v>-</v>
      </c>
      <c r="L1779" s="19" t="str">
        <f>IFERROR(__xludf.DUMMYFUNCTION("""COMPUTED_VALUE"""),"-")</f>
        <v>-</v>
      </c>
      <c r="O1779" s="24">
        <f t="shared" si="4"/>
        <v>0</v>
      </c>
      <c r="P1779" s="24"/>
      <c r="Q1779" s="24">
        <f t="shared" si="6"/>
        <v>0</v>
      </c>
      <c r="R1779" s="24">
        <f t="shared" si="7"/>
        <v>0</v>
      </c>
      <c r="S1779" s="24"/>
      <c r="T1779" s="24"/>
    </row>
    <row r="1780">
      <c r="A1780" s="12" t="s">
        <v>1868</v>
      </c>
      <c r="F1780" s="19">
        <f>IFERROR(__xludf.DUMMYFUNCTION("SPLIT(A1776, "" |"")"),1774.0)</f>
        <v>1774</v>
      </c>
      <c r="G1780" s="19">
        <f>IFERROR(__xludf.DUMMYFUNCTION("""COMPUTED_VALUE"""),0.0024)</f>
        <v>0.0024</v>
      </c>
      <c r="H1780" s="19" t="str">
        <f>IFERROR(__xludf.DUMMYFUNCTION("""COMPUTED_VALUE"""),"-")</f>
        <v>-</v>
      </c>
      <c r="I1780" s="19">
        <f>IFERROR(__xludf.DUMMYFUNCTION("""COMPUTED_VALUE"""),0.00226)</f>
        <v>0.00226</v>
      </c>
      <c r="J1780" s="19">
        <f>IFERROR(__xludf.DUMMYFUNCTION("""COMPUTED_VALUE"""),0.04751)</f>
        <v>0.04751</v>
      </c>
      <c r="K1780" s="19" t="str">
        <f>IFERROR(__xludf.DUMMYFUNCTION("""COMPUTED_VALUE"""),"-")</f>
        <v>-</v>
      </c>
      <c r="L1780" s="19" t="str">
        <f>IFERROR(__xludf.DUMMYFUNCTION("""COMPUTED_VALUE"""),"-")</f>
        <v>-</v>
      </c>
      <c r="O1780" s="24">
        <f t="shared" si="4"/>
        <v>0</v>
      </c>
      <c r="P1780" s="24"/>
      <c r="Q1780" s="24">
        <f t="shared" si="6"/>
        <v>0</v>
      </c>
      <c r="R1780" s="24">
        <f t="shared" si="7"/>
        <v>0</v>
      </c>
      <c r="S1780" s="24"/>
      <c r="T1780" s="24"/>
    </row>
    <row r="1781">
      <c r="A1781" s="12" t="s">
        <v>1869</v>
      </c>
      <c r="F1781" s="19">
        <f>IFERROR(__xludf.DUMMYFUNCTION("SPLIT(A1777, "" |"")"),1775.0)</f>
        <v>1775</v>
      </c>
      <c r="G1781" s="19">
        <f>IFERROR(__xludf.DUMMYFUNCTION("""COMPUTED_VALUE"""),0.00242)</f>
        <v>0.00242</v>
      </c>
      <c r="H1781" s="19" t="str">
        <f>IFERROR(__xludf.DUMMYFUNCTION("""COMPUTED_VALUE"""),"-")</f>
        <v>-</v>
      </c>
      <c r="I1781" s="19">
        <f>IFERROR(__xludf.DUMMYFUNCTION("""COMPUTED_VALUE"""),0.00229)</f>
        <v>0.00229</v>
      </c>
      <c r="J1781" s="19">
        <f>IFERROR(__xludf.DUMMYFUNCTION("""COMPUTED_VALUE"""),0.04408)</f>
        <v>0.04408</v>
      </c>
      <c r="K1781" s="19" t="str">
        <f>IFERROR(__xludf.DUMMYFUNCTION("""COMPUTED_VALUE"""),"-")</f>
        <v>-</v>
      </c>
      <c r="L1781" s="19" t="str">
        <f>IFERROR(__xludf.DUMMYFUNCTION("""COMPUTED_VALUE"""),"-")</f>
        <v>-</v>
      </c>
      <c r="O1781" s="24">
        <f t="shared" si="4"/>
        <v>0</v>
      </c>
      <c r="P1781" s="24"/>
      <c r="Q1781" s="24">
        <f t="shared" si="6"/>
        <v>0</v>
      </c>
      <c r="R1781" s="24">
        <f t="shared" si="7"/>
        <v>1</v>
      </c>
      <c r="S1781" s="24"/>
      <c r="T1781" s="24"/>
    </row>
    <row r="1782">
      <c r="A1782" s="12" t="s">
        <v>1870</v>
      </c>
      <c r="F1782" s="19">
        <f>IFERROR(__xludf.DUMMYFUNCTION("SPLIT(A1778, "" |"")"),1776.0)</f>
        <v>1776</v>
      </c>
      <c r="G1782" s="19">
        <f>IFERROR(__xludf.DUMMYFUNCTION("""COMPUTED_VALUE"""),0.00237)</f>
        <v>0.00237</v>
      </c>
      <c r="H1782" s="19" t="str">
        <f>IFERROR(__xludf.DUMMYFUNCTION("""COMPUTED_VALUE"""),"-")</f>
        <v>-</v>
      </c>
      <c r="I1782" s="19">
        <f>IFERROR(__xludf.DUMMYFUNCTION("""COMPUTED_VALUE"""),0.00224)</f>
        <v>0.00224</v>
      </c>
      <c r="J1782" s="19">
        <f>IFERROR(__xludf.DUMMYFUNCTION("""COMPUTED_VALUE"""),0.04553)</f>
        <v>0.04553</v>
      </c>
      <c r="K1782" s="19" t="str">
        <f>IFERROR(__xludf.DUMMYFUNCTION("""COMPUTED_VALUE"""),"-")</f>
        <v>-</v>
      </c>
      <c r="L1782" s="19" t="str">
        <f>IFERROR(__xludf.DUMMYFUNCTION("""COMPUTED_VALUE"""),"-")</f>
        <v>-</v>
      </c>
      <c r="O1782" s="24">
        <f t="shared" si="4"/>
        <v>0</v>
      </c>
      <c r="P1782" s="24"/>
      <c r="Q1782" s="24">
        <f t="shared" si="6"/>
        <v>0</v>
      </c>
      <c r="R1782" s="24">
        <f t="shared" si="7"/>
        <v>0</v>
      </c>
      <c r="S1782" s="24"/>
      <c r="T1782" s="24"/>
    </row>
    <row r="1783">
      <c r="A1783" s="12" t="s">
        <v>1871</v>
      </c>
      <c r="F1783" s="19">
        <f>IFERROR(__xludf.DUMMYFUNCTION("SPLIT(A1779, "" |"")"),1777.0)</f>
        <v>1777</v>
      </c>
      <c r="G1783" s="19">
        <f>IFERROR(__xludf.DUMMYFUNCTION("""COMPUTED_VALUE"""),0.00239)</f>
        <v>0.00239</v>
      </c>
      <c r="H1783" s="19" t="str">
        <f>IFERROR(__xludf.DUMMYFUNCTION("""COMPUTED_VALUE"""),"-")</f>
        <v>-</v>
      </c>
      <c r="I1783" s="19">
        <f>IFERROR(__xludf.DUMMYFUNCTION("""COMPUTED_VALUE"""),0.00221)</f>
        <v>0.00221</v>
      </c>
      <c r="J1783" s="19">
        <f>IFERROR(__xludf.DUMMYFUNCTION("""COMPUTED_VALUE"""),0.04733)</f>
        <v>0.04733</v>
      </c>
      <c r="K1783" s="19" t="str">
        <f>IFERROR(__xludf.DUMMYFUNCTION("""COMPUTED_VALUE"""),"-")</f>
        <v>-</v>
      </c>
      <c r="L1783" s="19" t="str">
        <f>IFERROR(__xludf.DUMMYFUNCTION("""COMPUTED_VALUE"""),"-")</f>
        <v>-</v>
      </c>
      <c r="O1783" s="24">
        <f t="shared" si="4"/>
        <v>0</v>
      </c>
      <c r="P1783" s="24"/>
      <c r="Q1783" s="24">
        <f t="shared" si="6"/>
        <v>0</v>
      </c>
      <c r="R1783" s="24">
        <f t="shared" si="7"/>
        <v>0</v>
      </c>
      <c r="S1783" s="24"/>
      <c r="T1783" s="24"/>
    </row>
    <row r="1784">
      <c r="A1784" s="12" t="s">
        <v>1872</v>
      </c>
      <c r="F1784" s="19">
        <f>IFERROR(__xludf.DUMMYFUNCTION("SPLIT(A1780, "" |"")"),1778.0)</f>
        <v>1778</v>
      </c>
      <c r="G1784" s="19">
        <f>IFERROR(__xludf.DUMMYFUNCTION("""COMPUTED_VALUE"""),0.00243)</f>
        <v>0.00243</v>
      </c>
      <c r="H1784" s="19" t="str">
        <f>IFERROR(__xludf.DUMMYFUNCTION("""COMPUTED_VALUE"""),"-")</f>
        <v>-</v>
      </c>
      <c r="I1784" s="19">
        <f>IFERROR(__xludf.DUMMYFUNCTION("""COMPUTED_VALUE"""),0.00223)</f>
        <v>0.00223</v>
      </c>
      <c r="J1784" s="19">
        <f>IFERROR(__xludf.DUMMYFUNCTION("""COMPUTED_VALUE"""),0.0474)</f>
        <v>0.0474</v>
      </c>
      <c r="K1784" s="19" t="str">
        <f>IFERROR(__xludf.DUMMYFUNCTION("""COMPUTED_VALUE"""),"-")</f>
        <v>-</v>
      </c>
      <c r="L1784" s="19" t="str">
        <f>IFERROR(__xludf.DUMMYFUNCTION("""COMPUTED_VALUE"""),"-")</f>
        <v>-</v>
      </c>
      <c r="O1784" s="24">
        <f t="shared" si="4"/>
        <v>0</v>
      </c>
      <c r="P1784" s="24"/>
      <c r="Q1784" s="24">
        <f t="shared" si="6"/>
        <v>0</v>
      </c>
      <c r="R1784" s="24">
        <f t="shared" si="7"/>
        <v>0</v>
      </c>
      <c r="S1784" s="24"/>
      <c r="T1784" s="24"/>
    </row>
    <row r="1785">
      <c r="A1785" s="12" t="s">
        <v>1873</v>
      </c>
      <c r="F1785" s="19">
        <f>IFERROR(__xludf.DUMMYFUNCTION("SPLIT(A1781, "" |"")"),1779.0)</f>
        <v>1779</v>
      </c>
      <c r="G1785" s="19">
        <f>IFERROR(__xludf.DUMMYFUNCTION("""COMPUTED_VALUE"""),0.0024)</f>
        <v>0.0024</v>
      </c>
      <c r="H1785" s="19" t="str">
        <f>IFERROR(__xludf.DUMMYFUNCTION("""COMPUTED_VALUE"""),"-")</f>
        <v>-</v>
      </c>
      <c r="I1785" s="19">
        <f>IFERROR(__xludf.DUMMYFUNCTION("""COMPUTED_VALUE"""),0.00223)</f>
        <v>0.00223</v>
      </c>
      <c r="J1785" s="19">
        <f>IFERROR(__xludf.DUMMYFUNCTION("""COMPUTED_VALUE"""),0.04743)</f>
        <v>0.04743</v>
      </c>
      <c r="K1785" s="19" t="str">
        <f>IFERROR(__xludf.DUMMYFUNCTION("""COMPUTED_VALUE"""),"-")</f>
        <v>-</v>
      </c>
      <c r="L1785" s="19" t="str">
        <f>IFERROR(__xludf.DUMMYFUNCTION("""COMPUTED_VALUE"""),"-")</f>
        <v>-</v>
      </c>
      <c r="O1785" s="24">
        <f t="shared" si="4"/>
        <v>0</v>
      </c>
      <c r="P1785" s="24"/>
      <c r="Q1785" s="24">
        <f t="shared" si="6"/>
        <v>0</v>
      </c>
      <c r="R1785" s="24">
        <f t="shared" si="7"/>
        <v>0</v>
      </c>
      <c r="S1785" s="24"/>
      <c r="T1785" s="24"/>
    </row>
    <row r="1786">
      <c r="A1786" s="12" t="s">
        <v>1874</v>
      </c>
      <c r="F1786" s="19">
        <f>IFERROR(__xludf.DUMMYFUNCTION("SPLIT(A1782, "" |"")"),1780.0)</f>
        <v>1780</v>
      </c>
      <c r="G1786" s="19">
        <f>IFERROR(__xludf.DUMMYFUNCTION("""COMPUTED_VALUE"""),0.00235)</f>
        <v>0.00235</v>
      </c>
      <c r="H1786" s="19" t="str">
        <f>IFERROR(__xludf.DUMMYFUNCTION("""COMPUTED_VALUE"""),"-")</f>
        <v>-</v>
      </c>
      <c r="I1786" s="19">
        <f>IFERROR(__xludf.DUMMYFUNCTION("""COMPUTED_VALUE"""),0.00222)</f>
        <v>0.00222</v>
      </c>
      <c r="J1786" s="19">
        <f>IFERROR(__xludf.DUMMYFUNCTION("""COMPUTED_VALUE"""),0.04317)</f>
        <v>0.04317</v>
      </c>
      <c r="K1786" s="19" t="str">
        <f>IFERROR(__xludf.DUMMYFUNCTION("""COMPUTED_VALUE"""),"-")</f>
        <v>-</v>
      </c>
      <c r="L1786" s="19" t="str">
        <f>IFERROR(__xludf.DUMMYFUNCTION("""COMPUTED_VALUE"""),"-")</f>
        <v>-</v>
      </c>
      <c r="O1786" s="24">
        <f t="shared" si="4"/>
        <v>0</v>
      </c>
      <c r="P1786" s="24"/>
      <c r="Q1786" s="24">
        <f t="shared" si="6"/>
        <v>0</v>
      </c>
      <c r="R1786" s="24">
        <f t="shared" si="7"/>
        <v>1</v>
      </c>
      <c r="S1786" s="24"/>
      <c r="T1786" s="24"/>
    </row>
    <row r="1787">
      <c r="A1787" s="12" t="s">
        <v>1875</v>
      </c>
      <c r="F1787" s="19">
        <f>IFERROR(__xludf.DUMMYFUNCTION("SPLIT(A1783, "" |"")"),1781.0)</f>
        <v>1781</v>
      </c>
      <c r="G1787" s="19">
        <f>IFERROR(__xludf.DUMMYFUNCTION("""COMPUTED_VALUE"""),0.00232)</f>
        <v>0.00232</v>
      </c>
      <c r="H1787" s="19" t="str">
        <f>IFERROR(__xludf.DUMMYFUNCTION("""COMPUTED_VALUE"""),"-")</f>
        <v>-</v>
      </c>
      <c r="I1787" s="19">
        <f>IFERROR(__xludf.DUMMYFUNCTION("""COMPUTED_VALUE"""),0.00227)</f>
        <v>0.00227</v>
      </c>
      <c r="J1787" s="19">
        <f>IFERROR(__xludf.DUMMYFUNCTION("""COMPUTED_VALUE"""),0.04745)</f>
        <v>0.04745</v>
      </c>
      <c r="K1787" s="19" t="str">
        <f>IFERROR(__xludf.DUMMYFUNCTION("""COMPUTED_VALUE"""),"-")</f>
        <v>-</v>
      </c>
      <c r="L1787" s="19" t="str">
        <f>IFERROR(__xludf.DUMMYFUNCTION("""COMPUTED_VALUE"""),"-")</f>
        <v>-</v>
      </c>
      <c r="O1787" s="24">
        <f t="shared" si="4"/>
        <v>0</v>
      </c>
      <c r="P1787" s="24"/>
      <c r="Q1787" s="24">
        <f t="shared" si="6"/>
        <v>0</v>
      </c>
      <c r="R1787" s="24">
        <f t="shared" si="7"/>
        <v>0</v>
      </c>
      <c r="S1787" s="24"/>
      <c r="T1787" s="24"/>
    </row>
    <row r="1788">
      <c r="A1788" s="12" t="s">
        <v>1876</v>
      </c>
      <c r="F1788" s="19">
        <f>IFERROR(__xludf.DUMMYFUNCTION("SPLIT(A1784, "" |"")"),1782.0)</f>
        <v>1782</v>
      </c>
      <c r="G1788" s="19">
        <f>IFERROR(__xludf.DUMMYFUNCTION("""COMPUTED_VALUE"""),0.00235)</f>
        <v>0.00235</v>
      </c>
      <c r="H1788" s="19" t="str">
        <f>IFERROR(__xludf.DUMMYFUNCTION("""COMPUTED_VALUE"""),"-")</f>
        <v>-</v>
      </c>
      <c r="I1788" s="19">
        <f>IFERROR(__xludf.DUMMYFUNCTION("""COMPUTED_VALUE"""),0.00219)</f>
        <v>0.00219</v>
      </c>
      <c r="J1788" s="19">
        <f>IFERROR(__xludf.DUMMYFUNCTION("""COMPUTED_VALUE"""),0.04745)</f>
        <v>0.04745</v>
      </c>
      <c r="K1788" s="19" t="str">
        <f>IFERROR(__xludf.DUMMYFUNCTION("""COMPUTED_VALUE"""),"-")</f>
        <v>-</v>
      </c>
      <c r="L1788" s="19" t="str">
        <f>IFERROR(__xludf.DUMMYFUNCTION("""COMPUTED_VALUE"""),"-")</f>
        <v>-</v>
      </c>
      <c r="O1788" s="24">
        <f t="shared" si="4"/>
        <v>0</v>
      </c>
      <c r="P1788" s="24"/>
      <c r="Q1788" s="24">
        <f t="shared" si="6"/>
        <v>0</v>
      </c>
      <c r="R1788" s="24">
        <f t="shared" si="7"/>
        <v>0</v>
      </c>
      <c r="S1788" s="24"/>
      <c r="T1788" s="24"/>
    </row>
    <row r="1789">
      <c r="A1789" s="12" t="s">
        <v>1877</v>
      </c>
      <c r="F1789" s="19">
        <f>IFERROR(__xludf.DUMMYFUNCTION("SPLIT(A1785, "" |"")"),1783.0)</f>
        <v>1783</v>
      </c>
      <c r="G1789" s="19">
        <f>IFERROR(__xludf.DUMMYFUNCTION("""COMPUTED_VALUE"""),0.00232)</f>
        <v>0.00232</v>
      </c>
      <c r="H1789" s="19" t="str">
        <f>IFERROR(__xludf.DUMMYFUNCTION("""COMPUTED_VALUE"""),"-")</f>
        <v>-</v>
      </c>
      <c r="I1789" s="19">
        <f>IFERROR(__xludf.DUMMYFUNCTION("""COMPUTED_VALUE"""),0.00223)</f>
        <v>0.00223</v>
      </c>
      <c r="J1789" s="19">
        <f>IFERROR(__xludf.DUMMYFUNCTION("""COMPUTED_VALUE"""),0.04724)</f>
        <v>0.04724</v>
      </c>
      <c r="K1789" s="19" t="str">
        <f>IFERROR(__xludf.DUMMYFUNCTION("""COMPUTED_VALUE"""),"-")</f>
        <v>-</v>
      </c>
      <c r="L1789" s="19" t="str">
        <f>IFERROR(__xludf.DUMMYFUNCTION("""COMPUTED_VALUE"""),"-")</f>
        <v>-</v>
      </c>
      <c r="O1789" s="24">
        <f t="shared" si="4"/>
        <v>0</v>
      </c>
      <c r="P1789" s="24"/>
      <c r="Q1789" s="24">
        <f t="shared" si="6"/>
        <v>0</v>
      </c>
      <c r="R1789" s="24">
        <f t="shared" si="7"/>
        <v>0</v>
      </c>
      <c r="S1789" s="24"/>
      <c r="T1789" s="24"/>
    </row>
    <row r="1790">
      <c r="A1790" s="12" t="s">
        <v>1878</v>
      </c>
      <c r="F1790" s="19">
        <f>IFERROR(__xludf.DUMMYFUNCTION("SPLIT(A1786, "" |"")"),1784.0)</f>
        <v>1784</v>
      </c>
      <c r="G1790" s="19">
        <f>IFERROR(__xludf.DUMMYFUNCTION("""COMPUTED_VALUE"""),0.00249)</f>
        <v>0.00249</v>
      </c>
      <c r="H1790" s="19" t="str">
        <f>IFERROR(__xludf.DUMMYFUNCTION("""COMPUTED_VALUE"""),"-")</f>
        <v>-</v>
      </c>
      <c r="I1790" s="19">
        <f>IFERROR(__xludf.DUMMYFUNCTION("""COMPUTED_VALUE"""),0.00225)</f>
        <v>0.00225</v>
      </c>
      <c r="J1790" s="19">
        <f>IFERROR(__xludf.DUMMYFUNCTION("""COMPUTED_VALUE"""),0.04754)</f>
        <v>0.04754</v>
      </c>
      <c r="K1790" s="19" t="str">
        <f>IFERROR(__xludf.DUMMYFUNCTION("""COMPUTED_VALUE"""),"-")</f>
        <v>-</v>
      </c>
      <c r="L1790" s="19" t="str">
        <f>IFERROR(__xludf.DUMMYFUNCTION("""COMPUTED_VALUE"""),"-")</f>
        <v>-</v>
      </c>
      <c r="O1790" s="24">
        <f t="shared" si="4"/>
        <v>0</v>
      </c>
      <c r="P1790" s="24"/>
      <c r="Q1790" s="24">
        <f t="shared" si="6"/>
        <v>0</v>
      </c>
      <c r="R1790" s="24">
        <f t="shared" si="7"/>
        <v>0</v>
      </c>
      <c r="S1790" s="24"/>
      <c r="T1790" s="24"/>
    </row>
    <row r="1791">
      <c r="A1791" s="12" t="s">
        <v>1879</v>
      </c>
      <c r="F1791" s="19">
        <f>IFERROR(__xludf.DUMMYFUNCTION("SPLIT(A1787, "" |"")"),1785.0)</f>
        <v>1785</v>
      </c>
      <c r="G1791" s="19">
        <f>IFERROR(__xludf.DUMMYFUNCTION("""COMPUTED_VALUE"""),0.00243)</f>
        <v>0.00243</v>
      </c>
      <c r="H1791" s="19" t="str">
        <f>IFERROR(__xludf.DUMMYFUNCTION("""COMPUTED_VALUE"""),"-")</f>
        <v>-</v>
      </c>
      <c r="I1791" s="19">
        <f>IFERROR(__xludf.DUMMYFUNCTION("""COMPUTED_VALUE"""),0.00223)</f>
        <v>0.00223</v>
      </c>
      <c r="J1791" s="19">
        <f>IFERROR(__xludf.DUMMYFUNCTION("""COMPUTED_VALUE"""),0.04224)</f>
        <v>0.04224</v>
      </c>
      <c r="K1791" s="19" t="str">
        <f>IFERROR(__xludf.DUMMYFUNCTION("""COMPUTED_VALUE"""),"-")</f>
        <v>-</v>
      </c>
      <c r="L1791" s="19" t="str">
        <f>IFERROR(__xludf.DUMMYFUNCTION("""COMPUTED_VALUE"""),"-")</f>
        <v>-</v>
      </c>
      <c r="O1791" s="24">
        <f t="shared" si="4"/>
        <v>0</v>
      </c>
      <c r="P1791" s="24"/>
      <c r="Q1791" s="24">
        <f t="shared" si="6"/>
        <v>0</v>
      </c>
      <c r="R1791" s="24">
        <f t="shared" si="7"/>
        <v>1</v>
      </c>
      <c r="S1791" s="24"/>
      <c r="T1791" s="24"/>
    </row>
    <row r="1792">
      <c r="A1792" s="12" t="s">
        <v>1880</v>
      </c>
      <c r="F1792" s="19">
        <f>IFERROR(__xludf.DUMMYFUNCTION("SPLIT(A1788, "" |"")"),1786.0)</f>
        <v>1786</v>
      </c>
      <c r="G1792" s="19">
        <f>IFERROR(__xludf.DUMMYFUNCTION("""COMPUTED_VALUE"""),0.00224)</f>
        <v>0.00224</v>
      </c>
      <c r="H1792" s="19" t="str">
        <f>IFERROR(__xludf.DUMMYFUNCTION("""COMPUTED_VALUE"""),"-")</f>
        <v>-</v>
      </c>
      <c r="I1792" s="19">
        <f>IFERROR(__xludf.DUMMYFUNCTION("""COMPUTED_VALUE"""),0.0021)</f>
        <v>0.0021</v>
      </c>
      <c r="J1792" s="19">
        <f>IFERROR(__xludf.DUMMYFUNCTION("""COMPUTED_VALUE"""),0.04736)</f>
        <v>0.04736</v>
      </c>
      <c r="K1792" s="19" t="str">
        <f>IFERROR(__xludf.DUMMYFUNCTION("""COMPUTED_VALUE"""),"-")</f>
        <v>-</v>
      </c>
      <c r="L1792" s="19" t="str">
        <f>IFERROR(__xludf.DUMMYFUNCTION("""COMPUTED_VALUE"""),"-")</f>
        <v>-</v>
      </c>
      <c r="O1792" s="24">
        <f t="shared" si="4"/>
        <v>0</v>
      </c>
      <c r="P1792" s="24"/>
      <c r="Q1792" s="24">
        <f t="shared" si="6"/>
        <v>0</v>
      </c>
      <c r="R1792" s="24">
        <f t="shared" si="7"/>
        <v>0</v>
      </c>
      <c r="S1792" s="24"/>
      <c r="T1792" s="24"/>
    </row>
    <row r="1793">
      <c r="A1793" s="12" t="s">
        <v>1881</v>
      </c>
      <c r="F1793" s="19">
        <f>IFERROR(__xludf.DUMMYFUNCTION("SPLIT(A1789, "" |"")"),1787.0)</f>
        <v>1787</v>
      </c>
      <c r="G1793" s="19">
        <f>IFERROR(__xludf.DUMMYFUNCTION("""COMPUTED_VALUE"""),0.00225)</f>
        <v>0.00225</v>
      </c>
      <c r="H1793" s="19" t="str">
        <f>IFERROR(__xludf.DUMMYFUNCTION("""COMPUTED_VALUE"""),"-")</f>
        <v>-</v>
      </c>
      <c r="I1793" s="19">
        <f>IFERROR(__xludf.DUMMYFUNCTION("""COMPUTED_VALUE"""),0.00211)</f>
        <v>0.00211</v>
      </c>
      <c r="J1793" s="19">
        <f>IFERROR(__xludf.DUMMYFUNCTION("""COMPUTED_VALUE"""),0.04745)</f>
        <v>0.04745</v>
      </c>
      <c r="K1793" s="19" t="str">
        <f>IFERROR(__xludf.DUMMYFUNCTION("""COMPUTED_VALUE"""),"-")</f>
        <v>-</v>
      </c>
      <c r="L1793" s="19" t="str">
        <f>IFERROR(__xludf.DUMMYFUNCTION("""COMPUTED_VALUE"""),"-")</f>
        <v>-</v>
      </c>
      <c r="O1793" s="24">
        <f t="shared" si="4"/>
        <v>0</v>
      </c>
      <c r="P1793" s="24"/>
      <c r="Q1793" s="24">
        <f t="shared" si="6"/>
        <v>0</v>
      </c>
      <c r="R1793" s="24">
        <f t="shared" si="7"/>
        <v>0</v>
      </c>
      <c r="S1793" s="24"/>
      <c r="T1793" s="24"/>
    </row>
    <row r="1794">
      <c r="A1794" s="12" t="s">
        <v>1882</v>
      </c>
      <c r="F1794" s="19">
        <f>IFERROR(__xludf.DUMMYFUNCTION("SPLIT(A1790, "" |"")"),1788.0)</f>
        <v>1788</v>
      </c>
      <c r="G1794" s="19">
        <f>IFERROR(__xludf.DUMMYFUNCTION("""COMPUTED_VALUE"""),0.00239)</f>
        <v>0.00239</v>
      </c>
      <c r="H1794" s="19" t="str">
        <f>IFERROR(__xludf.DUMMYFUNCTION("""COMPUTED_VALUE"""),"-")</f>
        <v>-</v>
      </c>
      <c r="I1794" s="19">
        <f>IFERROR(__xludf.DUMMYFUNCTION("""COMPUTED_VALUE"""),0.00225)</f>
        <v>0.00225</v>
      </c>
      <c r="J1794" s="19">
        <f>IFERROR(__xludf.DUMMYFUNCTION("""COMPUTED_VALUE"""),0.04741)</f>
        <v>0.04741</v>
      </c>
      <c r="K1794" s="19" t="str">
        <f>IFERROR(__xludf.DUMMYFUNCTION("""COMPUTED_VALUE"""),"-")</f>
        <v>-</v>
      </c>
      <c r="L1794" s="19" t="str">
        <f>IFERROR(__xludf.DUMMYFUNCTION("""COMPUTED_VALUE"""),"-")</f>
        <v>-</v>
      </c>
      <c r="O1794" s="24">
        <f t="shared" si="4"/>
        <v>0</v>
      </c>
      <c r="P1794" s="24"/>
      <c r="Q1794" s="24">
        <f t="shared" si="6"/>
        <v>0</v>
      </c>
      <c r="R1794" s="24">
        <f t="shared" si="7"/>
        <v>0</v>
      </c>
      <c r="S1794" s="24"/>
      <c r="T1794" s="24"/>
    </row>
    <row r="1795">
      <c r="A1795" s="12" t="s">
        <v>1883</v>
      </c>
      <c r="F1795" s="19">
        <f>IFERROR(__xludf.DUMMYFUNCTION("SPLIT(A1791, "" |"")"),1789.0)</f>
        <v>1789</v>
      </c>
      <c r="G1795" s="19">
        <f>IFERROR(__xludf.DUMMYFUNCTION("""COMPUTED_VALUE"""),0.00232)</f>
        <v>0.00232</v>
      </c>
      <c r="H1795" s="19" t="str">
        <f>IFERROR(__xludf.DUMMYFUNCTION("""COMPUTED_VALUE"""),"-")</f>
        <v>-</v>
      </c>
      <c r="I1795" s="19">
        <f>IFERROR(__xludf.DUMMYFUNCTION("""COMPUTED_VALUE"""),0.00228)</f>
        <v>0.00228</v>
      </c>
      <c r="J1795" s="19">
        <f>IFERROR(__xludf.DUMMYFUNCTION("""COMPUTED_VALUE"""),0.04449)</f>
        <v>0.04449</v>
      </c>
      <c r="K1795" s="19" t="str">
        <f>IFERROR(__xludf.DUMMYFUNCTION("""COMPUTED_VALUE"""),"-")</f>
        <v>-</v>
      </c>
      <c r="L1795" s="19" t="str">
        <f>IFERROR(__xludf.DUMMYFUNCTION("""COMPUTED_VALUE"""),"-")</f>
        <v>-</v>
      </c>
      <c r="O1795" s="24">
        <f t="shared" si="4"/>
        <v>0</v>
      </c>
      <c r="P1795" s="24"/>
      <c r="Q1795" s="24">
        <f t="shared" si="6"/>
        <v>0</v>
      </c>
      <c r="R1795" s="24">
        <f t="shared" si="7"/>
        <v>1</v>
      </c>
      <c r="S1795" s="24"/>
      <c r="T1795" s="24"/>
    </row>
    <row r="1796">
      <c r="A1796" s="12" t="s">
        <v>1884</v>
      </c>
      <c r="F1796" s="19">
        <f>IFERROR(__xludf.DUMMYFUNCTION("SPLIT(A1792, "" |"")"),1790.0)</f>
        <v>1790</v>
      </c>
      <c r="G1796" s="19">
        <f>IFERROR(__xludf.DUMMYFUNCTION("""COMPUTED_VALUE"""),0.00237)</f>
        <v>0.00237</v>
      </c>
      <c r="H1796" s="19" t="str">
        <f>IFERROR(__xludf.DUMMYFUNCTION("""COMPUTED_VALUE"""),"-")</f>
        <v>-</v>
      </c>
      <c r="I1796" s="19">
        <f>IFERROR(__xludf.DUMMYFUNCTION("""COMPUTED_VALUE"""),0.00217)</f>
        <v>0.00217</v>
      </c>
      <c r="J1796" s="19">
        <f>IFERROR(__xludf.DUMMYFUNCTION("""COMPUTED_VALUE"""),0.04746)</f>
        <v>0.04746</v>
      </c>
      <c r="K1796" s="19" t="str">
        <f>IFERROR(__xludf.DUMMYFUNCTION("""COMPUTED_VALUE"""),"-")</f>
        <v>-</v>
      </c>
      <c r="L1796" s="19" t="str">
        <f>IFERROR(__xludf.DUMMYFUNCTION("""COMPUTED_VALUE"""),"-")</f>
        <v>-</v>
      </c>
      <c r="O1796" s="24">
        <f t="shared" si="4"/>
        <v>0</v>
      </c>
      <c r="P1796" s="24"/>
      <c r="Q1796" s="24">
        <f t="shared" si="6"/>
        <v>0</v>
      </c>
      <c r="R1796" s="24">
        <f t="shared" si="7"/>
        <v>0</v>
      </c>
      <c r="S1796" s="24"/>
      <c r="T1796" s="24"/>
    </row>
    <row r="1797">
      <c r="A1797" s="12" t="s">
        <v>1885</v>
      </c>
      <c r="F1797" s="19">
        <f>IFERROR(__xludf.DUMMYFUNCTION("SPLIT(A1793, "" |"")"),1791.0)</f>
        <v>1791</v>
      </c>
      <c r="G1797" s="19">
        <f>IFERROR(__xludf.DUMMYFUNCTION("""COMPUTED_VALUE"""),0.00231)</f>
        <v>0.00231</v>
      </c>
      <c r="H1797" s="19" t="str">
        <f>IFERROR(__xludf.DUMMYFUNCTION("""COMPUTED_VALUE"""),"-")</f>
        <v>-</v>
      </c>
      <c r="I1797" s="19">
        <f>IFERROR(__xludf.DUMMYFUNCTION("""COMPUTED_VALUE"""),0.0022)</f>
        <v>0.0022</v>
      </c>
      <c r="J1797" s="19">
        <f>IFERROR(__xludf.DUMMYFUNCTION("""COMPUTED_VALUE"""),0.04746)</f>
        <v>0.04746</v>
      </c>
      <c r="K1797" s="19" t="str">
        <f>IFERROR(__xludf.DUMMYFUNCTION("""COMPUTED_VALUE"""),"-")</f>
        <v>-</v>
      </c>
      <c r="L1797" s="19" t="str">
        <f>IFERROR(__xludf.DUMMYFUNCTION("""COMPUTED_VALUE"""),"-")</f>
        <v>-</v>
      </c>
      <c r="O1797" s="24">
        <f t="shared" si="4"/>
        <v>0</v>
      </c>
      <c r="P1797" s="24"/>
      <c r="Q1797" s="24">
        <f t="shared" si="6"/>
        <v>0</v>
      </c>
      <c r="R1797" s="24">
        <f t="shared" si="7"/>
        <v>0</v>
      </c>
      <c r="S1797" s="24"/>
      <c r="T1797" s="24"/>
    </row>
    <row r="1798">
      <c r="A1798" s="12" t="s">
        <v>1886</v>
      </c>
      <c r="F1798" s="19">
        <f>IFERROR(__xludf.DUMMYFUNCTION("SPLIT(A1794, "" |"")"),1792.0)</f>
        <v>1792</v>
      </c>
      <c r="G1798" s="19">
        <f>IFERROR(__xludf.DUMMYFUNCTION("""COMPUTED_VALUE"""),0.00233)</f>
        <v>0.00233</v>
      </c>
      <c r="H1798" s="19" t="str">
        <f>IFERROR(__xludf.DUMMYFUNCTION("""COMPUTED_VALUE"""),"-")</f>
        <v>-</v>
      </c>
      <c r="I1798" s="19">
        <f>IFERROR(__xludf.DUMMYFUNCTION("""COMPUTED_VALUE"""),0.00221)</f>
        <v>0.00221</v>
      </c>
      <c r="J1798" s="19">
        <f>IFERROR(__xludf.DUMMYFUNCTION("""COMPUTED_VALUE"""),0.04745)</f>
        <v>0.04745</v>
      </c>
      <c r="K1798" s="19" t="str">
        <f>IFERROR(__xludf.DUMMYFUNCTION("""COMPUTED_VALUE"""),"-")</f>
        <v>-</v>
      </c>
      <c r="L1798" s="19" t="str">
        <f>IFERROR(__xludf.DUMMYFUNCTION("""COMPUTED_VALUE"""),"-")</f>
        <v>-</v>
      </c>
      <c r="O1798" s="24">
        <f t="shared" si="4"/>
        <v>0</v>
      </c>
      <c r="P1798" s="24"/>
      <c r="Q1798" s="24">
        <f t="shared" si="6"/>
        <v>0</v>
      </c>
      <c r="R1798" s="24">
        <f t="shared" si="7"/>
        <v>0</v>
      </c>
      <c r="S1798" s="24"/>
      <c r="T1798" s="24"/>
    </row>
    <row r="1799">
      <c r="A1799" s="12" t="s">
        <v>1887</v>
      </c>
      <c r="F1799" s="19">
        <f>IFERROR(__xludf.DUMMYFUNCTION("SPLIT(A1795, "" |"")"),1793.0)</f>
        <v>1793</v>
      </c>
      <c r="G1799" s="19">
        <f>IFERROR(__xludf.DUMMYFUNCTION("""COMPUTED_VALUE"""),0.00232)</f>
        <v>0.00232</v>
      </c>
      <c r="H1799" s="19" t="str">
        <f>IFERROR(__xludf.DUMMYFUNCTION("""COMPUTED_VALUE"""),"-")</f>
        <v>-</v>
      </c>
      <c r="I1799" s="19">
        <f>IFERROR(__xludf.DUMMYFUNCTION("""COMPUTED_VALUE"""),0.00226)</f>
        <v>0.00226</v>
      </c>
      <c r="J1799" s="19">
        <f>IFERROR(__xludf.DUMMYFUNCTION("""COMPUTED_VALUE"""),0.04753)</f>
        <v>0.04753</v>
      </c>
      <c r="K1799" s="19" t="str">
        <f>IFERROR(__xludf.DUMMYFUNCTION("""COMPUTED_VALUE"""),"-")</f>
        <v>-</v>
      </c>
      <c r="L1799" s="19" t="str">
        <f>IFERROR(__xludf.DUMMYFUNCTION("""COMPUTED_VALUE"""),"-")</f>
        <v>-</v>
      </c>
      <c r="O1799" s="24">
        <f t="shared" si="4"/>
        <v>0</v>
      </c>
      <c r="P1799" s="24"/>
      <c r="Q1799" s="24">
        <f t="shared" si="6"/>
        <v>0</v>
      </c>
      <c r="R1799" s="24">
        <f t="shared" si="7"/>
        <v>0</v>
      </c>
      <c r="S1799" s="24"/>
      <c r="T1799" s="24"/>
    </row>
    <row r="1800">
      <c r="A1800" s="12" t="s">
        <v>1888</v>
      </c>
      <c r="F1800" s="19">
        <f>IFERROR(__xludf.DUMMYFUNCTION("SPLIT(A1796, "" |"")"),1794.0)</f>
        <v>1794</v>
      </c>
      <c r="G1800" s="19">
        <f>IFERROR(__xludf.DUMMYFUNCTION("""COMPUTED_VALUE"""),0.00241)</f>
        <v>0.00241</v>
      </c>
      <c r="H1800" s="19" t="str">
        <f>IFERROR(__xludf.DUMMYFUNCTION("""COMPUTED_VALUE"""),"-")</f>
        <v>-</v>
      </c>
      <c r="I1800" s="19">
        <f>IFERROR(__xludf.DUMMYFUNCTION("""COMPUTED_VALUE"""),0.00225)</f>
        <v>0.00225</v>
      </c>
      <c r="J1800" s="19">
        <f>IFERROR(__xludf.DUMMYFUNCTION("""COMPUTED_VALUE"""),0.04746)</f>
        <v>0.04746</v>
      </c>
      <c r="K1800" s="19" t="str">
        <f>IFERROR(__xludf.DUMMYFUNCTION("""COMPUTED_VALUE"""),"-")</f>
        <v>-</v>
      </c>
      <c r="L1800" s="19" t="str">
        <f>IFERROR(__xludf.DUMMYFUNCTION("""COMPUTED_VALUE"""),"-")</f>
        <v>-</v>
      </c>
      <c r="O1800" s="24">
        <f t="shared" si="4"/>
        <v>0</v>
      </c>
      <c r="P1800" s="24"/>
      <c r="Q1800" s="24">
        <f t="shared" si="6"/>
        <v>0</v>
      </c>
      <c r="R1800" s="24">
        <f t="shared" si="7"/>
        <v>0</v>
      </c>
      <c r="S1800" s="24"/>
      <c r="T1800" s="24"/>
    </row>
    <row r="1801">
      <c r="A1801" s="12" t="s">
        <v>1889</v>
      </c>
      <c r="F1801" s="19">
        <f>IFERROR(__xludf.DUMMYFUNCTION("SPLIT(A1797, "" |"")"),1795.0)</f>
        <v>1795</v>
      </c>
      <c r="G1801" s="19">
        <f>IFERROR(__xludf.DUMMYFUNCTION("""COMPUTED_VALUE"""),0.00237)</f>
        <v>0.00237</v>
      </c>
      <c r="H1801" s="19" t="str">
        <f>IFERROR(__xludf.DUMMYFUNCTION("""COMPUTED_VALUE"""),"-")</f>
        <v>-</v>
      </c>
      <c r="I1801" s="19">
        <f>IFERROR(__xludf.DUMMYFUNCTION("""COMPUTED_VALUE"""),0.00223)</f>
        <v>0.00223</v>
      </c>
      <c r="J1801" s="19">
        <f>IFERROR(__xludf.DUMMYFUNCTION("""COMPUTED_VALUE"""),0.0475)</f>
        <v>0.0475</v>
      </c>
      <c r="K1801" s="19" t="str">
        <f>IFERROR(__xludf.DUMMYFUNCTION("""COMPUTED_VALUE"""),"-")</f>
        <v>-</v>
      </c>
      <c r="L1801" s="19" t="str">
        <f>IFERROR(__xludf.DUMMYFUNCTION("""COMPUTED_VALUE"""),"-")</f>
        <v>-</v>
      </c>
      <c r="O1801" s="24">
        <f t="shared" si="4"/>
        <v>0</v>
      </c>
      <c r="P1801" s="24"/>
      <c r="Q1801" s="24">
        <f t="shared" si="6"/>
        <v>0</v>
      </c>
      <c r="R1801" s="24">
        <f t="shared" si="7"/>
        <v>0</v>
      </c>
      <c r="S1801" s="24"/>
      <c r="T1801" s="24"/>
    </row>
    <row r="1802">
      <c r="A1802" s="12" t="s">
        <v>1890</v>
      </c>
      <c r="F1802" s="19">
        <f>IFERROR(__xludf.DUMMYFUNCTION("SPLIT(A1798, "" |"")"),1796.0)</f>
        <v>1796</v>
      </c>
      <c r="G1802" s="19">
        <f>IFERROR(__xludf.DUMMYFUNCTION("""COMPUTED_VALUE"""),0.00233)</f>
        <v>0.00233</v>
      </c>
      <c r="H1802" s="19" t="str">
        <f>IFERROR(__xludf.DUMMYFUNCTION("""COMPUTED_VALUE"""),"-")</f>
        <v>-</v>
      </c>
      <c r="I1802" s="19">
        <f>IFERROR(__xludf.DUMMYFUNCTION("""COMPUTED_VALUE"""),0.00221)</f>
        <v>0.00221</v>
      </c>
      <c r="J1802" s="19">
        <f>IFERROR(__xludf.DUMMYFUNCTION("""COMPUTED_VALUE"""),0.04617)</f>
        <v>0.04617</v>
      </c>
      <c r="K1802" s="19" t="str">
        <f>IFERROR(__xludf.DUMMYFUNCTION("""COMPUTED_VALUE"""),"-")</f>
        <v>-</v>
      </c>
      <c r="L1802" s="19" t="str">
        <f>IFERROR(__xludf.DUMMYFUNCTION("""COMPUTED_VALUE"""),"-")</f>
        <v>-</v>
      </c>
      <c r="O1802" s="24">
        <f t="shared" si="4"/>
        <v>0</v>
      </c>
      <c r="P1802" s="24"/>
      <c r="Q1802" s="24">
        <f t="shared" si="6"/>
        <v>0</v>
      </c>
      <c r="R1802" s="24">
        <f t="shared" si="7"/>
        <v>0</v>
      </c>
      <c r="S1802" s="24"/>
      <c r="T1802" s="24"/>
    </row>
    <row r="1803">
      <c r="A1803" s="12" t="s">
        <v>1891</v>
      </c>
      <c r="F1803" s="19">
        <f>IFERROR(__xludf.DUMMYFUNCTION("SPLIT(A1799, "" |"")"),1797.0)</f>
        <v>1797</v>
      </c>
      <c r="G1803" s="19">
        <f>IFERROR(__xludf.DUMMYFUNCTION("""COMPUTED_VALUE"""),0.00235)</f>
        <v>0.00235</v>
      </c>
      <c r="H1803" s="19" t="str">
        <f>IFERROR(__xludf.DUMMYFUNCTION("""COMPUTED_VALUE"""),"-")</f>
        <v>-</v>
      </c>
      <c r="I1803" s="19">
        <f>IFERROR(__xludf.DUMMYFUNCTION("""COMPUTED_VALUE"""),0.00229)</f>
        <v>0.00229</v>
      </c>
      <c r="J1803" s="19">
        <f>IFERROR(__xludf.DUMMYFUNCTION("""COMPUTED_VALUE"""),0.04749)</f>
        <v>0.04749</v>
      </c>
      <c r="K1803" s="19" t="str">
        <f>IFERROR(__xludf.DUMMYFUNCTION("""COMPUTED_VALUE"""),"-")</f>
        <v>-</v>
      </c>
      <c r="L1803" s="19" t="str">
        <f>IFERROR(__xludf.DUMMYFUNCTION("""COMPUTED_VALUE"""),"-")</f>
        <v>-</v>
      </c>
      <c r="O1803" s="24">
        <f t="shared" si="4"/>
        <v>0</v>
      </c>
      <c r="P1803" s="24"/>
      <c r="Q1803" s="24">
        <f t="shared" si="6"/>
        <v>0</v>
      </c>
      <c r="R1803" s="24">
        <f t="shared" si="7"/>
        <v>0</v>
      </c>
      <c r="S1803" s="24"/>
      <c r="T1803" s="24"/>
    </row>
    <row r="1804">
      <c r="A1804" s="12" t="s">
        <v>1892</v>
      </c>
      <c r="F1804" s="19">
        <f>IFERROR(__xludf.DUMMYFUNCTION("SPLIT(A1800, "" |"")"),1798.0)</f>
        <v>1798</v>
      </c>
      <c r="G1804" s="19">
        <f>IFERROR(__xludf.DUMMYFUNCTION("""COMPUTED_VALUE"""),0.0023)</f>
        <v>0.0023</v>
      </c>
      <c r="H1804" s="19" t="str">
        <f>IFERROR(__xludf.DUMMYFUNCTION("""COMPUTED_VALUE"""),"-")</f>
        <v>-</v>
      </c>
      <c r="I1804" s="19">
        <f>IFERROR(__xludf.DUMMYFUNCTION("""COMPUTED_VALUE"""),0.00224)</f>
        <v>0.00224</v>
      </c>
      <c r="J1804" s="19">
        <f>IFERROR(__xludf.DUMMYFUNCTION("""COMPUTED_VALUE"""),0.04745)</f>
        <v>0.04745</v>
      </c>
      <c r="K1804" s="19" t="str">
        <f>IFERROR(__xludf.DUMMYFUNCTION("""COMPUTED_VALUE"""),"-")</f>
        <v>-</v>
      </c>
      <c r="L1804" s="19" t="str">
        <f>IFERROR(__xludf.DUMMYFUNCTION("""COMPUTED_VALUE"""),"-")</f>
        <v>-</v>
      </c>
      <c r="O1804" s="24">
        <f t="shared" si="4"/>
        <v>0</v>
      </c>
      <c r="P1804" s="24"/>
      <c r="Q1804" s="24">
        <f t="shared" si="6"/>
        <v>0</v>
      </c>
      <c r="R1804" s="24">
        <f t="shared" si="7"/>
        <v>0</v>
      </c>
      <c r="S1804" s="24"/>
      <c r="T1804" s="24"/>
    </row>
    <row r="1805">
      <c r="A1805" s="12" t="s">
        <v>1893</v>
      </c>
      <c r="F1805" s="19">
        <f>IFERROR(__xludf.DUMMYFUNCTION("SPLIT(A1801, "" |"")"),1799.0)</f>
        <v>1799</v>
      </c>
      <c r="G1805" s="19">
        <f>IFERROR(__xludf.DUMMYFUNCTION("""COMPUTED_VALUE"""),0.00237)</f>
        <v>0.00237</v>
      </c>
      <c r="H1805" s="19" t="str">
        <f>IFERROR(__xludf.DUMMYFUNCTION("""COMPUTED_VALUE"""),"-")</f>
        <v>-</v>
      </c>
      <c r="I1805" s="19">
        <f>IFERROR(__xludf.DUMMYFUNCTION("""COMPUTED_VALUE"""),0.00221)</f>
        <v>0.00221</v>
      </c>
      <c r="J1805" s="19">
        <f>IFERROR(__xludf.DUMMYFUNCTION("""COMPUTED_VALUE"""),0.0475)</f>
        <v>0.0475</v>
      </c>
      <c r="K1805" s="19" t="str">
        <f>IFERROR(__xludf.DUMMYFUNCTION("""COMPUTED_VALUE"""),"-")</f>
        <v>-</v>
      </c>
      <c r="L1805" s="19" t="str">
        <f>IFERROR(__xludf.DUMMYFUNCTION("""COMPUTED_VALUE"""),"-")</f>
        <v>-</v>
      </c>
      <c r="O1805" s="24">
        <f t="shared" si="4"/>
        <v>0</v>
      </c>
      <c r="P1805" s="24"/>
      <c r="Q1805" s="24">
        <f t="shared" si="6"/>
        <v>0</v>
      </c>
      <c r="R1805" s="24">
        <f t="shared" si="7"/>
        <v>0</v>
      </c>
      <c r="S1805" s="24"/>
      <c r="T1805" s="24"/>
    </row>
    <row r="1806">
      <c r="A1806" s="12" t="s">
        <v>1894</v>
      </c>
      <c r="F1806" s="19">
        <f>IFERROR(__xludf.DUMMYFUNCTION("SPLIT(A1802, "" |"")"),1800.0)</f>
        <v>1800</v>
      </c>
      <c r="G1806" s="19">
        <f>IFERROR(__xludf.DUMMYFUNCTION("""COMPUTED_VALUE"""),0.00233)</f>
        <v>0.00233</v>
      </c>
      <c r="H1806" s="19" t="str">
        <f>IFERROR(__xludf.DUMMYFUNCTION("""COMPUTED_VALUE"""),"-")</f>
        <v>-</v>
      </c>
      <c r="I1806" s="19">
        <f>IFERROR(__xludf.DUMMYFUNCTION("""COMPUTED_VALUE"""),0.00215)</f>
        <v>0.00215</v>
      </c>
      <c r="J1806" s="19">
        <f>IFERROR(__xludf.DUMMYFUNCTION("""COMPUTED_VALUE"""),0.04748)</f>
        <v>0.04748</v>
      </c>
      <c r="K1806" s="19" t="str">
        <f>IFERROR(__xludf.DUMMYFUNCTION("""COMPUTED_VALUE"""),"-")</f>
        <v>-</v>
      </c>
      <c r="L1806" s="19" t="str">
        <f>IFERROR(__xludf.DUMMYFUNCTION("""COMPUTED_VALUE"""),"-")</f>
        <v>-</v>
      </c>
      <c r="O1806" s="24">
        <f t="shared" si="4"/>
        <v>0</v>
      </c>
      <c r="P1806" s="24"/>
      <c r="Q1806" s="24">
        <f t="shared" si="6"/>
        <v>0</v>
      </c>
      <c r="R1806" s="24">
        <f t="shared" si="7"/>
        <v>0</v>
      </c>
      <c r="S1806" s="24"/>
      <c r="T1806" s="24"/>
    </row>
    <row r="1807">
      <c r="A1807" s="12" t="s">
        <v>1895</v>
      </c>
      <c r="F1807" s="19">
        <f>IFERROR(__xludf.DUMMYFUNCTION("SPLIT(A1803, "" |"")"),1801.0)</f>
        <v>1801</v>
      </c>
      <c r="G1807" s="19">
        <f>IFERROR(__xludf.DUMMYFUNCTION("""COMPUTED_VALUE"""),0.00226)</f>
        <v>0.00226</v>
      </c>
      <c r="H1807" s="19" t="str">
        <f>IFERROR(__xludf.DUMMYFUNCTION("""COMPUTED_VALUE"""),"-")</f>
        <v>-</v>
      </c>
      <c r="I1807" s="19">
        <f>IFERROR(__xludf.DUMMYFUNCTION("""COMPUTED_VALUE"""),0.00207)</f>
        <v>0.00207</v>
      </c>
      <c r="J1807" s="19">
        <f>IFERROR(__xludf.DUMMYFUNCTION("""COMPUTED_VALUE"""),0.04434)</f>
        <v>0.04434</v>
      </c>
      <c r="K1807" s="19" t="str">
        <f>IFERROR(__xludf.DUMMYFUNCTION("""COMPUTED_VALUE"""),"-")</f>
        <v>-</v>
      </c>
      <c r="L1807" s="19" t="str">
        <f>IFERROR(__xludf.DUMMYFUNCTION("""COMPUTED_VALUE"""),"-")</f>
        <v>-</v>
      </c>
      <c r="O1807" s="24">
        <f t="shared" si="4"/>
        <v>0</v>
      </c>
      <c r="P1807" s="24"/>
      <c r="Q1807" s="24">
        <f t="shared" si="6"/>
        <v>0</v>
      </c>
      <c r="R1807" s="24">
        <f t="shared" si="7"/>
        <v>1</v>
      </c>
      <c r="S1807" s="24"/>
      <c r="T1807" s="24"/>
    </row>
    <row r="1808">
      <c r="A1808" s="12" t="s">
        <v>1896</v>
      </c>
      <c r="F1808" s="19">
        <f>IFERROR(__xludf.DUMMYFUNCTION("SPLIT(A1804, "" |"")"),1802.0)</f>
        <v>1802</v>
      </c>
      <c r="G1808" s="19">
        <f>IFERROR(__xludf.DUMMYFUNCTION("""COMPUTED_VALUE"""),0.00227)</f>
        <v>0.00227</v>
      </c>
      <c r="H1808" s="19" t="str">
        <f>IFERROR(__xludf.DUMMYFUNCTION("""COMPUTED_VALUE"""),"-")</f>
        <v>-</v>
      </c>
      <c r="I1808" s="19">
        <f>IFERROR(__xludf.DUMMYFUNCTION("""COMPUTED_VALUE"""),0.00208)</f>
        <v>0.00208</v>
      </c>
      <c r="J1808" s="19">
        <f>IFERROR(__xludf.DUMMYFUNCTION("""COMPUTED_VALUE"""),0.04737)</f>
        <v>0.04737</v>
      </c>
      <c r="K1808" s="19" t="str">
        <f>IFERROR(__xludf.DUMMYFUNCTION("""COMPUTED_VALUE"""),"-")</f>
        <v>-</v>
      </c>
      <c r="L1808" s="19" t="str">
        <f>IFERROR(__xludf.DUMMYFUNCTION("""COMPUTED_VALUE"""),"-")</f>
        <v>-</v>
      </c>
      <c r="O1808" s="24">
        <f t="shared" si="4"/>
        <v>0</v>
      </c>
      <c r="P1808" s="24"/>
      <c r="Q1808" s="24">
        <f t="shared" si="6"/>
        <v>0</v>
      </c>
      <c r="R1808" s="24">
        <f t="shared" si="7"/>
        <v>0</v>
      </c>
      <c r="S1808" s="24"/>
      <c r="T1808" s="24"/>
    </row>
    <row r="1809">
      <c r="A1809" s="12" t="s">
        <v>1897</v>
      </c>
      <c r="F1809" s="19">
        <f>IFERROR(__xludf.DUMMYFUNCTION("SPLIT(A1805, "" |"")"),1803.0)</f>
        <v>1803</v>
      </c>
      <c r="G1809" s="19">
        <f>IFERROR(__xludf.DUMMYFUNCTION("""COMPUTED_VALUE"""),0.00239)</f>
        <v>0.00239</v>
      </c>
      <c r="H1809" s="19" t="str">
        <f>IFERROR(__xludf.DUMMYFUNCTION("""COMPUTED_VALUE"""),"-")</f>
        <v>-</v>
      </c>
      <c r="I1809" s="19">
        <f>IFERROR(__xludf.DUMMYFUNCTION("""COMPUTED_VALUE"""),0.00221)</f>
        <v>0.00221</v>
      </c>
      <c r="J1809" s="19">
        <f>IFERROR(__xludf.DUMMYFUNCTION("""COMPUTED_VALUE"""),0.04739)</f>
        <v>0.04739</v>
      </c>
      <c r="K1809" s="19" t="str">
        <f>IFERROR(__xludf.DUMMYFUNCTION("""COMPUTED_VALUE"""),"-")</f>
        <v>-</v>
      </c>
      <c r="L1809" s="19" t="str">
        <f>IFERROR(__xludf.DUMMYFUNCTION("""COMPUTED_VALUE"""),"-")</f>
        <v>-</v>
      </c>
      <c r="O1809" s="24">
        <f t="shared" si="4"/>
        <v>0</v>
      </c>
      <c r="P1809" s="24"/>
      <c r="Q1809" s="24">
        <f t="shared" si="6"/>
        <v>0</v>
      </c>
      <c r="R1809" s="24">
        <f t="shared" si="7"/>
        <v>0</v>
      </c>
      <c r="S1809" s="24"/>
      <c r="T1809" s="24"/>
    </row>
    <row r="1810">
      <c r="A1810" s="12" t="s">
        <v>1898</v>
      </c>
      <c r="F1810" s="19">
        <f>IFERROR(__xludf.DUMMYFUNCTION("SPLIT(A1806, "" |"")"),1804.0)</f>
        <v>1804</v>
      </c>
      <c r="G1810" s="19">
        <f>IFERROR(__xludf.DUMMYFUNCTION("""COMPUTED_VALUE"""),0.00239)</f>
        <v>0.00239</v>
      </c>
      <c r="H1810" s="19" t="str">
        <f>IFERROR(__xludf.DUMMYFUNCTION("""COMPUTED_VALUE"""),"-")</f>
        <v>-</v>
      </c>
      <c r="I1810" s="19">
        <f>IFERROR(__xludf.DUMMYFUNCTION("""COMPUTED_VALUE"""),0.00224)</f>
        <v>0.00224</v>
      </c>
      <c r="J1810" s="19">
        <f>IFERROR(__xludf.DUMMYFUNCTION("""COMPUTED_VALUE"""),0.04175)</f>
        <v>0.04175</v>
      </c>
      <c r="K1810" s="19" t="str">
        <f>IFERROR(__xludf.DUMMYFUNCTION("""COMPUTED_VALUE"""),"-")</f>
        <v>-</v>
      </c>
      <c r="L1810" s="19" t="str">
        <f>IFERROR(__xludf.DUMMYFUNCTION("""COMPUTED_VALUE"""),"-")</f>
        <v>-</v>
      </c>
      <c r="O1810" s="24">
        <f t="shared" si="4"/>
        <v>0</v>
      </c>
      <c r="P1810" s="24"/>
      <c r="Q1810" s="24">
        <f t="shared" si="6"/>
        <v>0</v>
      </c>
      <c r="R1810" s="24">
        <f t="shared" si="7"/>
        <v>1</v>
      </c>
      <c r="S1810" s="24"/>
      <c r="T1810" s="24"/>
    </row>
    <row r="1811">
      <c r="A1811" s="12" t="s">
        <v>1899</v>
      </c>
      <c r="F1811" s="19">
        <f>IFERROR(__xludf.DUMMYFUNCTION("SPLIT(A1807, "" |"")"),1805.0)</f>
        <v>1805</v>
      </c>
      <c r="G1811" s="19">
        <f>IFERROR(__xludf.DUMMYFUNCTION("""COMPUTED_VALUE"""),0.00223)</f>
        <v>0.00223</v>
      </c>
      <c r="H1811" s="19" t="str">
        <f>IFERROR(__xludf.DUMMYFUNCTION("""COMPUTED_VALUE"""),"-")</f>
        <v>-</v>
      </c>
      <c r="I1811" s="19">
        <f>IFERROR(__xludf.DUMMYFUNCTION("""COMPUTED_VALUE"""),0.00212)</f>
        <v>0.00212</v>
      </c>
      <c r="J1811" s="19">
        <f>IFERROR(__xludf.DUMMYFUNCTION("""COMPUTED_VALUE"""),0.04741)</f>
        <v>0.04741</v>
      </c>
      <c r="K1811" s="19" t="str">
        <f>IFERROR(__xludf.DUMMYFUNCTION("""COMPUTED_VALUE"""),"-")</f>
        <v>-</v>
      </c>
      <c r="L1811" s="19" t="str">
        <f>IFERROR(__xludf.DUMMYFUNCTION("""COMPUTED_VALUE"""),"-")</f>
        <v>-</v>
      </c>
      <c r="O1811" s="24">
        <f t="shared" si="4"/>
        <v>0</v>
      </c>
      <c r="P1811" s="24"/>
      <c r="Q1811" s="24">
        <f t="shared" si="6"/>
        <v>0</v>
      </c>
      <c r="R1811" s="24">
        <f t="shared" si="7"/>
        <v>0</v>
      </c>
      <c r="S1811" s="24"/>
      <c r="T1811" s="24"/>
    </row>
    <row r="1812">
      <c r="A1812" s="12" t="s">
        <v>1900</v>
      </c>
      <c r="F1812" s="19">
        <f>IFERROR(__xludf.DUMMYFUNCTION("SPLIT(A1808, "" |"")"),1806.0)</f>
        <v>1806</v>
      </c>
      <c r="G1812" s="19">
        <f>IFERROR(__xludf.DUMMYFUNCTION("""COMPUTED_VALUE"""),0.00236)</f>
        <v>0.00236</v>
      </c>
      <c r="H1812" s="19" t="str">
        <f>IFERROR(__xludf.DUMMYFUNCTION("""COMPUTED_VALUE"""),"-")</f>
        <v>-</v>
      </c>
      <c r="I1812" s="19">
        <f>IFERROR(__xludf.DUMMYFUNCTION("""COMPUTED_VALUE"""),0.00217)</f>
        <v>0.00217</v>
      </c>
      <c r="J1812" s="19">
        <f>IFERROR(__xludf.DUMMYFUNCTION("""COMPUTED_VALUE"""),0.04734)</f>
        <v>0.04734</v>
      </c>
      <c r="K1812" s="19" t="str">
        <f>IFERROR(__xludf.DUMMYFUNCTION("""COMPUTED_VALUE"""),"-")</f>
        <v>-</v>
      </c>
      <c r="L1812" s="19" t="str">
        <f>IFERROR(__xludf.DUMMYFUNCTION("""COMPUTED_VALUE"""),"-")</f>
        <v>-</v>
      </c>
      <c r="O1812" s="24">
        <f t="shared" si="4"/>
        <v>0</v>
      </c>
      <c r="P1812" s="24"/>
      <c r="Q1812" s="24">
        <f t="shared" si="6"/>
        <v>0</v>
      </c>
      <c r="R1812" s="24">
        <f t="shared" si="7"/>
        <v>0</v>
      </c>
      <c r="S1812" s="24"/>
      <c r="T1812" s="24"/>
    </row>
    <row r="1813">
      <c r="A1813" s="12" t="s">
        <v>1901</v>
      </c>
      <c r="F1813" s="19">
        <f>IFERROR(__xludf.DUMMYFUNCTION("SPLIT(A1809, "" |"")"),1807.0)</f>
        <v>1807</v>
      </c>
      <c r="G1813" s="19">
        <f>IFERROR(__xludf.DUMMYFUNCTION("""COMPUTED_VALUE"""),0.00246)</f>
        <v>0.00246</v>
      </c>
      <c r="H1813" s="19" t="str">
        <f>IFERROR(__xludf.DUMMYFUNCTION("""COMPUTED_VALUE"""),"-")</f>
        <v>-</v>
      </c>
      <c r="I1813" s="19">
        <f>IFERROR(__xludf.DUMMYFUNCTION("""COMPUTED_VALUE"""),0.00214)</f>
        <v>0.00214</v>
      </c>
      <c r="J1813" s="19">
        <f>IFERROR(__xludf.DUMMYFUNCTION("""COMPUTED_VALUE"""),0.04734)</f>
        <v>0.04734</v>
      </c>
      <c r="K1813" s="19" t="str">
        <f>IFERROR(__xludf.DUMMYFUNCTION("""COMPUTED_VALUE"""),"-")</f>
        <v>-</v>
      </c>
      <c r="L1813" s="19" t="str">
        <f>IFERROR(__xludf.DUMMYFUNCTION("""COMPUTED_VALUE"""),"-")</f>
        <v>-</v>
      </c>
      <c r="O1813" s="24">
        <f t="shared" si="4"/>
        <v>0</v>
      </c>
      <c r="P1813" s="24"/>
      <c r="Q1813" s="24">
        <f t="shared" si="6"/>
        <v>0</v>
      </c>
      <c r="R1813" s="24">
        <f t="shared" si="7"/>
        <v>0</v>
      </c>
      <c r="S1813" s="24"/>
      <c r="T1813" s="24"/>
    </row>
    <row r="1814">
      <c r="A1814" s="12" t="s">
        <v>1902</v>
      </c>
      <c r="F1814" s="19">
        <f>IFERROR(__xludf.DUMMYFUNCTION("SPLIT(A1810, "" |"")"),1808.0)</f>
        <v>1808</v>
      </c>
      <c r="G1814" s="19">
        <f>IFERROR(__xludf.DUMMYFUNCTION("""COMPUTED_VALUE"""),0.00227)</f>
        <v>0.00227</v>
      </c>
      <c r="H1814" s="19" t="str">
        <f>IFERROR(__xludf.DUMMYFUNCTION("""COMPUTED_VALUE"""),"-")</f>
        <v>-</v>
      </c>
      <c r="I1814" s="19">
        <f>IFERROR(__xludf.DUMMYFUNCTION("""COMPUTED_VALUE"""),0.00215)</f>
        <v>0.00215</v>
      </c>
      <c r="J1814" s="19">
        <f>IFERROR(__xludf.DUMMYFUNCTION("""COMPUTED_VALUE"""),0.04735)</f>
        <v>0.04735</v>
      </c>
      <c r="K1814" s="19" t="str">
        <f>IFERROR(__xludf.DUMMYFUNCTION("""COMPUTED_VALUE"""),"-")</f>
        <v>-</v>
      </c>
      <c r="L1814" s="19" t="str">
        <f>IFERROR(__xludf.DUMMYFUNCTION("""COMPUTED_VALUE"""),"-")</f>
        <v>-</v>
      </c>
      <c r="O1814" s="24">
        <f t="shared" si="4"/>
        <v>0</v>
      </c>
      <c r="P1814" s="24"/>
      <c r="Q1814" s="24">
        <f t="shared" si="6"/>
        <v>0</v>
      </c>
      <c r="R1814" s="24">
        <f t="shared" si="7"/>
        <v>0</v>
      </c>
      <c r="S1814" s="24"/>
      <c r="T1814" s="24"/>
    </row>
    <row r="1815">
      <c r="A1815" s="12" t="s">
        <v>1903</v>
      </c>
      <c r="F1815" s="19">
        <f>IFERROR(__xludf.DUMMYFUNCTION("SPLIT(A1811, "" |"")"),1809.0)</f>
        <v>1809</v>
      </c>
      <c r="G1815" s="19">
        <f>IFERROR(__xludf.DUMMYFUNCTION("""COMPUTED_VALUE"""),0.00232)</f>
        <v>0.00232</v>
      </c>
      <c r="H1815" s="19" t="str">
        <f>IFERROR(__xludf.DUMMYFUNCTION("""COMPUTED_VALUE"""),"-")</f>
        <v>-</v>
      </c>
      <c r="I1815" s="19">
        <f>IFERROR(__xludf.DUMMYFUNCTION("""COMPUTED_VALUE"""),0.0022)</f>
        <v>0.0022</v>
      </c>
      <c r="J1815" s="19">
        <f>IFERROR(__xludf.DUMMYFUNCTION("""COMPUTED_VALUE"""),0.04737)</f>
        <v>0.04737</v>
      </c>
      <c r="K1815" s="19" t="str">
        <f>IFERROR(__xludf.DUMMYFUNCTION("""COMPUTED_VALUE"""),"-")</f>
        <v>-</v>
      </c>
      <c r="L1815" s="19" t="str">
        <f>IFERROR(__xludf.DUMMYFUNCTION("""COMPUTED_VALUE"""),"-")</f>
        <v>-</v>
      </c>
      <c r="O1815" s="24">
        <f t="shared" si="4"/>
        <v>0</v>
      </c>
      <c r="P1815" s="24"/>
      <c r="Q1815" s="24">
        <f t="shared" si="6"/>
        <v>0</v>
      </c>
      <c r="R1815" s="24">
        <f t="shared" si="7"/>
        <v>0</v>
      </c>
      <c r="S1815" s="24"/>
      <c r="T1815" s="24"/>
    </row>
    <row r="1816">
      <c r="A1816" s="12" t="s">
        <v>1904</v>
      </c>
      <c r="F1816" s="19">
        <f>IFERROR(__xludf.DUMMYFUNCTION("SPLIT(A1812, "" |"")"),1810.0)</f>
        <v>1810</v>
      </c>
      <c r="G1816" s="19">
        <f>IFERROR(__xludf.DUMMYFUNCTION("""COMPUTED_VALUE"""),0.00235)</f>
        <v>0.00235</v>
      </c>
      <c r="H1816" s="19" t="str">
        <f>IFERROR(__xludf.DUMMYFUNCTION("""COMPUTED_VALUE"""),"-")</f>
        <v>-</v>
      </c>
      <c r="I1816" s="19">
        <f>IFERROR(__xludf.DUMMYFUNCTION("""COMPUTED_VALUE"""),0.00226)</f>
        <v>0.00226</v>
      </c>
      <c r="J1816" s="19">
        <f>IFERROR(__xludf.DUMMYFUNCTION("""COMPUTED_VALUE"""),0.04741)</f>
        <v>0.04741</v>
      </c>
      <c r="K1816" s="19" t="str">
        <f>IFERROR(__xludf.DUMMYFUNCTION("""COMPUTED_VALUE"""),"-")</f>
        <v>-</v>
      </c>
      <c r="L1816" s="19" t="str">
        <f>IFERROR(__xludf.DUMMYFUNCTION("""COMPUTED_VALUE"""),"-")</f>
        <v>-</v>
      </c>
      <c r="O1816" s="24">
        <f t="shared" si="4"/>
        <v>0</v>
      </c>
      <c r="P1816" s="24"/>
      <c r="Q1816" s="24">
        <f t="shared" si="6"/>
        <v>0</v>
      </c>
      <c r="R1816" s="24">
        <f t="shared" si="7"/>
        <v>0</v>
      </c>
      <c r="S1816" s="24"/>
      <c r="T1816" s="24"/>
    </row>
    <row r="1817">
      <c r="A1817" s="12" t="s">
        <v>1905</v>
      </c>
      <c r="F1817" s="19">
        <f>IFERROR(__xludf.DUMMYFUNCTION("SPLIT(A1813, "" |"")"),1811.0)</f>
        <v>1811</v>
      </c>
      <c r="G1817" s="19">
        <f>IFERROR(__xludf.DUMMYFUNCTION("""COMPUTED_VALUE"""),0.0022)</f>
        <v>0.0022</v>
      </c>
      <c r="H1817" s="19" t="str">
        <f>IFERROR(__xludf.DUMMYFUNCTION("""COMPUTED_VALUE"""),"-")</f>
        <v>-</v>
      </c>
      <c r="I1817" s="19">
        <f>IFERROR(__xludf.DUMMYFUNCTION("""COMPUTED_VALUE"""),0.00222)</f>
        <v>0.00222</v>
      </c>
      <c r="J1817" s="19">
        <f>IFERROR(__xludf.DUMMYFUNCTION("""COMPUTED_VALUE"""),0.04735)</f>
        <v>0.04735</v>
      </c>
      <c r="K1817" s="19" t="str">
        <f>IFERROR(__xludf.DUMMYFUNCTION("""COMPUTED_VALUE"""),"-")</f>
        <v>-</v>
      </c>
      <c r="L1817" s="19" t="str">
        <f>IFERROR(__xludf.DUMMYFUNCTION("""COMPUTED_VALUE"""),"-")</f>
        <v>-</v>
      </c>
      <c r="O1817" s="24">
        <f t="shared" si="4"/>
        <v>0</v>
      </c>
      <c r="P1817" s="24"/>
      <c r="Q1817" s="24">
        <f t="shared" si="6"/>
        <v>0</v>
      </c>
      <c r="R1817" s="24">
        <f t="shared" si="7"/>
        <v>0</v>
      </c>
      <c r="S1817" s="24"/>
      <c r="T1817" s="24"/>
    </row>
    <row r="1818">
      <c r="A1818" s="12" t="s">
        <v>1906</v>
      </c>
      <c r="F1818" s="19">
        <f>IFERROR(__xludf.DUMMYFUNCTION("SPLIT(A1814, "" |"")"),1812.0)</f>
        <v>1812</v>
      </c>
      <c r="G1818" s="19">
        <f>IFERROR(__xludf.DUMMYFUNCTION("""COMPUTED_VALUE"""),0.00233)</f>
        <v>0.00233</v>
      </c>
      <c r="H1818" s="19" t="str">
        <f>IFERROR(__xludf.DUMMYFUNCTION("""COMPUTED_VALUE"""),"-")</f>
        <v>-</v>
      </c>
      <c r="I1818" s="19">
        <f>IFERROR(__xludf.DUMMYFUNCTION("""COMPUTED_VALUE"""),0.00219)</f>
        <v>0.00219</v>
      </c>
      <c r="J1818" s="19">
        <f>IFERROR(__xludf.DUMMYFUNCTION("""COMPUTED_VALUE"""),0.04744)</f>
        <v>0.04744</v>
      </c>
      <c r="K1818" s="19" t="str">
        <f>IFERROR(__xludf.DUMMYFUNCTION("""COMPUTED_VALUE"""),"-")</f>
        <v>-</v>
      </c>
      <c r="L1818" s="19" t="str">
        <f>IFERROR(__xludf.DUMMYFUNCTION("""COMPUTED_VALUE"""),"-")</f>
        <v>-</v>
      </c>
      <c r="O1818" s="24">
        <f t="shared" si="4"/>
        <v>0</v>
      </c>
      <c r="P1818" s="24"/>
      <c r="Q1818" s="24">
        <f t="shared" si="6"/>
        <v>0</v>
      </c>
      <c r="R1818" s="24">
        <f t="shared" si="7"/>
        <v>0</v>
      </c>
      <c r="S1818" s="24"/>
      <c r="T1818" s="24"/>
    </row>
    <row r="1819">
      <c r="A1819" s="12" t="s">
        <v>1907</v>
      </c>
      <c r="F1819" s="19">
        <f>IFERROR(__xludf.DUMMYFUNCTION("SPLIT(A1815, "" |"")"),1813.0)</f>
        <v>1813</v>
      </c>
      <c r="G1819" s="19">
        <f>IFERROR(__xludf.DUMMYFUNCTION("""COMPUTED_VALUE"""),0.00235)</f>
        <v>0.00235</v>
      </c>
      <c r="H1819" s="19" t="str">
        <f>IFERROR(__xludf.DUMMYFUNCTION("""COMPUTED_VALUE"""),"-")</f>
        <v>-</v>
      </c>
      <c r="I1819" s="19">
        <f>IFERROR(__xludf.DUMMYFUNCTION("""COMPUTED_VALUE"""),0.00222)</f>
        <v>0.00222</v>
      </c>
      <c r="J1819" s="19">
        <f>IFERROR(__xludf.DUMMYFUNCTION("""COMPUTED_VALUE"""),0.04746)</f>
        <v>0.04746</v>
      </c>
      <c r="K1819" s="19" t="str">
        <f>IFERROR(__xludf.DUMMYFUNCTION("""COMPUTED_VALUE"""),"-")</f>
        <v>-</v>
      </c>
      <c r="L1819" s="19" t="str">
        <f>IFERROR(__xludf.DUMMYFUNCTION("""COMPUTED_VALUE"""),"-")</f>
        <v>-</v>
      </c>
      <c r="O1819" s="24">
        <f t="shared" si="4"/>
        <v>0</v>
      </c>
      <c r="P1819" s="24"/>
      <c r="Q1819" s="24">
        <f t="shared" si="6"/>
        <v>0</v>
      </c>
      <c r="R1819" s="24">
        <f t="shared" si="7"/>
        <v>0</v>
      </c>
      <c r="S1819" s="24"/>
      <c r="T1819" s="24"/>
    </row>
    <row r="1820">
      <c r="A1820" s="12" t="s">
        <v>1908</v>
      </c>
      <c r="F1820" s="19">
        <f>IFERROR(__xludf.DUMMYFUNCTION("SPLIT(A1816, "" |"")"),1814.0)</f>
        <v>1814</v>
      </c>
      <c r="G1820" s="19">
        <f>IFERROR(__xludf.DUMMYFUNCTION("""COMPUTED_VALUE"""),0.00237)</f>
        <v>0.00237</v>
      </c>
      <c r="H1820" s="19" t="str">
        <f>IFERROR(__xludf.DUMMYFUNCTION("""COMPUTED_VALUE"""),"-")</f>
        <v>-</v>
      </c>
      <c r="I1820" s="19">
        <f>IFERROR(__xludf.DUMMYFUNCTION("""COMPUTED_VALUE"""),0.00219)</f>
        <v>0.00219</v>
      </c>
      <c r="J1820" s="19">
        <f>IFERROR(__xludf.DUMMYFUNCTION("""COMPUTED_VALUE"""),0.04152)</f>
        <v>0.04152</v>
      </c>
      <c r="K1820" s="19" t="str">
        <f>IFERROR(__xludf.DUMMYFUNCTION("""COMPUTED_VALUE"""),"-")</f>
        <v>-</v>
      </c>
      <c r="L1820" s="19" t="str">
        <f>IFERROR(__xludf.DUMMYFUNCTION("""COMPUTED_VALUE"""),"-")</f>
        <v>-</v>
      </c>
      <c r="O1820" s="24">
        <f t="shared" si="4"/>
        <v>0</v>
      </c>
      <c r="P1820" s="24"/>
      <c r="Q1820" s="24">
        <f t="shared" si="6"/>
        <v>0</v>
      </c>
      <c r="R1820" s="24">
        <f t="shared" si="7"/>
        <v>1</v>
      </c>
      <c r="S1820" s="24"/>
      <c r="T1820" s="24"/>
    </row>
    <row r="1821">
      <c r="A1821" s="12" t="s">
        <v>1909</v>
      </c>
      <c r="F1821" s="19">
        <f>IFERROR(__xludf.DUMMYFUNCTION("SPLIT(A1817, "" |"")"),1815.0)</f>
        <v>1815</v>
      </c>
      <c r="G1821" s="19">
        <f>IFERROR(__xludf.DUMMYFUNCTION("""COMPUTED_VALUE"""),0.00191)</f>
        <v>0.00191</v>
      </c>
      <c r="H1821" s="19" t="str">
        <f>IFERROR(__xludf.DUMMYFUNCTION("""COMPUTED_VALUE"""),"-")</f>
        <v>-</v>
      </c>
      <c r="I1821" s="19">
        <f>IFERROR(__xludf.DUMMYFUNCTION("""COMPUTED_VALUE"""),0.00214)</f>
        <v>0.00214</v>
      </c>
      <c r="J1821" s="19">
        <f>IFERROR(__xludf.DUMMYFUNCTION("""COMPUTED_VALUE"""),0.04742)</f>
        <v>0.04742</v>
      </c>
      <c r="K1821" s="19" t="str">
        <f>IFERROR(__xludf.DUMMYFUNCTION("""COMPUTED_VALUE"""),"-")</f>
        <v>-</v>
      </c>
      <c r="L1821" s="19" t="str">
        <f>IFERROR(__xludf.DUMMYFUNCTION("""COMPUTED_VALUE"""),"-")</f>
        <v>-</v>
      </c>
      <c r="O1821" s="24">
        <f t="shared" si="4"/>
        <v>0</v>
      </c>
      <c r="P1821" s="24"/>
      <c r="Q1821" s="24">
        <f t="shared" si="6"/>
        <v>0</v>
      </c>
      <c r="R1821" s="24">
        <f t="shared" si="7"/>
        <v>0</v>
      </c>
      <c r="S1821" s="24"/>
      <c r="T1821" s="24"/>
    </row>
    <row r="1822">
      <c r="A1822" s="12" t="s">
        <v>1910</v>
      </c>
      <c r="F1822" s="19">
        <f>IFERROR(__xludf.DUMMYFUNCTION("SPLIT(A1818, "" |"")"),1816.0)</f>
        <v>1816</v>
      </c>
      <c r="G1822" s="19">
        <f>IFERROR(__xludf.DUMMYFUNCTION("""COMPUTED_VALUE"""),0.00229)</f>
        <v>0.00229</v>
      </c>
      <c r="H1822" s="19" t="str">
        <f>IFERROR(__xludf.DUMMYFUNCTION("""COMPUTED_VALUE"""),"-")</f>
        <v>-</v>
      </c>
      <c r="I1822" s="19">
        <f>IFERROR(__xludf.DUMMYFUNCTION("""COMPUTED_VALUE"""),0.00228)</f>
        <v>0.00228</v>
      </c>
      <c r="J1822" s="19">
        <f>IFERROR(__xludf.DUMMYFUNCTION("""COMPUTED_VALUE"""),0.03986)</f>
        <v>0.03986</v>
      </c>
      <c r="K1822" s="19" t="str">
        <f>IFERROR(__xludf.DUMMYFUNCTION("""COMPUTED_VALUE"""),"-")</f>
        <v>-</v>
      </c>
      <c r="L1822" s="19" t="str">
        <f>IFERROR(__xludf.DUMMYFUNCTION("""COMPUTED_VALUE"""),"-")</f>
        <v>-</v>
      </c>
      <c r="O1822" s="24">
        <f t="shared" si="4"/>
        <v>0</v>
      </c>
      <c r="P1822" s="24"/>
      <c r="Q1822" s="24">
        <f t="shared" si="6"/>
        <v>0</v>
      </c>
      <c r="R1822" s="24">
        <f t="shared" si="7"/>
        <v>1</v>
      </c>
      <c r="S1822" s="24"/>
      <c r="T1822" s="24"/>
    </row>
    <row r="1823">
      <c r="A1823" s="12" t="s">
        <v>1911</v>
      </c>
      <c r="F1823" s="19">
        <f>IFERROR(__xludf.DUMMYFUNCTION("SPLIT(A1819, "" |"")"),1817.0)</f>
        <v>1817</v>
      </c>
      <c r="G1823" s="19">
        <f>IFERROR(__xludf.DUMMYFUNCTION("""COMPUTED_VALUE"""),0.00235)</f>
        <v>0.00235</v>
      </c>
      <c r="H1823" s="19" t="str">
        <f>IFERROR(__xludf.DUMMYFUNCTION("""COMPUTED_VALUE"""),"-")</f>
        <v>-</v>
      </c>
      <c r="I1823" s="19">
        <f>IFERROR(__xludf.DUMMYFUNCTION("""COMPUTED_VALUE"""),0.0021)</f>
        <v>0.0021</v>
      </c>
      <c r="J1823" s="19">
        <f>IFERROR(__xludf.DUMMYFUNCTION("""COMPUTED_VALUE"""),0.04741)</f>
        <v>0.04741</v>
      </c>
      <c r="K1823" s="19" t="str">
        <f>IFERROR(__xludf.DUMMYFUNCTION("""COMPUTED_VALUE"""),"-")</f>
        <v>-</v>
      </c>
      <c r="L1823" s="19" t="str">
        <f>IFERROR(__xludf.DUMMYFUNCTION("""COMPUTED_VALUE"""),"-")</f>
        <v>-</v>
      </c>
      <c r="O1823" s="24">
        <f t="shared" si="4"/>
        <v>0</v>
      </c>
      <c r="P1823" s="24"/>
      <c r="Q1823" s="24">
        <f t="shared" si="6"/>
        <v>0</v>
      </c>
      <c r="R1823" s="24">
        <f t="shared" si="7"/>
        <v>0</v>
      </c>
      <c r="S1823" s="24"/>
      <c r="T1823" s="24"/>
    </row>
    <row r="1824">
      <c r="A1824" s="12" t="s">
        <v>1912</v>
      </c>
      <c r="F1824" s="19">
        <f>IFERROR(__xludf.DUMMYFUNCTION("SPLIT(A1820, "" |"")"),1818.0)</f>
        <v>1818</v>
      </c>
      <c r="G1824" s="19">
        <f>IFERROR(__xludf.DUMMYFUNCTION("""COMPUTED_VALUE"""),0.00236)</f>
        <v>0.00236</v>
      </c>
      <c r="H1824" s="19" t="str">
        <f>IFERROR(__xludf.DUMMYFUNCTION("""COMPUTED_VALUE"""),"-")</f>
        <v>-</v>
      </c>
      <c r="I1824" s="19">
        <f>IFERROR(__xludf.DUMMYFUNCTION("""COMPUTED_VALUE"""),0.00223)</f>
        <v>0.00223</v>
      </c>
      <c r="J1824" s="19">
        <f>IFERROR(__xludf.DUMMYFUNCTION("""COMPUTED_VALUE"""),0.04746)</f>
        <v>0.04746</v>
      </c>
      <c r="K1824" s="19" t="str">
        <f>IFERROR(__xludf.DUMMYFUNCTION("""COMPUTED_VALUE"""),"-")</f>
        <v>-</v>
      </c>
      <c r="L1824" s="19" t="str">
        <f>IFERROR(__xludf.DUMMYFUNCTION("""COMPUTED_VALUE"""),"-")</f>
        <v>-</v>
      </c>
      <c r="O1824" s="24">
        <f t="shared" si="4"/>
        <v>0</v>
      </c>
      <c r="P1824" s="24"/>
      <c r="Q1824" s="24">
        <f t="shared" si="6"/>
        <v>0</v>
      </c>
      <c r="R1824" s="24">
        <f t="shared" si="7"/>
        <v>0</v>
      </c>
      <c r="S1824" s="24"/>
      <c r="T1824" s="24"/>
    </row>
    <row r="1825">
      <c r="A1825" s="12" t="s">
        <v>1913</v>
      </c>
      <c r="F1825" s="19">
        <f>IFERROR(__xludf.DUMMYFUNCTION("SPLIT(A1821, "" |"")"),1819.0)</f>
        <v>1819</v>
      </c>
      <c r="G1825" s="19">
        <f>IFERROR(__xludf.DUMMYFUNCTION("""COMPUTED_VALUE"""),0.00233)</f>
        <v>0.00233</v>
      </c>
      <c r="H1825" s="19" t="str">
        <f>IFERROR(__xludf.DUMMYFUNCTION("""COMPUTED_VALUE"""),"-")</f>
        <v>-</v>
      </c>
      <c r="I1825" s="19">
        <f>IFERROR(__xludf.DUMMYFUNCTION("""COMPUTED_VALUE"""),0.00217)</f>
        <v>0.00217</v>
      </c>
      <c r="J1825" s="19">
        <f>IFERROR(__xludf.DUMMYFUNCTION("""COMPUTED_VALUE"""),0.04747)</f>
        <v>0.04747</v>
      </c>
      <c r="K1825" s="19" t="str">
        <f>IFERROR(__xludf.DUMMYFUNCTION("""COMPUTED_VALUE"""),"-")</f>
        <v>-</v>
      </c>
      <c r="L1825" s="19" t="str">
        <f>IFERROR(__xludf.DUMMYFUNCTION("""COMPUTED_VALUE"""),"-")</f>
        <v>-</v>
      </c>
      <c r="O1825" s="24">
        <f t="shared" si="4"/>
        <v>0</v>
      </c>
      <c r="P1825" s="24"/>
      <c r="Q1825" s="24">
        <f t="shared" si="6"/>
        <v>0</v>
      </c>
      <c r="R1825" s="24">
        <f t="shared" si="7"/>
        <v>0</v>
      </c>
      <c r="S1825" s="24"/>
      <c r="T1825" s="24"/>
    </row>
    <row r="1826">
      <c r="A1826" s="12" t="s">
        <v>1914</v>
      </c>
      <c r="F1826" s="19">
        <f>IFERROR(__xludf.DUMMYFUNCTION("SPLIT(A1822, "" |"")"),1820.0)</f>
        <v>1820</v>
      </c>
      <c r="G1826" s="19">
        <f>IFERROR(__xludf.DUMMYFUNCTION("""COMPUTED_VALUE"""),0.00229)</f>
        <v>0.00229</v>
      </c>
      <c r="H1826" s="19" t="str">
        <f>IFERROR(__xludf.DUMMYFUNCTION("""COMPUTED_VALUE"""),"-")</f>
        <v>-</v>
      </c>
      <c r="I1826" s="19">
        <f>IFERROR(__xludf.DUMMYFUNCTION("""COMPUTED_VALUE"""),0.00221)</f>
        <v>0.00221</v>
      </c>
      <c r="J1826" s="19">
        <f>IFERROR(__xludf.DUMMYFUNCTION("""COMPUTED_VALUE"""),0.03993)</f>
        <v>0.03993</v>
      </c>
      <c r="K1826" s="19" t="str">
        <f>IFERROR(__xludf.DUMMYFUNCTION("""COMPUTED_VALUE"""),"-")</f>
        <v>-</v>
      </c>
      <c r="L1826" s="19" t="str">
        <f>IFERROR(__xludf.DUMMYFUNCTION("""COMPUTED_VALUE"""),"-")</f>
        <v>-</v>
      </c>
      <c r="O1826" s="24">
        <f t="shared" si="4"/>
        <v>0</v>
      </c>
      <c r="P1826" s="24"/>
      <c r="Q1826" s="24">
        <f t="shared" si="6"/>
        <v>0</v>
      </c>
      <c r="R1826" s="24">
        <f t="shared" si="7"/>
        <v>1</v>
      </c>
      <c r="S1826" s="24"/>
      <c r="T1826" s="24"/>
    </row>
    <row r="1827">
      <c r="A1827" s="12" t="s">
        <v>1915</v>
      </c>
      <c r="F1827" s="19">
        <f>IFERROR(__xludf.DUMMYFUNCTION("SPLIT(A1823, "" |"")"),1821.0)</f>
        <v>1821</v>
      </c>
      <c r="G1827" s="19">
        <f>IFERROR(__xludf.DUMMYFUNCTION("""COMPUTED_VALUE"""),0.00234)</f>
        <v>0.00234</v>
      </c>
      <c r="H1827" s="19" t="str">
        <f>IFERROR(__xludf.DUMMYFUNCTION("""COMPUTED_VALUE"""),"-")</f>
        <v>-</v>
      </c>
      <c r="I1827" s="19">
        <f>IFERROR(__xludf.DUMMYFUNCTION("""COMPUTED_VALUE"""),0.00221)</f>
        <v>0.00221</v>
      </c>
      <c r="J1827" s="19">
        <f>IFERROR(__xludf.DUMMYFUNCTION("""COMPUTED_VALUE"""),0.04743)</f>
        <v>0.04743</v>
      </c>
      <c r="K1827" s="19" t="str">
        <f>IFERROR(__xludf.DUMMYFUNCTION("""COMPUTED_VALUE"""),"-")</f>
        <v>-</v>
      </c>
      <c r="L1827" s="19" t="str">
        <f>IFERROR(__xludf.DUMMYFUNCTION("""COMPUTED_VALUE"""),"-")</f>
        <v>-</v>
      </c>
      <c r="O1827" s="24">
        <f t="shared" si="4"/>
        <v>0</v>
      </c>
      <c r="P1827" s="24"/>
      <c r="Q1827" s="24">
        <f t="shared" si="6"/>
        <v>0</v>
      </c>
      <c r="R1827" s="24">
        <f t="shared" si="7"/>
        <v>0</v>
      </c>
      <c r="S1827" s="24"/>
      <c r="T1827" s="24"/>
    </row>
    <row r="1828">
      <c r="A1828" s="12" t="s">
        <v>1916</v>
      </c>
      <c r="F1828" s="19">
        <f>IFERROR(__xludf.DUMMYFUNCTION("SPLIT(A1824, "" |"")"),1822.0)</f>
        <v>1822</v>
      </c>
      <c r="G1828" s="19">
        <f>IFERROR(__xludf.DUMMYFUNCTION("""COMPUTED_VALUE"""),0.00231)</f>
        <v>0.00231</v>
      </c>
      <c r="H1828" s="19" t="str">
        <f>IFERROR(__xludf.DUMMYFUNCTION("""COMPUTED_VALUE"""),"-")</f>
        <v>-</v>
      </c>
      <c r="I1828" s="19">
        <f>IFERROR(__xludf.DUMMYFUNCTION("""COMPUTED_VALUE"""),0.00214)</f>
        <v>0.00214</v>
      </c>
      <c r="J1828" s="19">
        <f>IFERROR(__xludf.DUMMYFUNCTION("""COMPUTED_VALUE"""),0.04381)</f>
        <v>0.04381</v>
      </c>
      <c r="K1828" s="19" t="str">
        <f>IFERROR(__xludf.DUMMYFUNCTION("""COMPUTED_VALUE"""),"-")</f>
        <v>-</v>
      </c>
      <c r="L1828" s="19" t="str">
        <f>IFERROR(__xludf.DUMMYFUNCTION("""COMPUTED_VALUE"""),"-")</f>
        <v>-</v>
      </c>
      <c r="O1828" s="24">
        <f t="shared" si="4"/>
        <v>0</v>
      </c>
      <c r="P1828" s="24"/>
      <c r="Q1828" s="24">
        <f t="shared" si="6"/>
        <v>0</v>
      </c>
      <c r="R1828" s="24">
        <f t="shared" si="7"/>
        <v>1</v>
      </c>
      <c r="S1828" s="24"/>
      <c r="T1828" s="24"/>
    </row>
    <row r="1829">
      <c r="A1829" s="12" t="s">
        <v>1917</v>
      </c>
      <c r="F1829" s="19">
        <f>IFERROR(__xludf.DUMMYFUNCTION("SPLIT(A1825, "" |"")"),1823.0)</f>
        <v>1823</v>
      </c>
      <c r="G1829" s="19">
        <f>IFERROR(__xludf.DUMMYFUNCTION("""COMPUTED_VALUE"""),0.00234)</f>
        <v>0.00234</v>
      </c>
      <c r="H1829" s="19" t="str">
        <f>IFERROR(__xludf.DUMMYFUNCTION("""COMPUTED_VALUE"""),"-")</f>
        <v>-</v>
      </c>
      <c r="I1829" s="19">
        <f>IFERROR(__xludf.DUMMYFUNCTION("""COMPUTED_VALUE"""),0.00226)</f>
        <v>0.00226</v>
      </c>
      <c r="J1829" s="19">
        <f>IFERROR(__xludf.DUMMYFUNCTION("""COMPUTED_VALUE"""),0.04699)</f>
        <v>0.04699</v>
      </c>
      <c r="K1829" s="19" t="str">
        <f>IFERROR(__xludf.DUMMYFUNCTION("""COMPUTED_VALUE"""),"-")</f>
        <v>-</v>
      </c>
      <c r="L1829" s="19" t="str">
        <f>IFERROR(__xludf.DUMMYFUNCTION("""COMPUTED_VALUE"""),"-")</f>
        <v>-</v>
      </c>
      <c r="O1829" s="24">
        <f t="shared" si="4"/>
        <v>0</v>
      </c>
      <c r="P1829" s="24"/>
      <c r="Q1829" s="24">
        <f t="shared" si="6"/>
        <v>0</v>
      </c>
      <c r="R1829" s="24">
        <f t="shared" si="7"/>
        <v>0</v>
      </c>
      <c r="S1829" s="24"/>
      <c r="T1829" s="24"/>
    </row>
    <row r="1830">
      <c r="A1830" s="12" t="s">
        <v>1918</v>
      </c>
      <c r="F1830" s="19">
        <f>IFERROR(__xludf.DUMMYFUNCTION("SPLIT(A1826, "" |"")"),1824.0)</f>
        <v>1824</v>
      </c>
      <c r="G1830" s="19">
        <f>IFERROR(__xludf.DUMMYFUNCTION("""COMPUTED_VALUE"""),0.00243)</f>
        <v>0.00243</v>
      </c>
      <c r="H1830" s="19" t="str">
        <f>IFERROR(__xludf.DUMMYFUNCTION("""COMPUTED_VALUE"""),"-")</f>
        <v>-</v>
      </c>
      <c r="I1830" s="19">
        <f>IFERROR(__xludf.DUMMYFUNCTION("""COMPUTED_VALUE"""),0.0022)</f>
        <v>0.0022</v>
      </c>
      <c r="J1830" s="19">
        <f>IFERROR(__xludf.DUMMYFUNCTION("""COMPUTED_VALUE"""),0.04201)</f>
        <v>0.04201</v>
      </c>
      <c r="K1830" s="19" t="str">
        <f>IFERROR(__xludf.DUMMYFUNCTION("""COMPUTED_VALUE"""),"-")</f>
        <v>-</v>
      </c>
      <c r="L1830" s="19" t="str">
        <f>IFERROR(__xludf.DUMMYFUNCTION("""COMPUTED_VALUE"""),"-")</f>
        <v>-</v>
      </c>
      <c r="O1830" s="24">
        <f t="shared" si="4"/>
        <v>0</v>
      </c>
      <c r="P1830" s="24"/>
      <c r="Q1830" s="24">
        <f t="shared" si="6"/>
        <v>0</v>
      </c>
      <c r="R1830" s="24">
        <f t="shared" si="7"/>
        <v>1</v>
      </c>
      <c r="S1830" s="24"/>
      <c r="T1830" s="24"/>
    </row>
    <row r="1831">
      <c r="A1831" s="12" t="s">
        <v>1919</v>
      </c>
      <c r="F1831" s="19">
        <f>IFERROR(__xludf.DUMMYFUNCTION("SPLIT(A1827, "" |"")"),1825.0)</f>
        <v>1825</v>
      </c>
      <c r="G1831" s="19">
        <f>IFERROR(__xludf.DUMMYFUNCTION("""COMPUTED_VALUE"""),0.00236)</f>
        <v>0.00236</v>
      </c>
      <c r="H1831" s="19" t="str">
        <f>IFERROR(__xludf.DUMMYFUNCTION("""COMPUTED_VALUE"""),"-")</f>
        <v>-</v>
      </c>
      <c r="I1831" s="19">
        <f>IFERROR(__xludf.DUMMYFUNCTION("""COMPUTED_VALUE"""),0.00222)</f>
        <v>0.00222</v>
      </c>
      <c r="J1831" s="19">
        <f>IFERROR(__xludf.DUMMYFUNCTION("""COMPUTED_VALUE"""),0.04748)</f>
        <v>0.04748</v>
      </c>
      <c r="K1831" s="19" t="str">
        <f>IFERROR(__xludf.DUMMYFUNCTION("""COMPUTED_VALUE"""),"-")</f>
        <v>-</v>
      </c>
      <c r="L1831" s="19" t="str">
        <f>IFERROR(__xludf.DUMMYFUNCTION("""COMPUTED_VALUE"""),"-")</f>
        <v>-</v>
      </c>
      <c r="O1831" s="24">
        <f t="shared" si="4"/>
        <v>0</v>
      </c>
      <c r="P1831" s="24"/>
      <c r="Q1831" s="24">
        <f t="shared" si="6"/>
        <v>0</v>
      </c>
      <c r="R1831" s="24">
        <f t="shared" si="7"/>
        <v>0</v>
      </c>
      <c r="S1831" s="24"/>
      <c r="T1831" s="24"/>
    </row>
    <row r="1832">
      <c r="A1832" s="12" t="s">
        <v>1920</v>
      </c>
      <c r="F1832" s="19">
        <f>IFERROR(__xludf.DUMMYFUNCTION("SPLIT(A1828, "" |"")"),1826.0)</f>
        <v>1826</v>
      </c>
      <c r="G1832" s="19">
        <f>IFERROR(__xludf.DUMMYFUNCTION("""COMPUTED_VALUE"""),0.00232)</f>
        <v>0.00232</v>
      </c>
      <c r="H1832" s="19" t="str">
        <f>IFERROR(__xludf.DUMMYFUNCTION("""COMPUTED_VALUE"""),"-")</f>
        <v>-</v>
      </c>
      <c r="I1832" s="19">
        <f>IFERROR(__xludf.DUMMYFUNCTION("""COMPUTED_VALUE"""),0.00228)</f>
        <v>0.00228</v>
      </c>
      <c r="J1832" s="19">
        <f>IFERROR(__xludf.DUMMYFUNCTION("""COMPUTED_VALUE"""),0.04751)</f>
        <v>0.04751</v>
      </c>
      <c r="K1832" s="19" t="str">
        <f>IFERROR(__xludf.DUMMYFUNCTION("""COMPUTED_VALUE"""),"-")</f>
        <v>-</v>
      </c>
      <c r="L1832" s="19" t="str">
        <f>IFERROR(__xludf.DUMMYFUNCTION("""COMPUTED_VALUE"""),"-")</f>
        <v>-</v>
      </c>
      <c r="O1832" s="24">
        <f t="shared" si="4"/>
        <v>0</v>
      </c>
      <c r="P1832" s="24"/>
      <c r="Q1832" s="24">
        <f t="shared" si="6"/>
        <v>0</v>
      </c>
      <c r="R1832" s="24">
        <f t="shared" si="7"/>
        <v>0</v>
      </c>
      <c r="S1832" s="24"/>
      <c r="T1832" s="24"/>
    </row>
    <row r="1833">
      <c r="A1833" s="12" t="s">
        <v>1921</v>
      </c>
      <c r="F1833" s="19">
        <f>IFERROR(__xludf.DUMMYFUNCTION("SPLIT(A1829, "" |"")"),1827.0)</f>
        <v>1827</v>
      </c>
      <c r="G1833" s="19">
        <f>IFERROR(__xludf.DUMMYFUNCTION("""COMPUTED_VALUE"""),0.00238)</f>
        <v>0.00238</v>
      </c>
      <c r="H1833" s="19" t="str">
        <f>IFERROR(__xludf.DUMMYFUNCTION("""COMPUTED_VALUE"""),"-")</f>
        <v>-</v>
      </c>
      <c r="I1833" s="19">
        <f>IFERROR(__xludf.DUMMYFUNCTION("""COMPUTED_VALUE"""),0.00217)</f>
        <v>0.00217</v>
      </c>
      <c r="J1833" s="19">
        <f>IFERROR(__xludf.DUMMYFUNCTION("""COMPUTED_VALUE"""),0.04745)</f>
        <v>0.04745</v>
      </c>
      <c r="K1833" s="19" t="str">
        <f>IFERROR(__xludf.DUMMYFUNCTION("""COMPUTED_VALUE"""),"-")</f>
        <v>-</v>
      </c>
      <c r="L1833" s="19" t="str">
        <f>IFERROR(__xludf.DUMMYFUNCTION("""COMPUTED_VALUE"""),"-")</f>
        <v>-</v>
      </c>
      <c r="O1833" s="24">
        <f t="shared" si="4"/>
        <v>0</v>
      </c>
      <c r="P1833" s="24"/>
      <c r="Q1833" s="24">
        <f t="shared" si="6"/>
        <v>0</v>
      </c>
      <c r="R1833" s="24">
        <f t="shared" si="7"/>
        <v>0</v>
      </c>
      <c r="S1833" s="24"/>
      <c r="T1833" s="24"/>
    </row>
    <row r="1834">
      <c r="A1834" s="12" t="s">
        <v>1922</v>
      </c>
      <c r="F1834" s="19">
        <f>IFERROR(__xludf.DUMMYFUNCTION("SPLIT(A1830, "" |"")"),1828.0)</f>
        <v>1828</v>
      </c>
      <c r="G1834" s="19">
        <f>IFERROR(__xludf.DUMMYFUNCTION("""COMPUTED_VALUE"""),0.0023)</f>
        <v>0.0023</v>
      </c>
      <c r="H1834" s="19" t="str">
        <f>IFERROR(__xludf.DUMMYFUNCTION("""COMPUTED_VALUE"""),"-")</f>
        <v>-</v>
      </c>
      <c r="I1834" s="19">
        <f>IFERROR(__xludf.DUMMYFUNCTION("""COMPUTED_VALUE"""),0.00216)</f>
        <v>0.00216</v>
      </c>
      <c r="J1834" s="19">
        <f>IFERROR(__xludf.DUMMYFUNCTION("""COMPUTED_VALUE"""),0.04748)</f>
        <v>0.04748</v>
      </c>
      <c r="K1834" s="19" t="str">
        <f>IFERROR(__xludf.DUMMYFUNCTION("""COMPUTED_VALUE"""),"-")</f>
        <v>-</v>
      </c>
      <c r="L1834" s="19" t="str">
        <f>IFERROR(__xludf.DUMMYFUNCTION("""COMPUTED_VALUE"""),"-")</f>
        <v>-</v>
      </c>
      <c r="O1834" s="24">
        <f t="shared" si="4"/>
        <v>0</v>
      </c>
      <c r="P1834" s="24"/>
      <c r="Q1834" s="24">
        <f t="shared" si="6"/>
        <v>0</v>
      </c>
      <c r="R1834" s="24">
        <f t="shared" si="7"/>
        <v>0</v>
      </c>
      <c r="S1834" s="24"/>
      <c r="T1834" s="24"/>
    </row>
    <row r="1835">
      <c r="A1835" s="12" t="s">
        <v>1923</v>
      </c>
      <c r="F1835" s="19">
        <f>IFERROR(__xludf.DUMMYFUNCTION("SPLIT(A1831, "" |"")"),1829.0)</f>
        <v>1829</v>
      </c>
      <c r="G1835" s="19">
        <f>IFERROR(__xludf.DUMMYFUNCTION("""COMPUTED_VALUE"""),0.00239)</f>
        <v>0.00239</v>
      </c>
      <c r="H1835" s="19" t="str">
        <f>IFERROR(__xludf.DUMMYFUNCTION("""COMPUTED_VALUE"""),"-")</f>
        <v>-</v>
      </c>
      <c r="I1835" s="19">
        <f>IFERROR(__xludf.DUMMYFUNCTION("""COMPUTED_VALUE"""),0.00226)</f>
        <v>0.00226</v>
      </c>
      <c r="J1835" s="19">
        <f>IFERROR(__xludf.DUMMYFUNCTION("""COMPUTED_VALUE"""),0.04744)</f>
        <v>0.04744</v>
      </c>
      <c r="K1835" s="19" t="str">
        <f>IFERROR(__xludf.DUMMYFUNCTION("""COMPUTED_VALUE"""),"-")</f>
        <v>-</v>
      </c>
      <c r="L1835" s="19" t="str">
        <f>IFERROR(__xludf.DUMMYFUNCTION("""COMPUTED_VALUE"""),"-")</f>
        <v>-</v>
      </c>
      <c r="O1835" s="24">
        <f t="shared" si="4"/>
        <v>0</v>
      </c>
      <c r="P1835" s="24"/>
      <c r="Q1835" s="24">
        <f t="shared" si="6"/>
        <v>0</v>
      </c>
      <c r="R1835" s="24">
        <f t="shared" si="7"/>
        <v>0</v>
      </c>
      <c r="S1835" s="24"/>
      <c r="T1835" s="24"/>
    </row>
    <row r="1836">
      <c r="A1836" s="12" t="s">
        <v>1924</v>
      </c>
      <c r="F1836" s="19">
        <f>IFERROR(__xludf.DUMMYFUNCTION("SPLIT(A1832, "" |"")"),1830.0)</f>
        <v>1830</v>
      </c>
      <c r="G1836" s="19">
        <f>IFERROR(__xludf.DUMMYFUNCTION("""COMPUTED_VALUE"""),0.00238)</f>
        <v>0.00238</v>
      </c>
      <c r="H1836" s="19" t="str">
        <f>IFERROR(__xludf.DUMMYFUNCTION("""COMPUTED_VALUE"""),"-")</f>
        <v>-</v>
      </c>
      <c r="I1836" s="19">
        <f>IFERROR(__xludf.DUMMYFUNCTION("""COMPUTED_VALUE"""),0.00221)</f>
        <v>0.00221</v>
      </c>
      <c r="J1836" s="19">
        <f>IFERROR(__xludf.DUMMYFUNCTION("""COMPUTED_VALUE"""),0.04737)</f>
        <v>0.04737</v>
      </c>
      <c r="K1836" s="19" t="str">
        <f>IFERROR(__xludf.DUMMYFUNCTION("""COMPUTED_VALUE"""),"-")</f>
        <v>-</v>
      </c>
      <c r="L1836" s="19" t="str">
        <f>IFERROR(__xludf.DUMMYFUNCTION("""COMPUTED_VALUE"""),"-")</f>
        <v>-</v>
      </c>
      <c r="O1836" s="24">
        <f t="shared" si="4"/>
        <v>0</v>
      </c>
      <c r="P1836" s="24"/>
      <c r="Q1836" s="24">
        <f t="shared" si="6"/>
        <v>0</v>
      </c>
      <c r="R1836" s="24">
        <f t="shared" si="7"/>
        <v>0</v>
      </c>
      <c r="S1836" s="24"/>
      <c r="T1836" s="24"/>
    </row>
    <row r="1837">
      <c r="A1837" s="12" t="s">
        <v>1925</v>
      </c>
      <c r="F1837" s="19">
        <f>IFERROR(__xludf.DUMMYFUNCTION("SPLIT(A1833, "" |"")"),1831.0)</f>
        <v>1831</v>
      </c>
      <c r="G1837" s="19">
        <f>IFERROR(__xludf.DUMMYFUNCTION("""COMPUTED_VALUE"""),0.00224)</f>
        <v>0.00224</v>
      </c>
      <c r="H1837" s="19" t="str">
        <f>IFERROR(__xludf.DUMMYFUNCTION("""COMPUTED_VALUE"""),"-")</f>
        <v>-</v>
      </c>
      <c r="I1837" s="19">
        <f>IFERROR(__xludf.DUMMYFUNCTION("""COMPUTED_VALUE"""),0.0022)</f>
        <v>0.0022</v>
      </c>
      <c r="J1837" s="19">
        <f>IFERROR(__xludf.DUMMYFUNCTION("""COMPUTED_VALUE"""),0.04747)</f>
        <v>0.04747</v>
      </c>
      <c r="K1837" s="19" t="str">
        <f>IFERROR(__xludf.DUMMYFUNCTION("""COMPUTED_VALUE"""),"-")</f>
        <v>-</v>
      </c>
      <c r="L1837" s="19" t="str">
        <f>IFERROR(__xludf.DUMMYFUNCTION("""COMPUTED_VALUE"""),"-")</f>
        <v>-</v>
      </c>
      <c r="O1837" s="24">
        <f t="shared" si="4"/>
        <v>0</v>
      </c>
      <c r="P1837" s="24"/>
      <c r="Q1837" s="24">
        <f t="shared" si="6"/>
        <v>0</v>
      </c>
      <c r="R1837" s="24">
        <f t="shared" si="7"/>
        <v>0</v>
      </c>
      <c r="S1837" s="24"/>
      <c r="T1837" s="24"/>
    </row>
    <row r="1838">
      <c r="A1838" s="12" t="s">
        <v>1926</v>
      </c>
      <c r="F1838" s="19">
        <f>IFERROR(__xludf.DUMMYFUNCTION("SPLIT(A1834, "" |"")"),1832.0)</f>
        <v>1832</v>
      </c>
      <c r="G1838" s="19">
        <f>IFERROR(__xludf.DUMMYFUNCTION("""COMPUTED_VALUE"""),0.00237)</f>
        <v>0.00237</v>
      </c>
      <c r="H1838" s="19" t="str">
        <f>IFERROR(__xludf.DUMMYFUNCTION("""COMPUTED_VALUE"""),"-")</f>
        <v>-</v>
      </c>
      <c r="I1838" s="19">
        <f>IFERROR(__xludf.DUMMYFUNCTION("""COMPUTED_VALUE"""),0.00222)</f>
        <v>0.00222</v>
      </c>
      <c r="J1838" s="19">
        <f>IFERROR(__xludf.DUMMYFUNCTION("""COMPUTED_VALUE"""),0.04744)</f>
        <v>0.04744</v>
      </c>
      <c r="K1838" s="19" t="str">
        <f>IFERROR(__xludf.DUMMYFUNCTION("""COMPUTED_VALUE"""),"-")</f>
        <v>-</v>
      </c>
      <c r="L1838" s="19" t="str">
        <f>IFERROR(__xludf.DUMMYFUNCTION("""COMPUTED_VALUE"""),"-")</f>
        <v>-</v>
      </c>
      <c r="O1838" s="24">
        <f t="shared" si="4"/>
        <v>0</v>
      </c>
      <c r="P1838" s="24"/>
      <c r="Q1838" s="24">
        <f t="shared" si="6"/>
        <v>0</v>
      </c>
      <c r="R1838" s="24">
        <f t="shared" si="7"/>
        <v>0</v>
      </c>
      <c r="S1838" s="24"/>
      <c r="T1838" s="24"/>
    </row>
    <row r="1839">
      <c r="A1839" s="12" t="s">
        <v>1927</v>
      </c>
      <c r="F1839" s="19">
        <f>IFERROR(__xludf.DUMMYFUNCTION("SPLIT(A1835, "" |"")"),1833.0)</f>
        <v>1833</v>
      </c>
      <c r="G1839" s="19">
        <f>IFERROR(__xludf.DUMMYFUNCTION("""COMPUTED_VALUE"""),0.00235)</f>
        <v>0.00235</v>
      </c>
      <c r="H1839" s="19" t="str">
        <f>IFERROR(__xludf.DUMMYFUNCTION("""COMPUTED_VALUE"""),"-")</f>
        <v>-</v>
      </c>
      <c r="I1839" s="19">
        <f>IFERROR(__xludf.DUMMYFUNCTION("""COMPUTED_VALUE"""),0.00222)</f>
        <v>0.00222</v>
      </c>
      <c r="J1839" s="19">
        <f>IFERROR(__xludf.DUMMYFUNCTION("""COMPUTED_VALUE"""),0.04748)</f>
        <v>0.04748</v>
      </c>
      <c r="K1839" s="19" t="str">
        <f>IFERROR(__xludf.DUMMYFUNCTION("""COMPUTED_VALUE"""),"-")</f>
        <v>-</v>
      </c>
      <c r="L1839" s="19" t="str">
        <f>IFERROR(__xludf.DUMMYFUNCTION("""COMPUTED_VALUE"""),"-")</f>
        <v>-</v>
      </c>
      <c r="O1839" s="24">
        <f t="shared" si="4"/>
        <v>0</v>
      </c>
      <c r="P1839" s="24"/>
      <c r="Q1839" s="24">
        <f t="shared" si="6"/>
        <v>0</v>
      </c>
      <c r="R1839" s="24">
        <f t="shared" si="7"/>
        <v>0</v>
      </c>
      <c r="S1839" s="24"/>
      <c r="T1839" s="24"/>
    </row>
    <row r="1840">
      <c r="A1840" s="12" t="s">
        <v>1928</v>
      </c>
      <c r="F1840" s="19">
        <f>IFERROR(__xludf.DUMMYFUNCTION("SPLIT(A1836, "" |"")"),1834.0)</f>
        <v>1834</v>
      </c>
      <c r="G1840" s="19">
        <f>IFERROR(__xludf.DUMMYFUNCTION("""COMPUTED_VALUE"""),0.00239)</f>
        <v>0.00239</v>
      </c>
      <c r="H1840" s="19" t="str">
        <f>IFERROR(__xludf.DUMMYFUNCTION("""COMPUTED_VALUE"""),"-")</f>
        <v>-</v>
      </c>
      <c r="I1840" s="19">
        <f>IFERROR(__xludf.DUMMYFUNCTION("""COMPUTED_VALUE"""),0.00225)</f>
        <v>0.00225</v>
      </c>
      <c r="J1840" s="19">
        <f>IFERROR(__xludf.DUMMYFUNCTION("""COMPUTED_VALUE"""),0.0405)</f>
        <v>0.0405</v>
      </c>
      <c r="K1840" s="19" t="str">
        <f>IFERROR(__xludf.DUMMYFUNCTION("""COMPUTED_VALUE"""),"-")</f>
        <v>-</v>
      </c>
      <c r="L1840" s="19" t="str">
        <f>IFERROR(__xludf.DUMMYFUNCTION("""COMPUTED_VALUE"""),"-")</f>
        <v>-</v>
      </c>
      <c r="O1840" s="24">
        <f t="shared" si="4"/>
        <v>0</v>
      </c>
      <c r="P1840" s="24"/>
      <c r="Q1840" s="24">
        <f t="shared" si="6"/>
        <v>0</v>
      </c>
      <c r="R1840" s="24">
        <f t="shared" si="7"/>
        <v>1</v>
      </c>
      <c r="S1840" s="24"/>
      <c r="T1840" s="24"/>
    </row>
    <row r="1841">
      <c r="A1841" s="12" t="s">
        <v>1929</v>
      </c>
      <c r="F1841" s="19">
        <f>IFERROR(__xludf.DUMMYFUNCTION("SPLIT(A1837, "" |"")"),1835.0)</f>
        <v>1835</v>
      </c>
      <c r="G1841" s="19">
        <f>IFERROR(__xludf.DUMMYFUNCTION("""COMPUTED_VALUE"""),0.00236)</f>
        <v>0.00236</v>
      </c>
      <c r="H1841" s="19" t="str">
        <f>IFERROR(__xludf.DUMMYFUNCTION("""COMPUTED_VALUE"""),"-")</f>
        <v>-</v>
      </c>
      <c r="I1841" s="19">
        <f>IFERROR(__xludf.DUMMYFUNCTION("""COMPUTED_VALUE"""),0.0022)</f>
        <v>0.0022</v>
      </c>
      <c r="J1841" s="19">
        <f>IFERROR(__xludf.DUMMYFUNCTION("""COMPUTED_VALUE"""),0.04739)</f>
        <v>0.04739</v>
      </c>
      <c r="K1841" s="19" t="str">
        <f>IFERROR(__xludf.DUMMYFUNCTION("""COMPUTED_VALUE"""),"-")</f>
        <v>-</v>
      </c>
      <c r="L1841" s="19" t="str">
        <f>IFERROR(__xludf.DUMMYFUNCTION("""COMPUTED_VALUE"""),"-")</f>
        <v>-</v>
      </c>
      <c r="O1841" s="24">
        <f t="shared" si="4"/>
        <v>0</v>
      </c>
      <c r="P1841" s="24"/>
      <c r="Q1841" s="24">
        <f t="shared" si="6"/>
        <v>0</v>
      </c>
      <c r="R1841" s="24">
        <f t="shared" si="7"/>
        <v>0</v>
      </c>
      <c r="S1841" s="24"/>
      <c r="T1841" s="24"/>
    </row>
    <row r="1842">
      <c r="A1842" s="12" t="s">
        <v>1930</v>
      </c>
      <c r="F1842" s="19">
        <f>IFERROR(__xludf.DUMMYFUNCTION("SPLIT(A1838, "" |"")"),1836.0)</f>
        <v>1836</v>
      </c>
      <c r="G1842" s="19">
        <f>IFERROR(__xludf.DUMMYFUNCTION("""COMPUTED_VALUE"""),0.00233)</f>
        <v>0.00233</v>
      </c>
      <c r="H1842" s="19" t="str">
        <f>IFERROR(__xludf.DUMMYFUNCTION("""COMPUTED_VALUE"""),"-")</f>
        <v>-</v>
      </c>
      <c r="I1842" s="19">
        <f>IFERROR(__xludf.DUMMYFUNCTION("""COMPUTED_VALUE"""),0.00223)</f>
        <v>0.00223</v>
      </c>
      <c r="J1842" s="19">
        <f>IFERROR(__xludf.DUMMYFUNCTION("""COMPUTED_VALUE"""),0.04749)</f>
        <v>0.04749</v>
      </c>
      <c r="K1842" s="19" t="str">
        <f>IFERROR(__xludf.DUMMYFUNCTION("""COMPUTED_VALUE"""),"-")</f>
        <v>-</v>
      </c>
      <c r="L1842" s="19" t="str">
        <f>IFERROR(__xludf.DUMMYFUNCTION("""COMPUTED_VALUE"""),"-")</f>
        <v>-</v>
      </c>
      <c r="O1842" s="24">
        <f t="shared" si="4"/>
        <v>0</v>
      </c>
      <c r="P1842" s="24"/>
      <c r="Q1842" s="24">
        <f t="shared" si="6"/>
        <v>0</v>
      </c>
      <c r="R1842" s="24">
        <f t="shared" si="7"/>
        <v>0</v>
      </c>
      <c r="S1842" s="24"/>
      <c r="T1842" s="24"/>
    </row>
    <row r="1843">
      <c r="A1843" s="12" t="s">
        <v>1931</v>
      </c>
      <c r="F1843" s="19">
        <f>IFERROR(__xludf.DUMMYFUNCTION("SPLIT(A1839, "" |"")"),1837.0)</f>
        <v>1837</v>
      </c>
      <c r="G1843" s="19">
        <f>IFERROR(__xludf.DUMMYFUNCTION("""COMPUTED_VALUE"""),0.00227)</f>
        <v>0.00227</v>
      </c>
      <c r="H1843" s="19" t="str">
        <f>IFERROR(__xludf.DUMMYFUNCTION("""COMPUTED_VALUE"""),"-")</f>
        <v>-</v>
      </c>
      <c r="I1843" s="19">
        <f>IFERROR(__xludf.DUMMYFUNCTION("""COMPUTED_VALUE"""),0.00206)</f>
        <v>0.00206</v>
      </c>
      <c r="J1843" s="19">
        <f>IFERROR(__xludf.DUMMYFUNCTION("""COMPUTED_VALUE"""),0.0473)</f>
        <v>0.0473</v>
      </c>
      <c r="K1843" s="19" t="str">
        <f>IFERROR(__xludf.DUMMYFUNCTION("""COMPUTED_VALUE"""),"-")</f>
        <v>-</v>
      </c>
      <c r="L1843" s="19" t="str">
        <f>IFERROR(__xludf.DUMMYFUNCTION("""COMPUTED_VALUE"""),"-")</f>
        <v>-</v>
      </c>
      <c r="O1843" s="24">
        <f t="shared" si="4"/>
        <v>0</v>
      </c>
      <c r="P1843" s="24"/>
      <c r="Q1843" s="24">
        <f t="shared" si="6"/>
        <v>0</v>
      </c>
      <c r="R1843" s="24">
        <f t="shared" si="7"/>
        <v>0</v>
      </c>
      <c r="S1843" s="24"/>
      <c r="T1843" s="24"/>
    </row>
    <row r="1844">
      <c r="A1844" s="12" t="s">
        <v>1932</v>
      </c>
      <c r="F1844" s="19">
        <f>IFERROR(__xludf.DUMMYFUNCTION("SPLIT(A1840, "" |"")"),1838.0)</f>
        <v>1838</v>
      </c>
      <c r="G1844" s="19">
        <f>IFERROR(__xludf.DUMMYFUNCTION("""COMPUTED_VALUE"""),0.00244)</f>
        <v>0.00244</v>
      </c>
      <c r="H1844" s="19" t="str">
        <f>IFERROR(__xludf.DUMMYFUNCTION("""COMPUTED_VALUE"""),"-")</f>
        <v>-</v>
      </c>
      <c r="I1844" s="19">
        <f>IFERROR(__xludf.DUMMYFUNCTION("""COMPUTED_VALUE"""),0.0022)</f>
        <v>0.0022</v>
      </c>
      <c r="J1844" s="19">
        <f>IFERROR(__xludf.DUMMYFUNCTION("""COMPUTED_VALUE"""),0.04752)</f>
        <v>0.04752</v>
      </c>
      <c r="K1844" s="19" t="str">
        <f>IFERROR(__xludf.DUMMYFUNCTION("""COMPUTED_VALUE"""),"-")</f>
        <v>-</v>
      </c>
      <c r="L1844" s="19" t="str">
        <f>IFERROR(__xludf.DUMMYFUNCTION("""COMPUTED_VALUE"""),"-")</f>
        <v>-</v>
      </c>
      <c r="O1844" s="24">
        <f t="shared" si="4"/>
        <v>0</v>
      </c>
      <c r="P1844" s="24"/>
      <c r="Q1844" s="24">
        <f t="shared" si="6"/>
        <v>0</v>
      </c>
      <c r="R1844" s="24">
        <f t="shared" si="7"/>
        <v>0</v>
      </c>
      <c r="S1844" s="24"/>
      <c r="T1844" s="24"/>
    </row>
    <row r="1845">
      <c r="A1845" s="12" t="s">
        <v>1933</v>
      </c>
      <c r="F1845" s="19">
        <f>IFERROR(__xludf.DUMMYFUNCTION("SPLIT(A1841, "" |"")"),1839.0)</f>
        <v>1839</v>
      </c>
      <c r="G1845" s="19">
        <f>IFERROR(__xludf.DUMMYFUNCTION("""COMPUTED_VALUE"""),0.00241)</f>
        <v>0.00241</v>
      </c>
      <c r="H1845" s="19" t="str">
        <f>IFERROR(__xludf.DUMMYFUNCTION("""COMPUTED_VALUE"""),"-")</f>
        <v>-</v>
      </c>
      <c r="I1845" s="19">
        <f>IFERROR(__xludf.DUMMYFUNCTION("""COMPUTED_VALUE"""),0.00227)</f>
        <v>0.00227</v>
      </c>
      <c r="J1845" s="19">
        <f>IFERROR(__xludf.DUMMYFUNCTION("""COMPUTED_VALUE"""),0.04744)</f>
        <v>0.04744</v>
      </c>
      <c r="K1845" s="19" t="str">
        <f>IFERROR(__xludf.DUMMYFUNCTION("""COMPUTED_VALUE"""),"-")</f>
        <v>-</v>
      </c>
      <c r="L1845" s="19" t="str">
        <f>IFERROR(__xludf.DUMMYFUNCTION("""COMPUTED_VALUE"""),"-")</f>
        <v>-</v>
      </c>
      <c r="O1845" s="24">
        <f t="shared" si="4"/>
        <v>0</v>
      </c>
      <c r="P1845" s="24"/>
      <c r="Q1845" s="24">
        <f t="shared" si="6"/>
        <v>0</v>
      </c>
      <c r="R1845" s="24">
        <f t="shared" si="7"/>
        <v>0</v>
      </c>
      <c r="S1845" s="24"/>
      <c r="T1845" s="24"/>
    </row>
    <row r="1846">
      <c r="A1846" s="12" t="s">
        <v>1934</v>
      </c>
      <c r="F1846" s="19">
        <f>IFERROR(__xludf.DUMMYFUNCTION("SPLIT(A1842, "" |"")"),1840.0)</f>
        <v>1840</v>
      </c>
      <c r="G1846" s="19">
        <f>IFERROR(__xludf.DUMMYFUNCTION("""COMPUTED_VALUE"""),0.00235)</f>
        <v>0.00235</v>
      </c>
      <c r="H1846" s="19" t="str">
        <f>IFERROR(__xludf.DUMMYFUNCTION("""COMPUTED_VALUE"""),"-")</f>
        <v>-</v>
      </c>
      <c r="I1846" s="19">
        <f>IFERROR(__xludf.DUMMYFUNCTION("""COMPUTED_VALUE"""),0.00221)</f>
        <v>0.00221</v>
      </c>
      <c r="J1846" s="19">
        <f>IFERROR(__xludf.DUMMYFUNCTION("""COMPUTED_VALUE"""),0.04162)</f>
        <v>0.04162</v>
      </c>
      <c r="K1846" s="19" t="str">
        <f>IFERROR(__xludf.DUMMYFUNCTION("""COMPUTED_VALUE"""),"-")</f>
        <v>-</v>
      </c>
      <c r="L1846" s="19" t="str">
        <f>IFERROR(__xludf.DUMMYFUNCTION("""COMPUTED_VALUE"""),"-")</f>
        <v>-</v>
      </c>
      <c r="O1846" s="24">
        <f t="shared" si="4"/>
        <v>0</v>
      </c>
      <c r="P1846" s="24"/>
      <c r="Q1846" s="24">
        <f t="shared" si="6"/>
        <v>0</v>
      </c>
      <c r="R1846" s="24">
        <f t="shared" si="7"/>
        <v>1</v>
      </c>
      <c r="S1846" s="24"/>
      <c r="T1846" s="24"/>
    </row>
    <row r="1847">
      <c r="A1847" s="12" t="s">
        <v>1935</v>
      </c>
      <c r="F1847" s="19">
        <f>IFERROR(__xludf.DUMMYFUNCTION("SPLIT(A1843, "" |"")"),1841.0)</f>
        <v>1841</v>
      </c>
      <c r="G1847" s="19">
        <f>IFERROR(__xludf.DUMMYFUNCTION("""COMPUTED_VALUE"""),0.00226)</f>
        <v>0.00226</v>
      </c>
      <c r="H1847" s="19" t="str">
        <f>IFERROR(__xludf.DUMMYFUNCTION("""COMPUTED_VALUE"""),"-")</f>
        <v>-</v>
      </c>
      <c r="I1847" s="19">
        <f>IFERROR(__xludf.DUMMYFUNCTION("""COMPUTED_VALUE"""),0.00218)</f>
        <v>0.00218</v>
      </c>
      <c r="J1847" s="19">
        <f>IFERROR(__xludf.DUMMYFUNCTION("""COMPUTED_VALUE"""),0.04747)</f>
        <v>0.04747</v>
      </c>
      <c r="K1847" s="19" t="str">
        <f>IFERROR(__xludf.DUMMYFUNCTION("""COMPUTED_VALUE"""),"-")</f>
        <v>-</v>
      </c>
      <c r="L1847" s="19" t="str">
        <f>IFERROR(__xludf.DUMMYFUNCTION("""COMPUTED_VALUE"""),"-")</f>
        <v>-</v>
      </c>
      <c r="O1847" s="24">
        <f t="shared" si="4"/>
        <v>0</v>
      </c>
      <c r="P1847" s="24"/>
      <c r="Q1847" s="24">
        <f t="shared" si="6"/>
        <v>0</v>
      </c>
      <c r="R1847" s="24">
        <f t="shared" si="7"/>
        <v>0</v>
      </c>
      <c r="S1847" s="24"/>
      <c r="T1847" s="24"/>
    </row>
    <row r="1848">
      <c r="A1848" s="12" t="s">
        <v>1936</v>
      </c>
      <c r="F1848" s="19">
        <f>IFERROR(__xludf.DUMMYFUNCTION("SPLIT(A1844, "" |"")"),1842.0)</f>
        <v>1842</v>
      </c>
      <c r="G1848" s="19">
        <f>IFERROR(__xludf.DUMMYFUNCTION("""COMPUTED_VALUE"""),0.00242)</f>
        <v>0.00242</v>
      </c>
      <c r="H1848" s="19" t="str">
        <f>IFERROR(__xludf.DUMMYFUNCTION("""COMPUTED_VALUE"""),"-")</f>
        <v>-</v>
      </c>
      <c r="I1848" s="19">
        <f>IFERROR(__xludf.DUMMYFUNCTION("""COMPUTED_VALUE"""),0.00221)</f>
        <v>0.00221</v>
      </c>
      <c r="J1848" s="19">
        <f>IFERROR(__xludf.DUMMYFUNCTION("""COMPUTED_VALUE"""),0.04491)</f>
        <v>0.04491</v>
      </c>
      <c r="K1848" s="19" t="str">
        <f>IFERROR(__xludf.DUMMYFUNCTION("""COMPUTED_VALUE"""),"-")</f>
        <v>-</v>
      </c>
      <c r="L1848" s="19" t="str">
        <f>IFERROR(__xludf.DUMMYFUNCTION("""COMPUTED_VALUE"""),"-")</f>
        <v>-</v>
      </c>
      <c r="O1848" s="24">
        <f t="shared" si="4"/>
        <v>0</v>
      </c>
      <c r="P1848" s="24"/>
      <c r="Q1848" s="24">
        <f t="shared" si="6"/>
        <v>0</v>
      </c>
      <c r="R1848" s="24">
        <f t="shared" si="7"/>
        <v>1</v>
      </c>
      <c r="S1848" s="24"/>
      <c r="T1848" s="24"/>
    </row>
    <row r="1849">
      <c r="A1849" s="12" t="s">
        <v>1937</v>
      </c>
      <c r="F1849" s="19">
        <f>IFERROR(__xludf.DUMMYFUNCTION("SPLIT(A1845, "" |"")"),1843.0)</f>
        <v>1843</v>
      </c>
      <c r="G1849" s="19">
        <f>IFERROR(__xludf.DUMMYFUNCTION("""COMPUTED_VALUE"""),0.00246)</f>
        <v>0.00246</v>
      </c>
      <c r="H1849" s="19" t="str">
        <f>IFERROR(__xludf.DUMMYFUNCTION("""COMPUTED_VALUE"""),"-")</f>
        <v>-</v>
      </c>
      <c r="I1849" s="19">
        <f>IFERROR(__xludf.DUMMYFUNCTION("""COMPUTED_VALUE"""),0.00235)</f>
        <v>0.00235</v>
      </c>
      <c r="J1849" s="19">
        <f>IFERROR(__xludf.DUMMYFUNCTION("""COMPUTED_VALUE"""),0.04752)</f>
        <v>0.04752</v>
      </c>
      <c r="K1849" s="19" t="str">
        <f>IFERROR(__xludf.DUMMYFUNCTION("""COMPUTED_VALUE"""),"-")</f>
        <v>-</v>
      </c>
      <c r="L1849" s="19" t="str">
        <f>IFERROR(__xludf.DUMMYFUNCTION("""COMPUTED_VALUE"""),"-")</f>
        <v>-</v>
      </c>
      <c r="O1849" s="24">
        <f t="shared" si="4"/>
        <v>0</v>
      </c>
      <c r="P1849" s="24"/>
      <c r="Q1849" s="24">
        <f t="shared" si="6"/>
        <v>0</v>
      </c>
      <c r="R1849" s="24">
        <f t="shared" si="7"/>
        <v>0</v>
      </c>
      <c r="S1849" s="24"/>
      <c r="T1849" s="24"/>
    </row>
    <row r="1850">
      <c r="A1850" s="12" t="s">
        <v>1938</v>
      </c>
      <c r="F1850" s="19">
        <f>IFERROR(__xludf.DUMMYFUNCTION("SPLIT(A1846, "" |"")"),1844.0)</f>
        <v>1844</v>
      </c>
      <c r="G1850" s="19">
        <f>IFERROR(__xludf.DUMMYFUNCTION("""COMPUTED_VALUE"""),0.00243)</f>
        <v>0.00243</v>
      </c>
      <c r="H1850" s="19" t="str">
        <f>IFERROR(__xludf.DUMMYFUNCTION("""COMPUTED_VALUE"""),"-")</f>
        <v>-</v>
      </c>
      <c r="I1850" s="19">
        <f>IFERROR(__xludf.DUMMYFUNCTION("""COMPUTED_VALUE"""),0.00224)</f>
        <v>0.00224</v>
      </c>
      <c r="J1850" s="19">
        <f>IFERROR(__xludf.DUMMYFUNCTION("""COMPUTED_VALUE"""),0.04655)</f>
        <v>0.04655</v>
      </c>
      <c r="K1850" s="19" t="str">
        <f>IFERROR(__xludf.DUMMYFUNCTION("""COMPUTED_VALUE"""),"-")</f>
        <v>-</v>
      </c>
      <c r="L1850" s="19" t="str">
        <f>IFERROR(__xludf.DUMMYFUNCTION("""COMPUTED_VALUE"""),"-")</f>
        <v>-</v>
      </c>
      <c r="O1850" s="24">
        <f t="shared" si="4"/>
        <v>0</v>
      </c>
      <c r="P1850" s="24"/>
      <c r="Q1850" s="24">
        <f t="shared" si="6"/>
        <v>0</v>
      </c>
      <c r="R1850" s="24">
        <f t="shared" si="7"/>
        <v>0</v>
      </c>
      <c r="S1850" s="24"/>
      <c r="T1850" s="24"/>
    </row>
    <row r="1851">
      <c r="A1851" s="12" t="s">
        <v>1939</v>
      </c>
      <c r="F1851" s="19">
        <f>IFERROR(__xludf.DUMMYFUNCTION("SPLIT(A1847, "" |"")"),1845.0)</f>
        <v>1845</v>
      </c>
      <c r="G1851" s="19">
        <f>IFERROR(__xludf.DUMMYFUNCTION("""COMPUTED_VALUE"""),0.00233)</f>
        <v>0.00233</v>
      </c>
      <c r="H1851" s="19" t="str">
        <f>IFERROR(__xludf.DUMMYFUNCTION("""COMPUTED_VALUE"""),"-")</f>
        <v>-</v>
      </c>
      <c r="I1851" s="19">
        <f>IFERROR(__xludf.DUMMYFUNCTION("""COMPUTED_VALUE"""),0.00218)</f>
        <v>0.00218</v>
      </c>
      <c r="J1851" s="19">
        <f>IFERROR(__xludf.DUMMYFUNCTION("""COMPUTED_VALUE"""),0.04198)</f>
        <v>0.04198</v>
      </c>
      <c r="K1851" s="19" t="str">
        <f>IFERROR(__xludf.DUMMYFUNCTION("""COMPUTED_VALUE"""),"-")</f>
        <v>-</v>
      </c>
      <c r="L1851" s="19" t="str">
        <f>IFERROR(__xludf.DUMMYFUNCTION("""COMPUTED_VALUE"""),"-")</f>
        <v>-</v>
      </c>
      <c r="O1851" s="24">
        <f t="shared" si="4"/>
        <v>0</v>
      </c>
      <c r="P1851" s="24"/>
      <c r="Q1851" s="24">
        <f t="shared" si="6"/>
        <v>0</v>
      </c>
      <c r="R1851" s="24">
        <f t="shared" si="7"/>
        <v>1</v>
      </c>
      <c r="S1851" s="24"/>
      <c r="T1851" s="24"/>
    </row>
    <row r="1852">
      <c r="A1852" s="12" t="s">
        <v>1940</v>
      </c>
      <c r="F1852" s="19">
        <f>IFERROR(__xludf.DUMMYFUNCTION("SPLIT(A1848, "" |"")"),1846.0)</f>
        <v>1846</v>
      </c>
      <c r="G1852" s="19">
        <f>IFERROR(__xludf.DUMMYFUNCTION("""COMPUTED_VALUE"""),0.00253)</f>
        <v>0.00253</v>
      </c>
      <c r="H1852" s="19" t="str">
        <f>IFERROR(__xludf.DUMMYFUNCTION("""COMPUTED_VALUE"""),"-")</f>
        <v>-</v>
      </c>
      <c r="I1852" s="19">
        <f>IFERROR(__xludf.DUMMYFUNCTION("""COMPUTED_VALUE"""),0.00219)</f>
        <v>0.00219</v>
      </c>
      <c r="J1852" s="19">
        <f>IFERROR(__xludf.DUMMYFUNCTION("""COMPUTED_VALUE"""),0.04718)</f>
        <v>0.04718</v>
      </c>
      <c r="K1852" s="19" t="str">
        <f>IFERROR(__xludf.DUMMYFUNCTION("""COMPUTED_VALUE"""),"-")</f>
        <v>-</v>
      </c>
      <c r="L1852" s="19" t="str">
        <f>IFERROR(__xludf.DUMMYFUNCTION("""COMPUTED_VALUE"""),"-")</f>
        <v>-</v>
      </c>
      <c r="O1852" s="24">
        <f t="shared" si="4"/>
        <v>0</v>
      </c>
      <c r="P1852" s="24"/>
      <c r="Q1852" s="24">
        <f t="shared" si="6"/>
        <v>0</v>
      </c>
      <c r="R1852" s="24">
        <f t="shared" si="7"/>
        <v>0</v>
      </c>
      <c r="S1852" s="24"/>
      <c r="T1852" s="24"/>
    </row>
    <row r="1853">
      <c r="A1853" s="12" t="s">
        <v>1941</v>
      </c>
      <c r="F1853" s="19">
        <f>IFERROR(__xludf.DUMMYFUNCTION("SPLIT(A1849, "" |"")"),1847.0)</f>
        <v>1847</v>
      </c>
      <c r="G1853" s="19">
        <f>IFERROR(__xludf.DUMMYFUNCTION("""COMPUTED_VALUE"""),0.00246)</f>
        <v>0.00246</v>
      </c>
      <c r="H1853" s="19" t="str">
        <f>IFERROR(__xludf.DUMMYFUNCTION("""COMPUTED_VALUE"""),"-")</f>
        <v>-</v>
      </c>
      <c r="I1853" s="19">
        <f>IFERROR(__xludf.DUMMYFUNCTION("""COMPUTED_VALUE"""),0.00223)</f>
        <v>0.00223</v>
      </c>
      <c r="J1853" s="19">
        <f>IFERROR(__xludf.DUMMYFUNCTION("""COMPUTED_VALUE"""),0.04743)</f>
        <v>0.04743</v>
      </c>
      <c r="K1853" s="19" t="str">
        <f>IFERROR(__xludf.DUMMYFUNCTION("""COMPUTED_VALUE"""),"-")</f>
        <v>-</v>
      </c>
      <c r="L1853" s="19" t="str">
        <f>IFERROR(__xludf.DUMMYFUNCTION("""COMPUTED_VALUE"""),"-")</f>
        <v>-</v>
      </c>
      <c r="O1853" s="24">
        <f t="shared" si="4"/>
        <v>0</v>
      </c>
      <c r="P1853" s="24"/>
      <c r="Q1853" s="24">
        <f t="shared" si="6"/>
        <v>0</v>
      </c>
      <c r="R1853" s="24">
        <f t="shared" si="7"/>
        <v>0</v>
      </c>
      <c r="S1853" s="24"/>
      <c r="T1853" s="24"/>
    </row>
    <row r="1854">
      <c r="A1854" s="12" t="s">
        <v>1942</v>
      </c>
      <c r="F1854" s="19">
        <f>IFERROR(__xludf.DUMMYFUNCTION("SPLIT(A1850, "" |"")"),1848.0)</f>
        <v>1848</v>
      </c>
      <c r="G1854" s="19">
        <f>IFERROR(__xludf.DUMMYFUNCTION("""COMPUTED_VALUE"""),0.00224)</f>
        <v>0.00224</v>
      </c>
      <c r="H1854" s="19" t="str">
        <f>IFERROR(__xludf.DUMMYFUNCTION("""COMPUTED_VALUE"""),"-")</f>
        <v>-</v>
      </c>
      <c r="I1854" s="19">
        <f>IFERROR(__xludf.DUMMYFUNCTION("""COMPUTED_VALUE"""),0.00214)</f>
        <v>0.00214</v>
      </c>
      <c r="J1854" s="19">
        <f>IFERROR(__xludf.DUMMYFUNCTION("""COMPUTED_VALUE"""),0.04741)</f>
        <v>0.04741</v>
      </c>
      <c r="K1854" s="19" t="str">
        <f>IFERROR(__xludf.DUMMYFUNCTION("""COMPUTED_VALUE"""),"-")</f>
        <v>-</v>
      </c>
      <c r="L1854" s="19" t="str">
        <f>IFERROR(__xludf.DUMMYFUNCTION("""COMPUTED_VALUE"""),"-")</f>
        <v>-</v>
      </c>
      <c r="O1854" s="24">
        <f t="shared" si="4"/>
        <v>0</v>
      </c>
      <c r="P1854" s="24"/>
      <c r="Q1854" s="24">
        <f t="shared" si="6"/>
        <v>0</v>
      </c>
      <c r="R1854" s="24">
        <f t="shared" si="7"/>
        <v>0</v>
      </c>
      <c r="S1854" s="24"/>
      <c r="T1854" s="24"/>
    </row>
    <row r="1855">
      <c r="A1855" s="12" t="s">
        <v>1943</v>
      </c>
      <c r="F1855" s="19">
        <f>IFERROR(__xludf.DUMMYFUNCTION("SPLIT(A1851, "" |"")"),1849.0)</f>
        <v>1849</v>
      </c>
      <c r="G1855" s="19">
        <f>IFERROR(__xludf.DUMMYFUNCTION("""COMPUTED_VALUE"""),0.00238)</f>
        <v>0.00238</v>
      </c>
      <c r="H1855" s="19" t="str">
        <f>IFERROR(__xludf.DUMMYFUNCTION("""COMPUTED_VALUE"""),"-")</f>
        <v>-</v>
      </c>
      <c r="I1855" s="19">
        <f>IFERROR(__xludf.DUMMYFUNCTION("""COMPUTED_VALUE"""),0.00217)</f>
        <v>0.00217</v>
      </c>
      <c r="J1855" s="19">
        <f>IFERROR(__xludf.DUMMYFUNCTION("""COMPUTED_VALUE"""),0.04749)</f>
        <v>0.04749</v>
      </c>
      <c r="K1855" s="19" t="str">
        <f>IFERROR(__xludf.DUMMYFUNCTION("""COMPUTED_VALUE"""),"-")</f>
        <v>-</v>
      </c>
      <c r="L1855" s="19" t="str">
        <f>IFERROR(__xludf.DUMMYFUNCTION("""COMPUTED_VALUE"""),"-")</f>
        <v>-</v>
      </c>
      <c r="O1855" s="24">
        <f t="shared" si="4"/>
        <v>0</v>
      </c>
      <c r="P1855" s="24"/>
      <c r="Q1855" s="24">
        <f t="shared" si="6"/>
        <v>0</v>
      </c>
      <c r="R1855" s="24">
        <f t="shared" si="7"/>
        <v>0</v>
      </c>
      <c r="S1855" s="24"/>
      <c r="T1855" s="24"/>
    </row>
    <row r="1856">
      <c r="A1856" s="12" t="s">
        <v>1944</v>
      </c>
      <c r="F1856" s="19">
        <f>IFERROR(__xludf.DUMMYFUNCTION("SPLIT(A1852, "" |"")"),1850.0)</f>
        <v>1850</v>
      </c>
      <c r="G1856" s="19">
        <f>IFERROR(__xludf.DUMMYFUNCTION("""COMPUTED_VALUE"""),0.00244)</f>
        <v>0.00244</v>
      </c>
      <c r="H1856" s="19" t="str">
        <f>IFERROR(__xludf.DUMMYFUNCTION("""COMPUTED_VALUE"""),"-")</f>
        <v>-</v>
      </c>
      <c r="I1856" s="19">
        <f>IFERROR(__xludf.DUMMYFUNCTION("""COMPUTED_VALUE"""),0.00228)</f>
        <v>0.00228</v>
      </c>
      <c r="J1856" s="19">
        <f>IFERROR(__xludf.DUMMYFUNCTION("""COMPUTED_VALUE"""),0.04488)</f>
        <v>0.04488</v>
      </c>
      <c r="K1856" s="19" t="str">
        <f>IFERROR(__xludf.DUMMYFUNCTION("""COMPUTED_VALUE"""),"-")</f>
        <v>-</v>
      </c>
      <c r="L1856" s="19" t="str">
        <f>IFERROR(__xludf.DUMMYFUNCTION("""COMPUTED_VALUE"""),"-")</f>
        <v>-</v>
      </c>
      <c r="O1856" s="24">
        <f t="shared" si="4"/>
        <v>0</v>
      </c>
      <c r="P1856" s="24"/>
      <c r="Q1856" s="24">
        <f t="shared" si="6"/>
        <v>0</v>
      </c>
      <c r="R1856" s="24">
        <f t="shared" si="7"/>
        <v>1</v>
      </c>
      <c r="S1856" s="24"/>
      <c r="T1856" s="24"/>
    </row>
    <row r="1857">
      <c r="A1857" s="12" t="s">
        <v>1945</v>
      </c>
      <c r="F1857" s="19">
        <f>IFERROR(__xludf.DUMMYFUNCTION("SPLIT(A1853, "" |"")"),1851.0)</f>
        <v>1851</v>
      </c>
      <c r="G1857" s="19">
        <f>IFERROR(__xludf.DUMMYFUNCTION("""COMPUTED_VALUE"""),0.00238)</f>
        <v>0.00238</v>
      </c>
      <c r="H1857" s="19" t="str">
        <f>IFERROR(__xludf.DUMMYFUNCTION("""COMPUTED_VALUE"""),"-")</f>
        <v>-</v>
      </c>
      <c r="I1857" s="19">
        <f>IFERROR(__xludf.DUMMYFUNCTION("""COMPUTED_VALUE"""),0.0022)</f>
        <v>0.0022</v>
      </c>
      <c r="J1857" s="19">
        <f>IFERROR(__xludf.DUMMYFUNCTION("""COMPUTED_VALUE"""),0.04745)</f>
        <v>0.04745</v>
      </c>
      <c r="K1857" s="19" t="str">
        <f>IFERROR(__xludf.DUMMYFUNCTION("""COMPUTED_VALUE"""),"-")</f>
        <v>-</v>
      </c>
      <c r="L1857" s="19" t="str">
        <f>IFERROR(__xludf.DUMMYFUNCTION("""COMPUTED_VALUE"""),"-")</f>
        <v>-</v>
      </c>
      <c r="O1857" s="24">
        <f t="shared" si="4"/>
        <v>0</v>
      </c>
      <c r="P1857" s="24"/>
      <c r="Q1857" s="24">
        <f t="shared" si="6"/>
        <v>0</v>
      </c>
      <c r="R1857" s="24">
        <f t="shared" si="7"/>
        <v>0</v>
      </c>
      <c r="S1857" s="24"/>
      <c r="T1857" s="24"/>
    </row>
    <row r="1858">
      <c r="A1858" s="12" t="s">
        <v>1946</v>
      </c>
      <c r="F1858" s="19">
        <f>IFERROR(__xludf.DUMMYFUNCTION("SPLIT(A1854, "" |"")"),1852.0)</f>
        <v>1852</v>
      </c>
      <c r="G1858" s="19">
        <f>IFERROR(__xludf.DUMMYFUNCTION("""COMPUTED_VALUE"""),0.00234)</f>
        <v>0.00234</v>
      </c>
      <c r="H1858" s="19" t="str">
        <f>IFERROR(__xludf.DUMMYFUNCTION("""COMPUTED_VALUE"""),"-")</f>
        <v>-</v>
      </c>
      <c r="I1858" s="19">
        <f>IFERROR(__xludf.DUMMYFUNCTION("""COMPUTED_VALUE"""),0.00219)</f>
        <v>0.00219</v>
      </c>
      <c r="J1858" s="19">
        <f>IFERROR(__xludf.DUMMYFUNCTION("""COMPUTED_VALUE"""),0.03984)</f>
        <v>0.03984</v>
      </c>
      <c r="K1858" s="19" t="str">
        <f>IFERROR(__xludf.DUMMYFUNCTION("""COMPUTED_VALUE"""),"-")</f>
        <v>-</v>
      </c>
      <c r="L1858" s="19" t="str">
        <f>IFERROR(__xludf.DUMMYFUNCTION("""COMPUTED_VALUE"""),"-")</f>
        <v>-</v>
      </c>
      <c r="O1858" s="24">
        <f t="shared" si="4"/>
        <v>0</v>
      </c>
      <c r="P1858" s="24"/>
      <c r="Q1858" s="24">
        <f t="shared" si="6"/>
        <v>0</v>
      </c>
      <c r="R1858" s="24">
        <f t="shared" si="7"/>
        <v>1</v>
      </c>
      <c r="S1858" s="24"/>
      <c r="T1858" s="24"/>
    </row>
    <row r="1859">
      <c r="A1859" s="12" t="s">
        <v>1947</v>
      </c>
      <c r="F1859" s="19">
        <f>IFERROR(__xludf.DUMMYFUNCTION("SPLIT(A1855, "" |"")"),1853.0)</f>
        <v>1853</v>
      </c>
      <c r="G1859" s="19">
        <f>IFERROR(__xludf.DUMMYFUNCTION("""COMPUTED_VALUE"""),0.00227)</f>
        <v>0.00227</v>
      </c>
      <c r="H1859" s="19" t="str">
        <f>IFERROR(__xludf.DUMMYFUNCTION("""COMPUTED_VALUE"""),"-")</f>
        <v>-</v>
      </c>
      <c r="I1859" s="19">
        <f>IFERROR(__xludf.DUMMYFUNCTION("""COMPUTED_VALUE"""),0.00216)</f>
        <v>0.00216</v>
      </c>
      <c r="J1859" s="19">
        <f>IFERROR(__xludf.DUMMYFUNCTION("""COMPUTED_VALUE"""),0.04744)</f>
        <v>0.04744</v>
      </c>
      <c r="K1859" s="19" t="str">
        <f>IFERROR(__xludf.DUMMYFUNCTION("""COMPUTED_VALUE"""),"-")</f>
        <v>-</v>
      </c>
      <c r="L1859" s="19" t="str">
        <f>IFERROR(__xludf.DUMMYFUNCTION("""COMPUTED_VALUE"""),"-")</f>
        <v>-</v>
      </c>
      <c r="O1859" s="24">
        <f t="shared" si="4"/>
        <v>0</v>
      </c>
      <c r="P1859" s="24"/>
      <c r="Q1859" s="24">
        <f t="shared" si="6"/>
        <v>0</v>
      </c>
      <c r="R1859" s="24">
        <f t="shared" si="7"/>
        <v>0</v>
      </c>
      <c r="S1859" s="24"/>
      <c r="T1859" s="24"/>
    </row>
    <row r="1860">
      <c r="A1860" s="12" t="s">
        <v>1948</v>
      </c>
      <c r="F1860" s="19">
        <f>IFERROR(__xludf.DUMMYFUNCTION("SPLIT(A1856, "" |"")"),1854.0)</f>
        <v>1854</v>
      </c>
      <c r="G1860" s="19">
        <f>IFERROR(__xludf.DUMMYFUNCTION("""COMPUTED_VALUE"""),0.0024)</f>
        <v>0.0024</v>
      </c>
      <c r="H1860" s="19" t="str">
        <f>IFERROR(__xludf.DUMMYFUNCTION("""COMPUTED_VALUE"""),"-")</f>
        <v>-</v>
      </c>
      <c r="I1860" s="19">
        <f>IFERROR(__xludf.DUMMYFUNCTION("""COMPUTED_VALUE"""),0.00225)</f>
        <v>0.00225</v>
      </c>
      <c r="J1860" s="19">
        <f>IFERROR(__xludf.DUMMYFUNCTION("""COMPUTED_VALUE"""),0.04006)</f>
        <v>0.04006</v>
      </c>
      <c r="K1860" s="19" t="str">
        <f>IFERROR(__xludf.DUMMYFUNCTION("""COMPUTED_VALUE"""),"-")</f>
        <v>-</v>
      </c>
      <c r="L1860" s="19" t="str">
        <f>IFERROR(__xludf.DUMMYFUNCTION("""COMPUTED_VALUE"""),"-")</f>
        <v>-</v>
      </c>
      <c r="O1860" s="24">
        <f t="shared" si="4"/>
        <v>0</v>
      </c>
      <c r="P1860" s="24"/>
      <c r="Q1860" s="24">
        <f t="shared" si="6"/>
        <v>0</v>
      </c>
      <c r="R1860" s="24">
        <f t="shared" si="7"/>
        <v>1</v>
      </c>
      <c r="S1860" s="24"/>
      <c r="T1860" s="24"/>
    </row>
    <row r="1861">
      <c r="A1861" s="12" t="s">
        <v>1949</v>
      </c>
      <c r="F1861" s="19">
        <f>IFERROR(__xludf.DUMMYFUNCTION("SPLIT(A1857, "" |"")"),1855.0)</f>
        <v>1855</v>
      </c>
      <c r="G1861" s="19">
        <f>IFERROR(__xludf.DUMMYFUNCTION("""COMPUTED_VALUE"""),0.00226)</f>
        <v>0.00226</v>
      </c>
      <c r="H1861" s="19" t="str">
        <f>IFERROR(__xludf.DUMMYFUNCTION("""COMPUTED_VALUE"""),"-")</f>
        <v>-</v>
      </c>
      <c r="I1861" s="19">
        <f>IFERROR(__xludf.DUMMYFUNCTION("""COMPUTED_VALUE"""),0.00224)</f>
        <v>0.00224</v>
      </c>
      <c r="J1861" s="19">
        <f>IFERROR(__xludf.DUMMYFUNCTION("""COMPUTED_VALUE"""),0.04748)</f>
        <v>0.04748</v>
      </c>
      <c r="K1861" s="19" t="str">
        <f>IFERROR(__xludf.DUMMYFUNCTION("""COMPUTED_VALUE"""),"-")</f>
        <v>-</v>
      </c>
      <c r="L1861" s="19" t="str">
        <f>IFERROR(__xludf.DUMMYFUNCTION("""COMPUTED_VALUE"""),"-")</f>
        <v>-</v>
      </c>
      <c r="O1861" s="24">
        <f t="shared" si="4"/>
        <v>0</v>
      </c>
      <c r="P1861" s="24"/>
      <c r="Q1861" s="24">
        <f t="shared" si="6"/>
        <v>0</v>
      </c>
      <c r="R1861" s="24">
        <f t="shared" si="7"/>
        <v>0</v>
      </c>
      <c r="S1861" s="24"/>
      <c r="T1861" s="24"/>
    </row>
    <row r="1862">
      <c r="A1862" s="12" t="s">
        <v>1950</v>
      </c>
      <c r="F1862" s="19">
        <f>IFERROR(__xludf.DUMMYFUNCTION("SPLIT(A1858, "" |"")"),1856.0)</f>
        <v>1856</v>
      </c>
      <c r="G1862" s="19">
        <f>IFERROR(__xludf.DUMMYFUNCTION("""COMPUTED_VALUE"""),0.00241)</f>
        <v>0.00241</v>
      </c>
      <c r="H1862" s="19" t="str">
        <f>IFERROR(__xludf.DUMMYFUNCTION("""COMPUTED_VALUE"""),"-")</f>
        <v>-</v>
      </c>
      <c r="I1862" s="19">
        <f>IFERROR(__xludf.DUMMYFUNCTION("""COMPUTED_VALUE"""),0.00215)</f>
        <v>0.00215</v>
      </c>
      <c r="J1862" s="19">
        <f>IFERROR(__xludf.DUMMYFUNCTION("""COMPUTED_VALUE"""),0.04629)</f>
        <v>0.04629</v>
      </c>
      <c r="K1862" s="19" t="str">
        <f>IFERROR(__xludf.DUMMYFUNCTION("""COMPUTED_VALUE"""),"-")</f>
        <v>-</v>
      </c>
      <c r="L1862" s="19" t="str">
        <f>IFERROR(__xludf.DUMMYFUNCTION("""COMPUTED_VALUE"""),"-")</f>
        <v>-</v>
      </c>
      <c r="O1862" s="24">
        <f t="shared" si="4"/>
        <v>0</v>
      </c>
      <c r="P1862" s="24"/>
      <c r="Q1862" s="24">
        <f t="shared" si="6"/>
        <v>0</v>
      </c>
      <c r="R1862" s="24">
        <f t="shared" si="7"/>
        <v>0</v>
      </c>
      <c r="S1862" s="24"/>
      <c r="T1862" s="24"/>
    </row>
    <row r="1863">
      <c r="A1863" s="12" t="s">
        <v>1951</v>
      </c>
      <c r="F1863" s="19">
        <f>IFERROR(__xludf.DUMMYFUNCTION("SPLIT(A1859, "" |"")"),1857.0)</f>
        <v>1857</v>
      </c>
      <c r="G1863" s="19">
        <f>IFERROR(__xludf.DUMMYFUNCTION("""COMPUTED_VALUE"""),0.0024)</f>
        <v>0.0024</v>
      </c>
      <c r="H1863" s="19" t="str">
        <f>IFERROR(__xludf.DUMMYFUNCTION("""COMPUTED_VALUE"""),"-")</f>
        <v>-</v>
      </c>
      <c r="I1863" s="19">
        <f>IFERROR(__xludf.DUMMYFUNCTION("""COMPUTED_VALUE"""),0.00221)</f>
        <v>0.00221</v>
      </c>
      <c r="J1863" s="19">
        <f>IFERROR(__xludf.DUMMYFUNCTION("""COMPUTED_VALUE"""),0.04751)</f>
        <v>0.04751</v>
      </c>
      <c r="K1863" s="19" t="str">
        <f>IFERROR(__xludf.DUMMYFUNCTION("""COMPUTED_VALUE"""),"-")</f>
        <v>-</v>
      </c>
      <c r="L1863" s="19" t="str">
        <f>IFERROR(__xludf.DUMMYFUNCTION("""COMPUTED_VALUE"""),"-")</f>
        <v>-</v>
      </c>
      <c r="O1863" s="24">
        <f t="shared" si="4"/>
        <v>0</v>
      </c>
      <c r="P1863" s="24"/>
      <c r="Q1863" s="24">
        <f t="shared" si="6"/>
        <v>0</v>
      </c>
      <c r="R1863" s="24">
        <f t="shared" si="7"/>
        <v>0</v>
      </c>
      <c r="S1863" s="24"/>
      <c r="T1863" s="24"/>
    </row>
    <row r="1864">
      <c r="A1864" s="12" t="s">
        <v>1952</v>
      </c>
      <c r="F1864" s="19">
        <f>IFERROR(__xludf.DUMMYFUNCTION("SPLIT(A1860, "" |"")"),1858.0)</f>
        <v>1858</v>
      </c>
      <c r="G1864" s="19">
        <f>IFERROR(__xludf.DUMMYFUNCTION("""COMPUTED_VALUE"""),0.00232)</f>
        <v>0.00232</v>
      </c>
      <c r="H1864" s="19" t="str">
        <f>IFERROR(__xludf.DUMMYFUNCTION("""COMPUTED_VALUE"""),"-")</f>
        <v>-</v>
      </c>
      <c r="I1864" s="19">
        <f>IFERROR(__xludf.DUMMYFUNCTION("""COMPUTED_VALUE"""),0.00217)</f>
        <v>0.00217</v>
      </c>
      <c r="J1864" s="19">
        <f>IFERROR(__xludf.DUMMYFUNCTION("""COMPUTED_VALUE"""),0.04734)</f>
        <v>0.04734</v>
      </c>
      <c r="K1864" s="19" t="str">
        <f>IFERROR(__xludf.DUMMYFUNCTION("""COMPUTED_VALUE"""),"-")</f>
        <v>-</v>
      </c>
      <c r="L1864" s="19" t="str">
        <f>IFERROR(__xludf.DUMMYFUNCTION("""COMPUTED_VALUE"""),"-")</f>
        <v>-</v>
      </c>
      <c r="O1864" s="24">
        <f t="shared" si="4"/>
        <v>0</v>
      </c>
      <c r="P1864" s="24"/>
      <c r="Q1864" s="24">
        <f t="shared" si="6"/>
        <v>0</v>
      </c>
      <c r="R1864" s="24">
        <f t="shared" si="7"/>
        <v>0</v>
      </c>
      <c r="S1864" s="24"/>
      <c r="T1864" s="24"/>
    </row>
    <row r="1865">
      <c r="A1865" s="12" t="s">
        <v>1953</v>
      </c>
      <c r="F1865" s="19">
        <f>IFERROR(__xludf.DUMMYFUNCTION("SPLIT(A1861, "" |"")"),1859.0)</f>
        <v>1859</v>
      </c>
      <c r="G1865" s="19">
        <f>IFERROR(__xludf.DUMMYFUNCTION("""COMPUTED_VALUE"""),0.00237)</f>
        <v>0.00237</v>
      </c>
      <c r="H1865" s="19" t="str">
        <f>IFERROR(__xludf.DUMMYFUNCTION("""COMPUTED_VALUE"""),"-")</f>
        <v>-</v>
      </c>
      <c r="I1865" s="19">
        <f>IFERROR(__xludf.DUMMYFUNCTION("""COMPUTED_VALUE"""),0.00224)</f>
        <v>0.00224</v>
      </c>
      <c r="J1865" s="19">
        <f>IFERROR(__xludf.DUMMYFUNCTION("""COMPUTED_VALUE"""),0.04717)</f>
        <v>0.04717</v>
      </c>
      <c r="K1865" s="19" t="str">
        <f>IFERROR(__xludf.DUMMYFUNCTION("""COMPUTED_VALUE"""),"-")</f>
        <v>-</v>
      </c>
      <c r="L1865" s="19" t="str">
        <f>IFERROR(__xludf.DUMMYFUNCTION("""COMPUTED_VALUE"""),"-")</f>
        <v>-</v>
      </c>
      <c r="O1865" s="24">
        <f t="shared" si="4"/>
        <v>0</v>
      </c>
      <c r="P1865" s="24"/>
      <c r="Q1865" s="24">
        <f t="shared" si="6"/>
        <v>0</v>
      </c>
      <c r="R1865" s="24">
        <f t="shared" si="7"/>
        <v>0</v>
      </c>
      <c r="S1865" s="24"/>
      <c r="T1865" s="24"/>
    </row>
    <row r="1866">
      <c r="A1866" s="12" t="s">
        <v>1954</v>
      </c>
      <c r="F1866" s="19">
        <f>IFERROR(__xludf.DUMMYFUNCTION("SPLIT(A1862, "" |"")"),1860.0)</f>
        <v>1860</v>
      </c>
      <c r="G1866" s="19">
        <f>IFERROR(__xludf.DUMMYFUNCTION("""COMPUTED_VALUE"""),0.0024)</f>
        <v>0.0024</v>
      </c>
      <c r="H1866" s="19" t="str">
        <f>IFERROR(__xludf.DUMMYFUNCTION("""COMPUTED_VALUE"""),"-")</f>
        <v>-</v>
      </c>
      <c r="I1866" s="19">
        <f>IFERROR(__xludf.DUMMYFUNCTION("""COMPUTED_VALUE"""),0.00221)</f>
        <v>0.00221</v>
      </c>
      <c r="J1866" s="19">
        <f>IFERROR(__xludf.DUMMYFUNCTION("""COMPUTED_VALUE"""),0.04748)</f>
        <v>0.04748</v>
      </c>
      <c r="K1866" s="19" t="str">
        <f>IFERROR(__xludf.DUMMYFUNCTION("""COMPUTED_VALUE"""),"-")</f>
        <v>-</v>
      </c>
      <c r="L1866" s="19" t="str">
        <f>IFERROR(__xludf.DUMMYFUNCTION("""COMPUTED_VALUE"""),"-")</f>
        <v>-</v>
      </c>
      <c r="O1866" s="24">
        <f t="shared" si="4"/>
        <v>0</v>
      </c>
      <c r="P1866" s="24"/>
      <c r="Q1866" s="24">
        <f t="shared" si="6"/>
        <v>0</v>
      </c>
      <c r="R1866" s="24">
        <f t="shared" si="7"/>
        <v>0</v>
      </c>
      <c r="S1866" s="24"/>
      <c r="T1866" s="24"/>
    </row>
    <row r="1867">
      <c r="A1867" s="12" t="s">
        <v>1955</v>
      </c>
      <c r="F1867" s="19">
        <f>IFERROR(__xludf.DUMMYFUNCTION("SPLIT(A1863, "" |"")"),1861.0)</f>
        <v>1861</v>
      </c>
      <c r="G1867" s="19">
        <f>IFERROR(__xludf.DUMMYFUNCTION("""COMPUTED_VALUE"""),0.00234)</f>
        <v>0.00234</v>
      </c>
      <c r="H1867" s="19" t="str">
        <f>IFERROR(__xludf.DUMMYFUNCTION("""COMPUTED_VALUE"""),"-")</f>
        <v>-</v>
      </c>
      <c r="I1867" s="19">
        <f>IFERROR(__xludf.DUMMYFUNCTION("""COMPUTED_VALUE"""),0.00222)</f>
        <v>0.00222</v>
      </c>
      <c r="J1867" s="19">
        <f>IFERROR(__xludf.DUMMYFUNCTION("""COMPUTED_VALUE"""),0.04745)</f>
        <v>0.04745</v>
      </c>
      <c r="K1867" s="19" t="str">
        <f>IFERROR(__xludf.DUMMYFUNCTION("""COMPUTED_VALUE"""),"-")</f>
        <v>-</v>
      </c>
      <c r="L1867" s="19" t="str">
        <f>IFERROR(__xludf.DUMMYFUNCTION("""COMPUTED_VALUE"""),"-")</f>
        <v>-</v>
      </c>
      <c r="O1867" s="24">
        <f t="shared" si="4"/>
        <v>0</v>
      </c>
      <c r="P1867" s="24"/>
      <c r="Q1867" s="24">
        <f t="shared" si="6"/>
        <v>0</v>
      </c>
      <c r="R1867" s="24">
        <f t="shared" si="7"/>
        <v>0</v>
      </c>
      <c r="S1867" s="24"/>
      <c r="T1867" s="24"/>
    </row>
    <row r="1868">
      <c r="A1868" s="12" t="s">
        <v>1956</v>
      </c>
      <c r="F1868" s="19">
        <f>IFERROR(__xludf.DUMMYFUNCTION("SPLIT(A1864, "" |"")"),1862.0)</f>
        <v>1862</v>
      </c>
      <c r="G1868" s="19">
        <f>IFERROR(__xludf.DUMMYFUNCTION("""COMPUTED_VALUE"""),0.00224)</f>
        <v>0.00224</v>
      </c>
      <c r="H1868" s="19" t="str">
        <f>IFERROR(__xludf.DUMMYFUNCTION("""COMPUTED_VALUE"""),"-")</f>
        <v>-</v>
      </c>
      <c r="I1868" s="19">
        <f>IFERROR(__xludf.DUMMYFUNCTION("""COMPUTED_VALUE"""),0.00217)</f>
        <v>0.00217</v>
      </c>
      <c r="J1868" s="19">
        <f>IFERROR(__xludf.DUMMYFUNCTION("""COMPUTED_VALUE"""),0.04737)</f>
        <v>0.04737</v>
      </c>
      <c r="K1868" s="19" t="str">
        <f>IFERROR(__xludf.DUMMYFUNCTION("""COMPUTED_VALUE"""),"-")</f>
        <v>-</v>
      </c>
      <c r="L1868" s="19" t="str">
        <f>IFERROR(__xludf.DUMMYFUNCTION("""COMPUTED_VALUE"""),"-")</f>
        <v>-</v>
      </c>
      <c r="O1868" s="24">
        <f t="shared" si="4"/>
        <v>0</v>
      </c>
      <c r="P1868" s="24"/>
      <c r="Q1868" s="24">
        <f t="shared" si="6"/>
        <v>0</v>
      </c>
      <c r="R1868" s="24">
        <f t="shared" si="7"/>
        <v>0</v>
      </c>
      <c r="S1868" s="24"/>
      <c r="T1868" s="24"/>
    </row>
    <row r="1869">
      <c r="A1869" s="12" t="s">
        <v>1957</v>
      </c>
      <c r="F1869" s="19">
        <f>IFERROR(__xludf.DUMMYFUNCTION("SPLIT(A1865, "" |"")"),1863.0)</f>
        <v>1863</v>
      </c>
      <c r="G1869" s="19">
        <f>IFERROR(__xludf.DUMMYFUNCTION("""COMPUTED_VALUE"""),0.00233)</f>
        <v>0.00233</v>
      </c>
      <c r="H1869" s="19" t="str">
        <f>IFERROR(__xludf.DUMMYFUNCTION("""COMPUTED_VALUE"""),"-")</f>
        <v>-</v>
      </c>
      <c r="I1869" s="19">
        <f>IFERROR(__xludf.DUMMYFUNCTION("""COMPUTED_VALUE"""),0.0022)</f>
        <v>0.0022</v>
      </c>
      <c r="J1869" s="19">
        <f>IFERROR(__xludf.DUMMYFUNCTION("""COMPUTED_VALUE"""),0.04745)</f>
        <v>0.04745</v>
      </c>
      <c r="K1869" s="19" t="str">
        <f>IFERROR(__xludf.DUMMYFUNCTION("""COMPUTED_VALUE"""),"-")</f>
        <v>-</v>
      </c>
      <c r="L1869" s="19" t="str">
        <f>IFERROR(__xludf.DUMMYFUNCTION("""COMPUTED_VALUE"""),"-")</f>
        <v>-</v>
      </c>
      <c r="O1869" s="24">
        <f t="shared" si="4"/>
        <v>0</v>
      </c>
      <c r="P1869" s="24"/>
      <c r="Q1869" s="24">
        <f t="shared" si="6"/>
        <v>0</v>
      </c>
      <c r="R1869" s="24">
        <f t="shared" si="7"/>
        <v>0</v>
      </c>
      <c r="S1869" s="24"/>
      <c r="T1869" s="24"/>
    </row>
    <row r="1870">
      <c r="A1870" s="12" t="s">
        <v>1958</v>
      </c>
      <c r="F1870" s="19">
        <f>IFERROR(__xludf.DUMMYFUNCTION("SPLIT(A1866, "" |"")"),1864.0)</f>
        <v>1864</v>
      </c>
      <c r="G1870" s="19">
        <f>IFERROR(__xludf.DUMMYFUNCTION("""COMPUTED_VALUE"""),0.00232)</f>
        <v>0.00232</v>
      </c>
      <c r="H1870" s="19" t="str">
        <f>IFERROR(__xludf.DUMMYFUNCTION("""COMPUTED_VALUE"""),"-")</f>
        <v>-</v>
      </c>
      <c r="I1870" s="19">
        <f>IFERROR(__xludf.DUMMYFUNCTION("""COMPUTED_VALUE"""),0.0022)</f>
        <v>0.0022</v>
      </c>
      <c r="J1870" s="19">
        <f>IFERROR(__xludf.DUMMYFUNCTION("""COMPUTED_VALUE"""),0.04747)</f>
        <v>0.04747</v>
      </c>
      <c r="K1870" s="19" t="str">
        <f>IFERROR(__xludf.DUMMYFUNCTION("""COMPUTED_VALUE"""),"-")</f>
        <v>-</v>
      </c>
      <c r="L1870" s="19" t="str">
        <f>IFERROR(__xludf.DUMMYFUNCTION("""COMPUTED_VALUE"""),"-")</f>
        <v>-</v>
      </c>
      <c r="O1870" s="24">
        <f t="shared" si="4"/>
        <v>0</v>
      </c>
      <c r="P1870" s="24"/>
      <c r="Q1870" s="24">
        <f t="shared" si="6"/>
        <v>0</v>
      </c>
      <c r="R1870" s="24">
        <f t="shared" si="7"/>
        <v>0</v>
      </c>
      <c r="S1870" s="24"/>
      <c r="T1870" s="24"/>
    </row>
    <row r="1871">
      <c r="A1871" s="12" t="s">
        <v>1959</v>
      </c>
      <c r="F1871" s="19">
        <f>IFERROR(__xludf.DUMMYFUNCTION("SPLIT(A1867, "" |"")"),1865.0)</f>
        <v>1865</v>
      </c>
      <c r="G1871" s="19">
        <f>IFERROR(__xludf.DUMMYFUNCTION("""COMPUTED_VALUE"""),0.00237)</f>
        <v>0.00237</v>
      </c>
      <c r="H1871" s="19" t="str">
        <f>IFERROR(__xludf.DUMMYFUNCTION("""COMPUTED_VALUE"""),"-")</f>
        <v>-</v>
      </c>
      <c r="I1871" s="19">
        <f>IFERROR(__xludf.DUMMYFUNCTION("""COMPUTED_VALUE"""),0.00219)</f>
        <v>0.00219</v>
      </c>
      <c r="J1871" s="19">
        <f>IFERROR(__xludf.DUMMYFUNCTION("""COMPUTED_VALUE"""),0.0475)</f>
        <v>0.0475</v>
      </c>
      <c r="K1871" s="19" t="str">
        <f>IFERROR(__xludf.DUMMYFUNCTION("""COMPUTED_VALUE"""),"-")</f>
        <v>-</v>
      </c>
      <c r="L1871" s="19" t="str">
        <f>IFERROR(__xludf.DUMMYFUNCTION("""COMPUTED_VALUE"""),"-")</f>
        <v>-</v>
      </c>
      <c r="O1871" s="24">
        <f t="shared" si="4"/>
        <v>0</v>
      </c>
      <c r="P1871" s="24"/>
      <c r="Q1871" s="24">
        <f t="shared" si="6"/>
        <v>0</v>
      </c>
      <c r="R1871" s="24">
        <f t="shared" si="7"/>
        <v>0</v>
      </c>
      <c r="S1871" s="24"/>
      <c r="T1871" s="24"/>
    </row>
    <row r="1872">
      <c r="A1872" s="12" t="s">
        <v>1960</v>
      </c>
      <c r="F1872" s="19">
        <f>IFERROR(__xludf.DUMMYFUNCTION("SPLIT(A1868, "" |"")"),1866.0)</f>
        <v>1866</v>
      </c>
      <c r="G1872" s="19">
        <f>IFERROR(__xludf.DUMMYFUNCTION("""COMPUTED_VALUE"""),0.00244)</f>
        <v>0.00244</v>
      </c>
      <c r="H1872" s="19" t="str">
        <f>IFERROR(__xludf.DUMMYFUNCTION("""COMPUTED_VALUE"""),"-")</f>
        <v>-</v>
      </c>
      <c r="I1872" s="19">
        <f>IFERROR(__xludf.DUMMYFUNCTION("""COMPUTED_VALUE"""),0.00224)</f>
        <v>0.00224</v>
      </c>
      <c r="J1872" s="19">
        <f>IFERROR(__xludf.DUMMYFUNCTION("""COMPUTED_VALUE"""),0.04742)</f>
        <v>0.04742</v>
      </c>
      <c r="K1872" s="19" t="str">
        <f>IFERROR(__xludf.DUMMYFUNCTION("""COMPUTED_VALUE"""),"-")</f>
        <v>-</v>
      </c>
      <c r="L1872" s="19" t="str">
        <f>IFERROR(__xludf.DUMMYFUNCTION("""COMPUTED_VALUE"""),"-")</f>
        <v>-</v>
      </c>
      <c r="O1872" s="24">
        <f t="shared" si="4"/>
        <v>0</v>
      </c>
      <c r="P1872" s="24"/>
      <c r="Q1872" s="24">
        <f t="shared" si="6"/>
        <v>0</v>
      </c>
      <c r="R1872" s="24">
        <f t="shared" si="7"/>
        <v>0</v>
      </c>
      <c r="S1872" s="24"/>
      <c r="T1872" s="24"/>
    </row>
    <row r="1873">
      <c r="A1873" s="12" t="s">
        <v>1961</v>
      </c>
      <c r="F1873" s="19">
        <f>IFERROR(__xludf.DUMMYFUNCTION("SPLIT(A1869, "" |"")"),1867.0)</f>
        <v>1867</v>
      </c>
      <c r="G1873" s="19">
        <f>IFERROR(__xludf.DUMMYFUNCTION("""COMPUTED_VALUE"""),0.00227)</f>
        <v>0.00227</v>
      </c>
      <c r="H1873" s="19" t="str">
        <f>IFERROR(__xludf.DUMMYFUNCTION("""COMPUTED_VALUE"""),"-")</f>
        <v>-</v>
      </c>
      <c r="I1873" s="19">
        <f>IFERROR(__xludf.DUMMYFUNCTION("""COMPUTED_VALUE"""),0.00226)</f>
        <v>0.00226</v>
      </c>
      <c r="J1873" s="19">
        <f>IFERROR(__xludf.DUMMYFUNCTION("""COMPUTED_VALUE"""),0.04748)</f>
        <v>0.04748</v>
      </c>
      <c r="K1873" s="19" t="str">
        <f>IFERROR(__xludf.DUMMYFUNCTION("""COMPUTED_VALUE"""),"-")</f>
        <v>-</v>
      </c>
      <c r="L1873" s="19" t="str">
        <f>IFERROR(__xludf.DUMMYFUNCTION("""COMPUTED_VALUE"""),"-")</f>
        <v>-</v>
      </c>
      <c r="O1873" s="24">
        <f t="shared" si="4"/>
        <v>0</v>
      </c>
      <c r="P1873" s="24"/>
      <c r="Q1873" s="24">
        <f t="shared" si="6"/>
        <v>0</v>
      </c>
      <c r="R1873" s="24">
        <f t="shared" si="7"/>
        <v>0</v>
      </c>
      <c r="S1873" s="24"/>
      <c r="T1873" s="24"/>
    </row>
    <row r="1874">
      <c r="A1874" s="12" t="s">
        <v>1962</v>
      </c>
      <c r="F1874" s="19">
        <f>IFERROR(__xludf.DUMMYFUNCTION("SPLIT(A1870, "" |"")"),1868.0)</f>
        <v>1868</v>
      </c>
      <c r="G1874" s="19">
        <f>IFERROR(__xludf.DUMMYFUNCTION("""COMPUTED_VALUE"""),0.00243)</f>
        <v>0.00243</v>
      </c>
      <c r="H1874" s="19" t="str">
        <f>IFERROR(__xludf.DUMMYFUNCTION("""COMPUTED_VALUE"""),"-")</f>
        <v>-</v>
      </c>
      <c r="I1874" s="19">
        <f>IFERROR(__xludf.DUMMYFUNCTION("""COMPUTED_VALUE"""),0.0022)</f>
        <v>0.0022</v>
      </c>
      <c r="J1874" s="19">
        <f>IFERROR(__xludf.DUMMYFUNCTION("""COMPUTED_VALUE"""),0.04743)</f>
        <v>0.04743</v>
      </c>
      <c r="K1874" s="19" t="str">
        <f>IFERROR(__xludf.DUMMYFUNCTION("""COMPUTED_VALUE"""),"-")</f>
        <v>-</v>
      </c>
      <c r="L1874" s="19" t="str">
        <f>IFERROR(__xludf.DUMMYFUNCTION("""COMPUTED_VALUE"""),"-")</f>
        <v>-</v>
      </c>
      <c r="O1874" s="24">
        <f t="shared" si="4"/>
        <v>0</v>
      </c>
      <c r="P1874" s="24"/>
      <c r="Q1874" s="24">
        <f t="shared" si="6"/>
        <v>0</v>
      </c>
      <c r="R1874" s="24">
        <f t="shared" si="7"/>
        <v>0</v>
      </c>
      <c r="S1874" s="24"/>
      <c r="T1874" s="24"/>
    </row>
    <row r="1875">
      <c r="A1875" s="12" t="s">
        <v>1963</v>
      </c>
      <c r="F1875" s="19">
        <f>IFERROR(__xludf.DUMMYFUNCTION("SPLIT(A1871, "" |"")"),1869.0)</f>
        <v>1869</v>
      </c>
      <c r="G1875" s="19">
        <f>IFERROR(__xludf.DUMMYFUNCTION("""COMPUTED_VALUE"""),0.0023)</f>
        <v>0.0023</v>
      </c>
      <c r="H1875" s="19" t="str">
        <f>IFERROR(__xludf.DUMMYFUNCTION("""COMPUTED_VALUE"""),"-")</f>
        <v>-</v>
      </c>
      <c r="I1875" s="19">
        <f>IFERROR(__xludf.DUMMYFUNCTION("""COMPUTED_VALUE"""),0.00221)</f>
        <v>0.00221</v>
      </c>
      <c r="J1875" s="19">
        <f>IFERROR(__xludf.DUMMYFUNCTION("""COMPUTED_VALUE"""),0.04736)</f>
        <v>0.04736</v>
      </c>
      <c r="K1875" s="19" t="str">
        <f>IFERROR(__xludf.DUMMYFUNCTION("""COMPUTED_VALUE"""),"-")</f>
        <v>-</v>
      </c>
      <c r="L1875" s="19" t="str">
        <f>IFERROR(__xludf.DUMMYFUNCTION("""COMPUTED_VALUE"""),"-")</f>
        <v>-</v>
      </c>
      <c r="O1875" s="24">
        <f t="shared" si="4"/>
        <v>0</v>
      </c>
      <c r="P1875" s="24"/>
      <c r="Q1875" s="24">
        <f t="shared" si="6"/>
        <v>0</v>
      </c>
      <c r="R1875" s="24">
        <f t="shared" si="7"/>
        <v>0</v>
      </c>
      <c r="S1875" s="24"/>
      <c r="T1875" s="24"/>
    </row>
    <row r="1876">
      <c r="A1876" s="12" t="s">
        <v>1964</v>
      </c>
      <c r="F1876" s="19">
        <f>IFERROR(__xludf.DUMMYFUNCTION("SPLIT(A1872, "" |"")"),1870.0)</f>
        <v>1870</v>
      </c>
      <c r="G1876" s="19">
        <f>IFERROR(__xludf.DUMMYFUNCTION("""COMPUTED_VALUE"""),0.00243)</f>
        <v>0.00243</v>
      </c>
      <c r="H1876" s="19" t="str">
        <f>IFERROR(__xludf.DUMMYFUNCTION("""COMPUTED_VALUE"""),"-")</f>
        <v>-</v>
      </c>
      <c r="I1876" s="19">
        <f>IFERROR(__xludf.DUMMYFUNCTION("""COMPUTED_VALUE"""),0.00221)</f>
        <v>0.00221</v>
      </c>
      <c r="J1876" s="19">
        <f>IFERROR(__xludf.DUMMYFUNCTION("""COMPUTED_VALUE"""),0.04158)</f>
        <v>0.04158</v>
      </c>
      <c r="K1876" s="19" t="str">
        <f>IFERROR(__xludf.DUMMYFUNCTION("""COMPUTED_VALUE"""),"-")</f>
        <v>-</v>
      </c>
      <c r="L1876" s="19" t="str">
        <f>IFERROR(__xludf.DUMMYFUNCTION("""COMPUTED_VALUE"""),"-")</f>
        <v>-</v>
      </c>
      <c r="O1876" s="24">
        <f t="shared" si="4"/>
        <v>0</v>
      </c>
      <c r="P1876" s="24"/>
      <c r="Q1876" s="24">
        <f t="shared" si="6"/>
        <v>0</v>
      </c>
      <c r="R1876" s="24">
        <f t="shared" si="7"/>
        <v>1</v>
      </c>
      <c r="S1876" s="24"/>
      <c r="T1876" s="24"/>
    </row>
    <row r="1877">
      <c r="A1877" s="12" t="s">
        <v>1965</v>
      </c>
      <c r="F1877" s="19">
        <f>IFERROR(__xludf.DUMMYFUNCTION("SPLIT(A1873, "" |"")"),1871.0)</f>
        <v>1871</v>
      </c>
      <c r="G1877" s="19">
        <f>IFERROR(__xludf.DUMMYFUNCTION("""COMPUTED_VALUE"""),0.00238)</f>
        <v>0.00238</v>
      </c>
      <c r="H1877" s="19" t="str">
        <f>IFERROR(__xludf.DUMMYFUNCTION("""COMPUTED_VALUE"""),"-")</f>
        <v>-</v>
      </c>
      <c r="I1877" s="19">
        <f>IFERROR(__xludf.DUMMYFUNCTION("""COMPUTED_VALUE"""),0.00223)</f>
        <v>0.00223</v>
      </c>
      <c r="J1877" s="19">
        <f>IFERROR(__xludf.DUMMYFUNCTION("""COMPUTED_VALUE"""),0.04748)</f>
        <v>0.04748</v>
      </c>
      <c r="K1877" s="19" t="str">
        <f>IFERROR(__xludf.DUMMYFUNCTION("""COMPUTED_VALUE"""),"-")</f>
        <v>-</v>
      </c>
      <c r="L1877" s="19" t="str">
        <f>IFERROR(__xludf.DUMMYFUNCTION("""COMPUTED_VALUE"""),"-")</f>
        <v>-</v>
      </c>
      <c r="O1877" s="24">
        <f t="shared" si="4"/>
        <v>0</v>
      </c>
      <c r="P1877" s="24"/>
      <c r="Q1877" s="24">
        <f t="shared" si="6"/>
        <v>0</v>
      </c>
      <c r="R1877" s="24">
        <f t="shared" si="7"/>
        <v>0</v>
      </c>
      <c r="S1877" s="24"/>
      <c r="T1877" s="24"/>
    </row>
    <row r="1878">
      <c r="A1878" s="12" t="s">
        <v>1966</v>
      </c>
      <c r="F1878" s="19">
        <f>IFERROR(__xludf.DUMMYFUNCTION("SPLIT(A1874, "" |"")"),1872.0)</f>
        <v>1872</v>
      </c>
      <c r="G1878" s="19">
        <f>IFERROR(__xludf.DUMMYFUNCTION("""COMPUTED_VALUE"""),0.00237)</f>
        <v>0.00237</v>
      </c>
      <c r="H1878" s="19" t="str">
        <f>IFERROR(__xludf.DUMMYFUNCTION("""COMPUTED_VALUE"""),"-")</f>
        <v>-</v>
      </c>
      <c r="I1878" s="19">
        <f>IFERROR(__xludf.DUMMYFUNCTION("""COMPUTED_VALUE"""),0.0022)</f>
        <v>0.0022</v>
      </c>
      <c r="J1878" s="19">
        <f>IFERROR(__xludf.DUMMYFUNCTION("""COMPUTED_VALUE"""),0.04751)</f>
        <v>0.04751</v>
      </c>
      <c r="K1878" s="19" t="str">
        <f>IFERROR(__xludf.DUMMYFUNCTION("""COMPUTED_VALUE"""),"-")</f>
        <v>-</v>
      </c>
      <c r="L1878" s="19" t="str">
        <f>IFERROR(__xludf.DUMMYFUNCTION("""COMPUTED_VALUE"""),"-")</f>
        <v>-</v>
      </c>
      <c r="O1878" s="24">
        <f t="shared" si="4"/>
        <v>0</v>
      </c>
      <c r="P1878" s="24"/>
      <c r="Q1878" s="24">
        <f t="shared" si="6"/>
        <v>0</v>
      </c>
      <c r="R1878" s="24">
        <f t="shared" si="7"/>
        <v>0</v>
      </c>
      <c r="S1878" s="24"/>
      <c r="T1878" s="24"/>
    </row>
    <row r="1879">
      <c r="A1879" s="12" t="s">
        <v>1967</v>
      </c>
      <c r="F1879" s="19">
        <f>IFERROR(__xludf.DUMMYFUNCTION("SPLIT(A1875, "" |"")"),1873.0)</f>
        <v>1873</v>
      </c>
      <c r="G1879" s="19">
        <f>IFERROR(__xludf.DUMMYFUNCTION("""COMPUTED_VALUE"""),0.00235)</f>
        <v>0.00235</v>
      </c>
      <c r="H1879" s="19" t="str">
        <f>IFERROR(__xludf.DUMMYFUNCTION("""COMPUTED_VALUE"""),"-")</f>
        <v>-</v>
      </c>
      <c r="I1879" s="19">
        <f>IFERROR(__xludf.DUMMYFUNCTION("""COMPUTED_VALUE"""),0.00218)</f>
        <v>0.00218</v>
      </c>
      <c r="J1879" s="19">
        <f>IFERROR(__xludf.DUMMYFUNCTION("""COMPUTED_VALUE"""),0.04735)</f>
        <v>0.04735</v>
      </c>
      <c r="K1879" s="19" t="str">
        <f>IFERROR(__xludf.DUMMYFUNCTION("""COMPUTED_VALUE"""),"-")</f>
        <v>-</v>
      </c>
      <c r="L1879" s="19" t="str">
        <f>IFERROR(__xludf.DUMMYFUNCTION("""COMPUTED_VALUE"""),"-")</f>
        <v>-</v>
      </c>
      <c r="O1879" s="24">
        <f t="shared" si="4"/>
        <v>0</v>
      </c>
      <c r="P1879" s="24"/>
      <c r="Q1879" s="24">
        <f t="shared" si="6"/>
        <v>0</v>
      </c>
      <c r="R1879" s="24">
        <f t="shared" si="7"/>
        <v>0</v>
      </c>
      <c r="S1879" s="24"/>
      <c r="T1879" s="24"/>
    </row>
    <row r="1880">
      <c r="A1880" s="12" t="s">
        <v>1968</v>
      </c>
      <c r="F1880" s="19">
        <f>IFERROR(__xludf.DUMMYFUNCTION("SPLIT(A1876, "" |"")"),1874.0)</f>
        <v>1874</v>
      </c>
      <c r="G1880" s="19">
        <f>IFERROR(__xludf.DUMMYFUNCTION("""COMPUTED_VALUE"""),0.00249)</f>
        <v>0.00249</v>
      </c>
      <c r="H1880" s="19" t="str">
        <f>IFERROR(__xludf.DUMMYFUNCTION("""COMPUTED_VALUE"""),"-")</f>
        <v>-</v>
      </c>
      <c r="I1880" s="19">
        <f>IFERROR(__xludf.DUMMYFUNCTION("""COMPUTED_VALUE"""),0.0023)</f>
        <v>0.0023</v>
      </c>
      <c r="J1880" s="19">
        <f>IFERROR(__xludf.DUMMYFUNCTION("""COMPUTED_VALUE"""),0.0462)</f>
        <v>0.0462</v>
      </c>
      <c r="K1880" s="19" t="str">
        <f>IFERROR(__xludf.DUMMYFUNCTION("""COMPUTED_VALUE"""),"-")</f>
        <v>-</v>
      </c>
      <c r="L1880" s="19" t="str">
        <f>IFERROR(__xludf.DUMMYFUNCTION("""COMPUTED_VALUE"""),"-")</f>
        <v>-</v>
      </c>
      <c r="O1880" s="24">
        <f t="shared" si="4"/>
        <v>0</v>
      </c>
      <c r="P1880" s="24"/>
      <c r="Q1880" s="24">
        <f t="shared" si="6"/>
        <v>0</v>
      </c>
      <c r="R1880" s="24">
        <f t="shared" si="7"/>
        <v>0</v>
      </c>
      <c r="S1880" s="24"/>
      <c r="T1880" s="24"/>
    </row>
    <row r="1881">
      <c r="A1881" s="12" t="s">
        <v>1969</v>
      </c>
      <c r="F1881" s="19">
        <f>IFERROR(__xludf.DUMMYFUNCTION("SPLIT(A1877, "" |"")"),1875.0)</f>
        <v>1875</v>
      </c>
      <c r="G1881" s="19">
        <f>IFERROR(__xludf.DUMMYFUNCTION("""COMPUTED_VALUE"""),0.00244)</f>
        <v>0.00244</v>
      </c>
      <c r="H1881" s="19" t="str">
        <f>IFERROR(__xludf.DUMMYFUNCTION("""COMPUTED_VALUE"""),"-")</f>
        <v>-</v>
      </c>
      <c r="I1881" s="19">
        <f>IFERROR(__xludf.DUMMYFUNCTION("""COMPUTED_VALUE"""),0.00222)</f>
        <v>0.00222</v>
      </c>
      <c r="J1881" s="19">
        <f>IFERROR(__xludf.DUMMYFUNCTION("""COMPUTED_VALUE"""),0.0393)</f>
        <v>0.0393</v>
      </c>
      <c r="K1881" s="19" t="str">
        <f>IFERROR(__xludf.DUMMYFUNCTION("""COMPUTED_VALUE"""),"-")</f>
        <v>-</v>
      </c>
      <c r="L1881" s="19" t="str">
        <f>IFERROR(__xludf.DUMMYFUNCTION("""COMPUTED_VALUE"""),"-")</f>
        <v>-</v>
      </c>
      <c r="O1881" s="24">
        <f t="shared" si="4"/>
        <v>0</v>
      </c>
      <c r="P1881" s="24"/>
      <c r="Q1881" s="24">
        <f t="shared" si="6"/>
        <v>0</v>
      </c>
      <c r="R1881" s="24">
        <f t="shared" si="7"/>
        <v>1</v>
      </c>
      <c r="S1881" s="24"/>
      <c r="T1881" s="24"/>
    </row>
    <row r="1882">
      <c r="A1882" s="12" t="s">
        <v>1970</v>
      </c>
      <c r="F1882" s="19">
        <f>IFERROR(__xludf.DUMMYFUNCTION("SPLIT(A1878, "" |"")"),1876.0)</f>
        <v>1876</v>
      </c>
      <c r="G1882" s="19">
        <f>IFERROR(__xludf.DUMMYFUNCTION("""COMPUTED_VALUE"""),0.00238)</f>
        <v>0.00238</v>
      </c>
      <c r="H1882" s="19" t="str">
        <f>IFERROR(__xludf.DUMMYFUNCTION("""COMPUTED_VALUE"""),"-")</f>
        <v>-</v>
      </c>
      <c r="I1882" s="19">
        <f>IFERROR(__xludf.DUMMYFUNCTION("""COMPUTED_VALUE"""),0.00219)</f>
        <v>0.00219</v>
      </c>
      <c r="J1882" s="19">
        <f>IFERROR(__xludf.DUMMYFUNCTION("""COMPUTED_VALUE"""),0.04667)</f>
        <v>0.04667</v>
      </c>
      <c r="K1882" s="19" t="str">
        <f>IFERROR(__xludf.DUMMYFUNCTION("""COMPUTED_VALUE"""),"-")</f>
        <v>-</v>
      </c>
      <c r="L1882" s="19" t="str">
        <f>IFERROR(__xludf.DUMMYFUNCTION("""COMPUTED_VALUE"""),"-")</f>
        <v>-</v>
      </c>
      <c r="O1882" s="24">
        <f t="shared" si="4"/>
        <v>0</v>
      </c>
      <c r="P1882" s="24"/>
      <c r="Q1882" s="24">
        <f t="shared" si="6"/>
        <v>0</v>
      </c>
      <c r="R1882" s="24">
        <f t="shared" si="7"/>
        <v>0</v>
      </c>
      <c r="S1882" s="24"/>
      <c r="T1882" s="24"/>
    </row>
    <row r="1883">
      <c r="A1883" s="12" t="s">
        <v>1971</v>
      </c>
      <c r="F1883" s="19">
        <f>IFERROR(__xludf.DUMMYFUNCTION("SPLIT(A1879, "" |"")"),1877.0)</f>
        <v>1877</v>
      </c>
      <c r="G1883" s="19">
        <f>IFERROR(__xludf.DUMMYFUNCTION("""COMPUTED_VALUE"""),0.00258)</f>
        <v>0.00258</v>
      </c>
      <c r="H1883" s="19" t="str">
        <f>IFERROR(__xludf.DUMMYFUNCTION("""COMPUTED_VALUE"""),"-")</f>
        <v>-</v>
      </c>
      <c r="I1883" s="19">
        <f>IFERROR(__xludf.DUMMYFUNCTION("""COMPUTED_VALUE"""),0.00231)</f>
        <v>0.00231</v>
      </c>
      <c r="J1883" s="19">
        <f>IFERROR(__xludf.DUMMYFUNCTION("""COMPUTED_VALUE"""),0.0474)</f>
        <v>0.0474</v>
      </c>
      <c r="K1883" s="19" t="str">
        <f>IFERROR(__xludf.DUMMYFUNCTION("""COMPUTED_VALUE"""),"-")</f>
        <v>-</v>
      </c>
      <c r="L1883" s="19" t="str">
        <f>IFERROR(__xludf.DUMMYFUNCTION("""COMPUTED_VALUE"""),"-")</f>
        <v>-</v>
      </c>
      <c r="O1883" s="24">
        <f t="shared" si="4"/>
        <v>0</v>
      </c>
      <c r="P1883" s="24"/>
      <c r="Q1883" s="24">
        <f t="shared" si="6"/>
        <v>0</v>
      </c>
      <c r="R1883" s="24">
        <f t="shared" si="7"/>
        <v>0</v>
      </c>
      <c r="S1883" s="24"/>
      <c r="T1883" s="24"/>
    </row>
    <row r="1884">
      <c r="A1884" s="12" t="s">
        <v>1972</v>
      </c>
      <c r="F1884" s="19">
        <f>IFERROR(__xludf.DUMMYFUNCTION("SPLIT(A1880, "" |"")"),1878.0)</f>
        <v>1878</v>
      </c>
      <c r="G1884" s="19">
        <f>IFERROR(__xludf.DUMMYFUNCTION("""COMPUTED_VALUE"""),0.00237)</f>
        <v>0.00237</v>
      </c>
      <c r="H1884" s="19" t="str">
        <f>IFERROR(__xludf.DUMMYFUNCTION("""COMPUTED_VALUE"""),"-")</f>
        <v>-</v>
      </c>
      <c r="I1884" s="19">
        <f>IFERROR(__xludf.DUMMYFUNCTION("""COMPUTED_VALUE"""),0.00222)</f>
        <v>0.00222</v>
      </c>
      <c r="J1884" s="19">
        <f>IFERROR(__xludf.DUMMYFUNCTION("""COMPUTED_VALUE"""),0.04751)</f>
        <v>0.04751</v>
      </c>
      <c r="K1884" s="19" t="str">
        <f>IFERROR(__xludf.DUMMYFUNCTION("""COMPUTED_VALUE"""),"-")</f>
        <v>-</v>
      </c>
      <c r="L1884" s="19" t="str">
        <f>IFERROR(__xludf.DUMMYFUNCTION("""COMPUTED_VALUE"""),"-")</f>
        <v>-</v>
      </c>
      <c r="O1884" s="24">
        <f t="shared" si="4"/>
        <v>0</v>
      </c>
      <c r="P1884" s="24"/>
      <c r="Q1884" s="24">
        <f t="shared" si="6"/>
        <v>0</v>
      </c>
      <c r="R1884" s="24">
        <f t="shared" si="7"/>
        <v>0</v>
      </c>
      <c r="S1884" s="24"/>
      <c r="T1884" s="24"/>
    </row>
    <row r="1885">
      <c r="A1885" s="12" t="s">
        <v>1973</v>
      </c>
      <c r="F1885" s="19">
        <f>IFERROR(__xludf.DUMMYFUNCTION("SPLIT(A1881, "" |"")"),1879.0)</f>
        <v>1879</v>
      </c>
      <c r="G1885" s="19">
        <f>IFERROR(__xludf.DUMMYFUNCTION("""COMPUTED_VALUE"""),0.00242)</f>
        <v>0.00242</v>
      </c>
      <c r="H1885" s="19" t="str">
        <f>IFERROR(__xludf.DUMMYFUNCTION("""COMPUTED_VALUE"""),"-")</f>
        <v>-</v>
      </c>
      <c r="I1885" s="19">
        <f>IFERROR(__xludf.DUMMYFUNCTION("""COMPUTED_VALUE"""),0.00223)</f>
        <v>0.00223</v>
      </c>
      <c r="J1885" s="19">
        <f>IFERROR(__xludf.DUMMYFUNCTION("""COMPUTED_VALUE"""),0.04751)</f>
        <v>0.04751</v>
      </c>
      <c r="K1885" s="19" t="str">
        <f>IFERROR(__xludf.DUMMYFUNCTION("""COMPUTED_VALUE"""),"-")</f>
        <v>-</v>
      </c>
      <c r="L1885" s="19" t="str">
        <f>IFERROR(__xludf.DUMMYFUNCTION("""COMPUTED_VALUE"""),"-")</f>
        <v>-</v>
      </c>
      <c r="O1885" s="24">
        <f t="shared" si="4"/>
        <v>0</v>
      </c>
      <c r="P1885" s="24"/>
      <c r="Q1885" s="24">
        <f t="shared" si="6"/>
        <v>0</v>
      </c>
      <c r="R1885" s="24">
        <f t="shared" si="7"/>
        <v>0</v>
      </c>
      <c r="S1885" s="24"/>
      <c r="T1885" s="24"/>
    </row>
    <row r="1886">
      <c r="A1886" s="12" t="s">
        <v>1974</v>
      </c>
      <c r="F1886" s="19">
        <f>IFERROR(__xludf.DUMMYFUNCTION("SPLIT(A1882, "" |"")"),1880.0)</f>
        <v>1880</v>
      </c>
      <c r="G1886" s="19">
        <f>IFERROR(__xludf.DUMMYFUNCTION("""COMPUTED_VALUE"""),0.00234)</f>
        <v>0.00234</v>
      </c>
      <c r="H1886" s="19" t="str">
        <f>IFERROR(__xludf.DUMMYFUNCTION("""COMPUTED_VALUE"""),"-")</f>
        <v>-</v>
      </c>
      <c r="I1886" s="19">
        <f>IFERROR(__xludf.DUMMYFUNCTION("""COMPUTED_VALUE"""),0.0022)</f>
        <v>0.0022</v>
      </c>
      <c r="J1886" s="19">
        <f>IFERROR(__xludf.DUMMYFUNCTION("""COMPUTED_VALUE"""),0.04428)</f>
        <v>0.04428</v>
      </c>
      <c r="K1886" s="19" t="str">
        <f>IFERROR(__xludf.DUMMYFUNCTION("""COMPUTED_VALUE"""),"-")</f>
        <v>-</v>
      </c>
      <c r="L1886" s="19" t="str">
        <f>IFERROR(__xludf.DUMMYFUNCTION("""COMPUTED_VALUE"""),"-")</f>
        <v>-</v>
      </c>
      <c r="O1886" s="24">
        <f t="shared" si="4"/>
        <v>0</v>
      </c>
      <c r="P1886" s="24"/>
      <c r="Q1886" s="24">
        <f t="shared" si="6"/>
        <v>0</v>
      </c>
      <c r="R1886" s="24">
        <f t="shared" si="7"/>
        <v>1</v>
      </c>
      <c r="S1886" s="24"/>
      <c r="T1886" s="24"/>
    </row>
    <row r="1887">
      <c r="A1887" s="12" t="s">
        <v>1975</v>
      </c>
      <c r="F1887" s="19">
        <f>IFERROR(__xludf.DUMMYFUNCTION("SPLIT(A1883, "" |"")"),1881.0)</f>
        <v>1881</v>
      </c>
      <c r="G1887" s="19">
        <f>IFERROR(__xludf.DUMMYFUNCTION("""COMPUTED_VALUE"""),0.00222)</f>
        <v>0.00222</v>
      </c>
      <c r="H1887" s="19" t="str">
        <f>IFERROR(__xludf.DUMMYFUNCTION("""COMPUTED_VALUE"""),"-")</f>
        <v>-</v>
      </c>
      <c r="I1887" s="19">
        <f>IFERROR(__xludf.DUMMYFUNCTION("""COMPUTED_VALUE"""),0.00208)</f>
        <v>0.00208</v>
      </c>
      <c r="J1887" s="19">
        <f>IFERROR(__xludf.DUMMYFUNCTION("""COMPUTED_VALUE"""),0.04727)</f>
        <v>0.04727</v>
      </c>
      <c r="K1887" s="19" t="str">
        <f>IFERROR(__xludf.DUMMYFUNCTION("""COMPUTED_VALUE"""),"-")</f>
        <v>-</v>
      </c>
      <c r="L1887" s="19" t="str">
        <f>IFERROR(__xludf.DUMMYFUNCTION("""COMPUTED_VALUE"""),"-")</f>
        <v>-</v>
      </c>
      <c r="O1887" s="24">
        <f t="shared" si="4"/>
        <v>0</v>
      </c>
      <c r="P1887" s="24"/>
      <c r="Q1887" s="24">
        <f t="shared" si="6"/>
        <v>0</v>
      </c>
      <c r="R1887" s="24">
        <f t="shared" si="7"/>
        <v>0</v>
      </c>
      <c r="S1887" s="24"/>
      <c r="T1887" s="24"/>
    </row>
    <row r="1888">
      <c r="A1888" s="12" t="s">
        <v>1976</v>
      </c>
      <c r="F1888" s="19">
        <f>IFERROR(__xludf.DUMMYFUNCTION("SPLIT(A1884, "" |"")"),1882.0)</f>
        <v>1882</v>
      </c>
      <c r="G1888" s="19">
        <f>IFERROR(__xludf.DUMMYFUNCTION("""COMPUTED_VALUE"""),0.00223)</f>
        <v>0.00223</v>
      </c>
      <c r="H1888" s="19" t="str">
        <f>IFERROR(__xludf.DUMMYFUNCTION("""COMPUTED_VALUE"""),"-")</f>
        <v>-</v>
      </c>
      <c r="I1888" s="19">
        <f>IFERROR(__xludf.DUMMYFUNCTION("""COMPUTED_VALUE"""),0.00208)</f>
        <v>0.00208</v>
      </c>
      <c r="J1888" s="19">
        <f>IFERROR(__xludf.DUMMYFUNCTION("""COMPUTED_VALUE"""),0.04695)</f>
        <v>0.04695</v>
      </c>
      <c r="K1888" s="19" t="str">
        <f>IFERROR(__xludf.DUMMYFUNCTION("""COMPUTED_VALUE"""),"-")</f>
        <v>-</v>
      </c>
      <c r="L1888" s="19" t="str">
        <f>IFERROR(__xludf.DUMMYFUNCTION("""COMPUTED_VALUE"""),"-")</f>
        <v>-</v>
      </c>
      <c r="O1888" s="24">
        <f t="shared" si="4"/>
        <v>0</v>
      </c>
      <c r="P1888" s="24"/>
      <c r="Q1888" s="24">
        <f t="shared" si="6"/>
        <v>0</v>
      </c>
      <c r="R1888" s="24">
        <f t="shared" si="7"/>
        <v>0</v>
      </c>
      <c r="S1888" s="24"/>
      <c r="T1888" s="24"/>
    </row>
    <row r="1889">
      <c r="A1889" s="12" t="s">
        <v>1977</v>
      </c>
      <c r="F1889" s="19">
        <f>IFERROR(__xludf.DUMMYFUNCTION("SPLIT(A1885, "" |"")"),1883.0)</f>
        <v>1883</v>
      </c>
      <c r="G1889" s="19">
        <f>IFERROR(__xludf.DUMMYFUNCTION("""COMPUTED_VALUE"""),0.00222)</f>
        <v>0.00222</v>
      </c>
      <c r="H1889" s="19" t="str">
        <f>IFERROR(__xludf.DUMMYFUNCTION("""COMPUTED_VALUE"""),"-")</f>
        <v>-</v>
      </c>
      <c r="I1889" s="19">
        <f>IFERROR(__xludf.DUMMYFUNCTION("""COMPUTED_VALUE"""),0.00209)</f>
        <v>0.00209</v>
      </c>
      <c r="J1889" s="19">
        <f>IFERROR(__xludf.DUMMYFUNCTION("""COMPUTED_VALUE"""),0.04731)</f>
        <v>0.04731</v>
      </c>
      <c r="K1889" s="19" t="str">
        <f>IFERROR(__xludf.DUMMYFUNCTION("""COMPUTED_VALUE"""),"-")</f>
        <v>-</v>
      </c>
      <c r="L1889" s="19" t="str">
        <f>IFERROR(__xludf.DUMMYFUNCTION("""COMPUTED_VALUE"""),"-")</f>
        <v>-</v>
      </c>
      <c r="O1889" s="24">
        <f t="shared" si="4"/>
        <v>0</v>
      </c>
      <c r="P1889" s="24"/>
      <c r="Q1889" s="24">
        <f t="shared" si="6"/>
        <v>0</v>
      </c>
      <c r="R1889" s="24">
        <f t="shared" si="7"/>
        <v>0</v>
      </c>
      <c r="S1889" s="24"/>
      <c r="T1889" s="24"/>
    </row>
    <row r="1890">
      <c r="A1890" s="12" t="s">
        <v>1978</v>
      </c>
      <c r="F1890" s="19">
        <f>IFERROR(__xludf.DUMMYFUNCTION("SPLIT(A1886, "" |"")"),1884.0)</f>
        <v>1884</v>
      </c>
      <c r="G1890" s="19">
        <f>IFERROR(__xludf.DUMMYFUNCTION("""COMPUTED_VALUE"""),0.00223)</f>
        <v>0.00223</v>
      </c>
      <c r="H1890" s="19" t="str">
        <f>IFERROR(__xludf.DUMMYFUNCTION("""COMPUTED_VALUE"""),"-")</f>
        <v>-</v>
      </c>
      <c r="I1890" s="19">
        <f>IFERROR(__xludf.DUMMYFUNCTION("""COMPUTED_VALUE"""),0.0021)</f>
        <v>0.0021</v>
      </c>
      <c r="J1890" s="19">
        <f>IFERROR(__xludf.DUMMYFUNCTION("""COMPUTED_VALUE"""),0.04731)</f>
        <v>0.04731</v>
      </c>
      <c r="K1890" s="19" t="str">
        <f>IFERROR(__xludf.DUMMYFUNCTION("""COMPUTED_VALUE"""),"-")</f>
        <v>-</v>
      </c>
      <c r="L1890" s="19" t="str">
        <f>IFERROR(__xludf.DUMMYFUNCTION("""COMPUTED_VALUE"""),"-")</f>
        <v>-</v>
      </c>
      <c r="O1890" s="24">
        <f t="shared" si="4"/>
        <v>0</v>
      </c>
      <c r="P1890" s="24"/>
      <c r="Q1890" s="24">
        <f t="shared" si="6"/>
        <v>0</v>
      </c>
      <c r="R1890" s="24">
        <f t="shared" si="7"/>
        <v>0</v>
      </c>
      <c r="S1890" s="24"/>
      <c r="T1890" s="24"/>
    </row>
    <row r="1891">
      <c r="A1891" s="12" t="s">
        <v>1979</v>
      </c>
      <c r="F1891" s="19">
        <f>IFERROR(__xludf.DUMMYFUNCTION("SPLIT(A1887, "" |"")"),1885.0)</f>
        <v>1885</v>
      </c>
      <c r="G1891" s="19">
        <f>IFERROR(__xludf.DUMMYFUNCTION("""COMPUTED_VALUE"""),0.00239)</f>
        <v>0.00239</v>
      </c>
      <c r="H1891" s="19" t="str">
        <f>IFERROR(__xludf.DUMMYFUNCTION("""COMPUTED_VALUE"""),"-")</f>
        <v>-</v>
      </c>
      <c r="I1891" s="19">
        <f>IFERROR(__xludf.DUMMYFUNCTION("""COMPUTED_VALUE"""),0.00271)</f>
        <v>0.00271</v>
      </c>
      <c r="J1891" s="19">
        <f>IFERROR(__xludf.DUMMYFUNCTION("""COMPUTED_VALUE"""),0.04731)</f>
        <v>0.04731</v>
      </c>
      <c r="K1891" s="19" t="str">
        <f>IFERROR(__xludf.DUMMYFUNCTION("""COMPUTED_VALUE"""),"-")</f>
        <v>-</v>
      </c>
      <c r="L1891" s="19" t="str">
        <f>IFERROR(__xludf.DUMMYFUNCTION("""COMPUTED_VALUE"""),"-")</f>
        <v>-</v>
      </c>
      <c r="O1891" s="24">
        <f t="shared" si="4"/>
        <v>0</v>
      </c>
      <c r="P1891" s="24"/>
      <c r="Q1891" s="24">
        <f t="shared" si="6"/>
        <v>0</v>
      </c>
      <c r="R1891" s="24">
        <f t="shared" si="7"/>
        <v>0</v>
      </c>
      <c r="S1891" s="24"/>
      <c r="T1891" s="24"/>
    </row>
    <row r="1892">
      <c r="A1892" s="12" t="s">
        <v>1980</v>
      </c>
      <c r="F1892" s="19">
        <f>IFERROR(__xludf.DUMMYFUNCTION("SPLIT(A1888, "" |"")"),1886.0)</f>
        <v>1886</v>
      </c>
      <c r="G1892" s="19">
        <f>IFERROR(__xludf.DUMMYFUNCTION("""COMPUTED_VALUE"""),0.0022)</f>
        <v>0.0022</v>
      </c>
      <c r="H1892" s="19" t="str">
        <f>IFERROR(__xludf.DUMMYFUNCTION("""COMPUTED_VALUE"""),"-")</f>
        <v>-</v>
      </c>
      <c r="I1892" s="19">
        <f>IFERROR(__xludf.DUMMYFUNCTION("""COMPUTED_VALUE"""),0.00207)</f>
        <v>0.00207</v>
      </c>
      <c r="J1892" s="19">
        <f>IFERROR(__xludf.DUMMYFUNCTION("""COMPUTED_VALUE"""),0.04089)</f>
        <v>0.04089</v>
      </c>
      <c r="K1892" s="19" t="str">
        <f>IFERROR(__xludf.DUMMYFUNCTION("""COMPUTED_VALUE"""),"-")</f>
        <v>-</v>
      </c>
      <c r="L1892" s="19" t="str">
        <f>IFERROR(__xludf.DUMMYFUNCTION("""COMPUTED_VALUE"""),"-")</f>
        <v>-</v>
      </c>
      <c r="O1892" s="24">
        <f t="shared" si="4"/>
        <v>0</v>
      </c>
      <c r="P1892" s="24"/>
      <c r="Q1892" s="24">
        <f t="shared" si="6"/>
        <v>0</v>
      </c>
      <c r="R1892" s="24">
        <f t="shared" si="7"/>
        <v>1</v>
      </c>
      <c r="S1892" s="24"/>
      <c r="T1892" s="24"/>
    </row>
    <row r="1893">
      <c r="A1893" s="12" t="s">
        <v>1981</v>
      </c>
      <c r="F1893" s="19">
        <f>IFERROR(__xludf.DUMMYFUNCTION("SPLIT(A1889, "" |"")"),1887.0)</f>
        <v>1887</v>
      </c>
      <c r="G1893" s="19">
        <f>IFERROR(__xludf.DUMMYFUNCTION("""COMPUTED_VALUE"""),0.00221)</f>
        <v>0.00221</v>
      </c>
      <c r="H1893" s="19" t="str">
        <f>IFERROR(__xludf.DUMMYFUNCTION("""COMPUTED_VALUE"""),"-")</f>
        <v>-</v>
      </c>
      <c r="I1893" s="19">
        <f>IFERROR(__xludf.DUMMYFUNCTION("""COMPUTED_VALUE"""),0.0021)</f>
        <v>0.0021</v>
      </c>
      <c r="J1893" s="19">
        <f>IFERROR(__xludf.DUMMYFUNCTION("""COMPUTED_VALUE"""),0.04728)</f>
        <v>0.04728</v>
      </c>
      <c r="K1893" s="19" t="str">
        <f>IFERROR(__xludf.DUMMYFUNCTION("""COMPUTED_VALUE"""),"-")</f>
        <v>-</v>
      </c>
      <c r="L1893" s="19" t="str">
        <f>IFERROR(__xludf.DUMMYFUNCTION("""COMPUTED_VALUE"""),"-")</f>
        <v>-</v>
      </c>
      <c r="O1893" s="24">
        <f t="shared" si="4"/>
        <v>0</v>
      </c>
      <c r="P1893" s="24"/>
      <c r="Q1893" s="24">
        <f t="shared" si="6"/>
        <v>0</v>
      </c>
      <c r="R1893" s="24">
        <f t="shared" si="7"/>
        <v>0</v>
      </c>
      <c r="S1893" s="24"/>
      <c r="T1893" s="24"/>
    </row>
    <row r="1894">
      <c r="A1894" s="12" t="s">
        <v>1982</v>
      </c>
      <c r="F1894" s="19">
        <f>IFERROR(__xludf.DUMMYFUNCTION("SPLIT(A1890, "" |"")"),1888.0)</f>
        <v>1888</v>
      </c>
      <c r="G1894" s="19">
        <f>IFERROR(__xludf.DUMMYFUNCTION("""COMPUTED_VALUE"""),0.00221)</f>
        <v>0.00221</v>
      </c>
      <c r="H1894" s="19" t="str">
        <f>IFERROR(__xludf.DUMMYFUNCTION("""COMPUTED_VALUE"""),"-")</f>
        <v>-</v>
      </c>
      <c r="I1894" s="19">
        <f>IFERROR(__xludf.DUMMYFUNCTION("""COMPUTED_VALUE"""),0.00209)</f>
        <v>0.00209</v>
      </c>
      <c r="J1894" s="19">
        <f>IFERROR(__xludf.DUMMYFUNCTION("""COMPUTED_VALUE"""),0.04722)</f>
        <v>0.04722</v>
      </c>
      <c r="K1894" s="19" t="str">
        <f>IFERROR(__xludf.DUMMYFUNCTION("""COMPUTED_VALUE"""),"-")</f>
        <v>-</v>
      </c>
      <c r="L1894" s="19" t="str">
        <f>IFERROR(__xludf.DUMMYFUNCTION("""COMPUTED_VALUE"""),"-")</f>
        <v>-</v>
      </c>
      <c r="O1894" s="24">
        <f t="shared" si="4"/>
        <v>0</v>
      </c>
      <c r="P1894" s="24"/>
      <c r="Q1894" s="24">
        <f t="shared" si="6"/>
        <v>0</v>
      </c>
      <c r="R1894" s="24">
        <f t="shared" si="7"/>
        <v>0</v>
      </c>
      <c r="S1894" s="24"/>
      <c r="T1894" s="24"/>
    </row>
    <row r="1895">
      <c r="A1895" s="12" t="s">
        <v>1983</v>
      </c>
      <c r="F1895" s="19">
        <f>IFERROR(__xludf.DUMMYFUNCTION("SPLIT(A1891, "" |"")"),1889.0)</f>
        <v>1889</v>
      </c>
      <c r="G1895" s="19">
        <f>IFERROR(__xludf.DUMMYFUNCTION("""COMPUTED_VALUE"""),0.00221)</f>
        <v>0.00221</v>
      </c>
      <c r="H1895" s="19" t="str">
        <f>IFERROR(__xludf.DUMMYFUNCTION("""COMPUTED_VALUE"""),"-")</f>
        <v>-</v>
      </c>
      <c r="I1895" s="19">
        <f>IFERROR(__xludf.DUMMYFUNCTION("""COMPUTED_VALUE"""),0.0021)</f>
        <v>0.0021</v>
      </c>
      <c r="J1895" s="19">
        <f>IFERROR(__xludf.DUMMYFUNCTION("""COMPUTED_VALUE"""),0.04728)</f>
        <v>0.04728</v>
      </c>
      <c r="K1895" s="19" t="str">
        <f>IFERROR(__xludf.DUMMYFUNCTION("""COMPUTED_VALUE"""),"-")</f>
        <v>-</v>
      </c>
      <c r="L1895" s="19" t="str">
        <f>IFERROR(__xludf.DUMMYFUNCTION("""COMPUTED_VALUE"""),"-")</f>
        <v>-</v>
      </c>
      <c r="O1895" s="24">
        <f t="shared" si="4"/>
        <v>0</v>
      </c>
      <c r="P1895" s="24"/>
      <c r="Q1895" s="24">
        <f t="shared" si="6"/>
        <v>0</v>
      </c>
      <c r="R1895" s="24">
        <f t="shared" si="7"/>
        <v>0</v>
      </c>
      <c r="S1895" s="24"/>
      <c r="T1895" s="24"/>
    </row>
    <row r="1896">
      <c r="A1896" s="12" t="s">
        <v>1984</v>
      </c>
      <c r="F1896" s="19">
        <f>IFERROR(__xludf.DUMMYFUNCTION("SPLIT(A1892, "" |"")"),1890.0)</f>
        <v>1890</v>
      </c>
      <c r="G1896" s="19">
        <f>IFERROR(__xludf.DUMMYFUNCTION("""COMPUTED_VALUE"""),0.0022)</f>
        <v>0.0022</v>
      </c>
      <c r="H1896" s="19" t="str">
        <f>IFERROR(__xludf.DUMMYFUNCTION("""COMPUTED_VALUE"""),"-")</f>
        <v>-</v>
      </c>
      <c r="I1896" s="19">
        <f>IFERROR(__xludf.DUMMYFUNCTION("""COMPUTED_VALUE"""),0.00208)</f>
        <v>0.00208</v>
      </c>
      <c r="J1896" s="19">
        <f>IFERROR(__xludf.DUMMYFUNCTION("""COMPUTED_VALUE"""),0.04367)</f>
        <v>0.04367</v>
      </c>
      <c r="K1896" s="19" t="str">
        <f>IFERROR(__xludf.DUMMYFUNCTION("""COMPUTED_VALUE"""),"-")</f>
        <v>-</v>
      </c>
      <c r="L1896" s="19" t="str">
        <f>IFERROR(__xludf.DUMMYFUNCTION("""COMPUTED_VALUE"""),"-")</f>
        <v>-</v>
      </c>
      <c r="O1896" s="24">
        <f t="shared" si="4"/>
        <v>0</v>
      </c>
      <c r="P1896" s="24"/>
      <c r="Q1896" s="24">
        <f t="shared" si="6"/>
        <v>0</v>
      </c>
      <c r="R1896" s="24">
        <f t="shared" si="7"/>
        <v>1</v>
      </c>
      <c r="S1896" s="24"/>
      <c r="T1896" s="24"/>
    </row>
    <row r="1897">
      <c r="A1897" s="12" t="s">
        <v>1985</v>
      </c>
      <c r="F1897" s="19">
        <f>IFERROR(__xludf.DUMMYFUNCTION("SPLIT(A1893, "" |"")"),1891.0)</f>
        <v>1891</v>
      </c>
      <c r="G1897" s="19">
        <f>IFERROR(__xludf.DUMMYFUNCTION("""COMPUTED_VALUE"""),0.00223)</f>
        <v>0.00223</v>
      </c>
      <c r="H1897" s="19" t="str">
        <f>IFERROR(__xludf.DUMMYFUNCTION("""COMPUTED_VALUE"""),"-")</f>
        <v>-</v>
      </c>
      <c r="I1897" s="19">
        <f>IFERROR(__xludf.DUMMYFUNCTION("""COMPUTED_VALUE"""),0.00211)</f>
        <v>0.00211</v>
      </c>
      <c r="J1897" s="19">
        <f>IFERROR(__xludf.DUMMYFUNCTION("""COMPUTED_VALUE"""),0.04732)</f>
        <v>0.04732</v>
      </c>
      <c r="K1897" s="19" t="str">
        <f>IFERROR(__xludf.DUMMYFUNCTION("""COMPUTED_VALUE"""),"-")</f>
        <v>-</v>
      </c>
      <c r="L1897" s="19" t="str">
        <f>IFERROR(__xludf.DUMMYFUNCTION("""COMPUTED_VALUE"""),"-")</f>
        <v>-</v>
      </c>
      <c r="O1897" s="24">
        <f t="shared" si="4"/>
        <v>0</v>
      </c>
      <c r="P1897" s="24"/>
      <c r="Q1897" s="24">
        <f t="shared" si="6"/>
        <v>0</v>
      </c>
      <c r="R1897" s="24">
        <f t="shared" si="7"/>
        <v>0</v>
      </c>
      <c r="S1897" s="24"/>
      <c r="T1897" s="24"/>
    </row>
    <row r="1898">
      <c r="A1898" s="12" t="s">
        <v>1986</v>
      </c>
      <c r="F1898" s="19">
        <f>IFERROR(__xludf.DUMMYFUNCTION("SPLIT(A1894, "" |"")"),1892.0)</f>
        <v>1892</v>
      </c>
      <c r="G1898" s="19">
        <f>IFERROR(__xludf.DUMMYFUNCTION("""COMPUTED_VALUE"""),0.00222)</f>
        <v>0.00222</v>
      </c>
      <c r="H1898" s="19" t="str">
        <f>IFERROR(__xludf.DUMMYFUNCTION("""COMPUTED_VALUE"""),"-")</f>
        <v>-</v>
      </c>
      <c r="I1898" s="19">
        <f>IFERROR(__xludf.DUMMYFUNCTION("""COMPUTED_VALUE"""),0.00209)</f>
        <v>0.00209</v>
      </c>
      <c r="J1898" s="19">
        <f>IFERROR(__xludf.DUMMYFUNCTION("""COMPUTED_VALUE"""),0.04729)</f>
        <v>0.04729</v>
      </c>
      <c r="K1898" s="19" t="str">
        <f>IFERROR(__xludf.DUMMYFUNCTION("""COMPUTED_VALUE"""),"-")</f>
        <v>-</v>
      </c>
      <c r="L1898" s="19" t="str">
        <f>IFERROR(__xludf.DUMMYFUNCTION("""COMPUTED_VALUE"""),"-")</f>
        <v>-</v>
      </c>
      <c r="O1898" s="24">
        <f t="shared" si="4"/>
        <v>0</v>
      </c>
      <c r="P1898" s="24"/>
      <c r="Q1898" s="24">
        <f t="shared" si="6"/>
        <v>0</v>
      </c>
      <c r="R1898" s="24">
        <f t="shared" si="7"/>
        <v>0</v>
      </c>
      <c r="S1898" s="24"/>
      <c r="T1898" s="24"/>
    </row>
    <row r="1899">
      <c r="A1899" s="12" t="s">
        <v>1987</v>
      </c>
      <c r="F1899" s="19">
        <f>IFERROR(__xludf.DUMMYFUNCTION("SPLIT(A1895, "" |"")"),1893.0)</f>
        <v>1893</v>
      </c>
      <c r="G1899" s="19">
        <f>IFERROR(__xludf.DUMMYFUNCTION("""COMPUTED_VALUE"""),0.00218)</f>
        <v>0.00218</v>
      </c>
      <c r="H1899" s="19" t="str">
        <f>IFERROR(__xludf.DUMMYFUNCTION("""COMPUTED_VALUE"""),"-")</f>
        <v>-</v>
      </c>
      <c r="I1899" s="19">
        <f>IFERROR(__xludf.DUMMYFUNCTION("""COMPUTED_VALUE"""),0.00207)</f>
        <v>0.00207</v>
      </c>
      <c r="J1899" s="19">
        <f>IFERROR(__xludf.DUMMYFUNCTION("""COMPUTED_VALUE"""),0.04725)</f>
        <v>0.04725</v>
      </c>
      <c r="K1899" s="19" t="str">
        <f>IFERROR(__xludf.DUMMYFUNCTION("""COMPUTED_VALUE"""),"-")</f>
        <v>-</v>
      </c>
      <c r="L1899" s="19" t="str">
        <f>IFERROR(__xludf.DUMMYFUNCTION("""COMPUTED_VALUE"""),"-")</f>
        <v>-</v>
      </c>
      <c r="O1899" s="24">
        <f t="shared" si="4"/>
        <v>0</v>
      </c>
      <c r="P1899" s="24"/>
      <c r="Q1899" s="24">
        <f t="shared" si="6"/>
        <v>0</v>
      </c>
      <c r="R1899" s="24">
        <f t="shared" si="7"/>
        <v>0</v>
      </c>
      <c r="S1899" s="24"/>
      <c r="T1899" s="24"/>
    </row>
    <row r="1900">
      <c r="A1900" s="12" t="s">
        <v>1988</v>
      </c>
      <c r="F1900" s="19">
        <f>IFERROR(__xludf.DUMMYFUNCTION("SPLIT(A1896, "" |"")"),1894.0)</f>
        <v>1894</v>
      </c>
      <c r="G1900" s="19">
        <f>IFERROR(__xludf.DUMMYFUNCTION("""COMPUTED_VALUE"""),0.0022)</f>
        <v>0.0022</v>
      </c>
      <c r="H1900" s="19" t="str">
        <f>IFERROR(__xludf.DUMMYFUNCTION("""COMPUTED_VALUE"""),"-")</f>
        <v>-</v>
      </c>
      <c r="I1900" s="19">
        <f>IFERROR(__xludf.DUMMYFUNCTION("""COMPUTED_VALUE"""),0.00208)</f>
        <v>0.00208</v>
      </c>
      <c r="J1900" s="19">
        <f>IFERROR(__xludf.DUMMYFUNCTION("""COMPUTED_VALUE"""),0.04215)</f>
        <v>0.04215</v>
      </c>
      <c r="K1900" s="19" t="str">
        <f>IFERROR(__xludf.DUMMYFUNCTION("""COMPUTED_VALUE"""),"-")</f>
        <v>-</v>
      </c>
      <c r="L1900" s="19" t="str">
        <f>IFERROR(__xludf.DUMMYFUNCTION("""COMPUTED_VALUE"""),"-")</f>
        <v>-</v>
      </c>
      <c r="O1900" s="24">
        <f t="shared" si="4"/>
        <v>0</v>
      </c>
      <c r="P1900" s="24"/>
      <c r="Q1900" s="24">
        <f t="shared" si="6"/>
        <v>0</v>
      </c>
      <c r="R1900" s="24">
        <f t="shared" si="7"/>
        <v>1</v>
      </c>
      <c r="S1900" s="24"/>
      <c r="T1900" s="24"/>
    </row>
    <row r="1901">
      <c r="A1901" s="12" t="s">
        <v>1989</v>
      </c>
      <c r="F1901" s="19">
        <f>IFERROR(__xludf.DUMMYFUNCTION("SPLIT(A1897, "" |"")"),1895.0)</f>
        <v>1895</v>
      </c>
      <c r="G1901" s="19">
        <f>IFERROR(__xludf.DUMMYFUNCTION("""COMPUTED_VALUE"""),0.00222)</f>
        <v>0.00222</v>
      </c>
      <c r="H1901" s="19" t="str">
        <f>IFERROR(__xludf.DUMMYFUNCTION("""COMPUTED_VALUE"""),"-")</f>
        <v>-</v>
      </c>
      <c r="I1901" s="19">
        <f>IFERROR(__xludf.DUMMYFUNCTION("""COMPUTED_VALUE"""),0.00207)</f>
        <v>0.00207</v>
      </c>
      <c r="J1901" s="19">
        <f>IFERROR(__xludf.DUMMYFUNCTION("""COMPUTED_VALUE"""),0.04727)</f>
        <v>0.04727</v>
      </c>
      <c r="K1901" s="19" t="str">
        <f>IFERROR(__xludf.DUMMYFUNCTION("""COMPUTED_VALUE"""),"-")</f>
        <v>-</v>
      </c>
      <c r="L1901" s="19" t="str">
        <f>IFERROR(__xludf.DUMMYFUNCTION("""COMPUTED_VALUE"""),"-")</f>
        <v>-</v>
      </c>
      <c r="O1901" s="24">
        <f t="shared" si="4"/>
        <v>0</v>
      </c>
      <c r="P1901" s="24"/>
      <c r="Q1901" s="24">
        <f t="shared" si="6"/>
        <v>0</v>
      </c>
      <c r="R1901" s="24">
        <f t="shared" si="7"/>
        <v>0</v>
      </c>
      <c r="S1901" s="24"/>
      <c r="T1901" s="24"/>
    </row>
    <row r="1902">
      <c r="A1902" s="12" t="s">
        <v>1990</v>
      </c>
      <c r="F1902" s="19">
        <f>IFERROR(__xludf.DUMMYFUNCTION("SPLIT(A1898, "" |"")"),1896.0)</f>
        <v>1896</v>
      </c>
      <c r="G1902" s="19">
        <f>IFERROR(__xludf.DUMMYFUNCTION("""COMPUTED_VALUE"""),0.00223)</f>
        <v>0.00223</v>
      </c>
      <c r="H1902" s="19" t="str">
        <f>IFERROR(__xludf.DUMMYFUNCTION("""COMPUTED_VALUE"""),"-")</f>
        <v>-</v>
      </c>
      <c r="I1902" s="19">
        <f>IFERROR(__xludf.DUMMYFUNCTION("""COMPUTED_VALUE"""),0.00208)</f>
        <v>0.00208</v>
      </c>
      <c r="J1902" s="19">
        <f>IFERROR(__xludf.DUMMYFUNCTION("""COMPUTED_VALUE"""),0.04706)</f>
        <v>0.04706</v>
      </c>
      <c r="K1902" s="19" t="str">
        <f>IFERROR(__xludf.DUMMYFUNCTION("""COMPUTED_VALUE"""),"-")</f>
        <v>-</v>
      </c>
      <c r="L1902" s="19" t="str">
        <f>IFERROR(__xludf.DUMMYFUNCTION("""COMPUTED_VALUE"""),"-")</f>
        <v>-</v>
      </c>
      <c r="O1902" s="24">
        <f t="shared" si="4"/>
        <v>0</v>
      </c>
      <c r="P1902" s="24"/>
      <c r="Q1902" s="24">
        <f t="shared" si="6"/>
        <v>0</v>
      </c>
      <c r="R1902" s="24">
        <f t="shared" si="7"/>
        <v>0</v>
      </c>
      <c r="S1902" s="24"/>
      <c r="T1902" s="24"/>
    </row>
    <row r="1903">
      <c r="A1903" s="12" t="s">
        <v>1991</v>
      </c>
      <c r="F1903" s="19">
        <f>IFERROR(__xludf.DUMMYFUNCTION("SPLIT(A1899, "" |"")"),1897.0)</f>
        <v>1897</v>
      </c>
      <c r="G1903" s="19">
        <f>IFERROR(__xludf.DUMMYFUNCTION("""COMPUTED_VALUE"""),0.0022)</f>
        <v>0.0022</v>
      </c>
      <c r="H1903" s="19" t="str">
        <f>IFERROR(__xludf.DUMMYFUNCTION("""COMPUTED_VALUE"""),"-")</f>
        <v>-</v>
      </c>
      <c r="I1903" s="19">
        <f>IFERROR(__xludf.DUMMYFUNCTION("""COMPUTED_VALUE"""),0.00207)</f>
        <v>0.00207</v>
      </c>
      <c r="J1903" s="19">
        <f>IFERROR(__xludf.DUMMYFUNCTION("""COMPUTED_VALUE"""),0.04436)</f>
        <v>0.04436</v>
      </c>
      <c r="K1903" s="19" t="str">
        <f>IFERROR(__xludf.DUMMYFUNCTION("""COMPUTED_VALUE"""),"-")</f>
        <v>-</v>
      </c>
      <c r="L1903" s="19" t="str">
        <f>IFERROR(__xludf.DUMMYFUNCTION("""COMPUTED_VALUE"""),"-")</f>
        <v>-</v>
      </c>
      <c r="O1903" s="24">
        <f t="shared" si="4"/>
        <v>0</v>
      </c>
      <c r="P1903" s="24"/>
      <c r="Q1903" s="24">
        <f t="shared" si="6"/>
        <v>0</v>
      </c>
      <c r="R1903" s="24">
        <f t="shared" si="7"/>
        <v>1</v>
      </c>
      <c r="S1903" s="24"/>
      <c r="T1903" s="24"/>
    </row>
    <row r="1904">
      <c r="A1904" s="12" t="s">
        <v>1992</v>
      </c>
      <c r="F1904" s="19">
        <f>IFERROR(__xludf.DUMMYFUNCTION("SPLIT(A1900, "" |"")"),1898.0)</f>
        <v>1898</v>
      </c>
      <c r="G1904" s="19">
        <f>IFERROR(__xludf.DUMMYFUNCTION("""COMPUTED_VALUE"""),0.00238)</f>
        <v>0.00238</v>
      </c>
      <c r="H1904" s="19" t="str">
        <f>IFERROR(__xludf.DUMMYFUNCTION("""COMPUTED_VALUE"""),"-")</f>
        <v>-</v>
      </c>
      <c r="I1904" s="19">
        <f>IFERROR(__xludf.DUMMYFUNCTION("""COMPUTED_VALUE"""),0.00219)</f>
        <v>0.00219</v>
      </c>
      <c r="J1904" s="19">
        <f>IFERROR(__xludf.DUMMYFUNCTION("""COMPUTED_VALUE"""),0.04025)</f>
        <v>0.04025</v>
      </c>
      <c r="K1904" s="19" t="str">
        <f>IFERROR(__xludf.DUMMYFUNCTION("""COMPUTED_VALUE"""),"-")</f>
        <v>-</v>
      </c>
      <c r="L1904" s="19" t="str">
        <f>IFERROR(__xludf.DUMMYFUNCTION("""COMPUTED_VALUE"""),"-")</f>
        <v>-</v>
      </c>
      <c r="O1904" s="24">
        <f t="shared" si="4"/>
        <v>0</v>
      </c>
      <c r="P1904" s="24"/>
      <c r="Q1904" s="24">
        <f t="shared" si="6"/>
        <v>0</v>
      </c>
      <c r="R1904" s="24">
        <f t="shared" si="7"/>
        <v>1</v>
      </c>
      <c r="S1904" s="24"/>
      <c r="T1904" s="24"/>
    </row>
    <row r="1905">
      <c r="A1905" s="12" t="s">
        <v>1993</v>
      </c>
      <c r="F1905" s="19">
        <f>IFERROR(__xludf.DUMMYFUNCTION("SPLIT(A1901, "" |"")"),1899.0)</f>
        <v>1899</v>
      </c>
      <c r="G1905" s="19">
        <f>IFERROR(__xludf.DUMMYFUNCTION("""COMPUTED_VALUE"""),0.00225)</f>
        <v>0.00225</v>
      </c>
      <c r="H1905" s="19" t="str">
        <f>IFERROR(__xludf.DUMMYFUNCTION("""COMPUTED_VALUE"""),"-")</f>
        <v>-</v>
      </c>
      <c r="I1905" s="19">
        <f>IFERROR(__xludf.DUMMYFUNCTION("""COMPUTED_VALUE"""),0.00213)</f>
        <v>0.00213</v>
      </c>
      <c r="J1905" s="19">
        <f>IFERROR(__xludf.DUMMYFUNCTION("""COMPUTED_VALUE"""),0.0473)</f>
        <v>0.0473</v>
      </c>
      <c r="K1905" s="19" t="str">
        <f>IFERROR(__xludf.DUMMYFUNCTION("""COMPUTED_VALUE"""),"-")</f>
        <v>-</v>
      </c>
      <c r="L1905" s="19" t="str">
        <f>IFERROR(__xludf.DUMMYFUNCTION("""COMPUTED_VALUE"""),"-")</f>
        <v>-</v>
      </c>
      <c r="O1905" s="24">
        <f t="shared" si="4"/>
        <v>0</v>
      </c>
      <c r="P1905" s="24"/>
      <c r="Q1905" s="24">
        <f t="shared" si="6"/>
        <v>0</v>
      </c>
      <c r="R1905" s="24">
        <f t="shared" si="7"/>
        <v>0</v>
      </c>
      <c r="S1905" s="24"/>
      <c r="T1905" s="24"/>
    </row>
    <row r="1906">
      <c r="A1906" s="12" t="s">
        <v>1994</v>
      </c>
      <c r="F1906" s="19">
        <f>IFERROR(__xludf.DUMMYFUNCTION("SPLIT(A1902, "" |"")"),1900.0)</f>
        <v>1900</v>
      </c>
      <c r="G1906" s="19">
        <f>IFERROR(__xludf.DUMMYFUNCTION("""COMPUTED_VALUE"""),0.00224)</f>
        <v>0.00224</v>
      </c>
      <c r="H1906" s="19" t="str">
        <f>IFERROR(__xludf.DUMMYFUNCTION("""COMPUTED_VALUE"""),"-")</f>
        <v>-</v>
      </c>
      <c r="I1906" s="19">
        <f>IFERROR(__xludf.DUMMYFUNCTION("""COMPUTED_VALUE"""),0.00212)</f>
        <v>0.00212</v>
      </c>
      <c r="J1906" s="19">
        <f>IFERROR(__xludf.DUMMYFUNCTION("""COMPUTED_VALUE"""),0.04721)</f>
        <v>0.04721</v>
      </c>
      <c r="K1906" s="19" t="str">
        <f>IFERROR(__xludf.DUMMYFUNCTION("""COMPUTED_VALUE"""),"-")</f>
        <v>-</v>
      </c>
      <c r="L1906" s="19" t="str">
        <f>IFERROR(__xludf.DUMMYFUNCTION("""COMPUTED_VALUE"""),"-")</f>
        <v>-</v>
      </c>
      <c r="O1906" s="24">
        <f t="shared" si="4"/>
        <v>0</v>
      </c>
      <c r="P1906" s="24"/>
      <c r="Q1906" s="24">
        <f t="shared" si="6"/>
        <v>0</v>
      </c>
      <c r="R1906" s="24">
        <f t="shared" si="7"/>
        <v>0</v>
      </c>
      <c r="S1906" s="24"/>
      <c r="T1906" s="24"/>
    </row>
    <row r="1907">
      <c r="A1907" s="12" t="s">
        <v>1995</v>
      </c>
      <c r="F1907" s="19">
        <f>IFERROR(__xludf.DUMMYFUNCTION("SPLIT(A1903, "" |"")"),1901.0)</f>
        <v>1901</v>
      </c>
      <c r="G1907" s="19">
        <f>IFERROR(__xludf.DUMMYFUNCTION("""COMPUTED_VALUE"""),0.00221)</f>
        <v>0.00221</v>
      </c>
      <c r="H1907" s="19" t="str">
        <f>IFERROR(__xludf.DUMMYFUNCTION("""COMPUTED_VALUE"""),"-")</f>
        <v>-</v>
      </c>
      <c r="I1907" s="19">
        <f>IFERROR(__xludf.DUMMYFUNCTION("""COMPUTED_VALUE"""),0.00209)</f>
        <v>0.00209</v>
      </c>
      <c r="J1907" s="19">
        <f>IFERROR(__xludf.DUMMYFUNCTION("""COMPUTED_VALUE"""),0.04728)</f>
        <v>0.04728</v>
      </c>
      <c r="K1907" s="19" t="str">
        <f>IFERROR(__xludf.DUMMYFUNCTION("""COMPUTED_VALUE"""),"-")</f>
        <v>-</v>
      </c>
      <c r="L1907" s="19" t="str">
        <f>IFERROR(__xludf.DUMMYFUNCTION("""COMPUTED_VALUE"""),"-")</f>
        <v>-</v>
      </c>
      <c r="O1907" s="24">
        <f t="shared" si="4"/>
        <v>0</v>
      </c>
      <c r="P1907" s="24"/>
      <c r="Q1907" s="24">
        <f t="shared" si="6"/>
        <v>0</v>
      </c>
      <c r="R1907" s="24">
        <f t="shared" si="7"/>
        <v>0</v>
      </c>
      <c r="S1907" s="24"/>
      <c r="T1907" s="24"/>
    </row>
    <row r="1908">
      <c r="A1908" s="12" t="s">
        <v>1996</v>
      </c>
      <c r="F1908" s="19">
        <f>IFERROR(__xludf.DUMMYFUNCTION("SPLIT(A1904, "" |"")"),1902.0)</f>
        <v>1902</v>
      </c>
      <c r="G1908" s="19">
        <f>IFERROR(__xludf.DUMMYFUNCTION("""COMPUTED_VALUE"""),0.0022)</f>
        <v>0.0022</v>
      </c>
      <c r="H1908" s="19" t="str">
        <f>IFERROR(__xludf.DUMMYFUNCTION("""COMPUTED_VALUE"""),"-")</f>
        <v>-</v>
      </c>
      <c r="I1908" s="19">
        <f>IFERROR(__xludf.DUMMYFUNCTION("""COMPUTED_VALUE"""),0.00208)</f>
        <v>0.00208</v>
      </c>
      <c r="J1908" s="19">
        <f>IFERROR(__xludf.DUMMYFUNCTION("""COMPUTED_VALUE"""),0.04723)</f>
        <v>0.04723</v>
      </c>
      <c r="K1908" s="19" t="str">
        <f>IFERROR(__xludf.DUMMYFUNCTION("""COMPUTED_VALUE"""),"-")</f>
        <v>-</v>
      </c>
      <c r="L1908" s="19" t="str">
        <f>IFERROR(__xludf.DUMMYFUNCTION("""COMPUTED_VALUE"""),"-")</f>
        <v>-</v>
      </c>
      <c r="O1908" s="24">
        <f t="shared" si="4"/>
        <v>0</v>
      </c>
      <c r="P1908" s="24"/>
      <c r="Q1908" s="24">
        <f t="shared" si="6"/>
        <v>0</v>
      </c>
      <c r="R1908" s="24">
        <f t="shared" si="7"/>
        <v>0</v>
      </c>
      <c r="S1908" s="24"/>
      <c r="T1908" s="24"/>
    </row>
    <row r="1909">
      <c r="A1909" s="12" t="s">
        <v>1997</v>
      </c>
      <c r="F1909" s="19">
        <f>IFERROR(__xludf.DUMMYFUNCTION("SPLIT(A1905, "" |"")"),1903.0)</f>
        <v>1903</v>
      </c>
      <c r="G1909" s="19">
        <f>IFERROR(__xludf.DUMMYFUNCTION("""COMPUTED_VALUE"""),0.00219)</f>
        <v>0.00219</v>
      </c>
      <c r="H1909" s="19" t="str">
        <f>IFERROR(__xludf.DUMMYFUNCTION("""COMPUTED_VALUE"""),"-")</f>
        <v>-</v>
      </c>
      <c r="I1909" s="19">
        <f>IFERROR(__xludf.DUMMYFUNCTION("""COMPUTED_VALUE"""),0.00207)</f>
        <v>0.00207</v>
      </c>
      <c r="J1909" s="19">
        <f>IFERROR(__xludf.DUMMYFUNCTION("""COMPUTED_VALUE"""),0.04727)</f>
        <v>0.04727</v>
      </c>
      <c r="K1909" s="19" t="str">
        <f>IFERROR(__xludf.DUMMYFUNCTION("""COMPUTED_VALUE"""),"-")</f>
        <v>-</v>
      </c>
      <c r="L1909" s="19" t="str">
        <f>IFERROR(__xludf.DUMMYFUNCTION("""COMPUTED_VALUE"""),"-")</f>
        <v>-</v>
      </c>
      <c r="O1909" s="24">
        <f t="shared" si="4"/>
        <v>0</v>
      </c>
      <c r="P1909" s="24"/>
      <c r="Q1909" s="24">
        <f t="shared" si="6"/>
        <v>0</v>
      </c>
      <c r="R1909" s="24">
        <f t="shared" si="7"/>
        <v>0</v>
      </c>
      <c r="S1909" s="24"/>
      <c r="T1909" s="24"/>
    </row>
    <row r="1910">
      <c r="A1910" s="12" t="s">
        <v>1998</v>
      </c>
      <c r="F1910" s="19">
        <f>IFERROR(__xludf.DUMMYFUNCTION("SPLIT(A1906, "" |"")"),1904.0)</f>
        <v>1904</v>
      </c>
      <c r="G1910" s="19">
        <f>IFERROR(__xludf.DUMMYFUNCTION("""COMPUTED_VALUE"""),0.0022)</f>
        <v>0.0022</v>
      </c>
      <c r="H1910" s="19" t="str">
        <f>IFERROR(__xludf.DUMMYFUNCTION("""COMPUTED_VALUE"""),"-")</f>
        <v>-</v>
      </c>
      <c r="I1910" s="19">
        <f>IFERROR(__xludf.DUMMYFUNCTION("""COMPUTED_VALUE"""),0.00207)</f>
        <v>0.00207</v>
      </c>
      <c r="J1910" s="19">
        <f>IFERROR(__xludf.DUMMYFUNCTION("""COMPUTED_VALUE"""),0.04445)</f>
        <v>0.04445</v>
      </c>
      <c r="K1910" s="19" t="str">
        <f>IFERROR(__xludf.DUMMYFUNCTION("""COMPUTED_VALUE"""),"-")</f>
        <v>-</v>
      </c>
      <c r="L1910" s="19" t="str">
        <f>IFERROR(__xludf.DUMMYFUNCTION("""COMPUTED_VALUE"""),"-")</f>
        <v>-</v>
      </c>
      <c r="O1910" s="24">
        <f t="shared" si="4"/>
        <v>0</v>
      </c>
      <c r="P1910" s="24"/>
      <c r="Q1910" s="24">
        <f t="shared" si="6"/>
        <v>0</v>
      </c>
      <c r="R1910" s="24">
        <f t="shared" si="7"/>
        <v>1</v>
      </c>
      <c r="S1910" s="24"/>
      <c r="T1910" s="24"/>
    </row>
    <row r="1911">
      <c r="A1911" s="12" t="s">
        <v>1999</v>
      </c>
      <c r="F1911" s="19">
        <f>IFERROR(__xludf.DUMMYFUNCTION("SPLIT(A1907, "" |"")"),1905.0)</f>
        <v>1905</v>
      </c>
      <c r="G1911" s="19">
        <f>IFERROR(__xludf.DUMMYFUNCTION("""COMPUTED_VALUE"""),0.00227)</f>
        <v>0.00227</v>
      </c>
      <c r="H1911" s="19" t="str">
        <f>IFERROR(__xludf.DUMMYFUNCTION("""COMPUTED_VALUE"""),"-")</f>
        <v>-</v>
      </c>
      <c r="I1911" s="19">
        <f>IFERROR(__xludf.DUMMYFUNCTION("""COMPUTED_VALUE"""),0.0021)</f>
        <v>0.0021</v>
      </c>
      <c r="J1911" s="19">
        <f>IFERROR(__xludf.DUMMYFUNCTION("""COMPUTED_VALUE"""),0.04551)</f>
        <v>0.04551</v>
      </c>
      <c r="K1911" s="19" t="str">
        <f>IFERROR(__xludf.DUMMYFUNCTION("""COMPUTED_VALUE"""),"-")</f>
        <v>-</v>
      </c>
      <c r="L1911" s="19" t="str">
        <f>IFERROR(__xludf.DUMMYFUNCTION("""COMPUTED_VALUE"""),"-")</f>
        <v>-</v>
      </c>
      <c r="O1911" s="24">
        <f t="shared" si="4"/>
        <v>0</v>
      </c>
      <c r="P1911" s="24"/>
      <c r="Q1911" s="24">
        <f t="shared" si="6"/>
        <v>0</v>
      </c>
      <c r="R1911" s="24">
        <f t="shared" si="7"/>
        <v>0</v>
      </c>
      <c r="S1911" s="24"/>
      <c r="T1911" s="24"/>
    </row>
    <row r="1912">
      <c r="A1912" s="12" t="s">
        <v>2000</v>
      </c>
      <c r="F1912" s="19">
        <f>IFERROR(__xludf.DUMMYFUNCTION("SPLIT(A1908, "" |"")"),1906.0)</f>
        <v>1906</v>
      </c>
      <c r="G1912" s="19">
        <f>IFERROR(__xludf.DUMMYFUNCTION("""COMPUTED_VALUE"""),0.00224)</f>
        <v>0.00224</v>
      </c>
      <c r="H1912" s="19" t="str">
        <f>IFERROR(__xludf.DUMMYFUNCTION("""COMPUTED_VALUE"""),"-")</f>
        <v>-</v>
      </c>
      <c r="I1912" s="19">
        <f>IFERROR(__xludf.DUMMYFUNCTION("""COMPUTED_VALUE"""),0.00208)</f>
        <v>0.00208</v>
      </c>
      <c r="J1912" s="19">
        <f>IFERROR(__xludf.DUMMYFUNCTION("""COMPUTED_VALUE"""),0.04727)</f>
        <v>0.04727</v>
      </c>
      <c r="K1912" s="19" t="str">
        <f>IFERROR(__xludf.DUMMYFUNCTION("""COMPUTED_VALUE"""),"-")</f>
        <v>-</v>
      </c>
      <c r="L1912" s="19" t="str">
        <f>IFERROR(__xludf.DUMMYFUNCTION("""COMPUTED_VALUE"""),"-")</f>
        <v>-</v>
      </c>
      <c r="O1912" s="24">
        <f t="shared" si="4"/>
        <v>0</v>
      </c>
      <c r="P1912" s="24"/>
      <c r="Q1912" s="24">
        <f t="shared" si="6"/>
        <v>0</v>
      </c>
      <c r="R1912" s="24">
        <f t="shared" si="7"/>
        <v>0</v>
      </c>
      <c r="S1912" s="24"/>
      <c r="T1912" s="24"/>
    </row>
    <row r="1913">
      <c r="A1913" s="12" t="s">
        <v>2001</v>
      </c>
      <c r="F1913" s="19">
        <f>IFERROR(__xludf.DUMMYFUNCTION("SPLIT(A1909, "" |"")"),1907.0)</f>
        <v>1907</v>
      </c>
      <c r="G1913" s="19">
        <f>IFERROR(__xludf.DUMMYFUNCTION("""COMPUTED_VALUE"""),0.00218)</f>
        <v>0.00218</v>
      </c>
      <c r="H1913" s="19" t="str">
        <f>IFERROR(__xludf.DUMMYFUNCTION("""COMPUTED_VALUE"""),"-")</f>
        <v>-</v>
      </c>
      <c r="I1913" s="19">
        <f>IFERROR(__xludf.DUMMYFUNCTION("""COMPUTED_VALUE"""),0.00208)</f>
        <v>0.00208</v>
      </c>
      <c r="J1913" s="19">
        <f>IFERROR(__xludf.DUMMYFUNCTION("""COMPUTED_VALUE"""),0.04442)</f>
        <v>0.04442</v>
      </c>
      <c r="K1913" s="19" t="str">
        <f>IFERROR(__xludf.DUMMYFUNCTION("""COMPUTED_VALUE"""),"-")</f>
        <v>-</v>
      </c>
      <c r="L1913" s="19" t="str">
        <f>IFERROR(__xludf.DUMMYFUNCTION("""COMPUTED_VALUE"""),"-")</f>
        <v>-</v>
      </c>
      <c r="O1913" s="24">
        <f t="shared" si="4"/>
        <v>0</v>
      </c>
      <c r="P1913" s="24"/>
      <c r="Q1913" s="24">
        <f t="shared" si="6"/>
        <v>0</v>
      </c>
      <c r="R1913" s="24">
        <f t="shared" si="7"/>
        <v>1</v>
      </c>
      <c r="S1913" s="24"/>
      <c r="T1913" s="24"/>
    </row>
    <row r="1914">
      <c r="A1914" s="12" t="s">
        <v>2002</v>
      </c>
      <c r="F1914" s="19">
        <f>IFERROR(__xludf.DUMMYFUNCTION("SPLIT(A1910, "" |"")"),1908.0)</f>
        <v>1908</v>
      </c>
      <c r="G1914" s="19">
        <f>IFERROR(__xludf.DUMMYFUNCTION("""COMPUTED_VALUE"""),0.00216)</f>
        <v>0.00216</v>
      </c>
      <c r="H1914" s="19" t="str">
        <f>IFERROR(__xludf.DUMMYFUNCTION("""COMPUTED_VALUE"""),"-")</f>
        <v>-</v>
      </c>
      <c r="I1914" s="19">
        <f>IFERROR(__xludf.DUMMYFUNCTION("""COMPUTED_VALUE"""),0.00203)</f>
        <v>0.00203</v>
      </c>
      <c r="J1914" s="19">
        <f>IFERROR(__xludf.DUMMYFUNCTION("""COMPUTED_VALUE"""),0.0424)</f>
        <v>0.0424</v>
      </c>
      <c r="K1914" s="19" t="str">
        <f>IFERROR(__xludf.DUMMYFUNCTION("""COMPUTED_VALUE"""),"-")</f>
        <v>-</v>
      </c>
      <c r="L1914" s="19" t="str">
        <f>IFERROR(__xludf.DUMMYFUNCTION("""COMPUTED_VALUE"""),"-")</f>
        <v>-</v>
      </c>
      <c r="O1914" s="24">
        <f t="shared" si="4"/>
        <v>0</v>
      </c>
      <c r="P1914" s="24"/>
      <c r="Q1914" s="24">
        <f t="shared" si="6"/>
        <v>0</v>
      </c>
      <c r="R1914" s="24">
        <f t="shared" si="7"/>
        <v>1</v>
      </c>
      <c r="S1914" s="24"/>
      <c r="T1914" s="24"/>
    </row>
    <row r="1915">
      <c r="A1915" s="12" t="s">
        <v>2003</v>
      </c>
      <c r="F1915" s="19">
        <f>IFERROR(__xludf.DUMMYFUNCTION("SPLIT(A1911, "" |"")"),1909.0)</f>
        <v>1909</v>
      </c>
      <c r="G1915" s="19">
        <f>IFERROR(__xludf.DUMMYFUNCTION("""COMPUTED_VALUE"""),0.00218)</f>
        <v>0.00218</v>
      </c>
      <c r="H1915" s="19" t="str">
        <f>IFERROR(__xludf.DUMMYFUNCTION("""COMPUTED_VALUE"""),"-")</f>
        <v>-</v>
      </c>
      <c r="I1915" s="19">
        <f>IFERROR(__xludf.DUMMYFUNCTION("""COMPUTED_VALUE"""),0.00207)</f>
        <v>0.00207</v>
      </c>
      <c r="J1915" s="19">
        <f>IFERROR(__xludf.DUMMYFUNCTION("""COMPUTED_VALUE"""),0.04727)</f>
        <v>0.04727</v>
      </c>
      <c r="K1915" s="19" t="str">
        <f>IFERROR(__xludf.DUMMYFUNCTION("""COMPUTED_VALUE"""),"-")</f>
        <v>-</v>
      </c>
      <c r="L1915" s="19" t="str">
        <f>IFERROR(__xludf.DUMMYFUNCTION("""COMPUTED_VALUE"""),"-")</f>
        <v>-</v>
      </c>
      <c r="O1915" s="24">
        <f t="shared" si="4"/>
        <v>0</v>
      </c>
      <c r="P1915" s="24"/>
      <c r="Q1915" s="24">
        <f t="shared" si="6"/>
        <v>0</v>
      </c>
      <c r="R1915" s="24">
        <f t="shared" si="7"/>
        <v>0</v>
      </c>
      <c r="S1915" s="24"/>
      <c r="T1915" s="24"/>
    </row>
    <row r="1916">
      <c r="A1916" s="12" t="s">
        <v>2004</v>
      </c>
      <c r="F1916" s="19">
        <f>IFERROR(__xludf.DUMMYFUNCTION("SPLIT(A1912, "" |"")"),1910.0)</f>
        <v>1910</v>
      </c>
      <c r="G1916" s="19">
        <f>IFERROR(__xludf.DUMMYFUNCTION("""COMPUTED_VALUE"""),0.00219)</f>
        <v>0.00219</v>
      </c>
      <c r="H1916" s="19" t="str">
        <f>IFERROR(__xludf.DUMMYFUNCTION("""COMPUTED_VALUE"""),"-")</f>
        <v>-</v>
      </c>
      <c r="I1916" s="19">
        <f>IFERROR(__xludf.DUMMYFUNCTION("""COMPUTED_VALUE"""),0.00208)</f>
        <v>0.00208</v>
      </c>
      <c r="J1916" s="19">
        <f>IFERROR(__xludf.DUMMYFUNCTION("""COMPUTED_VALUE"""),0.04726)</f>
        <v>0.04726</v>
      </c>
      <c r="K1916" s="19" t="str">
        <f>IFERROR(__xludf.DUMMYFUNCTION("""COMPUTED_VALUE"""),"-")</f>
        <v>-</v>
      </c>
      <c r="L1916" s="19" t="str">
        <f>IFERROR(__xludf.DUMMYFUNCTION("""COMPUTED_VALUE"""),"-")</f>
        <v>-</v>
      </c>
      <c r="O1916" s="24">
        <f t="shared" si="4"/>
        <v>0</v>
      </c>
      <c r="P1916" s="24"/>
      <c r="Q1916" s="24">
        <f t="shared" si="6"/>
        <v>0</v>
      </c>
      <c r="R1916" s="24">
        <f t="shared" si="7"/>
        <v>0</v>
      </c>
      <c r="S1916" s="24"/>
      <c r="T1916" s="24"/>
    </row>
    <row r="1917">
      <c r="A1917" s="12" t="s">
        <v>2005</v>
      </c>
      <c r="F1917" s="19">
        <f>IFERROR(__xludf.DUMMYFUNCTION("SPLIT(A1913, "" |"")"),1911.0)</f>
        <v>1911</v>
      </c>
      <c r="G1917" s="19">
        <f>IFERROR(__xludf.DUMMYFUNCTION("""COMPUTED_VALUE"""),0.00223)</f>
        <v>0.00223</v>
      </c>
      <c r="H1917" s="19" t="str">
        <f>IFERROR(__xludf.DUMMYFUNCTION("""COMPUTED_VALUE"""),"-")</f>
        <v>-</v>
      </c>
      <c r="I1917" s="19">
        <f>IFERROR(__xludf.DUMMYFUNCTION("""COMPUTED_VALUE"""),0.00207)</f>
        <v>0.00207</v>
      </c>
      <c r="J1917" s="19">
        <f>IFERROR(__xludf.DUMMYFUNCTION("""COMPUTED_VALUE"""),0.0434)</f>
        <v>0.0434</v>
      </c>
      <c r="K1917" s="19" t="str">
        <f>IFERROR(__xludf.DUMMYFUNCTION("""COMPUTED_VALUE"""),"-")</f>
        <v>-</v>
      </c>
      <c r="L1917" s="19" t="str">
        <f>IFERROR(__xludf.DUMMYFUNCTION("""COMPUTED_VALUE"""),"-")</f>
        <v>-</v>
      </c>
      <c r="O1917" s="24">
        <f t="shared" si="4"/>
        <v>0</v>
      </c>
      <c r="P1917" s="24"/>
      <c r="Q1917" s="24">
        <f t="shared" si="6"/>
        <v>0</v>
      </c>
      <c r="R1917" s="24">
        <f t="shared" si="7"/>
        <v>1</v>
      </c>
      <c r="S1917" s="24"/>
      <c r="T1917" s="24"/>
    </row>
    <row r="1918">
      <c r="A1918" s="12" t="s">
        <v>2006</v>
      </c>
      <c r="F1918" s="19">
        <f>IFERROR(__xludf.DUMMYFUNCTION("SPLIT(A1914, "" |"")"),1912.0)</f>
        <v>1912</v>
      </c>
      <c r="G1918" s="19">
        <f>IFERROR(__xludf.DUMMYFUNCTION("""COMPUTED_VALUE"""),0.00181)</f>
        <v>0.00181</v>
      </c>
      <c r="H1918" s="19" t="str">
        <f>IFERROR(__xludf.DUMMYFUNCTION("""COMPUTED_VALUE"""),"-")</f>
        <v>-</v>
      </c>
      <c r="I1918" s="19">
        <f>IFERROR(__xludf.DUMMYFUNCTION("""COMPUTED_VALUE"""),0.00228)</f>
        <v>0.00228</v>
      </c>
      <c r="J1918" s="19">
        <f>IFERROR(__xludf.DUMMYFUNCTION("""COMPUTED_VALUE"""),0.04731)</f>
        <v>0.04731</v>
      </c>
      <c r="K1918" s="19" t="str">
        <f>IFERROR(__xludf.DUMMYFUNCTION("""COMPUTED_VALUE"""),"-")</f>
        <v>-</v>
      </c>
      <c r="L1918" s="19" t="str">
        <f>IFERROR(__xludf.DUMMYFUNCTION("""COMPUTED_VALUE"""),"-")</f>
        <v>-</v>
      </c>
      <c r="O1918" s="24">
        <f t="shared" si="4"/>
        <v>0</v>
      </c>
      <c r="P1918" s="24"/>
      <c r="Q1918" s="24">
        <f t="shared" si="6"/>
        <v>0</v>
      </c>
      <c r="R1918" s="24">
        <f t="shared" si="7"/>
        <v>0</v>
      </c>
      <c r="S1918" s="24"/>
      <c r="T1918" s="24"/>
    </row>
    <row r="1919">
      <c r="A1919" s="12" t="s">
        <v>2007</v>
      </c>
      <c r="F1919" s="19">
        <f>IFERROR(__xludf.DUMMYFUNCTION("SPLIT(A1915, "" |"")"),1913.0)</f>
        <v>1913</v>
      </c>
      <c r="G1919" s="19">
        <f>IFERROR(__xludf.DUMMYFUNCTION("""COMPUTED_VALUE"""),0.00229)</f>
        <v>0.00229</v>
      </c>
      <c r="H1919" s="19" t="str">
        <f>IFERROR(__xludf.DUMMYFUNCTION("""COMPUTED_VALUE"""),"-")</f>
        <v>-</v>
      </c>
      <c r="I1919" s="19">
        <f>IFERROR(__xludf.DUMMYFUNCTION("""COMPUTED_VALUE"""),0.0021)</f>
        <v>0.0021</v>
      </c>
      <c r="J1919" s="19">
        <f>IFERROR(__xludf.DUMMYFUNCTION("""COMPUTED_VALUE"""),0.0473)</f>
        <v>0.0473</v>
      </c>
      <c r="K1919" s="19" t="str">
        <f>IFERROR(__xludf.DUMMYFUNCTION("""COMPUTED_VALUE"""),"-")</f>
        <v>-</v>
      </c>
      <c r="L1919" s="19" t="str">
        <f>IFERROR(__xludf.DUMMYFUNCTION("""COMPUTED_VALUE"""),"-")</f>
        <v>-</v>
      </c>
      <c r="O1919" s="24">
        <f t="shared" si="4"/>
        <v>0</v>
      </c>
      <c r="P1919" s="24"/>
      <c r="Q1919" s="24">
        <f t="shared" si="6"/>
        <v>0</v>
      </c>
      <c r="R1919" s="24">
        <f t="shared" si="7"/>
        <v>0</v>
      </c>
      <c r="S1919" s="24"/>
      <c r="T1919" s="24"/>
    </row>
    <row r="1920">
      <c r="A1920" s="12" t="s">
        <v>2008</v>
      </c>
      <c r="F1920" s="19">
        <f>IFERROR(__xludf.DUMMYFUNCTION("SPLIT(A1916, "" |"")"),1914.0)</f>
        <v>1914</v>
      </c>
      <c r="G1920" s="19">
        <f>IFERROR(__xludf.DUMMYFUNCTION("""COMPUTED_VALUE"""),0.00223)</f>
        <v>0.00223</v>
      </c>
      <c r="H1920" s="19" t="str">
        <f>IFERROR(__xludf.DUMMYFUNCTION("""COMPUTED_VALUE"""),"-")</f>
        <v>-</v>
      </c>
      <c r="I1920" s="19">
        <f>IFERROR(__xludf.DUMMYFUNCTION("""COMPUTED_VALUE"""),0.0021)</f>
        <v>0.0021</v>
      </c>
      <c r="J1920" s="19">
        <f>IFERROR(__xludf.DUMMYFUNCTION("""COMPUTED_VALUE"""),0.04725)</f>
        <v>0.04725</v>
      </c>
      <c r="K1920" s="19" t="str">
        <f>IFERROR(__xludf.DUMMYFUNCTION("""COMPUTED_VALUE"""),"-")</f>
        <v>-</v>
      </c>
      <c r="L1920" s="19" t="str">
        <f>IFERROR(__xludf.DUMMYFUNCTION("""COMPUTED_VALUE"""),"-")</f>
        <v>-</v>
      </c>
      <c r="O1920" s="24">
        <f t="shared" si="4"/>
        <v>0</v>
      </c>
      <c r="P1920" s="24"/>
      <c r="Q1920" s="24">
        <f t="shared" si="6"/>
        <v>0</v>
      </c>
      <c r="R1920" s="24">
        <f t="shared" si="7"/>
        <v>0</v>
      </c>
      <c r="S1920" s="24"/>
      <c r="T1920" s="24"/>
    </row>
    <row r="1921">
      <c r="A1921" s="12" t="s">
        <v>2009</v>
      </c>
      <c r="F1921" s="19">
        <f>IFERROR(__xludf.DUMMYFUNCTION("SPLIT(A1917, "" |"")"),1915.0)</f>
        <v>1915</v>
      </c>
      <c r="G1921" s="19">
        <f>IFERROR(__xludf.DUMMYFUNCTION("""COMPUTED_VALUE"""),0.00226)</f>
        <v>0.00226</v>
      </c>
      <c r="H1921" s="19" t="str">
        <f>IFERROR(__xludf.DUMMYFUNCTION("""COMPUTED_VALUE"""),"-")</f>
        <v>-</v>
      </c>
      <c r="I1921" s="19">
        <f>IFERROR(__xludf.DUMMYFUNCTION("""COMPUTED_VALUE"""),0.00207)</f>
        <v>0.00207</v>
      </c>
      <c r="J1921" s="19">
        <f>IFERROR(__xludf.DUMMYFUNCTION("""COMPUTED_VALUE"""),0.0471)</f>
        <v>0.0471</v>
      </c>
      <c r="K1921" s="19" t="str">
        <f>IFERROR(__xludf.DUMMYFUNCTION("""COMPUTED_VALUE"""),"-")</f>
        <v>-</v>
      </c>
      <c r="L1921" s="19" t="str">
        <f>IFERROR(__xludf.DUMMYFUNCTION("""COMPUTED_VALUE"""),"-")</f>
        <v>-</v>
      </c>
      <c r="O1921" s="24">
        <f t="shared" si="4"/>
        <v>0</v>
      </c>
      <c r="P1921" s="24"/>
      <c r="Q1921" s="24">
        <f t="shared" si="6"/>
        <v>0</v>
      </c>
      <c r="R1921" s="24">
        <f t="shared" si="7"/>
        <v>0</v>
      </c>
      <c r="S1921" s="24"/>
      <c r="T1921" s="24"/>
    </row>
    <row r="1922">
      <c r="A1922" s="12" t="s">
        <v>2010</v>
      </c>
      <c r="F1922" s="19">
        <f>IFERROR(__xludf.DUMMYFUNCTION("SPLIT(A1918, "" |"")"),1916.0)</f>
        <v>1916</v>
      </c>
      <c r="G1922" s="19">
        <f>IFERROR(__xludf.DUMMYFUNCTION("""COMPUTED_VALUE"""),0.00242)</f>
        <v>0.00242</v>
      </c>
      <c r="H1922" s="19" t="str">
        <f>IFERROR(__xludf.DUMMYFUNCTION("""COMPUTED_VALUE"""),"-")</f>
        <v>-</v>
      </c>
      <c r="I1922" s="19">
        <f>IFERROR(__xludf.DUMMYFUNCTION("""COMPUTED_VALUE"""),0.00213)</f>
        <v>0.00213</v>
      </c>
      <c r="J1922" s="19">
        <f>IFERROR(__xludf.DUMMYFUNCTION("""COMPUTED_VALUE"""),0.04737)</f>
        <v>0.04737</v>
      </c>
      <c r="K1922" s="19" t="str">
        <f>IFERROR(__xludf.DUMMYFUNCTION("""COMPUTED_VALUE"""),"-")</f>
        <v>-</v>
      </c>
      <c r="L1922" s="19" t="str">
        <f>IFERROR(__xludf.DUMMYFUNCTION("""COMPUTED_VALUE"""),"-")</f>
        <v>-</v>
      </c>
      <c r="O1922" s="24">
        <f t="shared" si="4"/>
        <v>0</v>
      </c>
      <c r="P1922" s="24"/>
      <c r="Q1922" s="24">
        <f t="shared" si="6"/>
        <v>0</v>
      </c>
      <c r="R1922" s="24">
        <f t="shared" si="7"/>
        <v>0</v>
      </c>
      <c r="S1922" s="24"/>
      <c r="T1922" s="24"/>
    </row>
    <row r="1923">
      <c r="A1923" s="12" t="s">
        <v>2011</v>
      </c>
      <c r="F1923" s="19">
        <f>IFERROR(__xludf.DUMMYFUNCTION("SPLIT(A1919, "" |"")"),1917.0)</f>
        <v>1917</v>
      </c>
      <c r="G1923" s="19">
        <f>IFERROR(__xludf.DUMMYFUNCTION("""COMPUTED_VALUE"""),0.00234)</f>
        <v>0.00234</v>
      </c>
      <c r="H1923" s="19" t="str">
        <f>IFERROR(__xludf.DUMMYFUNCTION("""COMPUTED_VALUE"""),"-")</f>
        <v>-</v>
      </c>
      <c r="I1923" s="19">
        <f>IFERROR(__xludf.DUMMYFUNCTION("""COMPUTED_VALUE"""),0.0021)</f>
        <v>0.0021</v>
      </c>
      <c r="J1923" s="19">
        <f>IFERROR(__xludf.DUMMYFUNCTION("""COMPUTED_VALUE"""),0.04685)</f>
        <v>0.04685</v>
      </c>
      <c r="K1923" s="19" t="str">
        <f>IFERROR(__xludf.DUMMYFUNCTION("""COMPUTED_VALUE"""),"-")</f>
        <v>-</v>
      </c>
      <c r="L1923" s="19" t="str">
        <f>IFERROR(__xludf.DUMMYFUNCTION("""COMPUTED_VALUE"""),"-")</f>
        <v>-</v>
      </c>
      <c r="O1923" s="24">
        <f t="shared" si="4"/>
        <v>0</v>
      </c>
      <c r="P1923" s="24"/>
      <c r="Q1923" s="24">
        <f t="shared" si="6"/>
        <v>0</v>
      </c>
      <c r="R1923" s="24">
        <f t="shared" si="7"/>
        <v>0</v>
      </c>
      <c r="S1923" s="24"/>
      <c r="T1923" s="24"/>
    </row>
    <row r="1924">
      <c r="A1924" s="12" t="s">
        <v>2012</v>
      </c>
      <c r="F1924" s="19">
        <f>IFERROR(__xludf.DUMMYFUNCTION("SPLIT(A1920, "" |"")"),1918.0)</f>
        <v>1918</v>
      </c>
      <c r="G1924" s="19">
        <f>IFERROR(__xludf.DUMMYFUNCTION("""COMPUTED_VALUE"""),0.00238)</f>
        <v>0.00238</v>
      </c>
      <c r="H1924" s="19" t="str">
        <f>IFERROR(__xludf.DUMMYFUNCTION("""COMPUTED_VALUE"""),"-")</f>
        <v>-</v>
      </c>
      <c r="I1924" s="19">
        <f>IFERROR(__xludf.DUMMYFUNCTION("""COMPUTED_VALUE"""),0.00211)</f>
        <v>0.00211</v>
      </c>
      <c r="J1924" s="19">
        <f>IFERROR(__xludf.DUMMYFUNCTION("""COMPUTED_VALUE"""),0.04559)</f>
        <v>0.04559</v>
      </c>
      <c r="K1924" s="19" t="str">
        <f>IFERROR(__xludf.DUMMYFUNCTION("""COMPUTED_VALUE"""),"-")</f>
        <v>-</v>
      </c>
      <c r="L1924" s="19" t="str">
        <f>IFERROR(__xludf.DUMMYFUNCTION("""COMPUTED_VALUE"""),"-")</f>
        <v>-</v>
      </c>
      <c r="O1924" s="24">
        <f t="shared" si="4"/>
        <v>0</v>
      </c>
      <c r="P1924" s="24"/>
      <c r="Q1924" s="24">
        <f t="shared" si="6"/>
        <v>0</v>
      </c>
      <c r="R1924" s="24">
        <f t="shared" si="7"/>
        <v>0</v>
      </c>
      <c r="S1924" s="24"/>
      <c r="T1924" s="24"/>
    </row>
    <row r="1925">
      <c r="A1925" s="12" t="s">
        <v>2013</v>
      </c>
      <c r="F1925" s="19">
        <f>IFERROR(__xludf.DUMMYFUNCTION("SPLIT(A1921, "" |"")"),1919.0)</f>
        <v>1919</v>
      </c>
      <c r="G1925" s="19">
        <f>IFERROR(__xludf.DUMMYFUNCTION("""COMPUTED_VALUE"""),0.00231)</f>
        <v>0.00231</v>
      </c>
      <c r="H1925" s="19" t="str">
        <f>IFERROR(__xludf.DUMMYFUNCTION("""COMPUTED_VALUE"""),"-")</f>
        <v>-</v>
      </c>
      <c r="I1925" s="19">
        <f>IFERROR(__xludf.DUMMYFUNCTION("""COMPUTED_VALUE"""),0.00212)</f>
        <v>0.00212</v>
      </c>
      <c r="J1925" s="19">
        <f>IFERROR(__xludf.DUMMYFUNCTION("""COMPUTED_VALUE"""),0.03949)</f>
        <v>0.03949</v>
      </c>
      <c r="K1925" s="19" t="str">
        <f>IFERROR(__xludf.DUMMYFUNCTION("""COMPUTED_VALUE"""),"-")</f>
        <v>-</v>
      </c>
      <c r="L1925" s="19" t="str">
        <f>IFERROR(__xludf.DUMMYFUNCTION("""COMPUTED_VALUE"""),"-")</f>
        <v>-</v>
      </c>
      <c r="O1925" s="24">
        <f t="shared" si="4"/>
        <v>0</v>
      </c>
      <c r="P1925" s="24"/>
      <c r="Q1925" s="24">
        <f t="shared" si="6"/>
        <v>0</v>
      </c>
      <c r="R1925" s="24">
        <f t="shared" si="7"/>
        <v>1</v>
      </c>
      <c r="S1925" s="24"/>
      <c r="T1925" s="24"/>
    </row>
    <row r="1926">
      <c r="A1926" s="12" t="s">
        <v>2014</v>
      </c>
      <c r="F1926" s="19">
        <f>IFERROR(__xludf.DUMMYFUNCTION("SPLIT(A1922, "" |"")"),1920.0)</f>
        <v>1920</v>
      </c>
      <c r="G1926" s="19">
        <f>IFERROR(__xludf.DUMMYFUNCTION("""COMPUTED_VALUE"""),0.00224)</f>
        <v>0.00224</v>
      </c>
      <c r="H1926" s="19" t="str">
        <f>IFERROR(__xludf.DUMMYFUNCTION("""COMPUTED_VALUE"""),"-")</f>
        <v>-</v>
      </c>
      <c r="I1926" s="19">
        <f>IFERROR(__xludf.DUMMYFUNCTION("""COMPUTED_VALUE"""),0.00213)</f>
        <v>0.00213</v>
      </c>
      <c r="J1926" s="19">
        <f>IFERROR(__xludf.DUMMYFUNCTION("""COMPUTED_VALUE"""),0.0409)</f>
        <v>0.0409</v>
      </c>
      <c r="K1926" s="19" t="str">
        <f>IFERROR(__xludf.DUMMYFUNCTION("""COMPUTED_VALUE"""),"-")</f>
        <v>-</v>
      </c>
      <c r="L1926" s="19" t="str">
        <f>IFERROR(__xludf.DUMMYFUNCTION("""COMPUTED_VALUE"""),"-")</f>
        <v>-</v>
      </c>
      <c r="O1926" s="24">
        <f t="shared" si="4"/>
        <v>0</v>
      </c>
      <c r="P1926" s="24"/>
      <c r="Q1926" s="24">
        <f t="shared" si="6"/>
        <v>0</v>
      </c>
      <c r="R1926" s="24">
        <f t="shared" si="7"/>
        <v>1</v>
      </c>
      <c r="S1926" s="24"/>
      <c r="T1926" s="24"/>
    </row>
    <row r="1927">
      <c r="A1927" s="12" t="s">
        <v>2015</v>
      </c>
      <c r="F1927" s="19">
        <f>IFERROR(__xludf.DUMMYFUNCTION("SPLIT(A1923, "" |"")"),1921.0)</f>
        <v>1921</v>
      </c>
      <c r="G1927" s="19">
        <f>IFERROR(__xludf.DUMMYFUNCTION("""COMPUTED_VALUE"""),0.00224)</f>
        <v>0.00224</v>
      </c>
      <c r="H1927" s="19" t="str">
        <f>IFERROR(__xludf.DUMMYFUNCTION("""COMPUTED_VALUE"""),"-")</f>
        <v>-</v>
      </c>
      <c r="I1927" s="19">
        <f>IFERROR(__xludf.DUMMYFUNCTION("""COMPUTED_VALUE"""),0.0021)</f>
        <v>0.0021</v>
      </c>
      <c r="J1927" s="19">
        <f>IFERROR(__xludf.DUMMYFUNCTION("""COMPUTED_VALUE"""),0.04719)</f>
        <v>0.04719</v>
      </c>
      <c r="K1927" s="19" t="str">
        <f>IFERROR(__xludf.DUMMYFUNCTION("""COMPUTED_VALUE"""),"-")</f>
        <v>-</v>
      </c>
      <c r="L1927" s="19" t="str">
        <f>IFERROR(__xludf.DUMMYFUNCTION("""COMPUTED_VALUE"""),"-")</f>
        <v>-</v>
      </c>
      <c r="O1927" s="24">
        <f t="shared" si="4"/>
        <v>0</v>
      </c>
      <c r="P1927" s="24"/>
      <c r="Q1927" s="24">
        <f t="shared" si="6"/>
        <v>0</v>
      </c>
      <c r="R1927" s="24">
        <f t="shared" si="7"/>
        <v>0</v>
      </c>
      <c r="S1927" s="24"/>
      <c r="T1927" s="24"/>
    </row>
    <row r="1928">
      <c r="A1928" s="12" t="s">
        <v>2016</v>
      </c>
      <c r="F1928" s="19">
        <f>IFERROR(__xludf.DUMMYFUNCTION("SPLIT(A1924, "" |"")"),1922.0)</f>
        <v>1922</v>
      </c>
      <c r="G1928" s="19">
        <f>IFERROR(__xludf.DUMMYFUNCTION("""COMPUTED_VALUE"""),0.00225)</f>
        <v>0.00225</v>
      </c>
      <c r="H1928" s="19" t="str">
        <f>IFERROR(__xludf.DUMMYFUNCTION("""COMPUTED_VALUE"""),"-")</f>
        <v>-</v>
      </c>
      <c r="I1928" s="19">
        <f>IFERROR(__xludf.DUMMYFUNCTION("""COMPUTED_VALUE"""),0.0021)</f>
        <v>0.0021</v>
      </c>
      <c r="J1928" s="19">
        <f>IFERROR(__xludf.DUMMYFUNCTION("""COMPUTED_VALUE"""),0.04701)</f>
        <v>0.04701</v>
      </c>
      <c r="K1928" s="19" t="str">
        <f>IFERROR(__xludf.DUMMYFUNCTION("""COMPUTED_VALUE"""),"-")</f>
        <v>-</v>
      </c>
      <c r="L1928" s="19" t="str">
        <f>IFERROR(__xludf.DUMMYFUNCTION("""COMPUTED_VALUE"""),"-")</f>
        <v>-</v>
      </c>
      <c r="O1928" s="24">
        <f t="shared" si="4"/>
        <v>0</v>
      </c>
      <c r="P1928" s="24"/>
      <c r="Q1928" s="24">
        <f t="shared" si="6"/>
        <v>0</v>
      </c>
      <c r="R1928" s="24">
        <f t="shared" si="7"/>
        <v>0</v>
      </c>
      <c r="S1928" s="24"/>
      <c r="T1928" s="24"/>
    </row>
    <row r="1929">
      <c r="A1929" s="12" t="s">
        <v>2017</v>
      </c>
      <c r="F1929" s="19">
        <f>IFERROR(__xludf.DUMMYFUNCTION("SPLIT(A1925, "" |"")"),1923.0)</f>
        <v>1923</v>
      </c>
      <c r="G1929" s="19">
        <f>IFERROR(__xludf.DUMMYFUNCTION("""COMPUTED_VALUE"""),0.00232)</f>
        <v>0.00232</v>
      </c>
      <c r="H1929" s="19" t="str">
        <f>IFERROR(__xludf.DUMMYFUNCTION("""COMPUTED_VALUE"""),"-")</f>
        <v>-</v>
      </c>
      <c r="I1929" s="19">
        <f>IFERROR(__xludf.DUMMYFUNCTION("""COMPUTED_VALUE"""),0.00211)</f>
        <v>0.00211</v>
      </c>
      <c r="J1929" s="19">
        <f>IFERROR(__xludf.DUMMYFUNCTION("""COMPUTED_VALUE"""),0.04724)</f>
        <v>0.04724</v>
      </c>
      <c r="K1929" s="19" t="str">
        <f>IFERROR(__xludf.DUMMYFUNCTION("""COMPUTED_VALUE"""),"-")</f>
        <v>-</v>
      </c>
      <c r="L1929" s="19" t="str">
        <f>IFERROR(__xludf.DUMMYFUNCTION("""COMPUTED_VALUE"""),"-")</f>
        <v>-</v>
      </c>
      <c r="O1929" s="24">
        <f t="shared" si="4"/>
        <v>0</v>
      </c>
      <c r="P1929" s="24"/>
      <c r="Q1929" s="24">
        <f t="shared" si="6"/>
        <v>0</v>
      </c>
      <c r="R1929" s="24">
        <f t="shared" si="7"/>
        <v>0</v>
      </c>
      <c r="S1929" s="24"/>
      <c r="T1929" s="24"/>
    </row>
    <row r="1930">
      <c r="A1930" s="12" t="s">
        <v>2018</v>
      </c>
      <c r="F1930" s="19">
        <f>IFERROR(__xludf.DUMMYFUNCTION("SPLIT(A1926, "" |"")"),1924.0)</f>
        <v>1924</v>
      </c>
      <c r="G1930" s="19">
        <f>IFERROR(__xludf.DUMMYFUNCTION("""COMPUTED_VALUE"""),0.00218)</f>
        <v>0.00218</v>
      </c>
      <c r="H1930" s="19" t="str">
        <f>IFERROR(__xludf.DUMMYFUNCTION("""COMPUTED_VALUE"""),"-")</f>
        <v>-</v>
      </c>
      <c r="I1930" s="19">
        <f>IFERROR(__xludf.DUMMYFUNCTION("""COMPUTED_VALUE"""),0.00209)</f>
        <v>0.00209</v>
      </c>
      <c r="J1930" s="19">
        <f>IFERROR(__xludf.DUMMYFUNCTION("""COMPUTED_VALUE"""),0.04724)</f>
        <v>0.04724</v>
      </c>
      <c r="K1930" s="19" t="str">
        <f>IFERROR(__xludf.DUMMYFUNCTION("""COMPUTED_VALUE"""),"-")</f>
        <v>-</v>
      </c>
      <c r="L1930" s="19" t="str">
        <f>IFERROR(__xludf.DUMMYFUNCTION("""COMPUTED_VALUE"""),"-")</f>
        <v>-</v>
      </c>
      <c r="O1930" s="24">
        <f t="shared" si="4"/>
        <v>0</v>
      </c>
      <c r="P1930" s="24"/>
      <c r="Q1930" s="24">
        <f t="shared" si="6"/>
        <v>0</v>
      </c>
      <c r="R1930" s="24">
        <f t="shared" si="7"/>
        <v>0</v>
      </c>
      <c r="S1930" s="24"/>
      <c r="T1930" s="24"/>
    </row>
    <row r="1931">
      <c r="A1931" s="12" t="s">
        <v>2019</v>
      </c>
      <c r="F1931" s="19">
        <f>IFERROR(__xludf.DUMMYFUNCTION("SPLIT(A1927, "" |"")"),1925.0)</f>
        <v>1925</v>
      </c>
      <c r="G1931" s="19">
        <f>IFERROR(__xludf.DUMMYFUNCTION("""COMPUTED_VALUE"""),0.00232)</f>
        <v>0.00232</v>
      </c>
      <c r="H1931" s="19" t="str">
        <f>IFERROR(__xludf.DUMMYFUNCTION("""COMPUTED_VALUE"""),"-")</f>
        <v>-</v>
      </c>
      <c r="I1931" s="19">
        <f>IFERROR(__xludf.DUMMYFUNCTION("""COMPUTED_VALUE"""),0.00209)</f>
        <v>0.00209</v>
      </c>
      <c r="J1931" s="19">
        <f>IFERROR(__xludf.DUMMYFUNCTION("""COMPUTED_VALUE"""),0.04731)</f>
        <v>0.04731</v>
      </c>
      <c r="K1931" s="19" t="str">
        <f>IFERROR(__xludf.DUMMYFUNCTION("""COMPUTED_VALUE"""),"-")</f>
        <v>-</v>
      </c>
      <c r="L1931" s="19" t="str">
        <f>IFERROR(__xludf.DUMMYFUNCTION("""COMPUTED_VALUE"""),"-")</f>
        <v>-</v>
      </c>
      <c r="O1931" s="24">
        <f t="shared" si="4"/>
        <v>0</v>
      </c>
      <c r="P1931" s="24"/>
      <c r="Q1931" s="24">
        <f t="shared" si="6"/>
        <v>0</v>
      </c>
      <c r="R1931" s="24">
        <f t="shared" si="7"/>
        <v>0</v>
      </c>
      <c r="S1931" s="24"/>
      <c r="T1931" s="24"/>
    </row>
    <row r="1932">
      <c r="A1932" s="12" t="s">
        <v>2020</v>
      </c>
      <c r="F1932" s="19">
        <f>IFERROR(__xludf.DUMMYFUNCTION("SPLIT(A1928, "" |"")"),1926.0)</f>
        <v>1926</v>
      </c>
      <c r="G1932" s="19">
        <f>IFERROR(__xludf.DUMMYFUNCTION("""COMPUTED_VALUE"""),0.00223)</f>
        <v>0.00223</v>
      </c>
      <c r="H1932" s="19" t="str">
        <f>IFERROR(__xludf.DUMMYFUNCTION("""COMPUTED_VALUE"""),"-")</f>
        <v>-</v>
      </c>
      <c r="I1932" s="19">
        <f>IFERROR(__xludf.DUMMYFUNCTION("""COMPUTED_VALUE"""),0.00209)</f>
        <v>0.00209</v>
      </c>
      <c r="J1932" s="19">
        <f>IFERROR(__xludf.DUMMYFUNCTION("""COMPUTED_VALUE"""),0.04732)</f>
        <v>0.04732</v>
      </c>
      <c r="K1932" s="19" t="str">
        <f>IFERROR(__xludf.DUMMYFUNCTION("""COMPUTED_VALUE"""),"-")</f>
        <v>-</v>
      </c>
      <c r="L1932" s="19" t="str">
        <f>IFERROR(__xludf.DUMMYFUNCTION("""COMPUTED_VALUE"""),"-")</f>
        <v>-</v>
      </c>
      <c r="O1932" s="24">
        <f t="shared" si="4"/>
        <v>0</v>
      </c>
      <c r="P1932" s="24"/>
      <c r="Q1932" s="24">
        <f t="shared" si="6"/>
        <v>0</v>
      </c>
      <c r="R1932" s="24">
        <f t="shared" si="7"/>
        <v>0</v>
      </c>
      <c r="S1932" s="24"/>
      <c r="T1932" s="24"/>
    </row>
    <row r="1933">
      <c r="A1933" s="12" t="s">
        <v>2021</v>
      </c>
      <c r="F1933" s="19">
        <f>IFERROR(__xludf.DUMMYFUNCTION("SPLIT(A1929, "" |"")"),1927.0)</f>
        <v>1927</v>
      </c>
      <c r="G1933" s="19">
        <f>IFERROR(__xludf.DUMMYFUNCTION("""COMPUTED_VALUE"""),0.00227)</f>
        <v>0.00227</v>
      </c>
      <c r="H1933" s="19" t="str">
        <f>IFERROR(__xludf.DUMMYFUNCTION("""COMPUTED_VALUE"""),"-")</f>
        <v>-</v>
      </c>
      <c r="I1933" s="19">
        <f>IFERROR(__xludf.DUMMYFUNCTION("""COMPUTED_VALUE"""),0.00208)</f>
        <v>0.00208</v>
      </c>
      <c r="J1933" s="19">
        <f>IFERROR(__xludf.DUMMYFUNCTION("""COMPUTED_VALUE"""),0.04734)</f>
        <v>0.04734</v>
      </c>
      <c r="K1933" s="19" t="str">
        <f>IFERROR(__xludf.DUMMYFUNCTION("""COMPUTED_VALUE"""),"-")</f>
        <v>-</v>
      </c>
      <c r="L1933" s="19" t="str">
        <f>IFERROR(__xludf.DUMMYFUNCTION("""COMPUTED_VALUE"""),"-")</f>
        <v>-</v>
      </c>
      <c r="O1933" s="24">
        <f t="shared" si="4"/>
        <v>0</v>
      </c>
      <c r="P1933" s="24"/>
      <c r="Q1933" s="24">
        <f t="shared" si="6"/>
        <v>0</v>
      </c>
      <c r="R1933" s="24">
        <f t="shared" si="7"/>
        <v>0</v>
      </c>
      <c r="S1933" s="24"/>
      <c r="T1933" s="24"/>
    </row>
    <row r="1934">
      <c r="A1934" s="12" t="s">
        <v>2022</v>
      </c>
      <c r="F1934" s="19">
        <f>IFERROR(__xludf.DUMMYFUNCTION("SPLIT(A1930, "" |"")"),1928.0)</f>
        <v>1928</v>
      </c>
      <c r="G1934" s="19">
        <f>IFERROR(__xludf.DUMMYFUNCTION("""COMPUTED_VALUE"""),0.0023)</f>
        <v>0.0023</v>
      </c>
      <c r="H1934" s="19" t="str">
        <f>IFERROR(__xludf.DUMMYFUNCTION("""COMPUTED_VALUE"""),"-")</f>
        <v>-</v>
      </c>
      <c r="I1934" s="19">
        <f>IFERROR(__xludf.DUMMYFUNCTION("""COMPUTED_VALUE"""),0.00211)</f>
        <v>0.00211</v>
      </c>
      <c r="J1934" s="19">
        <f>IFERROR(__xludf.DUMMYFUNCTION("""COMPUTED_VALUE"""),0.0473)</f>
        <v>0.0473</v>
      </c>
      <c r="K1934" s="19" t="str">
        <f>IFERROR(__xludf.DUMMYFUNCTION("""COMPUTED_VALUE"""),"-")</f>
        <v>-</v>
      </c>
      <c r="L1934" s="19" t="str">
        <f>IFERROR(__xludf.DUMMYFUNCTION("""COMPUTED_VALUE"""),"-")</f>
        <v>-</v>
      </c>
      <c r="O1934" s="24">
        <f t="shared" si="4"/>
        <v>0</v>
      </c>
      <c r="P1934" s="24"/>
      <c r="Q1934" s="24">
        <f t="shared" si="6"/>
        <v>0</v>
      </c>
      <c r="R1934" s="24">
        <f t="shared" si="7"/>
        <v>0</v>
      </c>
      <c r="S1934" s="24"/>
      <c r="T1934" s="24"/>
    </row>
    <row r="1935">
      <c r="A1935" s="12" t="s">
        <v>2023</v>
      </c>
      <c r="F1935" s="19">
        <f>IFERROR(__xludf.DUMMYFUNCTION("SPLIT(A1931, "" |"")"),1929.0)</f>
        <v>1929</v>
      </c>
      <c r="G1935" s="19">
        <f>IFERROR(__xludf.DUMMYFUNCTION("""COMPUTED_VALUE"""),0.00224)</f>
        <v>0.00224</v>
      </c>
      <c r="H1935" s="19" t="str">
        <f>IFERROR(__xludf.DUMMYFUNCTION("""COMPUTED_VALUE"""),"-")</f>
        <v>-</v>
      </c>
      <c r="I1935" s="19">
        <f>IFERROR(__xludf.DUMMYFUNCTION("""COMPUTED_VALUE"""),0.00213)</f>
        <v>0.00213</v>
      </c>
      <c r="J1935" s="19">
        <f>IFERROR(__xludf.DUMMYFUNCTION("""COMPUTED_VALUE"""),0.0473)</f>
        <v>0.0473</v>
      </c>
      <c r="K1935" s="19" t="str">
        <f>IFERROR(__xludf.DUMMYFUNCTION("""COMPUTED_VALUE"""),"-")</f>
        <v>-</v>
      </c>
      <c r="L1935" s="19" t="str">
        <f>IFERROR(__xludf.DUMMYFUNCTION("""COMPUTED_VALUE"""),"-")</f>
        <v>-</v>
      </c>
      <c r="O1935" s="24">
        <f t="shared" si="4"/>
        <v>0</v>
      </c>
      <c r="P1935" s="24"/>
      <c r="Q1935" s="24">
        <f t="shared" si="6"/>
        <v>0</v>
      </c>
      <c r="R1935" s="24">
        <f t="shared" si="7"/>
        <v>0</v>
      </c>
      <c r="S1935" s="24"/>
      <c r="T1935" s="24"/>
    </row>
    <row r="1936">
      <c r="A1936" s="12" t="s">
        <v>2024</v>
      </c>
      <c r="F1936" s="19">
        <f>IFERROR(__xludf.DUMMYFUNCTION("SPLIT(A1932, "" |"")"),1930.0)</f>
        <v>1930</v>
      </c>
      <c r="G1936" s="19">
        <f>IFERROR(__xludf.DUMMYFUNCTION("""COMPUTED_VALUE"""),0.00224)</f>
        <v>0.00224</v>
      </c>
      <c r="H1936" s="19" t="str">
        <f>IFERROR(__xludf.DUMMYFUNCTION("""COMPUTED_VALUE"""),"-")</f>
        <v>-</v>
      </c>
      <c r="I1936" s="19">
        <f>IFERROR(__xludf.DUMMYFUNCTION("""COMPUTED_VALUE"""),0.0021)</f>
        <v>0.0021</v>
      </c>
      <c r="J1936" s="19">
        <f>IFERROR(__xludf.DUMMYFUNCTION("""COMPUTED_VALUE"""),0.04736)</f>
        <v>0.04736</v>
      </c>
      <c r="K1936" s="19" t="str">
        <f>IFERROR(__xludf.DUMMYFUNCTION("""COMPUTED_VALUE"""),"-")</f>
        <v>-</v>
      </c>
      <c r="L1936" s="19" t="str">
        <f>IFERROR(__xludf.DUMMYFUNCTION("""COMPUTED_VALUE"""),"-")</f>
        <v>-</v>
      </c>
      <c r="O1936" s="24">
        <f t="shared" si="4"/>
        <v>0</v>
      </c>
      <c r="P1936" s="24"/>
      <c r="Q1936" s="24">
        <f t="shared" si="6"/>
        <v>0</v>
      </c>
      <c r="R1936" s="24">
        <f t="shared" si="7"/>
        <v>0</v>
      </c>
      <c r="S1936" s="24"/>
      <c r="T1936" s="24"/>
    </row>
    <row r="1937">
      <c r="A1937" s="12" t="s">
        <v>2025</v>
      </c>
      <c r="F1937" s="19">
        <f>IFERROR(__xludf.DUMMYFUNCTION("SPLIT(A1933, "" |"")"),1931.0)</f>
        <v>1931</v>
      </c>
      <c r="G1937" s="19">
        <f>IFERROR(__xludf.DUMMYFUNCTION("""COMPUTED_VALUE"""),0.00226)</f>
        <v>0.00226</v>
      </c>
      <c r="H1937" s="19" t="str">
        <f>IFERROR(__xludf.DUMMYFUNCTION("""COMPUTED_VALUE"""),"-")</f>
        <v>-</v>
      </c>
      <c r="I1937" s="19">
        <f>IFERROR(__xludf.DUMMYFUNCTION("""COMPUTED_VALUE"""),0.0021)</f>
        <v>0.0021</v>
      </c>
      <c r="J1937" s="19">
        <f>IFERROR(__xludf.DUMMYFUNCTION("""COMPUTED_VALUE"""),0.04718)</f>
        <v>0.04718</v>
      </c>
      <c r="K1937" s="19" t="str">
        <f>IFERROR(__xludf.DUMMYFUNCTION("""COMPUTED_VALUE"""),"-")</f>
        <v>-</v>
      </c>
      <c r="L1937" s="19" t="str">
        <f>IFERROR(__xludf.DUMMYFUNCTION("""COMPUTED_VALUE"""),"-")</f>
        <v>-</v>
      </c>
      <c r="O1937" s="24">
        <f t="shared" si="4"/>
        <v>0</v>
      </c>
      <c r="P1937" s="24"/>
      <c r="Q1937" s="24">
        <f t="shared" si="6"/>
        <v>0</v>
      </c>
      <c r="R1937" s="24">
        <f t="shared" si="7"/>
        <v>0</v>
      </c>
      <c r="S1937" s="24"/>
      <c r="T1937" s="24"/>
    </row>
    <row r="1938">
      <c r="A1938" s="12" t="s">
        <v>2026</v>
      </c>
      <c r="F1938" s="19">
        <f>IFERROR(__xludf.DUMMYFUNCTION("SPLIT(A1934, "" |"")"),1932.0)</f>
        <v>1932</v>
      </c>
      <c r="G1938" s="19">
        <f>IFERROR(__xludf.DUMMYFUNCTION("""COMPUTED_VALUE"""),0.0022)</f>
        <v>0.0022</v>
      </c>
      <c r="H1938" s="19" t="str">
        <f>IFERROR(__xludf.DUMMYFUNCTION("""COMPUTED_VALUE"""),"-")</f>
        <v>-</v>
      </c>
      <c r="I1938" s="19">
        <f>IFERROR(__xludf.DUMMYFUNCTION("""COMPUTED_VALUE"""),0.00207)</f>
        <v>0.00207</v>
      </c>
      <c r="J1938" s="19">
        <f>IFERROR(__xludf.DUMMYFUNCTION("""COMPUTED_VALUE"""),0.04727)</f>
        <v>0.04727</v>
      </c>
      <c r="K1938" s="19" t="str">
        <f>IFERROR(__xludf.DUMMYFUNCTION("""COMPUTED_VALUE"""),"-")</f>
        <v>-</v>
      </c>
      <c r="L1938" s="19" t="str">
        <f>IFERROR(__xludf.DUMMYFUNCTION("""COMPUTED_VALUE"""),"-")</f>
        <v>-</v>
      </c>
      <c r="O1938" s="24">
        <f t="shared" si="4"/>
        <v>0</v>
      </c>
      <c r="P1938" s="24"/>
      <c r="Q1938" s="24">
        <f t="shared" si="6"/>
        <v>0</v>
      </c>
      <c r="R1938" s="24">
        <f t="shared" si="7"/>
        <v>0</v>
      </c>
      <c r="S1938" s="24"/>
      <c r="T1938" s="24"/>
    </row>
    <row r="1939">
      <c r="A1939" s="12" t="s">
        <v>2027</v>
      </c>
      <c r="F1939" s="19">
        <f>IFERROR(__xludf.DUMMYFUNCTION("SPLIT(A1935, "" |"")"),1933.0)</f>
        <v>1933</v>
      </c>
      <c r="G1939" s="19">
        <f>IFERROR(__xludf.DUMMYFUNCTION("""COMPUTED_VALUE"""),0.00226)</f>
        <v>0.00226</v>
      </c>
      <c r="H1939" s="19" t="str">
        <f>IFERROR(__xludf.DUMMYFUNCTION("""COMPUTED_VALUE"""),"-")</f>
        <v>-</v>
      </c>
      <c r="I1939" s="19">
        <f>IFERROR(__xludf.DUMMYFUNCTION("""COMPUTED_VALUE"""),0.00209)</f>
        <v>0.00209</v>
      </c>
      <c r="J1939" s="19">
        <f>IFERROR(__xludf.DUMMYFUNCTION("""COMPUTED_VALUE"""),0.04731)</f>
        <v>0.04731</v>
      </c>
      <c r="K1939" s="19" t="str">
        <f>IFERROR(__xludf.DUMMYFUNCTION("""COMPUTED_VALUE"""),"-")</f>
        <v>-</v>
      </c>
      <c r="L1939" s="19" t="str">
        <f>IFERROR(__xludf.DUMMYFUNCTION("""COMPUTED_VALUE"""),"-")</f>
        <v>-</v>
      </c>
      <c r="O1939" s="24">
        <f t="shared" si="4"/>
        <v>0</v>
      </c>
      <c r="P1939" s="24"/>
      <c r="Q1939" s="24">
        <f t="shared" si="6"/>
        <v>0</v>
      </c>
      <c r="R1939" s="24">
        <f t="shared" si="7"/>
        <v>0</v>
      </c>
      <c r="S1939" s="24"/>
      <c r="T1939" s="24"/>
    </row>
    <row r="1940">
      <c r="A1940" s="12" t="s">
        <v>2028</v>
      </c>
      <c r="F1940" s="19">
        <f>IFERROR(__xludf.DUMMYFUNCTION("SPLIT(A1936, "" |"")"),1934.0)</f>
        <v>1934</v>
      </c>
      <c r="G1940" s="19">
        <f>IFERROR(__xludf.DUMMYFUNCTION("""COMPUTED_VALUE"""),0.00224)</f>
        <v>0.00224</v>
      </c>
      <c r="H1940" s="19" t="str">
        <f>IFERROR(__xludf.DUMMYFUNCTION("""COMPUTED_VALUE"""),"-")</f>
        <v>-</v>
      </c>
      <c r="I1940" s="19">
        <f>IFERROR(__xludf.DUMMYFUNCTION("""COMPUTED_VALUE"""),0.00208)</f>
        <v>0.00208</v>
      </c>
      <c r="J1940" s="19">
        <f>IFERROR(__xludf.DUMMYFUNCTION("""COMPUTED_VALUE"""),0.04427)</f>
        <v>0.04427</v>
      </c>
      <c r="K1940" s="19" t="str">
        <f>IFERROR(__xludf.DUMMYFUNCTION("""COMPUTED_VALUE"""),"-")</f>
        <v>-</v>
      </c>
      <c r="L1940" s="19" t="str">
        <f>IFERROR(__xludf.DUMMYFUNCTION("""COMPUTED_VALUE"""),"-")</f>
        <v>-</v>
      </c>
      <c r="O1940" s="24">
        <f t="shared" si="4"/>
        <v>0</v>
      </c>
      <c r="P1940" s="24"/>
      <c r="Q1940" s="24">
        <f t="shared" si="6"/>
        <v>0</v>
      </c>
      <c r="R1940" s="24">
        <f t="shared" si="7"/>
        <v>1</v>
      </c>
      <c r="S1940" s="24"/>
      <c r="T1940" s="24"/>
    </row>
    <row r="1941">
      <c r="A1941" s="12" t="s">
        <v>2029</v>
      </c>
      <c r="F1941" s="19">
        <f>IFERROR(__xludf.DUMMYFUNCTION("SPLIT(A1937, "" |"")"),1935.0)</f>
        <v>1935</v>
      </c>
      <c r="G1941" s="19">
        <f>IFERROR(__xludf.DUMMYFUNCTION("""COMPUTED_VALUE"""),0.00222)</f>
        <v>0.00222</v>
      </c>
      <c r="H1941" s="19" t="str">
        <f>IFERROR(__xludf.DUMMYFUNCTION("""COMPUTED_VALUE"""),"-")</f>
        <v>-</v>
      </c>
      <c r="I1941" s="19">
        <f>IFERROR(__xludf.DUMMYFUNCTION("""COMPUTED_VALUE"""),0.00206)</f>
        <v>0.00206</v>
      </c>
      <c r="J1941" s="19">
        <f>IFERROR(__xludf.DUMMYFUNCTION("""COMPUTED_VALUE"""),0.04725)</f>
        <v>0.04725</v>
      </c>
      <c r="K1941" s="19" t="str">
        <f>IFERROR(__xludf.DUMMYFUNCTION("""COMPUTED_VALUE"""),"-")</f>
        <v>-</v>
      </c>
      <c r="L1941" s="19" t="str">
        <f>IFERROR(__xludf.DUMMYFUNCTION("""COMPUTED_VALUE"""),"-")</f>
        <v>-</v>
      </c>
      <c r="O1941" s="24">
        <f t="shared" si="4"/>
        <v>0</v>
      </c>
      <c r="P1941" s="24"/>
      <c r="Q1941" s="24">
        <f t="shared" si="6"/>
        <v>0</v>
      </c>
      <c r="R1941" s="24">
        <f t="shared" si="7"/>
        <v>0</v>
      </c>
      <c r="S1941" s="24"/>
      <c r="T1941" s="24"/>
    </row>
    <row r="1942">
      <c r="A1942" s="12" t="s">
        <v>2030</v>
      </c>
      <c r="F1942" s="19">
        <f>IFERROR(__xludf.DUMMYFUNCTION("SPLIT(A1938, "" |"")"),1936.0)</f>
        <v>1936</v>
      </c>
      <c r="G1942" s="19">
        <f>IFERROR(__xludf.DUMMYFUNCTION("""COMPUTED_VALUE"""),0.00225)</f>
        <v>0.00225</v>
      </c>
      <c r="H1942" s="19" t="str">
        <f>IFERROR(__xludf.DUMMYFUNCTION("""COMPUTED_VALUE"""),"-")</f>
        <v>-</v>
      </c>
      <c r="I1942" s="19">
        <f>IFERROR(__xludf.DUMMYFUNCTION("""COMPUTED_VALUE"""),0.00208)</f>
        <v>0.00208</v>
      </c>
      <c r="J1942" s="19">
        <f>IFERROR(__xludf.DUMMYFUNCTION("""COMPUTED_VALUE"""),0.04725)</f>
        <v>0.04725</v>
      </c>
      <c r="K1942" s="19" t="str">
        <f>IFERROR(__xludf.DUMMYFUNCTION("""COMPUTED_VALUE"""),"-")</f>
        <v>-</v>
      </c>
      <c r="L1942" s="19" t="str">
        <f>IFERROR(__xludf.DUMMYFUNCTION("""COMPUTED_VALUE"""),"-")</f>
        <v>-</v>
      </c>
      <c r="O1942" s="24">
        <f t="shared" si="4"/>
        <v>0</v>
      </c>
      <c r="P1942" s="24"/>
      <c r="Q1942" s="24">
        <f t="shared" si="6"/>
        <v>0</v>
      </c>
      <c r="R1942" s="24">
        <f t="shared" si="7"/>
        <v>0</v>
      </c>
      <c r="S1942" s="24"/>
      <c r="T1942" s="24"/>
    </row>
    <row r="1943">
      <c r="A1943" s="12" t="s">
        <v>2031</v>
      </c>
      <c r="F1943" s="19">
        <f>IFERROR(__xludf.DUMMYFUNCTION("SPLIT(A1939, "" |"")"),1937.0)</f>
        <v>1937</v>
      </c>
      <c r="G1943" s="19">
        <f>IFERROR(__xludf.DUMMYFUNCTION("""COMPUTED_VALUE"""),0.00225)</f>
        <v>0.00225</v>
      </c>
      <c r="H1943" s="19" t="str">
        <f>IFERROR(__xludf.DUMMYFUNCTION("""COMPUTED_VALUE"""),"-")</f>
        <v>-</v>
      </c>
      <c r="I1943" s="19">
        <f>IFERROR(__xludf.DUMMYFUNCTION("""COMPUTED_VALUE"""),0.00209)</f>
        <v>0.00209</v>
      </c>
      <c r="J1943" s="19">
        <f>IFERROR(__xludf.DUMMYFUNCTION("""COMPUTED_VALUE"""),0.04722)</f>
        <v>0.04722</v>
      </c>
      <c r="K1943" s="19" t="str">
        <f>IFERROR(__xludf.DUMMYFUNCTION("""COMPUTED_VALUE"""),"-")</f>
        <v>-</v>
      </c>
      <c r="L1943" s="19" t="str">
        <f>IFERROR(__xludf.DUMMYFUNCTION("""COMPUTED_VALUE"""),"-")</f>
        <v>-</v>
      </c>
      <c r="O1943" s="24">
        <f t="shared" si="4"/>
        <v>0</v>
      </c>
      <c r="P1943" s="24"/>
      <c r="Q1943" s="24">
        <f t="shared" si="6"/>
        <v>0</v>
      </c>
      <c r="R1943" s="24">
        <f t="shared" si="7"/>
        <v>0</v>
      </c>
      <c r="S1943" s="24"/>
      <c r="T1943" s="24"/>
    </row>
    <row r="1944">
      <c r="A1944" s="12" t="s">
        <v>2032</v>
      </c>
      <c r="F1944" s="19">
        <f>IFERROR(__xludf.DUMMYFUNCTION("SPLIT(A1940, "" |"")"),1938.0)</f>
        <v>1938</v>
      </c>
      <c r="G1944" s="19">
        <f>IFERROR(__xludf.DUMMYFUNCTION("""COMPUTED_VALUE"""),0.00223)</f>
        <v>0.00223</v>
      </c>
      <c r="H1944" s="19" t="str">
        <f>IFERROR(__xludf.DUMMYFUNCTION("""COMPUTED_VALUE"""),"-")</f>
        <v>-</v>
      </c>
      <c r="I1944" s="19">
        <f>IFERROR(__xludf.DUMMYFUNCTION("""COMPUTED_VALUE"""),0.0021)</f>
        <v>0.0021</v>
      </c>
      <c r="J1944" s="19">
        <f>IFERROR(__xludf.DUMMYFUNCTION("""COMPUTED_VALUE"""),0.04728)</f>
        <v>0.04728</v>
      </c>
      <c r="K1944" s="19" t="str">
        <f>IFERROR(__xludf.DUMMYFUNCTION("""COMPUTED_VALUE"""),"-")</f>
        <v>-</v>
      </c>
      <c r="L1944" s="19" t="str">
        <f>IFERROR(__xludf.DUMMYFUNCTION("""COMPUTED_VALUE"""),"-")</f>
        <v>-</v>
      </c>
      <c r="O1944" s="24">
        <f t="shared" si="4"/>
        <v>0</v>
      </c>
      <c r="P1944" s="24"/>
      <c r="Q1944" s="24">
        <f t="shared" si="6"/>
        <v>0</v>
      </c>
      <c r="R1944" s="24">
        <f t="shared" si="7"/>
        <v>0</v>
      </c>
      <c r="S1944" s="24"/>
      <c r="T1944" s="24"/>
    </row>
    <row r="1945">
      <c r="A1945" s="12" t="s">
        <v>2033</v>
      </c>
      <c r="F1945" s="19">
        <f>IFERROR(__xludf.DUMMYFUNCTION("SPLIT(A1941, "" |"")"),1939.0)</f>
        <v>1939</v>
      </c>
      <c r="G1945" s="19">
        <f>IFERROR(__xludf.DUMMYFUNCTION("""COMPUTED_VALUE"""),0.00223)</f>
        <v>0.00223</v>
      </c>
      <c r="H1945" s="19" t="str">
        <f>IFERROR(__xludf.DUMMYFUNCTION("""COMPUTED_VALUE"""),"-")</f>
        <v>-</v>
      </c>
      <c r="I1945" s="19">
        <f>IFERROR(__xludf.DUMMYFUNCTION("""COMPUTED_VALUE"""),0.0021)</f>
        <v>0.0021</v>
      </c>
      <c r="J1945" s="19">
        <f>IFERROR(__xludf.DUMMYFUNCTION("""COMPUTED_VALUE"""),0.04608)</f>
        <v>0.04608</v>
      </c>
      <c r="K1945" s="19" t="str">
        <f>IFERROR(__xludf.DUMMYFUNCTION("""COMPUTED_VALUE"""),"-")</f>
        <v>-</v>
      </c>
      <c r="L1945" s="19" t="str">
        <f>IFERROR(__xludf.DUMMYFUNCTION("""COMPUTED_VALUE"""),"-")</f>
        <v>-</v>
      </c>
      <c r="O1945" s="24">
        <f t="shared" si="4"/>
        <v>0</v>
      </c>
      <c r="P1945" s="24"/>
      <c r="Q1945" s="24">
        <f t="shared" si="6"/>
        <v>0</v>
      </c>
      <c r="R1945" s="24">
        <f t="shared" si="7"/>
        <v>0</v>
      </c>
      <c r="S1945" s="24"/>
      <c r="T1945" s="24"/>
    </row>
    <row r="1946">
      <c r="A1946" s="12" t="s">
        <v>2034</v>
      </c>
      <c r="F1946" s="19">
        <f>IFERROR(__xludf.DUMMYFUNCTION("SPLIT(A1942, "" |"")"),1940.0)</f>
        <v>1940</v>
      </c>
      <c r="G1946" s="19">
        <f>IFERROR(__xludf.DUMMYFUNCTION("""COMPUTED_VALUE"""),0.00223)</f>
        <v>0.00223</v>
      </c>
      <c r="H1946" s="19" t="str">
        <f>IFERROR(__xludf.DUMMYFUNCTION("""COMPUTED_VALUE"""),"-")</f>
        <v>-</v>
      </c>
      <c r="I1946" s="19">
        <f>IFERROR(__xludf.DUMMYFUNCTION("""COMPUTED_VALUE"""),0.00208)</f>
        <v>0.00208</v>
      </c>
      <c r="J1946" s="19">
        <f>IFERROR(__xludf.DUMMYFUNCTION("""COMPUTED_VALUE"""),0.04727)</f>
        <v>0.04727</v>
      </c>
      <c r="K1946" s="19" t="str">
        <f>IFERROR(__xludf.DUMMYFUNCTION("""COMPUTED_VALUE"""),"-")</f>
        <v>-</v>
      </c>
      <c r="L1946" s="19" t="str">
        <f>IFERROR(__xludf.DUMMYFUNCTION("""COMPUTED_VALUE"""),"-")</f>
        <v>-</v>
      </c>
      <c r="O1946" s="24">
        <f t="shared" si="4"/>
        <v>0</v>
      </c>
      <c r="P1946" s="24"/>
      <c r="Q1946" s="24">
        <f t="shared" si="6"/>
        <v>0</v>
      </c>
      <c r="R1946" s="24">
        <f t="shared" si="7"/>
        <v>0</v>
      </c>
      <c r="S1946" s="24"/>
      <c r="T1946" s="24"/>
    </row>
    <row r="1947">
      <c r="A1947" s="12" t="s">
        <v>2035</v>
      </c>
      <c r="F1947" s="19">
        <f>IFERROR(__xludf.DUMMYFUNCTION("SPLIT(A1943, "" |"")"),1941.0)</f>
        <v>1941</v>
      </c>
      <c r="G1947" s="19">
        <f>IFERROR(__xludf.DUMMYFUNCTION("""COMPUTED_VALUE"""),0.00219)</f>
        <v>0.00219</v>
      </c>
      <c r="H1947" s="19" t="str">
        <f>IFERROR(__xludf.DUMMYFUNCTION("""COMPUTED_VALUE"""),"-")</f>
        <v>-</v>
      </c>
      <c r="I1947" s="19">
        <f>IFERROR(__xludf.DUMMYFUNCTION("""COMPUTED_VALUE"""),0.00208)</f>
        <v>0.00208</v>
      </c>
      <c r="J1947" s="19">
        <f>IFERROR(__xludf.DUMMYFUNCTION("""COMPUTED_VALUE"""),0.04725)</f>
        <v>0.04725</v>
      </c>
      <c r="K1947" s="19" t="str">
        <f>IFERROR(__xludf.DUMMYFUNCTION("""COMPUTED_VALUE"""),"-")</f>
        <v>-</v>
      </c>
      <c r="L1947" s="19" t="str">
        <f>IFERROR(__xludf.DUMMYFUNCTION("""COMPUTED_VALUE"""),"-")</f>
        <v>-</v>
      </c>
      <c r="O1947" s="24">
        <f t="shared" si="4"/>
        <v>0</v>
      </c>
      <c r="P1947" s="24"/>
      <c r="Q1947" s="24">
        <f t="shared" si="6"/>
        <v>0</v>
      </c>
      <c r="R1947" s="24">
        <f t="shared" si="7"/>
        <v>0</v>
      </c>
      <c r="S1947" s="24"/>
      <c r="T1947" s="24"/>
    </row>
    <row r="1948">
      <c r="A1948" s="12" t="s">
        <v>2036</v>
      </c>
      <c r="F1948" s="19">
        <f>IFERROR(__xludf.DUMMYFUNCTION("SPLIT(A1944, "" |"")"),1942.0)</f>
        <v>1942</v>
      </c>
      <c r="G1948" s="19">
        <f>IFERROR(__xludf.DUMMYFUNCTION("""COMPUTED_VALUE"""),0.00219)</f>
        <v>0.00219</v>
      </c>
      <c r="H1948" s="19" t="str">
        <f>IFERROR(__xludf.DUMMYFUNCTION("""COMPUTED_VALUE"""),"-")</f>
        <v>-</v>
      </c>
      <c r="I1948" s="19">
        <f>IFERROR(__xludf.DUMMYFUNCTION("""COMPUTED_VALUE"""),0.00208)</f>
        <v>0.00208</v>
      </c>
      <c r="J1948" s="19">
        <f>IFERROR(__xludf.DUMMYFUNCTION("""COMPUTED_VALUE"""),0.0472)</f>
        <v>0.0472</v>
      </c>
      <c r="K1948" s="19" t="str">
        <f>IFERROR(__xludf.DUMMYFUNCTION("""COMPUTED_VALUE"""),"-")</f>
        <v>-</v>
      </c>
      <c r="L1948" s="19" t="str">
        <f>IFERROR(__xludf.DUMMYFUNCTION("""COMPUTED_VALUE"""),"-")</f>
        <v>-</v>
      </c>
      <c r="O1948" s="24">
        <f t="shared" si="4"/>
        <v>0</v>
      </c>
      <c r="P1948" s="24"/>
      <c r="Q1948" s="24">
        <f t="shared" si="6"/>
        <v>0</v>
      </c>
      <c r="R1948" s="24">
        <f t="shared" si="7"/>
        <v>0</v>
      </c>
      <c r="S1948" s="24"/>
      <c r="T1948" s="24"/>
    </row>
    <row r="1949">
      <c r="A1949" s="12" t="s">
        <v>2037</v>
      </c>
      <c r="F1949" s="19">
        <f>IFERROR(__xludf.DUMMYFUNCTION("SPLIT(A1945, "" |"")"),1943.0)</f>
        <v>1943</v>
      </c>
      <c r="G1949" s="19">
        <f>IFERROR(__xludf.DUMMYFUNCTION("""COMPUTED_VALUE"""),0.00226)</f>
        <v>0.00226</v>
      </c>
      <c r="H1949" s="19" t="str">
        <f>IFERROR(__xludf.DUMMYFUNCTION("""COMPUTED_VALUE"""),"-")</f>
        <v>-</v>
      </c>
      <c r="I1949" s="19">
        <f>IFERROR(__xludf.DUMMYFUNCTION("""COMPUTED_VALUE"""),0.00211)</f>
        <v>0.00211</v>
      </c>
      <c r="J1949" s="19">
        <f>IFERROR(__xludf.DUMMYFUNCTION("""COMPUTED_VALUE"""),0.04728)</f>
        <v>0.04728</v>
      </c>
      <c r="K1949" s="19" t="str">
        <f>IFERROR(__xludf.DUMMYFUNCTION("""COMPUTED_VALUE"""),"-")</f>
        <v>-</v>
      </c>
      <c r="L1949" s="19" t="str">
        <f>IFERROR(__xludf.DUMMYFUNCTION("""COMPUTED_VALUE"""),"-")</f>
        <v>-</v>
      </c>
      <c r="O1949" s="24">
        <f t="shared" si="4"/>
        <v>0</v>
      </c>
      <c r="P1949" s="24"/>
      <c r="Q1949" s="24">
        <f t="shared" si="6"/>
        <v>0</v>
      </c>
      <c r="R1949" s="24">
        <f t="shared" si="7"/>
        <v>0</v>
      </c>
      <c r="S1949" s="24"/>
      <c r="T1949" s="24"/>
    </row>
    <row r="1950">
      <c r="A1950" s="12" t="s">
        <v>2038</v>
      </c>
      <c r="F1950" s="19">
        <f>IFERROR(__xludf.DUMMYFUNCTION("SPLIT(A1946, "" |"")"),1944.0)</f>
        <v>1944</v>
      </c>
      <c r="G1950" s="19">
        <f>IFERROR(__xludf.DUMMYFUNCTION("""COMPUTED_VALUE"""),0.0022)</f>
        <v>0.0022</v>
      </c>
      <c r="H1950" s="19" t="str">
        <f>IFERROR(__xludf.DUMMYFUNCTION("""COMPUTED_VALUE"""),"-")</f>
        <v>-</v>
      </c>
      <c r="I1950" s="19">
        <f>IFERROR(__xludf.DUMMYFUNCTION("""COMPUTED_VALUE"""),0.00209)</f>
        <v>0.00209</v>
      </c>
      <c r="J1950" s="19">
        <f>IFERROR(__xludf.DUMMYFUNCTION("""COMPUTED_VALUE"""),0.04728)</f>
        <v>0.04728</v>
      </c>
      <c r="K1950" s="19" t="str">
        <f>IFERROR(__xludf.DUMMYFUNCTION("""COMPUTED_VALUE"""),"-")</f>
        <v>-</v>
      </c>
      <c r="L1950" s="19" t="str">
        <f>IFERROR(__xludf.DUMMYFUNCTION("""COMPUTED_VALUE"""),"-")</f>
        <v>-</v>
      </c>
      <c r="O1950" s="24">
        <f t="shared" si="4"/>
        <v>0</v>
      </c>
      <c r="P1950" s="24"/>
      <c r="Q1950" s="24">
        <f t="shared" si="6"/>
        <v>0</v>
      </c>
      <c r="R1950" s="24">
        <f t="shared" si="7"/>
        <v>0</v>
      </c>
      <c r="S1950" s="24"/>
      <c r="T1950" s="24"/>
    </row>
    <row r="1951">
      <c r="A1951" s="12" t="s">
        <v>2039</v>
      </c>
      <c r="F1951" s="19">
        <f>IFERROR(__xludf.DUMMYFUNCTION("SPLIT(A1947, "" |"")"),1945.0)</f>
        <v>1945</v>
      </c>
      <c r="G1951" s="19">
        <f>IFERROR(__xludf.DUMMYFUNCTION("""COMPUTED_VALUE"""),0.00231)</f>
        <v>0.00231</v>
      </c>
      <c r="H1951" s="19" t="str">
        <f>IFERROR(__xludf.DUMMYFUNCTION("""COMPUTED_VALUE"""),"-")</f>
        <v>-</v>
      </c>
      <c r="I1951" s="19">
        <f>IFERROR(__xludf.DUMMYFUNCTION("""COMPUTED_VALUE"""),0.00208)</f>
        <v>0.00208</v>
      </c>
      <c r="J1951" s="19">
        <f>IFERROR(__xludf.DUMMYFUNCTION("""COMPUTED_VALUE"""),0.04188)</f>
        <v>0.04188</v>
      </c>
      <c r="K1951" s="19" t="str">
        <f>IFERROR(__xludf.DUMMYFUNCTION("""COMPUTED_VALUE"""),"-")</f>
        <v>-</v>
      </c>
      <c r="L1951" s="19" t="str">
        <f>IFERROR(__xludf.DUMMYFUNCTION("""COMPUTED_VALUE"""),"-")</f>
        <v>-</v>
      </c>
      <c r="O1951" s="24">
        <f t="shared" si="4"/>
        <v>0</v>
      </c>
      <c r="P1951" s="24"/>
      <c r="Q1951" s="24">
        <f t="shared" si="6"/>
        <v>0</v>
      </c>
      <c r="R1951" s="24">
        <f t="shared" si="7"/>
        <v>1</v>
      </c>
      <c r="S1951" s="24"/>
      <c r="T1951" s="24"/>
    </row>
    <row r="1952">
      <c r="A1952" s="12" t="s">
        <v>2040</v>
      </c>
      <c r="F1952" s="19">
        <f>IFERROR(__xludf.DUMMYFUNCTION("SPLIT(A1948, "" |"")"),1946.0)</f>
        <v>1946</v>
      </c>
      <c r="G1952" s="19">
        <f>IFERROR(__xludf.DUMMYFUNCTION("""COMPUTED_VALUE"""),0.00216)</f>
        <v>0.00216</v>
      </c>
      <c r="H1952" s="19" t="str">
        <f>IFERROR(__xludf.DUMMYFUNCTION("""COMPUTED_VALUE"""),"-")</f>
        <v>-</v>
      </c>
      <c r="I1952" s="19">
        <f>IFERROR(__xludf.DUMMYFUNCTION("""COMPUTED_VALUE"""),0.00205)</f>
        <v>0.00205</v>
      </c>
      <c r="J1952" s="19">
        <f>IFERROR(__xludf.DUMMYFUNCTION("""COMPUTED_VALUE"""),0.04725)</f>
        <v>0.04725</v>
      </c>
      <c r="K1952" s="19" t="str">
        <f>IFERROR(__xludf.DUMMYFUNCTION("""COMPUTED_VALUE"""),"-")</f>
        <v>-</v>
      </c>
      <c r="L1952" s="19" t="str">
        <f>IFERROR(__xludf.DUMMYFUNCTION("""COMPUTED_VALUE"""),"-")</f>
        <v>-</v>
      </c>
      <c r="O1952" s="24">
        <f t="shared" si="4"/>
        <v>0</v>
      </c>
      <c r="P1952" s="24"/>
      <c r="Q1952" s="24">
        <f t="shared" si="6"/>
        <v>0</v>
      </c>
      <c r="R1952" s="24">
        <f t="shared" si="7"/>
        <v>0</v>
      </c>
      <c r="S1952" s="24"/>
      <c r="T1952" s="24"/>
    </row>
    <row r="1953">
      <c r="A1953" s="12" t="s">
        <v>2041</v>
      </c>
      <c r="F1953" s="19">
        <f>IFERROR(__xludf.DUMMYFUNCTION("SPLIT(A1949, "" |"")"),1947.0)</f>
        <v>1947</v>
      </c>
      <c r="G1953" s="19">
        <f>IFERROR(__xludf.DUMMYFUNCTION("""COMPUTED_VALUE"""),0.0022)</f>
        <v>0.0022</v>
      </c>
      <c r="H1953" s="19" t="str">
        <f>IFERROR(__xludf.DUMMYFUNCTION("""COMPUTED_VALUE"""),"-")</f>
        <v>-</v>
      </c>
      <c r="I1953" s="19">
        <f>IFERROR(__xludf.DUMMYFUNCTION("""COMPUTED_VALUE"""),0.00208)</f>
        <v>0.00208</v>
      </c>
      <c r="J1953" s="19">
        <f>IFERROR(__xludf.DUMMYFUNCTION("""COMPUTED_VALUE"""),0.04731)</f>
        <v>0.04731</v>
      </c>
      <c r="K1953" s="19" t="str">
        <f>IFERROR(__xludf.DUMMYFUNCTION("""COMPUTED_VALUE"""),"-")</f>
        <v>-</v>
      </c>
      <c r="L1953" s="19" t="str">
        <f>IFERROR(__xludf.DUMMYFUNCTION("""COMPUTED_VALUE"""),"-")</f>
        <v>-</v>
      </c>
      <c r="O1953" s="24">
        <f t="shared" si="4"/>
        <v>0</v>
      </c>
      <c r="P1953" s="24"/>
      <c r="Q1953" s="24">
        <f t="shared" si="6"/>
        <v>0</v>
      </c>
      <c r="R1953" s="24">
        <f t="shared" si="7"/>
        <v>0</v>
      </c>
      <c r="S1953" s="24"/>
      <c r="T1953" s="24"/>
    </row>
    <row r="1954">
      <c r="A1954" s="12" t="s">
        <v>2042</v>
      </c>
      <c r="F1954" s="19">
        <f>IFERROR(__xludf.DUMMYFUNCTION("SPLIT(A1950, "" |"")"),1948.0)</f>
        <v>1948</v>
      </c>
      <c r="G1954" s="19">
        <f>IFERROR(__xludf.DUMMYFUNCTION("""COMPUTED_VALUE"""),0.0022)</f>
        <v>0.0022</v>
      </c>
      <c r="H1954" s="19" t="str">
        <f>IFERROR(__xludf.DUMMYFUNCTION("""COMPUTED_VALUE"""),"-")</f>
        <v>-</v>
      </c>
      <c r="I1954" s="19">
        <f>IFERROR(__xludf.DUMMYFUNCTION("""COMPUTED_VALUE"""),0.00208)</f>
        <v>0.00208</v>
      </c>
      <c r="J1954" s="19">
        <f>IFERROR(__xludf.DUMMYFUNCTION("""COMPUTED_VALUE"""),0.04732)</f>
        <v>0.04732</v>
      </c>
      <c r="K1954" s="19" t="str">
        <f>IFERROR(__xludf.DUMMYFUNCTION("""COMPUTED_VALUE"""),"-")</f>
        <v>-</v>
      </c>
      <c r="L1954" s="19" t="str">
        <f>IFERROR(__xludf.DUMMYFUNCTION("""COMPUTED_VALUE"""),"-")</f>
        <v>-</v>
      </c>
      <c r="O1954" s="24">
        <f t="shared" si="4"/>
        <v>0</v>
      </c>
      <c r="P1954" s="24"/>
      <c r="Q1954" s="24">
        <f t="shared" si="6"/>
        <v>0</v>
      </c>
      <c r="R1954" s="24">
        <f t="shared" si="7"/>
        <v>0</v>
      </c>
      <c r="S1954" s="24"/>
      <c r="T1954" s="24"/>
    </row>
    <row r="1955">
      <c r="A1955" s="12" t="s">
        <v>2043</v>
      </c>
      <c r="F1955" s="19">
        <f>IFERROR(__xludf.DUMMYFUNCTION("SPLIT(A1951, "" |"")"),1949.0)</f>
        <v>1949</v>
      </c>
      <c r="G1955" s="19">
        <f>IFERROR(__xludf.DUMMYFUNCTION("""COMPUTED_VALUE"""),0.00221)</f>
        <v>0.00221</v>
      </c>
      <c r="H1955" s="19" t="str">
        <f>IFERROR(__xludf.DUMMYFUNCTION("""COMPUTED_VALUE"""),"-")</f>
        <v>-</v>
      </c>
      <c r="I1955" s="19">
        <f>IFERROR(__xludf.DUMMYFUNCTION("""COMPUTED_VALUE"""),0.0021)</f>
        <v>0.0021</v>
      </c>
      <c r="J1955" s="19">
        <f>IFERROR(__xludf.DUMMYFUNCTION("""COMPUTED_VALUE"""),0.04727)</f>
        <v>0.04727</v>
      </c>
      <c r="K1955" s="19" t="str">
        <f>IFERROR(__xludf.DUMMYFUNCTION("""COMPUTED_VALUE"""),"-")</f>
        <v>-</v>
      </c>
      <c r="L1955" s="19" t="str">
        <f>IFERROR(__xludf.DUMMYFUNCTION("""COMPUTED_VALUE"""),"-")</f>
        <v>-</v>
      </c>
      <c r="O1955" s="24">
        <f t="shared" si="4"/>
        <v>0</v>
      </c>
      <c r="P1955" s="24"/>
      <c r="Q1955" s="24">
        <f t="shared" si="6"/>
        <v>0</v>
      </c>
      <c r="R1955" s="24">
        <f t="shared" si="7"/>
        <v>0</v>
      </c>
      <c r="S1955" s="24"/>
      <c r="T1955" s="24"/>
    </row>
    <row r="1956">
      <c r="A1956" s="12" t="s">
        <v>2044</v>
      </c>
      <c r="F1956" s="19">
        <f>IFERROR(__xludf.DUMMYFUNCTION("SPLIT(A1952, "" |"")"),1950.0)</f>
        <v>1950</v>
      </c>
      <c r="G1956" s="19">
        <f>IFERROR(__xludf.DUMMYFUNCTION("""COMPUTED_VALUE"""),0.00221)</f>
        <v>0.00221</v>
      </c>
      <c r="H1956" s="19" t="str">
        <f>IFERROR(__xludf.DUMMYFUNCTION("""COMPUTED_VALUE"""),"-")</f>
        <v>-</v>
      </c>
      <c r="I1956" s="19">
        <f>IFERROR(__xludf.DUMMYFUNCTION("""COMPUTED_VALUE"""),0.0021)</f>
        <v>0.0021</v>
      </c>
      <c r="J1956" s="19">
        <f>IFERROR(__xludf.DUMMYFUNCTION("""COMPUTED_VALUE"""),0.04606)</f>
        <v>0.04606</v>
      </c>
      <c r="K1956" s="19" t="str">
        <f>IFERROR(__xludf.DUMMYFUNCTION("""COMPUTED_VALUE"""),"-")</f>
        <v>-</v>
      </c>
      <c r="L1956" s="19" t="str">
        <f>IFERROR(__xludf.DUMMYFUNCTION("""COMPUTED_VALUE"""),"-")</f>
        <v>-</v>
      </c>
      <c r="O1956" s="24">
        <f t="shared" si="4"/>
        <v>0</v>
      </c>
      <c r="P1956" s="24"/>
      <c r="Q1956" s="24">
        <f t="shared" si="6"/>
        <v>0</v>
      </c>
      <c r="R1956" s="24">
        <f t="shared" si="7"/>
        <v>0</v>
      </c>
      <c r="S1956" s="24"/>
      <c r="T1956" s="24"/>
    </row>
    <row r="1957">
      <c r="A1957" s="12" t="s">
        <v>2045</v>
      </c>
      <c r="F1957" s="19">
        <f>IFERROR(__xludf.DUMMYFUNCTION("SPLIT(A1953, "" |"")"),1951.0)</f>
        <v>1951</v>
      </c>
      <c r="G1957" s="19">
        <f>IFERROR(__xludf.DUMMYFUNCTION("""COMPUTED_VALUE"""),0.00222)</f>
        <v>0.00222</v>
      </c>
      <c r="H1957" s="19" t="str">
        <f>IFERROR(__xludf.DUMMYFUNCTION("""COMPUTED_VALUE"""),"-")</f>
        <v>-</v>
      </c>
      <c r="I1957" s="19">
        <f>IFERROR(__xludf.DUMMYFUNCTION("""COMPUTED_VALUE"""),0.00208)</f>
        <v>0.00208</v>
      </c>
      <c r="J1957" s="19">
        <f>IFERROR(__xludf.DUMMYFUNCTION("""COMPUTED_VALUE"""),0.04728)</f>
        <v>0.04728</v>
      </c>
      <c r="K1957" s="19" t="str">
        <f>IFERROR(__xludf.DUMMYFUNCTION("""COMPUTED_VALUE"""),"-")</f>
        <v>-</v>
      </c>
      <c r="L1957" s="19" t="str">
        <f>IFERROR(__xludf.DUMMYFUNCTION("""COMPUTED_VALUE"""),"-")</f>
        <v>-</v>
      </c>
      <c r="O1957" s="24">
        <f t="shared" si="4"/>
        <v>0</v>
      </c>
      <c r="P1957" s="24"/>
      <c r="Q1957" s="24">
        <f t="shared" si="6"/>
        <v>0</v>
      </c>
      <c r="R1957" s="24">
        <f t="shared" si="7"/>
        <v>0</v>
      </c>
      <c r="S1957" s="24"/>
      <c r="T1957" s="24"/>
    </row>
    <row r="1958">
      <c r="A1958" s="12" t="s">
        <v>2046</v>
      </c>
      <c r="F1958" s="19">
        <f>IFERROR(__xludf.DUMMYFUNCTION("SPLIT(A1954, "" |"")"),1952.0)</f>
        <v>1952</v>
      </c>
      <c r="G1958" s="19">
        <f>IFERROR(__xludf.DUMMYFUNCTION("""COMPUTED_VALUE"""),0.0022)</f>
        <v>0.0022</v>
      </c>
      <c r="H1958" s="19" t="str">
        <f>IFERROR(__xludf.DUMMYFUNCTION("""COMPUTED_VALUE"""),"-")</f>
        <v>-</v>
      </c>
      <c r="I1958" s="19">
        <f>IFERROR(__xludf.DUMMYFUNCTION("""COMPUTED_VALUE"""),0.00206)</f>
        <v>0.00206</v>
      </c>
      <c r="J1958" s="19">
        <f>IFERROR(__xludf.DUMMYFUNCTION("""COMPUTED_VALUE"""),0.04719)</f>
        <v>0.04719</v>
      </c>
      <c r="K1958" s="19" t="str">
        <f>IFERROR(__xludf.DUMMYFUNCTION("""COMPUTED_VALUE"""),"-")</f>
        <v>-</v>
      </c>
      <c r="L1958" s="19" t="str">
        <f>IFERROR(__xludf.DUMMYFUNCTION("""COMPUTED_VALUE"""),"-")</f>
        <v>-</v>
      </c>
      <c r="O1958" s="24">
        <f t="shared" si="4"/>
        <v>0</v>
      </c>
      <c r="P1958" s="24"/>
      <c r="Q1958" s="24">
        <f t="shared" si="6"/>
        <v>0</v>
      </c>
      <c r="R1958" s="24">
        <f t="shared" si="7"/>
        <v>0</v>
      </c>
      <c r="S1958" s="24"/>
      <c r="T1958" s="24"/>
    </row>
    <row r="1959">
      <c r="A1959" s="12" t="s">
        <v>2047</v>
      </c>
      <c r="F1959" s="19">
        <f>IFERROR(__xludf.DUMMYFUNCTION("SPLIT(A1955, "" |"")"),1953.0)</f>
        <v>1953</v>
      </c>
      <c r="G1959" s="19">
        <f>IFERROR(__xludf.DUMMYFUNCTION("""COMPUTED_VALUE"""),0.00218)</f>
        <v>0.00218</v>
      </c>
      <c r="H1959" s="19" t="str">
        <f>IFERROR(__xludf.DUMMYFUNCTION("""COMPUTED_VALUE"""),"-")</f>
        <v>-</v>
      </c>
      <c r="I1959" s="19">
        <f>IFERROR(__xludf.DUMMYFUNCTION("""COMPUTED_VALUE"""),0.00207)</f>
        <v>0.00207</v>
      </c>
      <c r="J1959" s="19">
        <f>IFERROR(__xludf.DUMMYFUNCTION("""COMPUTED_VALUE"""),0.04727)</f>
        <v>0.04727</v>
      </c>
      <c r="K1959" s="19" t="str">
        <f>IFERROR(__xludf.DUMMYFUNCTION("""COMPUTED_VALUE"""),"-")</f>
        <v>-</v>
      </c>
      <c r="L1959" s="19" t="str">
        <f>IFERROR(__xludf.DUMMYFUNCTION("""COMPUTED_VALUE"""),"-")</f>
        <v>-</v>
      </c>
      <c r="O1959" s="24">
        <f t="shared" si="4"/>
        <v>0</v>
      </c>
      <c r="P1959" s="24"/>
      <c r="Q1959" s="24">
        <f t="shared" si="6"/>
        <v>0</v>
      </c>
      <c r="R1959" s="24">
        <f t="shared" si="7"/>
        <v>0</v>
      </c>
      <c r="S1959" s="24"/>
      <c r="T1959" s="24"/>
    </row>
    <row r="1960">
      <c r="A1960" s="12" t="s">
        <v>2048</v>
      </c>
      <c r="F1960" s="19">
        <f>IFERROR(__xludf.DUMMYFUNCTION("SPLIT(A1956, "" |"")"),1954.0)</f>
        <v>1954</v>
      </c>
      <c r="G1960" s="19">
        <f>IFERROR(__xludf.DUMMYFUNCTION("""COMPUTED_VALUE"""),0.00225)</f>
        <v>0.00225</v>
      </c>
      <c r="H1960" s="19" t="str">
        <f>IFERROR(__xludf.DUMMYFUNCTION("""COMPUTED_VALUE"""),"-")</f>
        <v>-</v>
      </c>
      <c r="I1960" s="19">
        <f>IFERROR(__xludf.DUMMYFUNCTION("""COMPUTED_VALUE"""),0.00209)</f>
        <v>0.00209</v>
      </c>
      <c r="J1960" s="19">
        <f>IFERROR(__xludf.DUMMYFUNCTION("""COMPUTED_VALUE"""),0.04612)</f>
        <v>0.04612</v>
      </c>
      <c r="K1960" s="19" t="str">
        <f>IFERROR(__xludf.DUMMYFUNCTION("""COMPUTED_VALUE"""),"-")</f>
        <v>-</v>
      </c>
      <c r="L1960" s="19" t="str">
        <f>IFERROR(__xludf.DUMMYFUNCTION("""COMPUTED_VALUE"""),"-")</f>
        <v>-</v>
      </c>
      <c r="O1960" s="24">
        <f t="shared" si="4"/>
        <v>0</v>
      </c>
      <c r="P1960" s="24"/>
      <c r="Q1960" s="24">
        <f t="shared" si="6"/>
        <v>0</v>
      </c>
      <c r="R1960" s="24">
        <f t="shared" si="7"/>
        <v>0</v>
      </c>
      <c r="S1960" s="24"/>
      <c r="T1960" s="24"/>
    </row>
    <row r="1961">
      <c r="A1961" s="12" t="s">
        <v>2049</v>
      </c>
      <c r="F1961" s="19">
        <f>IFERROR(__xludf.DUMMYFUNCTION("SPLIT(A1957, "" |"")"),1955.0)</f>
        <v>1955</v>
      </c>
      <c r="G1961" s="19">
        <f>IFERROR(__xludf.DUMMYFUNCTION("""COMPUTED_VALUE"""),0.00223)</f>
        <v>0.00223</v>
      </c>
      <c r="H1961" s="19" t="str">
        <f>IFERROR(__xludf.DUMMYFUNCTION("""COMPUTED_VALUE"""),"-")</f>
        <v>-</v>
      </c>
      <c r="I1961" s="19">
        <f>IFERROR(__xludf.DUMMYFUNCTION("""COMPUTED_VALUE"""),0.0021)</f>
        <v>0.0021</v>
      </c>
      <c r="J1961" s="19">
        <f>IFERROR(__xludf.DUMMYFUNCTION("""COMPUTED_VALUE"""),0.04728)</f>
        <v>0.04728</v>
      </c>
      <c r="K1961" s="19" t="str">
        <f>IFERROR(__xludf.DUMMYFUNCTION("""COMPUTED_VALUE"""),"-")</f>
        <v>-</v>
      </c>
      <c r="L1961" s="19" t="str">
        <f>IFERROR(__xludf.DUMMYFUNCTION("""COMPUTED_VALUE"""),"-")</f>
        <v>-</v>
      </c>
      <c r="O1961" s="24">
        <f t="shared" si="4"/>
        <v>0</v>
      </c>
      <c r="P1961" s="24"/>
      <c r="Q1961" s="24">
        <f t="shared" si="6"/>
        <v>0</v>
      </c>
      <c r="R1961" s="24">
        <f t="shared" si="7"/>
        <v>0</v>
      </c>
      <c r="S1961" s="24"/>
      <c r="T1961" s="24"/>
    </row>
    <row r="1962">
      <c r="A1962" s="12" t="s">
        <v>2050</v>
      </c>
      <c r="F1962" s="19">
        <f>IFERROR(__xludf.DUMMYFUNCTION("SPLIT(A1958, "" |"")"),1956.0)</f>
        <v>1956</v>
      </c>
      <c r="G1962" s="19">
        <f>IFERROR(__xludf.DUMMYFUNCTION("""COMPUTED_VALUE"""),0.00222)</f>
        <v>0.00222</v>
      </c>
      <c r="H1962" s="19" t="str">
        <f>IFERROR(__xludf.DUMMYFUNCTION("""COMPUTED_VALUE"""),"-")</f>
        <v>-</v>
      </c>
      <c r="I1962" s="19">
        <f>IFERROR(__xludf.DUMMYFUNCTION("""COMPUTED_VALUE"""),0.00206)</f>
        <v>0.00206</v>
      </c>
      <c r="J1962" s="19">
        <f>IFERROR(__xludf.DUMMYFUNCTION("""COMPUTED_VALUE"""),0.04722)</f>
        <v>0.04722</v>
      </c>
      <c r="K1962" s="19" t="str">
        <f>IFERROR(__xludf.DUMMYFUNCTION("""COMPUTED_VALUE"""),"-")</f>
        <v>-</v>
      </c>
      <c r="L1962" s="19" t="str">
        <f>IFERROR(__xludf.DUMMYFUNCTION("""COMPUTED_VALUE"""),"-")</f>
        <v>-</v>
      </c>
      <c r="O1962" s="24">
        <f t="shared" si="4"/>
        <v>0</v>
      </c>
      <c r="P1962" s="24"/>
      <c r="Q1962" s="24">
        <f t="shared" si="6"/>
        <v>0</v>
      </c>
      <c r="R1962" s="24">
        <f t="shared" si="7"/>
        <v>0</v>
      </c>
      <c r="S1962" s="24"/>
      <c r="T1962" s="24"/>
    </row>
    <row r="1963">
      <c r="A1963" s="12" t="s">
        <v>2051</v>
      </c>
      <c r="F1963" s="19">
        <f>IFERROR(__xludf.DUMMYFUNCTION("SPLIT(A1959, "" |"")"),1957.0)</f>
        <v>1957</v>
      </c>
      <c r="G1963" s="19">
        <f>IFERROR(__xludf.DUMMYFUNCTION("""COMPUTED_VALUE"""),0.00217)</f>
        <v>0.00217</v>
      </c>
      <c r="H1963" s="19" t="str">
        <f>IFERROR(__xludf.DUMMYFUNCTION("""COMPUTED_VALUE"""),"-")</f>
        <v>-</v>
      </c>
      <c r="I1963" s="19">
        <f>IFERROR(__xludf.DUMMYFUNCTION("""COMPUTED_VALUE"""),0.00206)</f>
        <v>0.00206</v>
      </c>
      <c r="J1963" s="19">
        <f>IFERROR(__xludf.DUMMYFUNCTION("""COMPUTED_VALUE"""),0.04723)</f>
        <v>0.04723</v>
      </c>
      <c r="K1963" s="19" t="str">
        <f>IFERROR(__xludf.DUMMYFUNCTION("""COMPUTED_VALUE"""),"-")</f>
        <v>-</v>
      </c>
      <c r="L1963" s="19" t="str">
        <f>IFERROR(__xludf.DUMMYFUNCTION("""COMPUTED_VALUE"""),"-")</f>
        <v>-</v>
      </c>
      <c r="O1963" s="24">
        <f t="shared" si="4"/>
        <v>0</v>
      </c>
      <c r="P1963" s="24"/>
      <c r="Q1963" s="24">
        <f t="shared" si="6"/>
        <v>0</v>
      </c>
      <c r="R1963" s="24">
        <f t="shared" si="7"/>
        <v>0</v>
      </c>
      <c r="S1963" s="24"/>
      <c r="T1963" s="24"/>
    </row>
    <row r="1964">
      <c r="A1964" s="12" t="s">
        <v>2052</v>
      </c>
      <c r="F1964" s="19">
        <f>IFERROR(__xludf.DUMMYFUNCTION("SPLIT(A1960, "" |"")"),1958.0)</f>
        <v>1958</v>
      </c>
      <c r="G1964" s="19">
        <f>IFERROR(__xludf.DUMMYFUNCTION("""COMPUTED_VALUE"""),0.00218)</f>
        <v>0.00218</v>
      </c>
      <c r="H1964" s="19" t="str">
        <f>IFERROR(__xludf.DUMMYFUNCTION("""COMPUTED_VALUE"""),"-")</f>
        <v>-</v>
      </c>
      <c r="I1964" s="19">
        <f>IFERROR(__xludf.DUMMYFUNCTION("""COMPUTED_VALUE"""),0.00206)</f>
        <v>0.00206</v>
      </c>
      <c r="J1964" s="19">
        <f>IFERROR(__xludf.DUMMYFUNCTION("""COMPUTED_VALUE"""),0.04443)</f>
        <v>0.04443</v>
      </c>
      <c r="K1964" s="19" t="str">
        <f>IFERROR(__xludf.DUMMYFUNCTION("""COMPUTED_VALUE"""),"-")</f>
        <v>-</v>
      </c>
      <c r="L1964" s="19" t="str">
        <f>IFERROR(__xludf.DUMMYFUNCTION("""COMPUTED_VALUE"""),"-")</f>
        <v>-</v>
      </c>
      <c r="O1964" s="24">
        <f t="shared" si="4"/>
        <v>0</v>
      </c>
      <c r="P1964" s="24"/>
      <c r="Q1964" s="24">
        <f t="shared" si="6"/>
        <v>0</v>
      </c>
      <c r="R1964" s="24">
        <f t="shared" si="7"/>
        <v>1</v>
      </c>
      <c r="S1964" s="24"/>
      <c r="T1964" s="24"/>
    </row>
    <row r="1965">
      <c r="A1965" s="12" t="s">
        <v>2053</v>
      </c>
      <c r="F1965" s="19">
        <f>IFERROR(__xludf.DUMMYFUNCTION("SPLIT(A1961, "" |"")"),1959.0)</f>
        <v>1959</v>
      </c>
      <c r="G1965" s="19">
        <f>IFERROR(__xludf.DUMMYFUNCTION("""COMPUTED_VALUE"""),0.0022)</f>
        <v>0.0022</v>
      </c>
      <c r="H1965" s="19" t="str">
        <f>IFERROR(__xludf.DUMMYFUNCTION("""COMPUTED_VALUE"""),"-")</f>
        <v>-</v>
      </c>
      <c r="I1965" s="19">
        <f>IFERROR(__xludf.DUMMYFUNCTION("""COMPUTED_VALUE"""),0.00209)</f>
        <v>0.00209</v>
      </c>
      <c r="J1965" s="19">
        <f>IFERROR(__xludf.DUMMYFUNCTION("""COMPUTED_VALUE"""),0.04611)</f>
        <v>0.04611</v>
      </c>
      <c r="K1965" s="19" t="str">
        <f>IFERROR(__xludf.DUMMYFUNCTION("""COMPUTED_VALUE"""),"-")</f>
        <v>-</v>
      </c>
      <c r="L1965" s="19" t="str">
        <f>IFERROR(__xludf.DUMMYFUNCTION("""COMPUTED_VALUE"""),"-")</f>
        <v>-</v>
      </c>
      <c r="O1965" s="24">
        <f t="shared" si="4"/>
        <v>0</v>
      </c>
      <c r="P1965" s="24"/>
      <c r="Q1965" s="24">
        <f t="shared" si="6"/>
        <v>0</v>
      </c>
      <c r="R1965" s="24">
        <f t="shared" si="7"/>
        <v>0</v>
      </c>
      <c r="S1965" s="24"/>
      <c r="T1965" s="24"/>
    </row>
    <row r="1966">
      <c r="A1966" s="12" t="s">
        <v>2054</v>
      </c>
      <c r="F1966" s="19">
        <f>IFERROR(__xludf.DUMMYFUNCTION("SPLIT(A1962, "" |"")"),1960.0)</f>
        <v>1960</v>
      </c>
      <c r="G1966" s="19">
        <f>IFERROR(__xludf.DUMMYFUNCTION("""COMPUTED_VALUE"""),0.00221)</f>
        <v>0.00221</v>
      </c>
      <c r="H1966" s="19" t="str">
        <f>IFERROR(__xludf.DUMMYFUNCTION("""COMPUTED_VALUE"""),"-")</f>
        <v>-</v>
      </c>
      <c r="I1966" s="19">
        <f>IFERROR(__xludf.DUMMYFUNCTION("""COMPUTED_VALUE"""),0.00207)</f>
        <v>0.00207</v>
      </c>
      <c r="J1966" s="19">
        <f>IFERROR(__xludf.DUMMYFUNCTION("""COMPUTED_VALUE"""),0.04717)</f>
        <v>0.04717</v>
      </c>
      <c r="K1966" s="19" t="str">
        <f>IFERROR(__xludf.DUMMYFUNCTION("""COMPUTED_VALUE"""),"-")</f>
        <v>-</v>
      </c>
      <c r="L1966" s="19" t="str">
        <f>IFERROR(__xludf.DUMMYFUNCTION("""COMPUTED_VALUE"""),"-")</f>
        <v>-</v>
      </c>
      <c r="O1966" s="24">
        <f t="shared" si="4"/>
        <v>0</v>
      </c>
      <c r="P1966" s="24"/>
      <c r="Q1966" s="24">
        <f t="shared" si="6"/>
        <v>0</v>
      </c>
      <c r="R1966" s="24">
        <f t="shared" si="7"/>
        <v>0</v>
      </c>
      <c r="S1966" s="24"/>
      <c r="T1966" s="24"/>
    </row>
    <row r="1967">
      <c r="A1967" s="12" t="s">
        <v>2055</v>
      </c>
      <c r="F1967" s="19">
        <f>IFERROR(__xludf.DUMMYFUNCTION("SPLIT(A1963, "" |"")"),1961.0)</f>
        <v>1961</v>
      </c>
      <c r="G1967" s="19">
        <f>IFERROR(__xludf.DUMMYFUNCTION("""COMPUTED_VALUE"""),0.00219)</f>
        <v>0.00219</v>
      </c>
      <c r="H1967" s="19" t="str">
        <f>IFERROR(__xludf.DUMMYFUNCTION("""COMPUTED_VALUE"""),"-")</f>
        <v>-</v>
      </c>
      <c r="I1967" s="19">
        <f>IFERROR(__xludf.DUMMYFUNCTION("""COMPUTED_VALUE"""),0.00207)</f>
        <v>0.00207</v>
      </c>
      <c r="J1967" s="19">
        <f>IFERROR(__xludf.DUMMYFUNCTION("""COMPUTED_VALUE"""),0.04727)</f>
        <v>0.04727</v>
      </c>
      <c r="K1967" s="19" t="str">
        <f>IFERROR(__xludf.DUMMYFUNCTION("""COMPUTED_VALUE"""),"-")</f>
        <v>-</v>
      </c>
      <c r="L1967" s="19" t="str">
        <f>IFERROR(__xludf.DUMMYFUNCTION("""COMPUTED_VALUE"""),"-")</f>
        <v>-</v>
      </c>
      <c r="O1967" s="24">
        <f t="shared" si="4"/>
        <v>0</v>
      </c>
      <c r="P1967" s="24"/>
      <c r="Q1967" s="24">
        <f t="shared" si="6"/>
        <v>0</v>
      </c>
      <c r="R1967" s="24">
        <f t="shared" si="7"/>
        <v>0</v>
      </c>
      <c r="S1967" s="24"/>
      <c r="T1967" s="24"/>
    </row>
    <row r="1968">
      <c r="A1968" s="12" t="s">
        <v>2056</v>
      </c>
      <c r="F1968" s="19">
        <f>IFERROR(__xludf.DUMMYFUNCTION("SPLIT(A1964, "" |"")"),1962.0)</f>
        <v>1962</v>
      </c>
      <c r="G1968" s="19">
        <f>IFERROR(__xludf.DUMMYFUNCTION("""COMPUTED_VALUE"""),0.00222)</f>
        <v>0.00222</v>
      </c>
      <c r="H1968" s="19" t="str">
        <f>IFERROR(__xludf.DUMMYFUNCTION("""COMPUTED_VALUE"""),"-")</f>
        <v>-</v>
      </c>
      <c r="I1968" s="19">
        <f>IFERROR(__xludf.DUMMYFUNCTION("""COMPUTED_VALUE"""),0.00216)</f>
        <v>0.00216</v>
      </c>
      <c r="J1968" s="19">
        <f>IFERROR(__xludf.DUMMYFUNCTION("""COMPUTED_VALUE"""),0.04724)</f>
        <v>0.04724</v>
      </c>
      <c r="K1968" s="19" t="str">
        <f>IFERROR(__xludf.DUMMYFUNCTION("""COMPUTED_VALUE"""),"-")</f>
        <v>-</v>
      </c>
      <c r="L1968" s="19" t="str">
        <f>IFERROR(__xludf.DUMMYFUNCTION("""COMPUTED_VALUE"""),"-")</f>
        <v>-</v>
      </c>
      <c r="O1968" s="24">
        <f t="shared" si="4"/>
        <v>0</v>
      </c>
      <c r="P1968" s="24"/>
      <c r="Q1968" s="24">
        <f t="shared" si="6"/>
        <v>0</v>
      </c>
      <c r="R1968" s="24">
        <f t="shared" si="7"/>
        <v>0</v>
      </c>
      <c r="S1968" s="24"/>
      <c r="T1968" s="24"/>
    </row>
    <row r="1969">
      <c r="A1969" s="12" t="s">
        <v>2057</v>
      </c>
      <c r="F1969" s="19">
        <f>IFERROR(__xludf.DUMMYFUNCTION("SPLIT(A1965, "" |"")"),1963.0)</f>
        <v>1963</v>
      </c>
      <c r="G1969" s="19">
        <f>IFERROR(__xludf.DUMMYFUNCTION("""COMPUTED_VALUE"""),0.00222)</f>
        <v>0.00222</v>
      </c>
      <c r="H1969" s="19" t="str">
        <f>IFERROR(__xludf.DUMMYFUNCTION("""COMPUTED_VALUE"""),"-")</f>
        <v>-</v>
      </c>
      <c r="I1969" s="19">
        <f>IFERROR(__xludf.DUMMYFUNCTION("""COMPUTED_VALUE"""),0.00208)</f>
        <v>0.00208</v>
      </c>
      <c r="J1969" s="19">
        <f>IFERROR(__xludf.DUMMYFUNCTION("""COMPUTED_VALUE"""),0.04453)</f>
        <v>0.04453</v>
      </c>
      <c r="K1969" s="19" t="str">
        <f>IFERROR(__xludf.DUMMYFUNCTION("""COMPUTED_VALUE"""),"-")</f>
        <v>-</v>
      </c>
      <c r="L1969" s="19" t="str">
        <f>IFERROR(__xludf.DUMMYFUNCTION("""COMPUTED_VALUE"""),"-")</f>
        <v>-</v>
      </c>
      <c r="O1969" s="24">
        <f t="shared" si="4"/>
        <v>0</v>
      </c>
      <c r="P1969" s="24"/>
      <c r="Q1969" s="24">
        <f t="shared" si="6"/>
        <v>0</v>
      </c>
      <c r="R1969" s="24">
        <f t="shared" si="7"/>
        <v>1</v>
      </c>
      <c r="S1969" s="24"/>
      <c r="T1969" s="24"/>
    </row>
    <row r="1970">
      <c r="A1970" s="12" t="s">
        <v>2058</v>
      </c>
      <c r="F1970" s="19">
        <f>IFERROR(__xludf.DUMMYFUNCTION("SPLIT(A1966, "" |"")"),1964.0)</f>
        <v>1964</v>
      </c>
      <c r="G1970" s="19">
        <f>IFERROR(__xludf.DUMMYFUNCTION("""COMPUTED_VALUE"""),0.00226)</f>
        <v>0.00226</v>
      </c>
      <c r="H1970" s="19" t="str">
        <f>IFERROR(__xludf.DUMMYFUNCTION("""COMPUTED_VALUE"""),"-")</f>
        <v>-</v>
      </c>
      <c r="I1970" s="19">
        <f>IFERROR(__xludf.DUMMYFUNCTION("""COMPUTED_VALUE"""),0.00211)</f>
        <v>0.00211</v>
      </c>
      <c r="J1970" s="19">
        <f>IFERROR(__xludf.DUMMYFUNCTION("""COMPUTED_VALUE"""),0.04599)</f>
        <v>0.04599</v>
      </c>
      <c r="K1970" s="19" t="str">
        <f>IFERROR(__xludf.DUMMYFUNCTION("""COMPUTED_VALUE"""),"-")</f>
        <v>-</v>
      </c>
      <c r="L1970" s="19" t="str">
        <f>IFERROR(__xludf.DUMMYFUNCTION("""COMPUTED_VALUE"""),"-")</f>
        <v>-</v>
      </c>
      <c r="O1970" s="24">
        <f t="shared" si="4"/>
        <v>0</v>
      </c>
      <c r="P1970" s="24"/>
      <c r="Q1970" s="24">
        <f t="shared" si="6"/>
        <v>0</v>
      </c>
      <c r="R1970" s="24">
        <f t="shared" si="7"/>
        <v>0</v>
      </c>
      <c r="S1970" s="24"/>
      <c r="T1970" s="24"/>
    </row>
    <row r="1971">
      <c r="A1971" s="12" t="s">
        <v>2059</v>
      </c>
      <c r="F1971" s="19">
        <f>IFERROR(__xludf.DUMMYFUNCTION("SPLIT(A1967, "" |"")"),1965.0)</f>
        <v>1965</v>
      </c>
      <c r="G1971" s="19">
        <f>IFERROR(__xludf.DUMMYFUNCTION("""COMPUTED_VALUE"""),0.00247)</f>
        <v>0.00247</v>
      </c>
      <c r="H1971" s="19" t="str">
        <f>IFERROR(__xludf.DUMMYFUNCTION("""COMPUTED_VALUE"""),"-")</f>
        <v>-</v>
      </c>
      <c r="I1971" s="19">
        <f>IFERROR(__xludf.DUMMYFUNCTION("""COMPUTED_VALUE"""),0.00227)</f>
        <v>0.00227</v>
      </c>
      <c r="J1971" s="19">
        <f>IFERROR(__xludf.DUMMYFUNCTION("""COMPUTED_VALUE"""),0.04458)</f>
        <v>0.04458</v>
      </c>
      <c r="K1971" s="19" t="str">
        <f>IFERROR(__xludf.DUMMYFUNCTION("""COMPUTED_VALUE"""),"-")</f>
        <v>-</v>
      </c>
      <c r="L1971" s="19" t="str">
        <f>IFERROR(__xludf.DUMMYFUNCTION("""COMPUTED_VALUE"""),"-")</f>
        <v>-</v>
      </c>
      <c r="O1971" s="24">
        <f t="shared" si="4"/>
        <v>0</v>
      </c>
      <c r="P1971" s="24"/>
      <c r="Q1971" s="24">
        <f t="shared" si="6"/>
        <v>0</v>
      </c>
      <c r="R1971" s="24">
        <f t="shared" si="7"/>
        <v>1</v>
      </c>
      <c r="S1971" s="24"/>
      <c r="T1971" s="24"/>
    </row>
    <row r="1972">
      <c r="A1972" s="12" t="s">
        <v>2060</v>
      </c>
      <c r="F1972" s="19">
        <f>IFERROR(__xludf.DUMMYFUNCTION("SPLIT(A1968, "" |"")"),1966.0)</f>
        <v>1966</v>
      </c>
      <c r="G1972" s="19">
        <f>IFERROR(__xludf.DUMMYFUNCTION("""COMPUTED_VALUE"""),0.00228)</f>
        <v>0.00228</v>
      </c>
      <c r="H1972" s="19" t="str">
        <f>IFERROR(__xludf.DUMMYFUNCTION("""COMPUTED_VALUE"""),"-")</f>
        <v>-</v>
      </c>
      <c r="I1972" s="19">
        <f>IFERROR(__xludf.DUMMYFUNCTION("""COMPUTED_VALUE"""),0.00219)</f>
        <v>0.00219</v>
      </c>
      <c r="J1972" s="19">
        <f>IFERROR(__xludf.DUMMYFUNCTION("""COMPUTED_VALUE"""),0.04748)</f>
        <v>0.04748</v>
      </c>
      <c r="K1972" s="19" t="str">
        <f>IFERROR(__xludf.DUMMYFUNCTION("""COMPUTED_VALUE"""),"-")</f>
        <v>-</v>
      </c>
      <c r="L1972" s="19" t="str">
        <f>IFERROR(__xludf.DUMMYFUNCTION("""COMPUTED_VALUE"""),"-")</f>
        <v>-</v>
      </c>
      <c r="O1972" s="24">
        <f t="shared" si="4"/>
        <v>0</v>
      </c>
      <c r="P1972" s="24"/>
      <c r="Q1972" s="24">
        <f t="shared" si="6"/>
        <v>0</v>
      </c>
      <c r="R1972" s="24">
        <f t="shared" si="7"/>
        <v>0</v>
      </c>
      <c r="S1972" s="24"/>
      <c r="T1972" s="24"/>
    </row>
    <row r="1973">
      <c r="A1973" s="12" t="s">
        <v>2061</v>
      </c>
      <c r="F1973" s="19">
        <f>IFERROR(__xludf.DUMMYFUNCTION("SPLIT(A1969, "" |"")"),1967.0)</f>
        <v>1967</v>
      </c>
      <c r="G1973" s="19">
        <f>IFERROR(__xludf.DUMMYFUNCTION("""COMPUTED_VALUE"""),0.00233)</f>
        <v>0.00233</v>
      </c>
      <c r="H1973" s="19" t="str">
        <f>IFERROR(__xludf.DUMMYFUNCTION("""COMPUTED_VALUE"""),"-")</f>
        <v>-</v>
      </c>
      <c r="I1973" s="19">
        <f>IFERROR(__xludf.DUMMYFUNCTION("""COMPUTED_VALUE"""),0.00219)</f>
        <v>0.00219</v>
      </c>
      <c r="J1973" s="19">
        <f>IFERROR(__xludf.DUMMYFUNCTION("""COMPUTED_VALUE"""),0.04746)</f>
        <v>0.04746</v>
      </c>
      <c r="K1973" s="19" t="str">
        <f>IFERROR(__xludf.DUMMYFUNCTION("""COMPUTED_VALUE"""),"-")</f>
        <v>-</v>
      </c>
      <c r="L1973" s="19" t="str">
        <f>IFERROR(__xludf.DUMMYFUNCTION("""COMPUTED_VALUE"""),"-")</f>
        <v>-</v>
      </c>
      <c r="O1973" s="24">
        <f t="shared" si="4"/>
        <v>0</v>
      </c>
      <c r="P1973" s="24"/>
      <c r="Q1973" s="24">
        <f t="shared" si="6"/>
        <v>0</v>
      </c>
      <c r="R1973" s="24">
        <f t="shared" si="7"/>
        <v>0</v>
      </c>
      <c r="S1973" s="24"/>
      <c r="T1973" s="24"/>
    </row>
    <row r="1974">
      <c r="A1974" s="12" t="s">
        <v>2062</v>
      </c>
      <c r="F1974" s="19">
        <f>IFERROR(__xludf.DUMMYFUNCTION("SPLIT(A1970, "" |"")"),1968.0)</f>
        <v>1968</v>
      </c>
      <c r="G1974" s="19">
        <f>IFERROR(__xludf.DUMMYFUNCTION("""COMPUTED_VALUE"""),0.00239)</f>
        <v>0.00239</v>
      </c>
      <c r="H1974" s="19" t="str">
        <f>IFERROR(__xludf.DUMMYFUNCTION("""COMPUTED_VALUE"""),"-")</f>
        <v>-</v>
      </c>
      <c r="I1974" s="19">
        <f>IFERROR(__xludf.DUMMYFUNCTION("""COMPUTED_VALUE"""),0.0022)</f>
        <v>0.0022</v>
      </c>
      <c r="J1974" s="19">
        <f>IFERROR(__xludf.DUMMYFUNCTION("""COMPUTED_VALUE"""),0.04606)</f>
        <v>0.04606</v>
      </c>
      <c r="K1974" s="19" t="str">
        <f>IFERROR(__xludf.DUMMYFUNCTION("""COMPUTED_VALUE"""),"-")</f>
        <v>-</v>
      </c>
      <c r="L1974" s="19" t="str">
        <f>IFERROR(__xludf.DUMMYFUNCTION("""COMPUTED_VALUE"""),"-")</f>
        <v>-</v>
      </c>
      <c r="O1974" s="24">
        <f t="shared" si="4"/>
        <v>0</v>
      </c>
      <c r="P1974" s="24"/>
      <c r="Q1974" s="24">
        <f t="shared" si="6"/>
        <v>0</v>
      </c>
      <c r="R1974" s="24">
        <f t="shared" si="7"/>
        <v>0</v>
      </c>
      <c r="S1974" s="24"/>
      <c r="T1974" s="24"/>
    </row>
    <row r="1975">
      <c r="A1975" s="12" t="s">
        <v>2063</v>
      </c>
      <c r="F1975" s="19">
        <f>IFERROR(__xludf.DUMMYFUNCTION("SPLIT(A1971, "" |"")"),1969.0)</f>
        <v>1969</v>
      </c>
      <c r="G1975" s="19">
        <f>IFERROR(__xludf.DUMMYFUNCTION("""COMPUTED_VALUE"""),0.00237)</f>
        <v>0.00237</v>
      </c>
      <c r="H1975" s="19" t="str">
        <f>IFERROR(__xludf.DUMMYFUNCTION("""COMPUTED_VALUE"""),"-")</f>
        <v>-</v>
      </c>
      <c r="I1975" s="19">
        <f>IFERROR(__xludf.DUMMYFUNCTION("""COMPUTED_VALUE"""),0.00218)</f>
        <v>0.00218</v>
      </c>
      <c r="J1975" s="19">
        <f>IFERROR(__xludf.DUMMYFUNCTION("""COMPUTED_VALUE"""),0.04625)</f>
        <v>0.04625</v>
      </c>
      <c r="K1975" s="19" t="str">
        <f>IFERROR(__xludf.DUMMYFUNCTION("""COMPUTED_VALUE"""),"-")</f>
        <v>-</v>
      </c>
      <c r="L1975" s="19" t="str">
        <f>IFERROR(__xludf.DUMMYFUNCTION("""COMPUTED_VALUE"""),"-")</f>
        <v>-</v>
      </c>
      <c r="O1975" s="24">
        <f t="shared" si="4"/>
        <v>0</v>
      </c>
      <c r="P1975" s="24"/>
      <c r="Q1975" s="24">
        <f t="shared" si="6"/>
        <v>0</v>
      </c>
      <c r="R1975" s="24">
        <f t="shared" si="7"/>
        <v>0</v>
      </c>
      <c r="S1975" s="24"/>
      <c r="T1975" s="24"/>
    </row>
    <row r="1976">
      <c r="A1976" s="12" t="s">
        <v>2064</v>
      </c>
      <c r="F1976" s="19">
        <f>IFERROR(__xludf.DUMMYFUNCTION("SPLIT(A1972, "" |"")"),1970.0)</f>
        <v>1970</v>
      </c>
      <c r="G1976" s="19">
        <f>IFERROR(__xludf.DUMMYFUNCTION("""COMPUTED_VALUE"""),0.00234)</f>
        <v>0.00234</v>
      </c>
      <c r="H1976" s="19" t="str">
        <f>IFERROR(__xludf.DUMMYFUNCTION("""COMPUTED_VALUE"""),"-")</f>
        <v>-</v>
      </c>
      <c r="I1976" s="19">
        <f>IFERROR(__xludf.DUMMYFUNCTION("""COMPUTED_VALUE"""),0.00219)</f>
        <v>0.00219</v>
      </c>
      <c r="J1976" s="19">
        <f>IFERROR(__xludf.DUMMYFUNCTION("""COMPUTED_VALUE"""),0.04742)</f>
        <v>0.04742</v>
      </c>
      <c r="K1976" s="19" t="str">
        <f>IFERROR(__xludf.DUMMYFUNCTION("""COMPUTED_VALUE"""),"-")</f>
        <v>-</v>
      </c>
      <c r="L1976" s="19" t="str">
        <f>IFERROR(__xludf.DUMMYFUNCTION("""COMPUTED_VALUE"""),"-")</f>
        <v>-</v>
      </c>
      <c r="O1976" s="24">
        <f t="shared" si="4"/>
        <v>0</v>
      </c>
      <c r="P1976" s="24"/>
      <c r="Q1976" s="24">
        <f t="shared" si="6"/>
        <v>0</v>
      </c>
      <c r="R1976" s="24">
        <f t="shared" si="7"/>
        <v>0</v>
      </c>
      <c r="S1976" s="24"/>
      <c r="T1976" s="24"/>
    </row>
    <row r="1977">
      <c r="A1977" s="12" t="s">
        <v>2065</v>
      </c>
      <c r="F1977" s="19">
        <f>IFERROR(__xludf.DUMMYFUNCTION("SPLIT(A1973, "" |"")"),1971.0)</f>
        <v>1971</v>
      </c>
      <c r="G1977" s="19">
        <f>IFERROR(__xludf.DUMMYFUNCTION("""COMPUTED_VALUE"""),0.00239)</f>
        <v>0.00239</v>
      </c>
      <c r="H1977" s="19" t="str">
        <f>IFERROR(__xludf.DUMMYFUNCTION("""COMPUTED_VALUE"""),"-")</f>
        <v>-</v>
      </c>
      <c r="I1977" s="19">
        <f>IFERROR(__xludf.DUMMYFUNCTION("""COMPUTED_VALUE"""),0.00223)</f>
        <v>0.00223</v>
      </c>
      <c r="J1977" s="19">
        <f>IFERROR(__xludf.DUMMYFUNCTION("""COMPUTED_VALUE"""),0.04745)</f>
        <v>0.04745</v>
      </c>
      <c r="K1977" s="19" t="str">
        <f>IFERROR(__xludf.DUMMYFUNCTION("""COMPUTED_VALUE"""),"-")</f>
        <v>-</v>
      </c>
      <c r="L1977" s="19" t="str">
        <f>IFERROR(__xludf.DUMMYFUNCTION("""COMPUTED_VALUE"""),"-")</f>
        <v>-</v>
      </c>
      <c r="O1977" s="24">
        <f t="shared" si="4"/>
        <v>0</v>
      </c>
      <c r="P1977" s="24"/>
      <c r="Q1977" s="24">
        <f t="shared" si="6"/>
        <v>0</v>
      </c>
      <c r="R1977" s="24">
        <f t="shared" si="7"/>
        <v>0</v>
      </c>
      <c r="S1977" s="24"/>
      <c r="T1977" s="24"/>
    </row>
    <row r="1978">
      <c r="A1978" s="12" t="s">
        <v>2066</v>
      </c>
      <c r="F1978" s="19">
        <f>IFERROR(__xludf.DUMMYFUNCTION("SPLIT(A1974, "" |"")"),1972.0)</f>
        <v>1972</v>
      </c>
      <c r="G1978" s="19">
        <f>IFERROR(__xludf.DUMMYFUNCTION("""COMPUTED_VALUE"""),0.00276)</f>
        <v>0.00276</v>
      </c>
      <c r="H1978" s="19" t="str">
        <f>IFERROR(__xludf.DUMMYFUNCTION("""COMPUTED_VALUE"""),"-")</f>
        <v>-</v>
      </c>
      <c r="I1978" s="19">
        <f>IFERROR(__xludf.DUMMYFUNCTION("""COMPUTED_VALUE"""),0.00231)</f>
        <v>0.00231</v>
      </c>
      <c r="J1978" s="19">
        <f>IFERROR(__xludf.DUMMYFUNCTION("""COMPUTED_VALUE"""),0.04739)</f>
        <v>0.04739</v>
      </c>
      <c r="K1978" s="19" t="str">
        <f>IFERROR(__xludf.DUMMYFUNCTION("""COMPUTED_VALUE"""),"-")</f>
        <v>-</v>
      </c>
      <c r="L1978" s="19" t="str">
        <f>IFERROR(__xludf.DUMMYFUNCTION("""COMPUTED_VALUE"""),"-")</f>
        <v>-</v>
      </c>
      <c r="O1978" s="24">
        <f t="shared" si="4"/>
        <v>0</v>
      </c>
      <c r="P1978" s="24"/>
      <c r="Q1978" s="24">
        <f t="shared" si="6"/>
        <v>0</v>
      </c>
      <c r="R1978" s="24">
        <f t="shared" si="7"/>
        <v>0</v>
      </c>
      <c r="S1978" s="24"/>
      <c r="T1978" s="24"/>
    </row>
    <row r="1979">
      <c r="A1979" s="12" t="s">
        <v>2067</v>
      </c>
      <c r="F1979" s="19">
        <f>IFERROR(__xludf.DUMMYFUNCTION("SPLIT(A1975, "" |"")"),1973.0)</f>
        <v>1973</v>
      </c>
      <c r="G1979" s="19">
        <f>IFERROR(__xludf.DUMMYFUNCTION("""COMPUTED_VALUE"""),0.00248)</f>
        <v>0.00248</v>
      </c>
      <c r="H1979" s="19" t="str">
        <f>IFERROR(__xludf.DUMMYFUNCTION("""COMPUTED_VALUE"""),"-")</f>
        <v>-</v>
      </c>
      <c r="I1979" s="19">
        <f>IFERROR(__xludf.DUMMYFUNCTION("""COMPUTED_VALUE"""),0.0022)</f>
        <v>0.0022</v>
      </c>
      <c r="J1979" s="19">
        <f>IFERROR(__xludf.DUMMYFUNCTION("""COMPUTED_VALUE"""),0.04741)</f>
        <v>0.04741</v>
      </c>
      <c r="K1979" s="19" t="str">
        <f>IFERROR(__xludf.DUMMYFUNCTION("""COMPUTED_VALUE"""),"-")</f>
        <v>-</v>
      </c>
      <c r="L1979" s="19" t="str">
        <f>IFERROR(__xludf.DUMMYFUNCTION("""COMPUTED_VALUE"""),"-")</f>
        <v>-</v>
      </c>
      <c r="O1979" s="24">
        <f t="shared" si="4"/>
        <v>0</v>
      </c>
      <c r="P1979" s="24"/>
      <c r="Q1979" s="24">
        <f t="shared" si="6"/>
        <v>0</v>
      </c>
      <c r="R1979" s="24">
        <f t="shared" si="7"/>
        <v>0</v>
      </c>
      <c r="S1979" s="24"/>
      <c r="T1979" s="24"/>
    </row>
    <row r="1980">
      <c r="A1980" s="12" t="s">
        <v>2068</v>
      </c>
      <c r="F1980" s="19">
        <f>IFERROR(__xludf.DUMMYFUNCTION("SPLIT(A1976, "" |"")"),1974.0)</f>
        <v>1974</v>
      </c>
      <c r="G1980" s="19">
        <f>IFERROR(__xludf.DUMMYFUNCTION("""COMPUTED_VALUE"""),0.00237)</f>
        <v>0.00237</v>
      </c>
      <c r="H1980" s="19" t="str">
        <f>IFERROR(__xludf.DUMMYFUNCTION("""COMPUTED_VALUE"""),"-")</f>
        <v>-</v>
      </c>
      <c r="I1980" s="19">
        <f>IFERROR(__xludf.DUMMYFUNCTION("""COMPUTED_VALUE"""),0.0022)</f>
        <v>0.0022</v>
      </c>
      <c r="J1980" s="19">
        <f>IFERROR(__xludf.DUMMYFUNCTION("""COMPUTED_VALUE"""),0.0475)</f>
        <v>0.0475</v>
      </c>
      <c r="K1980" s="19" t="str">
        <f>IFERROR(__xludf.DUMMYFUNCTION("""COMPUTED_VALUE"""),"-")</f>
        <v>-</v>
      </c>
      <c r="L1980" s="19" t="str">
        <f>IFERROR(__xludf.DUMMYFUNCTION("""COMPUTED_VALUE"""),"-")</f>
        <v>-</v>
      </c>
      <c r="O1980" s="24">
        <f t="shared" si="4"/>
        <v>0</v>
      </c>
      <c r="P1980" s="24"/>
      <c r="Q1980" s="24">
        <f t="shared" si="6"/>
        <v>0</v>
      </c>
      <c r="R1980" s="24">
        <f t="shared" si="7"/>
        <v>0</v>
      </c>
      <c r="S1980" s="24"/>
      <c r="T1980" s="24"/>
    </row>
    <row r="1981">
      <c r="A1981" s="12" t="s">
        <v>2069</v>
      </c>
      <c r="F1981" s="19">
        <f>IFERROR(__xludf.DUMMYFUNCTION("SPLIT(A1977, "" |"")"),1975.0)</f>
        <v>1975</v>
      </c>
      <c r="G1981" s="19">
        <f>IFERROR(__xludf.DUMMYFUNCTION("""COMPUTED_VALUE"""),0.00237)</f>
        <v>0.00237</v>
      </c>
      <c r="H1981" s="19" t="str">
        <f>IFERROR(__xludf.DUMMYFUNCTION("""COMPUTED_VALUE"""),"-")</f>
        <v>-</v>
      </c>
      <c r="I1981" s="19">
        <f>IFERROR(__xludf.DUMMYFUNCTION("""COMPUTED_VALUE"""),0.00219)</f>
        <v>0.00219</v>
      </c>
      <c r="J1981" s="19">
        <f>IFERROR(__xludf.DUMMYFUNCTION("""COMPUTED_VALUE"""),0.04743)</f>
        <v>0.04743</v>
      </c>
      <c r="K1981" s="19" t="str">
        <f>IFERROR(__xludf.DUMMYFUNCTION("""COMPUTED_VALUE"""),"-")</f>
        <v>-</v>
      </c>
      <c r="L1981" s="19" t="str">
        <f>IFERROR(__xludf.DUMMYFUNCTION("""COMPUTED_VALUE"""),"-")</f>
        <v>-</v>
      </c>
      <c r="O1981" s="24">
        <f t="shared" si="4"/>
        <v>0</v>
      </c>
      <c r="P1981" s="24"/>
      <c r="Q1981" s="24">
        <f t="shared" si="6"/>
        <v>0</v>
      </c>
      <c r="R1981" s="24">
        <f t="shared" si="7"/>
        <v>0</v>
      </c>
      <c r="S1981" s="24"/>
      <c r="T1981" s="24"/>
    </row>
    <row r="1982">
      <c r="A1982" s="12" t="s">
        <v>2070</v>
      </c>
      <c r="F1982" s="19">
        <f>IFERROR(__xludf.DUMMYFUNCTION("SPLIT(A1978, "" |"")"),1976.0)</f>
        <v>1976</v>
      </c>
      <c r="G1982" s="19">
        <f>IFERROR(__xludf.DUMMYFUNCTION("""COMPUTED_VALUE"""),0.00237)</f>
        <v>0.00237</v>
      </c>
      <c r="H1982" s="19" t="str">
        <f>IFERROR(__xludf.DUMMYFUNCTION("""COMPUTED_VALUE"""),"-")</f>
        <v>-</v>
      </c>
      <c r="I1982" s="19">
        <f>IFERROR(__xludf.DUMMYFUNCTION("""COMPUTED_VALUE"""),0.00221)</f>
        <v>0.00221</v>
      </c>
      <c r="J1982" s="19">
        <f>IFERROR(__xludf.DUMMYFUNCTION("""COMPUTED_VALUE"""),0.04746)</f>
        <v>0.04746</v>
      </c>
      <c r="K1982" s="19" t="str">
        <f>IFERROR(__xludf.DUMMYFUNCTION("""COMPUTED_VALUE"""),"-")</f>
        <v>-</v>
      </c>
      <c r="L1982" s="19" t="str">
        <f>IFERROR(__xludf.DUMMYFUNCTION("""COMPUTED_VALUE"""),"-")</f>
        <v>-</v>
      </c>
      <c r="O1982" s="24">
        <f t="shared" si="4"/>
        <v>0</v>
      </c>
      <c r="P1982" s="24"/>
      <c r="Q1982" s="24">
        <f t="shared" si="6"/>
        <v>0</v>
      </c>
      <c r="R1982" s="24">
        <f t="shared" si="7"/>
        <v>0</v>
      </c>
      <c r="S1982" s="24"/>
      <c r="T1982" s="24"/>
    </row>
    <row r="1983">
      <c r="A1983" s="12" t="s">
        <v>2071</v>
      </c>
      <c r="F1983" s="19">
        <f>IFERROR(__xludf.DUMMYFUNCTION("SPLIT(A1979, "" |"")"),1977.0)</f>
        <v>1977</v>
      </c>
      <c r="G1983" s="19">
        <f>IFERROR(__xludf.DUMMYFUNCTION("""COMPUTED_VALUE"""),0.00242)</f>
        <v>0.00242</v>
      </c>
      <c r="H1983" s="19" t="str">
        <f>IFERROR(__xludf.DUMMYFUNCTION("""COMPUTED_VALUE"""),"-")</f>
        <v>-</v>
      </c>
      <c r="I1983" s="19">
        <f>IFERROR(__xludf.DUMMYFUNCTION("""COMPUTED_VALUE"""),0.00226)</f>
        <v>0.00226</v>
      </c>
      <c r="J1983" s="19">
        <f>IFERROR(__xludf.DUMMYFUNCTION("""COMPUTED_VALUE"""),0.0475)</f>
        <v>0.0475</v>
      </c>
      <c r="K1983" s="19" t="str">
        <f>IFERROR(__xludf.DUMMYFUNCTION("""COMPUTED_VALUE"""),"-")</f>
        <v>-</v>
      </c>
      <c r="L1983" s="19" t="str">
        <f>IFERROR(__xludf.DUMMYFUNCTION("""COMPUTED_VALUE"""),"-")</f>
        <v>-</v>
      </c>
      <c r="O1983" s="24">
        <f t="shared" si="4"/>
        <v>0</v>
      </c>
      <c r="P1983" s="24"/>
      <c r="Q1983" s="24">
        <f t="shared" si="6"/>
        <v>0</v>
      </c>
      <c r="R1983" s="24">
        <f t="shared" si="7"/>
        <v>0</v>
      </c>
      <c r="S1983" s="24"/>
      <c r="T1983" s="24"/>
    </row>
    <row r="1984">
      <c r="A1984" s="12" t="s">
        <v>2072</v>
      </c>
      <c r="F1984" s="19">
        <f>IFERROR(__xludf.DUMMYFUNCTION("SPLIT(A1980, "" |"")"),1978.0)</f>
        <v>1978</v>
      </c>
      <c r="G1984" s="19">
        <f>IFERROR(__xludf.DUMMYFUNCTION("""COMPUTED_VALUE"""),0.00235)</f>
        <v>0.00235</v>
      </c>
      <c r="H1984" s="19" t="str">
        <f>IFERROR(__xludf.DUMMYFUNCTION("""COMPUTED_VALUE"""),"-")</f>
        <v>-</v>
      </c>
      <c r="I1984" s="19">
        <f>IFERROR(__xludf.DUMMYFUNCTION("""COMPUTED_VALUE"""),0.00223)</f>
        <v>0.00223</v>
      </c>
      <c r="J1984" s="19">
        <f>IFERROR(__xludf.DUMMYFUNCTION("""COMPUTED_VALUE"""),0.04747)</f>
        <v>0.04747</v>
      </c>
      <c r="K1984" s="19" t="str">
        <f>IFERROR(__xludf.DUMMYFUNCTION("""COMPUTED_VALUE"""),"-")</f>
        <v>-</v>
      </c>
      <c r="L1984" s="19" t="str">
        <f>IFERROR(__xludf.DUMMYFUNCTION("""COMPUTED_VALUE"""),"-")</f>
        <v>-</v>
      </c>
      <c r="O1984" s="24">
        <f t="shared" si="4"/>
        <v>0</v>
      </c>
      <c r="P1984" s="24"/>
      <c r="Q1984" s="24">
        <f t="shared" si="6"/>
        <v>0</v>
      </c>
      <c r="R1984" s="24">
        <f t="shared" si="7"/>
        <v>0</v>
      </c>
      <c r="S1984" s="24"/>
      <c r="T1984" s="24"/>
    </row>
    <row r="1985">
      <c r="A1985" s="12" t="s">
        <v>2073</v>
      </c>
      <c r="F1985" s="19">
        <f>IFERROR(__xludf.DUMMYFUNCTION("SPLIT(A1981, "" |"")"),1979.0)</f>
        <v>1979</v>
      </c>
      <c r="G1985" s="19">
        <f>IFERROR(__xludf.DUMMYFUNCTION("""COMPUTED_VALUE"""),0.00234)</f>
        <v>0.00234</v>
      </c>
      <c r="H1985" s="19" t="str">
        <f>IFERROR(__xludf.DUMMYFUNCTION("""COMPUTED_VALUE"""),"-")</f>
        <v>-</v>
      </c>
      <c r="I1985" s="19">
        <f>IFERROR(__xludf.DUMMYFUNCTION("""COMPUTED_VALUE"""),0.00221)</f>
        <v>0.00221</v>
      </c>
      <c r="J1985" s="19">
        <f>IFERROR(__xludf.DUMMYFUNCTION("""COMPUTED_VALUE"""),0.04745)</f>
        <v>0.04745</v>
      </c>
      <c r="K1985" s="19" t="str">
        <f>IFERROR(__xludf.DUMMYFUNCTION("""COMPUTED_VALUE"""),"-")</f>
        <v>-</v>
      </c>
      <c r="L1985" s="19" t="str">
        <f>IFERROR(__xludf.DUMMYFUNCTION("""COMPUTED_VALUE"""),"-")</f>
        <v>-</v>
      </c>
      <c r="O1985" s="24">
        <f t="shared" si="4"/>
        <v>0</v>
      </c>
      <c r="P1985" s="24"/>
      <c r="Q1985" s="24">
        <f t="shared" si="6"/>
        <v>0</v>
      </c>
      <c r="R1985" s="24">
        <f t="shared" si="7"/>
        <v>0</v>
      </c>
      <c r="S1985" s="24"/>
      <c r="T1985" s="24"/>
    </row>
    <row r="1986">
      <c r="A1986" s="12" t="s">
        <v>2074</v>
      </c>
      <c r="F1986" s="19">
        <f>IFERROR(__xludf.DUMMYFUNCTION("SPLIT(A1982, "" |"")"),1980.0)</f>
        <v>1980</v>
      </c>
      <c r="G1986" s="19">
        <f>IFERROR(__xludf.DUMMYFUNCTION("""COMPUTED_VALUE"""),0.00232)</f>
        <v>0.00232</v>
      </c>
      <c r="H1986" s="19" t="str">
        <f>IFERROR(__xludf.DUMMYFUNCTION("""COMPUTED_VALUE"""),"-")</f>
        <v>-</v>
      </c>
      <c r="I1986" s="19">
        <f>IFERROR(__xludf.DUMMYFUNCTION("""COMPUTED_VALUE"""),0.00224)</f>
        <v>0.00224</v>
      </c>
      <c r="J1986" s="19">
        <f>IFERROR(__xludf.DUMMYFUNCTION("""COMPUTED_VALUE"""),0.04752)</f>
        <v>0.04752</v>
      </c>
      <c r="K1986" s="19" t="str">
        <f>IFERROR(__xludf.DUMMYFUNCTION("""COMPUTED_VALUE"""),"-")</f>
        <v>-</v>
      </c>
      <c r="L1986" s="19" t="str">
        <f>IFERROR(__xludf.DUMMYFUNCTION("""COMPUTED_VALUE"""),"-")</f>
        <v>-</v>
      </c>
      <c r="O1986" s="24">
        <f t="shared" si="4"/>
        <v>0</v>
      </c>
      <c r="P1986" s="24"/>
      <c r="Q1986" s="24">
        <f t="shared" si="6"/>
        <v>0</v>
      </c>
      <c r="R1986" s="24">
        <f t="shared" si="7"/>
        <v>0</v>
      </c>
      <c r="S1986" s="24"/>
      <c r="T1986" s="24"/>
    </row>
    <row r="1987">
      <c r="A1987" s="12" t="s">
        <v>2075</v>
      </c>
      <c r="F1987" s="19">
        <f>IFERROR(__xludf.DUMMYFUNCTION("SPLIT(A1983, "" |"")"),1981.0)</f>
        <v>1981</v>
      </c>
      <c r="G1987" s="19">
        <f>IFERROR(__xludf.DUMMYFUNCTION("""COMPUTED_VALUE"""),0.00258)</f>
        <v>0.00258</v>
      </c>
      <c r="H1987" s="19" t="str">
        <f>IFERROR(__xludf.DUMMYFUNCTION("""COMPUTED_VALUE"""),"-")</f>
        <v>-</v>
      </c>
      <c r="I1987" s="19">
        <f>IFERROR(__xludf.DUMMYFUNCTION("""COMPUTED_VALUE"""),0.00227)</f>
        <v>0.00227</v>
      </c>
      <c r="J1987" s="19">
        <f>IFERROR(__xludf.DUMMYFUNCTION("""COMPUTED_VALUE"""),0.04758)</f>
        <v>0.04758</v>
      </c>
      <c r="K1987" s="19" t="str">
        <f>IFERROR(__xludf.DUMMYFUNCTION("""COMPUTED_VALUE"""),"-")</f>
        <v>-</v>
      </c>
      <c r="L1987" s="19" t="str">
        <f>IFERROR(__xludf.DUMMYFUNCTION("""COMPUTED_VALUE"""),"-")</f>
        <v>-</v>
      </c>
      <c r="O1987" s="24">
        <f t="shared" si="4"/>
        <v>0</v>
      </c>
      <c r="P1987" s="24"/>
      <c r="Q1987" s="24">
        <f t="shared" si="6"/>
        <v>0</v>
      </c>
      <c r="R1987" s="24">
        <f t="shared" si="7"/>
        <v>0</v>
      </c>
      <c r="S1987" s="24"/>
      <c r="T1987" s="24"/>
    </row>
    <row r="1988">
      <c r="A1988" s="12" t="s">
        <v>2076</v>
      </c>
      <c r="F1988" s="19">
        <f>IFERROR(__xludf.DUMMYFUNCTION("SPLIT(A1984, "" |"")"),1982.0)</f>
        <v>1982</v>
      </c>
      <c r="G1988" s="19">
        <f>IFERROR(__xludf.DUMMYFUNCTION("""COMPUTED_VALUE"""),0.00245)</f>
        <v>0.00245</v>
      </c>
      <c r="H1988" s="19" t="str">
        <f>IFERROR(__xludf.DUMMYFUNCTION("""COMPUTED_VALUE"""),"-")</f>
        <v>-</v>
      </c>
      <c r="I1988" s="19">
        <f>IFERROR(__xludf.DUMMYFUNCTION("""COMPUTED_VALUE"""),0.00226)</f>
        <v>0.00226</v>
      </c>
      <c r="J1988" s="19">
        <f>IFERROR(__xludf.DUMMYFUNCTION("""COMPUTED_VALUE"""),0.04751)</f>
        <v>0.04751</v>
      </c>
      <c r="K1988" s="19" t="str">
        <f>IFERROR(__xludf.DUMMYFUNCTION("""COMPUTED_VALUE"""),"-")</f>
        <v>-</v>
      </c>
      <c r="L1988" s="19" t="str">
        <f>IFERROR(__xludf.DUMMYFUNCTION("""COMPUTED_VALUE"""),"-")</f>
        <v>-</v>
      </c>
      <c r="O1988" s="24">
        <f t="shared" si="4"/>
        <v>0</v>
      </c>
      <c r="P1988" s="24"/>
      <c r="Q1988" s="24">
        <f t="shared" si="6"/>
        <v>0</v>
      </c>
      <c r="R1988" s="24">
        <f t="shared" si="7"/>
        <v>0</v>
      </c>
      <c r="S1988" s="24"/>
      <c r="T1988" s="24"/>
    </row>
    <row r="1989">
      <c r="A1989" s="12" t="s">
        <v>2077</v>
      </c>
      <c r="F1989" s="19">
        <f>IFERROR(__xludf.DUMMYFUNCTION("SPLIT(A1985, "" |"")"),1983.0)</f>
        <v>1983</v>
      </c>
      <c r="G1989" s="19">
        <f>IFERROR(__xludf.DUMMYFUNCTION("""COMPUTED_VALUE"""),0.00238)</f>
        <v>0.00238</v>
      </c>
      <c r="H1989" s="19" t="str">
        <f>IFERROR(__xludf.DUMMYFUNCTION("""COMPUTED_VALUE"""),"-")</f>
        <v>-</v>
      </c>
      <c r="I1989" s="19">
        <f>IFERROR(__xludf.DUMMYFUNCTION("""COMPUTED_VALUE"""),0.0022)</f>
        <v>0.0022</v>
      </c>
      <c r="J1989" s="19">
        <f>IFERROR(__xludf.DUMMYFUNCTION("""COMPUTED_VALUE"""),0.04751)</f>
        <v>0.04751</v>
      </c>
      <c r="K1989" s="19" t="str">
        <f>IFERROR(__xludf.DUMMYFUNCTION("""COMPUTED_VALUE"""),"-")</f>
        <v>-</v>
      </c>
      <c r="L1989" s="19" t="str">
        <f>IFERROR(__xludf.DUMMYFUNCTION("""COMPUTED_VALUE"""),"-")</f>
        <v>-</v>
      </c>
      <c r="O1989" s="24">
        <f t="shared" si="4"/>
        <v>0</v>
      </c>
      <c r="P1989" s="24"/>
      <c r="Q1989" s="24">
        <f t="shared" si="6"/>
        <v>0</v>
      </c>
      <c r="R1989" s="24">
        <f t="shared" si="7"/>
        <v>0</v>
      </c>
      <c r="S1989" s="24"/>
      <c r="T1989" s="24"/>
    </row>
    <row r="1990">
      <c r="A1990" s="12" t="s">
        <v>2078</v>
      </c>
      <c r="F1990" s="19">
        <f>IFERROR(__xludf.DUMMYFUNCTION("SPLIT(A1986, "" |"")"),1984.0)</f>
        <v>1984</v>
      </c>
      <c r="G1990" s="19">
        <f>IFERROR(__xludf.DUMMYFUNCTION("""COMPUTED_VALUE"""),0.00241)</f>
        <v>0.00241</v>
      </c>
      <c r="H1990" s="19" t="str">
        <f>IFERROR(__xludf.DUMMYFUNCTION("""COMPUTED_VALUE"""),"-")</f>
        <v>-</v>
      </c>
      <c r="I1990" s="19">
        <f>IFERROR(__xludf.DUMMYFUNCTION("""COMPUTED_VALUE"""),0.00229)</f>
        <v>0.00229</v>
      </c>
      <c r="J1990" s="19">
        <f>IFERROR(__xludf.DUMMYFUNCTION("""COMPUTED_VALUE"""),0.04745)</f>
        <v>0.04745</v>
      </c>
      <c r="K1990" s="19" t="str">
        <f>IFERROR(__xludf.DUMMYFUNCTION("""COMPUTED_VALUE"""),"-")</f>
        <v>-</v>
      </c>
      <c r="L1990" s="19" t="str">
        <f>IFERROR(__xludf.DUMMYFUNCTION("""COMPUTED_VALUE"""),"-")</f>
        <v>-</v>
      </c>
      <c r="O1990" s="24">
        <f t="shared" si="4"/>
        <v>0</v>
      </c>
      <c r="P1990" s="24"/>
      <c r="Q1990" s="24">
        <f t="shared" si="6"/>
        <v>0</v>
      </c>
      <c r="R1990" s="24">
        <f t="shared" si="7"/>
        <v>0</v>
      </c>
      <c r="S1990" s="24"/>
      <c r="T1990" s="24"/>
    </row>
    <row r="1991">
      <c r="A1991" s="12" t="s">
        <v>2079</v>
      </c>
      <c r="F1991" s="19">
        <f>IFERROR(__xludf.DUMMYFUNCTION("SPLIT(A1987, "" |"")"),1985.0)</f>
        <v>1985</v>
      </c>
      <c r="G1991" s="19">
        <f>IFERROR(__xludf.DUMMYFUNCTION("""COMPUTED_VALUE"""),0.00241)</f>
        <v>0.00241</v>
      </c>
      <c r="H1991" s="19" t="str">
        <f>IFERROR(__xludf.DUMMYFUNCTION("""COMPUTED_VALUE"""),"-")</f>
        <v>-</v>
      </c>
      <c r="I1991" s="19">
        <f>IFERROR(__xludf.DUMMYFUNCTION("""COMPUTED_VALUE"""),0.00227)</f>
        <v>0.00227</v>
      </c>
      <c r="J1991" s="19">
        <f>IFERROR(__xludf.DUMMYFUNCTION("""COMPUTED_VALUE"""),0.04345)</f>
        <v>0.04345</v>
      </c>
      <c r="K1991" s="19" t="str">
        <f>IFERROR(__xludf.DUMMYFUNCTION("""COMPUTED_VALUE"""),"-")</f>
        <v>-</v>
      </c>
      <c r="L1991" s="19" t="str">
        <f>IFERROR(__xludf.DUMMYFUNCTION("""COMPUTED_VALUE"""),"-")</f>
        <v>-</v>
      </c>
      <c r="O1991" s="24">
        <f t="shared" si="4"/>
        <v>0</v>
      </c>
      <c r="P1991" s="24"/>
      <c r="Q1991" s="24">
        <f t="shared" si="6"/>
        <v>0</v>
      </c>
      <c r="R1991" s="24">
        <f t="shared" si="7"/>
        <v>1</v>
      </c>
      <c r="S1991" s="24"/>
      <c r="T1991" s="24"/>
    </row>
    <row r="1992">
      <c r="A1992" s="12" t="s">
        <v>2080</v>
      </c>
      <c r="F1992" s="19">
        <f>IFERROR(__xludf.DUMMYFUNCTION("SPLIT(A1988, "" |"")"),1986.0)</f>
        <v>1986</v>
      </c>
      <c r="G1992" s="19">
        <f>IFERROR(__xludf.DUMMYFUNCTION("""COMPUTED_VALUE"""),0.00231)</f>
        <v>0.00231</v>
      </c>
      <c r="H1992" s="19" t="str">
        <f>IFERROR(__xludf.DUMMYFUNCTION("""COMPUTED_VALUE"""),"-")</f>
        <v>-</v>
      </c>
      <c r="I1992" s="19">
        <f>IFERROR(__xludf.DUMMYFUNCTION("""COMPUTED_VALUE"""),0.00221)</f>
        <v>0.00221</v>
      </c>
      <c r="J1992" s="19">
        <f>IFERROR(__xludf.DUMMYFUNCTION("""COMPUTED_VALUE"""),0.0474)</f>
        <v>0.0474</v>
      </c>
      <c r="K1992" s="19" t="str">
        <f>IFERROR(__xludf.DUMMYFUNCTION("""COMPUTED_VALUE"""),"-")</f>
        <v>-</v>
      </c>
      <c r="L1992" s="19" t="str">
        <f>IFERROR(__xludf.DUMMYFUNCTION("""COMPUTED_VALUE"""),"-")</f>
        <v>-</v>
      </c>
      <c r="O1992" s="24">
        <f t="shared" si="4"/>
        <v>0</v>
      </c>
      <c r="P1992" s="24"/>
      <c r="Q1992" s="24">
        <f t="shared" si="6"/>
        <v>0</v>
      </c>
      <c r="R1992" s="24">
        <f t="shared" si="7"/>
        <v>0</v>
      </c>
      <c r="S1992" s="24"/>
      <c r="T1992" s="24"/>
    </row>
    <row r="1993">
      <c r="A1993" s="12" t="s">
        <v>2081</v>
      </c>
      <c r="F1993" s="19">
        <f>IFERROR(__xludf.DUMMYFUNCTION("SPLIT(A1989, "" |"")"),1987.0)</f>
        <v>1987</v>
      </c>
      <c r="G1993" s="19">
        <f>IFERROR(__xludf.DUMMYFUNCTION("""COMPUTED_VALUE"""),0.00236)</f>
        <v>0.00236</v>
      </c>
      <c r="H1993" s="19" t="str">
        <f>IFERROR(__xludf.DUMMYFUNCTION("""COMPUTED_VALUE"""),"-")</f>
        <v>-</v>
      </c>
      <c r="I1993" s="19">
        <f>IFERROR(__xludf.DUMMYFUNCTION("""COMPUTED_VALUE"""),0.00223)</f>
        <v>0.00223</v>
      </c>
      <c r="J1993" s="19">
        <f>IFERROR(__xludf.DUMMYFUNCTION("""COMPUTED_VALUE"""),0.04746)</f>
        <v>0.04746</v>
      </c>
      <c r="K1993" s="19" t="str">
        <f>IFERROR(__xludf.DUMMYFUNCTION("""COMPUTED_VALUE"""),"-")</f>
        <v>-</v>
      </c>
      <c r="L1993" s="19" t="str">
        <f>IFERROR(__xludf.DUMMYFUNCTION("""COMPUTED_VALUE"""),"-")</f>
        <v>-</v>
      </c>
      <c r="O1993" s="24">
        <f t="shared" si="4"/>
        <v>0</v>
      </c>
      <c r="P1993" s="24"/>
      <c r="Q1993" s="24">
        <f t="shared" si="6"/>
        <v>0</v>
      </c>
      <c r="R1993" s="24">
        <f t="shared" si="7"/>
        <v>0</v>
      </c>
      <c r="S1993" s="24"/>
      <c r="T1993" s="24"/>
    </row>
    <row r="1994">
      <c r="A1994" s="12" t="s">
        <v>2082</v>
      </c>
      <c r="F1994" s="19">
        <f>IFERROR(__xludf.DUMMYFUNCTION("SPLIT(A1990, "" |"")"),1988.0)</f>
        <v>1988</v>
      </c>
      <c r="G1994" s="19">
        <f>IFERROR(__xludf.DUMMYFUNCTION("""COMPUTED_VALUE"""),0.00234)</f>
        <v>0.00234</v>
      </c>
      <c r="H1994" s="19" t="str">
        <f>IFERROR(__xludf.DUMMYFUNCTION("""COMPUTED_VALUE"""),"-")</f>
        <v>-</v>
      </c>
      <c r="I1994" s="19">
        <f>IFERROR(__xludf.DUMMYFUNCTION("""COMPUTED_VALUE"""),0.00219)</f>
        <v>0.00219</v>
      </c>
      <c r="J1994" s="19">
        <f>IFERROR(__xludf.DUMMYFUNCTION("""COMPUTED_VALUE"""),0.04745)</f>
        <v>0.04745</v>
      </c>
      <c r="K1994" s="19" t="str">
        <f>IFERROR(__xludf.DUMMYFUNCTION("""COMPUTED_VALUE"""),"-")</f>
        <v>-</v>
      </c>
      <c r="L1994" s="19" t="str">
        <f>IFERROR(__xludf.DUMMYFUNCTION("""COMPUTED_VALUE"""),"-")</f>
        <v>-</v>
      </c>
      <c r="O1994" s="24">
        <f t="shared" si="4"/>
        <v>0</v>
      </c>
      <c r="P1994" s="24"/>
      <c r="Q1994" s="24">
        <f t="shared" si="6"/>
        <v>0</v>
      </c>
      <c r="R1994" s="24">
        <f t="shared" si="7"/>
        <v>0</v>
      </c>
      <c r="S1994" s="24"/>
      <c r="T1994" s="24"/>
    </row>
    <row r="1995">
      <c r="A1995" s="12" t="s">
        <v>2083</v>
      </c>
      <c r="F1995" s="19">
        <f>IFERROR(__xludf.DUMMYFUNCTION("SPLIT(A1991, "" |"")"),1989.0)</f>
        <v>1989</v>
      </c>
      <c r="G1995" s="19">
        <f>IFERROR(__xludf.DUMMYFUNCTION("""COMPUTED_VALUE"""),0.00244)</f>
        <v>0.00244</v>
      </c>
      <c r="H1995" s="19" t="str">
        <f>IFERROR(__xludf.DUMMYFUNCTION("""COMPUTED_VALUE"""),"-")</f>
        <v>-</v>
      </c>
      <c r="I1995" s="19">
        <f>IFERROR(__xludf.DUMMYFUNCTION("""COMPUTED_VALUE"""),0.00221)</f>
        <v>0.00221</v>
      </c>
      <c r="J1995" s="19">
        <f>IFERROR(__xludf.DUMMYFUNCTION("""COMPUTED_VALUE"""),0.04746)</f>
        <v>0.04746</v>
      </c>
      <c r="K1995" s="19" t="str">
        <f>IFERROR(__xludf.DUMMYFUNCTION("""COMPUTED_VALUE"""),"-")</f>
        <v>-</v>
      </c>
      <c r="L1995" s="19" t="str">
        <f>IFERROR(__xludf.DUMMYFUNCTION("""COMPUTED_VALUE"""),"-")</f>
        <v>-</v>
      </c>
      <c r="O1995" s="24">
        <f t="shared" si="4"/>
        <v>0</v>
      </c>
      <c r="P1995" s="24"/>
      <c r="Q1995" s="24">
        <f t="shared" si="6"/>
        <v>0</v>
      </c>
      <c r="R1995" s="24">
        <f t="shared" si="7"/>
        <v>0</v>
      </c>
      <c r="S1995" s="24"/>
      <c r="T1995" s="24"/>
    </row>
    <row r="1996">
      <c r="A1996" s="12" t="s">
        <v>2084</v>
      </c>
      <c r="F1996" s="19">
        <f>IFERROR(__xludf.DUMMYFUNCTION("SPLIT(A1992, "" |"")"),1990.0)</f>
        <v>1990</v>
      </c>
      <c r="G1996" s="19">
        <f>IFERROR(__xludf.DUMMYFUNCTION("""COMPUTED_VALUE"""),0.00236)</f>
        <v>0.00236</v>
      </c>
      <c r="H1996" s="19" t="str">
        <f>IFERROR(__xludf.DUMMYFUNCTION("""COMPUTED_VALUE"""),"-")</f>
        <v>-</v>
      </c>
      <c r="I1996" s="19">
        <f>IFERROR(__xludf.DUMMYFUNCTION("""COMPUTED_VALUE"""),0.0022)</f>
        <v>0.0022</v>
      </c>
      <c r="J1996" s="19">
        <f>IFERROR(__xludf.DUMMYFUNCTION("""COMPUTED_VALUE"""),0.04747)</f>
        <v>0.04747</v>
      </c>
      <c r="K1996" s="19" t="str">
        <f>IFERROR(__xludf.DUMMYFUNCTION("""COMPUTED_VALUE"""),"-")</f>
        <v>-</v>
      </c>
      <c r="L1996" s="19" t="str">
        <f>IFERROR(__xludf.DUMMYFUNCTION("""COMPUTED_VALUE"""),"-")</f>
        <v>-</v>
      </c>
      <c r="O1996" s="24">
        <f t="shared" si="4"/>
        <v>0</v>
      </c>
      <c r="P1996" s="24"/>
      <c r="Q1996" s="24">
        <f t="shared" si="6"/>
        <v>0</v>
      </c>
      <c r="R1996" s="24">
        <f t="shared" si="7"/>
        <v>0</v>
      </c>
      <c r="S1996" s="24"/>
      <c r="T1996" s="24"/>
    </row>
    <row r="1997">
      <c r="A1997" s="12" t="s">
        <v>2085</v>
      </c>
      <c r="F1997" s="19">
        <f>IFERROR(__xludf.DUMMYFUNCTION("SPLIT(A1993, "" |"")"),1991.0)</f>
        <v>1991</v>
      </c>
      <c r="G1997" s="19">
        <f>IFERROR(__xludf.DUMMYFUNCTION("""COMPUTED_VALUE"""),0.00236)</f>
        <v>0.00236</v>
      </c>
      <c r="H1997" s="19" t="str">
        <f>IFERROR(__xludf.DUMMYFUNCTION("""COMPUTED_VALUE"""),"-")</f>
        <v>-</v>
      </c>
      <c r="I1997" s="19">
        <f>IFERROR(__xludf.DUMMYFUNCTION("""COMPUTED_VALUE"""),0.00217)</f>
        <v>0.00217</v>
      </c>
      <c r="J1997" s="19">
        <f>IFERROR(__xludf.DUMMYFUNCTION("""COMPUTED_VALUE"""),0.04747)</f>
        <v>0.04747</v>
      </c>
      <c r="K1997" s="19" t="str">
        <f>IFERROR(__xludf.DUMMYFUNCTION("""COMPUTED_VALUE"""),"-")</f>
        <v>-</v>
      </c>
      <c r="L1997" s="19" t="str">
        <f>IFERROR(__xludf.DUMMYFUNCTION("""COMPUTED_VALUE"""),"-")</f>
        <v>-</v>
      </c>
      <c r="O1997" s="24">
        <f t="shared" si="4"/>
        <v>0</v>
      </c>
      <c r="P1997" s="24"/>
      <c r="Q1997" s="24">
        <f t="shared" si="6"/>
        <v>0</v>
      </c>
      <c r="R1997" s="24">
        <f t="shared" si="7"/>
        <v>0</v>
      </c>
      <c r="S1997" s="24"/>
      <c r="T1997" s="24"/>
    </row>
    <row r="1998">
      <c r="A1998" s="12" t="s">
        <v>2086</v>
      </c>
      <c r="F1998" s="19">
        <f>IFERROR(__xludf.DUMMYFUNCTION("SPLIT(A1994, "" |"")"),1992.0)</f>
        <v>1992</v>
      </c>
      <c r="G1998" s="19">
        <f>IFERROR(__xludf.DUMMYFUNCTION("""COMPUTED_VALUE"""),0.00234)</f>
        <v>0.00234</v>
      </c>
      <c r="H1998" s="19" t="str">
        <f>IFERROR(__xludf.DUMMYFUNCTION("""COMPUTED_VALUE"""),"-")</f>
        <v>-</v>
      </c>
      <c r="I1998" s="19">
        <f>IFERROR(__xludf.DUMMYFUNCTION("""COMPUTED_VALUE"""),0.00219)</f>
        <v>0.00219</v>
      </c>
      <c r="J1998" s="19">
        <f>IFERROR(__xludf.DUMMYFUNCTION("""COMPUTED_VALUE"""),0.04431)</f>
        <v>0.04431</v>
      </c>
      <c r="K1998" s="19" t="str">
        <f>IFERROR(__xludf.DUMMYFUNCTION("""COMPUTED_VALUE"""),"-")</f>
        <v>-</v>
      </c>
      <c r="L1998" s="19" t="str">
        <f>IFERROR(__xludf.DUMMYFUNCTION("""COMPUTED_VALUE"""),"-")</f>
        <v>-</v>
      </c>
      <c r="O1998" s="24">
        <f t="shared" si="4"/>
        <v>0</v>
      </c>
      <c r="P1998" s="24"/>
      <c r="Q1998" s="24">
        <f t="shared" si="6"/>
        <v>0</v>
      </c>
      <c r="R1998" s="24">
        <f t="shared" si="7"/>
        <v>1</v>
      </c>
      <c r="S1998" s="24"/>
      <c r="T1998" s="24"/>
    </row>
    <row r="1999">
      <c r="A1999" s="12" t="s">
        <v>2087</v>
      </c>
      <c r="F1999" s="19">
        <f>IFERROR(__xludf.DUMMYFUNCTION("SPLIT(A1995, "" |"")"),1993.0)</f>
        <v>1993</v>
      </c>
      <c r="G1999" s="19">
        <f>IFERROR(__xludf.DUMMYFUNCTION("""COMPUTED_VALUE"""),0.00235)</f>
        <v>0.00235</v>
      </c>
      <c r="H1999" s="19" t="str">
        <f>IFERROR(__xludf.DUMMYFUNCTION("""COMPUTED_VALUE"""),"-")</f>
        <v>-</v>
      </c>
      <c r="I1999" s="19">
        <f>IFERROR(__xludf.DUMMYFUNCTION("""COMPUTED_VALUE"""),0.0022)</f>
        <v>0.0022</v>
      </c>
      <c r="J1999" s="19">
        <f>IFERROR(__xludf.DUMMYFUNCTION("""COMPUTED_VALUE"""),0.04742)</f>
        <v>0.04742</v>
      </c>
      <c r="K1999" s="19" t="str">
        <f>IFERROR(__xludf.DUMMYFUNCTION("""COMPUTED_VALUE"""),"-")</f>
        <v>-</v>
      </c>
      <c r="L1999" s="19" t="str">
        <f>IFERROR(__xludf.DUMMYFUNCTION("""COMPUTED_VALUE"""),"-")</f>
        <v>-</v>
      </c>
      <c r="O1999" s="24">
        <f t="shared" si="4"/>
        <v>0</v>
      </c>
      <c r="P1999" s="24"/>
      <c r="Q1999" s="24">
        <f t="shared" si="6"/>
        <v>0</v>
      </c>
      <c r="R1999" s="24">
        <f t="shared" si="7"/>
        <v>0</v>
      </c>
      <c r="S1999" s="24"/>
      <c r="T1999" s="24"/>
    </row>
    <row r="2000">
      <c r="A2000" s="12" t="s">
        <v>2088</v>
      </c>
      <c r="F2000" s="19">
        <f>IFERROR(__xludf.DUMMYFUNCTION("SPLIT(A1996, "" |"")"),1994.0)</f>
        <v>1994</v>
      </c>
      <c r="G2000" s="19">
        <f>IFERROR(__xludf.DUMMYFUNCTION("""COMPUTED_VALUE"""),0.00224)</f>
        <v>0.00224</v>
      </c>
      <c r="H2000" s="19" t="str">
        <f>IFERROR(__xludf.DUMMYFUNCTION("""COMPUTED_VALUE"""),"-")</f>
        <v>-</v>
      </c>
      <c r="I2000" s="19">
        <f>IFERROR(__xludf.DUMMYFUNCTION("""COMPUTED_VALUE"""),0.00208)</f>
        <v>0.00208</v>
      </c>
      <c r="J2000" s="19">
        <f>IFERROR(__xludf.DUMMYFUNCTION("""COMPUTED_VALUE"""),0.04733)</f>
        <v>0.04733</v>
      </c>
      <c r="K2000" s="19" t="str">
        <f>IFERROR(__xludf.DUMMYFUNCTION("""COMPUTED_VALUE"""),"-")</f>
        <v>-</v>
      </c>
      <c r="L2000" s="19" t="str">
        <f>IFERROR(__xludf.DUMMYFUNCTION("""COMPUTED_VALUE"""),"-")</f>
        <v>-</v>
      </c>
      <c r="O2000" s="24">
        <f t="shared" si="4"/>
        <v>0</v>
      </c>
      <c r="P2000" s="24"/>
      <c r="Q2000" s="24">
        <f t="shared" si="6"/>
        <v>0</v>
      </c>
      <c r="R2000" s="24">
        <f t="shared" si="7"/>
        <v>0</v>
      </c>
      <c r="S2000" s="24"/>
      <c r="T2000" s="24"/>
    </row>
    <row r="2001">
      <c r="A2001" s="12" t="s">
        <v>2089</v>
      </c>
      <c r="F2001" s="19">
        <f>IFERROR(__xludf.DUMMYFUNCTION("SPLIT(A1997, "" |"")"),1995.0)</f>
        <v>1995</v>
      </c>
      <c r="G2001" s="19">
        <f>IFERROR(__xludf.DUMMYFUNCTION("""COMPUTED_VALUE"""),0.00243)</f>
        <v>0.00243</v>
      </c>
      <c r="H2001" s="19" t="str">
        <f>IFERROR(__xludf.DUMMYFUNCTION("""COMPUTED_VALUE"""),"-")</f>
        <v>-</v>
      </c>
      <c r="I2001" s="19">
        <f>IFERROR(__xludf.DUMMYFUNCTION("""COMPUTED_VALUE"""),0.00223)</f>
        <v>0.00223</v>
      </c>
      <c r="J2001" s="19">
        <f>IFERROR(__xludf.DUMMYFUNCTION("""COMPUTED_VALUE"""),0.04749)</f>
        <v>0.04749</v>
      </c>
      <c r="K2001" s="19" t="str">
        <f>IFERROR(__xludf.DUMMYFUNCTION("""COMPUTED_VALUE"""),"-")</f>
        <v>-</v>
      </c>
      <c r="L2001" s="19" t="str">
        <f>IFERROR(__xludf.DUMMYFUNCTION("""COMPUTED_VALUE"""),"-")</f>
        <v>-</v>
      </c>
      <c r="O2001" s="24">
        <f t="shared" si="4"/>
        <v>0</v>
      </c>
      <c r="P2001" s="24"/>
      <c r="Q2001" s="24">
        <f t="shared" si="6"/>
        <v>0</v>
      </c>
      <c r="R2001" s="24">
        <f t="shared" si="7"/>
        <v>0</v>
      </c>
      <c r="S2001" s="24"/>
      <c r="T2001" s="24"/>
    </row>
    <row r="2002">
      <c r="A2002" s="12" t="s">
        <v>2090</v>
      </c>
      <c r="F2002" s="19">
        <f>IFERROR(__xludf.DUMMYFUNCTION("SPLIT(A1998, "" |"")"),1996.0)</f>
        <v>1996</v>
      </c>
      <c r="G2002" s="19">
        <f>IFERROR(__xludf.DUMMYFUNCTION("""COMPUTED_VALUE"""),0.00236)</f>
        <v>0.00236</v>
      </c>
      <c r="H2002" s="19" t="str">
        <f>IFERROR(__xludf.DUMMYFUNCTION("""COMPUTED_VALUE"""),"-")</f>
        <v>-</v>
      </c>
      <c r="I2002" s="19">
        <f>IFERROR(__xludf.DUMMYFUNCTION("""COMPUTED_VALUE"""),0.00221)</f>
        <v>0.00221</v>
      </c>
      <c r="J2002" s="19">
        <f>IFERROR(__xludf.DUMMYFUNCTION("""COMPUTED_VALUE"""),0.04736)</f>
        <v>0.04736</v>
      </c>
      <c r="K2002" s="19" t="str">
        <f>IFERROR(__xludf.DUMMYFUNCTION("""COMPUTED_VALUE"""),"-")</f>
        <v>-</v>
      </c>
      <c r="L2002" s="19" t="str">
        <f>IFERROR(__xludf.DUMMYFUNCTION("""COMPUTED_VALUE"""),"-")</f>
        <v>-</v>
      </c>
      <c r="O2002" s="24">
        <f t="shared" si="4"/>
        <v>0</v>
      </c>
      <c r="P2002" s="24"/>
      <c r="Q2002" s="24">
        <f t="shared" si="6"/>
        <v>0</v>
      </c>
      <c r="R2002" s="24">
        <f t="shared" si="7"/>
        <v>0</v>
      </c>
      <c r="S2002" s="24"/>
      <c r="T2002" s="24"/>
    </row>
    <row r="2003">
      <c r="A2003" s="12" t="s">
        <v>2091</v>
      </c>
      <c r="F2003" s="19">
        <f>IFERROR(__xludf.DUMMYFUNCTION("SPLIT(A1999, "" |"")"),1997.0)</f>
        <v>1997</v>
      </c>
      <c r="G2003" s="19">
        <f>IFERROR(__xludf.DUMMYFUNCTION("""COMPUTED_VALUE"""),0.00247)</f>
        <v>0.00247</v>
      </c>
      <c r="H2003" s="19" t="str">
        <f>IFERROR(__xludf.DUMMYFUNCTION("""COMPUTED_VALUE"""),"-")</f>
        <v>-</v>
      </c>
      <c r="I2003" s="19">
        <f>IFERROR(__xludf.DUMMYFUNCTION("""COMPUTED_VALUE"""),0.0023)</f>
        <v>0.0023</v>
      </c>
      <c r="J2003" s="19">
        <f>IFERROR(__xludf.DUMMYFUNCTION("""COMPUTED_VALUE"""),0.04751)</f>
        <v>0.04751</v>
      </c>
      <c r="K2003" s="19" t="str">
        <f>IFERROR(__xludf.DUMMYFUNCTION("""COMPUTED_VALUE"""),"-")</f>
        <v>-</v>
      </c>
      <c r="L2003" s="19" t="str">
        <f>IFERROR(__xludf.DUMMYFUNCTION("""COMPUTED_VALUE"""),"-")</f>
        <v>-</v>
      </c>
      <c r="O2003" s="24">
        <f t="shared" si="4"/>
        <v>0</v>
      </c>
      <c r="P2003" s="24"/>
      <c r="Q2003" s="24">
        <f t="shared" si="6"/>
        <v>0</v>
      </c>
      <c r="R2003" s="24">
        <f t="shared" si="7"/>
        <v>0</v>
      </c>
      <c r="S2003" s="24"/>
      <c r="T2003" s="24"/>
    </row>
    <row r="2004">
      <c r="A2004" s="12" t="s">
        <v>2092</v>
      </c>
      <c r="F2004" s="19">
        <f>IFERROR(__xludf.DUMMYFUNCTION("SPLIT(A2000, "" |"")"),1998.0)</f>
        <v>1998</v>
      </c>
      <c r="G2004" s="19">
        <f>IFERROR(__xludf.DUMMYFUNCTION("""COMPUTED_VALUE"""),0.00236)</f>
        <v>0.00236</v>
      </c>
      <c r="H2004" s="19" t="str">
        <f>IFERROR(__xludf.DUMMYFUNCTION("""COMPUTED_VALUE"""),"-")</f>
        <v>-</v>
      </c>
      <c r="I2004" s="19">
        <f>IFERROR(__xludf.DUMMYFUNCTION("""COMPUTED_VALUE"""),0.00228)</f>
        <v>0.00228</v>
      </c>
      <c r="J2004" s="19">
        <f>IFERROR(__xludf.DUMMYFUNCTION("""COMPUTED_VALUE"""),0.04749)</f>
        <v>0.04749</v>
      </c>
      <c r="K2004" s="19" t="str">
        <f>IFERROR(__xludf.DUMMYFUNCTION("""COMPUTED_VALUE"""),"-")</f>
        <v>-</v>
      </c>
      <c r="L2004" s="19" t="str">
        <f>IFERROR(__xludf.DUMMYFUNCTION("""COMPUTED_VALUE"""),"-")</f>
        <v>-</v>
      </c>
      <c r="O2004" s="24">
        <f t="shared" si="4"/>
        <v>0</v>
      </c>
      <c r="P2004" s="24"/>
      <c r="Q2004" s="24">
        <f t="shared" si="6"/>
        <v>0</v>
      </c>
      <c r="R2004" s="24">
        <f t="shared" si="7"/>
        <v>0</v>
      </c>
      <c r="S2004" s="24"/>
      <c r="T2004" s="24"/>
    </row>
    <row r="2005">
      <c r="A2005" s="12" t="s">
        <v>2093</v>
      </c>
      <c r="F2005" s="19">
        <f>IFERROR(__xludf.DUMMYFUNCTION("SPLIT(A2001, "" |"")"),1999.0)</f>
        <v>1999</v>
      </c>
      <c r="G2005" s="19">
        <f>IFERROR(__xludf.DUMMYFUNCTION("""COMPUTED_VALUE"""),0.00238)</f>
        <v>0.00238</v>
      </c>
      <c r="H2005" s="19" t="str">
        <f>IFERROR(__xludf.DUMMYFUNCTION("""COMPUTED_VALUE"""),"-")</f>
        <v>-</v>
      </c>
      <c r="I2005" s="19">
        <f>IFERROR(__xludf.DUMMYFUNCTION("""COMPUTED_VALUE"""),0.00224)</f>
        <v>0.00224</v>
      </c>
      <c r="J2005" s="19">
        <f>IFERROR(__xludf.DUMMYFUNCTION("""COMPUTED_VALUE"""),0.0475)</f>
        <v>0.0475</v>
      </c>
      <c r="K2005" s="19" t="str">
        <f>IFERROR(__xludf.DUMMYFUNCTION("""COMPUTED_VALUE"""),"-")</f>
        <v>-</v>
      </c>
      <c r="L2005" s="19" t="str">
        <f>IFERROR(__xludf.DUMMYFUNCTION("""COMPUTED_VALUE"""),"-")</f>
        <v>-</v>
      </c>
      <c r="O2005" s="24">
        <f t="shared" si="4"/>
        <v>0</v>
      </c>
      <c r="P2005" s="24"/>
      <c r="Q2005" s="24">
        <f t="shared" si="6"/>
        <v>0</v>
      </c>
      <c r="R2005" s="24">
        <f t="shared" si="7"/>
        <v>0</v>
      </c>
      <c r="S2005" s="24"/>
      <c r="T2005" s="24"/>
    </row>
    <row r="2006">
      <c r="A2006" s="12" t="s">
        <v>2094</v>
      </c>
      <c r="F2006" s="19">
        <f>IFERROR(__xludf.DUMMYFUNCTION("SPLIT(A2002, "" |"")"),2000.0)</f>
        <v>2000</v>
      </c>
      <c r="G2006" s="19">
        <f>IFERROR(__xludf.DUMMYFUNCTION("""COMPUTED_VALUE"""),0.00235)</f>
        <v>0.00235</v>
      </c>
      <c r="H2006" s="19" t="str">
        <f>IFERROR(__xludf.DUMMYFUNCTION("""COMPUTED_VALUE"""),"-")</f>
        <v>-</v>
      </c>
      <c r="I2006" s="19">
        <f>IFERROR(__xludf.DUMMYFUNCTION("""COMPUTED_VALUE"""),0.00221)</f>
        <v>0.00221</v>
      </c>
      <c r="J2006" s="19">
        <f>IFERROR(__xludf.DUMMYFUNCTION("""COMPUTED_VALUE"""),0.04745)</f>
        <v>0.04745</v>
      </c>
      <c r="K2006" s="19" t="str">
        <f>IFERROR(__xludf.DUMMYFUNCTION("""COMPUTED_VALUE"""),"-")</f>
        <v>-</v>
      </c>
      <c r="L2006" s="19" t="str">
        <f>IFERROR(__xludf.DUMMYFUNCTION("""COMPUTED_VALUE"""),"-")</f>
        <v>-</v>
      </c>
      <c r="O2006" s="24">
        <f t="shared" si="4"/>
        <v>0</v>
      </c>
      <c r="P2006" s="24"/>
      <c r="Q2006" s="24">
        <f t="shared" si="6"/>
        <v>0</v>
      </c>
      <c r="R2006" s="24">
        <f t="shared" si="7"/>
        <v>0</v>
      </c>
      <c r="S2006" s="24"/>
      <c r="T2006" s="24"/>
    </row>
    <row r="2007">
      <c r="A2007" s="12" t="s">
        <v>2095</v>
      </c>
      <c r="F2007" s="19">
        <f>IFERROR(__xludf.DUMMYFUNCTION("SPLIT(A2003, "" |"")"),2001.0)</f>
        <v>2001</v>
      </c>
      <c r="G2007" s="19">
        <f>IFERROR(__xludf.DUMMYFUNCTION("""COMPUTED_VALUE"""),0.00224)</f>
        <v>0.00224</v>
      </c>
      <c r="H2007" s="19" t="str">
        <f>IFERROR(__xludf.DUMMYFUNCTION("""COMPUTED_VALUE"""),"-")</f>
        <v>-</v>
      </c>
      <c r="I2007" s="19">
        <f>IFERROR(__xludf.DUMMYFUNCTION("""COMPUTED_VALUE"""),0.00208)</f>
        <v>0.00208</v>
      </c>
      <c r="J2007" s="19">
        <f>IFERROR(__xludf.DUMMYFUNCTION("""COMPUTED_VALUE"""),0.04734)</f>
        <v>0.04734</v>
      </c>
      <c r="K2007" s="19" t="str">
        <f>IFERROR(__xludf.DUMMYFUNCTION("""COMPUTED_VALUE"""),"-")</f>
        <v>-</v>
      </c>
      <c r="L2007" s="19" t="str">
        <f>IFERROR(__xludf.DUMMYFUNCTION("""COMPUTED_VALUE"""),"-")</f>
        <v>-</v>
      </c>
      <c r="O2007" s="24">
        <f t="shared" si="4"/>
        <v>0</v>
      </c>
      <c r="P2007" s="24"/>
      <c r="Q2007" s="24">
        <f t="shared" si="6"/>
        <v>0</v>
      </c>
      <c r="R2007" s="24">
        <f t="shared" si="7"/>
        <v>0</v>
      </c>
      <c r="S2007" s="24"/>
      <c r="T2007" s="24"/>
    </row>
    <row r="2008">
      <c r="A2008" s="12" t="s">
        <v>2096</v>
      </c>
      <c r="F2008" s="19">
        <f>IFERROR(__xludf.DUMMYFUNCTION("SPLIT(A2004, "" |"")"),2002.0)</f>
        <v>2002</v>
      </c>
      <c r="G2008" s="19">
        <f>IFERROR(__xludf.DUMMYFUNCTION("""COMPUTED_VALUE"""),0.0022)</f>
        <v>0.0022</v>
      </c>
      <c r="H2008" s="19" t="str">
        <f>IFERROR(__xludf.DUMMYFUNCTION("""COMPUTED_VALUE"""),"-")</f>
        <v>-</v>
      </c>
      <c r="I2008" s="19">
        <f>IFERROR(__xludf.DUMMYFUNCTION("""COMPUTED_VALUE"""),0.00206)</f>
        <v>0.00206</v>
      </c>
      <c r="J2008" s="19">
        <f>IFERROR(__xludf.DUMMYFUNCTION("""COMPUTED_VALUE"""),0.04725)</f>
        <v>0.04725</v>
      </c>
      <c r="K2008" s="19" t="str">
        <f>IFERROR(__xludf.DUMMYFUNCTION("""COMPUTED_VALUE"""),"-")</f>
        <v>-</v>
      </c>
      <c r="L2008" s="19" t="str">
        <f>IFERROR(__xludf.DUMMYFUNCTION("""COMPUTED_VALUE"""),"-")</f>
        <v>-</v>
      </c>
      <c r="O2008" s="24">
        <f t="shared" si="4"/>
        <v>0</v>
      </c>
      <c r="P2008" s="24"/>
      <c r="Q2008" s="24">
        <f t="shared" si="6"/>
        <v>0</v>
      </c>
      <c r="R2008" s="24">
        <f t="shared" si="7"/>
        <v>0</v>
      </c>
      <c r="S2008" s="24"/>
      <c r="T2008" s="24"/>
    </row>
    <row r="2009">
      <c r="A2009" s="12" t="s">
        <v>2097</v>
      </c>
      <c r="F2009" s="19">
        <f>IFERROR(__xludf.DUMMYFUNCTION("SPLIT(A2005, "" |"")"),2003.0)</f>
        <v>2003</v>
      </c>
      <c r="G2009" s="19">
        <f>IFERROR(__xludf.DUMMYFUNCTION("""COMPUTED_VALUE"""),0.00233)</f>
        <v>0.00233</v>
      </c>
      <c r="H2009" s="19" t="str">
        <f>IFERROR(__xludf.DUMMYFUNCTION("""COMPUTED_VALUE"""),"-")</f>
        <v>-</v>
      </c>
      <c r="I2009" s="19">
        <f>IFERROR(__xludf.DUMMYFUNCTION("""COMPUTED_VALUE"""),0.00223)</f>
        <v>0.00223</v>
      </c>
      <c r="J2009" s="19">
        <f>IFERROR(__xludf.DUMMYFUNCTION("""COMPUTED_VALUE"""),0.04746)</f>
        <v>0.04746</v>
      </c>
      <c r="K2009" s="19" t="str">
        <f>IFERROR(__xludf.DUMMYFUNCTION("""COMPUTED_VALUE"""),"-")</f>
        <v>-</v>
      </c>
      <c r="L2009" s="19" t="str">
        <f>IFERROR(__xludf.DUMMYFUNCTION("""COMPUTED_VALUE"""),"-")</f>
        <v>-</v>
      </c>
      <c r="O2009" s="24">
        <f t="shared" si="4"/>
        <v>0</v>
      </c>
      <c r="P2009" s="24"/>
      <c r="Q2009" s="24">
        <f t="shared" si="6"/>
        <v>0</v>
      </c>
      <c r="R2009" s="24">
        <f t="shared" si="7"/>
        <v>0</v>
      </c>
      <c r="S2009" s="24"/>
      <c r="T2009" s="24"/>
    </row>
    <row r="2010">
      <c r="A2010" s="12" t="s">
        <v>2098</v>
      </c>
      <c r="F2010" s="19">
        <f>IFERROR(__xludf.DUMMYFUNCTION("SPLIT(A2006, "" |"")"),2004.0)</f>
        <v>2004</v>
      </c>
      <c r="G2010" s="19">
        <f>IFERROR(__xludf.DUMMYFUNCTION("""COMPUTED_VALUE"""),0.00237)</f>
        <v>0.00237</v>
      </c>
      <c r="H2010" s="19" t="str">
        <f>IFERROR(__xludf.DUMMYFUNCTION("""COMPUTED_VALUE"""),"-")</f>
        <v>-</v>
      </c>
      <c r="I2010" s="19">
        <f>IFERROR(__xludf.DUMMYFUNCTION("""COMPUTED_VALUE"""),0.00227)</f>
        <v>0.00227</v>
      </c>
      <c r="J2010" s="19">
        <f>IFERROR(__xludf.DUMMYFUNCTION("""COMPUTED_VALUE"""),0.04651)</f>
        <v>0.04651</v>
      </c>
      <c r="K2010" s="19" t="str">
        <f>IFERROR(__xludf.DUMMYFUNCTION("""COMPUTED_VALUE"""),"-")</f>
        <v>-</v>
      </c>
      <c r="L2010" s="19" t="str">
        <f>IFERROR(__xludf.DUMMYFUNCTION("""COMPUTED_VALUE"""),"-")</f>
        <v>-</v>
      </c>
      <c r="O2010" s="24">
        <f t="shared" si="4"/>
        <v>0</v>
      </c>
      <c r="P2010" s="24"/>
      <c r="Q2010" s="24">
        <f t="shared" si="6"/>
        <v>0</v>
      </c>
      <c r="R2010" s="24">
        <f t="shared" si="7"/>
        <v>0</v>
      </c>
      <c r="S2010" s="24"/>
      <c r="T2010" s="24"/>
    </row>
    <row r="2011">
      <c r="A2011" s="12" t="s">
        <v>2099</v>
      </c>
      <c r="F2011" s="19">
        <f>IFERROR(__xludf.DUMMYFUNCTION("SPLIT(A2007, "" |"")"),2005.0)</f>
        <v>2005</v>
      </c>
      <c r="G2011" s="19">
        <f>IFERROR(__xludf.DUMMYFUNCTION("""COMPUTED_VALUE"""),0.00238)</f>
        <v>0.00238</v>
      </c>
      <c r="H2011" s="19" t="str">
        <f>IFERROR(__xludf.DUMMYFUNCTION("""COMPUTED_VALUE"""),"-")</f>
        <v>-</v>
      </c>
      <c r="I2011" s="19">
        <f>IFERROR(__xludf.DUMMYFUNCTION("""COMPUTED_VALUE"""),0.00221)</f>
        <v>0.00221</v>
      </c>
      <c r="J2011" s="19">
        <f>IFERROR(__xludf.DUMMYFUNCTION("""COMPUTED_VALUE"""),0.04748)</f>
        <v>0.04748</v>
      </c>
      <c r="K2011" s="19" t="str">
        <f>IFERROR(__xludf.DUMMYFUNCTION("""COMPUTED_VALUE"""),"-")</f>
        <v>-</v>
      </c>
      <c r="L2011" s="19" t="str">
        <f>IFERROR(__xludf.DUMMYFUNCTION("""COMPUTED_VALUE"""),"-")</f>
        <v>-</v>
      </c>
      <c r="O2011" s="24">
        <f t="shared" si="4"/>
        <v>0</v>
      </c>
      <c r="P2011" s="24"/>
      <c r="Q2011" s="24">
        <f t="shared" si="6"/>
        <v>0</v>
      </c>
      <c r="R2011" s="24">
        <f t="shared" si="7"/>
        <v>0</v>
      </c>
      <c r="S2011" s="24"/>
      <c r="T2011" s="24"/>
    </row>
    <row r="2012">
      <c r="A2012" s="12" t="s">
        <v>2100</v>
      </c>
      <c r="F2012" s="19">
        <f>IFERROR(__xludf.DUMMYFUNCTION("SPLIT(A2008, "" |"")"),2006.0)</f>
        <v>2006</v>
      </c>
      <c r="G2012" s="19">
        <f>IFERROR(__xludf.DUMMYFUNCTION("""COMPUTED_VALUE"""),0.00243)</f>
        <v>0.00243</v>
      </c>
      <c r="H2012" s="19" t="str">
        <f>IFERROR(__xludf.DUMMYFUNCTION("""COMPUTED_VALUE"""),"-")</f>
        <v>-</v>
      </c>
      <c r="I2012" s="19">
        <f>IFERROR(__xludf.DUMMYFUNCTION("""COMPUTED_VALUE"""),0.0023)</f>
        <v>0.0023</v>
      </c>
      <c r="J2012" s="19">
        <f>IFERROR(__xludf.DUMMYFUNCTION("""COMPUTED_VALUE"""),0.04752)</f>
        <v>0.04752</v>
      </c>
      <c r="K2012" s="19" t="str">
        <f>IFERROR(__xludf.DUMMYFUNCTION("""COMPUTED_VALUE"""),"-")</f>
        <v>-</v>
      </c>
      <c r="L2012" s="19" t="str">
        <f>IFERROR(__xludf.DUMMYFUNCTION("""COMPUTED_VALUE"""),"-")</f>
        <v>-</v>
      </c>
      <c r="O2012" s="24">
        <f t="shared" si="4"/>
        <v>0</v>
      </c>
      <c r="P2012" s="24"/>
      <c r="Q2012" s="24">
        <f t="shared" si="6"/>
        <v>0</v>
      </c>
      <c r="R2012" s="24">
        <f t="shared" si="7"/>
        <v>0</v>
      </c>
      <c r="S2012" s="24"/>
      <c r="T2012" s="24"/>
    </row>
    <row r="2013">
      <c r="A2013" s="12" t="s">
        <v>2101</v>
      </c>
      <c r="F2013" s="19">
        <f>IFERROR(__xludf.DUMMYFUNCTION("SPLIT(A2009, "" |"")"),2007.0)</f>
        <v>2007</v>
      </c>
      <c r="G2013" s="19">
        <f>IFERROR(__xludf.DUMMYFUNCTION("""COMPUTED_VALUE"""),0.00234)</f>
        <v>0.00234</v>
      </c>
      <c r="H2013" s="19" t="str">
        <f>IFERROR(__xludf.DUMMYFUNCTION("""COMPUTED_VALUE"""),"-")</f>
        <v>-</v>
      </c>
      <c r="I2013" s="19">
        <f>IFERROR(__xludf.DUMMYFUNCTION("""COMPUTED_VALUE"""),0.00225)</f>
        <v>0.00225</v>
      </c>
      <c r="J2013" s="19">
        <f>IFERROR(__xludf.DUMMYFUNCTION("""COMPUTED_VALUE"""),0.04746)</f>
        <v>0.04746</v>
      </c>
      <c r="K2013" s="19" t="str">
        <f>IFERROR(__xludf.DUMMYFUNCTION("""COMPUTED_VALUE"""),"-")</f>
        <v>-</v>
      </c>
      <c r="L2013" s="19" t="str">
        <f>IFERROR(__xludf.DUMMYFUNCTION("""COMPUTED_VALUE"""),"-")</f>
        <v>-</v>
      </c>
      <c r="O2013" s="24">
        <f t="shared" si="4"/>
        <v>0</v>
      </c>
      <c r="P2013" s="24"/>
      <c r="Q2013" s="24">
        <f t="shared" si="6"/>
        <v>0</v>
      </c>
      <c r="R2013" s="24">
        <f t="shared" si="7"/>
        <v>0</v>
      </c>
      <c r="S2013" s="24"/>
      <c r="T2013" s="24"/>
    </row>
    <row r="2014">
      <c r="A2014" s="12" t="s">
        <v>2102</v>
      </c>
      <c r="F2014" s="19">
        <f>IFERROR(__xludf.DUMMYFUNCTION("SPLIT(A2010, "" |"")"),2008.0)</f>
        <v>2008</v>
      </c>
      <c r="G2014" s="19">
        <f>IFERROR(__xludf.DUMMYFUNCTION("""COMPUTED_VALUE"""),0.00233)</f>
        <v>0.00233</v>
      </c>
      <c r="H2014" s="19" t="str">
        <f>IFERROR(__xludf.DUMMYFUNCTION("""COMPUTED_VALUE"""),"-")</f>
        <v>-</v>
      </c>
      <c r="I2014" s="19">
        <f>IFERROR(__xludf.DUMMYFUNCTION("""COMPUTED_VALUE"""),0.00221)</f>
        <v>0.00221</v>
      </c>
      <c r="J2014" s="19">
        <f>IFERROR(__xludf.DUMMYFUNCTION("""COMPUTED_VALUE"""),0.04092)</f>
        <v>0.04092</v>
      </c>
      <c r="K2014" s="19" t="str">
        <f>IFERROR(__xludf.DUMMYFUNCTION("""COMPUTED_VALUE"""),"-")</f>
        <v>-</v>
      </c>
      <c r="L2014" s="19" t="str">
        <f>IFERROR(__xludf.DUMMYFUNCTION("""COMPUTED_VALUE"""),"-")</f>
        <v>-</v>
      </c>
      <c r="O2014" s="24">
        <f t="shared" si="4"/>
        <v>0</v>
      </c>
      <c r="P2014" s="24"/>
      <c r="Q2014" s="24">
        <f t="shared" si="6"/>
        <v>0</v>
      </c>
      <c r="R2014" s="24">
        <f t="shared" si="7"/>
        <v>1</v>
      </c>
      <c r="S2014" s="24"/>
      <c r="T2014" s="24"/>
    </row>
    <row r="2015">
      <c r="A2015" s="12" t="s">
        <v>2103</v>
      </c>
      <c r="F2015" s="19">
        <f>IFERROR(__xludf.DUMMYFUNCTION("SPLIT(A2011, "" |"")"),2009.0)</f>
        <v>2009</v>
      </c>
      <c r="G2015" s="19">
        <f>IFERROR(__xludf.DUMMYFUNCTION("""COMPUTED_VALUE"""),0.00235)</f>
        <v>0.00235</v>
      </c>
      <c r="H2015" s="19" t="str">
        <f>IFERROR(__xludf.DUMMYFUNCTION("""COMPUTED_VALUE"""),"-")</f>
        <v>-</v>
      </c>
      <c r="I2015" s="19">
        <f>IFERROR(__xludf.DUMMYFUNCTION("""COMPUTED_VALUE"""),0.00216)</f>
        <v>0.00216</v>
      </c>
      <c r="J2015" s="19">
        <f>IFERROR(__xludf.DUMMYFUNCTION("""COMPUTED_VALUE"""),0.04748)</f>
        <v>0.04748</v>
      </c>
      <c r="K2015" s="19" t="str">
        <f>IFERROR(__xludf.DUMMYFUNCTION("""COMPUTED_VALUE"""),"-")</f>
        <v>-</v>
      </c>
      <c r="L2015" s="19" t="str">
        <f>IFERROR(__xludf.DUMMYFUNCTION("""COMPUTED_VALUE"""),"-")</f>
        <v>-</v>
      </c>
      <c r="O2015" s="24">
        <f t="shared" si="4"/>
        <v>0</v>
      </c>
      <c r="P2015" s="24"/>
      <c r="Q2015" s="24">
        <f t="shared" si="6"/>
        <v>0</v>
      </c>
      <c r="R2015" s="24">
        <f t="shared" si="7"/>
        <v>0</v>
      </c>
      <c r="S2015" s="24"/>
      <c r="T2015" s="24"/>
    </row>
    <row r="2016">
      <c r="A2016" s="12" t="s">
        <v>2104</v>
      </c>
      <c r="F2016" s="19">
        <f>IFERROR(__xludf.DUMMYFUNCTION("SPLIT(A2012, "" |"")"),2010.0)</f>
        <v>2010</v>
      </c>
      <c r="G2016" s="19">
        <f>IFERROR(__xludf.DUMMYFUNCTION("""COMPUTED_VALUE"""),0.00244)</f>
        <v>0.00244</v>
      </c>
      <c r="H2016" s="19" t="str">
        <f>IFERROR(__xludf.DUMMYFUNCTION("""COMPUTED_VALUE"""),"-")</f>
        <v>-</v>
      </c>
      <c r="I2016" s="19">
        <f>IFERROR(__xludf.DUMMYFUNCTION("""COMPUTED_VALUE"""),0.0022)</f>
        <v>0.0022</v>
      </c>
      <c r="J2016" s="19">
        <f>IFERROR(__xludf.DUMMYFUNCTION("""COMPUTED_VALUE"""),0.04749)</f>
        <v>0.04749</v>
      </c>
      <c r="K2016" s="19" t="str">
        <f>IFERROR(__xludf.DUMMYFUNCTION("""COMPUTED_VALUE"""),"-")</f>
        <v>-</v>
      </c>
      <c r="L2016" s="19" t="str">
        <f>IFERROR(__xludf.DUMMYFUNCTION("""COMPUTED_VALUE"""),"-")</f>
        <v>-</v>
      </c>
      <c r="O2016" s="24">
        <f t="shared" si="4"/>
        <v>0</v>
      </c>
      <c r="P2016" s="24"/>
      <c r="Q2016" s="24">
        <f t="shared" si="6"/>
        <v>0</v>
      </c>
      <c r="R2016" s="24">
        <f t="shared" si="7"/>
        <v>0</v>
      </c>
      <c r="S2016" s="24"/>
      <c r="T2016" s="24"/>
    </row>
    <row r="2017">
      <c r="A2017" s="12" t="s">
        <v>2105</v>
      </c>
      <c r="F2017" s="19">
        <f>IFERROR(__xludf.DUMMYFUNCTION("SPLIT(A2013, "" |"")"),2011.0)</f>
        <v>2011</v>
      </c>
      <c r="G2017" s="19">
        <f>IFERROR(__xludf.DUMMYFUNCTION("""COMPUTED_VALUE"""),0.00233)</f>
        <v>0.00233</v>
      </c>
      <c r="H2017" s="19" t="str">
        <f>IFERROR(__xludf.DUMMYFUNCTION("""COMPUTED_VALUE"""),"-")</f>
        <v>-</v>
      </c>
      <c r="I2017" s="19">
        <f>IFERROR(__xludf.DUMMYFUNCTION("""COMPUTED_VALUE"""),0.0022)</f>
        <v>0.0022</v>
      </c>
      <c r="J2017" s="19">
        <f>IFERROR(__xludf.DUMMYFUNCTION("""COMPUTED_VALUE"""),0.04747)</f>
        <v>0.04747</v>
      </c>
      <c r="K2017" s="19" t="str">
        <f>IFERROR(__xludf.DUMMYFUNCTION("""COMPUTED_VALUE"""),"-")</f>
        <v>-</v>
      </c>
      <c r="L2017" s="19" t="str">
        <f>IFERROR(__xludf.DUMMYFUNCTION("""COMPUTED_VALUE"""),"-")</f>
        <v>-</v>
      </c>
      <c r="O2017" s="24">
        <f t="shared" si="4"/>
        <v>0</v>
      </c>
      <c r="P2017" s="24"/>
      <c r="Q2017" s="24">
        <f t="shared" si="6"/>
        <v>0</v>
      </c>
      <c r="R2017" s="24">
        <f t="shared" si="7"/>
        <v>0</v>
      </c>
      <c r="S2017" s="24"/>
      <c r="T2017" s="24"/>
    </row>
    <row r="2018">
      <c r="A2018" s="12" t="s">
        <v>2106</v>
      </c>
      <c r="F2018" s="19">
        <f>IFERROR(__xludf.DUMMYFUNCTION("SPLIT(A2014, "" |"")"),2012.0)</f>
        <v>2012</v>
      </c>
      <c r="G2018" s="19">
        <f>IFERROR(__xludf.DUMMYFUNCTION("""COMPUTED_VALUE"""),0.00234)</f>
        <v>0.00234</v>
      </c>
      <c r="H2018" s="19" t="str">
        <f>IFERROR(__xludf.DUMMYFUNCTION("""COMPUTED_VALUE"""),"-")</f>
        <v>-</v>
      </c>
      <c r="I2018" s="19">
        <f>IFERROR(__xludf.DUMMYFUNCTION("""COMPUTED_VALUE"""),0.00218)</f>
        <v>0.00218</v>
      </c>
      <c r="J2018" s="19">
        <f>IFERROR(__xludf.DUMMYFUNCTION("""COMPUTED_VALUE"""),0.04725)</f>
        <v>0.04725</v>
      </c>
      <c r="K2018" s="19" t="str">
        <f>IFERROR(__xludf.DUMMYFUNCTION("""COMPUTED_VALUE"""),"-")</f>
        <v>-</v>
      </c>
      <c r="L2018" s="19" t="str">
        <f>IFERROR(__xludf.DUMMYFUNCTION("""COMPUTED_VALUE"""),"-")</f>
        <v>-</v>
      </c>
      <c r="O2018" s="24">
        <f t="shared" si="4"/>
        <v>0</v>
      </c>
      <c r="P2018" s="24"/>
      <c r="Q2018" s="24">
        <f t="shared" si="6"/>
        <v>0</v>
      </c>
      <c r="R2018" s="24">
        <f t="shared" si="7"/>
        <v>0</v>
      </c>
      <c r="S2018" s="24"/>
      <c r="T2018" s="24"/>
    </row>
    <row r="2019">
      <c r="A2019" s="12" t="s">
        <v>2107</v>
      </c>
      <c r="F2019" s="19">
        <f>IFERROR(__xludf.DUMMYFUNCTION("SPLIT(A2015, "" |"")"),2013.0)</f>
        <v>2013</v>
      </c>
      <c r="G2019" s="19">
        <f>IFERROR(__xludf.DUMMYFUNCTION("""COMPUTED_VALUE"""),0.0024)</f>
        <v>0.0024</v>
      </c>
      <c r="H2019" s="19" t="str">
        <f>IFERROR(__xludf.DUMMYFUNCTION("""COMPUTED_VALUE"""),"-")</f>
        <v>-</v>
      </c>
      <c r="I2019" s="19">
        <f>IFERROR(__xludf.DUMMYFUNCTION("""COMPUTED_VALUE"""),0.00228)</f>
        <v>0.00228</v>
      </c>
      <c r="J2019" s="19">
        <f>IFERROR(__xludf.DUMMYFUNCTION("""COMPUTED_VALUE"""),0.04739)</f>
        <v>0.04739</v>
      </c>
      <c r="K2019" s="19" t="str">
        <f>IFERROR(__xludf.DUMMYFUNCTION("""COMPUTED_VALUE"""),"-")</f>
        <v>-</v>
      </c>
      <c r="L2019" s="19" t="str">
        <f>IFERROR(__xludf.DUMMYFUNCTION("""COMPUTED_VALUE"""),"-")</f>
        <v>-</v>
      </c>
      <c r="O2019" s="24">
        <f t="shared" si="4"/>
        <v>0</v>
      </c>
      <c r="P2019" s="24"/>
      <c r="Q2019" s="24">
        <f t="shared" si="6"/>
        <v>0</v>
      </c>
      <c r="R2019" s="24">
        <f t="shared" si="7"/>
        <v>0</v>
      </c>
      <c r="S2019" s="24"/>
      <c r="T2019" s="24"/>
    </row>
    <row r="2020">
      <c r="A2020" s="12" t="s">
        <v>2108</v>
      </c>
      <c r="F2020" s="19">
        <f>IFERROR(__xludf.DUMMYFUNCTION("SPLIT(A2016, "" |"")"),2014.0)</f>
        <v>2014</v>
      </c>
      <c r="G2020" s="19">
        <f>IFERROR(__xludf.DUMMYFUNCTION("""COMPUTED_VALUE"""),0.00233)</f>
        <v>0.00233</v>
      </c>
      <c r="H2020" s="19" t="str">
        <f>IFERROR(__xludf.DUMMYFUNCTION("""COMPUTED_VALUE"""),"-")</f>
        <v>-</v>
      </c>
      <c r="I2020" s="19">
        <f>IFERROR(__xludf.DUMMYFUNCTION("""COMPUTED_VALUE"""),0.00219)</f>
        <v>0.00219</v>
      </c>
      <c r="J2020" s="19">
        <f>IFERROR(__xludf.DUMMYFUNCTION("""COMPUTED_VALUE"""),0.04745)</f>
        <v>0.04745</v>
      </c>
      <c r="K2020" s="19" t="str">
        <f>IFERROR(__xludf.DUMMYFUNCTION("""COMPUTED_VALUE"""),"-")</f>
        <v>-</v>
      </c>
      <c r="L2020" s="19" t="str">
        <f>IFERROR(__xludf.DUMMYFUNCTION("""COMPUTED_VALUE"""),"-")</f>
        <v>-</v>
      </c>
      <c r="O2020" s="24">
        <f t="shared" si="4"/>
        <v>0</v>
      </c>
      <c r="P2020" s="24"/>
      <c r="Q2020" s="24">
        <f t="shared" si="6"/>
        <v>0</v>
      </c>
      <c r="R2020" s="24">
        <f t="shared" si="7"/>
        <v>0</v>
      </c>
      <c r="S2020" s="24"/>
      <c r="T2020" s="24"/>
    </row>
    <row r="2021">
      <c r="A2021" s="12" t="s">
        <v>2109</v>
      </c>
      <c r="F2021" s="19">
        <f>IFERROR(__xludf.DUMMYFUNCTION("SPLIT(A2017, "" |"")"),2015.0)</f>
        <v>2015</v>
      </c>
      <c r="G2021" s="19">
        <f>IFERROR(__xludf.DUMMYFUNCTION("""COMPUTED_VALUE"""),0.00233)</f>
        <v>0.00233</v>
      </c>
      <c r="H2021" s="19" t="str">
        <f>IFERROR(__xludf.DUMMYFUNCTION("""COMPUTED_VALUE"""),"-")</f>
        <v>-</v>
      </c>
      <c r="I2021" s="19">
        <f>IFERROR(__xludf.DUMMYFUNCTION("""COMPUTED_VALUE"""),0.0022)</f>
        <v>0.0022</v>
      </c>
      <c r="J2021" s="19">
        <f>IFERROR(__xludf.DUMMYFUNCTION("""COMPUTED_VALUE"""),0.04747)</f>
        <v>0.04747</v>
      </c>
      <c r="K2021" s="19" t="str">
        <f>IFERROR(__xludf.DUMMYFUNCTION("""COMPUTED_VALUE"""),"-")</f>
        <v>-</v>
      </c>
      <c r="L2021" s="19" t="str">
        <f>IFERROR(__xludf.DUMMYFUNCTION("""COMPUTED_VALUE"""),"-")</f>
        <v>-</v>
      </c>
      <c r="O2021" s="24">
        <f t="shared" si="4"/>
        <v>0</v>
      </c>
      <c r="P2021" s="24"/>
      <c r="Q2021" s="24">
        <f t="shared" si="6"/>
        <v>0</v>
      </c>
      <c r="R2021" s="24">
        <f t="shared" si="7"/>
        <v>0</v>
      </c>
      <c r="S2021" s="24"/>
      <c r="T2021" s="24"/>
    </row>
    <row r="2022">
      <c r="A2022" s="12" t="s">
        <v>2110</v>
      </c>
      <c r="F2022" s="19">
        <f>IFERROR(__xludf.DUMMYFUNCTION("SPLIT(A2018, "" |"")"),2016.0)</f>
        <v>2016</v>
      </c>
      <c r="G2022" s="19">
        <f>IFERROR(__xludf.DUMMYFUNCTION("""COMPUTED_VALUE"""),0.00233)</f>
        <v>0.00233</v>
      </c>
      <c r="H2022" s="19" t="str">
        <f>IFERROR(__xludf.DUMMYFUNCTION("""COMPUTED_VALUE"""),"-")</f>
        <v>-</v>
      </c>
      <c r="I2022" s="19">
        <f>IFERROR(__xludf.DUMMYFUNCTION("""COMPUTED_VALUE"""),0.00214)</f>
        <v>0.00214</v>
      </c>
      <c r="J2022" s="19">
        <f>IFERROR(__xludf.DUMMYFUNCTION("""COMPUTED_VALUE"""),0.04746)</f>
        <v>0.04746</v>
      </c>
      <c r="K2022" s="19" t="str">
        <f>IFERROR(__xludf.DUMMYFUNCTION("""COMPUTED_VALUE"""),"-")</f>
        <v>-</v>
      </c>
      <c r="L2022" s="19" t="str">
        <f>IFERROR(__xludf.DUMMYFUNCTION("""COMPUTED_VALUE"""),"-")</f>
        <v>-</v>
      </c>
      <c r="O2022" s="24">
        <f t="shared" si="4"/>
        <v>0</v>
      </c>
      <c r="P2022" s="24"/>
      <c r="Q2022" s="24">
        <f t="shared" si="6"/>
        <v>0</v>
      </c>
      <c r="R2022" s="24">
        <f t="shared" si="7"/>
        <v>0</v>
      </c>
      <c r="S2022" s="24"/>
      <c r="T2022" s="24"/>
    </row>
    <row r="2023">
      <c r="A2023" s="12" t="s">
        <v>2111</v>
      </c>
      <c r="F2023" s="19">
        <f>IFERROR(__xludf.DUMMYFUNCTION("SPLIT(A2019, "" |"")"),2017.0)</f>
        <v>2017</v>
      </c>
      <c r="G2023" s="19">
        <f>IFERROR(__xludf.DUMMYFUNCTION("""COMPUTED_VALUE"""),0.00232)</f>
        <v>0.00232</v>
      </c>
      <c r="H2023" s="19" t="str">
        <f>IFERROR(__xludf.DUMMYFUNCTION("""COMPUTED_VALUE"""),"-")</f>
        <v>-</v>
      </c>
      <c r="I2023" s="19">
        <f>IFERROR(__xludf.DUMMYFUNCTION("""COMPUTED_VALUE"""),0.0022)</f>
        <v>0.0022</v>
      </c>
      <c r="J2023" s="19">
        <f>IFERROR(__xludf.DUMMYFUNCTION("""COMPUTED_VALUE"""),0.0475)</f>
        <v>0.0475</v>
      </c>
      <c r="K2023" s="19" t="str">
        <f>IFERROR(__xludf.DUMMYFUNCTION("""COMPUTED_VALUE"""),"-")</f>
        <v>-</v>
      </c>
      <c r="L2023" s="19" t="str">
        <f>IFERROR(__xludf.DUMMYFUNCTION("""COMPUTED_VALUE"""),"-")</f>
        <v>-</v>
      </c>
      <c r="O2023" s="24">
        <f t="shared" si="4"/>
        <v>0</v>
      </c>
      <c r="P2023" s="24"/>
      <c r="Q2023" s="24">
        <f t="shared" si="6"/>
        <v>0</v>
      </c>
      <c r="R2023" s="24">
        <f t="shared" si="7"/>
        <v>0</v>
      </c>
      <c r="S2023" s="24"/>
      <c r="T2023" s="24"/>
    </row>
    <row r="2024">
      <c r="A2024" s="12" t="s">
        <v>2112</v>
      </c>
      <c r="F2024" s="19">
        <f>IFERROR(__xludf.DUMMYFUNCTION("SPLIT(A2020, "" |"")"),2018.0)</f>
        <v>2018</v>
      </c>
      <c r="G2024" s="19">
        <f>IFERROR(__xludf.DUMMYFUNCTION("""COMPUTED_VALUE"""),0.00232)</f>
        <v>0.00232</v>
      </c>
      <c r="H2024" s="19" t="str">
        <f>IFERROR(__xludf.DUMMYFUNCTION("""COMPUTED_VALUE"""),"-")</f>
        <v>-</v>
      </c>
      <c r="I2024" s="19">
        <f>IFERROR(__xludf.DUMMYFUNCTION("""COMPUTED_VALUE"""),0.0022)</f>
        <v>0.0022</v>
      </c>
      <c r="J2024" s="19">
        <f>IFERROR(__xludf.DUMMYFUNCTION("""COMPUTED_VALUE"""),0.04741)</f>
        <v>0.04741</v>
      </c>
      <c r="K2024" s="19" t="str">
        <f>IFERROR(__xludf.DUMMYFUNCTION("""COMPUTED_VALUE"""),"-")</f>
        <v>-</v>
      </c>
      <c r="L2024" s="19" t="str">
        <f>IFERROR(__xludf.DUMMYFUNCTION("""COMPUTED_VALUE"""),"-")</f>
        <v>-</v>
      </c>
      <c r="O2024" s="24">
        <f t="shared" si="4"/>
        <v>0</v>
      </c>
      <c r="P2024" s="24"/>
      <c r="Q2024" s="24">
        <f t="shared" si="6"/>
        <v>0</v>
      </c>
      <c r="R2024" s="24">
        <f t="shared" si="7"/>
        <v>0</v>
      </c>
      <c r="S2024" s="24"/>
      <c r="T2024" s="24"/>
    </row>
    <row r="2025">
      <c r="A2025" s="12" t="s">
        <v>2113</v>
      </c>
      <c r="F2025" s="19">
        <f>IFERROR(__xludf.DUMMYFUNCTION("SPLIT(A2021, "" |"")"),2019.0)</f>
        <v>2019</v>
      </c>
      <c r="G2025" s="19">
        <f>IFERROR(__xludf.DUMMYFUNCTION("""COMPUTED_VALUE"""),0.00234)</f>
        <v>0.00234</v>
      </c>
      <c r="H2025" s="19" t="str">
        <f>IFERROR(__xludf.DUMMYFUNCTION("""COMPUTED_VALUE"""),"-")</f>
        <v>-</v>
      </c>
      <c r="I2025" s="19">
        <f>IFERROR(__xludf.DUMMYFUNCTION("""COMPUTED_VALUE"""),0.00221)</f>
        <v>0.00221</v>
      </c>
      <c r="J2025" s="19">
        <f>IFERROR(__xludf.DUMMYFUNCTION("""COMPUTED_VALUE"""),0.04352)</f>
        <v>0.04352</v>
      </c>
      <c r="K2025" s="19" t="str">
        <f>IFERROR(__xludf.DUMMYFUNCTION("""COMPUTED_VALUE"""),"-")</f>
        <v>-</v>
      </c>
      <c r="L2025" s="19" t="str">
        <f>IFERROR(__xludf.DUMMYFUNCTION("""COMPUTED_VALUE"""),"-")</f>
        <v>-</v>
      </c>
      <c r="O2025" s="24">
        <f t="shared" si="4"/>
        <v>0</v>
      </c>
      <c r="P2025" s="24"/>
      <c r="Q2025" s="24">
        <f t="shared" si="6"/>
        <v>0</v>
      </c>
      <c r="R2025" s="24">
        <f t="shared" si="7"/>
        <v>1</v>
      </c>
      <c r="S2025" s="24"/>
      <c r="T2025" s="24"/>
    </row>
    <row r="2026">
      <c r="A2026" s="12" t="s">
        <v>2114</v>
      </c>
      <c r="F2026" s="19">
        <f>IFERROR(__xludf.DUMMYFUNCTION("SPLIT(A2022, "" |"")"),2020.0)</f>
        <v>2020</v>
      </c>
      <c r="G2026" s="19">
        <f>IFERROR(__xludf.DUMMYFUNCTION("""COMPUTED_VALUE"""),0.00236)</f>
        <v>0.00236</v>
      </c>
      <c r="H2026" s="19" t="str">
        <f>IFERROR(__xludf.DUMMYFUNCTION("""COMPUTED_VALUE"""),"-")</f>
        <v>-</v>
      </c>
      <c r="I2026" s="19">
        <f>IFERROR(__xludf.DUMMYFUNCTION("""COMPUTED_VALUE"""),0.00227)</f>
        <v>0.00227</v>
      </c>
      <c r="J2026" s="19">
        <f>IFERROR(__xludf.DUMMYFUNCTION("""COMPUTED_VALUE"""),0.04752)</f>
        <v>0.04752</v>
      </c>
      <c r="K2026" s="19" t="str">
        <f>IFERROR(__xludf.DUMMYFUNCTION("""COMPUTED_VALUE"""),"-")</f>
        <v>-</v>
      </c>
      <c r="L2026" s="19" t="str">
        <f>IFERROR(__xludf.DUMMYFUNCTION("""COMPUTED_VALUE"""),"-")</f>
        <v>-</v>
      </c>
      <c r="O2026" s="24">
        <f t="shared" si="4"/>
        <v>0</v>
      </c>
      <c r="P2026" s="24"/>
      <c r="Q2026" s="24">
        <f t="shared" si="6"/>
        <v>0</v>
      </c>
      <c r="R2026" s="24">
        <f t="shared" si="7"/>
        <v>0</v>
      </c>
      <c r="S2026" s="24"/>
      <c r="T2026" s="24"/>
    </row>
    <row r="2027">
      <c r="A2027" s="12" t="s">
        <v>2115</v>
      </c>
      <c r="F2027" s="19">
        <f>IFERROR(__xludf.DUMMYFUNCTION("SPLIT(A2023, "" |"")"),2021.0)</f>
        <v>2021</v>
      </c>
      <c r="G2027" s="19">
        <f>IFERROR(__xludf.DUMMYFUNCTION("""COMPUTED_VALUE"""),0.00234)</f>
        <v>0.00234</v>
      </c>
      <c r="H2027" s="19" t="str">
        <f>IFERROR(__xludf.DUMMYFUNCTION("""COMPUTED_VALUE"""),"-")</f>
        <v>-</v>
      </c>
      <c r="I2027" s="19">
        <f>IFERROR(__xludf.DUMMYFUNCTION("""COMPUTED_VALUE"""),0.00221)</f>
        <v>0.00221</v>
      </c>
      <c r="J2027" s="19">
        <f>IFERROR(__xludf.DUMMYFUNCTION("""COMPUTED_VALUE"""),0.04737)</f>
        <v>0.04737</v>
      </c>
      <c r="K2027" s="19" t="str">
        <f>IFERROR(__xludf.DUMMYFUNCTION("""COMPUTED_VALUE"""),"-")</f>
        <v>-</v>
      </c>
      <c r="L2027" s="19" t="str">
        <f>IFERROR(__xludf.DUMMYFUNCTION("""COMPUTED_VALUE"""),"-")</f>
        <v>-</v>
      </c>
      <c r="O2027" s="24">
        <f t="shared" si="4"/>
        <v>0</v>
      </c>
      <c r="P2027" s="24"/>
      <c r="Q2027" s="24">
        <f t="shared" si="6"/>
        <v>0</v>
      </c>
      <c r="R2027" s="24">
        <f t="shared" si="7"/>
        <v>0</v>
      </c>
      <c r="S2027" s="24"/>
      <c r="T2027" s="24"/>
    </row>
    <row r="2028">
      <c r="A2028" s="12" t="s">
        <v>2116</v>
      </c>
      <c r="F2028" s="19">
        <f>IFERROR(__xludf.DUMMYFUNCTION("SPLIT(A2024, "" |"")"),2022.0)</f>
        <v>2022</v>
      </c>
      <c r="G2028" s="19">
        <f>IFERROR(__xludf.DUMMYFUNCTION("""COMPUTED_VALUE"""),0.00228)</f>
        <v>0.00228</v>
      </c>
      <c r="H2028" s="19" t="str">
        <f>IFERROR(__xludf.DUMMYFUNCTION("""COMPUTED_VALUE"""),"-")</f>
        <v>-</v>
      </c>
      <c r="I2028" s="19">
        <f>IFERROR(__xludf.DUMMYFUNCTION("""COMPUTED_VALUE"""),0.00215)</f>
        <v>0.00215</v>
      </c>
      <c r="J2028" s="19">
        <f>IFERROR(__xludf.DUMMYFUNCTION("""COMPUTED_VALUE"""),0.0475)</f>
        <v>0.0475</v>
      </c>
      <c r="K2028" s="19" t="str">
        <f>IFERROR(__xludf.DUMMYFUNCTION("""COMPUTED_VALUE"""),"-")</f>
        <v>-</v>
      </c>
      <c r="L2028" s="19" t="str">
        <f>IFERROR(__xludf.DUMMYFUNCTION("""COMPUTED_VALUE"""),"-")</f>
        <v>-</v>
      </c>
      <c r="O2028" s="24">
        <f t="shared" si="4"/>
        <v>0</v>
      </c>
      <c r="P2028" s="24"/>
      <c r="Q2028" s="24">
        <f t="shared" si="6"/>
        <v>0</v>
      </c>
      <c r="R2028" s="24">
        <f t="shared" si="7"/>
        <v>0</v>
      </c>
      <c r="S2028" s="24"/>
      <c r="T2028" s="24"/>
    </row>
    <row r="2029">
      <c r="A2029" s="12" t="s">
        <v>2117</v>
      </c>
      <c r="F2029" s="19">
        <f>IFERROR(__xludf.DUMMYFUNCTION("SPLIT(A2025, "" |"")"),2023.0)</f>
        <v>2023</v>
      </c>
      <c r="G2029" s="19">
        <f>IFERROR(__xludf.DUMMYFUNCTION("""COMPUTED_VALUE"""),0.0024)</f>
        <v>0.0024</v>
      </c>
      <c r="H2029" s="19" t="str">
        <f>IFERROR(__xludf.DUMMYFUNCTION("""COMPUTED_VALUE"""),"-")</f>
        <v>-</v>
      </c>
      <c r="I2029" s="19">
        <f>IFERROR(__xludf.DUMMYFUNCTION("""COMPUTED_VALUE"""),0.00228)</f>
        <v>0.00228</v>
      </c>
      <c r="J2029" s="19">
        <f>IFERROR(__xludf.DUMMYFUNCTION("""COMPUTED_VALUE"""),0.04751)</f>
        <v>0.04751</v>
      </c>
      <c r="K2029" s="19" t="str">
        <f>IFERROR(__xludf.DUMMYFUNCTION("""COMPUTED_VALUE"""),"-")</f>
        <v>-</v>
      </c>
      <c r="L2029" s="19" t="str">
        <f>IFERROR(__xludf.DUMMYFUNCTION("""COMPUTED_VALUE"""),"-")</f>
        <v>-</v>
      </c>
      <c r="O2029" s="24">
        <f t="shared" si="4"/>
        <v>0</v>
      </c>
      <c r="P2029" s="24"/>
      <c r="Q2029" s="24">
        <f t="shared" si="6"/>
        <v>0</v>
      </c>
      <c r="R2029" s="24">
        <f t="shared" si="7"/>
        <v>0</v>
      </c>
      <c r="S2029" s="24"/>
      <c r="T2029" s="24"/>
    </row>
    <row r="2030">
      <c r="A2030" s="12" t="s">
        <v>2118</v>
      </c>
      <c r="F2030" s="19">
        <f>IFERROR(__xludf.DUMMYFUNCTION("SPLIT(A2026, "" |"")"),2024.0)</f>
        <v>2024</v>
      </c>
      <c r="G2030" s="19">
        <f>IFERROR(__xludf.DUMMYFUNCTION("""COMPUTED_VALUE"""),0.00231)</f>
        <v>0.00231</v>
      </c>
      <c r="H2030" s="19" t="str">
        <f>IFERROR(__xludf.DUMMYFUNCTION("""COMPUTED_VALUE"""),"-")</f>
        <v>-</v>
      </c>
      <c r="I2030" s="19">
        <f>IFERROR(__xludf.DUMMYFUNCTION("""COMPUTED_VALUE"""),0.00221)</f>
        <v>0.00221</v>
      </c>
      <c r="J2030" s="19">
        <f>IFERROR(__xludf.DUMMYFUNCTION("""COMPUTED_VALUE"""),0.04654)</f>
        <v>0.04654</v>
      </c>
      <c r="K2030" s="19" t="str">
        <f>IFERROR(__xludf.DUMMYFUNCTION("""COMPUTED_VALUE"""),"-")</f>
        <v>-</v>
      </c>
      <c r="L2030" s="19" t="str">
        <f>IFERROR(__xludf.DUMMYFUNCTION("""COMPUTED_VALUE"""),"-")</f>
        <v>-</v>
      </c>
      <c r="O2030" s="24">
        <f t="shared" si="4"/>
        <v>0</v>
      </c>
      <c r="P2030" s="24"/>
      <c r="Q2030" s="24">
        <f t="shared" si="6"/>
        <v>0</v>
      </c>
      <c r="R2030" s="24">
        <f t="shared" si="7"/>
        <v>0</v>
      </c>
      <c r="S2030" s="24"/>
      <c r="T2030" s="24"/>
    </row>
    <row r="2031">
      <c r="A2031" s="12" t="s">
        <v>2119</v>
      </c>
      <c r="F2031" s="19">
        <f>IFERROR(__xludf.DUMMYFUNCTION("SPLIT(A2027, "" |"")"),2025.0)</f>
        <v>2025</v>
      </c>
      <c r="G2031" s="19">
        <f>IFERROR(__xludf.DUMMYFUNCTION("""COMPUTED_VALUE"""),0.00231)</f>
        <v>0.00231</v>
      </c>
      <c r="H2031" s="19" t="str">
        <f>IFERROR(__xludf.DUMMYFUNCTION("""COMPUTED_VALUE"""),"-")</f>
        <v>-</v>
      </c>
      <c r="I2031" s="19">
        <f>IFERROR(__xludf.DUMMYFUNCTION("""COMPUTED_VALUE"""),0.0022)</f>
        <v>0.0022</v>
      </c>
      <c r="J2031" s="19">
        <f>IFERROR(__xludf.DUMMYFUNCTION("""COMPUTED_VALUE"""),0.04646)</f>
        <v>0.04646</v>
      </c>
      <c r="K2031" s="19" t="str">
        <f>IFERROR(__xludf.DUMMYFUNCTION("""COMPUTED_VALUE"""),"-")</f>
        <v>-</v>
      </c>
      <c r="L2031" s="19" t="str">
        <f>IFERROR(__xludf.DUMMYFUNCTION("""COMPUTED_VALUE"""),"-")</f>
        <v>-</v>
      </c>
      <c r="O2031" s="24">
        <f t="shared" si="4"/>
        <v>0</v>
      </c>
      <c r="P2031" s="24"/>
      <c r="Q2031" s="24">
        <f t="shared" si="6"/>
        <v>0</v>
      </c>
      <c r="R2031" s="24">
        <f t="shared" si="7"/>
        <v>0</v>
      </c>
      <c r="S2031" s="24"/>
      <c r="T2031" s="24"/>
    </row>
    <row r="2032">
      <c r="A2032" s="12" t="s">
        <v>2120</v>
      </c>
      <c r="F2032" s="19">
        <f>IFERROR(__xludf.DUMMYFUNCTION("SPLIT(A2028, "" |"")"),2026.0)</f>
        <v>2026</v>
      </c>
      <c r="G2032" s="19">
        <f>IFERROR(__xludf.DUMMYFUNCTION("""COMPUTED_VALUE"""),0.00239)</f>
        <v>0.00239</v>
      </c>
      <c r="H2032" s="19" t="str">
        <f>IFERROR(__xludf.DUMMYFUNCTION("""COMPUTED_VALUE"""),"-")</f>
        <v>-</v>
      </c>
      <c r="I2032" s="19">
        <f>IFERROR(__xludf.DUMMYFUNCTION("""COMPUTED_VALUE"""),0.00213)</f>
        <v>0.00213</v>
      </c>
      <c r="J2032" s="19">
        <f>IFERROR(__xludf.DUMMYFUNCTION("""COMPUTED_VALUE"""),0.0474)</f>
        <v>0.0474</v>
      </c>
      <c r="K2032" s="19" t="str">
        <f>IFERROR(__xludf.DUMMYFUNCTION("""COMPUTED_VALUE"""),"-")</f>
        <v>-</v>
      </c>
      <c r="L2032" s="19" t="str">
        <f>IFERROR(__xludf.DUMMYFUNCTION("""COMPUTED_VALUE"""),"-")</f>
        <v>-</v>
      </c>
      <c r="O2032" s="24">
        <f t="shared" si="4"/>
        <v>0</v>
      </c>
      <c r="P2032" s="24"/>
      <c r="Q2032" s="24">
        <f t="shared" si="6"/>
        <v>0</v>
      </c>
      <c r="R2032" s="24">
        <f t="shared" si="7"/>
        <v>0</v>
      </c>
      <c r="S2032" s="24"/>
      <c r="T2032" s="24"/>
    </row>
    <row r="2033">
      <c r="A2033" s="12" t="s">
        <v>2121</v>
      </c>
      <c r="F2033" s="19">
        <f>IFERROR(__xludf.DUMMYFUNCTION("SPLIT(A2029, "" |"")"),2027.0)</f>
        <v>2027</v>
      </c>
      <c r="G2033" s="19">
        <f>IFERROR(__xludf.DUMMYFUNCTION("""COMPUTED_VALUE"""),0.00235)</f>
        <v>0.00235</v>
      </c>
      <c r="H2033" s="19" t="str">
        <f>IFERROR(__xludf.DUMMYFUNCTION("""COMPUTED_VALUE"""),"-")</f>
        <v>-</v>
      </c>
      <c r="I2033" s="19">
        <f>IFERROR(__xludf.DUMMYFUNCTION("""COMPUTED_VALUE"""),0.00219)</f>
        <v>0.00219</v>
      </c>
      <c r="J2033" s="19">
        <f>IFERROR(__xludf.DUMMYFUNCTION("""COMPUTED_VALUE"""),0.04228)</f>
        <v>0.04228</v>
      </c>
      <c r="K2033" s="19" t="str">
        <f>IFERROR(__xludf.DUMMYFUNCTION("""COMPUTED_VALUE"""),"-")</f>
        <v>-</v>
      </c>
      <c r="L2033" s="19" t="str">
        <f>IFERROR(__xludf.DUMMYFUNCTION("""COMPUTED_VALUE"""),"-")</f>
        <v>-</v>
      </c>
      <c r="O2033" s="24">
        <f t="shared" si="4"/>
        <v>0</v>
      </c>
      <c r="P2033" s="24"/>
      <c r="Q2033" s="24">
        <f t="shared" si="6"/>
        <v>0</v>
      </c>
      <c r="R2033" s="24">
        <f t="shared" si="7"/>
        <v>1</v>
      </c>
      <c r="S2033" s="24"/>
      <c r="T2033" s="24"/>
    </row>
    <row r="2034">
      <c r="A2034" s="12" t="s">
        <v>2122</v>
      </c>
      <c r="F2034" s="19">
        <f>IFERROR(__xludf.DUMMYFUNCTION("SPLIT(A2030, "" |"")"),2028.0)</f>
        <v>2028</v>
      </c>
      <c r="G2034" s="19">
        <f>IFERROR(__xludf.DUMMYFUNCTION("""COMPUTED_VALUE"""),0.00222)</f>
        <v>0.00222</v>
      </c>
      <c r="H2034" s="19" t="str">
        <f>IFERROR(__xludf.DUMMYFUNCTION("""COMPUTED_VALUE"""),"-")</f>
        <v>-</v>
      </c>
      <c r="I2034" s="19">
        <f>IFERROR(__xludf.DUMMYFUNCTION("""COMPUTED_VALUE"""),0.00221)</f>
        <v>0.00221</v>
      </c>
      <c r="J2034" s="19">
        <f>IFERROR(__xludf.DUMMYFUNCTION("""COMPUTED_VALUE"""),0.0474)</f>
        <v>0.0474</v>
      </c>
      <c r="K2034" s="19" t="str">
        <f>IFERROR(__xludf.DUMMYFUNCTION("""COMPUTED_VALUE"""),"-")</f>
        <v>-</v>
      </c>
      <c r="L2034" s="19" t="str">
        <f>IFERROR(__xludf.DUMMYFUNCTION("""COMPUTED_VALUE"""),"-")</f>
        <v>-</v>
      </c>
      <c r="O2034" s="24">
        <f t="shared" si="4"/>
        <v>0</v>
      </c>
      <c r="P2034" s="24"/>
      <c r="Q2034" s="24">
        <f t="shared" si="6"/>
        <v>0</v>
      </c>
      <c r="R2034" s="24">
        <f t="shared" si="7"/>
        <v>0</v>
      </c>
      <c r="S2034" s="24"/>
      <c r="T2034" s="24"/>
    </row>
    <row r="2035">
      <c r="A2035" s="12" t="s">
        <v>2123</v>
      </c>
      <c r="F2035" s="19">
        <f>IFERROR(__xludf.DUMMYFUNCTION("SPLIT(A2031, "" |"")"),2029.0)</f>
        <v>2029</v>
      </c>
      <c r="G2035" s="19">
        <f>IFERROR(__xludf.DUMMYFUNCTION("""COMPUTED_VALUE"""),0.00239)</f>
        <v>0.00239</v>
      </c>
      <c r="H2035" s="19" t="str">
        <f>IFERROR(__xludf.DUMMYFUNCTION("""COMPUTED_VALUE"""),"-")</f>
        <v>-</v>
      </c>
      <c r="I2035" s="19">
        <f>IFERROR(__xludf.DUMMYFUNCTION("""COMPUTED_VALUE"""),0.00223)</f>
        <v>0.00223</v>
      </c>
      <c r="J2035" s="19">
        <f>IFERROR(__xludf.DUMMYFUNCTION("""COMPUTED_VALUE"""),0.04749)</f>
        <v>0.04749</v>
      </c>
      <c r="K2035" s="19" t="str">
        <f>IFERROR(__xludf.DUMMYFUNCTION("""COMPUTED_VALUE"""),"-")</f>
        <v>-</v>
      </c>
      <c r="L2035" s="19" t="str">
        <f>IFERROR(__xludf.DUMMYFUNCTION("""COMPUTED_VALUE"""),"-")</f>
        <v>-</v>
      </c>
      <c r="O2035" s="24">
        <f t="shared" si="4"/>
        <v>0</v>
      </c>
      <c r="P2035" s="24"/>
      <c r="Q2035" s="24">
        <f t="shared" si="6"/>
        <v>0</v>
      </c>
      <c r="R2035" s="24">
        <f t="shared" si="7"/>
        <v>0</v>
      </c>
      <c r="S2035" s="24"/>
      <c r="T2035" s="24"/>
    </row>
    <row r="2036">
      <c r="A2036" s="12" t="s">
        <v>2124</v>
      </c>
      <c r="F2036" s="19">
        <f>IFERROR(__xludf.DUMMYFUNCTION("SPLIT(A2032, "" |"")"),2030.0)</f>
        <v>2030</v>
      </c>
      <c r="G2036" s="19">
        <f>IFERROR(__xludf.DUMMYFUNCTION("""COMPUTED_VALUE"""),0.00235)</f>
        <v>0.00235</v>
      </c>
      <c r="H2036" s="19" t="str">
        <f>IFERROR(__xludf.DUMMYFUNCTION("""COMPUTED_VALUE"""),"-")</f>
        <v>-</v>
      </c>
      <c r="I2036" s="19">
        <f>IFERROR(__xludf.DUMMYFUNCTION("""COMPUTED_VALUE"""),0.00222)</f>
        <v>0.00222</v>
      </c>
      <c r="J2036" s="19">
        <f>IFERROR(__xludf.DUMMYFUNCTION("""COMPUTED_VALUE"""),0.04748)</f>
        <v>0.04748</v>
      </c>
      <c r="K2036" s="19" t="str">
        <f>IFERROR(__xludf.DUMMYFUNCTION("""COMPUTED_VALUE"""),"-")</f>
        <v>-</v>
      </c>
      <c r="L2036" s="19" t="str">
        <f>IFERROR(__xludf.DUMMYFUNCTION("""COMPUTED_VALUE"""),"-")</f>
        <v>-</v>
      </c>
      <c r="O2036" s="24">
        <f t="shared" si="4"/>
        <v>0</v>
      </c>
      <c r="P2036" s="24"/>
      <c r="Q2036" s="24">
        <f t="shared" si="6"/>
        <v>0</v>
      </c>
      <c r="R2036" s="24">
        <f t="shared" si="7"/>
        <v>0</v>
      </c>
      <c r="S2036" s="24"/>
      <c r="T2036" s="24"/>
    </row>
    <row r="2037">
      <c r="A2037" s="12" t="s">
        <v>2125</v>
      </c>
      <c r="F2037" s="19">
        <f>IFERROR(__xludf.DUMMYFUNCTION("SPLIT(A2033, "" |"")"),2031.0)</f>
        <v>2031</v>
      </c>
      <c r="G2037" s="19">
        <f>IFERROR(__xludf.DUMMYFUNCTION("""COMPUTED_VALUE"""),0.00233)</f>
        <v>0.00233</v>
      </c>
      <c r="H2037" s="19" t="str">
        <f>IFERROR(__xludf.DUMMYFUNCTION("""COMPUTED_VALUE"""),"-")</f>
        <v>-</v>
      </c>
      <c r="I2037" s="19">
        <f>IFERROR(__xludf.DUMMYFUNCTION("""COMPUTED_VALUE"""),0.00222)</f>
        <v>0.00222</v>
      </c>
      <c r="J2037" s="19">
        <f>IFERROR(__xludf.DUMMYFUNCTION("""COMPUTED_VALUE"""),0.04375)</f>
        <v>0.04375</v>
      </c>
      <c r="K2037" s="19" t="str">
        <f>IFERROR(__xludf.DUMMYFUNCTION("""COMPUTED_VALUE"""),"-")</f>
        <v>-</v>
      </c>
      <c r="L2037" s="19" t="str">
        <f>IFERROR(__xludf.DUMMYFUNCTION("""COMPUTED_VALUE"""),"-")</f>
        <v>-</v>
      </c>
      <c r="O2037" s="24">
        <f t="shared" si="4"/>
        <v>0</v>
      </c>
      <c r="P2037" s="24"/>
      <c r="Q2037" s="24">
        <f t="shared" si="6"/>
        <v>0</v>
      </c>
      <c r="R2037" s="24">
        <f t="shared" si="7"/>
        <v>1</v>
      </c>
      <c r="S2037" s="24"/>
      <c r="T2037" s="24"/>
    </row>
    <row r="2038">
      <c r="A2038" s="12" t="s">
        <v>2126</v>
      </c>
      <c r="F2038" s="19">
        <f>IFERROR(__xludf.DUMMYFUNCTION("SPLIT(A2034, "" |"")"),2032.0)</f>
        <v>2032</v>
      </c>
      <c r="G2038" s="19">
        <f>IFERROR(__xludf.DUMMYFUNCTION("""COMPUTED_VALUE"""),0.00224)</f>
        <v>0.00224</v>
      </c>
      <c r="H2038" s="19" t="str">
        <f>IFERROR(__xludf.DUMMYFUNCTION("""COMPUTED_VALUE"""),"-")</f>
        <v>-</v>
      </c>
      <c r="I2038" s="19">
        <f>IFERROR(__xludf.DUMMYFUNCTION("""COMPUTED_VALUE"""),0.00208)</f>
        <v>0.00208</v>
      </c>
      <c r="J2038" s="19">
        <f>IFERROR(__xludf.DUMMYFUNCTION("""COMPUTED_VALUE"""),0.04739)</f>
        <v>0.04739</v>
      </c>
      <c r="K2038" s="19" t="str">
        <f>IFERROR(__xludf.DUMMYFUNCTION("""COMPUTED_VALUE"""),"-")</f>
        <v>-</v>
      </c>
      <c r="L2038" s="19" t="str">
        <f>IFERROR(__xludf.DUMMYFUNCTION("""COMPUTED_VALUE"""),"-")</f>
        <v>-</v>
      </c>
      <c r="O2038" s="24">
        <f t="shared" si="4"/>
        <v>0</v>
      </c>
      <c r="P2038" s="24"/>
      <c r="Q2038" s="24">
        <f t="shared" si="6"/>
        <v>0</v>
      </c>
      <c r="R2038" s="24">
        <f t="shared" si="7"/>
        <v>0</v>
      </c>
      <c r="S2038" s="24"/>
      <c r="T2038" s="24"/>
    </row>
    <row r="2039">
      <c r="A2039" s="12" t="s">
        <v>2127</v>
      </c>
      <c r="F2039" s="19">
        <f>IFERROR(__xludf.DUMMYFUNCTION("SPLIT(A2035, "" |"")"),2033.0)</f>
        <v>2033</v>
      </c>
      <c r="G2039" s="19">
        <f>IFERROR(__xludf.DUMMYFUNCTION("""COMPUTED_VALUE"""),0.00231)</f>
        <v>0.00231</v>
      </c>
      <c r="H2039" s="19" t="str">
        <f>IFERROR(__xludf.DUMMYFUNCTION("""COMPUTED_VALUE"""),"-")</f>
        <v>-</v>
      </c>
      <c r="I2039" s="19">
        <f>IFERROR(__xludf.DUMMYFUNCTION("""COMPUTED_VALUE"""),0.00209)</f>
        <v>0.00209</v>
      </c>
      <c r="J2039" s="19">
        <f>IFERROR(__xludf.DUMMYFUNCTION("""COMPUTED_VALUE"""),0.04735)</f>
        <v>0.04735</v>
      </c>
      <c r="K2039" s="19" t="str">
        <f>IFERROR(__xludf.DUMMYFUNCTION("""COMPUTED_VALUE"""),"-")</f>
        <v>-</v>
      </c>
      <c r="L2039" s="19" t="str">
        <f>IFERROR(__xludf.DUMMYFUNCTION("""COMPUTED_VALUE"""),"-")</f>
        <v>-</v>
      </c>
      <c r="O2039" s="24">
        <f t="shared" si="4"/>
        <v>0</v>
      </c>
      <c r="P2039" s="24"/>
      <c r="Q2039" s="24">
        <f t="shared" si="6"/>
        <v>0</v>
      </c>
      <c r="R2039" s="24">
        <f t="shared" si="7"/>
        <v>0</v>
      </c>
      <c r="S2039" s="24"/>
      <c r="T2039" s="24"/>
    </row>
    <row r="2040">
      <c r="A2040" s="12" t="s">
        <v>2128</v>
      </c>
      <c r="F2040" s="19">
        <f>IFERROR(__xludf.DUMMYFUNCTION("SPLIT(A2036, "" |"")"),2034.0)</f>
        <v>2034</v>
      </c>
      <c r="G2040" s="19">
        <f>IFERROR(__xludf.DUMMYFUNCTION("""COMPUTED_VALUE"""),0.00239)</f>
        <v>0.00239</v>
      </c>
      <c r="H2040" s="19" t="str">
        <f>IFERROR(__xludf.DUMMYFUNCTION("""COMPUTED_VALUE"""),"-")</f>
        <v>-</v>
      </c>
      <c r="I2040" s="19">
        <f>IFERROR(__xludf.DUMMYFUNCTION("""COMPUTED_VALUE"""),0.00223)</f>
        <v>0.00223</v>
      </c>
      <c r="J2040" s="19">
        <f>IFERROR(__xludf.DUMMYFUNCTION("""COMPUTED_VALUE"""),0.04748)</f>
        <v>0.04748</v>
      </c>
      <c r="K2040" s="19" t="str">
        <f>IFERROR(__xludf.DUMMYFUNCTION("""COMPUTED_VALUE"""),"-")</f>
        <v>-</v>
      </c>
      <c r="L2040" s="19" t="str">
        <f>IFERROR(__xludf.DUMMYFUNCTION("""COMPUTED_VALUE"""),"-")</f>
        <v>-</v>
      </c>
      <c r="O2040" s="24">
        <f t="shared" si="4"/>
        <v>0</v>
      </c>
      <c r="P2040" s="24"/>
      <c r="Q2040" s="24">
        <f t="shared" si="6"/>
        <v>0</v>
      </c>
      <c r="R2040" s="24">
        <f t="shared" si="7"/>
        <v>0</v>
      </c>
      <c r="S2040" s="24"/>
      <c r="T2040" s="24"/>
    </row>
    <row r="2041">
      <c r="A2041" s="12" t="s">
        <v>2129</v>
      </c>
      <c r="F2041" s="19">
        <f>IFERROR(__xludf.DUMMYFUNCTION("SPLIT(A2037, "" |"")"),2035.0)</f>
        <v>2035</v>
      </c>
      <c r="G2041" s="19">
        <f>IFERROR(__xludf.DUMMYFUNCTION("""COMPUTED_VALUE"""),0.00237)</f>
        <v>0.00237</v>
      </c>
      <c r="H2041" s="19" t="str">
        <f>IFERROR(__xludf.DUMMYFUNCTION("""COMPUTED_VALUE"""),"-")</f>
        <v>-</v>
      </c>
      <c r="I2041" s="19">
        <f>IFERROR(__xludf.DUMMYFUNCTION("""COMPUTED_VALUE"""),0.00221)</f>
        <v>0.00221</v>
      </c>
      <c r="J2041" s="19">
        <f>IFERROR(__xludf.DUMMYFUNCTION("""COMPUTED_VALUE"""),0.04058)</f>
        <v>0.04058</v>
      </c>
      <c r="K2041" s="19" t="str">
        <f>IFERROR(__xludf.DUMMYFUNCTION("""COMPUTED_VALUE"""),"-")</f>
        <v>-</v>
      </c>
      <c r="L2041" s="19" t="str">
        <f>IFERROR(__xludf.DUMMYFUNCTION("""COMPUTED_VALUE"""),"-")</f>
        <v>-</v>
      </c>
      <c r="O2041" s="24">
        <f t="shared" si="4"/>
        <v>0</v>
      </c>
      <c r="P2041" s="24"/>
      <c r="Q2041" s="24">
        <f t="shared" si="6"/>
        <v>0</v>
      </c>
      <c r="R2041" s="24">
        <f t="shared" si="7"/>
        <v>1</v>
      </c>
      <c r="S2041" s="24"/>
      <c r="T2041" s="24"/>
    </row>
    <row r="2042">
      <c r="A2042" s="12" t="s">
        <v>2130</v>
      </c>
      <c r="F2042" s="19">
        <f>IFERROR(__xludf.DUMMYFUNCTION("SPLIT(A2038, "" |"")"),2036.0)</f>
        <v>2036</v>
      </c>
      <c r="G2042" s="19">
        <f>IFERROR(__xludf.DUMMYFUNCTION("""COMPUTED_VALUE"""),0.00232)</f>
        <v>0.00232</v>
      </c>
      <c r="H2042" s="19" t="str">
        <f>IFERROR(__xludf.DUMMYFUNCTION("""COMPUTED_VALUE"""),"-")</f>
        <v>-</v>
      </c>
      <c r="I2042" s="19">
        <f>IFERROR(__xludf.DUMMYFUNCTION("""COMPUTED_VALUE"""),0.00218)</f>
        <v>0.00218</v>
      </c>
      <c r="J2042" s="19">
        <f>IFERROR(__xludf.DUMMYFUNCTION("""COMPUTED_VALUE"""),0.04553)</f>
        <v>0.04553</v>
      </c>
      <c r="K2042" s="19" t="str">
        <f>IFERROR(__xludf.DUMMYFUNCTION("""COMPUTED_VALUE"""),"-")</f>
        <v>-</v>
      </c>
      <c r="L2042" s="19" t="str">
        <f>IFERROR(__xludf.DUMMYFUNCTION("""COMPUTED_VALUE"""),"-")</f>
        <v>-</v>
      </c>
      <c r="O2042" s="24">
        <f t="shared" si="4"/>
        <v>0</v>
      </c>
      <c r="P2042" s="24"/>
      <c r="Q2042" s="24">
        <f t="shared" si="6"/>
        <v>0</v>
      </c>
      <c r="R2042" s="24">
        <f t="shared" si="7"/>
        <v>0</v>
      </c>
      <c r="S2042" s="24"/>
      <c r="T2042" s="24"/>
    </row>
    <row r="2043">
      <c r="A2043" s="12" t="s">
        <v>2131</v>
      </c>
      <c r="F2043" s="19">
        <f>IFERROR(__xludf.DUMMYFUNCTION("SPLIT(A2039, "" |"")"),2037.0)</f>
        <v>2037</v>
      </c>
      <c r="G2043" s="19">
        <f>IFERROR(__xludf.DUMMYFUNCTION("""COMPUTED_VALUE"""),0.00233)</f>
        <v>0.00233</v>
      </c>
      <c r="H2043" s="19" t="str">
        <f>IFERROR(__xludf.DUMMYFUNCTION("""COMPUTED_VALUE"""),"-")</f>
        <v>-</v>
      </c>
      <c r="I2043" s="19">
        <f>IFERROR(__xludf.DUMMYFUNCTION("""COMPUTED_VALUE"""),0.00218)</f>
        <v>0.00218</v>
      </c>
      <c r="J2043" s="19">
        <f>IFERROR(__xludf.DUMMYFUNCTION("""COMPUTED_VALUE"""),0.04741)</f>
        <v>0.04741</v>
      </c>
      <c r="K2043" s="19" t="str">
        <f>IFERROR(__xludf.DUMMYFUNCTION("""COMPUTED_VALUE"""),"-")</f>
        <v>-</v>
      </c>
      <c r="L2043" s="19" t="str">
        <f>IFERROR(__xludf.DUMMYFUNCTION("""COMPUTED_VALUE"""),"-")</f>
        <v>-</v>
      </c>
      <c r="O2043" s="24">
        <f t="shared" si="4"/>
        <v>0</v>
      </c>
      <c r="P2043" s="24"/>
      <c r="Q2043" s="24">
        <f t="shared" si="6"/>
        <v>0</v>
      </c>
      <c r="R2043" s="24">
        <f t="shared" si="7"/>
        <v>0</v>
      </c>
      <c r="S2043" s="24"/>
      <c r="T2043" s="24"/>
    </row>
    <row r="2044">
      <c r="A2044" s="12" t="s">
        <v>2132</v>
      </c>
      <c r="F2044" s="19">
        <f>IFERROR(__xludf.DUMMYFUNCTION("SPLIT(A2040, "" |"")"),2038.0)</f>
        <v>2038</v>
      </c>
      <c r="G2044" s="19">
        <f>IFERROR(__xludf.DUMMYFUNCTION("""COMPUTED_VALUE"""),0.0023)</f>
        <v>0.0023</v>
      </c>
      <c r="H2044" s="19" t="str">
        <f>IFERROR(__xludf.DUMMYFUNCTION("""COMPUTED_VALUE"""),"-")</f>
        <v>-</v>
      </c>
      <c r="I2044" s="19">
        <f>IFERROR(__xludf.DUMMYFUNCTION("""COMPUTED_VALUE"""),0.00221)</f>
        <v>0.00221</v>
      </c>
      <c r="J2044" s="19">
        <f>IFERROR(__xludf.DUMMYFUNCTION("""COMPUTED_VALUE"""),0.04534)</f>
        <v>0.04534</v>
      </c>
      <c r="K2044" s="19" t="str">
        <f>IFERROR(__xludf.DUMMYFUNCTION("""COMPUTED_VALUE"""),"-")</f>
        <v>-</v>
      </c>
      <c r="L2044" s="19" t="str">
        <f>IFERROR(__xludf.DUMMYFUNCTION("""COMPUTED_VALUE"""),"-")</f>
        <v>-</v>
      </c>
      <c r="O2044" s="24">
        <f t="shared" si="4"/>
        <v>0</v>
      </c>
      <c r="P2044" s="24"/>
      <c r="Q2044" s="24">
        <f t="shared" si="6"/>
        <v>0</v>
      </c>
      <c r="R2044" s="24">
        <f t="shared" si="7"/>
        <v>0</v>
      </c>
      <c r="S2044" s="24"/>
      <c r="T2044" s="24"/>
    </row>
    <row r="2045">
      <c r="A2045" s="12" t="s">
        <v>2133</v>
      </c>
      <c r="F2045" s="19">
        <f>IFERROR(__xludf.DUMMYFUNCTION("SPLIT(A2041, "" |"")"),2039.0)</f>
        <v>2039</v>
      </c>
      <c r="G2045" s="19">
        <f>IFERROR(__xludf.DUMMYFUNCTION("""COMPUTED_VALUE"""),0.0024)</f>
        <v>0.0024</v>
      </c>
      <c r="H2045" s="19" t="str">
        <f>IFERROR(__xludf.DUMMYFUNCTION("""COMPUTED_VALUE"""),"-")</f>
        <v>-</v>
      </c>
      <c r="I2045" s="19">
        <f>IFERROR(__xludf.DUMMYFUNCTION("""COMPUTED_VALUE"""),0.00222)</f>
        <v>0.00222</v>
      </c>
      <c r="J2045" s="19">
        <f>IFERROR(__xludf.DUMMYFUNCTION("""COMPUTED_VALUE"""),0.04739)</f>
        <v>0.04739</v>
      </c>
      <c r="K2045" s="19" t="str">
        <f>IFERROR(__xludf.DUMMYFUNCTION("""COMPUTED_VALUE"""),"-")</f>
        <v>-</v>
      </c>
      <c r="L2045" s="19" t="str">
        <f>IFERROR(__xludf.DUMMYFUNCTION("""COMPUTED_VALUE"""),"-")</f>
        <v>-</v>
      </c>
      <c r="O2045" s="24">
        <f t="shared" si="4"/>
        <v>0</v>
      </c>
      <c r="P2045" s="24"/>
      <c r="Q2045" s="24">
        <f t="shared" si="6"/>
        <v>0</v>
      </c>
      <c r="R2045" s="24">
        <f t="shared" si="7"/>
        <v>0</v>
      </c>
      <c r="S2045" s="24"/>
      <c r="T2045" s="24"/>
    </row>
    <row r="2046">
      <c r="A2046" s="12" t="s">
        <v>2134</v>
      </c>
      <c r="F2046" s="19">
        <f>IFERROR(__xludf.DUMMYFUNCTION("SPLIT(A2042, "" |"")"),2040.0)</f>
        <v>2040</v>
      </c>
      <c r="G2046" s="19">
        <f>IFERROR(__xludf.DUMMYFUNCTION("""COMPUTED_VALUE"""),0.00239)</f>
        <v>0.00239</v>
      </c>
      <c r="H2046" s="19" t="str">
        <f>IFERROR(__xludf.DUMMYFUNCTION("""COMPUTED_VALUE"""),"-")</f>
        <v>-</v>
      </c>
      <c r="I2046" s="19">
        <f>IFERROR(__xludf.DUMMYFUNCTION("""COMPUTED_VALUE"""),0.00222)</f>
        <v>0.00222</v>
      </c>
      <c r="J2046" s="19">
        <f>IFERROR(__xludf.DUMMYFUNCTION("""COMPUTED_VALUE"""),0.04586)</f>
        <v>0.04586</v>
      </c>
      <c r="K2046" s="19" t="str">
        <f>IFERROR(__xludf.DUMMYFUNCTION("""COMPUTED_VALUE"""),"-")</f>
        <v>-</v>
      </c>
      <c r="L2046" s="19" t="str">
        <f>IFERROR(__xludf.DUMMYFUNCTION("""COMPUTED_VALUE"""),"-")</f>
        <v>-</v>
      </c>
      <c r="O2046" s="24">
        <f t="shared" si="4"/>
        <v>0</v>
      </c>
      <c r="P2046" s="24"/>
      <c r="Q2046" s="24">
        <f t="shared" si="6"/>
        <v>0</v>
      </c>
      <c r="R2046" s="24">
        <f t="shared" si="7"/>
        <v>0</v>
      </c>
      <c r="S2046" s="24"/>
      <c r="T2046" s="24"/>
    </row>
    <row r="2047">
      <c r="A2047" s="12" t="s">
        <v>2135</v>
      </c>
      <c r="F2047" s="19">
        <f>IFERROR(__xludf.DUMMYFUNCTION("SPLIT(A2043, "" |"")"),2041.0)</f>
        <v>2041</v>
      </c>
      <c r="G2047" s="19">
        <f>IFERROR(__xludf.DUMMYFUNCTION("""COMPUTED_VALUE"""),0.00233)</f>
        <v>0.00233</v>
      </c>
      <c r="H2047" s="19" t="str">
        <f>IFERROR(__xludf.DUMMYFUNCTION("""COMPUTED_VALUE"""),"-")</f>
        <v>-</v>
      </c>
      <c r="I2047" s="19">
        <f>IFERROR(__xludf.DUMMYFUNCTION("""COMPUTED_VALUE"""),0.00222)</f>
        <v>0.00222</v>
      </c>
      <c r="J2047" s="19">
        <f>IFERROR(__xludf.DUMMYFUNCTION("""COMPUTED_VALUE"""),0.03971)</f>
        <v>0.03971</v>
      </c>
      <c r="K2047" s="19" t="str">
        <f>IFERROR(__xludf.DUMMYFUNCTION("""COMPUTED_VALUE"""),"-")</f>
        <v>-</v>
      </c>
      <c r="L2047" s="19" t="str">
        <f>IFERROR(__xludf.DUMMYFUNCTION("""COMPUTED_VALUE"""),"-")</f>
        <v>-</v>
      </c>
      <c r="O2047" s="24">
        <f t="shared" si="4"/>
        <v>0</v>
      </c>
      <c r="P2047" s="24"/>
      <c r="Q2047" s="24">
        <f t="shared" si="6"/>
        <v>0</v>
      </c>
      <c r="R2047" s="24">
        <f t="shared" si="7"/>
        <v>1</v>
      </c>
      <c r="S2047" s="24"/>
      <c r="T2047" s="24"/>
    </row>
    <row r="2048">
      <c r="A2048" s="12" t="s">
        <v>2136</v>
      </c>
      <c r="F2048" s="19">
        <f>IFERROR(__xludf.DUMMYFUNCTION("SPLIT(A2044, "" |"")"),2042.0)</f>
        <v>2042</v>
      </c>
      <c r="G2048" s="19">
        <f>IFERROR(__xludf.DUMMYFUNCTION("""COMPUTED_VALUE"""),0.00238)</f>
        <v>0.00238</v>
      </c>
      <c r="H2048" s="19" t="str">
        <f>IFERROR(__xludf.DUMMYFUNCTION("""COMPUTED_VALUE"""),"-")</f>
        <v>-</v>
      </c>
      <c r="I2048" s="19">
        <f>IFERROR(__xludf.DUMMYFUNCTION("""COMPUTED_VALUE"""),0.00212)</f>
        <v>0.00212</v>
      </c>
      <c r="J2048" s="19">
        <f>IFERROR(__xludf.DUMMYFUNCTION("""COMPUTED_VALUE"""),0.04751)</f>
        <v>0.04751</v>
      </c>
      <c r="K2048" s="19" t="str">
        <f>IFERROR(__xludf.DUMMYFUNCTION("""COMPUTED_VALUE"""),"-")</f>
        <v>-</v>
      </c>
      <c r="L2048" s="19" t="str">
        <f>IFERROR(__xludf.DUMMYFUNCTION("""COMPUTED_VALUE"""),"-")</f>
        <v>-</v>
      </c>
      <c r="O2048" s="24">
        <f t="shared" si="4"/>
        <v>0</v>
      </c>
      <c r="P2048" s="24"/>
      <c r="Q2048" s="24">
        <f t="shared" si="6"/>
        <v>0</v>
      </c>
      <c r="R2048" s="24">
        <f t="shared" si="7"/>
        <v>0</v>
      </c>
      <c r="S2048" s="24"/>
      <c r="T2048" s="24"/>
    </row>
    <row r="2049">
      <c r="A2049" s="12" t="s">
        <v>2137</v>
      </c>
      <c r="F2049" s="19">
        <f>IFERROR(__xludf.DUMMYFUNCTION("SPLIT(A2045, "" |"")"),2043.0)</f>
        <v>2043</v>
      </c>
      <c r="G2049" s="19">
        <f>IFERROR(__xludf.DUMMYFUNCTION("""COMPUTED_VALUE"""),0.00241)</f>
        <v>0.00241</v>
      </c>
      <c r="H2049" s="19" t="str">
        <f>IFERROR(__xludf.DUMMYFUNCTION("""COMPUTED_VALUE"""),"-")</f>
        <v>-</v>
      </c>
      <c r="I2049" s="19">
        <f>IFERROR(__xludf.DUMMYFUNCTION("""COMPUTED_VALUE"""),0.00218)</f>
        <v>0.00218</v>
      </c>
      <c r="J2049" s="19">
        <f>IFERROR(__xludf.DUMMYFUNCTION("""COMPUTED_VALUE"""),0.04739)</f>
        <v>0.04739</v>
      </c>
      <c r="K2049" s="19" t="str">
        <f>IFERROR(__xludf.DUMMYFUNCTION("""COMPUTED_VALUE"""),"-")</f>
        <v>-</v>
      </c>
      <c r="L2049" s="19" t="str">
        <f>IFERROR(__xludf.DUMMYFUNCTION("""COMPUTED_VALUE"""),"-")</f>
        <v>-</v>
      </c>
      <c r="O2049" s="24">
        <f t="shared" si="4"/>
        <v>0</v>
      </c>
      <c r="P2049" s="24"/>
      <c r="Q2049" s="24">
        <f t="shared" si="6"/>
        <v>0</v>
      </c>
      <c r="R2049" s="24">
        <f t="shared" si="7"/>
        <v>0</v>
      </c>
      <c r="S2049" s="24"/>
      <c r="T2049" s="24"/>
    </row>
    <row r="2050">
      <c r="A2050" s="12" t="s">
        <v>2138</v>
      </c>
      <c r="F2050" s="19">
        <f>IFERROR(__xludf.DUMMYFUNCTION("SPLIT(A2046, "" |"")"),2044.0)</f>
        <v>2044</v>
      </c>
      <c r="G2050" s="19">
        <f>IFERROR(__xludf.DUMMYFUNCTION("""COMPUTED_VALUE"""),0.00231)</f>
        <v>0.00231</v>
      </c>
      <c r="H2050" s="19" t="str">
        <f>IFERROR(__xludf.DUMMYFUNCTION("""COMPUTED_VALUE"""),"-")</f>
        <v>-</v>
      </c>
      <c r="I2050" s="19">
        <f>IFERROR(__xludf.DUMMYFUNCTION("""COMPUTED_VALUE"""),0.00221)</f>
        <v>0.00221</v>
      </c>
      <c r="J2050" s="19">
        <f>IFERROR(__xludf.DUMMYFUNCTION("""COMPUTED_VALUE"""),0.04724)</f>
        <v>0.04724</v>
      </c>
      <c r="K2050" s="19" t="str">
        <f>IFERROR(__xludf.DUMMYFUNCTION("""COMPUTED_VALUE"""),"-")</f>
        <v>-</v>
      </c>
      <c r="L2050" s="19" t="str">
        <f>IFERROR(__xludf.DUMMYFUNCTION("""COMPUTED_VALUE"""),"-")</f>
        <v>-</v>
      </c>
      <c r="O2050" s="24">
        <f t="shared" si="4"/>
        <v>0</v>
      </c>
      <c r="P2050" s="24"/>
      <c r="Q2050" s="24">
        <f t="shared" si="6"/>
        <v>0</v>
      </c>
      <c r="R2050" s="24">
        <f t="shared" si="7"/>
        <v>0</v>
      </c>
      <c r="S2050" s="24"/>
      <c r="T2050" s="24"/>
    </row>
    <row r="2051">
      <c r="A2051" s="12" t="s">
        <v>2139</v>
      </c>
      <c r="F2051" s="19">
        <f>IFERROR(__xludf.DUMMYFUNCTION("SPLIT(A2047, "" |"")"),2045.0)</f>
        <v>2045</v>
      </c>
      <c r="G2051" s="19">
        <f>IFERROR(__xludf.DUMMYFUNCTION("""COMPUTED_VALUE"""),0.00227)</f>
        <v>0.00227</v>
      </c>
      <c r="H2051" s="19" t="str">
        <f>IFERROR(__xludf.DUMMYFUNCTION("""COMPUTED_VALUE"""),"-")</f>
        <v>-</v>
      </c>
      <c r="I2051" s="19">
        <f>IFERROR(__xludf.DUMMYFUNCTION("""COMPUTED_VALUE"""),0.00226)</f>
        <v>0.00226</v>
      </c>
      <c r="J2051" s="19">
        <f>IFERROR(__xludf.DUMMYFUNCTION("""COMPUTED_VALUE"""),0.04009)</f>
        <v>0.04009</v>
      </c>
      <c r="K2051" s="19" t="str">
        <f>IFERROR(__xludf.DUMMYFUNCTION("""COMPUTED_VALUE"""),"-")</f>
        <v>-</v>
      </c>
      <c r="L2051" s="19" t="str">
        <f>IFERROR(__xludf.DUMMYFUNCTION("""COMPUTED_VALUE"""),"-")</f>
        <v>-</v>
      </c>
      <c r="O2051" s="24">
        <f t="shared" si="4"/>
        <v>0</v>
      </c>
      <c r="P2051" s="24"/>
      <c r="Q2051" s="24">
        <f t="shared" si="6"/>
        <v>0</v>
      </c>
      <c r="R2051" s="24">
        <f t="shared" si="7"/>
        <v>1</v>
      </c>
      <c r="S2051" s="24"/>
      <c r="T2051" s="24"/>
    </row>
    <row r="2052">
      <c r="A2052" s="12" t="s">
        <v>2140</v>
      </c>
      <c r="F2052" s="19">
        <f>IFERROR(__xludf.DUMMYFUNCTION("SPLIT(A2048, "" |"")"),2046.0)</f>
        <v>2046</v>
      </c>
      <c r="G2052" s="19">
        <f>IFERROR(__xludf.DUMMYFUNCTION("""COMPUTED_VALUE"""),0.00237)</f>
        <v>0.00237</v>
      </c>
      <c r="H2052" s="19" t="str">
        <f>IFERROR(__xludf.DUMMYFUNCTION("""COMPUTED_VALUE"""),"-")</f>
        <v>-</v>
      </c>
      <c r="I2052" s="19">
        <f>IFERROR(__xludf.DUMMYFUNCTION("""COMPUTED_VALUE"""),0.00223)</f>
        <v>0.00223</v>
      </c>
      <c r="J2052" s="19">
        <f>IFERROR(__xludf.DUMMYFUNCTION("""COMPUTED_VALUE"""),0.04737)</f>
        <v>0.04737</v>
      </c>
      <c r="K2052" s="19" t="str">
        <f>IFERROR(__xludf.DUMMYFUNCTION("""COMPUTED_VALUE"""),"-")</f>
        <v>-</v>
      </c>
      <c r="L2052" s="19" t="str">
        <f>IFERROR(__xludf.DUMMYFUNCTION("""COMPUTED_VALUE"""),"-")</f>
        <v>-</v>
      </c>
      <c r="O2052" s="24">
        <f t="shared" si="4"/>
        <v>0</v>
      </c>
      <c r="P2052" s="24"/>
      <c r="Q2052" s="24">
        <f t="shared" si="6"/>
        <v>0</v>
      </c>
      <c r="R2052" s="24">
        <f t="shared" si="7"/>
        <v>0</v>
      </c>
      <c r="S2052" s="24"/>
      <c r="T2052" s="24"/>
    </row>
    <row r="2053">
      <c r="A2053" s="12" t="s">
        <v>2141</v>
      </c>
      <c r="F2053" s="19">
        <f>IFERROR(__xludf.DUMMYFUNCTION("SPLIT(A2049, "" |"")"),2047.0)</f>
        <v>2047</v>
      </c>
      <c r="G2053" s="19">
        <f>IFERROR(__xludf.DUMMYFUNCTION("""COMPUTED_VALUE"""),0.00239)</f>
        <v>0.00239</v>
      </c>
      <c r="H2053" s="19" t="str">
        <f>IFERROR(__xludf.DUMMYFUNCTION("""COMPUTED_VALUE"""),"-")</f>
        <v>-</v>
      </c>
      <c r="I2053" s="19">
        <f>IFERROR(__xludf.DUMMYFUNCTION("""COMPUTED_VALUE"""),0.00224)</f>
        <v>0.00224</v>
      </c>
      <c r="J2053" s="19">
        <f>IFERROR(__xludf.DUMMYFUNCTION("""COMPUTED_VALUE"""),0.04734)</f>
        <v>0.04734</v>
      </c>
      <c r="K2053" s="19" t="str">
        <f>IFERROR(__xludf.DUMMYFUNCTION("""COMPUTED_VALUE"""),"-")</f>
        <v>-</v>
      </c>
      <c r="L2053" s="19" t="str">
        <f>IFERROR(__xludf.DUMMYFUNCTION("""COMPUTED_VALUE"""),"-")</f>
        <v>-</v>
      </c>
      <c r="O2053" s="24">
        <f t="shared" si="4"/>
        <v>0</v>
      </c>
      <c r="P2053" s="24"/>
      <c r="Q2053" s="24">
        <f t="shared" si="6"/>
        <v>0</v>
      </c>
      <c r="R2053" s="24">
        <f t="shared" si="7"/>
        <v>0</v>
      </c>
      <c r="S2053" s="24"/>
      <c r="T2053" s="24"/>
    </row>
    <row r="2054">
      <c r="A2054" s="12" t="s">
        <v>2142</v>
      </c>
      <c r="F2054" s="19">
        <f>IFERROR(__xludf.DUMMYFUNCTION("SPLIT(A2050, "" |"")"),2048.0)</f>
        <v>2048</v>
      </c>
      <c r="G2054" s="19">
        <f>IFERROR(__xludf.DUMMYFUNCTION("""COMPUTED_VALUE"""),0.00243)</f>
        <v>0.00243</v>
      </c>
      <c r="H2054" s="19" t="str">
        <f>IFERROR(__xludf.DUMMYFUNCTION("""COMPUTED_VALUE"""),"-")</f>
        <v>-</v>
      </c>
      <c r="I2054" s="19">
        <f>IFERROR(__xludf.DUMMYFUNCTION("""COMPUTED_VALUE"""),0.00227)</f>
        <v>0.00227</v>
      </c>
      <c r="J2054" s="19">
        <f>IFERROR(__xludf.DUMMYFUNCTION("""COMPUTED_VALUE"""),0.0475)</f>
        <v>0.0475</v>
      </c>
      <c r="K2054" s="19" t="str">
        <f>IFERROR(__xludf.DUMMYFUNCTION("""COMPUTED_VALUE"""),"-")</f>
        <v>-</v>
      </c>
      <c r="L2054" s="19" t="str">
        <f>IFERROR(__xludf.DUMMYFUNCTION("""COMPUTED_VALUE"""),"-")</f>
        <v>-</v>
      </c>
      <c r="O2054" s="24">
        <f t="shared" si="4"/>
        <v>0</v>
      </c>
      <c r="P2054" s="24"/>
      <c r="Q2054" s="24">
        <f t="shared" si="6"/>
        <v>0</v>
      </c>
      <c r="R2054" s="24">
        <f t="shared" si="7"/>
        <v>0</v>
      </c>
      <c r="S2054" s="24"/>
      <c r="T2054" s="24"/>
    </row>
    <row r="2055">
      <c r="A2055" s="12" t="s">
        <v>2143</v>
      </c>
      <c r="F2055" s="19">
        <f>IFERROR(__xludf.DUMMYFUNCTION("SPLIT(A2051, "" |"")"),2049.0)</f>
        <v>2049</v>
      </c>
      <c r="G2055" s="19">
        <f>IFERROR(__xludf.DUMMYFUNCTION("""COMPUTED_VALUE"""),0.00232)</f>
        <v>0.00232</v>
      </c>
      <c r="H2055" s="19" t="str">
        <f>IFERROR(__xludf.DUMMYFUNCTION("""COMPUTED_VALUE"""),"-")</f>
        <v>-</v>
      </c>
      <c r="I2055" s="19">
        <f>IFERROR(__xludf.DUMMYFUNCTION("""COMPUTED_VALUE"""),0.00225)</f>
        <v>0.00225</v>
      </c>
      <c r="J2055" s="19">
        <f>IFERROR(__xludf.DUMMYFUNCTION("""COMPUTED_VALUE"""),0.04747)</f>
        <v>0.04747</v>
      </c>
      <c r="K2055" s="19" t="str">
        <f>IFERROR(__xludf.DUMMYFUNCTION("""COMPUTED_VALUE"""),"-")</f>
        <v>-</v>
      </c>
      <c r="L2055" s="19" t="str">
        <f>IFERROR(__xludf.DUMMYFUNCTION("""COMPUTED_VALUE"""),"-")</f>
        <v>-</v>
      </c>
      <c r="O2055" s="24">
        <f t="shared" si="4"/>
        <v>0</v>
      </c>
      <c r="P2055" s="24"/>
      <c r="Q2055" s="24">
        <f t="shared" si="6"/>
        <v>0</v>
      </c>
      <c r="R2055" s="24">
        <f t="shared" si="7"/>
        <v>0</v>
      </c>
      <c r="S2055" s="24"/>
      <c r="T2055" s="24"/>
    </row>
    <row r="2056">
      <c r="A2056" s="12" t="s">
        <v>2144</v>
      </c>
      <c r="F2056" s="19">
        <f>IFERROR(__xludf.DUMMYFUNCTION("SPLIT(A2052, "" |"")"),2050.0)</f>
        <v>2050</v>
      </c>
      <c r="G2056" s="19">
        <f>IFERROR(__xludf.DUMMYFUNCTION("""COMPUTED_VALUE"""),0.00233)</f>
        <v>0.00233</v>
      </c>
      <c r="H2056" s="19" t="str">
        <f>IFERROR(__xludf.DUMMYFUNCTION("""COMPUTED_VALUE"""),"-")</f>
        <v>-</v>
      </c>
      <c r="I2056" s="19">
        <f>IFERROR(__xludf.DUMMYFUNCTION("""COMPUTED_VALUE"""),0.0022)</f>
        <v>0.0022</v>
      </c>
      <c r="J2056" s="19">
        <f>IFERROR(__xludf.DUMMYFUNCTION("""COMPUTED_VALUE"""),0.04748)</f>
        <v>0.04748</v>
      </c>
      <c r="K2056" s="19" t="str">
        <f>IFERROR(__xludf.DUMMYFUNCTION("""COMPUTED_VALUE"""),"-")</f>
        <v>-</v>
      </c>
      <c r="L2056" s="19" t="str">
        <f>IFERROR(__xludf.DUMMYFUNCTION("""COMPUTED_VALUE"""),"-")</f>
        <v>-</v>
      </c>
      <c r="O2056" s="24">
        <f t="shared" si="4"/>
        <v>0</v>
      </c>
      <c r="P2056" s="24"/>
      <c r="Q2056" s="24">
        <f t="shared" si="6"/>
        <v>0</v>
      </c>
      <c r="R2056" s="24">
        <f t="shared" si="7"/>
        <v>0</v>
      </c>
      <c r="S2056" s="24"/>
      <c r="T2056" s="24"/>
    </row>
    <row r="2057">
      <c r="A2057" s="12" t="s">
        <v>2145</v>
      </c>
      <c r="F2057" s="19">
        <f>IFERROR(__xludf.DUMMYFUNCTION("SPLIT(A2053, "" |"")"),2051.0)</f>
        <v>2051</v>
      </c>
      <c r="G2057" s="19">
        <f>IFERROR(__xludf.DUMMYFUNCTION("""COMPUTED_VALUE"""),0.00232)</f>
        <v>0.00232</v>
      </c>
      <c r="H2057" s="19" t="str">
        <f>IFERROR(__xludf.DUMMYFUNCTION("""COMPUTED_VALUE"""),"-")</f>
        <v>-</v>
      </c>
      <c r="I2057" s="19">
        <f>IFERROR(__xludf.DUMMYFUNCTION("""COMPUTED_VALUE"""),0.00218)</f>
        <v>0.00218</v>
      </c>
      <c r="J2057" s="19">
        <f>IFERROR(__xludf.DUMMYFUNCTION("""COMPUTED_VALUE"""),0.04203)</f>
        <v>0.04203</v>
      </c>
      <c r="K2057" s="19" t="str">
        <f>IFERROR(__xludf.DUMMYFUNCTION("""COMPUTED_VALUE"""),"-")</f>
        <v>-</v>
      </c>
      <c r="L2057" s="19" t="str">
        <f>IFERROR(__xludf.DUMMYFUNCTION("""COMPUTED_VALUE"""),"-")</f>
        <v>-</v>
      </c>
      <c r="O2057" s="24">
        <f t="shared" si="4"/>
        <v>0</v>
      </c>
      <c r="P2057" s="24"/>
      <c r="Q2057" s="24">
        <f t="shared" si="6"/>
        <v>0</v>
      </c>
      <c r="R2057" s="24">
        <f t="shared" si="7"/>
        <v>1</v>
      </c>
      <c r="S2057" s="24"/>
      <c r="T2057" s="24"/>
    </row>
    <row r="2058">
      <c r="A2058" s="12" t="s">
        <v>2146</v>
      </c>
      <c r="F2058" s="19">
        <f>IFERROR(__xludf.DUMMYFUNCTION("SPLIT(A2054, "" |"")"),2052.0)</f>
        <v>2052</v>
      </c>
      <c r="G2058" s="19">
        <f>IFERROR(__xludf.DUMMYFUNCTION("""COMPUTED_VALUE"""),0.00237)</f>
        <v>0.00237</v>
      </c>
      <c r="H2058" s="19" t="str">
        <f>IFERROR(__xludf.DUMMYFUNCTION("""COMPUTED_VALUE"""),"-")</f>
        <v>-</v>
      </c>
      <c r="I2058" s="19">
        <f>IFERROR(__xludf.DUMMYFUNCTION("""COMPUTED_VALUE"""),0.00216)</f>
        <v>0.00216</v>
      </c>
      <c r="J2058" s="19">
        <f>IFERROR(__xludf.DUMMYFUNCTION("""COMPUTED_VALUE"""),0.04742)</f>
        <v>0.04742</v>
      </c>
      <c r="K2058" s="19" t="str">
        <f>IFERROR(__xludf.DUMMYFUNCTION("""COMPUTED_VALUE"""),"-")</f>
        <v>-</v>
      </c>
      <c r="L2058" s="19" t="str">
        <f>IFERROR(__xludf.DUMMYFUNCTION("""COMPUTED_VALUE"""),"-")</f>
        <v>-</v>
      </c>
      <c r="O2058" s="24">
        <f t="shared" si="4"/>
        <v>0</v>
      </c>
      <c r="P2058" s="24"/>
      <c r="Q2058" s="24">
        <f t="shared" si="6"/>
        <v>0</v>
      </c>
      <c r="R2058" s="24">
        <f t="shared" si="7"/>
        <v>0</v>
      </c>
      <c r="S2058" s="24"/>
      <c r="T2058" s="24"/>
    </row>
    <row r="2059">
      <c r="A2059" s="12" t="s">
        <v>2147</v>
      </c>
      <c r="F2059" s="19">
        <f>IFERROR(__xludf.DUMMYFUNCTION("SPLIT(A2055, "" |"")"),2053.0)</f>
        <v>2053</v>
      </c>
      <c r="G2059" s="19">
        <f>IFERROR(__xludf.DUMMYFUNCTION("""COMPUTED_VALUE"""),0.00232)</f>
        <v>0.00232</v>
      </c>
      <c r="H2059" s="19" t="str">
        <f>IFERROR(__xludf.DUMMYFUNCTION("""COMPUTED_VALUE"""),"-")</f>
        <v>-</v>
      </c>
      <c r="I2059" s="19">
        <f>IFERROR(__xludf.DUMMYFUNCTION("""COMPUTED_VALUE"""),0.0022)</f>
        <v>0.0022</v>
      </c>
      <c r="J2059" s="19">
        <f>IFERROR(__xludf.DUMMYFUNCTION("""COMPUTED_VALUE"""),0.04646)</f>
        <v>0.04646</v>
      </c>
      <c r="K2059" s="19" t="str">
        <f>IFERROR(__xludf.DUMMYFUNCTION("""COMPUTED_VALUE"""),"-")</f>
        <v>-</v>
      </c>
      <c r="L2059" s="19" t="str">
        <f>IFERROR(__xludf.DUMMYFUNCTION("""COMPUTED_VALUE"""),"-")</f>
        <v>-</v>
      </c>
      <c r="O2059" s="24">
        <f t="shared" si="4"/>
        <v>0</v>
      </c>
      <c r="P2059" s="24"/>
      <c r="Q2059" s="24">
        <f t="shared" si="6"/>
        <v>0</v>
      </c>
      <c r="R2059" s="24">
        <f t="shared" si="7"/>
        <v>0</v>
      </c>
      <c r="S2059" s="24"/>
      <c r="T2059" s="24"/>
    </row>
    <row r="2060">
      <c r="A2060" s="12" t="s">
        <v>2148</v>
      </c>
      <c r="F2060" s="19">
        <f>IFERROR(__xludf.DUMMYFUNCTION("SPLIT(A2056, "" |"")"),2054.0)</f>
        <v>2054</v>
      </c>
      <c r="G2060" s="19">
        <f>IFERROR(__xludf.DUMMYFUNCTION("""COMPUTED_VALUE"""),0.00239)</f>
        <v>0.00239</v>
      </c>
      <c r="H2060" s="19" t="str">
        <f>IFERROR(__xludf.DUMMYFUNCTION("""COMPUTED_VALUE"""),"-")</f>
        <v>-</v>
      </c>
      <c r="I2060" s="19">
        <f>IFERROR(__xludf.DUMMYFUNCTION("""COMPUTED_VALUE"""),0.00222)</f>
        <v>0.00222</v>
      </c>
      <c r="J2060" s="19">
        <f>IFERROR(__xludf.DUMMYFUNCTION("""COMPUTED_VALUE"""),0.04438)</f>
        <v>0.04438</v>
      </c>
      <c r="K2060" s="19" t="str">
        <f>IFERROR(__xludf.DUMMYFUNCTION("""COMPUTED_VALUE"""),"-")</f>
        <v>-</v>
      </c>
      <c r="L2060" s="19" t="str">
        <f>IFERROR(__xludf.DUMMYFUNCTION("""COMPUTED_VALUE"""),"-")</f>
        <v>-</v>
      </c>
      <c r="O2060" s="24">
        <f t="shared" si="4"/>
        <v>0</v>
      </c>
      <c r="P2060" s="24"/>
      <c r="Q2060" s="24">
        <f t="shared" si="6"/>
        <v>0</v>
      </c>
      <c r="R2060" s="24">
        <f t="shared" si="7"/>
        <v>1</v>
      </c>
      <c r="S2060" s="24"/>
      <c r="T2060" s="24"/>
    </row>
    <row r="2061">
      <c r="A2061" s="12" t="s">
        <v>2149</v>
      </c>
      <c r="F2061" s="19">
        <f>IFERROR(__xludf.DUMMYFUNCTION("SPLIT(A2057, "" |"")"),2055.0)</f>
        <v>2055</v>
      </c>
      <c r="G2061" s="19">
        <f>IFERROR(__xludf.DUMMYFUNCTION("""COMPUTED_VALUE"""),0.00234)</f>
        <v>0.00234</v>
      </c>
      <c r="H2061" s="19" t="str">
        <f>IFERROR(__xludf.DUMMYFUNCTION("""COMPUTED_VALUE"""),"-")</f>
        <v>-</v>
      </c>
      <c r="I2061" s="19">
        <f>IFERROR(__xludf.DUMMYFUNCTION("""COMPUTED_VALUE"""),0.0022)</f>
        <v>0.0022</v>
      </c>
      <c r="J2061" s="19">
        <f>IFERROR(__xludf.DUMMYFUNCTION("""COMPUTED_VALUE"""),0.04574)</f>
        <v>0.04574</v>
      </c>
      <c r="K2061" s="19" t="str">
        <f>IFERROR(__xludf.DUMMYFUNCTION("""COMPUTED_VALUE"""),"-")</f>
        <v>-</v>
      </c>
      <c r="L2061" s="19" t="str">
        <f>IFERROR(__xludf.DUMMYFUNCTION("""COMPUTED_VALUE"""),"-")</f>
        <v>-</v>
      </c>
      <c r="O2061" s="24">
        <f t="shared" si="4"/>
        <v>0</v>
      </c>
      <c r="P2061" s="24"/>
      <c r="Q2061" s="24">
        <f t="shared" si="6"/>
        <v>0</v>
      </c>
      <c r="R2061" s="24">
        <f t="shared" si="7"/>
        <v>0</v>
      </c>
      <c r="S2061" s="24"/>
      <c r="T2061" s="24"/>
    </row>
    <row r="2062">
      <c r="A2062" s="12" t="s">
        <v>2150</v>
      </c>
      <c r="F2062" s="19">
        <f>IFERROR(__xludf.DUMMYFUNCTION("SPLIT(A2058, "" |"")"),2056.0)</f>
        <v>2056</v>
      </c>
      <c r="G2062" s="19">
        <f>IFERROR(__xludf.DUMMYFUNCTION("""COMPUTED_VALUE"""),0.0024)</f>
        <v>0.0024</v>
      </c>
      <c r="H2062" s="19" t="str">
        <f>IFERROR(__xludf.DUMMYFUNCTION("""COMPUTED_VALUE"""),"-")</f>
        <v>-</v>
      </c>
      <c r="I2062" s="19">
        <f>IFERROR(__xludf.DUMMYFUNCTION("""COMPUTED_VALUE"""),0.0022)</f>
        <v>0.0022</v>
      </c>
      <c r="J2062" s="19">
        <f>IFERROR(__xludf.DUMMYFUNCTION("""COMPUTED_VALUE"""),0.0475)</f>
        <v>0.0475</v>
      </c>
      <c r="K2062" s="19" t="str">
        <f>IFERROR(__xludf.DUMMYFUNCTION("""COMPUTED_VALUE"""),"-")</f>
        <v>-</v>
      </c>
      <c r="L2062" s="19" t="str">
        <f>IFERROR(__xludf.DUMMYFUNCTION("""COMPUTED_VALUE"""),"-")</f>
        <v>-</v>
      </c>
      <c r="O2062" s="24">
        <f t="shared" si="4"/>
        <v>0</v>
      </c>
      <c r="P2062" s="24"/>
      <c r="Q2062" s="24">
        <f t="shared" si="6"/>
        <v>0</v>
      </c>
      <c r="R2062" s="24">
        <f t="shared" si="7"/>
        <v>0</v>
      </c>
      <c r="S2062" s="24"/>
      <c r="T2062" s="24"/>
    </row>
    <row r="2063">
      <c r="A2063" s="12" t="s">
        <v>2151</v>
      </c>
      <c r="F2063" s="19">
        <f>IFERROR(__xludf.DUMMYFUNCTION("SPLIT(A2059, "" |"")"),2057.0)</f>
        <v>2057</v>
      </c>
      <c r="G2063" s="19">
        <f>IFERROR(__xludf.DUMMYFUNCTION("""COMPUTED_VALUE"""),0.00234)</f>
        <v>0.00234</v>
      </c>
      <c r="H2063" s="19" t="str">
        <f>IFERROR(__xludf.DUMMYFUNCTION("""COMPUTED_VALUE"""),"-")</f>
        <v>-</v>
      </c>
      <c r="I2063" s="19">
        <f>IFERROR(__xludf.DUMMYFUNCTION("""COMPUTED_VALUE"""),0.00221)</f>
        <v>0.00221</v>
      </c>
      <c r="J2063" s="19">
        <f>IFERROR(__xludf.DUMMYFUNCTION("""COMPUTED_VALUE"""),0.0413)</f>
        <v>0.0413</v>
      </c>
      <c r="K2063" s="19" t="str">
        <f>IFERROR(__xludf.DUMMYFUNCTION("""COMPUTED_VALUE"""),"-")</f>
        <v>-</v>
      </c>
      <c r="L2063" s="19" t="str">
        <f>IFERROR(__xludf.DUMMYFUNCTION("""COMPUTED_VALUE"""),"-")</f>
        <v>-</v>
      </c>
      <c r="O2063" s="24">
        <f t="shared" si="4"/>
        <v>0</v>
      </c>
      <c r="P2063" s="24"/>
      <c r="Q2063" s="24">
        <f t="shared" si="6"/>
        <v>0</v>
      </c>
      <c r="R2063" s="24">
        <f t="shared" si="7"/>
        <v>1</v>
      </c>
      <c r="S2063" s="24"/>
      <c r="T2063" s="24"/>
    </row>
    <row r="2064">
      <c r="A2064" s="12" t="s">
        <v>2152</v>
      </c>
      <c r="F2064" s="19">
        <f>IFERROR(__xludf.DUMMYFUNCTION("SPLIT(A2060, "" |"")"),2058.0)</f>
        <v>2058</v>
      </c>
      <c r="G2064" s="19">
        <f>IFERROR(__xludf.DUMMYFUNCTION("""COMPUTED_VALUE"""),0.00229)</f>
        <v>0.00229</v>
      </c>
      <c r="H2064" s="19" t="str">
        <f>IFERROR(__xludf.DUMMYFUNCTION("""COMPUTED_VALUE"""),"-")</f>
        <v>-</v>
      </c>
      <c r="I2064" s="19">
        <f>IFERROR(__xludf.DUMMYFUNCTION("""COMPUTED_VALUE"""),0.00218)</f>
        <v>0.00218</v>
      </c>
      <c r="J2064" s="19">
        <f>IFERROR(__xludf.DUMMYFUNCTION("""COMPUTED_VALUE"""),0.04746)</f>
        <v>0.04746</v>
      </c>
      <c r="K2064" s="19" t="str">
        <f>IFERROR(__xludf.DUMMYFUNCTION("""COMPUTED_VALUE"""),"-")</f>
        <v>-</v>
      </c>
      <c r="L2064" s="19" t="str">
        <f>IFERROR(__xludf.DUMMYFUNCTION("""COMPUTED_VALUE"""),"-")</f>
        <v>-</v>
      </c>
      <c r="O2064" s="24">
        <f t="shared" si="4"/>
        <v>0</v>
      </c>
      <c r="P2064" s="24"/>
      <c r="Q2064" s="24">
        <f t="shared" si="6"/>
        <v>0</v>
      </c>
      <c r="R2064" s="24">
        <f t="shared" si="7"/>
        <v>0</v>
      </c>
      <c r="S2064" s="24"/>
      <c r="T2064" s="24"/>
    </row>
    <row r="2065">
      <c r="A2065" s="12" t="s">
        <v>2153</v>
      </c>
      <c r="F2065" s="19">
        <f>IFERROR(__xludf.DUMMYFUNCTION("SPLIT(A2061, "" |"")"),2059.0)</f>
        <v>2059</v>
      </c>
      <c r="G2065" s="19">
        <f>IFERROR(__xludf.DUMMYFUNCTION("""COMPUTED_VALUE"""),0.00235)</f>
        <v>0.00235</v>
      </c>
      <c r="H2065" s="19" t="str">
        <f>IFERROR(__xludf.DUMMYFUNCTION("""COMPUTED_VALUE"""),"-")</f>
        <v>-</v>
      </c>
      <c r="I2065" s="19">
        <f>IFERROR(__xludf.DUMMYFUNCTION("""COMPUTED_VALUE"""),0.00222)</f>
        <v>0.00222</v>
      </c>
      <c r="J2065" s="19">
        <f>IFERROR(__xludf.DUMMYFUNCTION("""COMPUTED_VALUE"""),0.04749)</f>
        <v>0.04749</v>
      </c>
      <c r="K2065" s="19" t="str">
        <f>IFERROR(__xludf.DUMMYFUNCTION("""COMPUTED_VALUE"""),"-")</f>
        <v>-</v>
      </c>
      <c r="L2065" s="19" t="str">
        <f>IFERROR(__xludf.DUMMYFUNCTION("""COMPUTED_VALUE"""),"-")</f>
        <v>-</v>
      </c>
      <c r="O2065" s="24">
        <f t="shared" si="4"/>
        <v>0</v>
      </c>
      <c r="P2065" s="24"/>
      <c r="Q2065" s="24">
        <f t="shared" si="6"/>
        <v>0</v>
      </c>
      <c r="R2065" s="24">
        <f t="shared" si="7"/>
        <v>0</v>
      </c>
      <c r="S2065" s="24"/>
      <c r="T2065" s="24"/>
    </row>
    <row r="2066">
      <c r="A2066" s="12" t="s">
        <v>2154</v>
      </c>
      <c r="F2066" s="19">
        <f>IFERROR(__xludf.DUMMYFUNCTION("SPLIT(A2062, "" |"")"),2060.0)</f>
        <v>2060</v>
      </c>
      <c r="G2066" s="19">
        <f>IFERROR(__xludf.DUMMYFUNCTION("""COMPUTED_VALUE"""),0.00233)</f>
        <v>0.00233</v>
      </c>
      <c r="H2066" s="19" t="str">
        <f>IFERROR(__xludf.DUMMYFUNCTION("""COMPUTED_VALUE"""),"-")</f>
        <v>-</v>
      </c>
      <c r="I2066" s="19">
        <f>IFERROR(__xludf.DUMMYFUNCTION("""COMPUTED_VALUE"""),0.00222)</f>
        <v>0.00222</v>
      </c>
      <c r="J2066" s="19">
        <f>IFERROR(__xludf.DUMMYFUNCTION("""COMPUTED_VALUE"""),0.04749)</f>
        <v>0.04749</v>
      </c>
      <c r="K2066" s="19" t="str">
        <f>IFERROR(__xludf.DUMMYFUNCTION("""COMPUTED_VALUE"""),"-")</f>
        <v>-</v>
      </c>
      <c r="L2066" s="19" t="str">
        <f>IFERROR(__xludf.DUMMYFUNCTION("""COMPUTED_VALUE"""),"-")</f>
        <v>-</v>
      </c>
      <c r="O2066" s="24">
        <f t="shared" si="4"/>
        <v>0</v>
      </c>
      <c r="P2066" s="24"/>
      <c r="Q2066" s="24">
        <f t="shared" si="6"/>
        <v>0</v>
      </c>
      <c r="R2066" s="24">
        <f t="shared" si="7"/>
        <v>0</v>
      </c>
      <c r="S2066" s="24"/>
      <c r="T2066" s="24"/>
    </row>
    <row r="2067">
      <c r="A2067" s="12" t="s">
        <v>2155</v>
      </c>
      <c r="F2067" s="19">
        <f>IFERROR(__xludf.DUMMYFUNCTION("SPLIT(A2063, "" |"")"),2061.0)</f>
        <v>2061</v>
      </c>
      <c r="G2067" s="19">
        <f>IFERROR(__xludf.DUMMYFUNCTION("""COMPUTED_VALUE"""),0.00233)</f>
        <v>0.00233</v>
      </c>
      <c r="H2067" s="19" t="str">
        <f>IFERROR(__xludf.DUMMYFUNCTION("""COMPUTED_VALUE"""),"-")</f>
        <v>-</v>
      </c>
      <c r="I2067" s="19">
        <f>IFERROR(__xludf.DUMMYFUNCTION("""COMPUTED_VALUE"""),0.00222)</f>
        <v>0.00222</v>
      </c>
      <c r="J2067" s="19">
        <f>IFERROR(__xludf.DUMMYFUNCTION("""COMPUTED_VALUE"""),0.04387)</f>
        <v>0.04387</v>
      </c>
      <c r="K2067" s="19" t="str">
        <f>IFERROR(__xludf.DUMMYFUNCTION("""COMPUTED_VALUE"""),"-")</f>
        <v>-</v>
      </c>
      <c r="L2067" s="19" t="str">
        <f>IFERROR(__xludf.DUMMYFUNCTION("""COMPUTED_VALUE"""),"-")</f>
        <v>-</v>
      </c>
      <c r="O2067" s="24">
        <f t="shared" si="4"/>
        <v>0</v>
      </c>
      <c r="P2067" s="24"/>
      <c r="Q2067" s="24">
        <f t="shared" si="6"/>
        <v>0</v>
      </c>
      <c r="R2067" s="24">
        <f t="shared" si="7"/>
        <v>1</v>
      </c>
      <c r="S2067" s="24"/>
      <c r="T2067" s="24"/>
    </row>
    <row r="2068">
      <c r="A2068" s="12" t="s">
        <v>2156</v>
      </c>
      <c r="F2068" s="19">
        <f>IFERROR(__xludf.DUMMYFUNCTION("SPLIT(A2064, "" |"")"),2062.0)</f>
        <v>2062</v>
      </c>
      <c r="G2068" s="19">
        <f>IFERROR(__xludf.DUMMYFUNCTION("""COMPUTED_VALUE"""),0.00234)</f>
        <v>0.00234</v>
      </c>
      <c r="H2068" s="19" t="str">
        <f>IFERROR(__xludf.DUMMYFUNCTION("""COMPUTED_VALUE"""),"-")</f>
        <v>-</v>
      </c>
      <c r="I2068" s="19">
        <f>IFERROR(__xludf.DUMMYFUNCTION("""COMPUTED_VALUE"""),0.00215)</f>
        <v>0.00215</v>
      </c>
      <c r="J2068" s="19">
        <f>IFERROR(__xludf.DUMMYFUNCTION("""COMPUTED_VALUE"""),0.04737)</f>
        <v>0.04737</v>
      </c>
      <c r="K2068" s="19" t="str">
        <f>IFERROR(__xludf.DUMMYFUNCTION("""COMPUTED_VALUE"""),"-")</f>
        <v>-</v>
      </c>
      <c r="L2068" s="19" t="str">
        <f>IFERROR(__xludf.DUMMYFUNCTION("""COMPUTED_VALUE"""),"-")</f>
        <v>-</v>
      </c>
      <c r="O2068" s="24">
        <f t="shared" si="4"/>
        <v>0</v>
      </c>
      <c r="P2068" s="24"/>
      <c r="Q2068" s="24">
        <f t="shared" si="6"/>
        <v>0</v>
      </c>
      <c r="R2068" s="24">
        <f t="shared" si="7"/>
        <v>0</v>
      </c>
      <c r="S2068" s="24"/>
      <c r="T2068" s="24"/>
    </row>
    <row r="2069">
      <c r="A2069" s="12" t="s">
        <v>2157</v>
      </c>
      <c r="F2069" s="19">
        <f>IFERROR(__xludf.DUMMYFUNCTION("SPLIT(A2065, "" |"")"),2063.0)</f>
        <v>2063</v>
      </c>
      <c r="G2069" s="19">
        <f>IFERROR(__xludf.DUMMYFUNCTION("""COMPUTED_VALUE"""),0.0024)</f>
        <v>0.0024</v>
      </c>
      <c r="H2069" s="19" t="str">
        <f>IFERROR(__xludf.DUMMYFUNCTION("""COMPUTED_VALUE"""),"-")</f>
        <v>-</v>
      </c>
      <c r="I2069" s="19">
        <f>IFERROR(__xludf.DUMMYFUNCTION("""COMPUTED_VALUE"""),0.00212)</f>
        <v>0.00212</v>
      </c>
      <c r="J2069" s="19">
        <f>IFERROR(__xludf.DUMMYFUNCTION("""COMPUTED_VALUE"""),0.04747)</f>
        <v>0.04747</v>
      </c>
      <c r="K2069" s="19" t="str">
        <f>IFERROR(__xludf.DUMMYFUNCTION("""COMPUTED_VALUE"""),"-")</f>
        <v>-</v>
      </c>
      <c r="L2069" s="19" t="str">
        <f>IFERROR(__xludf.DUMMYFUNCTION("""COMPUTED_VALUE"""),"-")</f>
        <v>-</v>
      </c>
      <c r="O2069" s="24">
        <f t="shared" si="4"/>
        <v>0</v>
      </c>
      <c r="P2069" s="24"/>
      <c r="Q2069" s="24">
        <f t="shared" si="6"/>
        <v>0</v>
      </c>
      <c r="R2069" s="24">
        <f t="shared" si="7"/>
        <v>0</v>
      </c>
      <c r="S2069" s="24"/>
      <c r="T2069" s="24"/>
    </row>
    <row r="2070">
      <c r="A2070" s="12" t="s">
        <v>2158</v>
      </c>
      <c r="F2070" s="19">
        <f>IFERROR(__xludf.DUMMYFUNCTION("SPLIT(A2066, "" |"")"),2064.0)</f>
        <v>2064</v>
      </c>
      <c r="G2070" s="19">
        <f>IFERROR(__xludf.DUMMYFUNCTION("""COMPUTED_VALUE"""),0.00236)</f>
        <v>0.00236</v>
      </c>
      <c r="H2070" s="19" t="str">
        <f>IFERROR(__xludf.DUMMYFUNCTION("""COMPUTED_VALUE"""),"-")</f>
        <v>-</v>
      </c>
      <c r="I2070" s="19">
        <f>IFERROR(__xludf.DUMMYFUNCTION("""COMPUTED_VALUE"""),0.00221)</f>
        <v>0.00221</v>
      </c>
      <c r="J2070" s="19">
        <f>IFERROR(__xludf.DUMMYFUNCTION("""COMPUTED_VALUE"""),0.04745)</f>
        <v>0.04745</v>
      </c>
      <c r="K2070" s="19" t="str">
        <f>IFERROR(__xludf.DUMMYFUNCTION("""COMPUTED_VALUE"""),"-")</f>
        <v>-</v>
      </c>
      <c r="L2070" s="19" t="str">
        <f>IFERROR(__xludf.DUMMYFUNCTION("""COMPUTED_VALUE"""),"-")</f>
        <v>-</v>
      </c>
      <c r="O2070" s="24">
        <f t="shared" si="4"/>
        <v>0</v>
      </c>
      <c r="P2070" s="24"/>
      <c r="Q2070" s="24">
        <f t="shared" si="6"/>
        <v>0</v>
      </c>
      <c r="R2070" s="24">
        <f t="shared" si="7"/>
        <v>0</v>
      </c>
      <c r="S2070" s="24"/>
      <c r="T2070" s="24"/>
    </row>
    <row r="2071">
      <c r="A2071" s="12" t="s">
        <v>2159</v>
      </c>
      <c r="F2071" s="19">
        <f>IFERROR(__xludf.DUMMYFUNCTION("SPLIT(A2067, "" |"")"),2065.0)</f>
        <v>2065</v>
      </c>
      <c r="G2071" s="19">
        <f>IFERROR(__xludf.DUMMYFUNCTION("""COMPUTED_VALUE"""),0.00233)</f>
        <v>0.00233</v>
      </c>
      <c r="H2071" s="19" t="str">
        <f>IFERROR(__xludf.DUMMYFUNCTION("""COMPUTED_VALUE"""),"-")</f>
        <v>-</v>
      </c>
      <c r="I2071" s="19">
        <f>IFERROR(__xludf.DUMMYFUNCTION("""COMPUTED_VALUE"""),0.00221)</f>
        <v>0.00221</v>
      </c>
      <c r="J2071" s="19">
        <f>IFERROR(__xludf.DUMMYFUNCTION("""COMPUTED_VALUE"""),0.04736)</f>
        <v>0.04736</v>
      </c>
      <c r="K2071" s="19" t="str">
        <f>IFERROR(__xludf.DUMMYFUNCTION("""COMPUTED_VALUE"""),"-")</f>
        <v>-</v>
      </c>
      <c r="L2071" s="19" t="str">
        <f>IFERROR(__xludf.DUMMYFUNCTION("""COMPUTED_VALUE"""),"-")</f>
        <v>-</v>
      </c>
      <c r="O2071" s="24">
        <f t="shared" si="4"/>
        <v>0</v>
      </c>
      <c r="P2071" s="24"/>
      <c r="Q2071" s="24">
        <f t="shared" si="6"/>
        <v>0</v>
      </c>
      <c r="R2071" s="24">
        <f t="shared" si="7"/>
        <v>0</v>
      </c>
      <c r="S2071" s="24"/>
      <c r="T2071" s="24"/>
    </row>
    <row r="2072">
      <c r="A2072" s="12" t="s">
        <v>2160</v>
      </c>
      <c r="F2072" s="19">
        <f>IFERROR(__xludf.DUMMYFUNCTION("SPLIT(A2068, "" |"")"),2066.0)</f>
        <v>2066</v>
      </c>
      <c r="G2072" s="19">
        <f>IFERROR(__xludf.DUMMYFUNCTION("""COMPUTED_VALUE"""),0.00235)</f>
        <v>0.00235</v>
      </c>
      <c r="H2072" s="19" t="str">
        <f>IFERROR(__xludf.DUMMYFUNCTION("""COMPUTED_VALUE"""),"-")</f>
        <v>-</v>
      </c>
      <c r="I2072" s="19">
        <f>IFERROR(__xludf.DUMMYFUNCTION("""COMPUTED_VALUE"""),0.00224)</f>
        <v>0.00224</v>
      </c>
      <c r="J2072" s="19">
        <f>IFERROR(__xludf.DUMMYFUNCTION("""COMPUTED_VALUE"""),0.04424)</f>
        <v>0.04424</v>
      </c>
      <c r="K2072" s="19" t="str">
        <f>IFERROR(__xludf.DUMMYFUNCTION("""COMPUTED_VALUE"""),"-")</f>
        <v>-</v>
      </c>
      <c r="L2072" s="19" t="str">
        <f>IFERROR(__xludf.DUMMYFUNCTION("""COMPUTED_VALUE"""),"-")</f>
        <v>-</v>
      </c>
      <c r="O2072" s="24">
        <f t="shared" si="4"/>
        <v>0</v>
      </c>
      <c r="P2072" s="24"/>
      <c r="Q2072" s="24">
        <f t="shared" si="6"/>
        <v>0</v>
      </c>
      <c r="R2072" s="24">
        <f t="shared" si="7"/>
        <v>1</v>
      </c>
      <c r="S2072" s="24"/>
      <c r="T2072" s="24"/>
    </row>
    <row r="2073">
      <c r="A2073" s="12" t="s">
        <v>2161</v>
      </c>
      <c r="F2073" s="19">
        <f>IFERROR(__xludf.DUMMYFUNCTION("SPLIT(A2069, "" |"")"),2067.0)</f>
        <v>2067</v>
      </c>
      <c r="G2073" s="19">
        <f>IFERROR(__xludf.DUMMYFUNCTION("""COMPUTED_VALUE"""),0.00235)</f>
        <v>0.00235</v>
      </c>
      <c r="H2073" s="19" t="str">
        <f>IFERROR(__xludf.DUMMYFUNCTION("""COMPUTED_VALUE"""),"-")</f>
        <v>-</v>
      </c>
      <c r="I2073" s="19">
        <f>IFERROR(__xludf.DUMMYFUNCTION("""COMPUTED_VALUE"""),0.00223)</f>
        <v>0.00223</v>
      </c>
      <c r="J2073" s="19">
        <f>IFERROR(__xludf.DUMMYFUNCTION("""COMPUTED_VALUE"""),0.0475)</f>
        <v>0.0475</v>
      </c>
      <c r="K2073" s="19" t="str">
        <f>IFERROR(__xludf.DUMMYFUNCTION("""COMPUTED_VALUE"""),"-")</f>
        <v>-</v>
      </c>
      <c r="L2073" s="19" t="str">
        <f>IFERROR(__xludf.DUMMYFUNCTION("""COMPUTED_VALUE"""),"-")</f>
        <v>-</v>
      </c>
      <c r="O2073" s="24">
        <f t="shared" si="4"/>
        <v>0</v>
      </c>
      <c r="P2073" s="24"/>
      <c r="Q2073" s="24">
        <f t="shared" si="6"/>
        <v>0</v>
      </c>
      <c r="R2073" s="24">
        <f t="shared" si="7"/>
        <v>0</v>
      </c>
      <c r="S2073" s="24"/>
      <c r="T2073" s="24"/>
    </row>
    <row r="2074">
      <c r="A2074" s="12" t="s">
        <v>2162</v>
      </c>
      <c r="F2074" s="19">
        <f>IFERROR(__xludf.DUMMYFUNCTION("SPLIT(A2070, "" |"")"),2068.0)</f>
        <v>2068</v>
      </c>
      <c r="G2074" s="19">
        <f>IFERROR(__xludf.DUMMYFUNCTION("""COMPUTED_VALUE"""),0.00245)</f>
        <v>0.00245</v>
      </c>
      <c r="H2074" s="19" t="str">
        <f>IFERROR(__xludf.DUMMYFUNCTION("""COMPUTED_VALUE"""),"-")</f>
        <v>-</v>
      </c>
      <c r="I2074" s="19">
        <f>IFERROR(__xludf.DUMMYFUNCTION("""COMPUTED_VALUE"""),0.00229)</f>
        <v>0.00229</v>
      </c>
      <c r="J2074" s="19">
        <f>IFERROR(__xludf.DUMMYFUNCTION("""COMPUTED_VALUE"""),0.04739)</f>
        <v>0.04739</v>
      </c>
      <c r="K2074" s="19" t="str">
        <f>IFERROR(__xludf.DUMMYFUNCTION("""COMPUTED_VALUE"""),"-")</f>
        <v>-</v>
      </c>
      <c r="L2074" s="19" t="str">
        <f>IFERROR(__xludf.DUMMYFUNCTION("""COMPUTED_VALUE"""),"-")</f>
        <v>-</v>
      </c>
      <c r="O2074" s="24">
        <f t="shared" si="4"/>
        <v>0</v>
      </c>
      <c r="P2074" s="24"/>
      <c r="Q2074" s="24">
        <f t="shared" si="6"/>
        <v>0</v>
      </c>
      <c r="R2074" s="24">
        <f t="shared" si="7"/>
        <v>0</v>
      </c>
      <c r="S2074" s="24"/>
      <c r="T2074" s="24"/>
    </row>
    <row r="2075">
      <c r="A2075" s="12" t="s">
        <v>2163</v>
      </c>
      <c r="F2075" s="19">
        <f>IFERROR(__xludf.DUMMYFUNCTION("SPLIT(A2071, "" |"")"),2069.0)</f>
        <v>2069</v>
      </c>
      <c r="G2075" s="19">
        <f>IFERROR(__xludf.DUMMYFUNCTION("""COMPUTED_VALUE"""),0.00223)</f>
        <v>0.00223</v>
      </c>
      <c r="H2075" s="19" t="str">
        <f>IFERROR(__xludf.DUMMYFUNCTION("""COMPUTED_VALUE"""),"-")</f>
        <v>-</v>
      </c>
      <c r="I2075" s="19">
        <f>IFERROR(__xludf.DUMMYFUNCTION("""COMPUTED_VALUE"""),0.00209)</f>
        <v>0.00209</v>
      </c>
      <c r="J2075" s="19">
        <f>IFERROR(__xludf.DUMMYFUNCTION("""COMPUTED_VALUE"""),0.04744)</f>
        <v>0.04744</v>
      </c>
      <c r="K2075" s="19" t="str">
        <f>IFERROR(__xludf.DUMMYFUNCTION("""COMPUTED_VALUE"""),"-")</f>
        <v>-</v>
      </c>
      <c r="L2075" s="19" t="str">
        <f>IFERROR(__xludf.DUMMYFUNCTION("""COMPUTED_VALUE"""),"-")</f>
        <v>-</v>
      </c>
      <c r="O2075" s="24">
        <f t="shared" si="4"/>
        <v>0</v>
      </c>
      <c r="P2075" s="24"/>
      <c r="Q2075" s="24">
        <f t="shared" si="6"/>
        <v>0</v>
      </c>
      <c r="R2075" s="24">
        <f t="shared" si="7"/>
        <v>0</v>
      </c>
      <c r="S2075" s="24"/>
      <c r="T2075" s="24"/>
    </row>
    <row r="2076">
      <c r="A2076" s="12" t="s">
        <v>2164</v>
      </c>
      <c r="F2076" s="19">
        <f>IFERROR(__xludf.DUMMYFUNCTION("SPLIT(A2072, "" |"")"),2070.0)</f>
        <v>2070</v>
      </c>
      <c r="G2076" s="19">
        <f>IFERROR(__xludf.DUMMYFUNCTION("""COMPUTED_VALUE"""),0.00239)</f>
        <v>0.00239</v>
      </c>
      <c r="H2076" s="19" t="str">
        <f>IFERROR(__xludf.DUMMYFUNCTION("""COMPUTED_VALUE"""),"-")</f>
        <v>-</v>
      </c>
      <c r="I2076" s="19">
        <f>IFERROR(__xludf.DUMMYFUNCTION("""COMPUTED_VALUE"""),0.00227)</f>
        <v>0.00227</v>
      </c>
      <c r="J2076" s="19">
        <f>IFERROR(__xludf.DUMMYFUNCTION("""COMPUTED_VALUE"""),0.04738)</f>
        <v>0.04738</v>
      </c>
      <c r="K2076" s="19" t="str">
        <f>IFERROR(__xludf.DUMMYFUNCTION("""COMPUTED_VALUE"""),"-")</f>
        <v>-</v>
      </c>
      <c r="L2076" s="19" t="str">
        <f>IFERROR(__xludf.DUMMYFUNCTION("""COMPUTED_VALUE"""),"-")</f>
        <v>-</v>
      </c>
      <c r="O2076" s="24">
        <f t="shared" si="4"/>
        <v>0</v>
      </c>
      <c r="P2076" s="24"/>
      <c r="Q2076" s="24">
        <f t="shared" si="6"/>
        <v>0</v>
      </c>
      <c r="R2076" s="24">
        <f t="shared" si="7"/>
        <v>0</v>
      </c>
      <c r="S2076" s="24"/>
      <c r="T2076" s="24"/>
    </row>
    <row r="2077">
      <c r="A2077" s="12" t="s">
        <v>2165</v>
      </c>
      <c r="F2077" s="19">
        <f>IFERROR(__xludf.DUMMYFUNCTION("SPLIT(A2073, "" |"")"),2071.0)</f>
        <v>2071</v>
      </c>
      <c r="G2077" s="19">
        <f>IFERROR(__xludf.DUMMYFUNCTION("""COMPUTED_VALUE"""),0.00238)</f>
        <v>0.00238</v>
      </c>
      <c r="H2077" s="19" t="str">
        <f>IFERROR(__xludf.DUMMYFUNCTION("""COMPUTED_VALUE"""),"-")</f>
        <v>-</v>
      </c>
      <c r="I2077" s="19">
        <f>IFERROR(__xludf.DUMMYFUNCTION("""COMPUTED_VALUE"""),0.00222)</f>
        <v>0.00222</v>
      </c>
      <c r="J2077" s="19">
        <f>IFERROR(__xludf.DUMMYFUNCTION("""COMPUTED_VALUE"""),0.04219)</f>
        <v>0.04219</v>
      </c>
      <c r="K2077" s="19" t="str">
        <f>IFERROR(__xludf.DUMMYFUNCTION("""COMPUTED_VALUE"""),"-")</f>
        <v>-</v>
      </c>
      <c r="L2077" s="19" t="str">
        <f>IFERROR(__xludf.DUMMYFUNCTION("""COMPUTED_VALUE"""),"-")</f>
        <v>-</v>
      </c>
      <c r="O2077" s="24">
        <f t="shared" si="4"/>
        <v>0</v>
      </c>
      <c r="P2077" s="24"/>
      <c r="Q2077" s="24">
        <f t="shared" si="6"/>
        <v>0</v>
      </c>
      <c r="R2077" s="24">
        <f t="shared" si="7"/>
        <v>1</v>
      </c>
      <c r="S2077" s="24"/>
      <c r="T2077" s="24"/>
    </row>
    <row r="2078">
      <c r="A2078" s="12" t="s">
        <v>2166</v>
      </c>
      <c r="F2078" s="19">
        <f>IFERROR(__xludf.DUMMYFUNCTION("SPLIT(A2074, "" |"")"),2072.0)</f>
        <v>2072</v>
      </c>
      <c r="G2078" s="19">
        <f>IFERROR(__xludf.DUMMYFUNCTION("""COMPUTED_VALUE"""),0.00252)</f>
        <v>0.00252</v>
      </c>
      <c r="H2078" s="19" t="str">
        <f>IFERROR(__xludf.DUMMYFUNCTION("""COMPUTED_VALUE"""),"-")</f>
        <v>-</v>
      </c>
      <c r="I2078" s="19">
        <f>IFERROR(__xludf.DUMMYFUNCTION("""COMPUTED_VALUE"""),0.00229)</f>
        <v>0.00229</v>
      </c>
      <c r="J2078" s="19">
        <f>IFERROR(__xludf.DUMMYFUNCTION("""COMPUTED_VALUE"""),0.04751)</f>
        <v>0.04751</v>
      </c>
      <c r="K2078" s="19" t="str">
        <f>IFERROR(__xludf.DUMMYFUNCTION("""COMPUTED_VALUE"""),"-")</f>
        <v>-</v>
      </c>
      <c r="L2078" s="19" t="str">
        <f>IFERROR(__xludf.DUMMYFUNCTION("""COMPUTED_VALUE"""),"-")</f>
        <v>-</v>
      </c>
      <c r="O2078" s="24">
        <f t="shared" si="4"/>
        <v>0</v>
      </c>
      <c r="P2078" s="24"/>
      <c r="Q2078" s="24">
        <f t="shared" si="6"/>
        <v>0</v>
      </c>
      <c r="R2078" s="24">
        <f t="shared" si="7"/>
        <v>0</v>
      </c>
      <c r="S2078" s="24"/>
      <c r="T2078" s="24"/>
    </row>
    <row r="2079">
      <c r="A2079" s="12" t="s">
        <v>2167</v>
      </c>
      <c r="F2079" s="19">
        <f>IFERROR(__xludf.DUMMYFUNCTION("SPLIT(A2075, "" |"")"),2073.0)</f>
        <v>2073</v>
      </c>
      <c r="G2079" s="19">
        <f>IFERROR(__xludf.DUMMYFUNCTION("""COMPUTED_VALUE"""),0.00237)</f>
        <v>0.00237</v>
      </c>
      <c r="H2079" s="19" t="str">
        <f>IFERROR(__xludf.DUMMYFUNCTION("""COMPUTED_VALUE"""),"-")</f>
        <v>-</v>
      </c>
      <c r="I2079" s="19">
        <f>IFERROR(__xludf.DUMMYFUNCTION("""COMPUTED_VALUE"""),0.00215)</f>
        <v>0.00215</v>
      </c>
      <c r="J2079" s="19">
        <f>IFERROR(__xludf.DUMMYFUNCTION("""COMPUTED_VALUE"""),0.04748)</f>
        <v>0.04748</v>
      </c>
      <c r="K2079" s="19" t="str">
        <f>IFERROR(__xludf.DUMMYFUNCTION("""COMPUTED_VALUE"""),"-")</f>
        <v>-</v>
      </c>
      <c r="L2079" s="19" t="str">
        <f>IFERROR(__xludf.DUMMYFUNCTION("""COMPUTED_VALUE"""),"-")</f>
        <v>-</v>
      </c>
      <c r="O2079" s="24">
        <f t="shared" si="4"/>
        <v>0</v>
      </c>
      <c r="P2079" s="24"/>
      <c r="Q2079" s="24">
        <f t="shared" si="6"/>
        <v>0</v>
      </c>
      <c r="R2079" s="24">
        <f t="shared" si="7"/>
        <v>0</v>
      </c>
      <c r="S2079" s="24"/>
      <c r="T2079" s="24"/>
    </row>
    <row r="2080">
      <c r="A2080" s="12" t="s">
        <v>2168</v>
      </c>
      <c r="F2080" s="19">
        <f>IFERROR(__xludf.DUMMYFUNCTION("SPLIT(A2076, "" |"")"),2074.0)</f>
        <v>2074</v>
      </c>
      <c r="G2080" s="19">
        <f>IFERROR(__xludf.DUMMYFUNCTION("""COMPUTED_VALUE"""),0.00235)</f>
        <v>0.00235</v>
      </c>
      <c r="H2080" s="19" t="str">
        <f>IFERROR(__xludf.DUMMYFUNCTION("""COMPUTED_VALUE"""),"-")</f>
        <v>-</v>
      </c>
      <c r="I2080" s="19">
        <f>IFERROR(__xludf.DUMMYFUNCTION("""COMPUTED_VALUE"""),0.00223)</f>
        <v>0.00223</v>
      </c>
      <c r="J2080" s="19">
        <f>IFERROR(__xludf.DUMMYFUNCTION("""COMPUTED_VALUE"""),0.04743)</f>
        <v>0.04743</v>
      </c>
      <c r="K2080" s="19" t="str">
        <f>IFERROR(__xludf.DUMMYFUNCTION("""COMPUTED_VALUE"""),"-")</f>
        <v>-</v>
      </c>
      <c r="L2080" s="19" t="str">
        <f>IFERROR(__xludf.DUMMYFUNCTION("""COMPUTED_VALUE"""),"-")</f>
        <v>-</v>
      </c>
      <c r="O2080" s="24">
        <f t="shared" si="4"/>
        <v>0</v>
      </c>
      <c r="P2080" s="24"/>
      <c r="Q2080" s="24">
        <f t="shared" si="6"/>
        <v>0</v>
      </c>
      <c r="R2080" s="24">
        <f t="shared" si="7"/>
        <v>0</v>
      </c>
      <c r="S2080" s="24"/>
      <c r="T2080" s="24"/>
    </row>
    <row r="2081">
      <c r="A2081" s="12" t="s">
        <v>2169</v>
      </c>
      <c r="F2081" s="19">
        <f>IFERROR(__xludf.DUMMYFUNCTION("SPLIT(A2077, "" |"")"),2075.0)</f>
        <v>2075</v>
      </c>
      <c r="G2081" s="19">
        <f>IFERROR(__xludf.DUMMYFUNCTION("""COMPUTED_VALUE"""),0.00245)</f>
        <v>0.00245</v>
      </c>
      <c r="H2081" s="19" t="str">
        <f>IFERROR(__xludf.DUMMYFUNCTION("""COMPUTED_VALUE"""),"-")</f>
        <v>-</v>
      </c>
      <c r="I2081" s="19">
        <f>IFERROR(__xludf.DUMMYFUNCTION("""COMPUTED_VALUE"""),0.00226)</f>
        <v>0.00226</v>
      </c>
      <c r="J2081" s="19">
        <f>IFERROR(__xludf.DUMMYFUNCTION("""COMPUTED_VALUE"""),0.04743)</f>
        <v>0.04743</v>
      </c>
      <c r="K2081" s="19" t="str">
        <f>IFERROR(__xludf.DUMMYFUNCTION("""COMPUTED_VALUE"""),"-")</f>
        <v>-</v>
      </c>
      <c r="L2081" s="19" t="str">
        <f>IFERROR(__xludf.DUMMYFUNCTION("""COMPUTED_VALUE"""),"-")</f>
        <v>-</v>
      </c>
      <c r="O2081" s="24">
        <f t="shared" si="4"/>
        <v>0</v>
      </c>
      <c r="P2081" s="24"/>
      <c r="Q2081" s="24">
        <f t="shared" si="6"/>
        <v>0</v>
      </c>
      <c r="R2081" s="24">
        <f t="shared" si="7"/>
        <v>0</v>
      </c>
      <c r="S2081" s="24"/>
      <c r="T2081" s="24"/>
    </row>
    <row r="2082">
      <c r="A2082" s="12" t="s">
        <v>2170</v>
      </c>
      <c r="F2082" s="19">
        <f>IFERROR(__xludf.DUMMYFUNCTION("SPLIT(A2078, "" |"")"),2076.0)</f>
        <v>2076</v>
      </c>
      <c r="G2082" s="19">
        <f>IFERROR(__xludf.DUMMYFUNCTION("""COMPUTED_VALUE"""),0.00241)</f>
        <v>0.00241</v>
      </c>
      <c r="H2082" s="19" t="str">
        <f>IFERROR(__xludf.DUMMYFUNCTION("""COMPUTED_VALUE"""),"-")</f>
        <v>-</v>
      </c>
      <c r="I2082" s="19">
        <f>IFERROR(__xludf.DUMMYFUNCTION("""COMPUTED_VALUE"""),0.00221)</f>
        <v>0.00221</v>
      </c>
      <c r="J2082" s="19">
        <f>IFERROR(__xludf.DUMMYFUNCTION("""COMPUTED_VALUE"""),0.04102)</f>
        <v>0.04102</v>
      </c>
      <c r="K2082" s="19" t="str">
        <f>IFERROR(__xludf.DUMMYFUNCTION("""COMPUTED_VALUE"""),"-")</f>
        <v>-</v>
      </c>
      <c r="L2082" s="19" t="str">
        <f>IFERROR(__xludf.DUMMYFUNCTION("""COMPUTED_VALUE"""),"-")</f>
        <v>-</v>
      </c>
      <c r="O2082" s="24">
        <f t="shared" si="4"/>
        <v>0</v>
      </c>
      <c r="P2082" s="24"/>
      <c r="Q2082" s="24">
        <f t="shared" si="6"/>
        <v>0</v>
      </c>
      <c r="R2082" s="24">
        <f t="shared" si="7"/>
        <v>1</v>
      </c>
      <c r="S2082" s="24"/>
      <c r="T2082" s="24"/>
    </row>
    <row r="2083">
      <c r="A2083" s="12" t="s">
        <v>2171</v>
      </c>
      <c r="F2083" s="19">
        <f>IFERROR(__xludf.DUMMYFUNCTION("SPLIT(A2079, "" |"")"),2077.0)</f>
        <v>2077</v>
      </c>
      <c r="G2083" s="19">
        <f>IFERROR(__xludf.DUMMYFUNCTION("""COMPUTED_VALUE"""),0.00232)</f>
        <v>0.00232</v>
      </c>
      <c r="H2083" s="19" t="str">
        <f>IFERROR(__xludf.DUMMYFUNCTION("""COMPUTED_VALUE"""),"-")</f>
        <v>-</v>
      </c>
      <c r="I2083" s="19">
        <f>IFERROR(__xludf.DUMMYFUNCTION("""COMPUTED_VALUE"""),0.00221)</f>
        <v>0.00221</v>
      </c>
      <c r="J2083" s="19">
        <f>IFERROR(__xludf.DUMMYFUNCTION("""COMPUTED_VALUE"""),0.0475)</f>
        <v>0.0475</v>
      </c>
      <c r="K2083" s="19" t="str">
        <f>IFERROR(__xludf.DUMMYFUNCTION("""COMPUTED_VALUE"""),"-")</f>
        <v>-</v>
      </c>
      <c r="L2083" s="19" t="str">
        <f>IFERROR(__xludf.DUMMYFUNCTION("""COMPUTED_VALUE"""),"-")</f>
        <v>-</v>
      </c>
      <c r="O2083" s="24">
        <f t="shared" si="4"/>
        <v>0</v>
      </c>
      <c r="P2083" s="24"/>
      <c r="Q2083" s="24">
        <f t="shared" si="6"/>
        <v>0</v>
      </c>
      <c r="R2083" s="24">
        <f t="shared" si="7"/>
        <v>0</v>
      </c>
      <c r="S2083" s="24"/>
      <c r="T2083" s="24"/>
    </row>
    <row r="2084">
      <c r="A2084" s="12" t="s">
        <v>2172</v>
      </c>
      <c r="F2084" s="19">
        <f>IFERROR(__xludf.DUMMYFUNCTION("SPLIT(A2080, "" |"")"),2078.0)</f>
        <v>2078</v>
      </c>
      <c r="G2084" s="19">
        <f>IFERROR(__xludf.DUMMYFUNCTION("""COMPUTED_VALUE"""),0.00237)</f>
        <v>0.00237</v>
      </c>
      <c r="H2084" s="19" t="str">
        <f>IFERROR(__xludf.DUMMYFUNCTION("""COMPUTED_VALUE"""),"-")</f>
        <v>-</v>
      </c>
      <c r="I2084" s="19">
        <f>IFERROR(__xludf.DUMMYFUNCTION("""COMPUTED_VALUE"""),0.00221)</f>
        <v>0.00221</v>
      </c>
      <c r="J2084" s="19">
        <f>IFERROR(__xludf.DUMMYFUNCTION("""COMPUTED_VALUE"""),0.04747)</f>
        <v>0.04747</v>
      </c>
      <c r="K2084" s="19" t="str">
        <f>IFERROR(__xludf.DUMMYFUNCTION("""COMPUTED_VALUE"""),"-")</f>
        <v>-</v>
      </c>
      <c r="L2084" s="19" t="str">
        <f>IFERROR(__xludf.DUMMYFUNCTION("""COMPUTED_VALUE"""),"-")</f>
        <v>-</v>
      </c>
      <c r="O2084" s="24">
        <f t="shared" si="4"/>
        <v>0</v>
      </c>
      <c r="P2084" s="24"/>
      <c r="Q2084" s="24">
        <f t="shared" si="6"/>
        <v>0</v>
      </c>
      <c r="R2084" s="24">
        <f t="shared" si="7"/>
        <v>0</v>
      </c>
      <c r="S2084" s="24"/>
      <c r="T2084" s="24"/>
    </row>
    <row r="2085">
      <c r="A2085" s="12" t="s">
        <v>2173</v>
      </c>
      <c r="F2085" s="19">
        <f>IFERROR(__xludf.DUMMYFUNCTION("SPLIT(A2081, "" |"")"),2079.0)</f>
        <v>2079</v>
      </c>
      <c r="G2085" s="19">
        <f>IFERROR(__xludf.DUMMYFUNCTION("""COMPUTED_VALUE"""),0.00233)</f>
        <v>0.00233</v>
      </c>
      <c r="H2085" s="19" t="str">
        <f>IFERROR(__xludf.DUMMYFUNCTION("""COMPUTED_VALUE"""),"-")</f>
        <v>-</v>
      </c>
      <c r="I2085" s="19">
        <f>IFERROR(__xludf.DUMMYFUNCTION("""COMPUTED_VALUE"""),0.00222)</f>
        <v>0.00222</v>
      </c>
      <c r="J2085" s="19">
        <f>IFERROR(__xludf.DUMMYFUNCTION("""COMPUTED_VALUE"""),0.04744)</f>
        <v>0.04744</v>
      </c>
      <c r="K2085" s="19" t="str">
        <f>IFERROR(__xludf.DUMMYFUNCTION("""COMPUTED_VALUE"""),"-")</f>
        <v>-</v>
      </c>
      <c r="L2085" s="19" t="str">
        <f>IFERROR(__xludf.DUMMYFUNCTION("""COMPUTED_VALUE"""),"-")</f>
        <v>-</v>
      </c>
      <c r="O2085" s="24">
        <f t="shared" si="4"/>
        <v>0</v>
      </c>
      <c r="P2085" s="24"/>
      <c r="Q2085" s="24">
        <f t="shared" si="6"/>
        <v>0</v>
      </c>
      <c r="R2085" s="24">
        <f t="shared" si="7"/>
        <v>0</v>
      </c>
      <c r="S2085" s="24"/>
      <c r="T2085" s="24"/>
    </row>
    <row r="2086">
      <c r="A2086" s="12" t="s">
        <v>2174</v>
      </c>
      <c r="F2086" s="19">
        <f>IFERROR(__xludf.DUMMYFUNCTION("SPLIT(A2082, "" |"")"),2080.0)</f>
        <v>2080</v>
      </c>
      <c r="G2086" s="19">
        <f>IFERROR(__xludf.DUMMYFUNCTION("""COMPUTED_VALUE"""),0.00224)</f>
        <v>0.00224</v>
      </c>
      <c r="H2086" s="19" t="str">
        <f>IFERROR(__xludf.DUMMYFUNCTION("""COMPUTED_VALUE"""),"-")</f>
        <v>-</v>
      </c>
      <c r="I2086" s="19">
        <f>IFERROR(__xludf.DUMMYFUNCTION("""COMPUTED_VALUE"""),0.00219)</f>
        <v>0.00219</v>
      </c>
      <c r="J2086" s="19">
        <f>IFERROR(__xludf.DUMMYFUNCTION("""COMPUTED_VALUE"""),0.04752)</f>
        <v>0.04752</v>
      </c>
      <c r="K2086" s="19" t="str">
        <f>IFERROR(__xludf.DUMMYFUNCTION("""COMPUTED_VALUE"""),"-")</f>
        <v>-</v>
      </c>
      <c r="L2086" s="19" t="str">
        <f>IFERROR(__xludf.DUMMYFUNCTION("""COMPUTED_VALUE"""),"-")</f>
        <v>-</v>
      </c>
      <c r="O2086" s="24">
        <f t="shared" si="4"/>
        <v>0</v>
      </c>
      <c r="P2086" s="24"/>
      <c r="Q2086" s="24">
        <f t="shared" si="6"/>
        <v>0</v>
      </c>
      <c r="R2086" s="24">
        <f t="shared" si="7"/>
        <v>0</v>
      </c>
      <c r="S2086" s="24"/>
      <c r="T2086" s="24"/>
    </row>
    <row r="2087">
      <c r="A2087" s="12" t="s">
        <v>2175</v>
      </c>
      <c r="F2087" s="19">
        <f>IFERROR(__xludf.DUMMYFUNCTION("SPLIT(A2083, "" |"")"),2081.0)</f>
        <v>2081</v>
      </c>
      <c r="G2087" s="19">
        <f>IFERROR(__xludf.DUMMYFUNCTION("""COMPUTED_VALUE"""),0.00231)</f>
        <v>0.00231</v>
      </c>
      <c r="H2087" s="19" t="str">
        <f>IFERROR(__xludf.DUMMYFUNCTION("""COMPUTED_VALUE"""),"-")</f>
        <v>-</v>
      </c>
      <c r="I2087" s="19">
        <f>IFERROR(__xludf.DUMMYFUNCTION("""COMPUTED_VALUE"""),0.00212)</f>
        <v>0.00212</v>
      </c>
      <c r="J2087" s="19">
        <f>IFERROR(__xludf.DUMMYFUNCTION("""COMPUTED_VALUE"""),0.04569)</f>
        <v>0.04569</v>
      </c>
      <c r="K2087" s="19" t="str">
        <f>IFERROR(__xludf.DUMMYFUNCTION("""COMPUTED_VALUE"""),"-")</f>
        <v>-</v>
      </c>
      <c r="L2087" s="19" t="str">
        <f>IFERROR(__xludf.DUMMYFUNCTION("""COMPUTED_VALUE"""),"-")</f>
        <v>-</v>
      </c>
      <c r="O2087" s="24">
        <f t="shared" si="4"/>
        <v>0</v>
      </c>
      <c r="P2087" s="24"/>
      <c r="Q2087" s="24">
        <f t="shared" si="6"/>
        <v>0</v>
      </c>
      <c r="R2087" s="24">
        <f t="shared" si="7"/>
        <v>0</v>
      </c>
      <c r="S2087" s="24"/>
      <c r="T2087" s="24"/>
    </row>
    <row r="2088">
      <c r="A2088" s="12" t="s">
        <v>2176</v>
      </c>
      <c r="F2088" s="19">
        <f>IFERROR(__xludf.DUMMYFUNCTION("SPLIT(A2084, "" |"")"),2082.0)</f>
        <v>2082</v>
      </c>
      <c r="G2088" s="19">
        <f>IFERROR(__xludf.DUMMYFUNCTION("""COMPUTED_VALUE"""),0.00224)</f>
        <v>0.00224</v>
      </c>
      <c r="H2088" s="19" t="str">
        <f>IFERROR(__xludf.DUMMYFUNCTION("""COMPUTED_VALUE"""),"-")</f>
        <v>-</v>
      </c>
      <c r="I2088" s="19">
        <f>IFERROR(__xludf.DUMMYFUNCTION("""COMPUTED_VALUE"""),0.00207)</f>
        <v>0.00207</v>
      </c>
      <c r="J2088" s="19">
        <f>IFERROR(__xludf.DUMMYFUNCTION("""COMPUTED_VALUE"""),0.04726)</f>
        <v>0.04726</v>
      </c>
      <c r="K2088" s="19" t="str">
        <f>IFERROR(__xludf.DUMMYFUNCTION("""COMPUTED_VALUE"""),"-")</f>
        <v>-</v>
      </c>
      <c r="L2088" s="19" t="str">
        <f>IFERROR(__xludf.DUMMYFUNCTION("""COMPUTED_VALUE"""),"-")</f>
        <v>-</v>
      </c>
      <c r="O2088" s="24">
        <f t="shared" si="4"/>
        <v>0</v>
      </c>
      <c r="P2088" s="24"/>
      <c r="Q2088" s="24">
        <f t="shared" si="6"/>
        <v>0</v>
      </c>
      <c r="R2088" s="24">
        <f t="shared" si="7"/>
        <v>0</v>
      </c>
      <c r="S2088" s="24"/>
      <c r="T2088" s="24"/>
    </row>
    <row r="2089">
      <c r="A2089" s="12" t="s">
        <v>2177</v>
      </c>
      <c r="F2089" s="19">
        <f>IFERROR(__xludf.DUMMYFUNCTION("SPLIT(A2085, "" |"")"),2083.0)</f>
        <v>2083</v>
      </c>
      <c r="G2089" s="19">
        <f>IFERROR(__xludf.DUMMYFUNCTION("""COMPUTED_VALUE"""),0.00219)</f>
        <v>0.00219</v>
      </c>
      <c r="H2089" s="19" t="str">
        <f>IFERROR(__xludf.DUMMYFUNCTION("""COMPUTED_VALUE"""),"-")</f>
        <v>-</v>
      </c>
      <c r="I2089" s="19">
        <f>IFERROR(__xludf.DUMMYFUNCTION("""COMPUTED_VALUE"""),0.00206)</f>
        <v>0.00206</v>
      </c>
      <c r="J2089" s="19">
        <f>IFERROR(__xludf.DUMMYFUNCTION("""COMPUTED_VALUE"""),0.04187)</f>
        <v>0.04187</v>
      </c>
      <c r="K2089" s="19" t="str">
        <f>IFERROR(__xludf.DUMMYFUNCTION("""COMPUTED_VALUE"""),"-")</f>
        <v>-</v>
      </c>
      <c r="L2089" s="19" t="str">
        <f>IFERROR(__xludf.DUMMYFUNCTION("""COMPUTED_VALUE"""),"-")</f>
        <v>-</v>
      </c>
      <c r="O2089" s="24">
        <f t="shared" si="4"/>
        <v>0</v>
      </c>
      <c r="P2089" s="24"/>
      <c r="Q2089" s="24">
        <f t="shared" si="6"/>
        <v>0</v>
      </c>
      <c r="R2089" s="24">
        <f t="shared" si="7"/>
        <v>1</v>
      </c>
      <c r="S2089" s="24"/>
      <c r="T2089" s="24"/>
    </row>
    <row r="2090">
      <c r="A2090" s="12" t="s">
        <v>2178</v>
      </c>
      <c r="F2090" s="19">
        <f>IFERROR(__xludf.DUMMYFUNCTION("SPLIT(A2086, "" |"")"),2084.0)</f>
        <v>2084</v>
      </c>
      <c r="G2090" s="19">
        <f>IFERROR(__xludf.DUMMYFUNCTION("""COMPUTED_VALUE"""),0.00226)</f>
        <v>0.00226</v>
      </c>
      <c r="H2090" s="19" t="str">
        <f>IFERROR(__xludf.DUMMYFUNCTION("""COMPUTED_VALUE"""),"-")</f>
        <v>-</v>
      </c>
      <c r="I2090" s="19">
        <f>IFERROR(__xludf.DUMMYFUNCTION("""COMPUTED_VALUE"""),0.00209)</f>
        <v>0.00209</v>
      </c>
      <c r="J2090" s="19">
        <f>IFERROR(__xludf.DUMMYFUNCTION("""COMPUTED_VALUE"""),0.047)</f>
        <v>0.047</v>
      </c>
      <c r="K2090" s="19" t="str">
        <f>IFERROR(__xludf.DUMMYFUNCTION("""COMPUTED_VALUE"""),"-")</f>
        <v>-</v>
      </c>
      <c r="L2090" s="19" t="str">
        <f>IFERROR(__xludf.DUMMYFUNCTION("""COMPUTED_VALUE"""),"-")</f>
        <v>-</v>
      </c>
      <c r="O2090" s="24">
        <f t="shared" si="4"/>
        <v>0</v>
      </c>
      <c r="P2090" s="24"/>
      <c r="Q2090" s="24">
        <f t="shared" si="6"/>
        <v>0</v>
      </c>
      <c r="R2090" s="24">
        <f t="shared" si="7"/>
        <v>0</v>
      </c>
      <c r="S2090" s="24"/>
      <c r="T2090" s="24"/>
    </row>
    <row r="2091">
      <c r="A2091" s="12" t="s">
        <v>2179</v>
      </c>
      <c r="F2091" s="19">
        <f>IFERROR(__xludf.DUMMYFUNCTION("SPLIT(A2087, "" |"")"),2085.0)</f>
        <v>2085</v>
      </c>
      <c r="G2091" s="19">
        <f>IFERROR(__xludf.DUMMYFUNCTION("""COMPUTED_VALUE"""),0.00224)</f>
        <v>0.00224</v>
      </c>
      <c r="H2091" s="19" t="str">
        <f>IFERROR(__xludf.DUMMYFUNCTION("""COMPUTED_VALUE"""),"-")</f>
        <v>-</v>
      </c>
      <c r="I2091" s="19">
        <f>IFERROR(__xludf.DUMMYFUNCTION("""COMPUTED_VALUE"""),0.00208)</f>
        <v>0.00208</v>
      </c>
      <c r="J2091" s="19">
        <f>IFERROR(__xludf.DUMMYFUNCTION("""COMPUTED_VALUE"""),0.04733)</f>
        <v>0.04733</v>
      </c>
      <c r="K2091" s="19" t="str">
        <f>IFERROR(__xludf.DUMMYFUNCTION("""COMPUTED_VALUE"""),"-")</f>
        <v>-</v>
      </c>
      <c r="L2091" s="19" t="str">
        <f>IFERROR(__xludf.DUMMYFUNCTION("""COMPUTED_VALUE"""),"-")</f>
        <v>-</v>
      </c>
      <c r="O2091" s="24">
        <f t="shared" si="4"/>
        <v>0</v>
      </c>
      <c r="P2091" s="24"/>
      <c r="Q2091" s="24">
        <f t="shared" si="6"/>
        <v>0</v>
      </c>
      <c r="R2091" s="24">
        <f t="shared" si="7"/>
        <v>0</v>
      </c>
      <c r="S2091" s="24"/>
      <c r="T2091" s="24"/>
    </row>
    <row r="2092">
      <c r="A2092" s="12" t="s">
        <v>2180</v>
      </c>
      <c r="F2092" s="19">
        <f>IFERROR(__xludf.DUMMYFUNCTION("SPLIT(A2088, "" |"")"),2086.0)</f>
        <v>2086</v>
      </c>
      <c r="G2092" s="19">
        <f>IFERROR(__xludf.DUMMYFUNCTION("""COMPUTED_VALUE"""),0.0023)</f>
        <v>0.0023</v>
      </c>
      <c r="H2092" s="19" t="str">
        <f>IFERROR(__xludf.DUMMYFUNCTION("""COMPUTED_VALUE"""),"-")</f>
        <v>-</v>
      </c>
      <c r="I2092" s="19">
        <f>IFERROR(__xludf.DUMMYFUNCTION("""COMPUTED_VALUE"""),0.00209)</f>
        <v>0.00209</v>
      </c>
      <c r="J2092" s="19">
        <f>IFERROR(__xludf.DUMMYFUNCTION("""COMPUTED_VALUE"""),0.04587)</f>
        <v>0.04587</v>
      </c>
      <c r="K2092" s="19" t="str">
        <f>IFERROR(__xludf.DUMMYFUNCTION("""COMPUTED_VALUE"""),"-")</f>
        <v>-</v>
      </c>
      <c r="L2092" s="19" t="str">
        <f>IFERROR(__xludf.DUMMYFUNCTION("""COMPUTED_VALUE"""),"-")</f>
        <v>-</v>
      </c>
      <c r="O2092" s="24">
        <f t="shared" si="4"/>
        <v>0</v>
      </c>
      <c r="P2092" s="24"/>
      <c r="Q2092" s="24">
        <f t="shared" si="6"/>
        <v>0</v>
      </c>
      <c r="R2092" s="24">
        <f t="shared" si="7"/>
        <v>0</v>
      </c>
      <c r="S2092" s="24"/>
      <c r="T2092" s="24"/>
    </row>
    <row r="2093">
      <c r="A2093" s="12" t="s">
        <v>2181</v>
      </c>
      <c r="F2093" s="19">
        <f>IFERROR(__xludf.DUMMYFUNCTION("SPLIT(A2089, "" |"")"),2087.0)</f>
        <v>2087</v>
      </c>
      <c r="G2093" s="19">
        <f>IFERROR(__xludf.DUMMYFUNCTION("""COMPUTED_VALUE"""),0.00221)</f>
        <v>0.00221</v>
      </c>
      <c r="H2093" s="19" t="str">
        <f>IFERROR(__xludf.DUMMYFUNCTION("""COMPUTED_VALUE"""),"-")</f>
        <v>-</v>
      </c>
      <c r="I2093" s="19">
        <f>IFERROR(__xludf.DUMMYFUNCTION("""COMPUTED_VALUE"""),0.00207)</f>
        <v>0.00207</v>
      </c>
      <c r="J2093" s="19">
        <f>IFERROR(__xludf.DUMMYFUNCTION("""COMPUTED_VALUE"""),0.04362)</f>
        <v>0.04362</v>
      </c>
      <c r="K2093" s="19" t="str">
        <f>IFERROR(__xludf.DUMMYFUNCTION("""COMPUTED_VALUE"""),"-")</f>
        <v>-</v>
      </c>
      <c r="L2093" s="19" t="str">
        <f>IFERROR(__xludf.DUMMYFUNCTION("""COMPUTED_VALUE"""),"-")</f>
        <v>-</v>
      </c>
      <c r="O2093" s="24">
        <f t="shared" si="4"/>
        <v>0</v>
      </c>
      <c r="P2093" s="24"/>
      <c r="Q2093" s="24">
        <f t="shared" si="6"/>
        <v>0</v>
      </c>
      <c r="R2093" s="24">
        <f t="shared" si="7"/>
        <v>1</v>
      </c>
      <c r="S2093" s="24"/>
      <c r="T2093" s="24"/>
    </row>
    <row r="2094">
      <c r="A2094" s="12" t="s">
        <v>2182</v>
      </c>
      <c r="F2094" s="19">
        <f>IFERROR(__xludf.DUMMYFUNCTION("SPLIT(A2090, "" |"")"),2088.0)</f>
        <v>2088</v>
      </c>
      <c r="G2094" s="19">
        <f>IFERROR(__xludf.DUMMYFUNCTION("""COMPUTED_VALUE"""),0.00222)</f>
        <v>0.00222</v>
      </c>
      <c r="H2094" s="19" t="str">
        <f>IFERROR(__xludf.DUMMYFUNCTION("""COMPUTED_VALUE"""),"-")</f>
        <v>-</v>
      </c>
      <c r="I2094" s="19">
        <f>IFERROR(__xludf.DUMMYFUNCTION("""COMPUTED_VALUE"""),0.00209)</f>
        <v>0.00209</v>
      </c>
      <c r="J2094" s="19">
        <f>IFERROR(__xludf.DUMMYFUNCTION("""COMPUTED_VALUE"""),0.04738)</f>
        <v>0.04738</v>
      </c>
      <c r="K2094" s="19" t="str">
        <f>IFERROR(__xludf.DUMMYFUNCTION("""COMPUTED_VALUE"""),"-")</f>
        <v>-</v>
      </c>
      <c r="L2094" s="19" t="str">
        <f>IFERROR(__xludf.DUMMYFUNCTION("""COMPUTED_VALUE"""),"-")</f>
        <v>-</v>
      </c>
      <c r="O2094" s="24">
        <f t="shared" si="4"/>
        <v>0</v>
      </c>
      <c r="P2094" s="24"/>
      <c r="Q2094" s="24">
        <f t="shared" si="6"/>
        <v>0</v>
      </c>
      <c r="R2094" s="24">
        <f t="shared" si="7"/>
        <v>0</v>
      </c>
      <c r="S2094" s="24"/>
      <c r="T2094" s="24"/>
    </row>
    <row r="2095">
      <c r="A2095" s="12" t="s">
        <v>2183</v>
      </c>
      <c r="F2095" s="19">
        <f>IFERROR(__xludf.DUMMYFUNCTION("SPLIT(A2091, "" |"")"),2089.0)</f>
        <v>2089</v>
      </c>
      <c r="G2095" s="19">
        <f>IFERROR(__xludf.DUMMYFUNCTION("""COMPUTED_VALUE"""),0.00231)</f>
        <v>0.00231</v>
      </c>
      <c r="H2095" s="19" t="str">
        <f>IFERROR(__xludf.DUMMYFUNCTION("""COMPUTED_VALUE"""),"-")</f>
        <v>-</v>
      </c>
      <c r="I2095" s="19">
        <f>IFERROR(__xludf.DUMMYFUNCTION("""COMPUTED_VALUE"""),0.00211)</f>
        <v>0.00211</v>
      </c>
      <c r="J2095" s="19">
        <f>IFERROR(__xludf.DUMMYFUNCTION("""COMPUTED_VALUE"""),0.04252)</f>
        <v>0.04252</v>
      </c>
      <c r="K2095" s="19" t="str">
        <f>IFERROR(__xludf.DUMMYFUNCTION("""COMPUTED_VALUE"""),"-")</f>
        <v>-</v>
      </c>
      <c r="L2095" s="19" t="str">
        <f>IFERROR(__xludf.DUMMYFUNCTION("""COMPUTED_VALUE"""),"-")</f>
        <v>-</v>
      </c>
      <c r="O2095" s="24">
        <f t="shared" si="4"/>
        <v>0</v>
      </c>
      <c r="P2095" s="24"/>
      <c r="Q2095" s="24">
        <f t="shared" si="6"/>
        <v>0</v>
      </c>
      <c r="R2095" s="24">
        <f t="shared" si="7"/>
        <v>1</v>
      </c>
      <c r="S2095" s="24"/>
      <c r="T2095" s="24"/>
    </row>
    <row r="2096">
      <c r="A2096" s="12" t="s">
        <v>2184</v>
      </c>
      <c r="F2096" s="19">
        <f>IFERROR(__xludf.DUMMYFUNCTION("SPLIT(A2092, "" |"")"),2090.0)</f>
        <v>2090</v>
      </c>
      <c r="G2096" s="19">
        <f>IFERROR(__xludf.DUMMYFUNCTION("""COMPUTED_VALUE"""),0.00228)</f>
        <v>0.00228</v>
      </c>
      <c r="H2096" s="19" t="str">
        <f>IFERROR(__xludf.DUMMYFUNCTION("""COMPUTED_VALUE"""),"-")</f>
        <v>-</v>
      </c>
      <c r="I2096" s="19">
        <f>IFERROR(__xludf.DUMMYFUNCTION("""COMPUTED_VALUE"""),0.00209)</f>
        <v>0.00209</v>
      </c>
      <c r="J2096" s="19">
        <f>IFERROR(__xludf.DUMMYFUNCTION("""COMPUTED_VALUE"""),0.0472)</f>
        <v>0.0472</v>
      </c>
      <c r="K2096" s="19" t="str">
        <f>IFERROR(__xludf.DUMMYFUNCTION("""COMPUTED_VALUE"""),"-")</f>
        <v>-</v>
      </c>
      <c r="L2096" s="19" t="str">
        <f>IFERROR(__xludf.DUMMYFUNCTION("""COMPUTED_VALUE"""),"-")</f>
        <v>-</v>
      </c>
      <c r="O2096" s="24">
        <f t="shared" si="4"/>
        <v>0</v>
      </c>
      <c r="P2096" s="24"/>
      <c r="Q2096" s="24">
        <f t="shared" si="6"/>
        <v>0</v>
      </c>
      <c r="R2096" s="24">
        <f t="shared" si="7"/>
        <v>0</v>
      </c>
      <c r="S2096" s="24"/>
      <c r="T2096" s="24"/>
    </row>
    <row r="2097">
      <c r="A2097" s="12" t="s">
        <v>2185</v>
      </c>
      <c r="F2097" s="19">
        <f>IFERROR(__xludf.DUMMYFUNCTION("SPLIT(A2093, "" |"")"),2091.0)</f>
        <v>2091</v>
      </c>
      <c r="G2097" s="19">
        <f>IFERROR(__xludf.DUMMYFUNCTION("""COMPUTED_VALUE"""),0.00223)</f>
        <v>0.00223</v>
      </c>
      <c r="H2097" s="19" t="str">
        <f>IFERROR(__xludf.DUMMYFUNCTION("""COMPUTED_VALUE"""),"-")</f>
        <v>-</v>
      </c>
      <c r="I2097" s="19">
        <f>IFERROR(__xludf.DUMMYFUNCTION("""COMPUTED_VALUE"""),0.00208)</f>
        <v>0.00208</v>
      </c>
      <c r="J2097" s="19">
        <f>IFERROR(__xludf.DUMMYFUNCTION("""COMPUTED_VALUE"""),0.04725)</f>
        <v>0.04725</v>
      </c>
      <c r="K2097" s="19" t="str">
        <f>IFERROR(__xludf.DUMMYFUNCTION("""COMPUTED_VALUE"""),"-")</f>
        <v>-</v>
      </c>
      <c r="L2097" s="19" t="str">
        <f>IFERROR(__xludf.DUMMYFUNCTION("""COMPUTED_VALUE"""),"-")</f>
        <v>-</v>
      </c>
      <c r="O2097" s="24">
        <f t="shared" si="4"/>
        <v>0</v>
      </c>
      <c r="P2097" s="24"/>
      <c r="Q2097" s="24">
        <f t="shared" si="6"/>
        <v>0</v>
      </c>
      <c r="R2097" s="24">
        <f t="shared" si="7"/>
        <v>0</v>
      </c>
      <c r="S2097" s="24"/>
      <c r="T2097" s="24"/>
    </row>
    <row r="2098">
      <c r="A2098" s="12" t="s">
        <v>2186</v>
      </c>
      <c r="F2098" s="19">
        <f>IFERROR(__xludf.DUMMYFUNCTION("SPLIT(A2094, "" |"")"),2092.0)</f>
        <v>2092</v>
      </c>
      <c r="G2098" s="19">
        <f>IFERROR(__xludf.DUMMYFUNCTION("""COMPUTED_VALUE"""),0.00223)</f>
        <v>0.00223</v>
      </c>
      <c r="H2098" s="19" t="str">
        <f>IFERROR(__xludf.DUMMYFUNCTION("""COMPUTED_VALUE"""),"-")</f>
        <v>-</v>
      </c>
      <c r="I2098" s="19">
        <f>IFERROR(__xludf.DUMMYFUNCTION("""COMPUTED_VALUE"""),0.00209)</f>
        <v>0.00209</v>
      </c>
      <c r="J2098" s="19">
        <f>IFERROR(__xludf.DUMMYFUNCTION("""COMPUTED_VALUE"""),0.0473)</f>
        <v>0.0473</v>
      </c>
      <c r="K2098" s="19" t="str">
        <f>IFERROR(__xludf.DUMMYFUNCTION("""COMPUTED_VALUE"""),"-")</f>
        <v>-</v>
      </c>
      <c r="L2098" s="19" t="str">
        <f>IFERROR(__xludf.DUMMYFUNCTION("""COMPUTED_VALUE"""),"-")</f>
        <v>-</v>
      </c>
      <c r="O2098" s="24">
        <f t="shared" si="4"/>
        <v>0</v>
      </c>
      <c r="P2098" s="24"/>
      <c r="Q2098" s="24">
        <f t="shared" si="6"/>
        <v>0</v>
      </c>
      <c r="R2098" s="24">
        <f t="shared" si="7"/>
        <v>0</v>
      </c>
      <c r="S2098" s="24"/>
      <c r="T2098" s="24"/>
    </row>
    <row r="2099">
      <c r="A2099" s="12" t="s">
        <v>2187</v>
      </c>
      <c r="F2099" s="19">
        <f>IFERROR(__xludf.DUMMYFUNCTION("SPLIT(A2095, "" |"")"),2093.0)</f>
        <v>2093</v>
      </c>
      <c r="G2099" s="19">
        <f>IFERROR(__xludf.DUMMYFUNCTION("""COMPUTED_VALUE"""),0.0023)</f>
        <v>0.0023</v>
      </c>
      <c r="H2099" s="19" t="str">
        <f>IFERROR(__xludf.DUMMYFUNCTION("""COMPUTED_VALUE"""),"-")</f>
        <v>-</v>
      </c>
      <c r="I2099" s="19">
        <f>IFERROR(__xludf.DUMMYFUNCTION("""COMPUTED_VALUE"""),0.00213)</f>
        <v>0.00213</v>
      </c>
      <c r="J2099" s="19">
        <f>IFERROR(__xludf.DUMMYFUNCTION("""COMPUTED_VALUE"""),0.04726)</f>
        <v>0.04726</v>
      </c>
      <c r="K2099" s="19" t="str">
        <f>IFERROR(__xludf.DUMMYFUNCTION("""COMPUTED_VALUE"""),"-")</f>
        <v>-</v>
      </c>
      <c r="L2099" s="19" t="str">
        <f>IFERROR(__xludf.DUMMYFUNCTION("""COMPUTED_VALUE"""),"-")</f>
        <v>-</v>
      </c>
      <c r="O2099" s="24">
        <f t="shared" si="4"/>
        <v>0</v>
      </c>
      <c r="P2099" s="24"/>
      <c r="Q2099" s="24">
        <f t="shared" si="6"/>
        <v>0</v>
      </c>
      <c r="R2099" s="24">
        <f t="shared" si="7"/>
        <v>0</v>
      </c>
      <c r="S2099" s="24"/>
      <c r="T2099" s="24"/>
    </row>
    <row r="2100">
      <c r="A2100" s="12" t="s">
        <v>2188</v>
      </c>
      <c r="F2100" s="19">
        <f>IFERROR(__xludf.DUMMYFUNCTION("SPLIT(A2096, "" |"")"),2094.0)</f>
        <v>2094</v>
      </c>
      <c r="G2100" s="19">
        <f>IFERROR(__xludf.DUMMYFUNCTION("""COMPUTED_VALUE"""),0.00219)</f>
        <v>0.00219</v>
      </c>
      <c r="H2100" s="19" t="str">
        <f>IFERROR(__xludf.DUMMYFUNCTION("""COMPUTED_VALUE"""),"-")</f>
        <v>-</v>
      </c>
      <c r="I2100" s="19">
        <f>IFERROR(__xludf.DUMMYFUNCTION("""COMPUTED_VALUE"""),0.00207)</f>
        <v>0.00207</v>
      </c>
      <c r="J2100" s="19">
        <f>IFERROR(__xludf.DUMMYFUNCTION("""COMPUTED_VALUE"""),0.04726)</f>
        <v>0.04726</v>
      </c>
      <c r="K2100" s="19" t="str">
        <f>IFERROR(__xludf.DUMMYFUNCTION("""COMPUTED_VALUE"""),"-")</f>
        <v>-</v>
      </c>
      <c r="L2100" s="19" t="str">
        <f>IFERROR(__xludf.DUMMYFUNCTION("""COMPUTED_VALUE"""),"-")</f>
        <v>-</v>
      </c>
      <c r="O2100" s="24">
        <f t="shared" si="4"/>
        <v>0</v>
      </c>
      <c r="P2100" s="24"/>
      <c r="Q2100" s="24">
        <f t="shared" si="6"/>
        <v>0</v>
      </c>
      <c r="R2100" s="24">
        <f t="shared" si="7"/>
        <v>0</v>
      </c>
      <c r="S2100" s="24"/>
      <c r="T2100" s="24"/>
    </row>
    <row r="2101">
      <c r="A2101" s="12" t="s">
        <v>2189</v>
      </c>
      <c r="F2101" s="19">
        <f>IFERROR(__xludf.DUMMYFUNCTION("SPLIT(A2097, "" |"")"),2095.0)</f>
        <v>2095</v>
      </c>
      <c r="G2101" s="19">
        <f>IFERROR(__xludf.DUMMYFUNCTION("""COMPUTED_VALUE"""),0.0022)</f>
        <v>0.0022</v>
      </c>
      <c r="H2101" s="19" t="str">
        <f>IFERROR(__xludf.DUMMYFUNCTION("""COMPUTED_VALUE"""),"-")</f>
        <v>-</v>
      </c>
      <c r="I2101" s="19">
        <f>IFERROR(__xludf.DUMMYFUNCTION("""COMPUTED_VALUE"""),0.00208)</f>
        <v>0.00208</v>
      </c>
      <c r="J2101" s="19">
        <f>IFERROR(__xludf.DUMMYFUNCTION("""COMPUTED_VALUE"""),0.04726)</f>
        <v>0.04726</v>
      </c>
      <c r="K2101" s="19" t="str">
        <f>IFERROR(__xludf.DUMMYFUNCTION("""COMPUTED_VALUE"""),"-")</f>
        <v>-</v>
      </c>
      <c r="L2101" s="19" t="str">
        <f>IFERROR(__xludf.DUMMYFUNCTION("""COMPUTED_VALUE"""),"-")</f>
        <v>-</v>
      </c>
      <c r="O2101" s="24">
        <f t="shared" si="4"/>
        <v>0</v>
      </c>
      <c r="P2101" s="24"/>
      <c r="Q2101" s="24">
        <f t="shared" si="6"/>
        <v>0</v>
      </c>
      <c r="R2101" s="24">
        <f t="shared" si="7"/>
        <v>0</v>
      </c>
      <c r="S2101" s="24"/>
      <c r="T2101" s="24"/>
    </row>
    <row r="2102">
      <c r="A2102" s="12" t="s">
        <v>2190</v>
      </c>
      <c r="F2102" s="19">
        <f>IFERROR(__xludf.DUMMYFUNCTION("SPLIT(A2098, "" |"")"),2096.0)</f>
        <v>2096</v>
      </c>
      <c r="G2102" s="19">
        <f>IFERROR(__xludf.DUMMYFUNCTION("""COMPUTED_VALUE"""),0.0022)</f>
        <v>0.0022</v>
      </c>
      <c r="H2102" s="19" t="str">
        <f>IFERROR(__xludf.DUMMYFUNCTION("""COMPUTED_VALUE"""),"-")</f>
        <v>-</v>
      </c>
      <c r="I2102" s="19">
        <f>IFERROR(__xludf.DUMMYFUNCTION("""COMPUTED_VALUE"""),0.00206)</f>
        <v>0.00206</v>
      </c>
      <c r="J2102" s="19">
        <f>IFERROR(__xludf.DUMMYFUNCTION("""COMPUTED_VALUE"""),0.04586)</f>
        <v>0.04586</v>
      </c>
      <c r="K2102" s="19" t="str">
        <f>IFERROR(__xludf.DUMMYFUNCTION("""COMPUTED_VALUE"""),"-")</f>
        <v>-</v>
      </c>
      <c r="L2102" s="19" t="str">
        <f>IFERROR(__xludf.DUMMYFUNCTION("""COMPUTED_VALUE"""),"-")</f>
        <v>-</v>
      </c>
      <c r="O2102" s="24">
        <f t="shared" si="4"/>
        <v>0</v>
      </c>
      <c r="P2102" s="24"/>
      <c r="Q2102" s="24">
        <f t="shared" si="6"/>
        <v>0</v>
      </c>
      <c r="R2102" s="24">
        <f t="shared" si="7"/>
        <v>0</v>
      </c>
      <c r="S2102" s="24"/>
      <c r="T2102" s="24"/>
    </row>
    <row r="2103">
      <c r="A2103" s="12" t="s">
        <v>2191</v>
      </c>
      <c r="F2103" s="19">
        <f>IFERROR(__xludf.DUMMYFUNCTION("SPLIT(A2099, "" |"")"),2097.0)</f>
        <v>2097</v>
      </c>
      <c r="G2103" s="19">
        <f>IFERROR(__xludf.DUMMYFUNCTION("""COMPUTED_VALUE"""),0.00229)</f>
        <v>0.00229</v>
      </c>
      <c r="H2103" s="19" t="str">
        <f>IFERROR(__xludf.DUMMYFUNCTION("""COMPUTED_VALUE"""),"-")</f>
        <v>-</v>
      </c>
      <c r="I2103" s="19">
        <f>IFERROR(__xludf.DUMMYFUNCTION("""COMPUTED_VALUE"""),0.00216)</f>
        <v>0.00216</v>
      </c>
      <c r="J2103" s="19">
        <f>IFERROR(__xludf.DUMMYFUNCTION("""COMPUTED_VALUE"""),0.0465)</f>
        <v>0.0465</v>
      </c>
      <c r="K2103" s="19" t="str">
        <f>IFERROR(__xludf.DUMMYFUNCTION("""COMPUTED_VALUE"""),"-")</f>
        <v>-</v>
      </c>
      <c r="L2103" s="19" t="str">
        <f>IFERROR(__xludf.DUMMYFUNCTION("""COMPUTED_VALUE"""),"-")</f>
        <v>-</v>
      </c>
      <c r="O2103" s="24">
        <f t="shared" si="4"/>
        <v>0</v>
      </c>
      <c r="P2103" s="24"/>
      <c r="Q2103" s="24">
        <f t="shared" si="6"/>
        <v>0</v>
      </c>
      <c r="R2103" s="24">
        <f t="shared" si="7"/>
        <v>0</v>
      </c>
      <c r="S2103" s="24"/>
      <c r="T2103" s="24"/>
    </row>
    <row r="2104">
      <c r="A2104" s="12" t="s">
        <v>2192</v>
      </c>
      <c r="F2104" s="19">
        <f>IFERROR(__xludf.DUMMYFUNCTION("SPLIT(A2100, "" |"")"),2098.0)</f>
        <v>2098</v>
      </c>
      <c r="G2104" s="19">
        <f>IFERROR(__xludf.DUMMYFUNCTION("""COMPUTED_VALUE"""),0.00225)</f>
        <v>0.00225</v>
      </c>
      <c r="H2104" s="19" t="str">
        <f>IFERROR(__xludf.DUMMYFUNCTION("""COMPUTED_VALUE"""),"-")</f>
        <v>-</v>
      </c>
      <c r="I2104" s="19">
        <f>IFERROR(__xludf.DUMMYFUNCTION("""COMPUTED_VALUE"""),0.0021)</f>
        <v>0.0021</v>
      </c>
      <c r="J2104" s="19">
        <f>IFERROR(__xludf.DUMMYFUNCTION("""COMPUTED_VALUE"""),0.04744)</f>
        <v>0.04744</v>
      </c>
      <c r="K2104" s="19" t="str">
        <f>IFERROR(__xludf.DUMMYFUNCTION("""COMPUTED_VALUE"""),"-")</f>
        <v>-</v>
      </c>
      <c r="L2104" s="19" t="str">
        <f>IFERROR(__xludf.DUMMYFUNCTION("""COMPUTED_VALUE"""),"-")</f>
        <v>-</v>
      </c>
      <c r="O2104" s="24">
        <f t="shared" si="4"/>
        <v>0</v>
      </c>
      <c r="P2104" s="24"/>
      <c r="Q2104" s="24">
        <f t="shared" si="6"/>
        <v>0</v>
      </c>
      <c r="R2104" s="24">
        <f t="shared" si="7"/>
        <v>0</v>
      </c>
      <c r="S2104" s="24"/>
      <c r="T2104" s="24"/>
    </row>
    <row r="2105">
      <c r="A2105" s="12" t="s">
        <v>2193</v>
      </c>
      <c r="F2105" s="19">
        <f>IFERROR(__xludf.DUMMYFUNCTION("SPLIT(A2101, "" |"")"),2099.0)</f>
        <v>2099</v>
      </c>
      <c r="G2105" s="19">
        <f>IFERROR(__xludf.DUMMYFUNCTION("""COMPUTED_VALUE"""),0.0023)</f>
        <v>0.0023</v>
      </c>
      <c r="H2105" s="19" t="str">
        <f>IFERROR(__xludf.DUMMYFUNCTION("""COMPUTED_VALUE"""),"-")</f>
        <v>-</v>
      </c>
      <c r="I2105" s="19">
        <f>IFERROR(__xludf.DUMMYFUNCTION("""COMPUTED_VALUE"""),0.00223)</f>
        <v>0.00223</v>
      </c>
      <c r="J2105" s="19">
        <f>IFERROR(__xludf.DUMMYFUNCTION("""COMPUTED_VALUE"""),0.04236)</f>
        <v>0.04236</v>
      </c>
      <c r="K2105" s="19" t="str">
        <f>IFERROR(__xludf.DUMMYFUNCTION("""COMPUTED_VALUE"""),"-")</f>
        <v>-</v>
      </c>
      <c r="L2105" s="19" t="str">
        <f>IFERROR(__xludf.DUMMYFUNCTION("""COMPUTED_VALUE"""),"-")</f>
        <v>-</v>
      </c>
      <c r="O2105" s="24">
        <f t="shared" si="4"/>
        <v>0</v>
      </c>
      <c r="P2105" s="24"/>
      <c r="Q2105" s="24">
        <f t="shared" si="6"/>
        <v>0</v>
      </c>
      <c r="R2105" s="24">
        <f t="shared" si="7"/>
        <v>1</v>
      </c>
      <c r="S2105" s="24"/>
      <c r="T2105" s="24"/>
    </row>
    <row r="2106">
      <c r="A2106" s="12" t="s">
        <v>2194</v>
      </c>
      <c r="F2106" s="19">
        <f>IFERROR(__xludf.DUMMYFUNCTION("SPLIT(A2102, "" |"")"),2100.0)</f>
        <v>2100</v>
      </c>
      <c r="G2106" s="19">
        <f>IFERROR(__xludf.DUMMYFUNCTION("""COMPUTED_VALUE"""),0.0024)</f>
        <v>0.0024</v>
      </c>
      <c r="H2106" s="19" t="str">
        <f>IFERROR(__xludf.DUMMYFUNCTION("""COMPUTED_VALUE"""),"-")</f>
        <v>-</v>
      </c>
      <c r="I2106" s="19">
        <f>IFERROR(__xludf.DUMMYFUNCTION("""COMPUTED_VALUE"""),0.00225)</f>
        <v>0.00225</v>
      </c>
      <c r="J2106" s="19">
        <f>IFERROR(__xludf.DUMMYFUNCTION("""COMPUTED_VALUE"""),0.04733)</f>
        <v>0.04733</v>
      </c>
      <c r="K2106" s="19" t="str">
        <f>IFERROR(__xludf.DUMMYFUNCTION("""COMPUTED_VALUE"""),"-")</f>
        <v>-</v>
      </c>
      <c r="L2106" s="19" t="str">
        <f>IFERROR(__xludf.DUMMYFUNCTION("""COMPUTED_VALUE"""),"-")</f>
        <v>-</v>
      </c>
      <c r="O2106" s="24">
        <f t="shared" si="4"/>
        <v>0</v>
      </c>
      <c r="P2106" s="24"/>
      <c r="Q2106" s="24">
        <f t="shared" si="6"/>
        <v>0</v>
      </c>
      <c r="R2106" s="24">
        <f t="shared" si="7"/>
        <v>0</v>
      </c>
      <c r="S2106" s="24"/>
      <c r="T2106" s="24"/>
    </row>
    <row r="2107">
      <c r="A2107" s="12" t="s">
        <v>2195</v>
      </c>
      <c r="F2107" s="19">
        <f>IFERROR(__xludf.DUMMYFUNCTION("SPLIT(A2103, "" |"")"),2101.0)</f>
        <v>2101</v>
      </c>
      <c r="G2107" s="19">
        <f>IFERROR(__xludf.DUMMYFUNCTION("""COMPUTED_VALUE"""),0.00236)</f>
        <v>0.00236</v>
      </c>
      <c r="H2107" s="19" t="str">
        <f>IFERROR(__xludf.DUMMYFUNCTION("""COMPUTED_VALUE"""),"-")</f>
        <v>-</v>
      </c>
      <c r="I2107" s="19">
        <f>IFERROR(__xludf.DUMMYFUNCTION("""COMPUTED_VALUE"""),0.00211)</f>
        <v>0.00211</v>
      </c>
      <c r="J2107" s="19">
        <f>IFERROR(__xludf.DUMMYFUNCTION("""COMPUTED_VALUE"""),0.04734)</f>
        <v>0.04734</v>
      </c>
      <c r="K2107" s="19" t="str">
        <f>IFERROR(__xludf.DUMMYFUNCTION("""COMPUTED_VALUE"""),"-")</f>
        <v>-</v>
      </c>
      <c r="L2107" s="19" t="str">
        <f>IFERROR(__xludf.DUMMYFUNCTION("""COMPUTED_VALUE"""),"-")</f>
        <v>-</v>
      </c>
      <c r="O2107" s="24">
        <f t="shared" si="4"/>
        <v>0</v>
      </c>
      <c r="P2107" s="24"/>
      <c r="Q2107" s="24">
        <f t="shared" si="6"/>
        <v>0</v>
      </c>
      <c r="R2107" s="24">
        <f t="shared" si="7"/>
        <v>0</v>
      </c>
      <c r="S2107" s="24"/>
      <c r="T2107" s="24"/>
    </row>
    <row r="2108">
      <c r="A2108" s="12" t="s">
        <v>2196</v>
      </c>
      <c r="F2108" s="19">
        <f>IFERROR(__xludf.DUMMYFUNCTION("SPLIT(A2104, "" |"")"),2102.0)</f>
        <v>2102</v>
      </c>
      <c r="G2108" s="19">
        <f>IFERROR(__xludf.DUMMYFUNCTION("""COMPUTED_VALUE"""),0.00246)</f>
        <v>0.00246</v>
      </c>
      <c r="H2108" s="19" t="str">
        <f>IFERROR(__xludf.DUMMYFUNCTION("""COMPUTED_VALUE"""),"-")</f>
        <v>-</v>
      </c>
      <c r="I2108" s="19">
        <f>IFERROR(__xludf.DUMMYFUNCTION("""COMPUTED_VALUE"""),0.00216)</f>
        <v>0.00216</v>
      </c>
      <c r="J2108" s="19">
        <f>IFERROR(__xludf.DUMMYFUNCTION("""COMPUTED_VALUE"""),0.04741)</f>
        <v>0.04741</v>
      </c>
      <c r="K2108" s="19" t="str">
        <f>IFERROR(__xludf.DUMMYFUNCTION("""COMPUTED_VALUE"""),"-")</f>
        <v>-</v>
      </c>
      <c r="L2108" s="19" t="str">
        <f>IFERROR(__xludf.DUMMYFUNCTION("""COMPUTED_VALUE"""),"-")</f>
        <v>-</v>
      </c>
      <c r="O2108" s="24">
        <f t="shared" si="4"/>
        <v>0</v>
      </c>
      <c r="P2108" s="24"/>
      <c r="Q2108" s="24">
        <f t="shared" si="6"/>
        <v>0</v>
      </c>
      <c r="R2108" s="24">
        <f t="shared" si="7"/>
        <v>0</v>
      </c>
      <c r="S2108" s="24"/>
      <c r="T2108" s="24"/>
    </row>
    <row r="2109">
      <c r="A2109" s="12" t="s">
        <v>2197</v>
      </c>
      <c r="F2109" s="19">
        <f>IFERROR(__xludf.DUMMYFUNCTION("SPLIT(A2105, "" |"")"),2103.0)</f>
        <v>2103</v>
      </c>
      <c r="G2109" s="19">
        <f>IFERROR(__xludf.DUMMYFUNCTION("""COMPUTED_VALUE"""),0.00237)</f>
        <v>0.00237</v>
      </c>
      <c r="H2109" s="19" t="str">
        <f>IFERROR(__xludf.DUMMYFUNCTION("""COMPUTED_VALUE"""),"-")</f>
        <v>-</v>
      </c>
      <c r="I2109" s="19">
        <f>IFERROR(__xludf.DUMMYFUNCTION("""COMPUTED_VALUE"""),0.00222)</f>
        <v>0.00222</v>
      </c>
      <c r="J2109" s="19">
        <f>IFERROR(__xludf.DUMMYFUNCTION("""COMPUTED_VALUE"""),0.04745)</f>
        <v>0.04745</v>
      </c>
      <c r="K2109" s="19" t="str">
        <f>IFERROR(__xludf.DUMMYFUNCTION("""COMPUTED_VALUE"""),"-")</f>
        <v>-</v>
      </c>
      <c r="L2109" s="19" t="str">
        <f>IFERROR(__xludf.DUMMYFUNCTION("""COMPUTED_VALUE"""),"-")</f>
        <v>-</v>
      </c>
      <c r="O2109" s="24">
        <f t="shared" si="4"/>
        <v>0</v>
      </c>
      <c r="P2109" s="24"/>
      <c r="Q2109" s="24">
        <f t="shared" si="6"/>
        <v>0</v>
      </c>
      <c r="R2109" s="24">
        <f t="shared" si="7"/>
        <v>0</v>
      </c>
      <c r="S2109" s="24"/>
      <c r="T2109" s="24"/>
    </row>
    <row r="2110">
      <c r="A2110" s="12" t="s">
        <v>2198</v>
      </c>
      <c r="F2110" s="19">
        <f>IFERROR(__xludf.DUMMYFUNCTION("SPLIT(A2106, "" |"")"),2104.0)</f>
        <v>2104</v>
      </c>
      <c r="G2110" s="19">
        <f>IFERROR(__xludf.DUMMYFUNCTION("""COMPUTED_VALUE"""),0.00232)</f>
        <v>0.00232</v>
      </c>
      <c r="H2110" s="19" t="str">
        <f>IFERROR(__xludf.DUMMYFUNCTION("""COMPUTED_VALUE"""),"-")</f>
        <v>-</v>
      </c>
      <c r="I2110" s="19">
        <f>IFERROR(__xludf.DUMMYFUNCTION("""COMPUTED_VALUE"""),0.00219)</f>
        <v>0.00219</v>
      </c>
      <c r="J2110" s="19">
        <f>IFERROR(__xludf.DUMMYFUNCTION("""COMPUTED_VALUE"""),0.04733)</f>
        <v>0.04733</v>
      </c>
      <c r="K2110" s="19" t="str">
        <f>IFERROR(__xludf.DUMMYFUNCTION("""COMPUTED_VALUE"""),"-")</f>
        <v>-</v>
      </c>
      <c r="L2110" s="19" t="str">
        <f>IFERROR(__xludf.DUMMYFUNCTION("""COMPUTED_VALUE"""),"-")</f>
        <v>-</v>
      </c>
      <c r="O2110" s="24">
        <f t="shared" si="4"/>
        <v>0</v>
      </c>
      <c r="P2110" s="24"/>
      <c r="Q2110" s="24">
        <f t="shared" si="6"/>
        <v>0</v>
      </c>
      <c r="R2110" s="24">
        <f t="shared" si="7"/>
        <v>0</v>
      </c>
      <c r="S2110" s="24"/>
      <c r="T2110" s="24"/>
    </row>
    <row r="2111">
      <c r="A2111" s="12" t="s">
        <v>2199</v>
      </c>
      <c r="F2111" s="19">
        <f>IFERROR(__xludf.DUMMYFUNCTION("SPLIT(A2107, "" |"")"),2105.0)</f>
        <v>2105</v>
      </c>
      <c r="G2111" s="19">
        <f>IFERROR(__xludf.DUMMYFUNCTION("""COMPUTED_VALUE"""),0.00222)</f>
        <v>0.00222</v>
      </c>
      <c r="H2111" s="19" t="str">
        <f>IFERROR(__xludf.DUMMYFUNCTION("""COMPUTED_VALUE"""),"-")</f>
        <v>-</v>
      </c>
      <c r="I2111" s="19">
        <f>IFERROR(__xludf.DUMMYFUNCTION("""COMPUTED_VALUE"""),0.0021)</f>
        <v>0.0021</v>
      </c>
      <c r="J2111" s="19">
        <f>IFERROR(__xludf.DUMMYFUNCTION("""COMPUTED_VALUE"""),0.04729)</f>
        <v>0.04729</v>
      </c>
      <c r="K2111" s="19" t="str">
        <f>IFERROR(__xludf.DUMMYFUNCTION("""COMPUTED_VALUE"""),"-")</f>
        <v>-</v>
      </c>
      <c r="L2111" s="19" t="str">
        <f>IFERROR(__xludf.DUMMYFUNCTION("""COMPUTED_VALUE"""),"-")</f>
        <v>-</v>
      </c>
      <c r="O2111" s="24">
        <f t="shared" si="4"/>
        <v>0</v>
      </c>
      <c r="P2111" s="24"/>
      <c r="Q2111" s="24">
        <f t="shared" si="6"/>
        <v>0</v>
      </c>
      <c r="R2111" s="24">
        <f t="shared" si="7"/>
        <v>0</v>
      </c>
      <c r="S2111" s="24"/>
      <c r="T2111" s="24"/>
    </row>
    <row r="2112">
      <c r="A2112" s="12" t="s">
        <v>2200</v>
      </c>
      <c r="F2112" s="19">
        <f>IFERROR(__xludf.DUMMYFUNCTION("SPLIT(A2108, "" |"")"),2106.0)</f>
        <v>2106</v>
      </c>
      <c r="G2112" s="19">
        <f>IFERROR(__xludf.DUMMYFUNCTION("""COMPUTED_VALUE"""),0.00223)</f>
        <v>0.00223</v>
      </c>
      <c r="H2112" s="19" t="str">
        <f>IFERROR(__xludf.DUMMYFUNCTION("""COMPUTED_VALUE"""),"-")</f>
        <v>-</v>
      </c>
      <c r="I2112" s="19">
        <f>IFERROR(__xludf.DUMMYFUNCTION("""COMPUTED_VALUE"""),0.0021)</f>
        <v>0.0021</v>
      </c>
      <c r="J2112" s="19">
        <f>IFERROR(__xludf.DUMMYFUNCTION("""COMPUTED_VALUE"""),0.04731)</f>
        <v>0.04731</v>
      </c>
      <c r="K2112" s="19" t="str">
        <f>IFERROR(__xludf.DUMMYFUNCTION("""COMPUTED_VALUE"""),"-")</f>
        <v>-</v>
      </c>
      <c r="L2112" s="19" t="str">
        <f>IFERROR(__xludf.DUMMYFUNCTION("""COMPUTED_VALUE"""),"-")</f>
        <v>-</v>
      </c>
      <c r="O2112" s="24">
        <f t="shared" si="4"/>
        <v>0</v>
      </c>
      <c r="P2112" s="24"/>
      <c r="Q2112" s="24">
        <f t="shared" si="6"/>
        <v>0</v>
      </c>
      <c r="R2112" s="24">
        <f t="shared" si="7"/>
        <v>0</v>
      </c>
      <c r="S2112" s="24"/>
      <c r="T2112" s="24"/>
    </row>
    <row r="2113">
      <c r="A2113" s="12" t="s">
        <v>2201</v>
      </c>
      <c r="F2113" s="19">
        <f>IFERROR(__xludf.DUMMYFUNCTION("SPLIT(A2109, "" |"")"),2107.0)</f>
        <v>2107</v>
      </c>
      <c r="G2113" s="19">
        <f>IFERROR(__xludf.DUMMYFUNCTION("""COMPUTED_VALUE"""),0.00236)</f>
        <v>0.00236</v>
      </c>
      <c r="H2113" s="19" t="str">
        <f>IFERROR(__xludf.DUMMYFUNCTION("""COMPUTED_VALUE"""),"-")</f>
        <v>-</v>
      </c>
      <c r="I2113" s="19">
        <f>IFERROR(__xludf.DUMMYFUNCTION("""COMPUTED_VALUE"""),0.00224)</f>
        <v>0.00224</v>
      </c>
      <c r="J2113" s="19">
        <f>IFERROR(__xludf.DUMMYFUNCTION("""COMPUTED_VALUE"""),0.04741)</f>
        <v>0.04741</v>
      </c>
      <c r="K2113" s="19" t="str">
        <f>IFERROR(__xludf.DUMMYFUNCTION("""COMPUTED_VALUE"""),"-")</f>
        <v>-</v>
      </c>
      <c r="L2113" s="19" t="str">
        <f>IFERROR(__xludf.DUMMYFUNCTION("""COMPUTED_VALUE"""),"-")</f>
        <v>-</v>
      </c>
      <c r="O2113" s="24">
        <f t="shared" si="4"/>
        <v>0</v>
      </c>
      <c r="P2113" s="24"/>
      <c r="Q2113" s="24">
        <f t="shared" si="6"/>
        <v>0</v>
      </c>
      <c r="R2113" s="24">
        <f t="shared" si="7"/>
        <v>0</v>
      </c>
      <c r="S2113" s="24"/>
      <c r="T2113" s="24"/>
    </row>
    <row r="2114">
      <c r="A2114" s="12" t="s">
        <v>2202</v>
      </c>
      <c r="F2114" s="19">
        <f>IFERROR(__xludf.DUMMYFUNCTION("SPLIT(A2110, "" |"")"),2108.0)</f>
        <v>2108</v>
      </c>
      <c r="G2114" s="19">
        <f>IFERROR(__xludf.DUMMYFUNCTION("""COMPUTED_VALUE"""),0.00244)</f>
        <v>0.00244</v>
      </c>
      <c r="H2114" s="19" t="str">
        <f>IFERROR(__xludf.DUMMYFUNCTION("""COMPUTED_VALUE"""),"-")</f>
        <v>-</v>
      </c>
      <c r="I2114" s="19">
        <f>IFERROR(__xludf.DUMMYFUNCTION("""COMPUTED_VALUE"""),0.00219)</f>
        <v>0.00219</v>
      </c>
      <c r="J2114" s="19">
        <f>IFERROR(__xludf.DUMMYFUNCTION("""COMPUTED_VALUE"""),0.04745)</f>
        <v>0.04745</v>
      </c>
      <c r="K2114" s="19" t="str">
        <f>IFERROR(__xludf.DUMMYFUNCTION("""COMPUTED_VALUE"""),"-")</f>
        <v>-</v>
      </c>
      <c r="L2114" s="19" t="str">
        <f>IFERROR(__xludf.DUMMYFUNCTION("""COMPUTED_VALUE"""),"-")</f>
        <v>-</v>
      </c>
      <c r="O2114" s="24">
        <f t="shared" si="4"/>
        <v>0</v>
      </c>
      <c r="P2114" s="24"/>
      <c r="Q2114" s="24">
        <f t="shared" si="6"/>
        <v>0</v>
      </c>
      <c r="R2114" s="24">
        <f t="shared" si="7"/>
        <v>0</v>
      </c>
      <c r="S2114" s="24"/>
      <c r="T2114" s="24"/>
    </row>
    <row r="2115">
      <c r="A2115" s="12" t="s">
        <v>2203</v>
      </c>
      <c r="F2115" s="19">
        <f>IFERROR(__xludf.DUMMYFUNCTION("SPLIT(A2111, "" |"")"),2109.0)</f>
        <v>2109</v>
      </c>
      <c r="G2115" s="19">
        <f>IFERROR(__xludf.DUMMYFUNCTION("""COMPUTED_VALUE"""),0.00241)</f>
        <v>0.00241</v>
      </c>
      <c r="H2115" s="19" t="str">
        <f>IFERROR(__xludf.DUMMYFUNCTION("""COMPUTED_VALUE"""),"-")</f>
        <v>-</v>
      </c>
      <c r="I2115" s="19">
        <f>IFERROR(__xludf.DUMMYFUNCTION("""COMPUTED_VALUE"""),0.00247)</f>
        <v>0.00247</v>
      </c>
      <c r="J2115" s="19">
        <f>IFERROR(__xludf.DUMMYFUNCTION("""COMPUTED_VALUE"""),0.04198)</f>
        <v>0.04198</v>
      </c>
      <c r="K2115" s="19" t="str">
        <f>IFERROR(__xludf.DUMMYFUNCTION("""COMPUTED_VALUE"""),"-")</f>
        <v>-</v>
      </c>
      <c r="L2115" s="19" t="str">
        <f>IFERROR(__xludf.DUMMYFUNCTION("""COMPUTED_VALUE"""),"-")</f>
        <v>-</v>
      </c>
      <c r="O2115" s="24">
        <f t="shared" si="4"/>
        <v>0</v>
      </c>
      <c r="P2115" s="24"/>
      <c r="Q2115" s="24">
        <f t="shared" si="6"/>
        <v>0</v>
      </c>
      <c r="R2115" s="24">
        <f t="shared" si="7"/>
        <v>1</v>
      </c>
      <c r="S2115" s="24"/>
      <c r="T2115" s="24"/>
    </row>
    <row r="2116">
      <c r="A2116" s="12" t="s">
        <v>2204</v>
      </c>
      <c r="F2116" s="19">
        <f>IFERROR(__xludf.DUMMYFUNCTION("SPLIT(A2112, "" |"")"),2110.0)</f>
        <v>2110</v>
      </c>
      <c r="G2116" s="19">
        <f>IFERROR(__xludf.DUMMYFUNCTION("""COMPUTED_VALUE"""),0.00242)</f>
        <v>0.00242</v>
      </c>
      <c r="H2116" s="19" t="str">
        <f>IFERROR(__xludf.DUMMYFUNCTION("""COMPUTED_VALUE"""),"-")</f>
        <v>-</v>
      </c>
      <c r="I2116" s="19">
        <f>IFERROR(__xludf.DUMMYFUNCTION("""COMPUTED_VALUE"""),0.00224)</f>
        <v>0.00224</v>
      </c>
      <c r="J2116" s="19">
        <f>IFERROR(__xludf.DUMMYFUNCTION("""COMPUTED_VALUE"""),0.04044)</f>
        <v>0.04044</v>
      </c>
      <c r="K2116" s="19" t="str">
        <f>IFERROR(__xludf.DUMMYFUNCTION("""COMPUTED_VALUE"""),"-")</f>
        <v>-</v>
      </c>
      <c r="L2116" s="19" t="str">
        <f>IFERROR(__xludf.DUMMYFUNCTION("""COMPUTED_VALUE"""),"-")</f>
        <v>-</v>
      </c>
      <c r="O2116" s="24">
        <f t="shared" si="4"/>
        <v>0</v>
      </c>
      <c r="P2116" s="24"/>
      <c r="Q2116" s="24">
        <f t="shared" si="6"/>
        <v>0</v>
      </c>
      <c r="R2116" s="24">
        <f t="shared" si="7"/>
        <v>1</v>
      </c>
      <c r="S2116" s="24"/>
      <c r="T2116" s="24"/>
    </row>
    <row r="2117">
      <c r="A2117" s="12" t="s">
        <v>2205</v>
      </c>
      <c r="F2117" s="19">
        <f>IFERROR(__xludf.DUMMYFUNCTION("SPLIT(A2113, "" |"")"),2111.0)</f>
        <v>2111</v>
      </c>
      <c r="G2117" s="19">
        <f>IFERROR(__xludf.DUMMYFUNCTION("""COMPUTED_VALUE"""),0.00219)</f>
        <v>0.00219</v>
      </c>
      <c r="H2117" s="19" t="str">
        <f>IFERROR(__xludf.DUMMYFUNCTION("""COMPUTED_VALUE"""),"-")</f>
        <v>-</v>
      </c>
      <c r="I2117" s="19">
        <f>IFERROR(__xludf.DUMMYFUNCTION("""COMPUTED_VALUE"""),0.00203)</f>
        <v>0.00203</v>
      </c>
      <c r="J2117" s="19">
        <f>IFERROR(__xludf.DUMMYFUNCTION("""COMPUTED_VALUE"""),0.04737)</f>
        <v>0.04737</v>
      </c>
      <c r="K2117" s="19" t="str">
        <f>IFERROR(__xludf.DUMMYFUNCTION("""COMPUTED_VALUE"""),"-")</f>
        <v>-</v>
      </c>
      <c r="L2117" s="19" t="str">
        <f>IFERROR(__xludf.DUMMYFUNCTION("""COMPUTED_VALUE"""),"-")</f>
        <v>-</v>
      </c>
      <c r="O2117" s="24">
        <f t="shared" si="4"/>
        <v>0</v>
      </c>
      <c r="P2117" s="24"/>
      <c r="Q2117" s="24">
        <f t="shared" si="6"/>
        <v>0</v>
      </c>
      <c r="R2117" s="24">
        <f t="shared" si="7"/>
        <v>0</v>
      </c>
      <c r="S2117" s="24"/>
      <c r="T2117" s="24"/>
    </row>
    <row r="2118">
      <c r="A2118" s="12" t="s">
        <v>2206</v>
      </c>
      <c r="F2118" s="19">
        <f>IFERROR(__xludf.DUMMYFUNCTION("SPLIT(A2114, "" |"")"),2112.0)</f>
        <v>2112</v>
      </c>
      <c r="G2118" s="19">
        <f>IFERROR(__xludf.DUMMYFUNCTION("""COMPUTED_VALUE"""),0.00233)</f>
        <v>0.00233</v>
      </c>
      <c r="H2118" s="19" t="str">
        <f>IFERROR(__xludf.DUMMYFUNCTION("""COMPUTED_VALUE"""),"-")</f>
        <v>-</v>
      </c>
      <c r="I2118" s="19">
        <f>IFERROR(__xludf.DUMMYFUNCTION("""COMPUTED_VALUE"""),0.00211)</f>
        <v>0.00211</v>
      </c>
      <c r="J2118" s="19">
        <f>IFERROR(__xludf.DUMMYFUNCTION("""COMPUTED_VALUE"""),0.04737)</f>
        <v>0.04737</v>
      </c>
      <c r="K2118" s="19" t="str">
        <f>IFERROR(__xludf.DUMMYFUNCTION("""COMPUTED_VALUE"""),"-")</f>
        <v>-</v>
      </c>
      <c r="L2118" s="19" t="str">
        <f>IFERROR(__xludf.DUMMYFUNCTION("""COMPUTED_VALUE"""),"-")</f>
        <v>-</v>
      </c>
      <c r="O2118" s="24">
        <f t="shared" si="4"/>
        <v>0</v>
      </c>
      <c r="P2118" s="24"/>
      <c r="Q2118" s="24">
        <f t="shared" si="6"/>
        <v>0</v>
      </c>
      <c r="R2118" s="24">
        <f t="shared" si="7"/>
        <v>0</v>
      </c>
      <c r="S2118" s="24"/>
      <c r="T2118" s="24"/>
    </row>
    <row r="2119">
      <c r="A2119" s="12" t="s">
        <v>2207</v>
      </c>
      <c r="F2119" s="19">
        <f>IFERROR(__xludf.DUMMYFUNCTION("SPLIT(A2115, "" |"")"),2113.0)</f>
        <v>2113</v>
      </c>
      <c r="G2119" s="19">
        <f>IFERROR(__xludf.DUMMYFUNCTION("""COMPUTED_VALUE"""),0.00239)</f>
        <v>0.00239</v>
      </c>
      <c r="H2119" s="19" t="str">
        <f>IFERROR(__xludf.DUMMYFUNCTION("""COMPUTED_VALUE"""),"-")</f>
        <v>-</v>
      </c>
      <c r="I2119" s="19">
        <f>IFERROR(__xludf.DUMMYFUNCTION("""COMPUTED_VALUE"""),0.00228)</f>
        <v>0.00228</v>
      </c>
      <c r="J2119" s="19">
        <f>IFERROR(__xludf.DUMMYFUNCTION("""COMPUTED_VALUE"""),0.04747)</f>
        <v>0.04747</v>
      </c>
      <c r="K2119" s="19" t="str">
        <f>IFERROR(__xludf.DUMMYFUNCTION("""COMPUTED_VALUE"""),"-")</f>
        <v>-</v>
      </c>
      <c r="L2119" s="19" t="str">
        <f>IFERROR(__xludf.DUMMYFUNCTION("""COMPUTED_VALUE"""),"-")</f>
        <v>-</v>
      </c>
      <c r="O2119" s="24">
        <f t="shared" si="4"/>
        <v>0</v>
      </c>
      <c r="P2119" s="24"/>
      <c r="Q2119" s="24">
        <f t="shared" si="6"/>
        <v>0</v>
      </c>
      <c r="R2119" s="24">
        <f t="shared" si="7"/>
        <v>0</v>
      </c>
      <c r="S2119" s="24"/>
      <c r="T2119" s="24"/>
    </row>
    <row r="2120">
      <c r="A2120" s="12" t="s">
        <v>2208</v>
      </c>
      <c r="F2120" s="19">
        <f>IFERROR(__xludf.DUMMYFUNCTION("SPLIT(A2116, "" |"")"),2114.0)</f>
        <v>2114</v>
      </c>
      <c r="G2120" s="19">
        <f>IFERROR(__xludf.DUMMYFUNCTION("""COMPUTED_VALUE"""),0.00227)</f>
        <v>0.00227</v>
      </c>
      <c r="H2120" s="19" t="str">
        <f>IFERROR(__xludf.DUMMYFUNCTION("""COMPUTED_VALUE"""),"-")</f>
        <v>-</v>
      </c>
      <c r="I2120" s="19">
        <f>IFERROR(__xludf.DUMMYFUNCTION("""COMPUTED_VALUE"""),0.00226)</f>
        <v>0.00226</v>
      </c>
      <c r="J2120" s="19">
        <f>IFERROR(__xludf.DUMMYFUNCTION("""COMPUTED_VALUE"""),0.04736)</f>
        <v>0.04736</v>
      </c>
      <c r="K2120" s="19" t="str">
        <f>IFERROR(__xludf.DUMMYFUNCTION("""COMPUTED_VALUE"""),"-")</f>
        <v>-</v>
      </c>
      <c r="L2120" s="19" t="str">
        <f>IFERROR(__xludf.DUMMYFUNCTION("""COMPUTED_VALUE"""),"-")</f>
        <v>-</v>
      </c>
      <c r="O2120" s="24">
        <f t="shared" si="4"/>
        <v>0</v>
      </c>
      <c r="P2120" s="24"/>
      <c r="Q2120" s="24">
        <f t="shared" si="6"/>
        <v>0</v>
      </c>
      <c r="R2120" s="24">
        <f t="shared" si="7"/>
        <v>0</v>
      </c>
      <c r="S2120" s="24"/>
      <c r="T2120" s="24"/>
    </row>
    <row r="2121">
      <c r="A2121" s="12" t="s">
        <v>2209</v>
      </c>
      <c r="F2121" s="19">
        <f>IFERROR(__xludf.DUMMYFUNCTION("SPLIT(A2117, "" |"")"),2115.0)</f>
        <v>2115</v>
      </c>
      <c r="G2121" s="19">
        <f>IFERROR(__xludf.DUMMYFUNCTION("""COMPUTED_VALUE"""),0.00247)</f>
        <v>0.00247</v>
      </c>
      <c r="H2121" s="19" t="str">
        <f>IFERROR(__xludf.DUMMYFUNCTION("""COMPUTED_VALUE"""),"-")</f>
        <v>-</v>
      </c>
      <c r="I2121" s="19">
        <f>IFERROR(__xludf.DUMMYFUNCTION("""COMPUTED_VALUE"""),0.00224)</f>
        <v>0.00224</v>
      </c>
      <c r="J2121" s="19">
        <f>IFERROR(__xludf.DUMMYFUNCTION("""COMPUTED_VALUE"""),0.04653)</f>
        <v>0.04653</v>
      </c>
      <c r="K2121" s="19" t="str">
        <f>IFERROR(__xludf.DUMMYFUNCTION("""COMPUTED_VALUE"""),"-")</f>
        <v>-</v>
      </c>
      <c r="L2121" s="19" t="str">
        <f>IFERROR(__xludf.DUMMYFUNCTION("""COMPUTED_VALUE"""),"-")</f>
        <v>-</v>
      </c>
      <c r="O2121" s="24">
        <f t="shared" si="4"/>
        <v>0</v>
      </c>
      <c r="P2121" s="24"/>
      <c r="Q2121" s="24">
        <f t="shared" si="6"/>
        <v>0</v>
      </c>
      <c r="R2121" s="24">
        <f t="shared" si="7"/>
        <v>0</v>
      </c>
      <c r="S2121" s="24"/>
      <c r="T2121" s="24"/>
    </row>
    <row r="2122">
      <c r="A2122" s="12" t="s">
        <v>2210</v>
      </c>
      <c r="F2122" s="19">
        <f>IFERROR(__xludf.DUMMYFUNCTION("SPLIT(A2118, "" |"")"),2116.0)</f>
        <v>2116</v>
      </c>
      <c r="G2122" s="19">
        <f>IFERROR(__xludf.DUMMYFUNCTION("""COMPUTED_VALUE"""),0.00241)</f>
        <v>0.00241</v>
      </c>
      <c r="H2122" s="19" t="str">
        <f>IFERROR(__xludf.DUMMYFUNCTION("""COMPUTED_VALUE"""),"-")</f>
        <v>-</v>
      </c>
      <c r="I2122" s="19">
        <f>IFERROR(__xludf.DUMMYFUNCTION("""COMPUTED_VALUE"""),0.00215)</f>
        <v>0.00215</v>
      </c>
      <c r="J2122" s="19">
        <f>IFERROR(__xludf.DUMMYFUNCTION("""COMPUTED_VALUE"""),0.04742)</f>
        <v>0.04742</v>
      </c>
      <c r="K2122" s="19" t="str">
        <f>IFERROR(__xludf.DUMMYFUNCTION("""COMPUTED_VALUE"""),"-")</f>
        <v>-</v>
      </c>
      <c r="L2122" s="19" t="str">
        <f>IFERROR(__xludf.DUMMYFUNCTION("""COMPUTED_VALUE"""),"-")</f>
        <v>-</v>
      </c>
      <c r="O2122" s="24">
        <f t="shared" si="4"/>
        <v>0</v>
      </c>
      <c r="P2122" s="24"/>
      <c r="Q2122" s="24">
        <f t="shared" si="6"/>
        <v>0</v>
      </c>
      <c r="R2122" s="24">
        <f t="shared" si="7"/>
        <v>0</v>
      </c>
      <c r="S2122" s="24"/>
      <c r="T2122" s="24"/>
    </row>
    <row r="2123">
      <c r="A2123" s="12" t="s">
        <v>2211</v>
      </c>
      <c r="F2123" s="19">
        <f>IFERROR(__xludf.DUMMYFUNCTION("SPLIT(A2119, "" |"")"),2117.0)</f>
        <v>2117</v>
      </c>
      <c r="G2123" s="19">
        <f>IFERROR(__xludf.DUMMYFUNCTION("""COMPUTED_VALUE"""),0.00236)</f>
        <v>0.00236</v>
      </c>
      <c r="H2123" s="19" t="str">
        <f>IFERROR(__xludf.DUMMYFUNCTION("""COMPUTED_VALUE"""),"-")</f>
        <v>-</v>
      </c>
      <c r="I2123" s="19">
        <f>IFERROR(__xludf.DUMMYFUNCTION("""COMPUTED_VALUE"""),0.00223)</f>
        <v>0.00223</v>
      </c>
      <c r="J2123" s="19">
        <f>IFERROR(__xludf.DUMMYFUNCTION("""COMPUTED_VALUE"""),0.04745)</f>
        <v>0.04745</v>
      </c>
      <c r="K2123" s="19" t="str">
        <f>IFERROR(__xludf.DUMMYFUNCTION("""COMPUTED_VALUE"""),"-")</f>
        <v>-</v>
      </c>
      <c r="L2123" s="19" t="str">
        <f>IFERROR(__xludf.DUMMYFUNCTION("""COMPUTED_VALUE"""),"-")</f>
        <v>-</v>
      </c>
      <c r="O2123" s="24">
        <f t="shared" si="4"/>
        <v>0</v>
      </c>
      <c r="P2123" s="24"/>
      <c r="Q2123" s="24">
        <f t="shared" si="6"/>
        <v>0</v>
      </c>
      <c r="R2123" s="24">
        <f t="shared" si="7"/>
        <v>0</v>
      </c>
      <c r="S2123" s="24"/>
      <c r="T2123" s="24"/>
    </row>
    <row r="2124">
      <c r="A2124" s="12" t="s">
        <v>2212</v>
      </c>
      <c r="F2124" s="19">
        <f>IFERROR(__xludf.DUMMYFUNCTION("SPLIT(A2120, "" |"")"),2118.0)</f>
        <v>2118</v>
      </c>
      <c r="G2124" s="19">
        <f>IFERROR(__xludf.DUMMYFUNCTION("""COMPUTED_VALUE"""),0.00232)</f>
        <v>0.00232</v>
      </c>
      <c r="H2124" s="19" t="str">
        <f>IFERROR(__xludf.DUMMYFUNCTION("""COMPUTED_VALUE"""),"-")</f>
        <v>-</v>
      </c>
      <c r="I2124" s="19">
        <f>IFERROR(__xludf.DUMMYFUNCTION("""COMPUTED_VALUE"""),0.0022)</f>
        <v>0.0022</v>
      </c>
      <c r="J2124" s="19">
        <f>IFERROR(__xludf.DUMMYFUNCTION("""COMPUTED_VALUE"""),0.04739)</f>
        <v>0.04739</v>
      </c>
      <c r="K2124" s="19" t="str">
        <f>IFERROR(__xludf.DUMMYFUNCTION("""COMPUTED_VALUE"""),"-")</f>
        <v>-</v>
      </c>
      <c r="L2124" s="19" t="str">
        <f>IFERROR(__xludf.DUMMYFUNCTION("""COMPUTED_VALUE"""),"-")</f>
        <v>-</v>
      </c>
      <c r="O2124" s="24">
        <f t="shared" si="4"/>
        <v>0</v>
      </c>
      <c r="P2124" s="24"/>
      <c r="Q2124" s="24">
        <f t="shared" si="6"/>
        <v>0</v>
      </c>
      <c r="R2124" s="24">
        <f t="shared" si="7"/>
        <v>0</v>
      </c>
      <c r="S2124" s="24"/>
      <c r="T2124" s="24"/>
    </row>
    <row r="2125">
      <c r="A2125" s="12" t="s">
        <v>2213</v>
      </c>
      <c r="F2125" s="19">
        <f>IFERROR(__xludf.DUMMYFUNCTION("SPLIT(A2121, "" |"")"),2119.0)</f>
        <v>2119</v>
      </c>
      <c r="G2125" s="19">
        <f>IFERROR(__xludf.DUMMYFUNCTION("""COMPUTED_VALUE"""),0.0024)</f>
        <v>0.0024</v>
      </c>
      <c r="H2125" s="19" t="str">
        <f>IFERROR(__xludf.DUMMYFUNCTION("""COMPUTED_VALUE"""),"-")</f>
        <v>-</v>
      </c>
      <c r="I2125" s="19">
        <f>IFERROR(__xludf.DUMMYFUNCTION("""COMPUTED_VALUE"""),0.00226)</f>
        <v>0.00226</v>
      </c>
      <c r="J2125" s="19">
        <f>IFERROR(__xludf.DUMMYFUNCTION("""COMPUTED_VALUE"""),0.04743)</f>
        <v>0.04743</v>
      </c>
      <c r="K2125" s="19" t="str">
        <f>IFERROR(__xludf.DUMMYFUNCTION("""COMPUTED_VALUE"""),"-")</f>
        <v>-</v>
      </c>
      <c r="L2125" s="19" t="str">
        <f>IFERROR(__xludf.DUMMYFUNCTION("""COMPUTED_VALUE"""),"-")</f>
        <v>-</v>
      </c>
      <c r="O2125" s="24">
        <f t="shared" si="4"/>
        <v>0</v>
      </c>
      <c r="P2125" s="24"/>
      <c r="Q2125" s="24">
        <f t="shared" si="6"/>
        <v>0</v>
      </c>
      <c r="R2125" s="24">
        <f t="shared" si="7"/>
        <v>0</v>
      </c>
      <c r="S2125" s="24"/>
      <c r="T2125" s="24"/>
    </row>
    <row r="2126">
      <c r="A2126" s="12" t="s">
        <v>2214</v>
      </c>
      <c r="F2126" s="19">
        <f>IFERROR(__xludf.DUMMYFUNCTION("SPLIT(A2122, "" |"")"),2120.0)</f>
        <v>2120</v>
      </c>
      <c r="G2126" s="19">
        <f>IFERROR(__xludf.DUMMYFUNCTION("""COMPUTED_VALUE"""),0.00249)</f>
        <v>0.00249</v>
      </c>
      <c r="H2126" s="19" t="str">
        <f>IFERROR(__xludf.DUMMYFUNCTION("""COMPUTED_VALUE"""),"-")</f>
        <v>-</v>
      </c>
      <c r="I2126" s="19">
        <f>IFERROR(__xludf.DUMMYFUNCTION("""COMPUTED_VALUE"""),0.00222)</f>
        <v>0.00222</v>
      </c>
      <c r="J2126" s="19">
        <f>IFERROR(__xludf.DUMMYFUNCTION("""COMPUTED_VALUE"""),0.04746)</f>
        <v>0.04746</v>
      </c>
      <c r="K2126" s="19" t="str">
        <f>IFERROR(__xludf.DUMMYFUNCTION("""COMPUTED_VALUE"""),"-")</f>
        <v>-</v>
      </c>
      <c r="L2126" s="19" t="str">
        <f>IFERROR(__xludf.DUMMYFUNCTION("""COMPUTED_VALUE"""),"-")</f>
        <v>-</v>
      </c>
      <c r="O2126" s="24">
        <f t="shared" si="4"/>
        <v>0</v>
      </c>
      <c r="P2126" s="24"/>
      <c r="Q2126" s="24">
        <f t="shared" si="6"/>
        <v>0</v>
      </c>
      <c r="R2126" s="24">
        <f t="shared" si="7"/>
        <v>0</v>
      </c>
      <c r="S2126" s="24"/>
      <c r="T2126" s="24"/>
    </row>
    <row r="2127">
      <c r="A2127" s="12" t="s">
        <v>2215</v>
      </c>
      <c r="F2127" s="19">
        <f>IFERROR(__xludf.DUMMYFUNCTION("SPLIT(A2123, "" |"")"),2121.0)</f>
        <v>2121</v>
      </c>
      <c r="G2127" s="19">
        <f>IFERROR(__xludf.DUMMYFUNCTION("""COMPUTED_VALUE"""),0.00229)</f>
        <v>0.00229</v>
      </c>
      <c r="H2127" s="19" t="str">
        <f>IFERROR(__xludf.DUMMYFUNCTION("""COMPUTED_VALUE"""),"-")</f>
        <v>-</v>
      </c>
      <c r="I2127" s="19">
        <f>IFERROR(__xludf.DUMMYFUNCTION("""COMPUTED_VALUE"""),0.0023)</f>
        <v>0.0023</v>
      </c>
      <c r="J2127" s="19">
        <f>IFERROR(__xludf.DUMMYFUNCTION("""COMPUTED_VALUE"""),0.04743)</f>
        <v>0.04743</v>
      </c>
      <c r="K2127" s="19" t="str">
        <f>IFERROR(__xludf.DUMMYFUNCTION("""COMPUTED_VALUE"""),"-")</f>
        <v>-</v>
      </c>
      <c r="L2127" s="19" t="str">
        <f>IFERROR(__xludf.DUMMYFUNCTION("""COMPUTED_VALUE"""),"-")</f>
        <v>-</v>
      </c>
      <c r="O2127" s="24">
        <f t="shared" si="4"/>
        <v>0</v>
      </c>
      <c r="P2127" s="24"/>
      <c r="Q2127" s="24">
        <f t="shared" si="6"/>
        <v>0</v>
      </c>
      <c r="R2127" s="24">
        <f t="shared" si="7"/>
        <v>0</v>
      </c>
      <c r="S2127" s="24"/>
      <c r="T2127" s="24"/>
    </row>
    <row r="2128">
      <c r="A2128" s="12" t="s">
        <v>2216</v>
      </c>
      <c r="F2128" s="19">
        <f>IFERROR(__xludf.DUMMYFUNCTION("SPLIT(A2124, "" |"")"),2122.0)</f>
        <v>2122</v>
      </c>
      <c r="G2128" s="19">
        <f>IFERROR(__xludf.DUMMYFUNCTION("""COMPUTED_VALUE"""),0.00242)</f>
        <v>0.00242</v>
      </c>
      <c r="H2128" s="19" t="str">
        <f>IFERROR(__xludf.DUMMYFUNCTION("""COMPUTED_VALUE"""),"-")</f>
        <v>-</v>
      </c>
      <c r="I2128" s="19">
        <f>IFERROR(__xludf.DUMMYFUNCTION("""COMPUTED_VALUE"""),0.00225)</f>
        <v>0.00225</v>
      </c>
      <c r="J2128" s="19">
        <f>IFERROR(__xludf.DUMMYFUNCTION("""COMPUTED_VALUE"""),0.04743)</f>
        <v>0.04743</v>
      </c>
      <c r="K2128" s="19" t="str">
        <f>IFERROR(__xludf.DUMMYFUNCTION("""COMPUTED_VALUE"""),"-")</f>
        <v>-</v>
      </c>
      <c r="L2128" s="19" t="str">
        <f>IFERROR(__xludf.DUMMYFUNCTION("""COMPUTED_VALUE"""),"-")</f>
        <v>-</v>
      </c>
      <c r="O2128" s="24">
        <f t="shared" si="4"/>
        <v>0</v>
      </c>
      <c r="P2128" s="24"/>
      <c r="Q2128" s="24">
        <f t="shared" si="6"/>
        <v>0</v>
      </c>
      <c r="R2128" s="24">
        <f t="shared" si="7"/>
        <v>0</v>
      </c>
      <c r="S2128" s="24"/>
      <c r="T2128" s="24"/>
    </row>
    <row r="2129">
      <c r="A2129" s="12" t="s">
        <v>2217</v>
      </c>
      <c r="F2129" s="19">
        <f>IFERROR(__xludf.DUMMYFUNCTION("SPLIT(A2125, "" |"")"),2123.0)</f>
        <v>2123</v>
      </c>
      <c r="G2129" s="19">
        <f>IFERROR(__xludf.DUMMYFUNCTION("""COMPUTED_VALUE"""),0.00241)</f>
        <v>0.00241</v>
      </c>
      <c r="H2129" s="19" t="str">
        <f>IFERROR(__xludf.DUMMYFUNCTION("""COMPUTED_VALUE"""),"-")</f>
        <v>-</v>
      </c>
      <c r="I2129" s="19">
        <f>IFERROR(__xludf.DUMMYFUNCTION("""COMPUTED_VALUE"""),0.00221)</f>
        <v>0.00221</v>
      </c>
      <c r="J2129" s="19">
        <f>IFERROR(__xludf.DUMMYFUNCTION("""COMPUTED_VALUE"""),0.04739)</f>
        <v>0.04739</v>
      </c>
      <c r="K2129" s="19" t="str">
        <f>IFERROR(__xludf.DUMMYFUNCTION("""COMPUTED_VALUE"""),"-")</f>
        <v>-</v>
      </c>
      <c r="L2129" s="19" t="str">
        <f>IFERROR(__xludf.DUMMYFUNCTION("""COMPUTED_VALUE"""),"-")</f>
        <v>-</v>
      </c>
      <c r="O2129" s="24">
        <f t="shared" si="4"/>
        <v>0</v>
      </c>
      <c r="P2129" s="24"/>
      <c r="Q2129" s="24">
        <f t="shared" si="6"/>
        <v>0</v>
      </c>
      <c r="R2129" s="24">
        <f t="shared" si="7"/>
        <v>0</v>
      </c>
      <c r="S2129" s="24"/>
      <c r="T2129" s="24"/>
    </row>
    <row r="2130">
      <c r="A2130" s="12" t="s">
        <v>2218</v>
      </c>
      <c r="F2130" s="19">
        <f>IFERROR(__xludf.DUMMYFUNCTION("SPLIT(A2126, "" |"")"),2124.0)</f>
        <v>2124</v>
      </c>
      <c r="G2130" s="19">
        <f>IFERROR(__xludf.DUMMYFUNCTION("""COMPUTED_VALUE"""),0.00241)</f>
        <v>0.00241</v>
      </c>
      <c r="H2130" s="19" t="str">
        <f>IFERROR(__xludf.DUMMYFUNCTION("""COMPUTED_VALUE"""),"-")</f>
        <v>-</v>
      </c>
      <c r="I2130" s="19">
        <f>IFERROR(__xludf.DUMMYFUNCTION("""COMPUTED_VALUE"""),0.00221)</f>
        <v>0.00221</v>
      </c>
      <c r="J2130" s="19">
        <f>IFERROR(__xludf.DUMMYFUNCTION("""COMPUTED_VALUE"""),0.04742)</f>
        <v>0.04742</v>
      </c>
      <c r="K2130" s="19" t="str">
        <f>IFERROR(__xludf.DUMMYFUNCTION("""COMPUTED_VALUE"""),"-")</f>
        <v>-</v>
      </c>
      <c r="L2130" s="19" t="str">
        <f>IFERROR(__xludf.DUMMYFUNCTION("""COMPUTED_VALUE"""),"-")</f>
        <v>-</v>
      </c>
      <c r="O2130" s="24">
        <f t="shared" si="4"/>
        <v>0</v>
      </c>
      <c r="P2130" s="24"/>
      <c r="Q2130" s="24">
        <f t="shared" si="6"/>
        <v>0</v>
      </c>
      <c r="R2130" s="24">
        <f t="shared" si="7"/>
        <v>0</v>
      </c>
      <c r="S2130" s="24"/>
      <c r="T2130" s="24"/>
    </row>
    <row r="2131">
      <c r="A2131" s="12" t="s">
        <v>2219</v>
      </c>
      <c r="F2131" s="19">
        <f>IFERROR(__xludf.DUMMYFUNCTION("SPLIT(A2127, "" |"")"),2125.0)</f>
        <v>2125</v>
      </c>
      <c r="G2131" s="19">
        <f>IFERROR(__xludf.DUMMYFUNCTION("""COMPUTED_VALUE"""),0.00229)</f>
        <v>0.00229</v>
      </c>
      <c r="H2131" s="19" t="str">
        <f>IFERROR(__xludf.DUMMYFUNCTION("""COMPUTED_VALUE"""),"-")</f>
        <v>-</v>
      </c>
      <c r="I2131" s="19">
        <f>IFERROR(__xludf.DUMMYFUNCTION("""COMPUTED_VALUE"""),0.00225)</f>
        <v>0.00225</v>
      </c>
      <c r="J2131" s="19">
        <f>IFERROR(__xludf.DUMMYFUNCTION("""COMPUTED_VALUE"""),0.04748)</f>
        <v>0.04748</v>
      </c>
      <c r="K2131" s="19" t="str">
        <f>IFERROR(__xludf.DUMMYFUNCTION("""COMPUTED_VALUE"""),"-")</f>
        <v>-</v>
      </c>
      <c r="L2131" s="19" t="str">
        <f>IFERROR(__xludf.DUMMYFUNCTION("""COMPUTED_VALUE"""),"-")</f>
        <v>-</v>
      </c>
      <c r="O2131" s="24">
        <f t="shared" si="4"/>
        <v>0</v>
      </c>
      <c r="P2131" s="24"/>
      <c r="Q2131" s="24">
        <f t="shared" si="6"/>
        <v>0</v>
      </c>
      <c r="R2131" s="24">
        <f t="shared" si="7"/>
        <v>0</v>
      </c>
      <c r="S2131" s="24"/>
      <c r="T2131" s="24"/>
    </row>
    <row r="2132">
      <c r="A2132" s="12" t="s">
        <v>2220</v>
      </c>
      <c r="F2132" s="19">
        <f>IFERROR(__xludf.DUMMYFUNCTION("SPLIT(A2128, "" |"")"),2126.0)</f>
        <v>2126</v>
      </c>
      <c r="G2132" s="19">
        <f>IFERROR(__xludf.DUMMYFUNCTION("""COMPUTED_VALUE"""),0.00238)</f>
        <v>0.00238</v>
      </c>
      <c r="H2132" s="19" t="str">
        <f>IFERROR(__xludf.DUMMYFUNCTION("""COMPUTED_VALUE"""),"-")</f>
        <v>-</v>
      </c>
      <c r="I2132" s="19">
        <f>IFERROR(__xludf.DUMMYFUNCTION("""COMPUTED_VALUE"""),0.00221)</f>
        <v>0.00221</v>
      </c>
      <c r="J2132" s="19">
        <f>IFERROR(__xludf.DUMMYFUNCTION("""COMPUTED_VALUE"""),0.04748)</f>
        <v>0.04748</v>
      </c>
      <c r="K2132" s="19" t="str">
        <f>IFERROR(__xludf.DUMMYFUNCTION("""COMPUTED_VALUE"""),"-")</f>
        <v>-</v>
      </c>
      <c r="L2132" s="19" t="str">
        <f>IFERROR(__xludf.DUMMYFUNCTION("""COMPUTED_VALUE"""),"-")</f>
        <v>-</v>
      </c>
      <c r="O2132" s="24">
        <f t="shared" si="4"/>
        <v>0</v>
      </c>
      <c r="P2132" s="24"/>
      <c r="Q2132" s="24">
        <f t="shared" si="6"/>
        <v>0</v>
      </c>
      <c r="R2132" s="24">
        <f t="shared" si="7"/>
        <v>0</v>
      </c>
      <c r="S2132" s="24"/>
      <c r="T2132" s="24"/>
    </row>
    <row r="2133">
      <c r="A2133" s="12" t="s">
        <v>2221</v>
      </c>
      <c r="F2133" s="19">
        <f>IFERROR(__xludf.DUMMYFUNCTION("SPLIT(A2129, "" |"")"),2127.0)</f>
        <v>2127</v>
      </c>
      <c r="G2133" s="19">
        <f>IFERROR(__xludf.DUMMYFUNCTION("""COMPUTED_VALUE"""),0.00232)</f>
        <v>0.00232</v>
      </c>
      <c r="H2133" s="19" t="str">
        <f>IFERROR(__xludf.DUMMYFUNCTION("""COMPUTED_VALUE"""),"-")</f>
        <v>-</v>
      </c>
      <c r="I2133" s="19">
        <f>IFERROR(__xludf.DUMMYFUNCTION("""COMPUTED_VALUE"""),0.00218)</f>
        <v>0.00218</v>
      </c>
      <c r="J2133" s="19">
        <f>IFERROR(__xludf.DUMMYFUNCTION("""COMPUTED_VALUE"""),0.04748)</f>
        <v>0.04748</v>
      </c>
      <c r="K2133" s="19" t="str">
        <f>IFERROR(__xludf.DUMMYFUNCTION("""COMPUTED_VALUE"""),"-")</f>
        <v>-</v>
      </c>
      <c r="L2133" s="19" t="str">
        <f>IFERROR(__xludf.DUMMYFUNCTION("""COMPUTED_VALUE"""),"-")</f>
        <v>-</v>
      </c>
      <c r="O2133" s="24">
        <f t="shared" si="4"/>
        <v>0</v>
      </c>
      <c r="P2133" s="24"/>
      <c r="Q2133" s="24">
        <f t="shared" si="6"/>
        <v>0</v>
      </c>
      <c r="R2133" s="24">
        <f t="shared" si="7"/>
        <v>0</v>
      </c>
      <c r="S2133" s="24"/>
      <c r="T2133" s="24"/>
    </row>
    <row r="2134">
      <c r="A2134" s="12" t="s">
        <v>2222</v>
      </c>
      <c r="F2134" s="19">
        <f>IFERROR(__xludf.DUMMYFUNCTION("SPLIT(A2130, "" |"")"),2128.0)</f>
        <v>2128</v>
      </c>
      <c r="G2134" s="19">
        <f>IFERROR(__xludf.DUMMYFUNCTION("""COMPUTED_VALUE"""),0.00244)</f>
        <v>0.00244</v>
      </c>
      <c r="H2134" s="19" t="str">
        <f>IFERROR(__xludf.DUMMYFUNCTION("""COMPUTED_VALUE"""),"-")</f>
        <v>-</v>
      </c>
      <c r="I2134" s="19">
        <f>IFERROR(__xludf.DUMMYFUNCTION("""COMPUTED_VALUE"""),0.0023)</f>
        <v>0.0023</v>
      </c>
      <c r="J2134" s="19">
        <f>IFERROR(__xludf.DUMMYFUNCTION("""COMPUTED_VALUE"""),0.04745)</f>
        <v>0.04745</v>
      </c>
      <c r="K2134" s="19" t="str">
        <f>IFERROR(__xludf.DUMMYFUNCTION("""COMPUTED_VALUE"""),"-")</f>
        <v>-</v>
      </c>
      <c r="L2134" s="19" t="str">
        <f>IFERROR(__xludf.DUMMYFUNCTION("""COMPUTED_VALUE"""),"-")</f>
        <v>-</v>
      </c>
      <c r="O2134" s="24">
        <f t="shared" si="4"/>
        <v>0</v>
      </c>
      <c r="P2134" s="24"/>
      <c r="Q2134" s="24">
        <f t="shared" si="6"/>
        <v>0</v>
      </c>
      <c r="R2134" s="24">
        <f t="shared" si="7"/>
        <v>0</v>
      </c>
      <c r="S2134" s="24"/>
      <c r="T2134" s="24"/>
    </row>
    <row r="2135">
      <c r="A2135" s="12" t="s">
        <v>2223</v>
      </c>
      <c r="F2135" s="19">
        <f>IFERROR(__xludf.DUMMYFUNCTION("SPLIT(A2131, "" |"")"),2129.0)</f>
        <v>2129</v>
      </c>
      <c r="G2135" s="19">
        <f>IFERROR(__xludf.DUMMYFUNCTION("""COMPUTED_VALUE"""),0.00231)</f>
        <v>0.00231</v>
      </c>
      <c r="H2135" s="19" t="str">
        <f>IFERROR(__xludf.DUMMYFUNCTION("""COMPUTED_VALUE"""),"-")</f>
        <v>-</v>
      </c>
      <c r="I2135" s="19">
        <f>IFERROR(__xludf.DUMMYFUNCTION("""COMPUTED_VALUE"""),0.00226)</f>
        <v>0.00226</v>
      </c>
      <c r="J2135" s="19">
        <f>IFERROR(__xludf.DUMMYFUNCTION("""COMPUTED_VALUE"""),0.0475)</f>
        <v>0.0475</v>
      </c>
      <c r="K2135" s="19" t="str">
        <f>IFERROR(__xludf.DUMMYFUNCTION("""COMPUTED_VALUE"""),"-")</f>
        <v>-</v>
      </c>
      <c r="L2135" s="19" t="str">
        <f>IFERROR(__xludf.DUMMYFUNCTION("""COMPUTED_VALUE"""),"-")</f>
        <v>-</v>
      </c>
      <c r="O2135" s="24">
        <f t="shared" si="4"/>
        <v>0</v>
      </c>
      <c r="P2135" s="24"/>
      <c r="Q2135" s="24">
        <f t="shared" si="6"/>
        <v>0</v>
      </c>
      <c r="R2135" s="24">
        <f t="shared" si="7"/>
        <v>0</v>
      </c>
      <c r="S2135" s="24"/>
      <c r="T2135" s="24"/>
    </row>
    <row r="2136">
      <c r="A2136" s="12" t="s">
        <v>2224</v>
      </c>
      <c r="F2136" s="19">
        <f>IFERROR(__xludf.DUMMYFUNCTION("SPLIT(A2132, "" |"")"),2130.0)</f>
        <v>2130</v>
      </c>
      <c r="G2136" s="19">
        <f>IFERROR(__xludf.DUMMYFUNCTION("""COMPUTED_VALUE"""),0.00235)</f>
        <v>0.00235</v>
      </c>
      <c r="H2136" s="19" t="str">
        <f>IFERROR(__xludf.DUMMYFUNCTION("""COMPUTED_VALUE"""),"-")</f>
        <v>-</v>
      </c>
      <c r="I2136" s="19">
        <f>IFERROR(__xludf.DUMMYFUNCTION("""COMPUTED_VALUE"""),0.00211)</f>
        <v>0.00211</v>
      </c>
      <c r="J2136" s="19">
        <f>IFERROR(__xludf.DUMMYFUNCTION("""COMPUTED_VALUE"""),0.04593)</f>
        <v>0.04593</v>
      </c>
      <c r="K2136" s="19" t="str">
        <f>IFERROR(__xludf.DUMMYFUNCTION("""COMPUTED_VALUE"""),"-")</f>
        <v>-</v>
      </c>
      <c r="L2136" s="19" t="str">
        <f>IFERROR(__xludf.DUMMYFUNCTION("""COMPUTED_VALUE"""),"-")</f>
        <v>-</v>
      </c>
      <c r="O2136" s="24">
        <f t="shared" si="4"/>
        <v>0</v>
      </c>
      <c r="P2136" s="24"/>
      <c r="Q2136" s="24">
        <f t="shared" si="6"/>
        <v>0</v>
      </c>
      <c r="R2136" s="24">
        <f t="shared" si="7"/>
        <v>0</v>
      </c>
      <c r="S2136" s="24"/>
      <c r="T2136" s="24"/>
    </row>
    <row r="2137">
      <c r="A2137" s="12" t="s">
        <v>2225</v>
      </c>
      <c r="F2137" s="19">
        <f>IFERROR(__xludf.DUMMYFUNCTION("SPLIT(A2133, "" |"")"),2131.0)</f>
        <v>2131</v>
      </c>
      <c r="G2137" s="19">
        <f>IFERROR(__xludf.DUMMYFUNCTION("""COMPUTED_VALUE"""),0.00234)</f>
        <v>0.00234</v>
      </c>
      <c r="H2137" s="19" t="str">
        <f>IFERROR(__xludf.DUMMYFUNCTION("""COMPUTED_VALUE"""),"-")</f>
        <v>-</v>
      </c>
      <c r="I2137" s="19">
        <f>IFERROR(__xludf.DUMMYFUNCTION("""COMPUTED_VALUE"""),0.00211)</f>
        <v>0.00211</v>
      </c>
      <c r="J2137" s="19">
        <f>IFERROR(__xludf.DUMMYFUNCTION("""COMPUTED_VALUE"""),0.04726)</f>
        <v>0.04726</v>
      </c>
      <c r="K2137" s="19" t="str">
        <f>IFERROR(__xludf.DUMMYFUNCTION("""COMPUTED_VALUE"""),"-")</f>
        <v>-</v>
      </c>
      <c r="L2137" s="19" t="str">
        <f>IFERROR(__xludf.DUMMYFUNCTION("""COMPUTED_VALUE"""),"-")</f>
        <v>-</v>
      </c>
      <c r="O2137" s="24">
        <f t="shared" si="4"/>
        <v>0</v>
      </c>
      <c r="P2137" s="24"/>
      <c r="Q2137" s="24">
        <f t="shared" si="6"/>
        <v>0</v>
      </c>
      <c r="R2137" s="24">
        <f t="shared" si="7"/>
        <v>0</v>
      </c>
      <c r="S2137" s="24"/>
      <c r="T2137" s="24"/>
    </row>
    <row r="2138">
      <c r="A2138" s="12" t="s">
        <v>2226</v>
      </c>
      <c r="F2138" s="19">
        <f>IFERROR(__xludf.DUMMYFUNCTION("SPLIT(A2134, "" |"")"),2132.0)</f>
        <v>2132</v>
      </c>
      <c r="G2138" s="19">
        <f>IFERROR(__xludf.DUMMYFUNCTION("""COMPUTED_VALUE"""),0.00226)</f>
        <v>0.00226</v>
      </c>
      <c r="H2138" s="19" t="str">
        <f>IFERROR(__xludf.DUMMYFUNCTION("""COMPUTED_VALUE"""),"-")</f>
        <v>-</v>
      </c>
      <c r="I2138" s="19">
        <f>IFERROR(__xludf.DUMMYFUNCTION("""COMPUTED_VALUE"""),0.00214)</f>
        <v>0.00214</v>
      </c>
      <c r="J2138" s="19">
        <f>IFERROR(__xludf.DUMMYFUNCTION("""COMPUTED_VALUE"""),0.04747)</f>
        <v>0.04747</v>
      </c>
      <c r="K2138" s="19" t="str">
        <f>IFERROR(__xludf.DUMMYFUNCTION("""COMPUTED_VALUE"""),"-")</f>
        <v>-</v>
      </c>
      <c r="L2138" s="19" t="str">
        <f>IFERROR(__xludf.DUMMYFUNCTION("""COMPUTED_VALUE"""),"-")</f>
        <v>-</v>
      </c>
      <c r="O2138" s="24">
        <f t="shared" si="4"/>
        <v>0</v>
      </c>
      <c r="P2138" s="24"/>
      <c r="Q2138" s="24">
        <f t="shared" si="6"/>
        <v>0</v>
      </c>
      <c r="R2138" s="24">
        <f t="shared" si="7"/>
        <v>0</v>
      </c>
      <c r="S2138" s="24"/>
      <c r="T2138" s="24"/>
    </row>
    <row r="2139">
      <c r="A2139" s="12" t="s">
        <v>2227</v>
      </c>
      <c r="F2139" s="19">
        <f>IFERROR(__xludf.DUMMYFUNCTION("SPLIT(A2135, "" |"")"),2133.0)</f>
        <v>2133</v>
      </c>
      <c r="G2139" s="19">
        <f>IFERROR(__xludf.DUMMYFUNCTION("""COMPUTED_VALUE"""),0.00232)</f>
        <v>0.00232</v>
      </c>
      <c r="H2139" s="19" t="str">
        <f>IFERROR(__xludf.DUMMYFUNCTION("""COMPUTED_VALUE"""),"-")</f>
        <v>-</v>
      </c>
      <c r="I2139" s="19">
        <f>IFERROR(__xludf.DUMMYFUNCTION("""COMPUTED_VALUE"""),0.00221)</f>
        <v>0.00221</v>
      </c>
      <c r="J2139" s="19">
        <f>IFERROR(__xludf.DUMMYFUNCTION("""COMPUTED_VALUE"""),0.04739)</f>
        <v>0.04739</v>
      </c>
      <c r="K2139" s="19" t="str">
        <f>IFERROR(__xludf.DUMMYFUNCTION("""COMPUTED_VALUE"""),"-")</f>
        <v>-</v>
      </c>
      <c r="L2139" s="19" t="str">
        <f>IFERROR(__xludf.DUMMYFUNCTION("""COMPUTED_VALUE"""),"-")</f>
        <v>-</v>
      </c>
      <c r="O2139" s="24">
        <f t="shared" si="4"/>
        <v>0</v>
      </c>
      <c r="P2139" s="24"/>
      <c r="Q2139" s="24">
        <f t="shared" si="6"/>
        <v>0</v>
      </c>
      <c r="R2139" s="24">
        <f t="shared" si="7"/>
        <v>0</v>
      </c>
      <c r="S2139" s="24"/>
      <c r="T2139" s="24"/>
    </row>
    <row r="2140">
      <c r="A2140" s="12" t="s">
        <v>2228</v>
      </c>
      <c r="F2140" s="19">
        <f>IFERROR(__xludf.DUMMYFUNCTION("SPLIT(A2136, "" |"")"),2134.0)</f>
        <v>2134</v>
      </c>
      <c r="G2140" s="19">
        <f>IFERROR(__xludf.DUMMYFUNCTION("""COMPUTED_VALUE"""),0.00234)</f>
        <v>0.00234</v>
      </c>
      <c r="H2140" s="19" t="str">
        <f>IFERROR(__xludf.DUMMYFUNCTION("""COMPUTED_VALUE"""),"-")</f>
        <v>-</v>
      </c>
      <c r="I2140" s="19">
        <f>IFERROR(__xludf.DUMMYFUNCTION("""COMPUTED_VALUE"""),0.00222)</f>
        <v>0.00222</v>
      </c>
      <c r="J2140" s="19">
        <f>IFERROR(__xludf.DUMMYFUNCTION("""COMPUTED_VALUE"""),0.04746)</f>
        <v>0.04746</v>
      </c>
      <c r="K2140" s="19" t="str">
        <f>IFERROR(__xludf.DUMMYFUNCTION("""COMPUTED_VALUE"""),"-")</f>
        <v>-</v>
      </c>
      <c r="L2140" s="19" t="str">
        <f>IFERROR(__xludf.DUMMYFUNCTION("""COMPUTED_VALUE"""),"-")</f>
        <v>-</v>
      </c>
      <c r="O2140" s="24">
        <f t="shared" si="4"/>
        <v>0</v>
      </c>
      <c r="P2140" s="24"/>
      <c r="Q2140" s="24">
        <f t="shared" si="6"/>
        <v>0</v>
      </c>
      <c r="R2140" s="24">
        <f t="shared" si="7"/>
        <v>0</v>
      </c>
      <c r="S2140" s="24"/>
      <c r="T2140" s="24"/>
    </row>
    <row r="2141">
      <c r="A2141" s="12" t="s">
        <v>2229</v>
      </c>
      <c r="F2141" s="19">
        <f>IFERROR(__xludf.DUMMYFUNCTION("SPLIT(A2137, "" |"")"),2135.0)</f>
        <v>2135</v>
      </c>
      <c r="G2141" s="19">
        <f>IFERROR(__xludf.DUMMYFUNCTION("""COMPUTED_VALUE"""),0.00235)</f>
        <v>0.00235</v>
      </c>
      <c r="H2141" s="19" t="str">
        <f>IFERROR(__xludf.DUMMYFUNCTION("""COMPUTED_VALUE"""),"-")</f>
        <v>-</v>
      </c>
      <c r="I2141" s="19">
        <f>IFERROR(__xludf.DUMMYFUNCTION("""COMPUTED_VALUE"""),0.00222)</f>
        <v>0.00222</v>
      </c>
      <c r="J2141" s="19">
        <f>IFERROR(__xludf.DUMMYFUNCTION("""COMPUTED_VALUE"""),0.04746)</f>
        <v>0.04746</v>
      </c>
      <c r="K2141" s="19" t="str">
        <f>IFERROR(__xludf.DUMMYFUNCTION("""COMPUTED_VALUE"""),"-")</f>
        <v>-</v>
      </c>
      <c r="L2141" s="19" t="str">
        <f>IFERROR(__xludf.DUMMYFUNCTION("""COMPUTED_VALUE"""),"-")</f>
        <v>-</v>
      </c>
      <c r="O2141" s="24">
        <f t="shared" si="4"/>
        <v>0</v>
      </c>
      <c r="P2141" s="24"/>
      <c r="Q2141" s="24">
        <f t="shared" si="6"/>
        <v>0</v>
      </c>
      <c r="R2141" s="24">
        <f t="shared" si="7"/>
        <v>0</v>
      </c>
      <c r="S2141" s="24"/>
      <c r="T2141" s="24"/>
    </row>
    <row r="2142">
      <c r="A2142" s="12" t="s">
        <v>2230</v>
      </c>
      <c r="F2142" s="19">
        <f>IFERROR(__xludf.DUMMYFUNCTION("SPLIT(A2138, "" |"")"),2136.0)</f>
        <v>2136</v>
      </c>
      <c r="G2142" s="19">
        <f>IFERROR(__xludf.DUMMYFUNCTION("""COMPUTED_VALUE"""),0.00242)</f>
        <v>0.00242</v>
      </c>
      <c r="H2142" s="19" t="str">
        <f>IFERROR(__xludf.DUMMYFUNCTION("""COMPUTED_VALUE"""),"-")</f>
        <v>-</v>
      </c>
      <c r="I2142" s="19">
        <f>IFERROR(__xludf.DUMMYFUNCTION("""COMPUTED_VALUE"""),0.0022)</f>
        <v>0.0022</v>
      </c>
      <c r="J2142" s="19">
        <f>IFERROR(__xludf.DUMMYFUNCTION("""COMPUTED_VALUE"""),0.04746)</f>
        <v>0.04746</v>
      </c>
      <c r="K2142" s="19" t="str">
        <f>IFERROR(__xludf.DUMMYFUNCTION("""COMPUTED_VALUE"""),"-")</f>
        <v>-</v>
      </c>
      <c r="L2142" s="19" t="str">
        <f>IFERROR(__xludf.DUMMYFUNCTION("""COMPUTED_VALUE"""),"-")</f>
        <v>-</v>
      </c>
      <c r="O2142" s="24">
        <f t="shared" si="4"/>
        <v>0</v>
      </c>
      <c r="P2142" s="24"/>
      <c r="Q2142" s="24">
        <f t="shared" si="6"/>
        <v>0</v>
      </c>
      <c r="R2142" s="24">
        <f t="shared" si="7"/>
        <v>0</v>
      </c>
      <c r="S2142" s="24"/>
      <c r="T2142" s="24"/>
    </row>
    <row r="2143">
      <c r="A2143" s="12" t="s">
        <v>2231</v>
      </c>
      <c r="F2143" s="19">
        <f>IFERROR(__xludf.DUMMYFUNCTION("SPLIT(A2139, "" |"")"),2137.0)</f>
        <v>2137</v>
      </c>
      <c r="G2143" s="19">
        <f>IFERROR(__xludf.DUMMYFUNCTION("""COMPUTED_VALUE"""),0.00278)</f>
        <v>0.00278</v>
      </c>
      <c r="H2143" s="19" t="str">
        <f>IFERROR(__xludf.DUMMYFUNCTION("""COMPUTED_VALUE"""),"-")</f>
        <v>-</v>
      </c>
      <c r="I2143" s="19">
        <f>IFERROR(__xludf.DUMMYFUNCTION("""COMPUTED_VALUE"""),0.00233)</f>
        <v>0.00233</v>
      </c>
      <c r="J2143" s="19">
        <f>IFERROR(__xludf.DUMMYFUNCTION("""COMPUTED_VALUE"""),0.04751)</f>
        <v>0.04751</v>
      </c>
      <c r="K2143" s="19" t="str">
        <f>IFERROR(__xludf.DUMMYFUNCTION("""COMPUTED_VALUE"""),"-")</f>
        <v>-</v>
      </c>
      <c r="L2143" s="19" t="str">
        <f>IFERROR(__xludf.DUMMYFUNCTION("""COMPUTED_VALUE"""),"-")</f>
        <v>-</v>
      </c>
      <c r="O2143" s="24">
        <f t="shared" si="4"/>
        <v>0</v>
      </c>
      <c r="P2143" s="24"/>
      <c r="Q2143" s="24">
        <f t="shared" si="6"/>
        <v>0</v>
      </c>
      <c r="R2143" s="24">
        <f t="shared" si="7"/>
        <v>0</v>
      </c>
      <c r="S2143" s="24"/>
      <c r="T2143" s="24"/>
    </row>
    <row r="2144">
      <c r="A2144" s="12" t="s">
        <v>2232</v>
      </c>
      <c r="F2144" s="19">
        <f>IFERROR(__xludf.DUMMYFUNCTION("SPLIT(A2140, "" |"")"),2138.0)</f>
        <v>2138</v>
      </c>
      <c r="G2144" s="19">
        <f>IFERROR(__xludf.DUMMYFUNCTION("""COMPUTED_VALUE"""),0.00231)</f>
        <v>0.00231</v>
      </c>
      <c r="H2144" s="19" t="str">
        <f>IFERROR(__xludf.DUMMYFUNCTION("""COMPUTED_VALUE"""),"-")</f>
        <v>-</v>
      </c>
      <c r="I2144" s="19">
        <f>IFERROR(__xludf.DUMMYFUNCTION("""COMPUTED_VALUE"""),0.00219)</f>
        <v>0.00219</v>
      </c>
      <c r="J2144" s="19">
        <f>IFERROR(__xludf.DUMMYFUNCTION("""COMPUTED_VALUE"""),0.04747)</f>
        <v>0.04747</v>
      </c>
      <c r="K2144" s="19" t="str">
        <f>IFERROR(__xludf.DUMMYFUNCTION("""COMPUTED_VALUE"""),"-")</f>
        <v>-</v>
      </c>
      <c r="L2144" s="19" t="str">
        <f>IFERROR(__xludf.DUMMYFUNCTION("""COMPUTED_VALUE"""),"-")</f>
        <v>-</v>
      </c>
      <c r="O2144" s="24">
        <f t="shared" si="4"/>
        <v>0</v>
      </c>
      <c r="P2144" s="24"/>
      <c r="Q2144" s="24">
        <f t="shared" si="6"/>
        <v>0</v>
      </c>
      <c r="R2144" s="24">
        <f t="shared" si="7"/>
        <v>0</v>
      </c>
      <c r="S2144" s="24"/>
      <c r="T2144" s="24"/>
    </row>
    <row r="2145">
      <c r="A2145" s="12" t="s">
        <v>2233</v>
      </c>
      <c r="F2145" s="19">
        <f>IFERROR(__xludf.DUMMYFUNCTION("SPLIT(A2141, "" |"")"),2139.0)</f>
        <v>2139</v>
      </c>
      <c r="G2145" s="19">
        <f>IFERROR(__xludf.DUMMYFUNCTION("""COMPUTED_VALUE"""),0.00237)</f>
        <v>0.00237</v>
      </c>
      <c r="H2145" s="19" t="str">
        <f>IFERROR(__xludf.DUMMYFUNCTION("""COMPUTED_VALUE"""),"-")</f>
        <v>-</v>
      </c>
      <c r="I2145" s="19">
        <f>IFERROR(__xludf.DUMMYFUNCTION("""COMPUTED_VALUE"""),0.00217)</f>
        <v>0.00217</v>
      </c>
      <c r="J2145" s="19">
        <f>IFERROR(__xludf.DUMMYFUNCTION("""COMPUTED_VALUE"""),0.04545)</f>
        <v>0.04545</v>
      </c>
      <c r="K2145" s="19" t="str">
        <f>IFERROR(__xludf.DUMMYFUNCTION("""COMPUTED_VALUE"""),"-")</f>
        <v>-</v>
      </c>
      <c r="L2145" s="19" t="str">
        <f>IFERROR(__xludf.DUMMYFUNCTION("""COMPUTED_VALUE"""),"-")</f>
        <v>-</v>
      </c>
      <c r="O2145" s="24">
        <f t="shared" si="4"/>
        <v>0</v>
      </c>
      <c r="P2145" s="24"/>
      <c r="Q2145" s="24">
        <f t="shared" si="6"/>
        <v>0</v>
      </c>
      <c r="R2145" s="24">
        <f t="shared" si="7"/>
        <v>0</v>
      </c>
      <c r="S2145" s="24"/>
      <c r="T2145" s="24"/>
    </row>
    <row r="2146">
      <c r="A2146" s="12" t="s">
        <v>2234</v>
      </c>
      <c r="F2146" s="19">
        <f>IFERROR(__xludf.DUMMYFUNCTION("SPLIT(A2142, "" |"")"),2140.0)</f>
        <v>2140</v>
      </c>
      <c r="G2146" s="19">
        <f>IFERROR(__xludf.DUMMYFUNCTION("""COMPUTED_VALUE"""),0.00245)</f>
        <v>0.00245</v>
      </c>
      <c r="H2146" s="19" t="str">
        <f>IFERROR(__xludf.DUMMYFUNCTION("""COMPUTED_VALUE"""),"-")</f>
        <v>-</v>
      </c>
      <c r="I2146" s="19">
        <f>IFERROR(__xludf.DUMMYFUNCTION("""COMPUTED_VALUE"""),0.00213)</f>
        <v>0.00213</v>
      </c>
      <c r="J2146" s="19">
        <f>IFERROR(__xludf.DUMMYFUNCTION("""COMPUTED_VALUE"""),0.04737)</f>
        <v>0.04737</v>
      </c>
      <c r="K2146" s="19" t="str">
        <f>IFERROR(__xludf.DUMMYFUNCTION("""COMPUTED_VALUE"""),"-")</f>
        <v>-</v>
      </c>
      <c r="L2146" s="19" t="str">
        <f>IFERROR(__xludf.DUMMYFUNCTION("""COMPUTED_VALUE"""),"-")</f>
        <v>-</v>
      </c>
      <c r="O2146" s="24">
        <f t="shared" si="4"/>
        <v>0</v>
      </c>
      <c r="P2146" s="24"/>
      <c r="Q2146" s="24">
        <f t="shared" si="6"/>
        <v>0</v>
      </c>
      <c r="R2146" s="24">
        <f t="shared" si="7"/>
        <v>0</v>
      </c>
      <c r="S2146" s="24"/>
      <c r="T2146" s="24"/>
    </row>
    <row r="2147">
      <c r="A2147" s="12" t="s">
        <v>2235</v>
      </c>
      <c r="F2147" s="19">
        <f>IFERROR(__xludf.DUMMYFUNCTION("SPLIT(A2143, "" |"")"),2141.0)</f>
        <v>2141</v>
      </c>
      <c r="G2147" s="19">
        <f>IFERROR(__xludf.DUMMYFUNCTION("""COMPUTED_VALUE"""),0.00233)</f>
        <v>0.00233</v>
      </c>
      <c r="H2147" s="19" t="str">
        <f>IFERROR(__xludf.DUMMYFUNCTION("""COMPUTED_VALUE"""),"-")</f>
        <v>-</v>
      </c>
      <c r="I2147" s="19">
        <f>IFERROR(__xludf.DUMMYFUNCTION("""COMPUTED_VALUE"""),0.00222)</f>
        <v>0.00222</v>
      </c>
      <c r="J2147" s="19">
        <f>IFERROR(__xludf.DUMMYFUNCTION("""COMPUTED_VALUE"""),0.04655)</f>
        <v>0.04655</v>
      </c>
      <c r="K2147" s="19" t="str">
        <f>IFERROR(__xludf.DUMMYFUNCTION("""COMPUTED_VALUE"""),"-")</f>
        <v>-</v>
      </c>
      <c r="L2147" s="19" t="str">
        <f>IFERROR(__xludf.DUMMYFUNCTION("""COMPUTED_VALUE"""),"-")</f>
        <v>-</v>
      </c>
      <c r="O2147" s="24">
        <f t="shared" si="4"/>
        <v>0</v>
      </c>
      <c r="P2147" s="24"/>
      <c r="Q2147" s="24">
        <f t="shared" si="6"/>
        <v>0</v>
      </c>
      <c r="R2147" s="24">
        <f t="shared" si="7"/>
        <v>0</v>
      </c>
      <c r="S2147" s="24"/>
      <c r="T2147" s="24"/>
    </row>
    <row r="2148">
      <c r="A2148" s="12" t="s">
        <v>2236</v>
      </c>
      <c r="F2148" s="19">
        <f>IFERROR(__xludf.DUMMYFUNCTION("SPLIT(A2144, "" |"")"),2142.0)</f>
        <v>2142</v>
      </c>
      <c r="G2148" s="19">
        <f>IFERROR(__xludf.DUMMYFUNCTION("""COMPUTED_VALUE"""),0.00229)</f>
        <v>0.00229</v>
      </c>
      <c r="H2148" s="19" t="str">
        <f>IFERROR(__xludf.DUMMYFUNCTION("""COMPUTED_VALUE"""),"-")</f>
        <v>-</v>
      </c>
      <c r="I2148" s="19">
        <f>IFERROR(__xludf.DUMMYFUNCTION("""COMPUTED_VALUE"""),0.00212)</f>
        <v>0.00212</v>
      </c>
      <c r="J2148" s="19">
        <f>IFERROR(__xludf.DUMMYFUNCTION("""COMPUTED_VALUE"""),0.04413)</f>
        <v>0.04413</v>
      </c>
      <c r="K2148" s="19" t="str">
        <f>IFERROR(__xludf.DUMMYFUNCTION("""COMPUTED_VALUE"""),"-")</f>
        <v>-</v>
      </c>
      <c r="L2148" s="19" t="str">
        <f>IFERROR(__xludf.DUMMYFUNCTION("""COMPUTED_VALUE"""),"-")</f>
        <v>-</v>
      </c>
      <c r="O2148" s="24">
        <f t="shared" si="4"/>
        <v>0</v>
      </c>
      <c r="P2148" s="24"/>
      <c r="Q2148" s="24">
        <f t="shared" si="6"/>
        <v>0</v>
      </c>
      <c r="R2148" s="24">
        <f t="shared" si="7"/>
        <v>1</v>
      </c>
      <c r="S2148" s="24"/>
      <c r="T2148" s="24"/>
    </row>
    <row r="2149">
      <c r="A2149" s="12" t="s">
        <v>2237</v>
      </c>
      <c r="F2149" s="19">
        <f>IFERROR(__xludf.DUMMYFUNCTION("SPLIT(A2145, "" |"")"),2143.0)</f>
        <v>2143</v>
      </c>
      <c r="G2149" s="19">
        <f>IFERROR(__xludf.DUMMYFUNCTION("""COMPUTED_VALUE"""),0.00234)</f>
        <v>0.00234</v>
      </c>
      <c r="H2149" s="19" t="str">
        <f>IFERROR(__xludf.DUMMYFUNCTION("""COMPUTED_VALUE"""),"-")</f>
        <v>-</v>
      </c>
      <c r="I2149" s="19">
        <f>IFERROR(__xludf.DUMMYFUNCTION("""COMPUTED_VALUE"""),0.00214)</f>
        <v>0.00214</v>
      </c>
      <c r="J2149" s="19">
        <f>IFERROR(__xludf.DUMMYFUNCTION("""COMPUTED_VALUE"""),0.04751)</f>
        <v>0.04751</v>
      </c>
      <c r="K2149" s="19" t="str">
        <f>IFERROR(__xludf.DUMMYFUNCTION("""COMPUTED_VALUE"""),"-")</f>
        <v>-</v>
      </c>
      <c r="L2149" s="19" t="str">
        <f>IFERROR(__xludf.DUMMYFUNCTION("""COMPUTED_VALUE"""),"-")</f>
        <v>-</v>
      </c>
      <c r="O2149" s="24">
        <f t="shared" si="4"/>
        <v>0</v>
      </c>
      <c r="P2149" s="24"/>
      <c r="Q2149" s="24">
        <f t="shared" si="6"/>
        <v>0</v>
      </c>
      <c r="R2149" s="24">
        <f t="shared" si="7"/>
        <v>0</v>
      </c>
      <c r="S2149" s="24"/>
      <c r="T2149" s="24"/>
    </row>
    <row r="2150">
      <c r="A2150" s="12" t="s">
        <v>2238</v>
      </c>
      <c r="F2150" s="19">
        <f>IFERROR(__xludf.DUMMYFUNCTION("SPLIT(A2146, "" |"")"),2144.0)</f>
        <v>2144</v>
      </c>
      <c r="G2150" s="19">
        <f>IFERROR(__xludf.DUMMYFUNCTION("""COMPUTED_VALUE"""),0.00242)</f>
        <v>0.00242</v>
      </c>
      <c r="H2150" s="19" t="str">
        <f>IFERROR(__xludf.DUMMYFUNCTION("""COMPUTED_VALUE"""),"-")</f>
        <v>-</v>
      </c>
      <c r="I2150" s="19">
        <f>IFERROR(__xludf.DUMMYFUNCTION("""COMPUTED_VALUE"""),0.00215)</f>
        <v>0.00215</v>
      </c>
      <c r="J2150" s="19">
        <f>IFERROR(__xludf.DUMMYFUNCTION("""COMPUTED_VALUE"""),0.04654)</f>
        <v>0.04654</v>
      </c>
      <c r="K2150" s="19" t="str">
        <f>IFERROR(__xludf.DUMMYFUNCTION("""COMPUTED_VALUE"""),"-")</f>
        <v>-</v>
      </c>
      <c r="L2150" s="19" t="str">
        <f>IFERROR(__xludf.DUMMYFUNCTION("""COMPUTED_VALUE"""),"-")</f>
        <v>-</v>
      </c>
      <c r="O2150" s="24">
        <f t="shared" si="4"/>
        <v>0</v>
      </c>
      <c r="P2150" s="24"/>
      <c r="Q2150" s="24">
        <f t="shared" si="6"/>
        <v>0</v>
      </c>
      <c r="R2150" s="24">
        <f t="shared" si="7"/>
        <v>0</v>
      </c>
      <c r="S2150" s="24"/>
      <c r="T2150" s="24"/>
    </row>
    <row r="2151">
      <c r="A2151" s="12" t="s">
        <v>2239</v>
      </c>
      <c r="F2151" s="19">
        <f>IFERROR(__xludf.DUMMYFUNCTION("SPLIT(A2147, "" |"")"),2145.0)</f>
        <v>2145</v>
      </c>
      <c r="G2151" s="19">
        <f>IFERROR(__xludf.DUMMYFUNCTION("""COMPUTED_VALUE"""),0.00231)</f>
        <v>0.00231</v>
      </c>
      <c r="H2151" s="19" t="str">
        <f>IFERROR(__xludf.DUMMYFUNCTION("""COMPUTED_VALUE"""),"-")</f>
        <v>-</v>
      </c>
      <c r="I2151" s="19">
        <f>IFERROR(__xludf.DUMMYFUNCTION("""COMPUTED_VALUE"""),0.00221)</f>
        <v>0.00221</v>
      </c>
      <c r="J2151" s="19">
        <f>IFERROR(__xludf.DUMMYFUNCTION("""COMPUTED_VALUE"""),0.04742)</f>
        <v>0.04742</v>
      </c>
      <c r="K2151" s="19" t="str">
        <f>IFERROR(__xludf.DUMMYFUNCTION("""COMPUTED_VALUE"""),"-")</f>
        <v>-</v>
      </c>
      <c r="L2151" s="19" t="str">
        <f>IFERROR(__xludf.DUMMYFUNCTION("""COMPUTED_VALUE"""),"-")</f>
        <v>-</v>
      </c>
      <c r="O2151" s="24">
        <f t="shared" si="4"/>
        <v>0</v>
      </c>
      <c r="P2151" s="24"/>
      <c r="Q2151" s="24">
        <f t="shared" si="6"/>
        <v>0</v>
      </c>
      <c r="R2151" s="24">
        <f t="shared" si="7"/>
        <v>0</v>
      </c>
      <c r="S2151" s="24"/>
      <c r="T2151" s="24"/>
    </row>
    <row r="2152">
      <c r="A2152" s="12" t="s">
        <v>2240</v>
      </c>
      <c r="F2152" s="19">
        <f>IFERROR(__xludf.DUMMYFUNCTION("SPLIT(A2148, "" |"")"),2146.0)</f>
        <v>2146</v>
      </c>
      <c r="G2152" s="19">
        <f>IFERROR(__xludf.DUMMYFUNCTION("""COMPUTED_VALUE"""),0.00233)</f>
        <v>0.00233</v>
      </c>
      <c r="H2152" s="19" t="str">
        <f>IFERROR(__xludf.DUMMYFUNCTION("""COMPUTED_VALUE"""),"-")</f>
        <v>-</v>
      </c>
      <c r="I2152" s="19">
        <f>IFERROR(__xludf.DUMMYFUNCTION("""COMPUTED_VALUE"""),0.00222)</f>
        <v>0.00222</v>
      </c>
      <c r="J2152" s="19">
        <f>IFERROR(__xludf.DUMMYFUNCTION("""COMPUTED_VALUE"""),0.0474)</f>
        <v>0.0474</v>
      </c>
      <c r="K2152" s="19" t="str">
        <f>IFERROR(__xludf.DUMMYFUNCTION("""COMPUTED_VALUE"""),"-")</f>
        <v>-</v>
      </c>
      <c r="L2152" s="19" t="str">
        <f>IFERROR(__xludf.DUMMYFUNCTION("""COMPUTED_VALUE"""),"-")</f>
        <v>-</v>
      </c>
      <c r="O2152" s="24">
        <f t="shared" si="4"/>
        <v>0</v>
      </c>
      <c r="P2152" s="24"/>
      <c r="Q2152" s="24">
        <f t="shared" si="6"/>
        <v>0</v>
      </c>
      <c r="R2152" s="24">
        <f t="shared" si="7"/>
        <v>0</v>
      </c>
      <c r="S2152" s="24"/>
      <c r="T2152" s="24"/>
    </row>
    <row r="2153">
      <c r="A2153" s="12" t="s">
        <v>2241</v>
      </c>
      <c r="F2153" s="19">
        <f>IFERROR(__xludf.DUMMYFUNCTION("SPLIT(A2149, "" |"")"),2147.0)</f>
        <v>2147</v>
      </c>
      <c r="G2153" s="19">
        <f>IFERROR(__xludf.DUMMYFUNCTION("""COMPUTED_VALUE"""),0.00241)</f>
        <v>0.00241</v>
      </c>
      <c r="H2153" s="19" t="str">
        <f>IFERROR(__xludf.DUMMYFUNCTION("""COMPUTED_VALUE"""),"-")</f>
        <v>-</v>
      </c>
      <c r="I2153" s="19">
        <f>IFERROR(__xludf.DUMMYFUNCTION("""COMPUTED_VALUE"""),0.00223)</f>
        <v>0.00223</v>
      </c>
      <c r="J2153" s="19">
        <f>IFERROR(__xludf.DUMMYFUNCTION("""COMPUTED_VALUE"""),0.04746)</f>
        <v>0.04746</v>
      </c>
      <c r="K2153" s="19" t="str">
        <f>IFERROR(__xludf.DUMMYFUNCTION("""COMPUTED_VALUE"""),"-")</f>
        <v>-</v>
      </c>
      <c r="L2153" s="19" t="str">
        <f>IFERROR(__xludf.DUMMYFUNCTION("""COMPUTED_VALUE"""),"-")</f>
        <v>-</v>
      </c>
      <c r="O2153" s="24">
        <f t="shared" si="4"/>
        <v>0</v>
      </c>
      <c r="P2153" s="24"/>
      <c r="Q2153" s="24">
        <f t="shared" si="6"/>
        <v>0</v>
      </c>
      <c r="R2153" s="24">
        <f t="shared" si="7"/>
        <v>0</v>
      </c>
      <c r="S2153" s="24"/>
      <c r="T2153" s="24"/>
    </row>
    <row r="2154">
      <c r="A2154" s="12" t="s">
        <v>2242</v>
      </c>
      <c r="F2154" s="19">
        <f>IFERROR(__xludf.DUMMYFUNCTION("SPLIT(A2150, "" |"")"),2148.0)</f>
        <v>2148</v>
      </c>
      <c r="G2154" s="19">
        <f>IFERROR(__xludf.DUMMYFUNCTION("""COMPUTED_VALUE"""),0.00239)</f>
        <v>0.00239</v>
      </c>
      <c r="H2154" s="19" t="str">
        <f>IFERROR(__xludf.DUMMYFUNCTION("""COMPUTED_VALUE"""),"-")</f>
        <v>-</v>
      </c>
      <c r="I2154" s="19">
        <f>IFERROR(__xludf.DUMMYFUNCTION("""COMPUTED_VALUE"""),0.00226)</f>
        <v>0.00226</v>
      </c>
      <c r="J2154" s="19">
        <f>IFERROR(__xludf.DUMMYFUNCTION("""COMPUTED_VALUE"""),0.04741)</f>
        <v>0.04741</v>
      </c>
      <c r="K2154" s="19" t="str">
        <f>IFERROR(__xludf.DUMMYFUNCTION("""COMPUTED_VALUE"""),"-")</f>
        <v>-</v>
      </c>
      <c r="L2154" s="19" t="str">
        <f>IFERROR(__xludf.DUMMYFUNCTION("""COMPUTED_VALUE"""),"-")</f>
        <v>-</v>
      </c>
      <c r="O2154" s="24">
        <f t="shared" si="4"/>
        <v>0</v>
      </c>
      <c r="P2154" s="24"/>
      <c r="Q2154" s="24">
        <f t="shared" si="6"/>
        <v>0</v>
      </c>
      <c r="R2154" s="24">
        <f t="shared" si="7"/>
        <v>0</v>
      </c>
      <c r="S2154" s="24"/>
      <c r="T2154" s="24"/>
    </row>
    <row r="2155">
      <c r="A2155" s="12" t="s">
        <v>2243</v>
      </c>
      <c r="F2155" s="19">
        <f>IFERROR(__xludf.DUMMYFUNCTION("SPLIT(A2151, "" |"")"),2149.0)</f>
        <v>2149</v>
      </c>
      <c r="G2155" s="19">
        <f>IFERROR(__xludf.DUMMYFUNCTION("""COMPUTED_VALUE"""),0.00242)</f>
        <v>0.00242</v>
      </c>
      <c r="H2155" s="19" t="str">
        <f>IFERROR(__xludf.DUMMYFUNCTION("""COMPUTED_VALUE"""),"-")</f>
        <v>-</v>
      </c>
      <c r="I2155" s="19">
        <f>IFERROR(__xludf.DUMMYFUNCTION("""COMPUTED_VALUE"""),0.00225)</f>
        <v>0.00225</v>
      </c>
      <c r="J2155" s="19">
        <f>IFERROR(__xludf.DUMMYFUNCTION("""COMPUTED_VALUE"""),0.04754)</f>
        <v>0.04754</v>
      </c>
      <c r="K2155" s="19" t="str">
        <f>IFERROR(__xludf.DUMMYFUNCTION("""COMPUTED_VALUE"""),"-")</f>
        <v>-</v>
      </c>
      <c r="L2155" s="19" t="str">
        <f>IFERROR(__xludf.DUMMYFUNCTION("""COMPUTED_VALUE"""),"-")</f>
        <v>-</v>
      </c>
      <c r="O2155" s="24">
        <f t="shared" si="4"/>
        <v>0</v>
      </c>
      <c r="P2155" s="24"/>
      <c r="Q2155" s="24">
        <f t="shared" si="6"/>
        <v>0</v>
      </c>
      <c r="R2155" s="24">
        <f t="shared" si="7"/>
        <v>0</v>
      </c>
      <c r="S2155" s="24"/>
      <c r="T2155" s="24"/>
    </row>
    <row r="2156">
      <c r="A2156" s="12" t="s">
        <v>2244</v>
      </c>
      <c r="F2156" s="19">
        <f>IFERROR(__xludf.DUMMYFUNCTION("SPLIT(A2152, "" |"")"),2150.0)</f>
        <v>2150</v>
      </c>
      <c r="G2156" s="19">
        <f>IFERROR(__xludf.DUMMYFUNCTION("""COMPUTED_VALUE"""),0.00237)</f>
        <v>0.00237</v>
      </c>
      <c r="H2156" s="19" t="str">
        <f>IFERROR(__xludf.DUMMYFUNCTION("""COMPUTED_VALUE"""),"-")</f>
        <v>-</v>
      </c>
      <c r="I2156" s="19">
        <f>IFERROR(__xludf.DUMMYFUNCTION("""COMPUTED_VALUE"""),0.00227)</f>
        <v>0.00227</v>
      </c>
      <c r="J2156" s="19">
        <f>IFERROR(__xludf.DUMMYFUNCTION("""COMPUTED_VALUE"""),0.04132)</f>
        <v>0.04132</v>
      </c>
      <c r="K2156" s="19" t="str">
        <f>IFERROR(__xludf.DUMMYFUNCTION("""COMPUTED_VALUE"""),"-")</f>
        <v>-</v>
      </c>
      <c r="L2156" s="19" t="str">
        <f>IFERROR(__xludf.DUMMYFUNCTION("""COMPUTED_VALUE"""),"-")</f>
        <v>-</v>
      </c>
      <c r="O2156" s="24">
        <f t="shared" si="4"/>
        <v>0</v>
      </c>
      <c r="P2156" s="24"/>
      <c r="Q2156" s="24">
        <f t="shared" si="6"/>
        <v>0</v>
      </c>
      <c r="R2156" s="24">
        <f t="shared" si="7"/>
        <v>1</v>
      </c>
      <c r="S2156" s="24"/>
      <c r="T2156" s="24"/>
    </row>
    <row r="2157">
      <c r="A2157" s="12" t="s">
        <v>2245</v>
      </c>
      <c r="F2157" s="19">
        <f>IFERROR(__xludf.DUMMYFUNCTION("SPLIT(A2153, "" |"")"),2151.0)</f>
        <v>2151</v>
      </c>
      <c r="G2157" s="19">
        <f>IFERROR(__xludf.DUMMYFUNCTION("""COMPUTED_VALUE"""),0.00239)</f>
        <v>0.00239</v>
      </c>
      <c r="H2157" s="19" t="str">
        <f>IFERROR(__xludf.DUMMYFUNCTION("""COMPUTED_VALUE"""),"-")</f>
        <v>-</v>
      </c>
      <c r="I2157" s="19">
        <f>IFERROR(__xludf.DUMMYFUNCTION("""COMPUTED_VALUE"""),0.00221)</f>
        <v>0.00221</v>
      </c>
      <c r="J2157" s="19">
        <f>IFERROR(__xludf.DUMMYFUNCTION("""COMPUTED_VALUE"""),0.04746)</f>
        <v>0.04746</v>
      </c>
      <c r="K2157" s="19" t="str">
        <f>IFERROR(__xludf.DUMMYFUNCTION("""COMPUTED_VALUE"""),"-")</f>
        <v>-</v>
      </c>
      <c r="L2157" s="19" t="str">
        <f>IFERROR(__xludf.DUMMYFUNCTION("""COMPUTED_VALUE"""),"-")</f>
        <v>-</v>
      </c>
      <c r="O2157" s="24">
        <f t="shared" si="4"/>
        <v>0</v>
      </c>
      <c r="P2157" s="24"/>
      <c r="Q2157" s="24">
        <f t="shared" si="6"/>
        <v>0</v>
      </c>
      <c r="R2157" s="24">
        <f t="shared" si="7"/>
        <v>0</v>
      </c>
      <c r="S2157" s="24"/>
      <c r="T2157" s="24"/>
    </row>
    <row r="2158">
      <c r="A2158" s="12" t="s">
        <v>2246</v>
      </c>
      <c r="F2158" s="19">
        <f>IFERROR(__xludf.DUMMYFUNCTION("SPLIT(A2154, "" |"")"),2152.0)</f>
        <v>2152</v>
      </c>
      <c r="G2158" s="19">
        <f>IFERROR(__xludf.DUMMYFUNCTION("""COMPUTED_VALUE"""),0.0024)</f>
        <v>0.0024</v>
      </c>
      <c r="H2158" s="19" t="str">
        <f>IFERROR(__xludf.DUMMYFUNCTION("""COMPUTED_VALUE"""),"-")</f>
        <v>-</v>
      </c>
      <c r="I2158" s="19">
        <f>IFERROR(__xludf.DUMMYFUNCTION("""COMPUTED_VALUE"""),0.00219)</f>
        <v>0.00219</v>
      </c>
      <c r="J2158" s="19">
        <f>IFERROR(__xludf.DUMMYFUNCTION("""COMPUTED_VALUE"""),0.04743)</f>
        <v>0.04743</v>
      </c>
      <c r="K2158" s="19" t="str">
        <f>IFERROR(__xludf.DUMMYFUNCTION("""COMPUTED_VALUE"""),"-")</f>
        <v>-</v>
      </c>
      <c r="L2158" s="19" t="str">
        <f>IFERROR(__xludf.DUMMYFUNCTION("""COMPUTED_VALUE"""),"-")</f>
        <v>-</v>
      </c>
      <c r="O2158" s="24">
        <f t="shared" si="4"/>
        <v>0</v>
      </c>
      <c r="P2158" s="24"/>
      <c r="Q2158" s="24">
        <f t="shared" si="6"/>
        <v>0</v>
      </c>
      <c r="R2158" s="24">
        <f t="shared" si="7"/>
        <v>0</v>
      </c>
      <c r="S2158" s="24"/>
      <c r="T2158" s="24"/>
    </row>
    <row r="2159">
      <c r="A2159" s="12" t="s">
        <v>2247</v>
      </c>
      <c r="F2159" s="19">
        <f>IFERROR(__xludf.DUMMYFUNCTION("SPLIT(A2155, "" |"")"),2153.0)</f>
        <v>2153</v>
      </c>
      <c r="G2159" s="19">
        <f>IFERROR(__xludf.DUMMYFUNCTION("""COMPUTED_VALUE"""),0.00234)</f>
        <v>0.00234</v>
      </c>
      <c r="H2159" s="19" t="str">
        <f>IFERROR(__xludf.DUMMYFUNCTION("""COMPUTED_VALUE"""),"-")</f>
        <v>-</v>
      </c>
      <c r="I2159" s="19">
        <f>IFERROR(__xludf.DUMMYFUNCTION("""COMPUTED_VALUE"""),0.00221)</f>
        <v>0.00221</v>
      </c>
      <c r="J2159" s="19">
        <f>IFERROR(__xludf.DUMMYFUNCTION("""COMPUTED_VALUE"""),0.04745)</f>
        <v>0.04745</v>
      </c>
      <c r="K2159" s="19" t="str">
        <f>IFERROR(__xludf.DUMMYFUNCTION("""COMPUTED_VALUE"""),"-")</f>
        <v>-</v>
      </c>
      <c r="L2159" s="19" t="str">
        <f>IFERROR(__xludf.DUMMYFUNCTION("""COMPUTED_VALUE"""),"-")</f>
        <v>-</v>
      </c>
      <c r="O2159" s="24">
        <f t="shared" si="4"/>
        <v>0</v>
      </c>
      <c r="P2159" s="24"/>
      <c r="Q2159" s="24">
        <f t="shared" si="6"/>
        <v>0</v>
      </c>
      <c r="R2159" s="24">
        <f t="shared" si="7"/>
        <v>0</v>
      </c>
      <c r="S2159" s="24"/>
      <c r="T2159" s="24"/>
    </row>
    <row r="2160">
      <c r="A2160" s="12" t="s">
        <v>2248</v>
      </c>
      <c r="F2160" s="19">
        <f>IFERROR(__xludf.DUMMYFUNCTION("SPLIT(A2156, "" |"")"),2154.0)</f>
        <v>2154</v>
      </c>
      <c r="G2160" s="19">
        <f>IFERROR(__xludf.DUMMYFUNCTION("""COMPUTED_VALUE"""),0.00234)</f>
        <v>0.00234</v>
      </c>
      <c r="H2160" s="19" t="str">
        <f>IFERROR(__xludf.DUMMYFUNCTION("""COMPUTED_VALUE"""),"-")</f>
        <v>-</v>
      </c>
      <c r="I2160" s="19">
        <f>IFERROR(__xludf.DUMMYFUNCTION("""COMPUTED_VALUE"""),0.00228)</f>
        <v>0.00228</v>
      </c>
      <c r="J2160" s="19">
        <f>IFERROR(__xludf.DUMMYFUNCTION("""COMPUTED_VALUE"""),0.04747)</f>
        <v>0.04747</v>
      </c>
      <c r="K2160" s="19" t="str">
        <f>IFERROR(__xludf.DUMMYFUNCTION("""COMPUTED_VALUE"""),"-")</f>
        <v>-</v>
      </c>
      <c r="L2160" s="19" t="str">
        <f>IFERROR(__xludf.DUMMYFUNCTION("""COMPUTED_VALUE"""),"-")</f>
        <v>-</v>
      </c>
      <c r="O2160" s="24">
        <f t="shared" si="4"/>
        <v>0</v>
      </c>
      <c r="P2160" s="24"/>
      <c r="Q2160" s="24">
        <f t="shared" si="6"/>
        <v>0</v>
      </c>
      <c r="R2160" s="24">
        <f t="shared" si="7"/>
        <v>0</v>
      </c>
      <c r="S2160" s="24"/>
      <c r="T2160" s="24"/>
    </row>
    <row r="2161">
      <c r="A2161" s="12" t="s">
        <v>2249</v>
      </c>
      <c r="F2161" s="19">
        <f>IFERROR(__xludf.DUMMYFUNCTION("SPLIT(A2157, "" |"")"),2155.0)</f>
        <v>2155</v>
      </c>
      <c r="G2161" s="19">
        <f>IFERROR(__xludf.DUMMYFUNCTION("""COMPUTED_VALUE"""),0.00247)</f>
        <v>0.00247</v>
      </c>
      <c r="H2161" s="19" t="str">
        <f>IFERROR(__xludf.DUMMYFUNCTION("""COMPUTED_VALUE"""),"-")</f>
        <v>-</v>
      </c>
      <c r="I2161" s="19">
        <f>IFERROR(__xludf.DUMMYFUNCTION("""COMPUTED_VALUE"""),0.00215)</f>
        <v>0.00215</v>
      </c>
      <c r="J2161" s="19">
        <f>IFERROR(__xludf.DUMMYFUNCTION("""COMPUTED_VALUE"""),0.04747)</f>
        <v>0.04747</v>
      </c>
      <c r="K2161" s="19" t="str">
        <f>IFERROR(__xludf.DUMMYFUNCTION("""COMPUTED_VALUE"""),"-")</f>
        <v>-</v>
      </c>
      <c r="L2161" s="19" t="str">
        <f>IFERROR(__xludf.DUMMYFUNCTION("""COMPUTED_VALUE"""),"-")</f>
        <v>-</v>
      </c>
      <c r="O2161" s="24">
        <f t="shared" si="4"/>
        <v>0</v>
      </c>
      <c r="P2161" s="24"/>
      <c r="Q2161" s="24">
        <f t="shared" si="6"/>
        <v>0</v>
      </c>
      <c r="R2161" s="24">
        <f t="shared" si="7"/>
        <v>0</v>
      </c>
      <c r="S2161" s="24"/>
      <c r="T2161" s="24"/>
    </row>
    <row r="2162">
      <c r="A2162" s="12" t="s">
        <v>2250</v>
      </c>
      <c r="F2162" s="19">
        <f>IFERROR(__xludf.DUMMYFUNCTION("SPLIT(A2158, "" |"")"),2156.0)</f>
        <v>2156</v>
      </c>
      <c r="G2162" s="19">
        <f>IFERROR(__xludf.DUMMYFUNCTION("""COMPUTED_VALUE"""),0.00241)</f>
        <v>0.00241</v>
      </c>
      <c r="H2162" s="19" t="str">
        <f>IFERROR(__xludf.DUMMYFUNCTION("""COMPUTED_VALUE"""),"-")</f>
        <v>-</v>
      </c>
      <c r="I2162" s="19">
        <f>IFERROR(__xludf.DUMMYFUNCTION("""COMPUTED_VALUE"""),0.00216)</f>
        <v>0.00216</v>
      </c>
      <c r="J2162" s="19">
        <f>IFERROR(__xludf.DUMMYFUNCTION("""COMPUTED_VALUE"""),0.04747)</f>
        <v>0.04747</v>
      </c>
      <c r="K2162" s="19" t="str">
        <f>IFERROR(__xludf.DUMMYFUNCTION("""COMPUTED_VALUE"""),"-")</f>
        <v>-</v>
      </c>
      <c r="L2162" s="19" t="str">
        <f>IFERROR(__xludf.DUMMYFUNCTION("""COMPUTED_VALUE"""),"-")</f>
        <v>-</v>
      </c>
      <c r="O2162" s="24">
        <f t="shared" si="4"/>
        <v>0</v>
      </c>
      <c r="P2162" s="24"/>
      <c r="Q2162" s="24">
        <f t="shared" si="6"/>
        <v>0</v>
      </c>
      <c r="R2162" s="24">
        <f t="shared" si="7"/>
        <v>0</v>
      </c>
      <c r="S2162" s="24"/>
      <c r="T2162" s="24"/>
    </row>
    <row r="2163">
      <c r="A2163" s="12" t="s">
        <v>2251</v>
      </c>
      <c r="F2163" s="19">
        <f>IFERROR(__xludf.DUMMYFUNCTION("SPLIT(A2159, "" |"")"),2157.0)</f>
        <v>2157</v>
      </c>
      <c r="G2163" s="19">
        <f>IFERROR(__xludf.DUMMYFUNCTION("""COMPUTED_VALUE"""),0.00235)</f>
        <v>0.00235</v>
      </c>
      <c r="H2163" s="19" t="str">
        <f>IFERROR(__xludf.DUMMYFUNCTION("""COMPUTED_VALUE"""),"-")</f>
        <v>-</v>
      </c>
      <c r="I2163" s="19">
        <f>IFERROR(__xludf.DUMMYFUNCTION("""COMPUTED_VALUE"""),0.00221)</f>
        <v>0.00221</v>
      </c>
      <c r="J2163" s="19">
        <f>IFERROR(__xludf.DUMMYFUNCTION("""COMPUTED_VALUE"""),0.04744)</f>
        <v>0.04744</v>
      </c>
      <c r="K2163" s="19" t="str">
        <f>IFERROR(__xludf.DUMMYFUNCTION("""COMPUTED_VALUE"""),"-")</f>
        <v>-</v>
      </c>
      <c r="L2163" s="19" t="str">
        <f>IFERROR(__xludf.DUMMYFUNCTION("""COMPUTED_VALUE"""),"-")</f>
        <v>-</v>
      </c>
      <c r="O2163" s="24">
        <f t="shared" si="4"/>
        <v>0</v>
      </c>
      <c r="P2163" s="24"/>
      <c r="Q2163" s="24">
        <f t="shared" si="6"/>
        <v>0</v>
      </c>
      <c r="R2163" s="24">
        <f t="shared" si="7"/>
        <v>0</v>
      </c>
      <c r="S2163" s="24"/>
      <c r="T2163" s="24"/>
    </row>
    <row r="2164">
      <c r="A2164" s="12" t="s">
        <v>2252</v>
      </c>
      <c r="F2164" s="19">
        <f>IFERROR(__xludf.DUMMYFUNCTION("SPLIT(A2160, "" |"")"),2158.0)</f>
        <v>2158</v>
      </c>
      <c r="G2164" s="19">
        <f>IFERROR(__xludf.DUMMYFUNCTION("""COMPUTED_VALUE"""),0.00235)</f>
        <v>0.00235</v>
      </c>
      <c r="H2164" s="19" t="str">
        <f>IFERROR(__xludf.DUMMYFUNCTION("""COMPUTED_VALUE"""),"-")</f>
        <v>-</v>
      </c>
      <c r="I2164" s="19">
        <f>IFERROR(__xludf.DUMMYFUNCTION("""COMPUTED_VALUE"""),0.00219)</f>
        <v>0.00219</v>
      </c>
      <c r="J2164" s="19">
        <f>IFERROR(__xludf.DUMMYFUNCTION("""COMPUTED_VALUE"""),0.04365)</f>
        <v>0.04365</v>
      </c>
      <c r="K2164" s="19" t="str">
        <f>IFERROR(__xludf.DUMMYFUNCTION("""COMPUTED_VALUE"""),"-")</f>
        <v>-</v>
      </c>
      <c r="L2164" s="19" t="str">
        <f>IFERROR(__xludf.DUMMYFUNCTION("""COMPUTED_VALUE"""),"-")</f>
        <v>-</v>
      </c>
      <c r="O2164" s="24">
        <f t="shared" si="4"/>
        <v>0</v>
      </c>
      <c r="P2164" s="24"/>
      <c r="Q2164" s="24">
        <f t="shared" si="6"/>
        <v>0</v>
      </c>
      <c r="R2164" s="24">
        <f t="shared" si="7"/>
        <v>1</v>
      </c>
      <c r="S2164" s="24"/>
      <c r="T2164" s="24"/>
    </row>
    <row r="2165">
      <c r="A2165" s="12" t="s">
        <v>2253</v>
      </c>
      <c r="F2165" s="19">
        <f>IFERROR(__xludf.DUMMYFUNCTION("SPLIT(A2161, "" |"")"),2159.0)</f>
        <v>2159</v>
      </c>
      <c r="G2165" s="19">
        <f>IFERROR(__xludf.DUMMYFUNCTION("""COMPUTED_VALUE"""),0.00233)</f>
        <v>0.00233</v>
      </c>
      <c r="H2165" s="19" t="str">
        <f>IFERROR(__xludf.DUMMYFUNCTION("""COMPUTED_VALUE"""),"-")</f>
        <v>-</v>
      </c>
      <c r="I2165" s="19">
        <f>IFERROR(__xludf.DUMMYFUNCTION("""COMPUTED_VALUE"""),0.00231)</f>
        <v>0.00231</v>
      </c>
      <c r="J2165" s="19">
        <f>IFERROR(__xludf.DUMMYFUNCTION("""COMPUTED_VALUE"""),0.04436)</f>
        <v>0.04436</v>
      </c>
      <c r="K2165" s="19" t="str">
        <f>IFERROR(__xludf.DUMMYFUNCTION("""COMPUTED_VALUE"""),"-")</f>
        <v>-</v>
      </c>
      <c r="L2165" s="19" t="str">
        <f>IFERROR(__xludf.DUMMYFUNCTION("""COMPUTED_VALUE"""),"-")</f>
        <v>-</v>
      </c>
      <c r="O2165" s="24">
        <f t="shared" si="4"/>
        <v>0</v>
      </c>
      <c r="P2165" s="24"/>
      <c r="Q2165" s="24">
        <f t="shared" si="6"/>
        <v>0</v>
      </c>
      <c r="R2165" s="24">
        <f t="shared" si="7"/>
        <v>1</v>
      </c>
      <c r="S2165" s="24"/>
      <c r="T2165" s="24"/>
    </row>
    <row r="2166">
      <c r="A2166" s="12" t="s">
        <v>2254</v>
      </c>
      <c r="F2166" s="19">
        <f>IFERROR(__xludf.DUMMYFUNCTION("SPLIT(A2162, "" |"")"),2160.0)</f>
        <v>2160</v>
      </c>
      <c r="G2166" s="19">
        <f>IFERROR(__xludf.DUMMYFUNCTION("""COMPUTED_VALUE"""),0.00244)</f>
        <v>0.00244</v>
      </c>
      <c r="H2166" s="19" t="str">
        <f>IFERROR(__xludf.DUMMYFUNCTION("""COMPUTED_VALUE"""),"-")</f>
        <v>-</v>
      </c>
      <c r="I2166" s="19">
        <f>IFERROR(__xludf.DUMMYFUNCTION("""COMPUTED_VALUE"""),0.00225)</f>
        <v>0.00225</v>
      </c>
      <c r="J2166" s="19">
        <f>IFERROR(__xludf.DUMMYFUNCTION("""COMPUTED_VALUE"""),0.04743)</f>
        <v>0.04743</v>
      </c>
      <c r="K2166" s="19" t="str">
        <f>IFERROR(__xludf.DUMMYFUNCTION("""COMPUTED_VALUE"""),"-")</f>
        <v>-</v>
      </c>
      <c r="L2166" s="19" t="str">
        <f>IFERROR(__xludf.DUMMYFUNCTION("""COMPUTED_VALUE"""),"-")</f>
        <v>-</v>
      </c>
      <c r="O2166" s="24">
        <f t="shared" si="4"/>
        <v>0</v>
      </c>
      <c r="P2166" s="24"/>
      <c r="Q2166" s="24">
        <f t="shared" si="6"/>
        <v>0</v>
      </c>
      <c r="R2166" s="24">
        <f t="shared" si="7"/>
        <v>0</v>
      </c>
      <c r="S2166" s="24"/>
      <c r="T2166" s="24"/>
    </row>
    <row r="2167">
      <c r="A2167" s="12" t="s">
        <v>2255</v>
      </c>
      <c r="F2167" s="19">
        <f>IFERROR(__xludf.DUMMYFUNCTION("SPLIT(A2163, "" |"")"),2161.0)</f>
        <v>2161</v>
      </c>
      <c r="G2167" s="19">
        <f>IFERROR(__xludf.DUMMYFUNCTION("""COMPUTED_VALUE"""),0.00237)</f>
        <v>0.00237</v>
      </c>
      <c r="H2167" s="19" t="str">
        <f>IFERROR(__xludf.DUMMYFUNCTION("""COMPUTED_VALUE"""),"-")</f>
        <v>-</v>
      </c>
      <c r="I2167" s="19">
        <f>IFERROR(__xludf.DUMMYFUNCTION("""COMPUTED_VALUE"""),0.0022)</f>
        <v>0.0022</v>
      </c>
      <c r="J2167" s="19">
        <f>IFERROR(__xludf.DUMMYFUNCTION("""COMPUTED_VALUE"""),0.04745)</f>
        <v>0.04745</v>
      </c>
      <c r="K2167" s="19" t="str">
        <f>IFERROR(__xludf.DUMMYFUNCTION("""COMPUTED_VALUE"""),"-")</f>
        <v>-</v>
      </c>
      <c r="L2167" s="19" t="str">
        <f>IFERROR(__xludf.DUMMYFUNCTION("""COMPUTED_VALUE"""),"-")</f>
        <v>-</v>
      </c>
      <c r="O2167" s="24">
        <f t="shared" si="4"/>
        <v>0</v>
      </c>
      <c r="P2167" s="24"/>
      <c r="Q2167" s="24">
        <f t="shared" si="6"/>
        <v>0</v>
      </c>
      <c r="R2167" s="24">
        <f t="shared" si="7"/>
        <v>0</v>
      </c>
      <c r="S2167" s="24"/>
      <c r="T2167" s="24"/>
    </row>
    <row r="2168">
      <c r="A2168" s="12" t="s">
        <v>2256</v>
      </c>
      <c r="F2168" s="19">
        <f>IFERROR(__xludf.DUMMYFUNCTION("SPLIT(A2164, "" |"")"),2162.0)</f>
        <v>2162</v>
      </c>
      <c r="G2168" s="19">
        <f>IFERROR(__xludf.DUMMYFUNCTION("""COMPUTED_VALUE"""),0.00233)</f>
        <v>0.00233</v>
      </c>
      <c r="H2168" s="19" t="str">
        <f>IFERROR(__xludf.DUMMYFUNCTION("""COMPUTED_VALUE"""),"-")</f>
        <v>-</v>
      </c>
      <c r="I2168" s="19">
        <f>IFERROR(__xludf.DUMMYFUNCTION("""COMPUTED_VALUE"""),0.00222)</f>
        <v>0.00222</v>
      </c>
      <c r="J2168" s="19">
        <f>IFERROR(__xludf.DUMMYFUNCTION("""COMPUTED_VALUE"""),0.04743)</f>
        <v>0.04743</v>
      </c>
      <c r="K2168" s="19" t="str">
        <f>IFERROR(__xludf.DUMMYFUNCTION("""COMPUTED_VALUE"""),"-")</f>
        <v>-</v>
      </c>
      <c r="L2168" s="19" t="str">
        <f>IFERROR(__xludf.DUMMYFUNCTION("""COMPUTED_VALUE"""),"-")</f>
        <v>-</v>
      </c>
      <c r="O2168" s="24">
        <f t="shared" si="4"/>
        <v>0</v>
      </c>
      <c r="P2168" s="24"/>
      <c r="Q2168" s="24">
        <f t="shared" si="6"/>
        <v>0</v>
      </c>
      <c r="R2168" s="24">
        <f t="shared" si="7"/>
        <v>0</v>
      </c>
      <c r="S2168" s="24"/>
      <c r="T2168" s="24"/>
    </row>
    <row r="2169">
      <c r="A2169" s="12" t="s">
        <v>2257</v>
      </c>
      <c r="F2169" s="19">
        <f>IFERROR(__xludf.DUMMYFUNCTION("SPLIT(A2165, "" |"")"),2163.0)</f>
        <v>2163</v>
      </c>
      <c r="G2169" s="19">
        <f>IFERROR(__xludf.DUMMYFUNCTION("""COMPUTED_VALUE"""),0.00234)</f>
        <v>0.00234</v>
      </c>
      <c r="H2169" s="19" t="str">
        <f>IFERROR(__xludf.DUMMYFUNCTION("""COMPUTED_VALUE"""),"-")</f>
        <v>-</v>
      </c>
      <c r="I2169" s="19">
        <f>IFERROR(__xludf.DUMMYFUNCTION("""COMPUTED_VALUE"""),0.00211)</f>
        <v>0.00211</v>
      </c>
      <c r="J2169" s="19">
        <f>IFERROR(__xludf.DUMMYFUNCTION("""COMPUTED_VALUE"""),0.04539)</f>
        <v>0.04539</v>
      </c>
      <c r="K2169" s="19" t="str">
        <f>IFERROR(__xludf.DUMMYFUNCTION("""COMPUTED_VALUE"""),"-")</f>
        <v>-</v>
      </c>
      <c r="L2169" s="19" t="str">
        <f>IFERROR(__xludf.DUMMYFUNCTION("""COMPUTED_VALUE"""),"-")</f>
        <v>-</v>
      </c>
      <c r="O2169" s="24">
        <f t="shared" si="4"/>
        <v>0</v>
      </c>
      <c r="P2169" s="24"/>
      <c r="Q2169" s="24">
        <f t="shared" si="6"/>
        <v>0</v>
      </c>
      <c r="R2169" s="24">
        <f t="shared" si="7"/>
        <v>0</v>
      </c>
      <c r="S2169" s="24"/>
      <c r="T2169" s="24"/>
    </row>
    <row r="2170">
      <c r="A2170" s="12" t="s">
        <v>2258</v>
      </c>
      <c r="F2170" s="19">
        <f>IFERROR(__xludf.DUMMYFUNCTION("SPLIT(A2166, "" |"")"),2164.0)</f>
        <v>2164</v>
      </c>
      <c r="G2170" s="19">
        <f>IFERROR(__xludf.DUMMYFUNCTION("""COMPUTED_VALUE"""),0.00252)</f>
        <v>0.00252</v>
      </c>
      <c r="H2170" s="19" t="str">
        <f>IFERROR(__xludf.DUMMYFUNCTION("""COMPUTED_VALUE"""),"-")</f>
        <v>-</v>
      </c>
      <c r="I2170" s="19">
        <f>IFERROR(__xludf.DUMMYFUNCTION("""COMPUTED_VALUE"""),0.00231)</f>
        <v>0.00231</v>
      </c>
      <c r="J2170" s="19">
        <f>IFERROR(__xludf.DUMMYFUNCTION("""COMPUTED_VALUE"""),0.04715)</f>
        <v>0.04715</v>
      </c>
      <c r="K2170" s="19" t="str">
        <f>IFERROR(__xludf.DUMMYFUNCTION("""COMPUTED_VALUE"""),"-")</f>
        <v>-</v>
      </c>
      <c r="L2170" s="19" t="str">
        <f>IFERROR(__xludf.DUMMYFUNCTION("""COMPUTED_VALUE"""),"-")</f>
        <v>-</v>
      </c>
      <c r="O2170" s="24">
        <f t="shared" si="4"/>
        <v>0</v>
      </c>
      <c r="P2170" s="24"/>
      <c r="Q2170" s="24">
        <f t="shared" si="6"/>
        <v>0</v>
      </c>
      <c r="R2170" s="24">
        <f t="shared" si="7"/>
        <v>0</v>
      </c>
      <c r="S2170" s="24"/>
      <c r="T2170" s="24"/>
    </row>
    <row r="2171">
      <c r="A2171" s="12" t="s">
        <v>2259</v>
      </c>
      <c r="F2171" s="19">
        <f>IFERROR(__xludf.DUMMYFUNCTION("SPLIT(A2167, "" |"")"),2165.0)</f>
        <v>2165</v>
      </c>
      <c r="G2171" s="19">
        <f>IFERROR(__xludf.DUMMYFUNCTION("""COMPUTED_VALUE"""),0.00223)</f>
        <v>0.00223</v>
      </c>
      <c r="H2171" s="19" t="str">
        <f>IFERROR(__xludf.DUMMYFUNCTION("""COMPUTED_VALUE"""),"-")</f>
        <v>-</v>
      </c>
      <c r="I2171" s="19">
        <f>IFERROR(__xludf.DUMMYFUNCTION("""COMPUTED_VALUE"""),0.0021)</f>
        <v>0.0021</v>
      </c>
      <c r="J2171" s="19">
        <f>IFERROR(__xludf.DUMMYFUNCTION("""COMPUTED_VALUE"""),0.04737)</f>
        <v>0.04737</v>
      </c>
      <c r="K2171" s="19" t="str">
        <f>IFERROR(__xludf.DUMMYFUNCTION("""COMPUTED_VALUE"""),"-")</f>
        <v>-</v>
      </c>
      <c r="L2171" s="19" t="str">
        <f>IFERROR(__xludf.DUMMYFUNCTION("""COMPUTED_VALUE"""),"-")</f>
        <v>-</v>
      </c>
      <c r="O2171" s="24">
        <f t="shared" si="4"/>
        <v>0</v>
      </c>
      <c r="P2171" s="24"/>
      <c r="Q2171" s="24">
        <f t="shared" si="6"/>
        <v>0</v>
      </c>
      <c r="R2171" s="24">
        <f t="shared" si="7"/>
        <v>0</v>
      </c>
      <c r="S2171" s="24"/>
      <c r="T2171" s="24"/>
    </row>
    <row r="2172">
      <c r="A2172" s="12" t="s">
        <v>2260</v>
      </c>
      <c r="F2172" s="19">
        <f>IFERROR(__xludf.DUMMYFUNCTION("SPLIT(A2168, "" |"")"),2166.0)</f>
        <v>2166</v>
      </c>
      <c r="G2172" s="19">
        <f>IFERROR(__xludf.DUMMYFUNCTION("""COMPUTED_VALUE"""),0.00233)</f>
        <v>0.00233</v>
      </c>
      <c r="H2172" s="19" t="str">
        <f>IFERROR(__xludf.DUMMYFUNCTION("""COMPUTED_VALUE"""),"-")</f>
        <v>-</v>
      </c>
      <c r="I2172" s="19">
        <f>IFERROR(__xludf.DUMMYFUNCTION("""COMPUTED_VALUE"""),0.00223)</f>
        <v>0.00223</v>
      </c>
      <c r="J2172" s="19">
        <f>IFERROR(__xludf.DUMMYFUNCTION("""COMPUTED_VALUE"""),0.04747)</f>
        <v>0.04747</v>
      </c>
      <c r="K2172" s="19" t="str">
        <f>IFERROR(__xludf.DUMMYFUNCTION("""COMPUTED_VALUE"""),"-")</f>
        <v>-</v>
      </c>
      <c r="L2172" s="19" t="str">
        <f>IFERROR(__xludf.DUMMYFUNCTION("""COMPUTED_VALUE"""),"-")</f>
        <v>-</v>
      </c>
      <c r="O2172" s="24">
        <f t="shared" si="4"/>
        <v>0</v>
      </c>
      <c r="P2172" s="24"/>
      <c r="Q2172" s="24">
        <f t="shared" si="6"/>
        <v>0</v>
      </c>
      <c r="R2172" s="24">
        <f t="shared" si="7"/>
        <v>0</v>
      </c>
      <c r="S2172" s="24"/>
      <c r="T2172" s="24"/>
    </row>
    <row r="2173">
      <c r="A2173" s="12" t="s">
        <v>2261</v>
      </c>
      <c r="F2173" s="19">
        <f>IFERROR(__xludf.DUMMYFUNCTION("SPLIT(A2169, "" |"")"),2167.0)</f>
        <v>2167</v>
      </c>
      <c r="G2173" s="19">
        <f>IFERROR(__xludf.DUMMYFUNCTION("""COMPUTED_VALUE"""),0.00239)</f>
        <v>0.00239</v>
      </c>
      <c r="H2173" s="19" t="str">
        <f>IFERROR(__xludf.DUMMYFUNCTION("""COMPUTED_VALUE"""),"-")</f>
        <v>-</v>
      </c>
      <c r="I2173" s="19">
        <f>IFERROR(__xludf.DUMMYFUNCTION("""COMPUTED_VALUE"""),0.00223)</f>
        <v>0.00223</v>
      </c>
      <c r="J2173" s="19">
        <f>IFERROR(__xludf.DUMMYFUNCTION("""COMPUTED_VALUE"""),0.04747)</f>
        <v>0.04747</v>
      </c>
      <c r="K2173" s="19" t="str">
        <f>IFERROR(__xludf.DUMMYFUNCTION("""COMPUTED_VALUE"""),"-")</f>
        <v>-</v>
      </c>
      <c r="L2173" s="19" t="str">
        <f>IFERROR(__xludf.DUMMYFUNCTION("""COMPUTED_VALUE"""),"-")</f>
        <v>-</v>
      </c>
      <c r="O2173" s="24">
        <f t="shared" si="4"/>
        <v>0</v>
      </c>
      <c r="P2173" s="24"/>
      <c r="Q2173" s="24">
        <f t="shared" si="6"/>
        <v>0</v>
      </c>
      <c r="R2173" s="24">
        <f t="shared" si="7"/>
        <v>0</v>
      </c>
      <c r="S2173" s="24"/>
      <c r="T2173" s="24"/>
    </row>
    <row r="2174">
      <c r="A2174" s="12" t="s">
        <v>2262</v>
      </c>
      <c r="F2174" s="19">
        <f>IFERROR(__xludf.DUMMYFUNCTION("SPLIT(A2170, "" |"")"),2168.0)</f>
        <v>2168</v>
      </c>
      <c r="G2174" s="19">
        <f>IFERROR(__xludf.DUMMYFUNCTION("""COMPUTED_VALUE"""),0.0025)</f>
        <v>0.0025</v>
      </c>
      <c r="H2174" s="19" t="str">
        <f>IFERROR(__xludf.DUMMYFUNCTION("""COMPUTED_VALUE"""),"-")</f>
        <v>-</v>
      </c>
      <c r="I2174" s="19">
        <f>IFERROR(__xludf.DUMMYFUNCTION("""COMPUTED_VALUE"""),0.00226)</f>
        <v>0.00226</v>
      </c>
      <c r="J2174" s="19">
        <f>IFERROR(__xludf.DUMMYFUNCTION("""COMPUTED_VALUE"""),0.04742)</f>
        <v>0.04742</v>
      </c>
      <c r="K2174" s="19" t="str">
        <f>IFERROR(__xludf.DUMMYFUNCTION("""COMPUTED_VALUE"""),"-")</f>
        <v>-</v>
      </c>
      <c r="L2174" s="19" t="str">
        <f>IFERROR(__xludf.DUMMYFUNCTION("""COMPUTED_VALUE"""),"-")</f>
        <v>-</v>
      </c>
      <c r="O2174" s="24">
        <f t="shared" si="4"/>
        <v>0</v>
      </c>
      <c r="P2174" s="24"/>
      <c r="Q2174" s="24">
        <f t="shared" si="6"/>
        <v>0</v>
      </c>
      <c r="R2174" s="24">
        <f t="shared" si="7"/>
        <v>0</v>
      </c>
      <c r="S2174" s="24"/>
      <c r="T2174" s="24"/>
    </row>
    <row r="2175">
      <c r="A2175" s="12" t="s">
        <v>2263</v>
      </c>
      <c r="F2175" s="19">
        <f>IFERROR(__xludf.DUMMYFUNCTION("SPLIT(A2171, "" |"")"),2169.0)</f>
        <v>2169</v>
      </c>
      <c r="G2175" s="19">
        <f>IFERROR(__xludf.DUMMYFUNCTION("""COMPUTED_VALUE"""),0.00241)</f>
        <v>0.00241</v>
      </c>
      <c r="H2175" s="19" t="str">
        <f>IFERROR(__xludf.DUMMYFUNCTION("""COMPUTED_VALUE"""),"-")</f>
        <v>-</v>
      </c>
      <c r="I2175" s="19">
        <f>IFERROR(__xludf.DUMMYFUNCTION("""COMPUTED_VALUE"""),0.00225)</f>
        <v>0.00225</v>
      </c>
      <c r="J2175" s="19">
        <f>IFERROR(__xludf.DUMMYFUNCTION("""COMPUTED_VALUE"""),0.04665)</f>
        <v>0.04665</v>
      </c>
      <c r="K2175" s="19" t="str">
        <f>IFERROR(__xludf.DUMMYFUNCTION("""COMPUTED_VALUE"""),"-")</f>
        <v>-</v>
      </c>
      <c r="L2175" s="19" t="str">
        <f>IFERROR(__xludf.DUMMYFUNCTION("""COMPUTED_VALUE"""),"-")</f>
        <v>-</v>
      </c>
      <c r="O2175" s="24">
        <f t="shared" si="4"/>
        <v>0</v>
      </c>
      <c r="P2175" s="24"/>
      <c r="Q2175" s="24">
        <f t="shared" si="6"/>
        <v>0</v>
      </c>
      <c r="R2175" s="24">
        <f t="shared" si="7"/>
        <v>0</v>
      </c>
      <c r="S2175" s="24"/>
      <c r="T2175" s="24"/>
    </row>
    <row r="2176">
      <c r="A2176" s="12" t="s">
        <v>2264</v>
      </c>
      <c r="F2176" s="19">
        <f>IFERROR(__xludf.DUMMYFUNCTION("SPLIT(A2172, "" |"")"),2170.0)</f>
        <v>2170</v>
      </c>
      <c r="G2176" s="19">
        <f>IFERROR(__xludf.DUMMYFUNCTION("""COMPUTED_VALUE"""),0.00238)</f>
        <v>0.00238</v>
      </c>
      <c r="H2176" s="19" t="str">
        <f>IFERROR(__xludf.DUMMYFUNCTION("""COMPUTED_VALUE"""),"-")</f>
        <v>-</v>
      </c>
      <c r="I2176" s="19">
        <f>IFERROR(__xludf.DUMMYFUNCTION("""COMPUTED_VALUE"""),0.00223)</f>
        <v>0.00223</v>
      </c>
      <c r="J2176" s="19">
        <f>IFERROR(__xludf.DUMMYFUNCTION("""COMPUTED_VALUE"""),0.04748)</f>
        <v>0.04748</v>
      </c>
      <c r="K2176" s="19" t="str">
        <f>IFERROR(__xludf.DUMMYFUNCTION("""COMPUTED_VALUE"""),"-")</f>
        <v>-</v>
      </c>
      <c r="L2176" s="19" t="str">
        <f>IFERROR(__xludf.DUMMYFUNCTION("""COMPUTED_VALUE"""),"-")</f>
        <v>-</v>
      </c>
      <c r="O2176" s="24">
        <f t="shared" si="4"/>
        <v>0</v>
      </c>
      <c r="P2176" s="24"/>
      <c r="Q2176" s="24">
        <f t="shared" si="6"/>
        <v>0</v>
      </c>
      <c r="R2176" s="24">
        <f t="shared" si="7"/>
        <v>0</v>
      </c>
      <c r="S2176" s="24"/>
      <c r="T2176" s="24"/>
    </row>
    <row r="2177">
      <c r="A2177" s="12" t="s">
        <v>2265</v>
      </c>
      <c r="F2177" s="19">
        <f>IFERROR(__xludf.DUMMYFUNCTION("SPLIT(A2173, "" |"")"),2171.0)</f>
        <v>2171</v>
      </c>
      <c r="G2177" s="19">
        <f>IFERROR(__xludf.DUMMYFUNCTION("""COMPUTED_VALUE"""),0.00239)</f>
        <v>0.00239</v>
      </c>
      <c r="H2177" s="19" t="str">
        <f>IFERROR(__xludf.DUMMYFUNCTION("""COMPUTED_VALUE"""),"-")</f>
        <v>-</v>
      </c>
      <c r="I2177" s="19">
        <f>IFERROR(__xludf.DUMMYFUNCTION("""COMPUTED_VALUE"""),0.0023)</f>
        <v>0.0023</v>
      </c>
      <c r="J2177" s="19">
        <f>IFERROR(__xludf.DUMMYFUNCTION("""COMPUTED_VALUE"""),0.04748)</f>
        <v>0.04748</v>
      </c>
      <c r="K2177" s="19" t="str">
        <f>IFERROR(__xludf.DUMMYFUNCTION("""COMPUTED_VALUE"""),"-")</f>
        <v>-</v>
      </c>
      <c r="L2177" s="19" t="str">
        <f>IFERROR(__xludf.DUMMYFUNCTION("""COMPUTED_VALUE"""),"-")</f>
        <v>-</v>
      </c>
      <c r="O2177" s="24">
        <f t="shared" si="4"/>
        <v>0</v>
      </c>
      <c r="P2177" s="24"/>
      <c r="Q2177" s="24">
        <f t="shared" si="6"/>
        <v>0</v>
      </c>
      <c r="R2177" s="24">
        <f t="shared" si="7"/>
        <v>0</v>
      </c>
      <c r="S2177" s="24"/>
      <c r="T2177" s="24"/>
    </row>
    <row r="2178">
      <c r="A2178" s="12" t="s">
        <v>2266</v>
      </c>
      <c r="F2178" s="19">
        <f>IFERROR(__xludf.DUMMYFUNCTION("SPLIT(A2174, "" |"")"),2172.0)</f>
        <v>2172</v>
      </c>
      <c r="G2178" s="19">
        <f>IFERROR(__xludf.DUMMYFUNCTION("""COMPUTED_VALUE"""),0.00239)</f>
        <v>0.00239</v>
      </c>
      <c r="H2178" s="19" t="str">
        <f>IFERROR(__xludf.DUMMYFUNCTION("""COMPUTED_VALUE"""),"-")</f>
        <v>-</v>
      </c>
      <c r="I2178" s="19">
        <f>IFERROR(__xludf.DUMMYFUNCTION("""COMPUTED_VALUE"""),0.00224)</f>
        <v>0.00224</v>
      </c>
      <c r="J2178" s="19">
        <f>IFERROR(__xludf.DUMMYFUNCTION("""COMPUTED_VALUE"""),0.04746)</f>
        <v>0.04746</v>
      </c>
      <c r="K2178" s="19" t="str">
        <f>IFERROR(__xludf.DUMMYFUNCTION("""COMPUTED_VALUE"""),"-")</f>
        <v>-</v>
      </c>
      <c r="L2178" s="19" t="str">
        <f>IFERROR(__xludf.DUMMYFUNCTION("""COMPUTED_VALUE"""),"-")</f>
        <v>-</v>
      </c>
      <c r="O2178" s="24">
        <f t="shared" si="4"/>
        <v>0</v>
      </c>
      <c r="P2178" s="24"/>
      <c r="Q2178" s="24">
        <f t="shared" si="6"/>
        <v>0</v>
      </c>
      <c r="R2178" s="24">
        <f t="shared" si="7"/>
        <v>0</v>
      </c>
      <c r="S2178" s="24"/>
      <c r="T2178" s="24"/>
    </row>
    <row r="2179">
      <c r="A2179" s="12" t="s">
        <v>2267</v>
      </c>
      <c r="F2179" s="19">
        <f>IFERROR(__xludf.DUMMYFUNCTION("SPLIT(A2175, "" |"")"),2173.0)</f>
        <v>2173</v>
      </c>
      <c r="G2179" s="19">
        <f>IFERROR(__xludf.DUMMYFUNCTION("""COMPUTED_VALUE"""),0.00232)</f>
        <v>0.00232</v>
      </c>
      <c r="H2179" s="19" t="str">
        <f>IFERROR(__xludf.DUMMYFUNCTION("""COMPUTED_VALUE"""),"-")</f>
        <v>-</v>
      </c>
      <c r="I2179" s="19">
        <f>IFERROR(__xludf.DUMMYFUNCTION("""COMPUTED_VALUE"""),0.00221)</f>
        <v>0.00221</v>
      </c>
      <c r="J2179" s="19">
        <f>IFERROR(__xludf.DUMMYFUNCTION("""COMPUTED_VALUE"""),0.04745)</f>
        <v>0.04745</v>
      </c>
      <c r="K2179" s="19" t="str">
        <f>IFERROR(__xludf.DUMMYFUNCTION("""COMPUTED_VALUE"""),"-")</f>
        <v>-</v>
      </c>
      <c r="L2179" s="19" t="str">
        <f>IFERROR(__xludf.DUMMYFUNCTION("""COMPUTED_VALUE"""),"-")</f>
        <v>-</v>
      </c>
      <c r="O2179" s="24">
        <f t="shared" si="4"/>
        <v>0</v>
      </c>
      <c r="P2179" s="24"/>
      <c r="Q2179" s="24">
        <f t="shared" si="6"/>
        <v>0</v>
      </c>
      <c r="R2179" s="24">
        <f t="shared" si="7"/>
        <v>0</v>
      </c>
      <c r="S2179" s="24"/>
      <c r="T2179" s="24"/>
    </row>
    <row r="2180">
      <c r="A2180" s="12" t="s">
        <v>2268</v>
      </c>
      <c r="F2180" s="19">
        <f>IFERROR(__xludf.DUMMYFUNCTION("SPLIT(A2176, "" |"")"),2174.0)</f>
        <v>2174</v>
      </c>
      <c r="G2180" s="19">
        <f>IFERROR(__xludf.DUMMYFUNCTION("""COMPUTED_VALUE"""),0.00234)</f>
        <v>0.00234</v>
      </c>
      <c r="H2180" s="19" t="str">
        <f>IFERROR(__xludf.DUMMYFUNCTION("""COMPUTED_VALUE"""),"-")</f>
        <v>-</v>
      </c>
      <c r="I2180" s="19">
        <f>IFERROR(__xludf.DUMMYFUNCTION("""COMPUTED_VALUE"""),0.00222)</f>
        <v>0.00222</v>
      </c>
      <c r="J2180" s="19">
        <f>IFERROR(__xludf.DUMMYFUNCTION("""COMPUTED_VALUE"""),0.04745)</f>
        <v>0.04745</v>
      </c>
      <c r="K2180" s="19" t="str">
        <f>IFERROR(__xludf.DUMMYFUNCTION("""COMPUTED_VALUE"""),"-")</f>
        <v>-</v>
      </c>
      <c r="L2180" s="19" t="str">
        <f>IFERROR(__xludf.DUMMYFUNCTION("""COMPUTED_VALUE"""),"-")</f>
        <v>-</v>
      </c>
      <c r="O2180" s="24">
        <f t="shared" si="4"/>
        <v>0</v>
      </c>
      <c r="P2180" s="24"/>
      <c r="Q2180" s="24">
        <f t="shared" si="6"/>
        <v>0</v>
      </c>
      <c r="R2180" s="24">
        <f t="shared" si="7"/>
        <v>0</v>
      </c>
      <c r="S2180" s="24"/>
      <c r="T2180" s="24"/>
    </row>
    <row r="2181">
      <c r="A2181" s="12" t="s">
        <v>2269</v>
      </c>
      <c r="F2181" s="19">
        <f>IFERROR(__xludf.DUMMYFUNCTION("SPLIT(A2177, "" |"")"),2175.0)</f>
        <v>2175</v>
      </c>
      <c r="G2181" s="19">
        <f>IFERROR(__xludf.DUMMYFUNCTION("""COMPUTED_VALUE"""),0.00232)</f>
        <v>0.00232</v>
      </c>
      <c r="H2181" s="19" t="str">
        <f>IFERROR(__xludf.DUMMYFUNCTION("""COMPUTED_VALUE"""),"-")</f>
        <v>-</v>
      </c>
      <c r="I2181" s="19">
        <f>IFERROR(__xludf.DUMMYFUNCTION("""COMPUTED_VALUE"""),0.00217)</f>
        <v>0.00217</v>
      </c>
      <c r="J2181" s="19">
        <f>IFERROR(__xludf.DUMMYFUNCTION("""COMPUTED_VALUE"""),0.04448)</f>
        <v>0.04448</v>
      </c>
      <c r="K2181" s="19" t="str">
        <f>IFERROR(__xludf.DUMMYFUNCTION("""COMPUTED_VALUE"""),"-")</f>
        <v>-</v>
      </c>
      <c r="L2181" s="19" t="str">
        <f>IFERROR(__xludf.DUMMYFUNCTION("""COMPUTED_VALUE"""),"-")</f>
        <v>-</v>
      </c>
      <c r="O2181" s="24">
        <f t="shared" si="4"/>
        <v>0</v>
      </c>
      <c r="P2181" s="24"/>
      <c r="Q2181" s="24">
        <f t="shared" si="6"/>
        <v>0</v>
      </c>
      <c r="R2181" s="24">
        <f t="shared" si="7"/>
        <v>1</v>
      </c>
      <c r="S2181" s="24"/>
      <c r="T2181" s="24"/>
    </row>
    <row r="2182">
      <c r="A2182" s="12" t="s">
        <v>2270</v>
      </c>
      <c r="F2182" s="19">
        <f>IFERROR(__xludf.DUMMYFUNCTION("SPLIT(A2178, "" |"")"),2176.0)</f>
        <v>2176</v>
      </c>
      <c r="G2182" s="19">
        <f>IFERROR(__xludf.DUMMYFUNCTION("""COMPUTED_VALUE"""),0.0024)</f>
        <v>0.0024</v>
      </c>
      <c r="H2182" s="19" t="str">
        <f>IFERROR(__xludf.DUMMYFUNCTION("""COMPUTED_VALUE"""),"-")</f>
        <v>-</v>
      </c>
      <c r="I2182" s="19">
        <f>IFERROR(__xludf.DUMMYFUNCTION("""COMPUTED_VALUE"""),0.00219)</f>
        <v>0.00219</v>
      </c>
      <c r="J2182" s="19">
        <f>IFERROR(__xludf.DUMMYFUNCTION("""COMPUTED_VALUE"""),0.04746)</f>
        <v>0.04746</v>
      </c>
      <c r="K2182" s="19" t="str">
        <f>IFERROR(__xludf.DUMMYFUNCTION("""COMPUTED_VALUE"""),"-")</f>
        <v>-</v>
      </c>
      <c r="L2182" s="19" t="str">
        <f>IFERROR(__xludf.DUMMYFUNCTION("""COMPUTED_VALUE"""),"-")</f>
        <v>-</v>
      </c>
      <c r="O2182" s="24">
        <f t="shared" si="4"/>
        <v>0</v>
      </c>
      <c r="P2182" s="24"/>
      <c r="Q2182" s="24">
        <f t="shared" si="6"/>
        <v>0</v>
      </c>
      <c r="R2182" s="24">
        <f t="shared" si="7"/>
        <v>0</v>
      </c>
      <c r="S2182" s="24"/>
      <c r="T2182" s="24"/>
    </row>
    <row r="2183">
      <c r="A2183" s="12" t="s">
        <v>2271</v>
      </c>
      <c r="F2183" s="19">
        <f>IFERROR(__xludf.DUMMYFUNCTION("SPLIT(A2179, "" |"")"),2177.0)</f>
        <v>2177</v>
      </c>
      <c r="G2183" s="19">
        <f>IFERROR(__xludf.DUMMYFUNCTION("""COMPUTED_VALUE"""),0.00234)</f>
        <v>0.00234</v>
      </c>
      <c r="H2183" s="19" t="str">
        <f>IFERROR(__xludf.DUMMYFUNCTION("""COMPUTED_VALUE"""),"-")</f>
        <v>-</v>
      </c>
      <c r="I2183" s="19">
        <f>IFERROR(__xludf.DUMMYFUNCTION("""COMPUTED_VALUE"""),0.00222)</f>
        <v>0.00222</v>
      </c>
      <c r="J2183" s="19">
        <f>IFERROR(__xludf.DUMMYFUNCTION("""COMPUTED_VALUE"""),0.04741)</f>
        <v>0.04741</v>
      </c>
      <c r="K2183" s="19" t="str">
        <f>IFERROR(__xludf.DUMMYFUNCTION("""COMPUTED_VALUE"""),"-")</f>
        <v>-</v>
      </c>
      <c r="L2183" s="19" t="str">
        <f>IFERROR(__xludf.DUMMYFUNCTION("""COMPUTED_VALUE"""),"-")</f>
        <v>-</v>
      </c>
      <c r="O2183" s="24">
        <f t="shared" si="4"/>
        <v>0</v>
      </c>
      <c r="P2183" s="24"/>
      <c r="Q2183" s="24">
        <f t="shared" si="6"/>
        <v>0</v>
      </c>
      <c r="R2183" s="24">
        <f t="shared" si="7"/>
        <v>0</v>
      </c>
      <c r="S2183" s="24"/>
      <c r="T2183" s="24"/>
    </row>
    <row r="2184">
      <c r="A2184" s="12" t="s">
        <v>2272</v>
      </c>
      <c r="F2184" s="19">
        <f>IFERROR(__xludf.DUMMYFUNCTION("SPLIT(A2180, "" |"")"),2178.0)</f>
        <v>2178</v>
      </c>
      <c r="G2184" s="19">
        <f>IFERROR(__xludf.DUMMYFUNCTION("""COMPUTED_VALUE"""),0.00231)</f>
        <v>0.00231</v>
      </c>
      <c r="H2184" s="19" t="str">
        <f>IFERROR(__xludf.DUMMYFUNCTION("""COMPUTED_VALUE"""),"-")</f>
        <v>-</v>
      </c>
      <c r="I2184" s="19">
        <f>IFERROR(__xludf.DUMMYFUNCTION("""COMPUTED_VALUE"""),0.00221)</f>
        <v>0.00221</v>
      </c>
      <c r="J2184" s="19">
        <f>IFERROR(__xludf.DUMMYFUNCTION("""COMPUTED_VALUE"""),0.04402)</f>
        <v>0.04402</v>
      </c>
      <c r="K2184" s="19" t="str">
        <f>IFERROR(__xludf.DUMMYFUNCTION("""COMPUTED_VALUE"""),"-")</f>
        <v>-</v>
      </c>
      <c r="L2184" s="19" t="str">
        <f>IFERROR(__xludf.DUMMYFUNCTION("""COMPUTED_VALUE"""),"-")</f>
        <v>-</v>
      </c>
      <c r="O2184" s="24">
        <f t="shared" si="4"/>
        <v>0</v>
      </c>
      <c r="P2184" s="24"/>
      <c r="Q2184" s="24">
        <f t="shared" si="6"/>
        <v>0</v>
      </c>
      <c r="R2184" s="24">
        <f t="shared" si="7"/>
        <v>1</v>
      </c>
      <c r="S2184" s="24"/>
      <c r="T2184" s="24"/>
    </row>
    <row r="2185">
      <c r="A2185" s="12" t="s">
        <v>2273</v>
      </c>
      <c r="F2185" s="19">
        <f>IFERROR(__xludf.DUMMYFUNCTION("SPLIT(A2181, "" |"")"),2179.0)</f>
        <v>2179</v>
      </c>
      <c r="G2185" s="19">
        <f>IFERROR(__xludf.DUMMYFUNCTION("""COMPUTED_VALUE"""),0.00243)</f>
        <v>0.00243</v>
      </c>
      <c r="H2185" s="19" t="str">
        <f>IFERROR(__xludf.DUMMYFUNCTION("""COMPUTED_VALUE"""),"-")</f>
        <v>-</v>
      </c>
      <c r="I2185" s="19">
        <f>IFERROR(__xludf.DUMMYFUNCTION("""COMPUTED_VALUE"""),0.00215)</f>
        <v>0.00215</v>
      </c>
      <c r="J2185" s="19">
        <f>IFERROR(__xludf.DUMMYFUNCTION("""COMPUTED_VALUE"""),0.04748)</f>
        <v>0.04748</v>
      </c>
      <c r="K2185" s="19" t="str">
        <f>IFERROR(__xludf.DUMMYFUNCTION("""COMPUTED_VALUE"""),"-")</f>
        <v>-</v>
      </c>
      <c r="L2185" s="19" t="str">
        <f>IFERROR(__xludf.DUMMYFUNCTION("""COMPUTED_VALUE"""),"-")</f>
        <v>-</v>
      </c>
      <c r="O2185" s="24">
        <f t="shared" si="4"/>
        <v>0</v>
      </c>
      <c r="P2185" s="24"/>
      <c r="Q2185" s="24">
        <f t="shared" si="6"/>
        <v>0</v>
      </c>
      <c r="R2185" s="24">
        <f t="shared" si="7"/>
        <v>0</v>
      </c>
      <c r="S2185" s="24"/>
      <c r="T2185" s="24"/>
    </row>
    <row r="2186">
      <c r="A2186" s="12" t="s">
        <v>2274</v>
      </c>
      <c r="F2186" s="19">
        <f>IFERROR(__xludf.DUMMYFUNCTION("SPLIT(A2182, "" |"")"),2180.0)</f>
        <v>2180</v>
      </c>
      <c r="G2186" s="19">
        <f>IFERROR(__xludf.DUMMYFUNCTION("""COMPUTED_VALUE"""),0.00239)</f>
        <v>0.00239</v>
      </c>
      <c r="H2186" s="19" t="str">
        <f>IFERROR(__xludf.DUMMYFUNCTION("""COMPUTED_VALUE"""),"-")</f>
        <v>-</v>
      </c>
      <c r="I2186" s="19">
        <f>IFERROR(__xludf.DUMMYFUNCTION("""COMPUTED_VALUE"""),0.00219)</f>
        <v>0.00219</v>
      </c>
      <c r="J2186" s="19">
        <f>IFERROR(__xludf.DUMMYFUNCTION("""COMPUTED_VALUE"""),0.04736)</f>
        <v>0.04736</v>
      </c>
      <c r="K2186" s="19" t="str">
        <f>IFERROR(__xludf.DUMMYFUNCTION("""COMPUTED_VALUE"""),"-")</f>
        <v>-</v>
      </c>
      <c r="L2186" s="19" t="str">
        <f>IFERROR(__xludf.DUMMYFUNCTION("""COMPUTED_VALUE"""),"-")</f>
        <v>-</v>
      </c>
      <c r="O2186" s="24">
        <f t="shared" si="4"/>
        <v>0</v>
      </c>
      <c r="P2186" s="24"/>
      <c r="Q2186" s="24">
        <f t="shared" si="6"/>
        <v>0</v>
      </c>
      <c r="R2186" s="24">
        <f t="shared" si="7"/>
        <v>0</v>
      </c>
      <c r="S2186" s="24"/>
      <c r="T2186" s="24"/>
    </row>
    <row r="2187">
      <c r="A2187" s="12" t="s">
        <v>2275</v>
      </c>
      <c r="F2187" s="19">
        <f>IFERROR(__xludf.DUMMYFUNCTION("SPLIT(A2183, "" |"")"),2181.0)</f>
        <v>2181</v>
      </c>
      <c r="G2187" s="19">
        <f>IFERROR(__xludf.DUMMYFUNCTION("""COMPUTED_VALUE"""),0.00236)</f>
        <v>0.00236</v>
      </c>
      <c r="H2187" s="19" t="str">
        <f>IFERROR(__xludf.DUMMYFUNCTION("""COMPUTED_VALUE"""),"-")</f>
        <v>-</v>
      </c>
      <c r="I2187" s="19">
        <f>IFERROR(__xludf.DUMMYFUNCTION("""COMPUTED_VALUE"""),0.0022)</f>
        <v>0.0022</v>
      </c>
      <c r="J2187" s="19">
        <f>IFERROR(__xludf.DUMMYFUNCTION("""COMPUTED_VALUE"""),0.04746)</f>
        <v>0.04746</v>
      </c>
      <c r="K2187" s="19" t="str">
        <f>IFERROR(__xludf.DUMMYFUNCTION("""COMPUTED_VALUE"""),"-")</f>
        <v>-</v>
      </c>
      <c r="L2187" s="19" t="str">
        <f>IFERROR(__xludf.DUMMYFUNCTION("""COMPUTED_VALUE"""),"-")</f>
        <v>-</v>
      </c>
      <c r="O2187" s="24">
        <f t="shared" si="4"/>
        <v>0</v>
      </c>
      <c r="P2187" s="24"/>
      <c r="Q2187" s="24">
        <f t="shared" si="6"/>
        <v>0</v>
      </c>
      <c r="R2187" s="24">
        <f t="shared" si="7"/>
        <v>0</v>
      </c>
      <c r="S2187" s="24"/>
      <c r="T2187" s="24"/>
    </row>
    <row r="2188">
      <c r="A2188" s="12" t="s">
        <v>2276</v>
      </c>
      <c r="F2188" s="19">
        <f>IFERROR(__xludf.DUMMYFUNCTION("SPLIT(A2184, "" |"")"),2182.0)</f>
        <v>2182</v>
      </c>
      <c r="G2188" s="19">
        <f>IFERROR(__xludf.DUMMYFUNCTION("""COMPUTED_VALUE"""),0.00232)</f>
        <v>0.00232</v>
      </c>
      <c r="H2188" s="19" t="str">
        <f>IFERROR(__xludf.DUMMYFUNCTION("""COMPUTED_VALUE"""),"-")</f>
        <v>-</v>
      </c>
      <c r="I2188" s="19">
        <f>IFERROR(__xludf.DUMMYFUNCTION("""COMPUTED_VALUE"""),0.0022)</f>
        <v>0.0022</v>
      </c>
      <c r="J2188" s="19">
        <f>IFERROR(__xludf.DUMMYFUNCTION("""COMPUTED_VALUE"""),0.045)</f>
        <v>0.045</v>
      </c>
      <c r="K2188" s="19" t="str">
        <f>IFERROR(__xludf.DUMMYFUNCTION("""COMPUTED_VALUE"""),"-")</f>
        <v>-</v>
      </c>
      <c r="L2188" s="19" t="str">
        <f>IFERROR(__xludf.DUMMYFUNCTION("""COMPUTED_VALUE"""),"-")</f>
        <v>-</v>
      </c>
      <c r="O2188" s="24">
        <f t="shared" si="4"/>
        <v>0</v>
      </c>
      <c r="P2188" s="24"/>
      <c r="Q2188" s="24">
        <f t="shared" si="6"/>
        <v>0</v>
      </c>
      <c r="R2188" s="24">
        <f t="shared" si="7"/>
        <v>0</v>
      </c>
      <c r="S2188" s="24"/>
      <c r="T2188" s="24"/>
    </row>
    <row r="2189">
      <c r="A2189" s="12" t="s">
        <v>2277</v>
      </c>
      <c r="F2189" s="19">
        <f>IFERROR(__xludf.DUMMYFUNCTION("SPLIT(A2185, "" |"")"),2183.0)</f>
        <v>2183</v>
      </c>
      <c r="G2189" s="19">
        <f>IFERROR(__xludf.DUMMYFUNCTION("""COMPUTED_VALUE"""),0.00239)</f>
        <v>0.00239</v>
      </c>
      <c r="H2189" s="19" t="str">
        <f>IFERROR(__xludf.DUMMYFUNCTION("""COMPUTED_VALUE"""),"-")</f>
        <v>-</v>
      </c>
      <c r="I2189" s="19">
        <f>IFERROR(__xludf.DUMMYFUNCTION("""COMPUTED_VALUE"""),0.0022)</f>
        <v>0.0022</v>
      </c>
      <c r="J2189" s="19">
        <f>IFERROR(__xludf.DUMMYFUNCTION("""COMPUTED_VALUE"""),0.04745)</f>
        <v>0.04745</v>
      </c>
      <c r="K2189" s="19" t="str">
        <f>IFERROR(__xludf.DUMMYFUNCTION("""COMPUTED_VALUE"""),"-")</f>
        <v>-</v>
      </c>
      <c r="L2189" s="19" t="str">
        <f>IFERROR(__xludf.DUMMYFUNCTION("""COMPUTED_VALUE"""),"-")</f>
        <v>-</v>
      </c>
      <c r="O2189" s="24">
        <f t="shared" si="4"/>
        <v>0</v>
      </c>
      <c r="P2189" s="24"/>
      <c r="Q2189" s="24">
        <f t="shared" si="6"/>
        <v>0</v>
      </c>
      <c r="R2189" s="24">
        <f t="shared" si="7"/>
        <v>0</v>
      </c>
      <c r="S2189" s="24"/>
      <c r="T2189" s="24"/>
    </row>
    <row r="2190">
      <c r="A2190" s="12" t="s">
        <v>2278</v>
      </c>
      <c r="F2190" s="19">
        <f>IFERROR(__xludf.DUMMYFUNCTION("SPLIT(A2186, "" |"")"),2184.0)</f>
        <v>2184</v>
      </c>
      <c r="G2190" s="19">
        <f>IFERROR(__xludf.DUMMYFUNCTION("""COMPUTED_VALUE"""),0.00244)</f>
        <v>0.00244</v>
      </c>
      <c r="H2190" s="19" t="str">
        <f>IFERROR(__xludf.DUMMYFUNCTION("""COMPUTED_VALUE"""),"-")</f>
        <v>-</v>
      </c>
      <c r="I2190" s="19">
        <f>IFERROR(__xludf.DUMMYFUNCTION("""COMPUTED_VALUE"""),0.00216)</f>
        <v>0.00216</v>
      </c>
      <c r="J2190" s="19">
        <f>IFERROR(__xludf.DUMMYFUNCTION("""COMPUTED_VALUE"""),0.04736)</f>
        <v>0.04736</v>
      </c>
      <c r="K2190" s="19" t="str">
        <f>IFERROR(__xludf.DUMMYFUNCTION("""COMPUTED_VALUE"""),"-")</f>
        <v>-</v>
      </c>
      <c r="L2190" s="19" t="str">
        <f>IFERROR(__xludf.DUMMYFUNCTION("""COMPUTED_VALUE"""),"-")</f>
        <v>-</v>
      </c>
      <c r="O2190" s="24">
        <f t="shared" si="4"/>
        <v>0</v>
      </c>
      <c r="P2190" s="24"/>
      <c r="Q2190" s="24">
        <f t="shared" si="6"/>
        <v>0</v>
      </c>
      <c r="R2190" s="24">
        <f t="shared" si="7"/>
        <v>0</v>
      </c>
      <c r="S2190" s="24"/>
      <c r="T2190" s="24"/>
    </row>
    <row r="2191">
      <c r="A2191" s="12" t="s">
        <v>2279</v>
      </c>
      <c r="F2191" s="19">
        <f>IFERROR(__xludf.DUMMYFUNCTION("SPLIT(A2187, "" |"")"),2185.0)</f>
        <v>2185</v>
      </c>
      <c r="G2191" s="19">
        <f>IFERROR(__xludf.DUMMYFUNCTION("""COMPUTED_VALUE"""),0.00236)</f>
        <v>0.00236</v>
      </c>
      <c r="H2191" s="19" t="str">
        <f>IFERROR(__xludf.DUMMYFUNCTION("""COMPUTED_VALUE"""),"-")</f>
        <v>-</v>
      </c>
      <c r="I2191" s="19">
        <f>IFERROR(__xludf.DUMMYFUNCTION("""COMPUTED_VALUE"""),0.00221)</f>
        <v>0.00221</v>
      </c>
      <c r="J2191" s="19">
        <f>IFERROR(__xludf.DUMMYFUNCTION("""COMPUTED_VALUE"""),0.04226)</f>
        <v>0.04226</v>
      </c>
      <c r="K2191" s="19" t="str">
        <f>IFERROR(__xludf.DUMMYFUNCTION("""COMPUTED_VALUE"""),"-")</f>
        <v>-</v>
      </c>
      <c r="L2191" s="19" t="str">
        <f>IFERROR(__xludf.DUMMYFUNCTION("""COMPUTED_VALUE"""),"-")</f>
        <v>-</v>
      </c>
      <c r="O2191" s="24">
        <f t="shared" si="4"/>
        <v>0</v>
      </c>
      <c r="P2191" s="24"/>
      <c r="Q2191" s="24">
        <f t="shared" si="6"/>
        <v>0</v>
      </c>
      <c r="R2191" s="24">
        <f t="shared" si="7"/>
        <v>1</v>
      </c>
      <c r="S2191" s="24"/>
      <c r="T2191" s="24"/>
    </row>
    <row r="2192">
      <c r="A2192" s="12" t="s">
        <v>2280</v>
      </c>
      <c r="F2192" s="19">
        <f>IFERROR(__xludf.DUMMYFUNCTION("SPLIT(A2188, "" |"")"),2186.0)</f>
        <v>2186</v>
      </c>
      <c r="G2192" s="19">
        <f>IFERROR(__xludf.DUMMYFUNCTION("""COMPUTED_VALUE"""),0.00231)</f>
        <v>0.00231</v>
      </c>
      <c r="H2192" s="19" t="str">
        <f>IFERROR(__xludf.DUMMYFUNCTION("""COMPUTED_VALUE"""),"-")</f>
        <v>-</v>
      </c>
      <c r="I2192" s="19">
        <f>IFERROR(__xludf.DUMMYFUNCTION("""COMPUTED_VALUE"""),0.00219)</f>
        <v>0.00219</v>
      </c>
      <c r="J2192" s="19">
        <f>IFERROR(__xludf.DUMMYFUNCTION("""COMPUTED_VALUE"""),0.04627)</f>
        <v>0.04627</v>
      </c>
      <c r="K2192" s="19" t="str">
        <f>IFERROR(__xludf.DUMMYFUNCTION("""COMPUTED_VALUE"""),"-")</f>
        <v>-</v>
      </c>
      <c r="L2192" s="19" t="str">
        <f>IFERROR(__xludf.DUMMYFUNCTION("""COMPUTED_VALUE"""),"-")</f>
        <v>-</v>
      </c>
      <c r="O2192" s="24">
        <f t="shared" si="4"/>
        <v>0</v>
      </c>
      <c r="P2192" s="24"/>
      <c r="Q2192" s="24">
        <f t="shared" si="6"/>
        <v>0</v>
      </c>
      <c r="R2192" s="24">
        <f t="shared" si="7"/>
        <v>0</v>
      </c>
      <c r="S2192" s="24"/>
      <c r="T2192" s="24"/>
    </row>
    <row r="2193">
      <c r="A2193" s="12" t="s">
        <v>2281</v>
      </c>
      <c r="F2193" s="19">
        <f>IFERROR(__xludf.DUMMYFUNCTION("SPLIT(A2189, "" |"")"),2187.0)</f>
        <v>2187</v>
      </c>
      <c r="G2193" s="19">
        <f>IFERROR(__xludf.DUMMYFUNCTION("""COMPUTED_VALUE"""),0.00238)</f>
        <v>0.00238</v>
      </c>
      <c r="H2193" s="19" t="str">
        <f>IFERROR(__xludf.DUMMYFUNCTION("""COMPUTED_VALUE"""),"-")</f>
        <v>-</v>
      </c>
      <c r="I2193" s="19">
        <f>IFERROR(__xludf.DUMMYFUNCTION("""COMPUTED_VALUE"""),0.00221)</f>
        <v>0.00221</v>
      </c>
      <c r="J2193" s="19">
        <f>IFERROR(__xludf.DUMMYFUNCTION("""COMPUTED_VALUE"""),0.04744)</f>
        <v>0.04744</v>
      </c>
      <c r="K2193" s="19" t="str">
        <f>IFERROR(__xludf.DUMMYFUNCTION("""COMPUTED_VALUE"""),"-")</f>
        <v>-</v>
      </c>
      <c r="L2193" s="19" t="str">
        <f>IFERROR(__xludf.DUMMYFUNCTION("""COMPUTED_VALUE"""),"-")</f>
        <v>-</v>
      </c>
      <c r="O2193" s="24">
        <f t="shared" si="4"/>
        <v>0</v>
      </c>
      <c r="P2193" s="24"/>
      <c r="Q2193" s="24">
        <f t="shared" si="6"/>
        <v>0</v>
      </c>
      <c r="R2193" s="24">
        <f t="shared" si="7"/>
        <v>0</v>
      </c>
      <c r="S2193" s="24"/>
      <c r="T2193" s="24"/>
    </row>
    <row r="2194">
      <c r="A2194" s="12" t="s">
        <v>2282</v>
      </c>
      <c r="F2194" s="19">
        <f>IFERROR(__xludf.DUMMYFUNCTION("SPLIT(A2190, "" |"")"),2188.0)</f>
        <v>2188</v>
      </c>
      <c r="G2194" s="19">
        <f>IFERROR(__xludf.DUMMYFUNCTION("""COMPUTED_VALUE"""),0.00241)</f>
        <v>0.00241</v>
      </c>
      <c r="H2194" s="19" t="str">
        <f>IFERROR(__xludf.DUMMYFUNCTION("""COMPUTED_VALUE"""),"-")</f>
        <v>-</v>
      </c>
      <c r="I2194" s="19">
        <f>IFERROR(__xludf.DUMMYFUNCTION("""COMPUTED_VALUE"""),0.00216)</f>
        <v>0.00216</v>
      </c>
      <c r="J2194" s="19">
        <f>IFERROR(__xludf.DUMMYFUNCTION("""COMPUTED_VALUE"""),0.04518)</f>
        <v>0.04518</v>
      </c>
      <c r="K2194" s="19" t="str">
        <f>IFERROR(__xludf.DUMMYFUNCTION("""COMPUTED_VALUE"""),"-")</f>
        <v>-</v>
      </c>
      <c r="L2194" s="19" t="str">
        <f>IFERROR(__xludf.DUMMYFUNCTION("""COMPUTED_VALUE"""),"-")</f>
        <v>-</v>
      </c>
      <c r="O2194" s="24">
        <f t="shared" si="4"/>
        <v>0</v>
      </c>
      <c r="P2194" s="24"/>
      <c r="Q2194" s="24">
        <f t="shared" si="6"/>
        <v>0</v>
      </c>
      <c r="R2194" s="24">
        <f t="shared" si="7"/>
        <v>0</v>
      </c>
      <c r="S2194" s="24"/>
      <c r="T2194" s="24"/>
    </row>
    <row r="2195">
      <c r="A2195" s="12" t="s">
        <v>2283</v>
      </c>
      <c r="F2195" s="19">
        <f>IFERROR(__xludf.DUMMYFUNCTION("SPLIT(A2191, "" |"")"),2189.0)</f>
        <v>2189</v>
      </c>
      <c r="G2195" s="19">
        <f>IFERROR(__xludf.DUMMYFUNCTION("""COMPUTED_VALUE"""),0.00222)</f>
        <v>0.00222</v>
      </c>
      <c r="H2195" s="19" t="str">
        <f>IFERROR(__xludf.DUMMYFUNCTION("""COMPUTED_VALUE"""),"-")</f>
        <v>-</v>
      </c>
      <c r="I2195" s="19">
        <f>IFERROR(__xludf.DUMMYFUNCTION("""COMPUTED_VALUE"""),0.00207)</f>
        <v>0.00207</v>
      </c>
      <c r="J2195" s="19">
        <f>IFERROR(__xludf.DUMMYFUNCTION("""COMPUTED_VALUE"""),0.04572)</f>
        <v>0.04572</v>
      </c>
      <c r="K2195" s="19" t="str">
        <f>IFERROR(__xludf.DUMMYFUNCTION("""COMPUTED_VALUE"""),"-")</f>
        <v>-</v>
      </c>
      <c r="L2195" s="19" t="str">
        <f>IFERROR(__xludf.DUMMYFUNCTION("""COMPUTED_VALUE"""),"-")</f>
        <v>-</v>
      </c>
      <c r="O2195" s="24">
        <f t="shared" si="4"/>
        <v>0</v>
      </c>
      <c r="P2195" s="24"/>
      <c r="Q2195" s="24">
        <f t="shared" si="6"/>
        <v>0</v>
      </c>
      <c r="R2195" s="24">
        <f t="shared" si="7"/>
        <v>0</v>
      </c>
      <c r="S2195" s="24"/>
      <c r="T2195" s="24"/>
    </row>
    <row r="2196">
      <c r="A2196" s="12" t="s">
        <v>2284</v>
      </c>
      <c r="F2196" s="19">
        <f>IFERROR(__xludf.DUMMYFUNCTION("SPLIT(A2192, "" |"")"),2190.0)</f>
        <v>2190</v>
      </c>
      <c r="G2196" s="19">
        <f>IFERROR(__xludf.DUMMYFUNCTION("""COMPUTED_VALUE"""),0.00233)</f>
        <v>0.00233</v>
      </c>
      <c r="H2196" s="19" t="str">
        <f>IFERROR(__xludf.DUMMYFUNCTION("""COMPUTED_VALUE"""),"-")</f>
        <v>-</v>
      </c>
      <c r="I2196" s="19">
        <f>IFERROR(__xludf.DUMMYFUNCTION("""COMPUTED_VALUE"""),0.00224)</f>
        <v>0.00224</v>
      </c>
      <c r="J2196" s="19">
        <f>IFERROR(__xludf.DUMMYFUNCTION("""COMPUTED_VALUE"""),0.04541)</f>
        <v>0.04541</v>
      </c>
      <c r="K2196" s="19" t="str">
        <f>IFERROR(__xludf.DUMMYFUNCTION("""COMPUTED_VALUE"""),"-")</f>
        <v>-</v>
      </c>
      <c r="L2196" s="19" t="str">
        <f>IFERROR(__xludf.DUMMYFUNCTION("""COMPUTED_VALUE"""),"-")</f>
        <v>-</v>
      </c>
      <c r="O2196" s="24">
        <f t="shared" si="4"/>
        <v>0</v>
      </c>
      <c r="P2196" s="24"/>
      <c r="Q2196" s="24">
        <f t="shared" si="6"/>
        <v>0</v>
      </c>
      <c r="R2196" s="24">
        <f t="shared" si="7"/>
        <v>0</v>
      </c>
      <c r="S2196" s="24"/>
      <c r="T2196" s="24"/>
    </row>
    <row r="2197">
      <c r="A2197" s="12" t="s">
        <v>2285</v>
      </c>
      <c r="F2197" s="19">
        <f>IFERROR(__xludf.DUMMYFUNCTION("SPLIT(A2193, "" |"")"),2191.0)</f>
        <v>2191</v>
      </c>
      <c r="G2197" s="19">
        <f>IFERROR(__xludf.DUMMYFUNCTION("""COMPUTED_VALUE"""),0.00242)</f>
        <v>0.00242</v>
      </c>
      <c r="H2197" s="19" t="str">
        <f>IFERROR(__xludf.DUMMYFUNCTION("""COMPUTED_VALUE"""),"-")</f>
        <v>-</v>
      </c>
      <c r="I2197" s="19">
        <f>IFERROR(__xludf.DUMMYFUNCTION("""COMPUTED_VALUE"""),0.00223)</f>
        <v>0.00223</v>
      </c>
      <c r="J2197" s="19">
        <f>IFERROR(__xludf.DUMMYFUNCTION("""COMPUTED_VALUE"""),0.0475)</f>
        <v>0.0475</v>
      </c>
      <c r="K2197" s="19" t="str">
        <f>IFERROR(__xludf.DUMMYFUNCTION("""COMPUTED_VALUE"""),"-")</f>
        <v>-</v>
      </c>
      <c r="L2197" s="19" t="str">
        <f>IFERROR(__xludf.DUMMYFUNCTION("""COMPUTED_VALUE"""),"-")</f>
        <v>-</v>
      </c>
      <c r="O2197" s="24">
        <f t="shared" si="4"/>
        <v>0</v>
      </c>
      <c r="P2197" s="24"/>
      <c r="Q2197" s="24">
        <f t="shared" si="6"/>
        <v>0</v>
      </c>
      <c r="R2197" s="24">
        <f t="shared" si="7"/>
        <v>0</v>
      </c>
      <c r="S2197" s="24"/>
      <c r="T2197" s="24"/>
    </row>
    <row r="2198">
      <c r="A2198" s="12" t="s">
        <v>2286</v>
      </c>
      <c r="F2198" s="19">
        <f>IFERROR(__xludf.DUMMYFUNCTION("SPLIT(A2194, "" |"")"),2192.0)</f>
        <v>2192</v>
      </c>
      <c r="G2198" s="19">
        <f>IFERROR(__xludf.DUMMYFUNCTION("""COMPUTED_VALUE"""),0.00246)</f>
        <v>0.00246</v>
      </c>
      <c r="H2198" s="19" t="str">
        <f>IFERROR(__xludf.DUMMYFUNCTION("""COMPUTED_VALUE"""),"-")</f>
        <v>-</v>
      </c>
      <c r="I2198" s="19">
        <f>IFERROR(__xludf.DUMMYFUNCTION("""COMPUTED_VALUE"""),0.00223)</f>
        <v>0.00223</v>
      </c>
      <c r="J2198" s="19">
        <f>IFERROR(__xludf.DUMMYFUNCTION("""COMPUTED_VALUE"""),0.04744)</f>
        <v>0.04744</v>
      </c>
      <c r="K2198" s="19" t="str">
        <f>IFERROR(__xludf.DUMMYFUNCTION("""COMPUTED_VALUE"""),"-")</f>
        <v>-</v>
      </c>
      <c r="L2198" s="19" t="str">
        <f>IFERROR(__xludf.DUMMYFUNCTION("""COMPUTED_VALUE"""),"-")</f>
        <v>-</v>
      </c>
      <c r="O2198" s="24">
        <f t="shared" si="4"/>
        <v>0</v>
      </c>
      <c r="P2198" s="24"/>
      <c r="Q2198" s="24">
        <f t="shared" si="6"/>
        <v>0</v>
      </c>
      <c r="R2198" s="24">
        <f t="shared" si="7"/>
        <v>0</v>
      </c>
      <c r="S2198" s="24"/>
      <c r="T2198" s="24"/>
    </row>
    <row r="2199">
      <c r="A2199" s="12" t="s">
        <v>2287</v>
      </c>
      <c r="F2199" s="19">
        <f>IFERROR(__xludf.DUMMYFUNCTION("SPLIT(A2195, "" |"")"),2193.0)</f>
        <v>2193</v>
      </c>
      <c r="G2199" s="19">
        <f>IFERROR(__xludf.DUMMYFUNCTION("""COMPUTED_VALUE"""),0.00233)</f>
        <v>0.00233</v>
      </c>
      <c r="H2199" s="19" t="str">
        <f>IFERROR(__xludf.DUMMYFUNCTION("""COMPUTED_VALUE"""),"-")</f>
        <v>-</v>
      </c>
      <c r="I2199" s="19">
        <f>IFERROR(__xludf.DUMMYFUNCTION("""COMPUTED_VALUE"""),0.00221)</f>
        <v>0.00221</v>
      </c>
      <c r="J2199" s="19">
        <f>IFERROR(__xludf.DUMMYFUNCTION("""COMPUTED_VALUE"""),0.0466)</f>
        <v>0.0466</v>
      </c>
      <c r="K2199" s="19" t="str">
        <f>IFERROR(__xludf.DUMMYFUNCTION("""COMPUTED_VALUE"""),"-")</f>
        <v>-</v>
      </c>
      <c r="L2199" s="19" t="str">
        <f>IFERROR(__xludf.DUMMYFUNCTION("""COMPUTED_VALUE"""),"-")</f>
        <v>-</v>
      </c>
      <c r="O2199" s="24">
        <f t="shared" si="4"/>
        <v>0</v>
      </c>
      <c r="P2199" s="24"/>
      <c r="Q2199" s="24">
        <f t="shared" si="6"/>
        <v>0</v>
      </c>
      <c r="R2199" s="24">
        <f t="shared" si="7"/>
        <v>0</v>
      </c>
      <c r="S2199" s="24"/>
      <c r="T2199" s="24"/>
    </row>
    <row r="2200">
      <c r="A2200" s="12" t="s">
        <v>2288</v>
      </c>
      <c r="F2200" s="19">
        <f>IFERROR(__xludf.DUMMYFUNCTION("SPLIT(A2196, "" |"")"),2194.0)</f>
        <v>2194</v>
      </c>
      <c r="G2200" s="19">
        <f>IFERROR(__xludf.DUMMYFUNCTION("""COMPUTED_VALUE"""),0.00233)</f>
        <v>0.00233</v>
      </c>
      <c r="H2200" s="19" t="str">
        <f>IFERROR(__xludf.DUMMYFUNCTION("""COMPUTED_VALUE"""),"-")</f>
        <v>-</v>
      </c>
      <c r="I2200" s="19">
        <f>IFERROR(__xludf.DUMMYFUNCTION("""COMPUTED_VALUE"""),0.00218)</f>
        <v>0.00218</v>
      </c>
      <c r="J2200" s="19">
        <f>IFERROR(__xludf.DUMMYFUNCTION("""COMPUTED_VALUE"""),0.04744)</f>
        <v>0.04744</v>
      </c>
      <c r="K2200" s="19" t="str">
        <f>IFERROR(__xludf.DUMMYFUNCTION("""COMPUTED_VALUE"""),"-")</f>
        <v>-</v>
      </c>
      <c r="L2200" s="19" t="str">
        <f>IFERROR(__xludf.DUMMYFUNCTION("""COMPUTED_VALUE"""),"-")</f>
        <v>-</v>
      </c>
      <c r="O2200" s="24">
        <f t="shared" si="4"/>
        <v>0</v>
      </c>
      <c r="P2200" s="24"/>
      <c r="Q2200" s="24">
        <f t="shared" si="6"/>
        <v>0</v>
      </c>
      <c r="R2200" s="24">
        <f t="shared" si="7"/>
        <v>0</v>
      </c>
      <c r="S2200" s="24"/>
      <c r="T2200" s="24"/>
    </row>
    <row r="2201">
      <c r="A2201" s="12" t="s">
        <v>2289</v>
      </c>
      <c r="F2201" s="19">
        <f>IFERROR(__xludf.DUMMYFUNCTION("SPLIT(A2197, "" |"")"),2195.0)</f>
        <v>2195</v>
      </c>
      <c r="G2201" s="19">
        <f>IFERROR(__xludf.DUMMYFUNCTION("""COMPUTED_VALUE"""),0.00238)</f>
        <v>0.00238</v>
      </c>
      <c r="H2201" s="19" t="str">
        <f>IFERROR(__xludf.DUMMYFUNCTION("""COMPUTED_VALUE"""),"-")</f>
        <v>-</v>
      </c>
      <c r="I2201" s="19">
        <f>IFERROR(__xludf.DUMMYFUNCTION("""COMPUTED_VALUE"""),0.00218)</f>
        <v>0.00218</v>
      </c>
      <c r="J2201" s="19">
        <f>IFERROR(__xludf.DUMMYFUNCTION("""COMPUTED_VALUE"""),0.04748)</f>
        <v>0.04748</v>
      </c>
      <c r="K2201" s="19" t="str">
        <f>IFERROR(__xludf.DUMMYFUNCTION("""COMPUTED_VALUE"""),"-")</f>
        <v>-</v>
      </c>
      <c r="L2201" s="19" t="str">
        <f>IFERROR(__xludf.DUMMYFUNCTION("""COMPUTED_VALUE"""),"-")</f>
        <v>-</v>
      </c>
      <c r="O2201" s="24">
        <f t="shared" si="4"/>
        <v>0</v>
      </c>
      <c r="P2201" s="24"/>
      <c r="Q2201" s="24">
        <f t="shared" si="6"/>
        <v>0</v>
      </c>
      <c r="R2201" s="24">
        <f t="shared" si="7"/>
        <v>0</v>
      </c>
      <c r="S2201" s="24"/>
      <c r="T2201" s="24"/>
    </row>
    <row r="2202">
      <c r="A2202" s="12" t="s">
        <v>2290</v>
      </c>
      <c r="F2202" s="19">
        <f>IFERROR(__xludf.DUMMYFUNCTION("SPLIT(A2198, "" |"")"),2196.0)</f>
        <v>2196</v>
      </c>
      <c r="G2202" s="19">
        <f>IFERROR(__xludf.DUMMYFUNCTION("""COMPUTED_VALUE"""),0.00255)</f>
        <v>0.00255</v>
      </c>
      <c r="H2202" s="19" t="str">
        <f>IFERROR(__xludf.DUMMYFUNCTION("""COMPUTED_VALUE"""),"-")</f>
        <v>-</v>
      </c>
      <c r="I2202" s="19">
        <f>IFERROR(__xludf.DUMMYFUNCTION("""COMPUTED_VALUE"""),0.00221)</f>
        <v>0.00221</v>
      </c>
      <c r="J2202" s="19">
        <f>IFERROR(__xludf.DUMMYFUNCTION("""COMPUTED_VALUE"""),0.04745)</f>
        <v>0.04745</v>
      </c>
      <c r="K2202" s="19" t="str">
        <f>IFERROR(__xludf.DUMMYFUNCTION("""COMPUTED_VALUE"""),"-")</f>
        <v>-</v>
      </c>
      <c r="L2202" s="19" t="str">
        <f>IFERROR(__xludf.DUMMYFUNCTION("""COMPUTED_VALUE"""),"-")</f>
        <v>-</v>
      </c>
      <c r="O2202" s="24">
        <f t="shared" si="4"/>
        <v>0</v>
      </c>
      <c r="P2202" s="24"/>
      <c r="Q2202" s="24">
        <f t="shared" si="6"/>
        <v>0</v>
      </c>
      <c r="R2202" s="24">
        <f t="shared" si="7"/>
        <v>0</v>
      </c>
      <c r="S2202" s="24"/>
      <c r="T2202" s="24"/>
    </row>
    <row r="2203">
      <c r="A2203" s="12" t="s">
        <v>2291</v>
      </c>
      <c r="F2203" s="19">
        <f>IFERROR(__xludf.DUMMYFUNCTION("SPLIT(A2199, "" |"")"),2197.0)</f>
        <v>2197</v>
      </c>
      <c r="G2203" s="19">
        <f>IFERROR(__xludf.DUMMYFUNCTION("""COMPUTED_VALUE"""),0.00242)</f>
        <v>0.00242</v>
      </c>
      <c r="H2203" s="19" t="str">
        <f>IFERROR(__xludf.DUMMYFUNCTION("""COMPUTED_VALUE"""),"-")</f>
        <v>-</v>
      </c>
      <c r="I2203" s="19">
        <f>IFERROR(__xludf.DUMMYFUNCTION("""COMPUTED_VALUE"""),0.00224)</f>
        <v>0.00224</v>
      </c>
      <c r="J2203" s="19">
        <f>IFERROR(__xludf.DUMMYFUNCTION("""COMPUTED_VALUE"""),0.04741)</f>
        <v>0.04741</v>
      </c>
      <c r="K2203" s="19" t="str">
        <f>IFERROR(__xludf.DUMMYFUNCTION("""COMPUTED_VALUE"""),"-")</f>
        <v>-</v>
      </c>
      <c r="L2203" s="19" t="str">
        <f>IFERROR(__xludf.DUMMYFUNCTION("""COMPUTED_VALUE"""),"-")</f>
        <v>-</v>
      </c>
      <c r="O2203" s="24">
        <f t="shared" si="4"/>
        <v>0</v>
      </c>
      <c r="P2203" s="24"/>
      <c r="Q2203" s="24">
        <f t="shared" si="6"/>
        <v>0</v>
      </c>
      <c r="R2203" s="24">
        <f t="shared" si="7"/>
        <v>0</v>
      </c>
      <c r="S2203" s="24"/>
      <c r="T2203" s="24"/>
    </row>
    <row r="2204">
      <c r="A2204" s="12" t="s">
        <v>2292</v>
      </c>
      <c r="F2204" s="19">
        <f>IFERROR(__xludf.DUMMYFUNCTION("SPLIT(A2200, "" |"")"),2198.0)</f>
        <v>2198</v>
      </c>
      <c r="G2204" s="19">
        <f>IFERROR(__xludf.DUMMYFUNCTION("""COMPUTED_VALUE"""),0.00232)</f>
        <v>0.00232</v>
      </c>
      <c r="H2204" s="19" t="str">
        <f>IFERROR(__xludf.DUMMYFUNCTION("""COMPUTED_VALUE"""),"-")</f>
        <v>-</v>
      </c>
      <c r="I2204" s="19">
        <f>IFERROR(__xludf.DUMMYFUNCTION("""COMPUTED_VALUE"""),0.00227)</f>
        <v>0.00227</v>
      </c>
      <c r="J2204" s="19">
        <f>IFERROR(__xludf.DUMMYFUNCTION("""COMPUTED_VALUE"""),0.04061)</f>
        <v>0.04061</v>
      </c>
      <c r="K2204" s="19" t="str">
        <f>IFERROR(__xludf.DUMMYFUNCTION("""COMPUTED_VALUE"""),"-")</f>
        <v>-</v>
      </c>
      <c r="L2204" s="19" t="str">
        <f>IFERROR(__xludf.DUMMYFUNCTION("""COMPUTED_VALUE"""),"-")</f>
        <v>-</v>
      </c>
      <c r="O2204" s="24">
        <f t="shared" si="4"/>
        <v>0</v>
      </c>
      <c r="P2204" s="24"/>
      <c r="Q2204" s="24">
        <f t="shared" si="6"/>
        <v>0</v>
      </c>
      <c r="R2204" s="24">
        <f t="shared" si="7"/>
        <v>1</v>
      </c>
      <c r="S2204" s="24"/>
      <c r="T2204" s="24"/>
    </row>
    <row r="2205">
      <c r="A2205" s="12" t="s">
        <v>2293</v>
      </c>
      <c r="F2205" s="19">
        <f>IFERROR(__xludf.DUMMYFUNCTION("SPLIT(A2201, "" |"")"),2199.0)</f>
        <v>2199</v>
      </c>
      <c r="G2205" s="19">
        <f>IFERROR(__xludf.DUMMYFUNCTION("""COMPUTED_VALUE"""),0.00242)</f>
        <v>0.00242</v>
      </c>
      <c r="H2205" s="19" t="str">
        <f>IFERROR(__xludf.DUMMYFUNCTION("""COMPUTED_VALUE"""),"-")</f>
        <v>-</v>
      </c>
      <c r="I2205" s="19">
        <f>IFERROR(__xludf.DUMMYFUNCTION("""COMPUTED_VALUE"""),0.00221)</f>
        <v>0.00221</v>
      </c>
      <c r="J2205" s="19">
        <f>IFERROR(__xludf.DUMMYFUNCTION("""COMPUTED_VALUE"""),0.04742)</f>
        <v>0.04742</v>
      </c>
      <c r="K2205" s="19" t="str">
        <f>IFERROR(__xludf.DUMMYFUNCTION("""COMPUTED_VALUE"""),"-")</f>
        <v>-</v>
      </c>
      <c r="L2205" s="19" t="str">
        <f>IFERROR(__xludf.DUMMYFUNCTION("""COMPUTED_VALUE"""),"-")</f>
        <v>-</v>
      </c>
      <c r="O2205" s="24">
        <f t="shared" si="4"/>
        <v>0</v>
      </c>
      <c r="P2205" s="24"/>
      <c r="Q2205" s="24">
        <f t="shared" si="6"/>
        <v>0</v>
      </c>
      <c r="R2205" s="24">
        <f t="shared" si="7"/>
        <v>0</v>
      </c>
      <c r="S2205" s="24"/>
      <c r="T2205" s="24"/>
    </row>
    <row r="2206">
      <c r="A2206" s="12" t="s">
        <v>2294</v>
      </c>
      <c r="F2206" s="19">
        <f>IFERROR(__xludf.DUMMYFUNCTION("SPLIT(A2202, "" |"")"),2200.0)</f>
        <v>2200</v>
      </c>
      <c r="G2206" s="19">
        <f>IFERROR(__xludf.DUMMYFUNCTION("""COMPUTED_VALUE"""),0.00233)</f>
        <v>0.00233</v>
      </c>
      <c r="H2206" s="19" t="str">
        <f>IFERROR(__xludf.DUMMYFUNCTION("""COMPUTED_VALUE"""),"-")</f>
        <v>-</v>
      </c>
      <c r="I2206" s="19">
        <f>IFERROR(__xludf.DUMMYFUNCTION("""COMPUTED_VALUE"""),0.00217)</f>
        <v>0.00217</v>
      </c>
      <c r="J2206" s="19">
        <f>IFERROR(__xludf.DUMMYFUNCTION("""COMPUTED_VALUE"""),0.04355)</f>
        <v>0.04355</v>
      </c>
      <c r="K2206" s="19" t="str">
        <f>IFERROR(__xludf.DUMMYFUNCTION("""COMPUTED_VALUE"""),"-")</f>
        <v>-</v>
      </c>
      <c r="L2206" s="19" t="str">
        <f>IFERROR(__xludf.DUMMYFUNCTION("""COMPUTED_VALUE"""),"-")</f>
        <v>-</v>
      </c>
      <c r="O2206" s="24">
        <f t="shared" si="4"/>
        <v>0</v>
      </c>
      <c r="P2206" s="24"/>
      <c r="Q2206" s="24">
        <f t="shared" si="6"/>
        <v>0</v>
      </c>
      <c r="R2206" s="24">
        <f t="shared" si="7"/>
        <v>1</v>
      </c>
      <c r="S2206" s="24"/>
      <c r="T2206" s="24"/>
    </row>
    <row r="2207">
      <c r="A2207" s="12" t="s">
        <v>2295</v>
      </c>
      <c r="F2207" s="19">
        <f>IFERROR(__xludf.DUMMYFUNCTION("SPLIT(A2203, "" |"")"),2201.0)</f>
        <v>2201</v>
      </c>
      <c r="G2207" s="19">
        <f>IFERROR(__xludf.DUMMYFUNCTION("""COMPUTED_VALUE"""),0.0024)</f>
        <v>0.0024</v>
      </c>
      <c r="H2207" s="19" t="str">
        <f>IFERROR(__xludf.DUMMYFUNCTION("""COMPUTED_VALUE"""),"-")</f>
        <v>-</v>
      </c>
      <c r="I2207" s="19">
        <f>IFERROR(__xludf.DUMMYFUNCTION("""COMPUTED_VALUE"""),0.00221)</f>
        <v>0.00221</v>
      </c>
      <c r="J2207" s="19">
        <f>IFERROR(__xludf.DUMMYFUNCTION("""COMPUTED_VALUE"""),0.04666)</f>
        <v>0.04666</v>
      </c>
      <c r="K2207" s="19" t="str">
        <f>IFERROR(__xludf.DUMMYFUNCTION("""COMPUTED_VALUE"""),"-")</f>
        <v>-</v>
      </c>
      <c r="L2207" s="19" t="str">
        <f>IFERROR(__xludf.DUMMYFUNCTION("""COMPUTED_VALUE"""),"-")</f>
        <v>-</v>
      </c>
      <c r="O2207" s="24">
        <f t="shared" si="4"/>
        <v>0</v>
      </c>
      <c r="P2207" s="24"/>
      <c r="Q2207" s="24">
        <f t="shared" si="6"/>
        <v>0</v>
      </c>
      <c r="R2207" s="24">
        <f t="shared" si="7"/>
        <v>0</v>
      </c>
      <c r="S2207" s="24"/>
      <c r="T2207" s="24"/>
    </row>
    <row r="2208">
      <c r="A2208" s="12" t="s">
        <v>2296</v>
      </c>
      <c r="F2208" s="19">
        <f>IFERROR(__xludf.DUMMYFUNCTION("SPLIT(A2204, "" |"")"),2202.0)</f>
        <v>2202</v>
      </c>
      <c r="G2208" s="19">
        <f>IFERROR(__xludf.DUMMYFUNCTION("""COMPUTED_VALUE"""),0.00223)</f>
        <v>0.00223</v>
      </c>
      <c r="H2208" s="19" t="str">
        <f>IFERROR(__xludf.DUMMYFUNCTION("""COMPUTED_VALUE"""),"-")</f>
        <v>-</v>
      </c>
      <c r="I2208" s="19">
        <f>IFERROR(__xludf.DUMMYFUNCTION("""COMPUTED_VALUE"""),0.00213)</f>
        <v>0.00213</v>
      </c>
      <c r="J2208" s="19">
        <f>IFERROR(__xludf.DUMMYFUNCTION("""COMPUTED_VALUE"""),0.04732)</f>
        <v>0.04732</v>
      </c>
      <c r="K2208" s="19" t="str">
        <f>IFERROR(__xludf.DUMMYFUNCTION("""COMPUTED_VALUE"""),"-")</f>
        <v>-</v>
      </c>
      <c r="L2208" s="19" t="str">
        <f>IFERROR(__xludf.DUMMYFUNCTION("""COMPUTED_VALUE"""),"-")</f>
        <v>-</v>
      </c>
      <c r="O2208" s="24">
        <f t="shared" si="4"/>
        <v>0</v>
      </c>
      <c r="P2208" s="24"/>
      <c r="Q2208" s="24">
        <f t="shared" si="6"/>
        <v>0</v>
      </c>
      <c r="R2208" s="24">
        <f t="shared" si="7"/>
        <v>0</v>
      </c>
      <c r="S2208" s="24"/>
      <c r="T2208" s="24"/>
    </row>
    <row r="2209">
      <c r="A2209" s="12" t="s">
        <v>2297</v>
      </c>
      <c r="F2209" s="19">
        <f>IFERROR(__xludf.DUMMYFUNCTION("SPLIT(A2205, "" |"")"),2203.0)</f>
        <v>2203</v>
      </c>
      <c r="G2209" s="19">
        <f>IFERROR(__xludf.DUMMYFUNCTION("""COMPUTED_VALUE"""),0.00231)</f>
        <v>0.00231</v>
      </c>
      <c r="H2209" s="19" t="str">
        <f>IFERROR(__xludf.DUMMYFUNCTION("""COMPUTED_VALUE"""),"-")</f>
        <v>-</v>
      </c>
      <c r="I2209" s="19">
        <f>IFERROR(__xludf.DUMMYFUNCTION("""COMPUTED_VALUE"""),0.00224)</f>
        <v>0.00224</v>
      </c>
      <c r="J2209" s="19">
        <f>IFERROR(__xludf.DUMMYFUNCTION("""COMPUTED_VALUE"""),0.04745)</f>
        <v>0.04745</v>
      </c>
      <c r="K2209" s="19" t="str">
        <f>IFERROR(__xludf.DUMMYFUNCTION("""COMPUTED_VALUE"""),"-")</f>
        <v>-</v>
      </c>
      <c r="L2209" s="19" t="str">
        <f>IFERROR(__xludf.DUMMYFUNCTION("""COMPUTED_VALUE"""),"-")</f>
        <v>-</v>
      </c>
      <c r="O2209" s="24">
        <f t="shared" si="4"/>
        <v>0</v>
      </c>
      <c r="P2209" s="24"/>
      <c r="Q2209" s="24">
        <f t="shared" si="6"/>
        <v>0</v>
      </c>
      <c r="R2209" s="24">
        <f t="shared" si="7"/>
        <v>0</v>
      </c>
      <c r="S2209" s="24"/>
      <c r="T2209" s="24"/>
    </row>
    <row r="2210">
      <c r="A2210" s="12" t="s">
        <v>2298</v>
      </c>
      <c r="F2210" s="19">
        <f>IFERROR(__xludf.DUMMYFUNCTION("SPLIT(A2206, "" |"")"),2204.0)</f>
        <v>2204</v>
      </c>
      <c r="G2210" s="19">
        <f>IFERROR(__xludf.DUMMYFUNCTION("""COMPUTED_VALUE"""),0.00242)</f>
        <v>0.00242</v>
      </c>
      <c r="H2210" s="19" t="str">
        <f>IFERROR(__xludf.DUMMYFUNCTION("""COMPUTED_VALUE"""),"-")</f>
        <v>-</v>
      </c>
      <c r="I2210" s="19">
        <f>IFERROR(__xludf.DUMMYFUNCTION("""COMPUTED_VALUE"""),0.00228)</f>
        <v>0.00228</v>
      </c>
      <c r="J2210" s="19">
        <f>IFERROR(__xludf.DUMMYFUNCTION("""COMPUTED_VALUE"""),0.04747)</f>
        <v>0.04747</v>
      </c>
      <c r="K2210" s="19" t="str">
        <f>IFERROR(__xludf.DUMMYFUNCTION("""COMPUTED_VALUE"""),"-")</f>
        <v>-</v>
      </c>
      <c r="L2210" s="19" t="str">
        <f>IFERROR(__xludf.DUMMYFUNCTION("""COMPUTED_VALUE"""),"-")</f>
        <v>-</v>
      </c>
      <c r="O2210" s="24">
        <f t="shared" si="4"/>
        <v>0</v>
      </c>
      <c r="P2210" s="24"/>
      <c r="Q2210" s="24">
        <f t="shared" si="6"/>
        <v>0</v>
      </c>
      <c r="R2210" s="24">
        <f t="shared" si="7"/>
        <v>0</v>
      </c>
      <c r="S2210" s="24"/>
      <c r="T2210" s="24"/>
    </row>
    <row r="2211">
      <c r="A2211" s="12" t="s">
        <v>2299</v>
      </c>
      <c r="F2211" s="19">
        <f>IFERROR(__xludf.DUMMYFUNCTION("SPLIT(A2207, "" |"")"),2205.0)</f>
        <v>2205</v>
      </c>
      <c r="G2211" s="19">
        <f>IFERROR(__xludf.DUMMYFUNCTION("""COMPUTED_VALUE"""),0.00234)</f>
        <v>0.00234</v>
      </c>
      <c r="H2211" s="19" t="str">
        <f>IFERROR(__xludf.DUMMYFUNCTION("""COMPUTED_VALUE"""),"-")</f>
        <v>-</v>
      </c>
      <c r="I2211" s="19">
        <f>IFERROR(__xludf.DUMMYFUNCTION("""COMPUTED_VALUE"""),0.00225)</f>
        <v>0.00225</v>
      </c>
      <c r="J2211" s="19">
        <f>IFERROR(__xludf.DUMMYFUNCTION("""COMPUTED_VALUE"""),0.04744)</f>
        <v>0.04744</v>
      </c>
      <c r="K2211" s="19" t="str">
        <f>IFERROR(__xludf.DUMMYFUNCTION("""COMPUTED_VALUE"""),"-")</f>
        <v>-</v>
      </c>
      <c r="L2211" s="19" t="str">
        <f>IFERROR(__xludf.DUMMYFUNCTION("""COMPUTED_VALUE"""),"-")</f>
        <v>-</v>
      </c>
      <c r="O2211" s="24">
        <f t="shared" si="4"/>
        <v>0</v>
      </c>
      <c r="P2211" s="24"/>
      <c r="Q2211" s="24">
        <f t="shared" si="6"/>
        <v>0</v>
      </c>
      <c r="R2211" s="24">
        <f t="shared" si="7"/>
        <v>0</v>
      </c>
      <c r="S2211" s="24"/>
      <c r="T2211" s="24"/>
    </row>
    <row r="2212">
      <c r="A2212" s="12" t="s">
        <v>2300</v>
      </c>
      <c r="F2212" s="19">
        <f>IFERROR(__xludf.DUMMYFUNCTION("SPLIT(A2208, "" |"")"),2206.0)</f>
        <v>2206</v>
      </c>
      <c r="G2212" s="19">
        <f>IFERROR(__xludf.DUMMYFUNCTION("""COMPUTED_VALUE"""),0.00235)</f>
        <v>0.00235</v>
      </c>
      <c r="H2212" s="19" t="str">
        <f>IFERROR(__xludf.DUMMYFUNCTION("""COMPUTED_VALUE"""),"-")</f>
        <v>-</v>
      </c>
      <c r="I2212" s="19">
        <f>IFERROR(__xludf.DUMMYFUNCTION("""COMPUTED_VALUE"""),0.00223)</f>
        <v>0.00223</v>
      </c>
      <c r="J2212" s="19">
        <f>IFERROR(__xludf.DUMMYFUNCTION("""COMPUTED_VALUE"""),0.04572)</f>
        <v>0.04572</v>
      </c>
      <c r="K2212" s="19" t="str">
        <f>IFERROR(__xludf.DUMMYFUNCTION("""COMPUTED_VALUE"""),"-")</f>
        <v>-</v>
      </c>
      <c r="L2212" s="19" t="str">
        <f>IFERROR(__xludf.DUMMYFUNCTION("""COMPUTED_VALUE"""),"-")</f>
        <v>-</v>
      </c>
      <c r="O2212" s="24">
        <f t="shared" si="4"/>
        <v>0</v>
      </c>
      <c r="P2212" s="24"/>
      <c r="Q2212" s="24">
        <f t="shared" si="6"/>
        <v>0</v>
      </c>
      <c r="R2212" s="24">
        <f t="shared" si="7"/>
        <v>0</v>
      </c>
      <c r="S2212" s="24"/>
      <c r="T2212" s="24"/>
    </row>
    <row r="2213">
      <c r="A2213" s="12" t="s">
        <v>2301</v>
      </c>
      <c r="F2213" s="19">
        <f>IFERROR(__xludf.DUMMYFUNCTION("SPLIT(A2209, "" |"")"),2207.0)</f>
        <v>2207</v>
      </c>
      <c r="G2213" s="19">
        <f>IFERROR(__xludf.DUMMYFUNCTION("""COMPUTED_VALUE"""),0.00238)</f>
        <v>0.00238</v>
      </c>
      <c r="H2213" s="19" t="str">
        <f>IFERROR(__xludf.DUMMYFUNCTION("""COMPUTED_VALUE"""),"-")</f>
        <v>-</v>
      </c>
      <c r="I2213" s="19">
        <f>IFERROR(__xludf.DUMMYFUNCTION("""COMPUTED_VALUE"""),0.00223)</f>
        <v>0.00223</v>
      </c>
      <c r="J2213" s="19">
        <f>IFERROR(__xludf.DUMMYFUNCTION("""COMPUTED_VALUE"""),0.04742)</f>
        <v>0.04742</v>
      </c>
      <c r="K2213" s="19" t="str">
        <f>IFERROR(__xludf.DUMMYFUNCTION("""COMPUTED_VALUE"""),"-")</f>
        <v>-</v>
      </c>
      <c r="L2213" s="19" t="str">
        <f>IFERROR(__xludf.DUMMYFUNCTION("""COMPUTED_VALUE"""),"-")</f>
        <v>-</v>
      </c>
      <c r="O2213" s="24">
        <f t="shared" si="4"/>
        <v>0</v>
      </c>
      <c r="P2213" s="24"/>
      <c r="Q2213" s="24">
        <f t="shared" si="6"/>
        <v>0</v>
      </c>
      <c r="R2213" s="24">
        <f t="shared" si="7"/>
        <v>0</v>
      </c>
      <c r="S2213" s="24"/>
      <c r="T2213" s="24"/>
    </row>
    <row r="2214">
      <c r="A2214" s="12" t="s">
        <v>2302</v>
      </c>
      <c r="F2214" s="19">
        <f>IFERROR(__xludf.DUMMYFUNCTION("SPLIT(A2210, "" |"")"),2208.0)</f>
        <v>2208</v>
      </c>
      <c r="G2214" s="19">
        <f>IFERROR(__xludf.DUMMYFUNCTION("""COMPUTED_VALUE"""),0.00247)</f>
        <v>0.00247</v>
      </c>
      <c r="H2214" s="19" t="str">
        <f>IFERROR(__xludf.DUMMYFUNCTION("""COMPUTED_VALUE"""),"-")</f>
        <v>-</v>
      </c>
      <c r="I2214" s="19">
        <f>IFERROR(__xludf.DUMMYFUNCTION("""COMPUTED_VALUE"""),0.00222)</f>
        <v>0.00222</v>
      </c>
      <c r="J2214" s="19">
        <f>IFERROR(__xludf.DUMMYFUNCTION("""COMPUTED_VALUE"""),0.04746)</f>
        <v>0.04746</v>
      </c>
      <c r="K2214" s="19" t="str">
        <f>IFERROR(__xludf.DUMMYFUNCTION("""COMPUTED_VALUE"""),"-")</f>
        <v>-</v>
      </c>
      <c r="L2214" s="19" t="str">
        <f>IFERROR(__xludf.DUMMYFUNCTION("""COMPUTED_VALUE"""),"-")</f>
        <v>-</v>
      </c>
      <c r="O2214" s="24">
        <f t="shared" si="4"/>
        <v>0</v>
      </c>
      <c r="P2214" s="24"/>
      <c r="Q2214" s="24">
        <f t="shared" si="6"/>
        <v>0</v>
      </c>
      <c r="R2214" s="24">
        <f t="shared" si="7"/>
        <v>0</v>
      </c>
      <c r="S2214" s="24"/>
      <c r="T2214" s="24"/>
    </row>
    <row r="2215">
      <c r="A2215" s="12" t="s">
        <v>2303</v>
      </c>
      <c r="F2215" s="19">
        <f>IFERROR(__xludf.DUMMYFUNCTION("SPLIT(A2211, "" |"")"),2209.0)</f>
        <v>2209</v>
      </c>
      <c r="G2215" s="19">
        <f>IFERROR(__xludf.DUMMYFUNCTION("""COMPUTED_VALUE"""),0.00238)</f>
        <v>0.00238</v>
      </c>
      <c r="H2215" s="19" t="str">
        <f>IFERROR(__xludf.DUMMYFUNCTION("""COMPUTED_VALUE"""),"-")</f>
        <v>-</v>
      </c>
      <c r="I2215" s="19">
        <f>IFERROR(__xludf.DUMMYFUNCTION("""COMPUTED_VALUE"""),0.00225)</f>
        <v>0.00225</v>
      </c>
      <c r="J2215" s="19">
        <f>IFERROR(__xludf.DUMMYFUNCTION("""COMPUTED_VALUE"""),0.04751)</f>
        <v>0.04751</v>
      </c>
      <c r="K2215" s="19" t="str">
        <f>IFERROR(__xludf.DUMMYFUNCTION("""COMPUTED_VALUE"""),"-")</f>
        <v>-</v>
      </c>
      <c r="L2215" s="19" t="str">
        <f>IFERROR(__xludf.DUMMYFUNCTION("""COMPUTED_VALUE"""),"-")</f>
        <v>-</v>
      </c>
      <c r="O2215" s="24">
        <f t="shared" si="4"/>
        <v>0</v>
      </c>
      <c r="P2215" s="24"/>
      <c r="Q2215" s="24">
        <f t="shared" si="6"/>
        <v>0</v>
      </c>
      <c r="R2215" s="24">
        <f t="shared" si="7"/>
        <v>0</v>
      </c>
      <c r="S2215" s="24"/>
      <c r="T2215" s="24"/>
    </row>
    <row r="2216">
      <c r="A2216" s="12" t="s">
        <v>2304</v>
      </c>
      <c r="F2216" s="19">
        <f>IFERROR(__xludf.DUMMYFUNCTION("SPLIT(A2212, "" |"")"),2210.0)</f>
        <v>2210</v>
      </c>
      <c r="G2216" s="19">
        <f>IFERROR(__xludf.DUMMYFUNCTION("""COMPUTED_VALUE"""),0.00236)</f>
        <v>0.00236</v>
      </c>
      <c r="H2216" s="19" t="str">
        <f>IFERROR(__xludf.DUMMYFUNCTION("""COMPUTED_VALUE"""),"-")</f>
        <v>-</v>
      </c>
      <c r="I2216" s="19">
        <f>IFERROR(__xludf.DUMMYFUNCTION("""COMPUTED_VALUE"""),0.0022)</f>
        <v>0.0022</v>
      </c>
      <c r="J2216" s="19">
        <f>IFERROR(__xludf.DUMMYFUNCTION("""COMPUTED_VALUE"""),0.04523)</f>
        <v>0.04523</v>
      </c>
      <c r="K2216" s="19" t="str">
        <f>IFERROR(__xludf.DUMMYFUNCTION("""COMPUTED_VALUE"""),"-")</f>
        <v>-</v>
      </c>
      <c r="L2216" s="19" t="str">
        <f>IFERROR(__xludf.DUMMYFUNCTION("""COMPUTED_VALUE"""),"-")</f>
        <v>-</v>
      </c>
      <c r="O2216" s="24">
        <f t="shared" si="4"/>
        <v>0</v>
      </c>
      <c r="P2216" s="24"/>
      <c r="Q2216" s="24">
        <f t="shared" si="6"/>
        <v>0</v>
      </c>
      <c r="R2216" s="24">
        <f t="shared" si="7"/>
        <v>0</v>
      </c>
      <c r="S2216" s="24"/>
      <c r="T2216" s="24"/>
    </row>
    <row r="2217">
      <c r="A2217" s="12" t="s">
        <v>2305</v>
      </c>
      <c r="F2217" s="19">
        <f>IFERROR(__xludf.DUMMYFUNCTION("SPLIT(A2213, "" |"")"),2211.0)</f>
        <v>2211</v>
      </c>
      <c r="G2217" s="19">
        <f>IFERROR(__xludf.DUMMYFUNCTION("""COMPUTED_VALUE"""),0.00231)</f>
        <v>0.00231</v>
      </c>
      <c r="H2217" s="19" t="str">
        <f>IFERROR(__xludf.DUMMYFUNCTION("""COMPUTED_VALUE"""),"-")</f>
        <v>-</v>
      </c>
      <c r="I2217" s="19">
        <f>IFERROR(__xludf.DUMMYFUNCTION("""COMPUTED_VALUE"""),0.00223)</f>
        <v>0.00223</v>
      </c>
      <c r="J2217" s="19">
        <f>IFERROR(__xludf.DUMMYFUNCTION("""COMPUTED_VALUE"""),0.04743)</f>
        <v>0.04743</v>
      </c>
      <c r="K2217" s="19" t="str">
        <f>IFERROR(__xludf.DUMMYFUNCTION("""COMPUTED_VALUE"""),"-")</f>
        <v>-</v>
      </c>
      <c r="L2217" s="19" t="str">
        <f>IFERROR(__xludf.DUMMYFUNCTION("""COMPUTED_VALUE"""),"-")</f>
        <v>-</v>
      </c>
      <c r="O2217" s="24">
        <f t="shared" si="4"/>
        <v>0</v>
      </c>
      <c r="P2217" s="24"/>
      <c r="Q2217" s="24">
        <f t="shared" si="6"/>
        <v>0</v>
      </c>
      <c r="R2217" s="24">
        <f t="shared" si="7"/>
        <v>0</v>
      </c>
      <c r="S2217" s="24"/>
      <c r="T2217" s="24"/>
    </row>
    <row r="2218">
      <c r="A2218" s="12" t="s">
        <v>2306</v>
      </c>
      <c r="F2218" s="19">
        <f>IFERROR(__xludf.DUMMYFUNCTION("SPLIT(A2214, "" |"")"),2212.0)</f>
        <v>2212</v>
      </c>
      <c r="G2218" s="19">
        <f>IFERROR(__xludf.DUMMYFUNCTION("""COMPUTED_VALUE"""),0.0022)</f>
        <v>0.0022</v>
      </c>
      <c r="H2218" s="19" t="str">
        <f>IFERROR(__xludf.DUMMYFUNCTION("""COMPUTED_VALUE"""),"-")</f>
        <v>-</v>
      </c>
      <c r="I2218" s="19">
        <f>IFERROR(__xludf.DUMMYFUNCTION("""COMPUTED_VALUE"""),0.00207)</f>
        <v>0.00207</v>
      </c>
      <c r="J2218" s="19">
        <f>IFERROR(__xludf.DUMMYFUNCTION("""COMPUTED_VALUE"""),0.04729)</f>
        <v>0.04729</v>
      </c>
      <c r="K2218" s="19" t="str">
        <f>IFERROR(__xludf.DUMMYFUNCTION("""COMPUTED_VALUE"""),"-")</f>
        <v>-</v>
      </c>
      <c r="L2218" s="19" t="str">
        <f>IFERROR(__xludf.DUMMYFUNCTION("""COMPUTED_VALUE"""),"-")</f>
        <v>-</v>
      </c>
      <c r="O2218" s="24">
        <f t="shared" si="4"/>
        <v>0</v>
      </c>
      <c r="P2218" s="24"/>
      <c r="Q2218" s="24">
        <f t="shared" si="6"/>
        <v>0</v>
      </c>
      <c r="R2218" s="24">
        <f t="shared" si="7"/>
        <v>0</v>
      </c>
      <c r="S2218" s="24"/>
      <c r="T2218" s="24"/>
    </row>
    <row r="2219">
      <c r="A2219" s="12" t="s">
        <v>2307</v>
      </c>
      <c r="F2219" s="19">
        <f>IFERROR(__xludf.DUMMYFUNCTION("SPLIT(A2215, "" |"")"),2213.0)</f>
        <v>2213</v>
      </c>
      <c r="G2219" s="19">
        <f>IFERROR(__xludf.DUMMYFUNCTION("""COMPUTED_VALUE"""),0.00236)</f>
        <v>0.00236</v>
      </c>
      <c r="H2219" s="19" t="str">
        <f>IFERROR(__xludf.DUMMYFUNCTION("""COMPUTED_VALUE"""),"-")</f>
        <v>-</v>
      </c>
      <c r="I2219" s="19">
        <f>IFERROR(__xludf.DUMMYFUNCTION("""COMPUTED_VALUE"""),0.00221)</f>
        <v>0.00221</v>
      </c>
      <c r="J2219" s="19">
        <f>IFERROR(__xludf.DUMMYFUNCTION("""COMPUTED_VALUE"""),0.04029)</f>
        <v>0.04029</v>
      </c>
      <c r="K2219" s="19" t="str">
        <f>IFERROR(__xludf.DUMMYFUNCTION("""COMPUTED_VALUE"""),"-")</f>
        <v>-</v>
      </c>
      <c r="L2219" s="19" t="str">
        <f>IFERROR(__xludf.DUMMYFUNCTION("""COMPUTED_VALUE"""),"-")</f>
        <v>-</v>
      </c>
      <c r="O2219" s="24">
        <f t="shared" si="4"/>
        <v>0</v>
      </c>
      <c r="P2219" s="24"/>
      <c r="Q2219" s="24">
        <f t="shared" si="6"/>
        <v>0</v>
      </c>
      <c r="R2219" s="24">
        <f t="shared" si="7"/>
        <v>1</v>
      </c>
      <c r="S2219" s="24"/>
      <c r="T2219" s="24"/>
    </row>
    <row r="2220">
      <c r="A2220" s="12" t="s">
        <v>2308</v>
      </c>
      <c r="F2220" s="19">
        <f>IFERROR(__xludf.DUMMYFUNCTION("SPLIT(A2216, "" |"")"),2214.0)</f>
        <v>2214</v>
      </c>
      <c r="G2220" s="19">
        <f>IFERROR(__xludf.DUMMYFUNCTION("""COMPUTED_VALUE"""),0.0023)</f>
        <v>0.0023</v>
      </c>
      <c r="H2220" s="19" t="str">
        <f>IFERROR(__xludf.DUMMYFUNCTION("""COMPUTED_VALUE"""),"-")</f>
        <v>-</v>
      </c>
      <c r="I2220" s="19">
        <f>IFERROR(__xludf.DUMMYFUNCTION("""COMPUTED_VALUE"""),0.00217)</f>
        <v>0.00217</v>
      </c>
      <c r="J2220" s="19">
        <f>IFERROR(__xludf.DUMMYFUNCTION("""COMPUTED_VALUE"""),0.04742)</f>
        <v>0.04742</v>
      </c>
      <c r="K2220" s="19" t="str">
        <f>IFERROR(__xludf.DUMMYFUNCTION("""COMPUTED_VALUE"""),"-")</f>
        <v>-</v>
      </c>
      <c r="L2220" s="19" t="str">
        <f>IFERROR(__xludf.DUMMYFUNCTION("""COMPUTED_VALUE"""),"-")</f>
        <v>-</v>
      </c>
      <c r="O2220" s="24">
        <f t="shared" si="4"/>
        <v>0</v>
      </c>
      <c r="P2220" s="24"/>
      <c r="Q2220" s="24">
        <f t="shared" si="6"/>
        <v>0</v>
      </c>
      <c r="R2220" s="24">
        <f t="shared" si="7"/>
        <v>0</v>
      </c>
      <c r="S2220" s="24"/>
      <c r="T2220" s="24"/>
    </row>
    <row r="2221">
      <c r="A2221" s="12" t="s">
        <v>2309</v>
      </c>
      <c r="F2221" s="19">
        <f>IFERROR(__xludf.DUMMYFUNCTION("SPLIT(A2217, "" |"")"),2215.0)</f>
        <v>2215</v>
      </c>
      <c r="G2221" s="19">
        <f>IFERROR(__xludf.DUMMYFUNCTION("""COMPUTED_VALUE"""),0.00234)</f>
        <v>0.00234</v>
      </c>
      <c r="H2221" s="19" t="str">
        <f>IFERROR(__xludf.DUMMYFUNCTION("""COMPUTED_VALUE"""),"-")</f>
        <v>-</v>
      </c>
      <c r="I2221" s="19">
        <f>IFERROR(__xludf.DUMMYFUNCTION("""COMPUTED_VALUE"""),0.00221)</f>
        <v>0.00221</v>
      </c>
      <c r="J2221" s="19">
        <f>IFERROR(__xludf.DUMMYFUNCTION("""COMPUTED_VALUE"""),0.04488)</f>
        <v>0.04488</v>
      </c>
      <c r="K2221" s="19" t="str">
        <f>IFERROR(__xludf.DUMMYFUNCTION("""COMPUTED_VALUE"""),"-")</f>
        <v>-</v>
      </c>
      <c r="L2221" s="19" t="str">
        <f>IFERROR(__xludf.DUMMYFUNCTION("""COMPUTED_VALUE"""),"-")</f>
        <v>-</v>
      </c>
      <c r="O2221" s="24">
        <f t="shared" si="4"/>
        <v>0</v>
      </c>
      <c r="P2221" s="24"/>
      <c r="Q2221" s="24">
        <f t="shared" si="6"/>
        <v>0</v>
      </c>
      <c r="R2221" s="24">
        <f t="shared" si="7"/>
        <v>1</v>
      </c>
      <c r="S2221" s="24"/>
      <c r="T2221" s="24"/>
    </row>
    <row r="2222">
      <c r="A2222" s="12" t="s">
        <v>2310</v>
      </c>
      <c r="F2222" s="19">
        <f>IFERROR(__xludf.DUMMYFUNCTION("SPLIT(A2218, "" |"")"),2216.0)</f>
        <v>2216</v>
      </c>
      <c r="G2222" s="19">
        <f>IFERROR(__xludf.DUMMYFUNCTION("""COMPUTED_VALUE"""),0.00239)</f>
        <v>0.00239</v>
      </c>
      <c r="H2222" s="19" t="str">
        <f>IFERROR(__xludf.DUMMYFUNCTION("""COMPUTED_VALUE"""),"-")</f>
        <v>-</v>
      </c>
      <c r="I2222" s="19">
        <f>IFERROR(__xludf.DUMMYFUNCTION("""COMPUTED_VALUE"""),0.00229)</f>
        <v>0.00229</v>
      </c>
      <c r="J2222" s="19">
        <f>IFERROR(__xludf.DUMMYFUNCTION("""COMPUTED_VALUE"""),0.04184)</f>
        <v>0.04184</v>
      </c>
      <c r="K2222" s="19" t="str">
        <f>IFERROR(__xludf.DUMMYFUNCTION("""COMPUTED_VALUE"""),"-")</f>
        <v>-</v>
      </c>
      <c r="L2222" s="19" t="str">
        <f>IFERROR(__xludf.DUMMYFUNCTION("""COMPUTED_VALUE"""),"-")</f>
        <v>-</v>
      </c>
      <c r="O2222" s="24">
        <f t="shared" si="4"/>
        <v>0</v>
      </c>
      <c r="P2222" s="24"/>
      <c r="Q2222" s="24">
        <f t="shared" si="6"/>
        <v>0</v>
      </c>
      <c r="R2222" s="24">
        <f t="shared" si="7"/>
        <v>1</v>
      </c>
      <c r="S2222" s="24"/>
      <c r="T2222" s="24"/>
    </row>
    <row r="2223">
      <c r="A2223" s="12" t="s">
        <v>2311</v>
      </c>
      <c r="F2223" s="19">
        <f>IFERROR(__xludf.DUMMYFUNCTION("SPLIT(A2219, "" |"")"),2217.0)</f>
        <v>2217</v>
      </c>
      <c r="G2223" s="19">
        <f>IFERROR(__xludf.DUMMYFUNCTION("""COMPUTED_VALUE"""),0.00235)</f>
        <v>0.00235</v>
      </c>
      <c r="H2223" s="19" t="str">
        <f>IFERROR(__xludf.DUMMYFUNCTION("""COMPUTED_VALUE"""),"-")</f>
        <v>-</v>
      </c>
      <c r="I2223" s="19">
        <f>IFERROR(__xludf.DUMMYFUNCTION("""COMPUTED_VALUE"""),0.00222)</f>
        <v>0.00222</v>
      </c>
      <c r="J2223" s="19">
        <f>IFERROR(__xludf.DUMMYFUNCTION("""COMPUTED_VALUE"""),0.04751)</f>
        <v>0.04751</v>
      </c>
      <c r="K2223" s="19" t="str">
        <f>IFERROR(__xludf.DUMMYFUNCTION("""COMPUTED_VALUE"""),"-")</f>
        <v>-</v>
      </c>
      <c r="L2223" s="19" t="str">
        <f>IFERROR(__xludf.DUMMYFUNCTION("""COMPUTED_VALUE"""),"-")</f>
        <v>-</v>
      </c>
      <c r="O2223" s="24">
        <f t="shared" si="4"/>
        <v>0</v>
      </c>
      <c r="P2223" s="24"/>
      <c r="Q2223" s="24">
        <f t="shared" si="6"/>
        <v>0</v>
      </c>
      <c r="R2223" s="24">
        <f t="shared" si="7"/>
        <v>0</v>
      </c>
      <c r="S2223" s="24"/>
      <c r="T2223" s="24"/>
    </row>
    <row r="2224">
      <c r="A2224" s="12" t="s">
        <v>2312</v>
      </c>
      <c r="F2224" s="19">
        <f>IFERROR(__xludf.DUMMYFUNCTION("SPLIT(A2220, "" |"")"),2218.0)</f>
        <v>2218</v>
      </c>
      <c r="G2224" s="19">
        <f>IFERROR(__xludf.DUMMYFUNCTION("""COMPUTED_VALUE"""),0.00236)</f>
        <v>0.00236</v>
      </c>
      <c r="H2224" s="19" t="str">
        <f>IFERROR(__xludf.DUMMYFUNCTION("""COMPUTED_VALUE"""),"-")</f>
        <v>-</v>
      </c>
      <c r="I2224" s="19">
        <f>IFERROR(__xludf.DUMMYFUNCTION("""COMPUTED_VALUE"""),0.00224)</f>
        <v>0.00224</v>
      </c>
      <c r="J2224" s="19">
        <f>IFERROR(__xludf.DUMMYFUNCTION("""COMPUTED_VALUE"""),0.04747)</f>
        <v>0.04747</v>
      </c>
      <c r="K2224" s="19" t="str">
        <f>IFERROR(__xludf.DUMMYFUNCTION("""COMPUTED_VALUE"""),"-")</f>
        <v>-</v>
      </c>
      <c r="L2224" s="19" t="str">
        <f>IFERROR(__xludf.DUMMYFUNCTION("""COMPUTED_VALUE"""),"-")</f>
        <v>-</v>
      </c>
      <c r="O2224" s="24">
        <f t="shared" si="4"/>
        <v>0</v>
      </c>
      <c r="P2224" s="24"/>
      <c r="Q2224" s="24">
        <f t="shared" si="6"/>
        <v>0</v>
      </c>
      <c r="R2224" s="24">
        <f t="shared" si="7"/>
        <v>0</v>
      </c>
      <c r="S2224" s="24"/>
      <c r="T2224" s="24"/>
    </row>
    <row r="2225">
      <c r="A2225" s="12" t="s">
        <v>2313</v>
      </c>
      <c r="F2225" s="19">
        <f>IFERROR(__xludf.DUMMYFUNCTION("SPLIT(A2221, "" |"")"),2219.0)</f>
        <v>2219</v>
      </c>
      <c r="G2225" s="19">
        <f>IFERROR(__xludf.DUMMYFUNCTION("""COMPUTED_VALUE"""),0.00237)</f>
        <v>0.00237</v>
      </c>
      <c r="H2225" s="19" t="str">
        <f>IFERROR(__xludf.DUMMYFUNCTION("""COMPUTED_VALUE"""),"-")</f>
        <v>-</v>
      </c>
      <c r="I2225" s="19">
        <f>IFERROR(__xludf.DUMMYFUNCTION("""COMPUTED_VALUE"""),0.00228)</f>
        <v>0.00228</v>
      </c>
      <c r="J2225" s="19">
        <f>IFERROR(__xludf.DUMMYFUNCTION("""COMPUTED_VALUE"""),0.04742)</f>
        <v>0.04742</v>
      </c>
      <c r="K2225" s="19" t="str">
        <f>IFERROR(__xludf.DUMMYFUNCTION("""COMPUTED_VALUE"""),"-")</f>
        <v>-</v>
      </c>
      <c r="L2225" s="19" t="str">
        <f>IFERROR(__xludf.DUMMYFUNCTION("""COMPUTED_VALUE"""),"-")</f>
        <v>-</v>
      </c>
      <c r="O2225" s="24">
        <f t="shared" si="4"/>
        <v>0</v>
      </c>
      <c r="P2225" s="24"/>
      <c r="Q2225" s="24">
        <f t="shared" si="6"/>
        <v>0</v>
      </c>
      <c r="R2225" s="24">
        <f t="shared" si="7"/>
        <v>0</v>
      </c>
      <c r="S2225" s="24"/>
      <c r="T2225" s="24"/>
    </row>
    <row r="2226">
      <c r="A2226" s="12" t="s">
        <v>2314</v>
      </c>
      <c r="F2226" s="19">
        <f>IFERROR(__xludf.DUMMYFUNCTION("SPLIT(A2222, "" |"")"),2220.0)</f>
        <v>2220</v>
      </c>
      <c r="G2226" s="19">
        <f>IFERROR(__xludf.DUMMYFUNCTION("""COMPUTED_VALUE"""),0.0024)</f>
        <v>0.0024</v>
      </c>
      <c r="H2226" s="19" t="str">
        <f>IFERROR(__xludf.DUMMYFUNCTION("""COMPUTED_VALUE"""),"-")</f>
        <v>-</v>
      </c>
      <c r="I2226" s="19">
        <f>IFERROR(__xludf.DUMMYFUNCTION("""COMPUTED_VALUE"""),0.00222)</f>
        <v>0.00222</v>
      </c>
      <c r="J2226" s="19">
        <f>IFERROR(__xludf.DUMMYFUNCTION("""COMPUTED_VALUE"""),0.04746)</f>
        <v>0.04746</v>
      </c>
      <c r="K2226" s="19" t="str">
        <f>IFERROR(__xludf.DUMMYFUNCTION("""COMPUTED_VALUE"""),"-")</f>
        <v>-</v>
      </c>
      <c r="L2226" s="19" t="str">
        <f>IFERROR(__xludf.DUMMYFUNCTION("""COMPUTED_VALUE"""),"-")</f>
        <v>-</v>
      </c>
      <c r="O2226" s="24">
        <f t="shared" si="4"/>
        <v>0</v>
      </c>
      <c r="P2226" s="24"/>
      <c r="Q2226" s="24">
        <f t="shared" si="6"/>
        <v>0</v>
      </c>
      <c r="R2226" s="24">
        <f t="shared" si="7"/>
        <v>0</v>
      </c>
      <c r="S2226" s="24"/>
      <c r="T2226" s="24"/>
    </row>
    <row r="2227">
      <c r="A2227" s="12" t="s">
        <v>2315</v>
      </c>
      <c r="F2227" s="19">
        <f>IFERROR(__xludf.DUMMYFUNCTION("SPLIT(A2223, "" |"")"),2221.0)</f>
        <v>2221</v>
      </c>
      <c r="G2227" s="19">
        <f>IFERROR(__xludf.DUMMYFUNCTION("""COMPUTED_VALUE"""),0.00235)</f>
        <v>0.00235</v>
      </c>
      <c r="H2227" s="19" t="str">
        <f>IFERROR(__xludf.DUMMYFUNCTION("""COMPUTED_VALUE"""),"-")</f>
        <v>-</v>
      </c>
      <c r="I2227" s="19">
        <f>IFERROR(__xludf.DUMMYFUNCTION("""COMPUTED_VALUE"""),0.00218)</f>
        <v>0.00218</v>
      </c>
      <c r="J2227" s="19">
        <f>IFERROR(__xludf.DUMMYFUNCTION("""COMPUTED_VALUE"""),0.04739)</f>
        <v>0.04739</v>
      </c>
      <c r="K2227" s="19" t="str">
        <f>IFERROR(__xludf.DUMMYFUNCTION("""COMPUTED_VALUE"""),"-")</f>
        <v>-</v>
      </c>
      <c r="L2227" s="19" t="str">
        <f>IFERROR(__xludf.DUMMYFUNCTION("""COMPUTED_VALUE"""),"-")</f>
        <v>-</v>
      </c>
      <c r="O2227" s="24">
        <f t="shared" si="4"/>
        <v>0</v>
      </c>
      <c r="P2227" s="24"/>
      <c r="Q2227" s="24">
        <f t="shared" si="6"/>
        <v>0</v>
      </c>
      <c r="R2227" s="24">
        <f t="shared" si="7"/>
        <v>0</v>
      </c>
      <c r="S2227" s="24"/>
      <c r="T2227" s="24"/>
    </row>
    <row r="2228">
      <c r="A2228" s="12" t="s">
        <v>2316</v>
      </c>
      <c r="F2228" s="19">
        <f>IFERROR(__xludf.DUMMYFUNCTION("SPLIT(A2224, "" |"")"),2222.0)</f>
        <v>2222</v>
      </c>
      <c r="G2228" s="19">
        <f>IFERROR(__xludf.DUMMYFUNCTION("""COMPUTED_VALUE"""),0.00232)</f>
        <v>0.00232</v>
      </c>
      <c r="H2228" s="19" t="str">
        <f>IFERROR(__xludf.DUMMYFUNCTION("""COMPUTED_VALUE"""),"-")</f>
        <v>-</v>
      </c>
      <c r="I2228" s="19">
        <f>IFERROR(__xludf.DUMMYFUNCTION("""COMPUTED_VALUE"""),0.00223)</f>
        <v>0.00223</v>
      </c>
      <c r="J2228" s="19">
        <f>IFERROR(__xludf.DUMMYFUNCTION("""COMPUTED_VALUE"""),0.04747)</f>
        <v>0.04747</v>
      </c>
      <c r="K2228" s="19" t="str">
        <f>IFERROR(__xludf.DUMMYFUNCTION("""COMPUTED_VALUE"""),"-")</f>
        <v>-</v>
      </c>
      <c r="L2228" s="19" t="str">
        <f>IFERROR(__xludf.DUMMYFUNCTION("""COMPUTED_VALUE"""),"-")</f>
        <v>-</v>
      </c>
      <c r="O2228" s="24">
        <f t="shared" si="4"/>
        <v>0</v>
      </c>
      <c r="P2228" s="24"/>
      <c r="Q2228" s="24">
        <f t="shared" si="6"/>
        <v>0</v>
      </c>
      <c r="R2228" s="24">
        <f t="shared" si="7"/>
        <v>0</v>
      </c>
      <c r="S2228" s="24"/>
      <c r="T2228" s="24"/>
    </row>
    <row r="2229">
      <c r="A2229" s="12" t="s">
        <v>2317</v>
      </c>
      <c r="F2229" s="19">
        <f>IFERROR(__xludf.DUMMYFUNCTION("SPLIT(A2225, "" |"")"),2223.0)</f>
        <v>2223</v>
      </c>
      <c r="G2229" s="19">
        <f>IFERROR(__xludf.DUMMYFUNCTION("""COMPUTED_VALUE"""),0.00239)</f>
        <v>0.00239</v>
      </c>
      <c r="H2229" s="19" t="str">
        <f>IFERROR(__xludf.DUMMYFUNCTION("""COMPUTED_VALUE"""),"-")</f>
        <v>-</v>
      </c>
      <c r="I2229" s="19">
        <f>IFERROR(__xludf.DUMMYFUNCTION("""COMPUTED_VALUE"""),0.00222)</f>
        <v>0.00222</v>
      </c>
      <c r="J2229" s="19">
        <f>IFERROR(__xludf.DUMMYFUNCTION("""COMPUTED_VALUE"""),0.04745)</f>
        <v>0.04745</v>
      </c>
      <c r="K2229" s="19" t="str">
        <f>IFERROR(__xludf.DUMMYFUNCTION("""COMPUTED_VALUE"""),"-")</f>
        <v>-</v>
      </c>
      <c r="L2229" s="19" t="str">
        <f>IFERROR(__xludf.DUMMYFUNCTION("""COMPUTED_VALUE"""),"-")</f>
        <v>-</v>
      </c>
      <c r="O2229" s="24">
        <f t="shared" si="4"/>
        <v>0</v>
      </c>
      <c r="P2229" s="24"/>
      <c r="Q2229" s="24">
        <f t="shared" si="6"/>
        <v>0</v>
      </c>
      <c r="R2229" s="24">
        <f t="shared" si="7"/>
        <v>0</v>
      </c>
      <c r="S2229" s="24"/>
      <c r="T2229" s="24"/>
    </row>
    <row r="2230">
      <c r="A2230" s="12" t="s">
        <v>2318</v>
      </c>
      <c r="F2230" s="19">
        <f>IFERROR(__xludf.DUMMYFUNCTION("SPLIT(A2226, "" |"")"),2224.0)</f>
        <v>2224</v>
      </c>
      <c r="G2230" s="19">
        <f>IFERROR(__xludf.DUMMYFUNCTION("""COMPUTED_VALUE"""),0.00237)</f>
        <v>0.00237</v>
      </c>
      <c r="H2230" s="19" t="str">
        <f>IFERROR(__xludf.DUMMYFUNCTION("""COMPUTED_VALUE"""),"-")</f>
        <v>-</v>
      </c>
      <c r="I2230" s="19">
        <f>IFERROR(__xludf.DUMMYFUNCTION("""COMPUTED_VALUE"""),0.00219)</f>
        <v>0.00219</v>
      </c>
      <c r="J2230" s="19">
        <f>IFERROR(__xludf.DUMMYFUNCTION("""COMPUTED_VALUE"""),0.04744)</f>
        <v>0.04744</v>
      </c>
      <c r="K2230" s="19" t="str">
        <f>IFERROR(__xludf.DUMMYFUNCTION("""COMPUTED_VALUE"""),"-")</f>
        <v>-</v>
      </c>
      <c r="L2230" s="19" t="str">
        <f>IFERROR(__xludf.DUMMYFUNCTION("""COMPUTED_VALUE"""),"-")</f>
        <v>-</v>
      </c>
      <c r="O2230" s="24">
        <f t="shared" si="4"/>
        <v>0</v>
      </c>
      <c r="P2230" s="24"/>
      <c r="Q2230" s="24">
        <f t="shared" si="6"/>
        <v>0</v>
      </c>
      <c r="R2230" s="24">
        <f t="shared" si="7"/>
        <v>0</v>
      </c>
      <c r="S2230" s="24"/>
      <c r="T2230" s="24"/>
    </row>
    <row r="2231">
      <c r="A2231" s="12" t="s">
        <v>2319</v>
      </c>
      <c r="F2231" s="19">
        <f>IFERROR(__xludf.DUMMYFUNCTION("SPLIT(A2227, "" |"")"),2225.0)</f>
        <v>2225</v>
      </c>
      <c r="G2231" s="19">
        <f>IFERROR(__xludf.DUMMYFUNCTION("""COMPUTED_VALUE"""),0.00234)</f>
        <v>0.00234</v>
      </c>
      <c r="H2231" s="19" t="str">
        <f>IFERROR(__xludf.DUMMYFUNCTION("""COMPUTED_VALUE"""),"-")</f>
        <v>-</v>
      </c>
      <c r="I2231" s="19">
        <f>IFERROR(__xludf.DUMMYFUNCTION("""COMPUTED_VALUE"""),0.00221)</f>
        <v>0.00221</v>
      </c>
      <c r="J2231" s="19">
        <f>IFERROR(__xludf.DUMMYFUNCTION("""COMPUTED_VALUE"""),0.04158)</f>
        <v>0.04158</v>
      </c>
      <c r="K2231" s="19" t="str">
        <f>IFERROR(__xludf.DUMMYFUNCTION("""COMPUTED_VALUE"""),"-")</f>
        <v>-</v>
      </c>
      <c r="L2231" s="19" t="str">
        <f>IFERROR(__xludf.DUMMYFUNCTION("""COMPUTED_VALUE"""),"-")</f>
        <v>-</v>
      </c>
      <c r="O2231" s="24">
        <f t="shared" si="4"/>
        <v>0</v>
      </c>
      <c r="P2231" s="24"/>
      <c r="Q2231" s="24">
        <f t="shared" si="6"/>
        <v>0</v>
      </c>
      <c r="R2231" s="24">
        <f t="shared" si="7"/>
        <v>1</v>
      </c>
      <c r="S2231" s="24"/>
      <c r="T2231" s="24"/>
    </row>
    <row r="2232">
      <c r="A2232" s="12" t="s">
        <v>2320</v>
      </c>
      <c r="F2232" s="19">
        <f>IFERROR(__xludf.DUMMYFUNCTION("SPLIT(A2228, "" |"")"),2226.0)</f>
        <v>2226</v>
      </c>
      <c r="G2232" s="19">
        <f>IFERROR(__xludf.DUMMYFUNCTION("""COMPUTED_VALUE"""),0.0023)</f>
        <v>0.0023</v>
      </c>
      <c r="H2232" s="19" t="str">
        <f>IFERROR(__xludf.DUMMYFUNCTION("""COMPUTED_VALUE"""),"-")</f>
        <v>-</v>
      </c>
      <c r="I2232" s="19">
        <f>IFERROR(__xludf.DUMMYFUNCTION("""COMPUTED_VALUE"""),0.00219)</f>
        <v>0.00219</v>
      </c>
      <c r="J2232" s="19">
        <f>IFERROR(__xludf.DUMMYFUNCTION("""COMPUTED_VALUE"""),0.04746)</f>
        <v>0.04746</v>
      </c>
      <c r="K2232" s="19" t="str">
        <f>IFERROR(__xludf.DUMMYFUNCTION("""COMPUTED_VALUE"""),"-")</f>
        <v>-</v>
      </c>
      <c r="L2232" s="19" t="str">
        <f>IFERROR(__xludf.DUMMYFUNCTION("""COMPUTED_VALUE"""),"-")</f>
        <v>-</v>
      </c>
      <c r="O2232" s="24">
        <f t="shared" si="4"/>
        <v>0</v>
      </c>
      <c r="P2232" s="24"/>
      <c r="Q2232" s="24">
        <f t="shared" si="6"/>
        <v>0</v>
      </c>
      <c r="R2232" s="24">
        <f t="shared" si="7"/>
        <v>0</v>
      </c>
      <c r="S2232" s="24"/>
      <c r="T2232" s="24"/>
    </row>
    <row r="2233">
      <c r="A2233" s="12" t="s">
        <v>2321</v>
      </c>
      <c r="F2233" s="19">
        <f>IFERROR(__xludf.DUMMYFUNCTION("SPLIT(A2229, "" |"")"),2227.0)</f>
        <v>2227</v>
      </c>
      <c r="G2233" s="19">
        <f>IFERROR(__xludf.DUMMYFUNCTION("""COMPUTED_VALUE"""),0.00233)</f>
        <v>0.00233</v>
      </c>
      <c r="H2233" s="19" t="str">
        <f>IFERROR(__xludf.DUMMYFUNCTION("""COMPUTED_VALUE"""),"-")</f>
        <v>-</v>
      </c>
      <c r="I2233" s="19">
        <f>IFERROR(__xludf.DUMMYFUNCTION("""COMPUTED_VALUE"""),0.00222)</f>
        <v>0.00222</v>
      </c>
      <c r="J2233" s="19">
        <f>IFERROR(__xludf.DUMMYFUNCTION("""COMPUTED_VALUE"""),0.04072)</f>
        <v>0.04072</v>
      </c>
      <c r="K2233" s="19" t="str">
        <f>IFERROR(__xludf.DUMMYFUNCTION("""COMPUTED_VALUE"""),"-")</f>
        <v>-</v>
      </c>
      <c r="L2233" s="19" t="str">
        <f>IFERROR(__xludf.DUMMYFUNCTION("""COMPUTED_VALUE"""),"-")</f>
        <v>-</v>
      </c>
      <c r="O2233" s="24">
        <f t="shared" si="4"/>
        <v>0</v>
      </c>
      <c r="P2233" s="24"/>
      <c r="Q2233" s="24">
        <f t="shared" si="6"/>
        <v>0</v>
      </c>
      <c r="R2233" s="24">
        <f t="shared" si="7"/>
        <v>1</v>
      </c>
      <c r="S2233" s="24"/>
      <c r="T2233" s="24"/>
    </row>
    <row r="2234">
      <c r="A2234" s="12" t="s">
        <v>2322</v>
      </c>
      <c r="F2234" s="19">
        <f>IFERROR(__xludf.DUMMYFUNCTION("SPLIT(A2230, "" |"")"),2228.0)</f>
        <v>2228</v>
      </c>
      <c r="G2234" s="19">
        <f>IFERROR(__xludf.DUMMYFUNCTION("""COMPUTED_VALUE"""),0.00223)</f>
        <v>0.00223</v>
      </c>
      <c r="H2234" s="19" t="str">
        <f>IFERROR(__xludf.DUMMYFUNCTION("""COMPUTED_VALUE"""),"-")</f>
        <v>-</v>
      </c>
      <c r="I2234" s="19">
        <f>IFERROR(__xludf.DUMMYFUNCTION("""COMPUTED_VALUE"""),0.00208)</f>
        <v>0.00208</v>
      </c>
      <c r="J2234" s="19">
        <f>IFERROR(__xludf.DUMMYFUNCTION("""COMPUTED_VALUE"""),0.04721)</f>
        <v>0.04721</v>
      </c>
      <c r="K2234" s="19" t="str">
        <f>IFERROR(__xludf.DUMMYFUNCTION("""COMPUTED_VALUE"""),"-")</f>
        <v>-</v>
      </c>
      <c r="L2234" s="19" t="str">
        <f>IFERROR(__xludf.DUMMYFUNCTION("""COMPUTED_VALUE"""),"-")</f>
        <v>-</v>
      </c>
      <c r="O2234" s="24">
        <f t="shared" si="4"/>
        <v>0</v>
      </c>
      <c r="P2234" s="24"/>
      <c r="Q2234" s="24">
        <f t="shared" si="6"/>
        <v>0</v>
      </c>
      <c r="R2234" s="24">
        <f t="shared" si="7"/>
        <v>0</v>
      </c>
      <c r="S2234" s="24"/>
      <c r="T2234" s="24"/>
    </row>
    <row r="2235">
      <c r="A2235" s="12" t="s">
        <v>2323</v>
      </c>
      <c r="F2235" s="19">
        <f>IFERROR(__xludf.DUMMYFUNCTION("SPLIT(A2231, "" |"")"),2229.0)</f>
        <v>2229</v>
      </c>
      <c r="G2235" s="19">
        <f>IFERROR(__xludf.DUMMYFUNCTION("""COMPUTED_VALUE"""),0.00228)</f>
        <v>0.00228</v>
      </c>
      <c r="H2235" s="19" t="str">
        <f>IFERROR(__xludf.DUMMYFUNCTION("""COMPUTED_VALUE"""),"-")</f>
        <v>-</v>
      </c>
      <c r="I2235" s="19">
        <f>IFERROR(__xludf.DUMMYFUNCTION("""COMPUTED_VALUE"""),0.00224)</f>
        <v>0.00224</v>
      </c>
      <c r="J2235" s="19">
        <f>IFERROR(__xludf.DUMMYFUNCTION("""COMPUTED_VALUE"""),0.0475)</f>
        <v>0.0475</v>
      </c>
      <c r="K2235" s="19" t="str">
        <f>IFERROR(__xludf.DUMMYFUNCTION("""COMPUTED_VALUE"""),"-")</f>
        <v>-</v>
      </c>
      <c r="L2235" s="19" t="str">
        <f>IFERROR(__xludf.DUMMYFUNCTION("""COMPUTED_VALUE"""),"-")</f>
        <v>-</v>
      </c>
      <c r="O2235" s="24">
        <f t="shared" si="4"/>
        <v>0</v>
      </c>
      <c r="P2235" s="24"/>
      <c r="Q2235" s="24">
        <f t="shared" si="6"/>
        <v>0</v>
      </c>
      <c r="R2235" s="24">
        <f t="shared" si="7"/>
        <v>0</v>
      </c>
      <c r="S2235" s="24"/>
      <c r="T2235" s="24"/>
    </row>
    <row r="2236">
      <c r="A2236" s="12" t="s">
        <v>2324</v>
      </c>
      <c r="F2236" s="19">
        <f>IFERROR(__xludf.DUMMYFUNCTION("SPLIT(A2232, "" |"")"),2230.0)</f>
        <v>2230</v>
      </c>
      <c r="G2236" s="19">
        <f>IFERROR(__xludf.DUMMYFUNCTION("""COMPUTED_VALUE"""),0.00235)</f>
        <v>0.00235</v>
      </c>
      <c r="H2236" s="19" t="str">
        <f>IFERROR(__xludf.DUMMYFUNCTION("""COMPUTED_VALUE"""),"-")</f>
        <v>-</v>
      </c>
      <c r="I2236" s="19">
        <f>IFERROR(__xludf.DUMMYFUNCTION("""COMPUTED_VALUE"""),0.00221)</f>
        <v>0.00221</v>
      </c>
      <c r="J2236" s="19">
        <f>IFERROR(__xludf.DUMMYFUNCTION("""COMPUTED_VALUE"""),0.04741)</f>
        <v>0.04741</v>
      </c>
      <c r="K2236" s="19" t="str">
        <f>IFERROR(__xludf.DUMMYFUNCTION("""COMPUTED_VALUE"""),"-")</f>
        <v>-</v>
      </c>
      <c r="L2236" s="19" t="str">
        <f>IFERROR(__xludf.DUMMYFUNCTION("""COMPUTED_VALUE"""),"-")</f>
        <v>-</v>
      </c>
      <c r="O2236" s="24">
        <f t="shared" si="4"/>
        <v>0</v>
      </c>
      <c r="P2236" s="24"/>
      <c r="Q2236" s="24">
        <f t="shared" si="6"/>
        <v>0</v>
      </c>
      <c r="R2236" s="24">
        <f t="shared" si="7"/>
        <v>0</v>
      </c>
      <c r="S2236" s="24"/>
      <c r="T2236" s="24"/>
    </row>
    <row r="2237">
      <c r="A2237" s="12" t="s">
        <v>2325</v>
      </c>
      <c r="F2237" s="19">
        <f>IFERROR(__xludf.DUMMYFUNCTION("SPLIT(A2233, "" |"")"),2231.0)</f>
        <v>2231</v>
      </c>
      <c r="G2237" s="19">
        <f>IFERROR(__xludf.DUMMYFUNCTION("""COMPUTED_VALUE"""),0.00229)</f>
        <v>0.00229</v>
      </c>
      <c r="H2237" s="19" t="str">
        <f>IFERROR(__xludf.DUMMYFUNCTION("""COMPUTED_VALUE"""),"-")</f>
        <v>-</v>
      </c>
      <c r="I2237" s="19">
        <f>IFERROR(__xludf.DUMMYFUNCTION("""COMPUTED_VALUE"""),0.00223)</f>
        <v>0.00223</v>
      </c>
      <c r="J2237" s="19">
        <f>IFERROR(__xludf.DUMMYFUNCTION("""COMPUTED_VALUE"""),0.04682)</f>
        <v>0.04682</v>
      </c>
      <c r="K2237" s="19" t="str">
        <f>IFERROR(__xludf.DUMMYFUNCTION("""COMPUTED_VALUE"""),"-")</f>
        <v>-</v>
      </c>
      <c r="L2237" s="19" t="str">
        <f>IFERROR(__xludf.DUMMYFUNCTION("""COMPUTED_VALUE"""),"-")</f>
        <v>-</v>
      </c>
      <c r="O2237" s="24">
        <f t="shared" si="4"/>
        <v>0</v>
      </c>
      <c r="P2237" s="24"/>
      <c r="Q2237" s="24">
        <f t="shared" si="6"/>
        <v>0</v>
      </c>
      <c r="R2237" s="24">
        <f t="shared" si="7"/>
        <v>0</v>
      </c>
      <c r="S2237" s="24"/>
      <c r="T2237" s="24"/>
    </row>
    <row r="2238">
      <c r="A2238" s="12" t="s">
        <v>2326</v>
      </c>
      <c r="F2238" s="19">
        <f>IFERROR(__xludf.DUMMYFUNCTION("SPLIT(A2234, "" |"")"),2232.0)</f>
        <v>2232</v>
      </c>
      <c r="G2238" s="19">
        <f>IFERROR(__xludf.DUMMYFUNCTION("""COMPUTED_VALUE"""),0.00242)</f>
        <v>0.00242</v>
      </c>
      <c r="H2238" s="19" t="str">
        <f>IFERROR(__xludf.DUMMYFUNCTION("""COMPUTED_VALUE"""),"-")</f>
        <v>-</v>
      </c>
      <c r="I2238" s="19">
        <f>IFERROR(__xludf.DUMMYFUNCTION("""COMPUTED_VALUE"""),0.00227)</f>
        <v>0.00227</v>
      </c>
      <c r="J2238" s="19">
        <f>IFERROR(__xludf.DUMMYFUNCTION("""COMPUTED_VALUE"""),0.04743)</f>
        <v>0.04743</v>
      </c>
      <c r="K2238" s="19" t="str">
        <f>IFERROR(__xludf.DUMMYFUNCTION("""COMPUTED_VALUE"""),"-")</f>
        <v>-</v>
      </c>
      <c r="L2238" s="19" t="str">
        <f>IFERROR(__xludf.DUMMYFUNCTION("""COMPUTED_VALUE"""),"-")</f>
        <v>-</v>
      </c>
      <c r="O2238" s="24">
        <f t="shared" si="4"/>
        <v>0</v>
      </c>
      <c r="P2238" s="24"/>
      <c r="Q2238" s="24">
        <f t="shared" si="6"/>
        <v>0</v>
      </c>
      <c r="R2238" s="24">
        <f t="shared" si="7"/>
        <v>0</v>
      </c>
      <c r="S2238" s="24"/>
      <c r="T2238" s="24"/>
    </row>
    <row r="2239">
      <c r="A2239" s="12" t="s">
        <v>2327</v>
      </c>
      <c r="F2239" s="19">
        <f>IFERROR(__xludf.DUMMYFUNCTION("SPLIT(A2235, "" |"")"),2233.0)</f>
        <v>2233</v>
      </c>
      <c r="G2239" s="19">
        <f>IFERROR(__xludf.DUMMYFUNCTION("""COMPUTED_VALUE"""),0.00241)</f>
        <v>0.00241</v>
      </c>
      <c r="H2239" s="19" t="str">
        <f>IFERROR(__xludf.DUMMYFUNCTION("""COMPUTED_VALUE"""),"-")</f>
        <v>-</v>
      </c>
      <c r="I2239" s="19">
        <f>IFERROR(__xludf.DUMMYFUNCTION("""COMPUTED_VALUE"""),0.00221)</f>
        <v>0.00221</v>
      </c>
      <c r="J2239" s="19">
        <f>IFERROR(__xludf.DUMMYFUNCTION("""COMPUTED_VALUE"""),0.04739)</f>
        <v>0.04739</v>
      </c>
      <c r="K2239" s="19" t="str">
        <f>IFERROR(__xludf.DUMMYFUNCTION("""COMPUTED_VALUE"""),"-")</f>
        <v>-</v>
      </c>
      <c r="L2239" s="19" t="str">
        <f>IFERROR(__xludf.DUMMYFUNCTION("""COMPUTED_VALUE"""),"-")</f>
        <v>-</v>
      </c>
      <c r="O2239" s="24">
        <f t="shared" si="4"/>
        <v>0</v>
      </c>
      <c r="P2239" s="24"/>
      <c r="Q2239" s="24">
        <f t="shared" si="6"/>
        <v>0</v>
      </c>
      <c r="R2239" s="24">
        <f t="shared" si="7"/>
        <v>0</v>
      </c>
      <c r="S2239" s="24"/>
      <c r="T2239" s="24"/>
    </row>
    <row r="2240">
      <c r="A2240" s="12" t="s">
        <v>2328</v>
      </c>
      <c r="F2240" s="19">
        <f>IFERROR(__xludf.DUMMYFUNCTION("SPLIT(A2236, "" |"")"),2234.0)</f>
        <v>2234</v>
      </c>
      <c r="G2240" s="19">
        <f>IFERROR(__xludf.DUMMYFUNCTION("""COMPUTED_VALUE"""),0.00238)</f>
        <v>0.00238</v>
      </c>
      <c r="H2240" s="19" t="str">
        <f>IFERROR(__xludf.DUMMYFUNCTION("""COMPUTED_VALUE"""),"-")</f>
        <v>-</v>
      </c>
      <c r="I2240" s="19">
        <f>IFERROR(__xludf.DUMMYFUNCTION("""COMPUTED_VALUE"""),0.00221)</f>
        <v>0.00221</v>
      </c>
      <c r="J2240" s="19">
        <f>IFERROR(__xludf.DUMMYFUNCTION("""COMPUTED_VALUE"""),0.04744)</f>
        <v>0.04744</v>
      </c>
      <c r="K2240" s="19" t="str">
        <f>IFERROR(__xludf.DUMMYFUNCTION("""COMPUTED_VALUE"""),"-")</f>
        <v>-</v>
      </c>
      <c r="L2240" s="19" t="str">
        <f>IFERROR(__xludf.DUMMYFUNCTION("""COMPUTED_VALUE"""),"-")</f>
        <v>-</v>
      </c>
      <c r="O2240" s="24">
        <f t="shared" si="4"/>
        <v>0</v>
      </c>
      <c r="P2240" s="24"/>
      <c r="Q2240" s="24">
        <f t="shared" si="6"/>
        <v>0</v>
      </c>
      <c r="R2240" s="24">
        <f t="shared" si="7"/>
        <v>0</v>
      </c>
      <c r="S2240" s="24"/>
      <c r="T2240" s="24"/>
    </row>
    <row r="2241">
      <c r="A2241" s="12" t="s">
        <v>2329</v>
      </c>
      <c r="F2241" s="19">
        <f>IFERROR(__xludf.DUMMYFUNCTION("SPLIT(A2237, "" |"")"),2235.0)</f>
        <v>2235</v>
      </c>
      <c r="G2241" s="19">
        <f>IFERROR(__xludf.DUMMYFUNCTION("""COMPUTED_VALUE"""),0.00236)</f>
        <v>0.00236</v>
      </c>
      <c r="H2241" s="19" t="str">
        <f>IFERROR(__xludf.DUMMYFUNCTION("""COMPUTED_VALUE"""),"-")</f>
        <v>-</v>
      </c>
      <c r="I2241" s="19">
        <f>IFERROR(__xludf.DUMMYFUNCTION("""COMPUTED_VALUE"""),0.00221)</f>
        <v>0.00221</v>
      </c>
      <c r="J2241" s="19">
        <f>IFERROR(__xludf.DUMMYFUNCTION("""COMPUTED_VALUE"""),0.04743)</f>
        <v>0.04743</v>
      </c>
      <c r="K2241" s="19" t="str">
        <f>IFERROR(__xludf.DUMMYFUNCTION("""COMPUTED_VALUE"""),"-")</f>
        <v>-</v>
      </c>
      <c r="L2241" s="19" t="str">
        <f>IFERROR(__xludf.DUMMYFUNCTION("""COMPUTED_VALUE"""),"-")</f>
        <v>-</v>
      </c>
      <c r="O2241" s="24">
        <f t="shared" si="4"/>
        <v>0</v>
      </c>
      <c r="P2241" s="24"/>
      <c r="Q2241" s="24">
        <f t="shared" si="6"/>
        <v>0</v>
      </c>
      <c r="R2241" s="24">
        <f t="shared" si="7"/>
        <v>0</v>
      </c>
      <c r="S2241" s="24"/>
      <c r="T2241" s="24"/>
    </row>
    <row r="2242">
      <c r="A2242" s="12" t="s">
        <v>2330</v>
      </c>
      <c r="F2242" s="19">
        <f>IFERROR(__xludf.DUMMYFUNCTION("SPLIT(A2238, "" |"")"),2236.0)</f>
        <v>2236</v>
      </c>
      <c r="G2242" s="19">
        <f>IFERROR(__xludf.DUMMYFUNCTION("""COMPUTED_VALUE"""),0.00239)</f>
        <v>0.00239</v>
      </c>
      <c r="H2242" s="19" t="str">
        <f>IFERROR(__xludf.DUMMYFUNCTION("""COMPUTED_VALUE"""),"-")</f>
        <v>-</v>
      </c>
      <c r="I2242" s="19">
        <f>IFERROR(__xludf.DUMMYFUNCTION("""COMPUTED_VALUE"""),0.00222)</f>
        <v>0.00222</v>
      </c>
      <c r="J2242" s="19">
        <f>IFERROR(__xludf.DUMMYFUNCTION("""COMPUTED_VALUE"""),0.04744)</f>
        <v>0.04744</v>
      </c>
      <c r="K2242" s="19" t="str">
        <f>IFERROR(__xludf.DUMMYFUNCTION("""COMPUTED_VALUE"""),"-")</f>
        <v>-</v>
      </c>
      <c r="L2242" s="19" t="str">
        <f>IFERROR(__xludf.DUMMYFUNCTION("""COMPUTED_VALUE"""),"-")</f>
        <v>-</v>
      </c>
      <c r="O2242" s="24">
        <f t="shared" si="4"/>
        <v>0</v>
      </c>
      <c r="P2242" s="24"/>
      <c r="Q2242" s="24">
        <f t="shared" si="6"/>
        <v>0</v>
      </c>
      <c r="R2242" s="24">
        <f t="shared" si="7"/>
        <v>0</v>
      </c>
      <c r="S2242" s="24"/>
      <c r="T2242" s="24"/>
    </row>
    <row r="2243">
      <c r="A2243" s="12" t="s">
        <v>2331</v>
      </c>
      <c r="F2243" s="19">
        <f>IFERROR(__xludf.DUMMYFUNCTION("SPLIT(A2239, "" |"")"),2237.0)</f>
        <v>2237</v>
      </c>
      <c r="G2243" s="19">
        <f>IFERROR(__xludf.DUMMYFUNCTION("""COMPUTED_VALUE"""),0.00233)</f>
        <v>0.00233</v>
      </c>
      <c r="H2243" s="19" t="str">
        <f>IFERROR(__xludf.DUMMYFUNCTION("""COMPUTED_VALUE"""),"-")</f>
        <v>-</v>
      </c>
      <c r="I2243" s="19">
        <f>IFERROR(__xludf.DUMMYFUNCTION("""COMPUTED_VALUE"""),0.00214)</f>
        <v>0.00214</v>
      </c>
      <c r="J2243" s="19">
        <f>IFERROR(__xludf.DUMMYFUNCTION("""COMPUTED_VALUE"""),0.04766)</f>
        <v>0.04766</v>
      </c>
      <c r="K2243" s="19" t="str">
        <f>IFERROR(__xludf.DUMMYFUNCTION("""COMPUTED_VALUE"""),"-")</f>
        <v>-</v>
      </c>
      <c r="L2243" s="19" t="str">
        <f>IFERROR(__xludf.DUMMYFUNCTION("""COMPUTED_VALUE"""),"-")</f>
        <v>-</v>
      </c>
      <c r="O2243" s="24">
        <f t="shared" si="4"/>
        <v>0</v>
      </c>
      <c r="P2243" s="24"/>
      <c r="Q2243" s="24">
        <f t="shared" si="6"/>
        <v>0</v>
      </c>
      <c r="R2243" s="24">
        <f t="shared" si="7"/>
        <v>0</v>
      </c>
      <c r="S2243" s="24"/>
      <c r="T2243" s="24"/>
    </row>
    <row r="2244">
      <c r="A2244" s="12" t="s">
        <v>2332</v>
      </c>
      <c r="F2244" s="19">
        <f>IFERROR(__xludf.DUMMYFUNCTION("SPLIT(A2240, "" |"")"),2238.0)</f>
        <v>2238</v>
      </c>
      <c r="G2244" s="19">
        <f>IFERROR(__xludf.DUMMYFUNCTION("""COMPUTED_VALUE"""),0.0024)</f>
        <v>0.0024</v>
      </c>
      <c r="H2244" s="19" t="str">
        <f>IFERROR(__xludf.DUMMYFUNCTION("""COMPUTED_VALUE"""),"-")</f>
        <v>-</v>
      </c>
      <c r="I2244" s="19">
        <f>IFERROR(__xludf.DUMMYFUNCTION("""COMPUTED_VALUE"""),0.00221)</f>
        <v>0.00221</v>
      </c>
      <c r="J2244" s="19">
        <f>IFERROR(__xludf.DUMMYFUNCTION("""COMPUTED_VALUE"""),0.04745)</f>
        <v>0.04745</v>
      </c>
      <c r="K2244" s="19" t="str">
        <f>IFERROR(__xludf.DUMMYFUNCTION("""COMPUTED_VALUE"""),"-")</f>
        <v>-</v>
      </c>
      <c r="L2244" s="19" t="str">
        <f>IFERROR(__xludf.DUMMYFUNCTION("""COMPUTED_VALUE"""),"-")</f>
        <v>-</v>
      </c>
      <c r="O2244" s="24">
        <f t="shared" si="4"/>
        <v>0</v>
      </c>
      <c r="P2244" s="24"/>
      <c r="Q2244" s="24">
        <f t="shared" si="6"/>
        <v>0</v>
      </c>
      <c r="R2244" s="24">
        <f t="shared" si="7"/>
        <v>0</v>
      </c>
      <c r="S2244" s="24"/>
      <c r="T2244" s="24"/>
    </row>
    <row r="2245">
      <c r="A2245" s="12" t="s">
        <v>2333</v>
      </c>
      <c r="F2245" s="19">
        <f>IFERROR(__xludf.DUMMYFUNCTION("SPLIT(A2241, "" |"")"),2239.0)</f>
        <v>2239</v>
      </c>
      <c r="G2245" s="19">
        <f>IFERROR(__xludf.DUMMYFUNCTION("""COMPUTED_VALUE"""),0.00235)</f>
        <v>0.00235</v>
      </c>
      <c r="H2245" s="19" t="str">
        <f>IFERROR(__xludf.DUMMYFUNCTION("""COMPUTED_VALUE"""),"-")</f>
        <v>-</v>
      </c>
      <c r="I2245" s="19">
        <f>IFERROR(__xludf.DUMMYFUNCTION("""COMPUTED_VALUE"""),0.00227)</f>
        <v>0.00227</v>
      </c>
      <c r="J2245" s="19">
        <f>IFERROR(__xludf.DUMMYFUNCTION("""COMPUTED_VALUE"""),0.04733)</f>
        <v>0.04733</v>
      </c>
      <c r="K2245" s="19" t="str">
        <f>IFERROR(__xludf.DUMMYFUNCTION("""COMPUTED_VALUE"""),"-")</f>
        <v>-</v>
      </c>
      <c r="L2245" s="19" t="str">
        <f>IFERROR(__xludf.DUMMYFUNCTION("""COMPUTED_VALUE"""),"-")</f>
        <v>-</v>
      </c>
      <c r="O2245" s="24">
        <f t="shared" si="4"/>
        <v>0</v>
      </c>
      <c r="P2245" s="24"/>
      <c r="Q2245" s="24">
        <f t="shared" si="6"/>
        <v>0</v>
      </c>
      <c r="R2245" s="24">
        <f t="shared" si="7"/>
        <v>0</v>
      </c>
      <c r="S2245" s="24"/>
      <c r="T2245" s="24"/>
    </row>
    <row r="2246">
      <c r="A2246" s="12" t="s">
        <v>2334</v>
      </c>
      <c r="F2246" s="19">
        <f>IFERROR(__xludf.DUMMYFUNCTION("SPLIT(A2242, "" |"")"),2240.0)</f>
        <v>2240</v>
      </c>
      <c r="G2246" s="19">
        <f>IFERROR(__xludf.DUMMYFUNCTION("""COMPUTED_VALUE"""),0.00233)</f>
        <v>0.00233</v>
      </c>
      <c r="H2246" s="19" t="str">
        <f>IFERROR(__xludf.DUMMYFUNCTION("""COMPUTED_VALUE"""),"-")</f>
        <v>-</v>
      </c>
      <c r="I2246" s="19">
        <f>IFERROR(__xludf.DUMMYFUNCTION("""COMPUTED_VALUE"""),0.00217)</f>
        <v>0.00217</v>
      </c>
      <c r="J2246" s="19">
        <f>IFERROR(__xludf.DUMMYFUNCTION("""COMPUTED_VALUE"""),0.04742)</f>
        <v>0.04742</v>
      </c>
      <c r="K2246" s="19" t="str">
        <f>IFERROR(__xludf.DUMMYFUNCTION("""COMPUTED_VALUE"""),"-")</f>
        <v>-</v>
      </c>
      <c r="L2246" s="19" t="str">
        <f>IFERROR(__xludf.DUMMYFUNCTION("""COMPUTED_VALUE"""),"-")</f>
        <v>-</v>
      </c>
      <c r="O2246" s="24">
        <f t="shared" si="4"/>
        <v>0</v>
      </c>
      <c r="P2246" s="24"/>
      <c r="Q2246" s="24">
        <f t="shared" si="6"/>
        <v>0</v>
      </c>
      <c r="R2246" s="24">
        <f t="shared" si="7"/>
        <v>0</v>
      </c>
      <c r="S2246" s="24"/>
      <c r="T2246" s="24"/>
    </row>
    <row r="2247">
      <c r="A2247" s="12" t="s">
        <v>2335</v>
      </c>
      <c r="F2247" s="19">
        <f>IFERROR(__xludf.DUMMYFUNCTION("SPLIT(A2243, "" |"")"),2241.0)</f>
        <v>2241</v>
      </c>
      <c r="G2247" s="19">
        <f>IFERROR(__xludf.DUMMYFUNCTION("""COMPUTED_VALUE"""),0.00234)</f>
        <v>0.00234</v>
      </c>
      <c r="H2247" s="19" t="str">
        <f>IFERROR(__xludf.DUMMYFUNCTION("""COMPUTED_VALUE"""),"-")</f>
        <v>-</v>
      </c>
      <c r="I2247" s="19">
        <f>IFERROR(__xludf.DUMMYFUNCTION("""COMPUTED_VALUE"""),0.00224)</f>
        <v>0.00224</v>
      </c>
      <c r="J2247" s="19">
        <f>IFERROR(__xludf.DUMMYFUNCTION("""COMPUTED_VALUE"""),0.04742)</f>
        <v>0.04742</v>
      </c>
      <c r="K2247" s="19" t="str">
        <f>IFERROR(__xludf.DUMMYFUNCTION("""COMPUTED_VALUE"""),"-")</f>
        <v>-</v>
      </c>
      <c r="L2247" s="19" t="str">
        <f>IFERROR(__xludf.DUMMYFUNCTION("""COMPUTED_VALUE"""),"-")</f>
        <v>-</v>
      </c>
      <c r="O2247" s="24">
        <f t="shared" si="4"/>
        <v>0</v>
      </c>
      <c r="P2247" s="24"/>
      <c r="Q2247" s="24">
        <f t="shared" si="6"/>
        <v>0</v>
      </c>
      <c r="R2247" s="24">
        <f t="shared" si="7"/>
        <v>0</v>
      </c>
      <c r="S2247" s="24"/>
      <c r="T2247" s="24"/>
    </row>
    <row r="2248">
      <c r="A2248" s="12" t="s">
        <v>2336</v>
      </c>
      <c r="F2248" s="19">
        <f>IFERROR(__xludf.DUMMYFUNCTION("SPLIT(A2244, "" |"")"),2242.0)</f>
        <v>2242</v>
      </c>
      <c r="G2248" s="19">
        <f>IFERROR(__xludf.DUMMYFUNCTION("""COMPUTED_VALUE"""),0.00233)</f>
        <v>0.00233</v>
      </c>
      <c r="H2248" s="19" t="str">
        <f>IFERROR(__xludf.DUMMYFUNCTION("""COMPUTED_VALUE"""),"-")</f>
        <v>-</v>
      </c>
      <c r="I2248" s="19">
        <f>IFERROR(__xludf.DUMMYFUNCTION("""COMPUTED_VALUE"""),0.00219)</f>
        <v>0.00219</v>
      </c>
      <c r="J2248" s="19">
        <f>IFERROR(__xludf.DUMMYFUNCTION("""COMPUTED_VALUE"""),0.04738)</f>
        <v>0.04738</v>
      </c>
      <c r="K2248" s="19" t="str">
        <f>IFERROR(__xludf.DUMMYFUNCTION("""COMPUTED_VALUE"""),"-")</f>
        <v>-</v>
      </c>
      <c r="L2248" s="19" t="str">
        <f>IFERROR(__xludf.DUMMYFUNCTION("""COMPUTED_VALUE"""),"-")</f>
        <v>-</v>
      </c>
      <c r="O2248" s="24">
        <f t="shared" si="4"/>
        <v>0</v>
      </c>
      <c r="P2248" s="24"/>
      <c r="Q2248" s="24">
        <f t="shared" si="6"/>
        <v>0</v>
      </c>
      <c r="R2248" s="24">
        <f t="shared" si="7"/>
        <v>0</v>
      </c>
      <c r="S2248" s="24"/>
      <c r="T2248" s="24"/>
    </row>
    <row r="2249">
      <c r="A2249" s="12" t="s">
        <v>2337</v>
      </c>
      <c r="F2249" s="19">
        <f>IFERROR(__xludf.DUMMYFUNCTION("SPLIT(A2245, "" |"")"),2243.0)</f>
        <v>2243</v>
      </c>
      <c r="G2249" s="19">
        <f>IFERROR(__xludf.DUMMYFUNCTION("""COMPUTED_VALUE"""),0.00237)</f>
        <v>0.00237</v>
      </c>
      <c r="H2249" s="19" t="str">
        <f>IFERROR(__xludf.DUMMYFUNCTION("""COMPUTED_VALUE"""),"-")</f>
        <v>-</v>
      </c>
      <c r="I2249" s="19">
        <f>IFERROR(__xludf.DUMMYFUNCTION("""COMPUTED_VALUE"""),0.00226)</f>
        <v>0.00226</v>
      </c>
      <c r="J2249" s="19">
        <f>IFERROR(__xludf.DUMMYFUNCTION("""COMPUTED_VALUE"""),0.04734)</f>
        <v>0.04734</v>
      </c>
      <c r="K2249" s="19" t="str">
        <f>IFERROR(__xludf.DUMMYFUNCTION("""COMPUTED_VALUE"""),"-")</f>
        <v>-</v>
      </c>
      <c r="L2249" s="19" t="str">
        <f>IFERROR(__xludf.DUMMYFUNCTION("""COMPUTED_VALUE"""),"-")</f>
        <v>-</v>
      </c>
      <c r="O2249" s="24">
        <f t="shared" si="4"/>
        <v>0</v>
      </c>
      <c r="P2249" s="24"/>
      <c r="Q2249" s="24">
        <f t="shared" si="6"/>
        <v>0</v>
      </c>
      <c r="R2249" s="24">
        <f t="shared" si="7"/>
        <v>0</v>
      </c>
      <c r="S2249" s="24"/>
      <c r="T2249" s="24"/>
    </row>
    <row r="2250">
      <c r="A2250" s="12" t="s">
        <v>2338</v>
      </c>
      <c r="F2250" s="19">
        <f>IFERROR(__xludf.DUMMYFUNCTION("SPLIT(A2246, "" |"")"),2244.0)</f>
        <v>2244</v>
      </c>
      <c r="G2250" s="19">
        <f>IFERROR(__xludf.DUMMYFUNCTION("""COMPUTED_VALUE"""),0.00236)</f>
        <v>0.00236</v>
      </c>
      <c r="H2250" s="19" t="str">
        <f>IFERROR(__xludf.DUMMYFUNCTION("""COMPUTED_VALUE"""),"-")</f>
        <v>-</v>
      </c>
      <c r="I2250" s="19">
        <f>IFERROR(__xludf.DUMMYFUNCTION("""COMPUTED_VALUE"""),0.0022)</f>
        <v>0.0022</v>
      </c>
      <c r="J2250" s="19">
        <f>IFERROR(__xludf.DUMMYFUNCTION("""COMPUTED_VALUE"""),0.04732)</f>
        <v>0.04732</v>
      </c>
      <c r="K2250" s="19" t="str">
        <f>IFERROR(__xludf.DUMMYFUNCTION("""COMPUTED_VALUE"""),"-")</f>
        <v>-</v>
      </c>
      <c r="L2250" s="19" t="str">
        <f>IFERROR(__xludf.DUMMYFUNCTION("""COMPUTED_VALUE"""),"-")</f>
        <v>-</v>
      </c>
      <c r="O2250" s="24">
        <f t="shared" si="4"/>
        <v>0</v>
      </c>
      <c r="P2250" s="24"/>
      <c r="Q2250" s="24">
        <f t="shared" si="6"/>
        <v>0</v>
      </c>
      <c r="R2250" s="24">
        <f t="shared" si="7"/>
        <v>0</v>
      </c>
      <c r="S2250" s="24"/>
      <c r="T2250" s="24"/>
    </row>
    <row r="2251">
      <c r="A2251" s="12" t="s">
        <v>2339</v>
      </c>
      <c r="F2251" s="19">
        <f>IFERROR(__xludf.DUMMYFUNCTION("SPLIT(A2247, "" |"")"),2245.0)</f>
        <v>2245</v>
      </c>
      <c r="G2251" s="19">
        <f>IFERROR(__xludf.DUMMYFUNCTION("""COMPUTED_VALUE"""),0.0024)</f>
        <v>0.0024</v>
      </c>
      <c r="H2251" s="19" t="str">
        <f>IFERROR(__xludf.DUMMYFUNCTION("""COMPUTED_VALUE"""),"-")</f>
        <v>-</v>
      </c>
      <c r="I2251" s="19">
        <f>IFERROR(__xludf.DUMMYFUNCTION("""COMPUTED_VALUE"""),0.00222)</f>
        <v>0.00222</v>
      </c>
      <c r="J2251" s="19">
        <f>IFERROR(__xludf.DUMMYFUNCTION("""COMPUTED_VALUE"""),0.04741)</f>
        <v>0.04741</v>
      </c>
      <c r="K2251" s="19" t="str">
        <f>IFERROR(__xludf.DUMMYFUNCTION("""COMPUTED_VALUE"""),"-")</f>
        <v>-</v>
      </c>
      <c r="L2251" s="19" t="str">
        <f>IFERROR(__xludf.DUMMYFUNCTION("""COMPUTED_VALUE"""),"-")</f>
        <v>-</v>
      </c>
      <c r="O2251" s="24">
        <f t="shared" si="4"/>
        <v>0</v>
      </c>
      <c r="P2251" s="24"/>
      <c r="Q2251" s="24">
        <f t="shared" si="6"/>
        <v>0</v>
      </c>
      <c r="R2251" s="24">
        <f t="shared" si="7"/>
        <v>0</v>
      </c>
      <c r="S2251" s="24"/>
      <c r="T2251" s="24"/>
    </row>
    <row r="2252">
      <c r="A2252" s="12" t="s">
        <v>2340</v>
      </c>
      <c r="F2252" s="19">
        <f>IFERROR(__xludf.DUMMYFUNCTION("SPLIT(A2248, "" |"")"),2246.0)</f>
        <v>2246</v>
      </c>
      <c r="G2252" s="19">
        <f>IFERROR(__xludf.DUMMYFUNCTION("""COMPUTED_VALUE"""),0.00237)</f>
        <v>0.00237</v>
      </c>
      <c r="H2252" s="19" t="str">
        <f>IFERROR(__xludf.DUMMYFUNCTION("""COMPUTED_VALUE"""),"-")</f>
        <v>-</v>
      </c>
      <c r="I2252" s="19">
        <f>IFERROR(__xludf.DUMMYFUNCTION("""COMPUTED_VALUE"""),0.00228)</f>
        <v>0.00228</v>
      </c>
      <c r="J2252" s="19">
        <f>IFERROR(__xludf.DUMMYFUNCTION("""COMPUTED_VALUE"""),0.0414)</f>
        <v>0.0414</v>
      </c>
      <c r="K2252" s="19" t="str">
        <f>IFERROR(__xludf.DUMMYFUNCTION("""COMPUTED_VALUE"""),"-")</f>
        <v>-</v>
      </c>
      <c r="L2252" s="19" t="str">
        <f>IFERROR(__xludf.DUMMYFUNCTION("""COMPUTED_VALUE"""),"-")</f>
        <v>-</v>
      </c>
      <c r="O2252" s="24">
        <f t="shared" si="4"/>
        <v>0</v>
      </c>
      <c r="P2252" s="24"/>
      <c r="Q2252" s="24">
        <f t="shared" si="6"/>
        <v>0</v>
      </c>
      <c r="R2252" s="24">
        <f t="shared" si="7"/>
        <v>1</v>
      </c>
      <c r="S2252" s="24"/>
      <c r="T2252" s="24"/>
    </row>
    <row r="2253">
      <c r="A2253" s="12" t="s">
        <v>2341</v>
      </c>
      <c r="F2253" s="19">
        <f>IFERROR(__xludf.DUMMYFUNCTION("SPLIT(A2249, "" |"")"),2247.0)</f>
        <v>2247</v>
      </c>
      <c r="G2253" s="19">
        <f>IFERROR(__xludf.DUMMYFUNCTION("""COMPUTED_VALUE"""),0.0024)</f>
        <v>0.0024</v>
      </c>
      <c r="H2253" s="19" t="str">
        <f>IFERROR(__xludf.DUMMYFUNCTION("""COMPUTED_VALUE"""),"-")</f>
        <v>-</v>
      </c>
      <c r="I2253" s="19">
        <f>IFERROR(__xludf.DUMMYFUNCTION("""COMPUTED_VALUE"""),0.00221)</f>
        <v>0.00221</v>
      </c>
      <c r="J2253" s="19">
        <f>IFERROR(__xludf.DUMMYFUNCTION("""COMPUTED_VALUE"""),0.04737)</f>
        <v>0.04737</v>
      </c>
      <c r="K2253" s="19" t="str">
        <f>IFERROR(__xludf.DUMMYFUNCTION("""COMPUTED_VALUE"""),"-")</f>
        <v>-</v>
      </c>
      <c r="L2253" s="19" t="str">
        <f>IFERROR(__xludf.DUMMYFUNCTION("""COMPUTED_VALUE"""),"-")</f>
        <v>-</v>
      </c>
      <c r="O2253" s="24">
        <f t="shared" si="4"/>
        <v>0</v>
      </c>
      <c r="P2253" s="24"/>
      <c r="Q2253" s="24">
        <f t="shared" si="6"/>
        <v>0</v>
      </c>
      <c r="R2253" s="24">
        <f t="shared" si="7"/>
        <v>0</v>
      </c>
      <c r="S2253" s="24"/>
      <c r="T2253" s="24"/>
    </row>
    <row r="2254">
      <c r="A2254" s="12" t="s">
        <v>2342</v>
      </c>
      <c r="F2254" s="19">
        <f>IFERROR(__xludf.DUMMYFUNCTION("SPLIT(A2250, "" |"")"),2248.0)</f>
        <v>2248</v>
      </c>
      <c r="G2254" s="19">
        <f>IFERROR(__xludf.DUMMYFUNCTION("""COMPUTED_VALUE"""),0.00245)</f>
        <v>0.00245</v>
      </c>
      <c r="H2254" s="19" t="str">
        <f>IFERROR(__xludf.DUMMYFUNCTION("""COMPUTED_VALUE"""),"-")</f>
        <v>-</v>
      </c>
      <c r="I2254" s="19">
        <f>IFERROR(__xludf.DUMMYFUNCTION("""COMPUTED_VALUE"""),0.00218)</f>
        <v>0.00218</v>
      </c>
      <c r="J2254" s="19">
        <f>IFERROR(__xludf.DUMMYFUNCTION("""COMPUTED_VALUE"""),0.04746)</f>
        <v>0.04746</v>
      </c>
      <c r="K2254" s="19" t="str">
        <f>IFERROR(__xludf.DUMMYFUNCTION("""COMPUTED_VALUE"""),"-")</f>
        <v>-</v>
      </c>
      <c r="L2254" s="19" t="str">
        <f>IFERROR(__xludf.DUMMYFUNCTION("""COMPUTED_VALUE"""),"-")</f>
        <v>-</v>
      </c>
      <c r="O2254" s="24">
        <f t="shared" si="4"/>
        <v>0</v>
      </c>
      <c r="P2254" s="24"/>
      <c r="Q2254" s="24">
        <f t="shared" si="6"/>
        <v>0</v>
      </c>
      <c r="R2254" s="24">
        <f t="shared" si="7"/>
        <v>0</v>
      </c>
      <c r="S2254" s="24"/>
      <c r="T2254" s="24"/>
    </row>
    <row r="2255">
      <c r="A2255" s="12" t="s">
        <v>2343</v>
      </c>
      <c r="F2255" s="19">
        <f>IFERROR(__xludf.DUMMYFUNCTION("SPLIT(A2251, "" |"")"),2249.0)</f>
        <v>2249</v>
      </c>
      <c r="G2255" s="19">
        <f>IFERROR(__xludf.DUMMYFUNCTION("""COMPUTED_VALUE"""),0.00229)</f>
        <v>0.00229</v>
      </c>
      <c r="H2255" s="19" t="str">
        <f>IFERROR(__xludf.DUMMYFUNCTION("""COMPUTED_VALUE"""),"-")</f>
        <v>-</v>
      </c>
      <c r="I2255" s="19">
        <f>IFERROR(__xludf.DUMMYFUNCTION("""COMPUTED_VALUE"""),0.0022)</f>
        <v>0.0022</v>
      </c>
      <c r="J2255" s="19">
        <f>IFERROR(__xludf.DUMMYFUNCTION("""COMPUTED_VALUE"""),0.04741)</f>
        <v>0.04741</v>
      </c>
      <c r="K2255" s="19" t="str">
        <f>IFERROR(__xludf.DUMMYFUNCTION("""COMPUTED_VALUE"""),"-")</f>
        <v>-</v>
      </c>
      <c r="L2255" s="19" t="str">
        <f>IFERROR(__xludf.DUMMYFUNCTION("""COMPUTED_VALUE"""),"-")</f>
        <v>-</v>
      </c>
      <c r="O2255" s="24">
        <f t="shared" si="4"/>
        <v>0</v>
      </c>
      <c r="P2255" s="24"/>
      <c r="Q2255" s="24">
        <f t="shared" si="6"/>
        <v>0</v>
      </c>
      <c r="R2255" s="24">
        <f t="shared" si="7"/>
        <v>0</v>
      </c>
      <c r="S2255" s="24"/>
      <c r="T2255" s="24"/>
    </row>
    <row r="2256">
      <c r="A2256" s="12" t="s">
        <v>2344</v>
      </c>
      <c r="F2256" s="19">
        <f>IFERROR(__xludf.DUMMYFUNCTION("SPLIT(A2252, "" |"")"),2250.0)</f>
        <v>2250</v>
      </c>
      <c r="G2256" s="19">
        <f>IFERROR(__xludf.DUMMYFUNCTION("""COMPUTED_VALUE"""),0.00233)</f>
        <v>0.00233</v>
      </c>
      <c r="H2256" s="19" t="str">
        <f>IFERROR(__xludf.DUMMYFUNCTION("""COMPUTED_VALUE"""),"-")</f>
        <v>-</v>
      </c>
      <c r="I2256" s="19">
        <f>IFERROR(__xludf.DUMMYFUNCTION("""COMPUTED_VALUE"""),0.00221)</f>
        <v>0.00221</v>
      </c>
      <c r="J2256" s="19">
        <f>IFERROR(__xludf.DUMMYFUNCTION("""COMPUTED_VALUE"""),0.04742)</f>
        <v>0.04742</v>
      </c>
      <c r="K2256" s="19" t="str">
        <f>IFERROR(__xludf.DUMMYFUNCTION("""COMPUTED_VALUE"""),"-")</f>
        <v>-</v>
      </c>
      <c r="L2256" s="19" t="str">
        <f>IFERROR(__xludf.DUMMYFUNCTION("""COMPUTED_VALUE"""),"-")</f>
        <v>-</v>
      </c>
      <c r="O2256" s="24">
        <f t="shared" si="4"/>
        <v>0</v>
      </c>
      <c r="P2256" s="24"/>
      <c r="Q2256" s="24">
        <f t="shared" si="6"/>
        <v>0</v>
      </c>
      <c r="R2256" s="24">
        <f t="shared" si="7"/>
        <v>0</v>
      </c>
      <c r="S2256" s="24"/>
      <c r="T2256" s="24"/>
    </row>
    <row r="2257">
      <c r="A2257" s="12" t="s">
        <v>2345</v>
      </c>
      <c r="F2257" s="19">
        <f>IFERROR(__xludf.DUMMYFUNCTION("SPLIT(A2253, "" |"")"),2251.0)</f>
        <v>2251</v>
      </c>
      <c r="G2257" s="19">
        <f>IFERROR(__xludf.DUMMYFUNCTION("""COMPUTED_VALUE"""),0.00237)</f>
        <v>0.00237</v>
      </c>
      <c r="H2257" s="19" t="str">
        <f>IFERROR(__xludf.DUMMYFUNCTION("""COMPUTED_VALUE"""),"-")</f>
        <v>-</v>
      </c>
      <c r="I2257" s="19">
        <f>IFERROR(__xludf.DUMMYFUNCTION("""COMPUTED_VALUE"""),0.00223)</f>
        <v>0.00223</v>
      </c>
      <c r="J2257" s="19">
        <f>IFERROR(__xludf.DUMMYFUNCTION("""COMPUTED_VALUE"""),0.04743)</f>
        <v>0.04743</v>
      </c>
      <c r="K2257" s="19" t="str">
        <f>IFERROR(__xludf.DUMMYFUNCTION("""COMPUTED_VALUE"""),"-")</f>
        <v>-</v>
      </c>
      <c r="L2257" s="19" t="str">
        <f>IFERROR(__xludf.DUMMYFUNCTION("""COMPUTED_VALUE"""),"-")</f>
        <v>-</v>
      </c>
      <c r="O2257" s="24">
        <f t="shared" si="4"/>
        <v>0</v>
      </c>
      <c r="P2257" s="24"/>
      <c r="Q2257" s="24">
        <f t="shared" si="6"/>
        <v>0</v>
      </c>
      <c r="R2257" s="24">
        <f t="shared" si="7"/>
        <v>0</v>
      </c>
      <c r="S2257" s="24"/>
      <c r="T2257" s="24"/>
    </row>
    <row r="2258">
      <c r="A2258" s="12" t="s">
        <v>2346</v>
      </c>
      <c r="F2258" s="19">
        <f>IFERROR(__xludf.DUMMYFUNCTION("SPLIT(A2254, "" |"")"),2252.0)</f>
        <v>2252</v>
      </c>
      <c r="G2258" s="19">
        <f>IFERROR(__xludf.DUMMYFUNCTION("""COMPUTED_VALUE"""),0.00247)</f>
        <v>0.00247</v>
      </c>
      <c r="H2258" s="19" t="str">
        <f>IFERROR(__xludf.DUMMYFUNCTION("""COMPUTED_VALUE"""),"-")</f>
        <v>-</v>
      </c>
      <c r="I2258" s="19">
        <f>IFERROR(__xludf.DUMMYFUNCTION("""COMPUTED_VALUE"""),0.00223)</f>
        <v>0.00223</v>
      </c>
      <c r="J2258" s="19">
        <f>IFERROR(__xludf.DUMMYFUNCTION("""COMPUTED_VALUE"""),0.04744)</f>
        <v>0.04744</v>
      </c>
      <c r="K2258" s="19" t="str">
        <f>IFERROR(__xludf.DUMMYFUNCTION("""COMPUTED_VALUE"""),"-")</f>
        <v>-</v>
      </c>
      <c r="L2258" s="19" t="str">
        <f>IFERROR(__xludf.DUMMYFUNCTION("""COMPUTED_VALUE"""),"-")</f>
        <v>-</v>
      </c>
      <c r="O2258" s="24">
        <f t="shared" si="4"/>
        <v>0</v>
      </c>
      <c r="P2258" s="24"/>
      <c r="Q2258" s="24">
        <f t="shared" si="6"/>
        <v>0</v>
      </c>
      <c r="R2258" s="24">
        <f t="shared" si="7"/>
        <v>0</v>
      </c>
      <c r="S2258" s="24"/>
      <c r="T2258" s="24"/>
    </row>
    <row r="2259">
      <c r="A2259" s="12" t="s">
        <v>2347</v>
      </c>
      <c r="F2259" s="19">
        <f>IFERROR(__xludf.DUMMYFUNCTION("SPLIT(A2255, "" |"")"),2253.0)</f>
        <v>2253</v>
      </c>
      <c r="G2259" s="19">
        <f>IFERROR(__xludf.DUMMYFUNCTION("""COMPUTED_VALUE"""),0.00239)</f>
        <v>0.00239</v>
      </c>
      <c r="H2259" s="19" t="str">
        <f>IFERROR(__xludf.DUMMYFUNCTION("""COMPUTED_VALUE"""),"-")</f>
        <v>-</v>
      </c>
      <c r="I2259" s="19">
        <f>IFERROR(__xludf.DUMMYFUNCTION("""COMPUTED_VALUE"""),0.00225)</f>
        <v>0.00225</v>
      </c>
      <c r="J2259" s="19">
        <f>IFERROR(__xludf.DUMMYFUNCTION("""COMPUTED_VALUE"""),0.04493)</f>
        <v>0.04493</v>
      </c>
      <c r="K2259" s="19" t="str">
        <f>IFERROR(__xludf.DUMMYFUNCTION("""COMPUTED_VALUE"""),"-")</f>
        <v>-</v>
      </c>
      <c r="L2259" s="19" t="str">
        <f>IFERROR(__xludf.DUMMYFUNCTION("""COMPUTED_VALUE"""),"-")</f>
        <v>-</v>
      </c>
      <c r="O2259" s="24">
        <f t="shared" si="4"/>
        <v>0</v>
      </c>
      <c r="P2259" s="24"/>
      <c r="Q2259" s="24">
        <f t="shared" si="6"/>
        <v>0</v>
      </c>
      <c r="R2259" s="24">
        <f t="shared" si="7"/>
        <v>0</v>
      </c>
      <c r="S2259" s="24"/>
      <c r="T2259" s="24"/>
    </row>
    <row r="2260">
      <c r="A2260" s="12" t="s">
        <v>2348</v>
      </c>
      <c r="F2260" s="19">
        <f>IFERROR(__xludf.DUMMYFUNCTION("SPLIT(A2256, "" |"")"),2254.0)</f>
        <v>2254</v>
      </c>
      <c r="G2260" s="19">
        <f>IFERROR(__xludf.DUMMYFUNCTION("""COMPUTED_VALUE"""),0.00239)</f>
        <v>0.00239</v>
      </c>
      <c r="H2260" s="19" t="str">
        <f>IFERROR(__xludf.DUMMYFUNCTION("""COMPUTED_VALUE"""),"-")</f>
        <v>-</v>
      </c>
      <c r="I2260" s="19">
        <f>IFERROR(__xludf.DUMMYFUNCTION("""COMPUTED_VALUE"""),0.0022)</f>
        <v>0.0022</v>
      </c>
      <c r="J2260" s="19">
        <f>IFERROR(__xludf.DUMMYFUNCTION("""COMPUTED_VALUE"""),0.04465)</f>
        <v>0.04465</v>
      </c>
      <c r="K2260" s="19" t="str">
        <f>IFERROR(__xludf.DUMMYFUNCTION("""COMPUTED_VALUE"""),"-")</f>
        <v>-</v>
      </c>
      <c r="L2260" s="19" t="str">
        <f>IFERROR(__xludf.DUMMYFUNCTION("""COMPUTED_VALUE"""),"-")</f>
        <v>-</v>
      </c>
      <c r="O2260" s="24">
        <f t="shared" si="4"/>
        <v>0</v>
      </c>
      <c r="P2260" s="24"/>
      <c r="Q2260" s="24">
        <f t="shared" si="6"/>
        <v>0</v>
      </c>
      <c r="R2260" s="24">
        <f t="shared" si="7"/>
        <v>1</v>
      </c>
      <c r="S2260" s="24"/>
      <c r="T2260" s="24"/>
    </row>
    <row r="2261">
      <c r="A2261" s="12" t="s">
        <v>2349</v>
      </c>
      <c r="F2261" s="19">
        <f>IFERROR(__xludf.DUMMYFUNCTION("SPLIT(A2257, "" |"")"),2255.0)</f>
        <v>2255</v>
      </c>
      <c r="G2261" s="19">
        <f>IFERROR(__xludf.DUMMYFUNCTION("""COMPUTED_VALUE"""),0.00234)</f>
        <v>0.00234</v>
      </c>
      <c r="H2261" s="19" t="str">
        <f>IFERROR(__xludf.DUMMYFUNCTION("""COMPUTED_VALUE"""),"-")</f>
        <v>-</v>
      </c>
      <c r="I2261" s="19">
        <f>IFERROR(__xludf.DUMMYFUNCTION("""COMPUTED_VALUE"""),0.00211)</f>
        <v>0.00211</v>
      </c>
      <c r="J2261" s="19">
        <f>IFERROR(__xludf.DUMMYFUNCTION("""COMPUTED_VALUE"""),0.04731)</f>
        <v>0.04731</v>
      </c>
      <c r="K2261" s="19" t="str">
        <f>IFERROR(__xludf.DUMMYFUNCTION("""COMPUTED_VALUE"""),"-")</f>
        <v>-</v>
      </c>
      <c r="L2261" s="19" t="str">
        <f>IFERROR(__xludf.DUMMYFUNCTION("""COMPUTED_VALUE"""),"-")</f>
        <v>-</v>
      </c>
      <c r="O2261" s="24">
        <f t="shared" si="4"/>
        <v>0</v>
      </c>
      <c r="P2261" s="24"/>
      <c r="Q2261" s="24">
        <f t="shared" si="6"/>
        <v>0</v>
      </c>
      <c r="R2261" s="24">
        <f t="shared" si="7"/>
        <v>0</v>
      </c>
      <c r="S2261" s="24"/>
      <c r="T2261" s="24"/>
    </row>
    <row r="2262">
      <c r="A2262" s="12" t="s">
        <v>2350</v>
      </c>
      <c r="F2262" s="19">
        <f>IFERROR(__xludf.DUMMYFUNCTION("SPLIT(A2258, "" |"")"),2256.0)</f>
        <v>2256</v>
      </c>
      <c r="G2262" s="19">
        <f>IFERROR(__xludf.DUMMYFUNCTION("""COMPUTED_VALUE"""),0.00246)</f>
        <v>0.00246</v>
      </c>
      <c r="H2262" s="19" t="str">
        <f>IFERROR(__xludf.DUMMYFUNCTION("""COMPUTED_VALUE"""),"-")</f>
        <v>-</v>
      </c>
      <c r="I2262" s="19">
        <f>IFERROR(__xludf.DUMMYFUNCTION("""COMPUTED_VALUE"""),0.0022)</f>
        <v>0.0022</v>
      </c>
      <c r="J2262" s="19">
        <f>IFERROR(__xludf.DUMMYFUNCTION("""COMPUTED_VALUE"""),0.04002)</f>
        <v>0.04002</v>
      </c>
      <c r="K2262" s="19" t="str">
        <f>IFERROR(__xludf.DUMMYFUNCTION("""COMPUTED_VALUE"""),"-")</f>
        <v>-</v>
      </c>
      <c r="L2262" s="19" t="str">
        <f>IFERROR(__xludf.DUMMYFUNCTION("""COMPUTED_VALUE"""),"-")</f>
        <v>-</v>
      </c>
      <c r="O2262" s="24">
        <f t="shared" si="4"/>
        <v>0</v>
      </c>
      <c r="P2262" s="24"/>
      <c r="Q2262" s="24">
        <f t="shared" si="6"/>
        <v>0</v>
      </c>
      <c r="R2262" s="24">
        <f t="shared" si="7"/>
        <v>1</v>
      </c>
      <c r="S2262" s="24"/>
      <c r="T2262" s="24"/>
    </row>
    <row r="2263">
      <c r="A2263" s="12" t="s">
        <v>2351</v>
      </c>
      <c r="F2263" s="19">
        <f>IFERROR(__xludf.DUMMYFUNCTION("SPLIT(A2259, "" |"")"),2257.0)</f>
        <v>2257</v>
      </c>
      <c r="G2263" s="19">
        <f>IFERROR(__xludf.DUMMYFUNCTION("""COMPUTED_VALUE"""),0.00225)</f>
        <v>0.00225</v>
      </c>
      <c r="H2263" s="19" t="str">
        <f>IFERROR(__xludf.DUMMYFUNCTION("""COMPUTED_VALUE"""),"-")</f>
        <v>-</v>
      </c>
      <c r="I2263" s="19">
        <f>IFERROR(__xludf.DUMMYFUNCTION("""COMPUTED_VALUE"""),0.00222)</f>
        <v>0.00222</v>
      </c>
      <c r="J2263" s="19">
        <f>IFERROR(__xludf.DUMMYFUNCTION("""COMPUTED_VALUE"""),0.04746)</f>
        <v>0.04746</v>
      </c>
      <c r="K2263" s="19" t="str">
        <f>IFERROR(__xludf.DUMMYFUNCTION("""COMPUTED_VALUE"""),"-")</f>
        <v>-</v>
      </c>
      <c r="L2263" s="19" t="str">
        <f>IFERROR(__xludf.DUMMYFUNCTION("""COMPUTED_VALUE"""),"-")</f>
        <v>-</v>
      </c>
      <c r="O2263" s="24">
        <f t="shared" si="4"/>
        <v>0</v>
      </c>
      <c r="P2263" s="24"/>
      <c r="Q2263" s="24">
        <f t="shared" si="6"/>
        <v>0</v>
      </c>
      <c r="R2263" s="24">
        <f t="shared" si="7"/>
        <v>0</v>
      </c>
      <c r="S2263" s="24"/>
      <c r="T2263" s="24"/>
    </row>
    <row r="2264">
      <c r="A2264" s="12" t="s">
        <v>2352</v>
      </c>
      <c r="F2264" s="19">
        <f>IFERROR(__xludf.DUMMYFUNCTION("SPLIT(A2260, "" |"")"),2258.0)</f>
        <v>2258</v>
      </c>
      <c r="G2264" s="19">
        <f>IFERROR(__xludf.DUMMYFUNCTION("""COMPUTED_VALUE"""),0.00241)</f>
        <v>0.00241</v>
      </c>
      <c r="H2264" s="19" t="str">
        <f>IFERROR(__xludf.DUMMYFUNCTION("""COMPUTED_VALUE"""),"-")</f>
        <v>-</v>
      </c>
      <c r="I2264" s="19">
        <f>IFERROR(__xludf.DUMMYFUNCTION("""COMPUTED_VALUE"""),0.00227)</f>
        <v>0.00227</v>
      </c>
      <c r="J2264" s="19">
        <f>IFERROR(__xludf.DUMMYFUNCTION("""COMPUTED_VALUE"""),0.04749)</f>
        <v>0.04749</v>
      </c>
      <c r="K2264" s="19" t="str">
        <f>IFERROR(__xludf.DUMMYFUNCTION("""COMPUTED_VALUE"""),"-")</f>
        <v>-</v>
      </c>
      <c r="L2264" s="19" t="str">
        <f>IFERROR(__xludf.DUMMYFUNCTION("""COMPUTED_VALUE"""),"-")</f>
        <v>-</v>
      </c>
      <c r="O2264" s="24">
        <f t="shared" si="4"/>
        <v>0</v>
      </c>
      <c r="P2264" s="24"/>
      <c r="Q2264" s="24">
        <f t="shared" si="6"/>
        <v>0</v>
      </c>
      <c r="R2264" s="24">
        <f t="shared" si="7"/>
        <v>0</v>
      </c>
      <c r="S2264" s="24"/>
      <c r="T2264" s="24"/>
    </row>
    <row r="2265">
      <c r="A2265" s="12" t="s">
        <v>2353</v>
      </c>
      <c r="F2265" s="19">
        <f>IFERROR(__xludf.DUMMYFUNCTION("SPLIT(A2261, "" |"")"),2259.0)</f>
        <v>2259</v>
      </c>
      <c r="G2265" s="19">
        <f>IFERROR(__xludf.DUMMYFUNCTION("""COMPUTED_VALUE"""),0.00236)</f>
        <v>0.00236</v>
      </c>
      <c r="H2265" s="19" t="str">
        <f>IFERROR(__xludf.DUMMYFUNCTION("""COMPUTED_VALUE"""),"-")</f>
        <v>-</v>
      </c>
      <c r="I2265" s="19">
        <f>IFERROR(__xludf.DUMMYFUNCTION("""COMPUTED_VALUE"""),0.00223)</f>
        <v>0.00223</v>
      </c>
      <c r="J2265" s="19">
        <f>IFERROR(__xludf.DUMMYFUNCTION("""COMPUTED_VALUE"""),0.04745)</f>
        <v>0.04745</v>
      </c>
      <c r="K2265" s="19" t="str">
        <f>IFERROR(__xludf.DUMMYFUNCTION("""COMPUTED_VALUE"""),"-")</f>
        <v>-</v>
      </c>
      <c r="L2265" s="19" t="str">
        <f>IFERROR(__xludf.DUMMYFUNCTION("""COMPUTED_VALUE"""),"-")</f>
        <v>-</v>
      </c>
      <c r="O2265" s="24">
        <f t="shared" si="4"/>
        <v>0</v>
      </c>
      <c r="P2265" s="24"/>
      <c r="Q2265" s="24">
        <f t="shared" si="6"/>
        <v>0</v>
      </c>
      <c r="R2265" s="24">
        <f t="shared" si="7"/>
        <v>0</v>
      </c>
      <c r="S2265" s="24"/>
      <c r="T2265" s="24"/>
    </row>
    <row r="2266">
      <c r="A2266" s="12" t="s">
        <v>2354</v>
      </c>
      <c r="F2266" s="19">
        <f>IFERROR(__xludf.DUMMYFUNCTION("SPLIT(A2262, "" |"")"),2260.0)</f>
        <v>2260</v>
      </c>
      <c r="G2266" s="19">
        <f>IFERROR(__xludf.DUMMYFUNCTION("""COMPUTED_VALUE"""),0.0024)</f>
        <v>0.0024</v>
      </c>
      <c r="H2266" s="19" t="str">
        <f>IFERROR(__xludf.DUMMYFUNCTION("""COMPUTED_VALUE"""),"-")</f>
        <v>-</v>
      </c>
      <c r="I2266" s="19">
        <f>IFERROR(__xludf.DUMMYFUNCTION("""COMPUTED_VALUE"""),0.00227)</f>
        <v>0.00227</v>
      </c>
      <c r="J2266" s="19">
        <f>IFERROR(__xludf.DUMMYFUNCTION("""COMPUTED_VALUE"""),0.04747)</f>
        <v>0.04747</v>
      </c>
      <c r="K2266" s="19" t="str">
        <f>IFERROR(__xludf.DUMMYFUNCTION("""COMPUTED_VALUE"""),"-")</f>
        <v>-</v>
      </c>
      <c r="L2266" s="19" t="str">
        <f>IFERROR(__xludf.DUMMYFUNCTION("""COMPUTED_VALUE"""),"-")</f>
        <v>-</v>
      </c>
      <c r="O2266" s="24">
        <f t="shared" si="4"/>
        <v>0</v>
      </c>
      <c r="P2266" s="24"/>
      <c r="Q2266" s="24">
        <f t="shared" si="6"/>
        <v>0</v>
      </c>
      <c r="R2266" s="24">
        <f t="shared" si="7"/>
        <v>0</v>
      </c>
      <c r="S2266" s="24"/>
      <c r="T2266" s="24"/>
    </row>
    <row r="2267">
      <c r="A2267" s="12" t="s">
        <v>2355</v>
      </c>
      <c r="F2267" s="19">
        <f>IFERROR(__xludf.DUMMYFUNCTION("SPLIT(A2263, "" |"")"),2261.0)</f>
        <v>2261</v>
      </c>
      <c r="G2267" s="19">
        <f>IFERROR(__xludf.DUMMYFUNCTION("""COMPUTED_VALUE"""),0.00239)</f>
        <v>0.00239</v>
      </c>
      <c r="H2267" s="19" t="str">
        <f>IFERROR(__xludf.DUMMYFUNCTION("""COMPUTED_VALUE"""),"-")</f>
        <v>-</v>
      </c>
      <c r="I2267" s="19">
        <f>IFERROR(__xludf.DUMMYFUNCTION("""COMPUTED_VALUE"""),0.00222)</f>
        <v>0.00222</v>
      </c>
      <c r="J2267" s="19">
        <f>IFERROR(__xludf.DUMMYFUNCTION("""COMPUTED_VALUE"""),0.04488)</f>
        <v>0.04488</v>
      </c>
      <c r="K2267" s="19" t="str">
        <f>IFERROR(__xludf.DUMMYFUNCTION("""COMPUTED_VALUE"""),"-")</f>
        <v>-</v>
      </c>
      <c r="L2267" s="19" t="str">
        <f>IFERROR(__xludf.DUMMYFUNCTION("""COMPUTED_VALUE"""),"-")</f>
        <v>-</v>
      </c>
      <c r="O2267" s="24">
        <f t="shared" si="4"/>
        <v>0</v>
      </c>
      <c r="P2267" s="24"/>
      <c r="Q2267" s="24">
        <f t="shared" si="6"/>
        <v>0</v>
      </c>
      <c r="R2267" s="24">
        <f t="shared" si="7"/>
        <v>1</v>
      </c>
      <c r="S2267" s="24"/>
      <c r="T2267" s="24"/>
    </row>
    <row r="2268">
      <c r="A2268" s="12" t="s">
        <v>2356</v>
      </c>
      <c r="F2268" s="19">
        <f>IFERROR(__xludf.DUMMYFUNCTION("SPLIT(A2264, "" |"")"),2262.0)</f>
        <v>2262</v>
      </c>
      <c r="G2268" s="19">
        <f>IFERROR(__xludf.DUMMYFUNCTION("""COMPUTED_VALUE"""),0.00239)</f>
        <v>0.00239</v>
      </c>
      <c r="H2268" s="19" t="str">
        <f>IFERROR(__xludf.DUMMYFUNCTION("""COMPUTED_VALUE"""),"-")</f>
        <v>-</v>
      </c>
      <c r="I2268" s="19">
        <f>IFERROR(__xludf.DUMMYFUNCTION("""COMPUTED_VALUE"""),0.00219)</f>
        <v>0.00219</v>
      </c>
      <c r="J2268" s="19">
        <f>IFERROR(__xludf.DUMMYFUNCTION("""COMPUTED_VALUE"""),0.04747)</f>
        <v>0.04747</v>
      </c>
      <c r="K2268" s="19" t="str">
        <f>IFERROR(__xludf.DUMMYFUNCTION("""COMPUTED_VALUE"""),"-")</f>
        <v>-</v>
      </c>
      <c r="L2268" s="19" t="str">
        <f>IFERROR(__xludf.DUMMYFUNCTION("""COMPUTED_VALUE"""),"-")</f>
        <v>-</v>
      </c>
      <c r="O2268" s="24">
        <f t="shared" si="4"/>
        <v>0</v>
      </c>
      <c r="P2268" s="24"/>
      <c r="Q2268" s="24">
        <f t="shared" si="6"/>
        <v>0</v>
      </c>
      <c r="R2268" s="24">
        <f t="shared" si="7"/>
        <v>0</v>
      </c>
      <c r="S2268" s="24"/>
      <c r="T2268" s="24"/>
    </row>
    <row r="2269">
      <c r="A2269" s="12" t="s">
        <v>2357</v>
      </c>
      <c r="F2269" s="19">
        <f>IFERROR(__xludf.DUMMYFUNCTION("SPLIT(A2265, "" |"")"),2263.0)</f>
        <v>2263</v>
      </c>
      <c r="G2269" s="19">
        <f>IFERROR(__xludf.DUMMYFUNCTION("""COMPUTED_VALUE"""),0.00239)</f>
        <v>0.00239</v>
      </c>
      <c r="H2269" s="19" t="str">
        <f>IFERROR(__xludf.DUMMYFUNCTION("""COMPUTED_VALUE"""),"-")</f>
        <v>-</v>
      </c>
      <c r="I2269" s="19">
        <f>IFERROR(__xludf.DUMMYFUNCTION("""COMPUTED_VALUE"""),0.00229)</f>
        <v>0.00229</v>
      </c>
      <c r="J2269" s="19">
        <f>IFERROR(__xludf.DUMMYFUNCTION("""COMPUTED_VALUE"""),0.04751)</f>
        <v>0.04751</v>
      </c>
      <c r="K2269" s="19" t="str">
        <f>IFERROR(__xludf.DUMMYFUNCTION("""COMPUTED_VALUE"""),"-")</f>
        <v>-</v>
      </c>
      <c r="L2269" s="19" t="str">
        <f>IFERROR(__xludf.DUMMYFUNCTION("""COMPUTED_VALUE"""),"-")</f>
        <v>-</v>
      </c>
      <c r="O2269" s="24">
        <f t="shared" si="4"/>
        <v>0</v>
      </c>
      <c r="P2269" s="24"/>
      <c r="Q2269" s="24">
        <f t="shared" si="6"/>
        <v>0</v>
      </c>
      <c r="R2269" s="24">
        <f t="shared" si="7"/>
        <v>0</v>
      </c>
      <c r="S2269" s="24"/>
      <c r="T2269" s="24"/>
    </row>
    <row r="2270">
      <c r="A2270" s="12" t="s">
        <v>2358</v>
      </c>
      <c r="F2270" s="19">
        <f>IFERROR(__xludf.DUMMYFUNCTION("SPLIT(A2266, "" |"")"),2264.0)</f>
        <v>2264</v>
      </c>
      <c r="G2270" s="19">
        <f>IFERROR(__xludf.DUMMYFUNCTION("""COMPUTED_VALUE"""),0.00243)</f>
        <v>0.00243</v>
      </c>
      <c r="H2270" s="19" t="str">
        <f>IFERROR(__xludf.DUMMYFUNCTION("""COMPUTED_VALUE"""),"-")</f>
        <v>-</v>
      </c>
      <c r="I2270" s="19">
        <f>IFERROR(__xludf.DUMMYFUNCTION("""COMPUTED_VALUE"""),0.00226)</f>
        <v>0.00226</v>
      </c>
      <c r="J2270" s="19">
        <f>IFERROR(__xludf.DUMMYFUNCTION("""COMPUTED_VALUE"""),0.04569)</f>
        <v>0.04569</v>
      </c>
      <c r="K2270" s="19" t="str">
        <f>IFERROR(__xludf.DUMMYFUNCTION("""COMPUTED_VALUE"""),"-")</f>
        <v>-</v>
      </c>
      <c r="L2270" s="19" t="str">
        <f>IFERROR(__xludf.DUMMYFUNCTION("""COMPUTED_VALUE"""),"-")</f>
        <v>-</v>
      </c>
      <c r="O2270" s="24">
        <f t="shared" si="4"/>
        <v>0</v>
      </c>
      <c r="P2270" s="24"/>
      <c r="Q2270" s="24">
        <f t="shared" si="6"/>
        <v>0</v>
      </c>
      <c r="R2270" s="24">
        <f t="shared" si="7"/>
        <v>0</v>
      </c>
      <c r="S2270" s="24"/>
      <c r="T2270" s="24"/>
    </row>
    <row r="2271">
      <c r="A2271" s="12" t="s">
        <v>2359</v>
      </c>
      <c r="F2271" s="19">
        <f>IFERROR(__xludf.DUMMYFUNCTION("SPLIT(A2267, "" |"")"),2265.0)</f>
        <v>2265</v>
      </c>
      <c r="G2271" s="19">
        <f>IFERROR(__xludf.DUMMYFUNCTION("""COMPUTED_VALUE"""),0.00251)</f>
        <v>0.00251</v>
      </c>
      <c r="H2271" s="19" t="str">
        <f>IFERROR(__xludf.DUMMYFUNCTION("""COMPUTED_VALUE"""),"-")</f>
        <v>-</v>
      </c>
      <c r="I2271" s="19">
        <f>IFERROR(__xludf.DUMMYFUNCTION("""COMPUTED_VALUE"""),0.00246)</f>
        <v>0.00246</v>
      </c>
      <c r="J2271" s="19">
        <f>IFERROR(__xludf.DUMMYFUNCTION("""COMPUTED_VALUE"""),0.04753)</f>
        <v>0.04753</v>
      </c>
      <c r="K2271" s="19" t="str">
        <f>IFERROR(__xludf.DUMMYFUNCTION("""COMPUTED_VALUE"""),"-")</f>
        <v>-</v>
      </c>
      <c r="L2271" s="19" t="str">
        <f>IFERROR(__xludf.DUMMYFUNCTION("""COMPUTED_VALUE"""),"-")</f>
        <v>-</v>
      </c>
      <c r="O2271" s="24">
        <f t="shared" si="4"/>
        <v>0</v>
      </c>
      <c r="P2271" s="24"/>
      <c r="Q2271" s="24">
        <f t="shared" si="6"/>
        <v>0</v>
      </c>
      <c r="R2271" s="24">
        <f t="shared" si="7"/>
        <v>0</v>
      </c>
      <c r="S2271" s="24"/>
      <c r="T2271" s="24"/>
    </row>
    <row r="2272">
      <c r="A2272" s="12" t="s">
        <v>2360</v>
      </c>
      <c r="F2272" s="19">
        <f>IFERROR(__xludf.DUMMYFUNCTION("SPLIT(A2268, "" |"")"),2266.0)</f>
        <v>2266</v>
      </c>
      <c r="G2272" s="19">
        <f>IFERROR(__xludf.DUMMYFUNCTION("""COMPUTED_VALUE"""),0.0024)</f>
        <v>0.0024</v>
      </c>
      <c r="H2272" s="19" t="str">
        <f>IFERROR(__xludf.DUMMYFUNCTION("""COMPUTED_VALUE"""),"-")</f>
        <v>-</v>
      </c>
      <c r="I2272" s="19">
        <f>IFERROR(__xludf.DUMMYFUNCTION("""COMPUTED_VALUE"""),0.00226)</f>
        <v>0.00226</v>
      </c>
      <c r="J2272" s="19">
        <f>IFERROR(__xludf.DUMMYFUNCTION("""COMPUTED_VALUE"""),0.04441)</f>
        <v>0.04441</v>
      </c>
      <c r="K2272" s="19" t="str">
        <f>IFERROR(__xludf.DUMMYFUNCTION("""COMPUTED_VALUE"""),"-")</f>
        <v>-</v>
      </c>
      <c r="L2272" s="19" t="str">
        <f>IFERROR(__xludf.DUMMYFUNCTION("""COMPUTED_VALUE"""),"-")</f>
        <v>-</v>
      </c>
      <c r="O2272" s="24">
        <f t="shared" si="4"/>
        <v>0</v>
      </c>
      <c r="P2272" s="24"/>
      <c r="Q2272" s="24">
        <f t="shared" si="6"/>
        <v>0</v>
      </c>
      <c r="R2272" s="24">
        <f t="shared" si="7"/>
        <v>1</v>
      </c>
      <c r="S2272" s="24"/>
      <c r="T2272" s="24"/>
    </row>
    <row r="2273">
      <c r="A2273" s="12" t="s">
        <v>2361</v>
      </c>
      <c r="F2273" s="19">
        <f>IFERROR(__xludf.DUMMYFUNCTION("SPLIT(A2269, "" |"")"),2267.0)</f>
        <v>2267</v>
      </c>
      <c r="G2273" s="19">
        <f>IFERROR(__xludf.DUMMYFUNCTION("""COMPUTED_VALUE"""),0.00243)</f>
        <v>0.00243</v>
      </c>
      <c r="H2273" s="19" t="str">
        <f>IFERROR(__xludf.DUMMYFUNCTION("""COMPUTED_VALUE"""),"-")</f>
        <v>-</v>
      </c>
      <c r="I2273" s="19">
        <f>IFERROR(__xludf.DUMMYFUNCTION("""COMPUTED_VALUE"""),0.00223)</f>
        <v>0.00223</v>
      </c>
      <c r="J2273" s="19">
        <f>IFERROR(__xludf.DUMMYFUNCTION("""COMPUTED_VALUE"""),0.04743)</f>
        <v>0.04743</v>
      </c>
      <c r="K2273" s="19" t="str">
        <f>IFERROR(__xludf.DUMMYFUNCTION("""COMPUTED_VALUE"""),"-")</f>
        <v>-</v>
      </c>
      <c r="L2273" s="19" t="str">
        <f>IFERROR(__xludf.DUMMYFUNCTION("""COMPUTED_VALUE"""),"-")</f>
        <v>-</v>
      </c>
      <c r="O2273" s="24">
        <f t="shared" si="4"/>
        <v>0</v>
      </c>
      <c r="P2273" s="24"/>
      <c r="Q2273" s="24">
        <f t="shared" si="6"/>
        <v>0</v>
      </c>
      <c r="R2273" s="24">
        <f t="shared" si="7"/>
        <v>0</v>
      </c>
      <c r="S2273" s="24"/>
      <c r="T2273" s="24"/>
    </row>
    <row r="2274">
      <c r="A2274" s="12" t="s">
        <v>2362</v>
      </c>
      <c r="F2274" s="19">
        <f>IFERROR(__xludf.DUMMYFUNCTION("SPLIT(A2270, "" |"")"),2268.0)</f>
        <v>2268</v>
      </c>
      <c r="G2274" s="19">
        <f>IFERROR(__xludf.DUMMYFUNCTION("""COMPUTED_VALUE"""),0.00244)</f>
        <v>0.00244</v>
      </c>
      <c r="H2274" s="19" t="str">
        <f>IFERROR(__xludf.DUMMYFUNCTION("""COMPUTED_VALUE"""),"-")</f>
        <v>-</v>
      </c>
      <c r="I2274" s="19">
        <f>IFERROR(__xludf.DUMMYFUNCTION("""COMPUTED_VALUE"""),0.00229)</f>
        <v>0.00229</v>
      </c>
      <c r="J2274" s="19">
        <f>IFERROR(__xludf.DUMMYFUNCTION("""COMPUTED_VALUE"""),0.04742)</f>
        <v>0.04742</v>
      </c>
      <c r="K2274" s="19" t="str">
        <f>IFERROR(__xludf.DUMMYFUNCTION("""COMPUTED_VALUE"""),"-")</f>
        <v>-</v>
      </c>
      <c r="L2274" s="19" t="str">
        <f>IFERROR(__xludf.DUMMYFUNCTION("""COMPUTED_VALUE"""),"-")</f>
        <v>-</v>
      </c>
      <c r="O2274" s="24">
        <f t="shared" si="4"/>
        <v>0</v>
      </c>
      <c r="P2274" s="24"/>
      <c r="Q2274" s="24">
        <f t="shared" si="6"/>
        <v>0</v>
      </c>
      <c r="R2274" s="24">
        <f t="shared" si="7"/>
        <v>0</v>
      </c>
      <c r="S2274" s="24"/>
      <c r="T2274" s="24"/>
    </row>
    <row r="2275">
      <c r="A2275" s="12" t="s">
        <v>2363</v>
      </c>
      <c r="F2275" s="19">
        <f>IFERROR(__xludf.DUMMYFUNCTION("SPLIT(A2271, "" |"")"),2269.0)</f>
        <v>2269</v>
      </c>
      <c r="G2275" s="19">
        <f>IFERROR(__xludf.DUMMYFUNCTION("""COMPUTED_VALUE"""),0.00237)</f>
        <v>0.00237</v>
      </c>
      <c r="H2275" s="19" t="str">
        <f>IFERROR(__xludf.DUMMYFUNCTION("""COMPUTED_VALUE"""),"-")</f>
        <v>-</v>
      </c>
      <c r="I2275" s="19">
        <f>IFERROR(__xludf.DUMMYFUNCTION("""COMPUTED_VALUE"""),0.00224)</f>
        <v>0.00224</v>
      </c>
      <c r="J2275" s="19">
        <f>IFERROR(__xludf.DUMMYFUNCTION("""COMPUTED_VALUE"""),0.04747)</f>
        <v>0.04747</v>
      </c>
      <c r="K2275" s="19" t="str">
        <f>IFERROR(__xludf.DUMMYFUNCTION("""COMPUTED_VALUE"""),"-")</f>
        <v>-</v>
      </c>
      <c r="L2275" s="19" t="str">
        <f>IFERROR(__xludf.DUMMYFUNCTION("""COMPUTED_VALUE"""),"-")</f>
        <v>-</v>
      </c>
      <c r="O2275" s="24">
        <f t="shared" si="4"/>
        <v>0</v>
      </c>
      <c r="P2275" s="24"/>
      <c r="Q2275" s="24">
        <f t="shared" si="6"/>
        <v>0</v>
      </c>
      <c r="R2275" s="24">
        <f t="shared" si="7"/>
        <v>0</v>
      </c>
      <c r="S2275" s="24"/>
      <c r="T2275" s="24"/>
    </row>
    <row r="2276">
      <c r="A2276" s="12" t="s">
        <v>2364</v>
      </c>
      <c r="F2276" s="19">
        <f>IFERROR(__xludf.DUMMYFUNCTION("SPLIT(A2272, "" |"")"),2270.0)</f>
        <v>2270</v>
      </c>
      <c r="G2276" s="19">
        <f>IFERROR(__xludf.DUMMYFUNCTION("""COMPUTED_VALUE"""),0.00239)</f>
        <v>0.00239</v>
      </c>
      <c r="H2276" s="19" t="str">
        <f>IFERROR(__xludf.DUMMYFUNCTION("""COMPUTED_VALUE"""),"-")</f>
        <v>-</v>
      </c>
      <c r="I2276" s="19">
        <f>IFERROR(__xludf.DUMMYFUNCTION("""COMPUTED_VALUE"""),0.0022)</f>
        <v>0.0022</v>
      </c>
      <c r="J2276" s="19">
        <f>IFERROR(__xludf.DUMMYFUNCTION("""COMPUTED_VALUE"""),0.04756)</f>
        <v>0.04756</v>
      </c>
      <c r="K2276" s="19" t="str">
        <f>IFERROR(__xludf.DUMMYFUNCTION("""COMPUTED_VALUE"""),"-")</f>
        <v>-</v>
      </c>
      <c r="L2276" s="19" t="str">
        <f>IFERROR(__xludf.DUMMYFUNCTION("""COMPUTED_VALUE"""),"-")</f>
        <v>-</v>
      </c>
      <c r="O2276" s="24">
        <f t="shared" si="4"/>
        <v>0</v>
      </c>
      <c r="P2276" s="24"/>
      <c r="Q2276" s="24">
        <f t="shared" si="6"/>
        <v>0</v>
      </c>
      <c r="R2276" s="24">
        <f t="shared" si="7"/>
        <v>0</v>
      </c>
      <c r="S2276" s="24"/>
      <c r="T2276" s="24"/>
    </row>
    <row r="2277">
      <c r="A2277" s="12" t="s">
        <v>2365</v>
      </c>
      <c r="F2277" s="19">
        <f>IFERROR(__xludf.DUMMYFUNCTION("SPLIT(A2273, "" |"")"),2271.0)</f>
        <v>2271</v>
      </c>
      <c r="G2277" s="19">
        <f>IFERROR(__xludf.DUMMYFUNCTION("""COMPUTED_VALUE"""),0.00246)</f>
        <v>0.00246</v>
      </c>
      <c r="H2277" s="19" t="str">
        <f>IFERROR(__xludf.DUMMYFUNCTION("""COMPUTED_VALUE"""),"-")</f>
        <v>-</v>
      </c>
      <c r="I2277" s="19">
        <f>IFERROR(__xludf.DUMMYFUNCTION("""COMPUTED_VALUE"""),0.00224)</f>
        <v>0.00224</v>
      </c>
      <c r="J2277" s="19">
        <f>IFERROR(__xludf.DUMMYFUNCTION("""COMPUTED_VALUE"""),0.04745)</f>
        <v>0.04745</v>
      </c>
      <c r="K2277" s="19" t="str">
        <f>IFERROR(__xludf.DUMMYFUNCTION("""COMPUTED_VALUE"""),"-")</f>
        <v>-</v>
      </c>
      <c r="L2277" s="19" t="str">
        <f>IFERROR(__xludf.DUMMYFUNCTION("""COMPUTED_VALUE"""),"-")</f>
        <v>-</v>
      </c>
      <c r="O2277" s="24">
        <f t="shared" si="4"/>
        <v>0</v>
      </c>
      <c r="P2277" s="24"/>
      <c r="Q2277" s="24">
        <f t="shared" si="6"/>
        <v>0</v>
      </c>
      <c r="R2277" s="24">
        <f t="shared" si="7"/>
        <v>0</v>
      </c>
      <c r="S2277" s="24"/>
      <c r="T2277" s="24"/>
    </row>
    <row r="2278">
      <c r="A2278" s="12" t="s">
        <v>2366</v>
      </c>
      <c r="F2278" s="19">
        <f>IFERROR(__xludf.DUMMYFUNCTION("SPLIT(A2274, "" |"")"),2272.0)</f>
        <v>2272</v>
      </c>
      <c r="G2278" s="19">
        <f>IFERROR(__xludf.DUMMYFUNCTION("""COMPUTED_VALUE"""),0.0025)</f>
        <v>0.0025</v>
      </c>
      <c r="H2278" s="19" t="str">
        <f>IFERROR(__xludf.DUMMYFUNCTION("""COMPUTED_VALUE"""),"-")</f>
        <v>-</v>
      </c>
      <c r="I2278" s="19">
        <f>IFERROR(__xludf.DUMMYFUNCTION("""COMPUTED_VALUE"""),0.0022)</f>
        <v>0.0022</v>
      </c>
      <c r="J2278" s="19">
        <f>IFERROR(__xludf.DUMMYFUNCTION("""COMPUTED_VALUE"""),0.04744)</f>
        <v>0.04744</v>
      </c>
      <c r="K2278" s="19" t="str">
        <f>IFERROR(__xludf.DUMMYFUNCTION("""COMPUTED_VALUE"""),"-")</f>
        <v>-</v>
      </c>
      <c r="L2278" s="19" t="str">
        <f>IFERROR(__xludf.DUMMYFUNCTION("""COMPUTED_VALUE"""),"-")</f>
        <v>-</v>
      </c>
      <c r="O2278" s="24">
        <f t="shared" si="4"/>
        <v>0</v>
      </c>
      <c r="P2278" s="24"/>
      <c r="Q2278" s="24">
        <f t="shared" si="6"/>
        <v>0</v>
      </c>
      <c r="R2278" s="24">
        <f t="shared" si="7"/>
        <v>0</v>
      </c>
      <c r="S2278" s="24"/>
      <c r="T2278" s="24"/>
    </row>
    <row r="2279">
      <c r="A2279" s="12" t="s">
        <v>2367</v>
      </c>
      <c r="F2279" s="19">
        <f>IFERROR(__xludf.DUMMYFUNCTION("SPLIT(A2275, "" |"")"),2273.0)</f>
        <v>2273</v>
      </c>
      <c r="G2279" s="19">
        <f>IFERROR(__xludf.DUMMYFUNCTION("""COMPUTED_VALUE"""),0.0023)</f>
        <v>0.0023</v>
      </c>
      <c r="H2279" s="19" t="str">
        <f>IFERROR(__xludf.DUMMYFUNCTION("""COMPUTED_VALUE"""),"-")</f>
        <v>-</v>
      </c>
      <c r="I2279" s="19">
        <f>IFERROR(__xludf.DUMMYFUNCTION("""COMPUTED_VALUE"""),0.00226)</f>
        <v>0.00226</v>
      </c>
      <c r="J2279" s="19">
        <f>IFERROR(__xludf.DUMMYFUNCTION("""COMPUTED_VALUE"""),0.04746)</f>
        <v>0.04746</v>
      </c>
      <c r="K2279" s="19" t="str">
        <f>IFERROR(__xludf.DUMMYFUNCTION("""COMPUTED_VALUE"""),"-")</f>
        <v>-</v>
      </c>
      <c r="L2279" s="19" t="str">
        <f>IFERROR(__xludf.DUMMYFUNCTION("""COMPUTED_VALUE"""),"-")</f>
        <v>-</v>
      </c>
      <c r="O2279" s="24">
        <f t="shared" si="4"/>
        <v>0</v>
      </c>
      <c r="P2279" s="24"/>
      <c r="Q2279" s="24">
        <f t="shared" si="6"/>
        <v>0</v>
      </c>
      <c r="R2279" s="24">
        <f t="shared" si="7"/>
        <v>0</v>
      </c>
      <c r="S2279" s="24"/>
      <c r="T2279" s="24"/>
    </row>
    <row r="2280">
      <c r="A2280" s="12" t="s">
        <v>2368</v>
      </c>
      <c r="F2280" s="19">
        <f>IFERROR(__xludf.DUMMYFUNCTION("SPLIT(A2276, "" |"")"),2274.0)</f>
        <v>2274</v>
      </c>
      <c r="G2280" s="19">
        <f>IFERROR(__xludf.DUMMYFUNCTION("""COMPUTED_VALUE"""),0.00239)</f>
        <v>0.00239</v>
      </c>
      <c r="H2280" s="19" t="str">
        <f>IFERROR(__xludf.DUMMYFUNCTION("""COMPUTED_VALUE"""),"-")</f>
        <v>-</v>
      </c>
      <c r="I2280" s="19">
        <f>IFERROR(__xludf.DUMMYFUNCTION("""COMPUTED_VALUE"""),0.00228)</f>
        <v>0.00228</v>
      </c>
      <c r="J2280" s="19">
        <f>IFERROR(__xludf.DUMMYFUNCTION("""COMPUTED_VALUE"""),0.04749)</f>
        <v>0.04749</v>
      </c>
      <c r="K2280" s="19" t="str">
        <f>IFERROR(__xludf.DUMMYFUNCTION("""COMPUTED_VALUE"""),"-")</f>
        <v>-</v>
      </c>
      <c r="L2280" s="19" t="str">
        <f>IFERROR(__xludf.DUMMYFUNCTION("""COMPUTED_VALUE"""),"-")</f>
        <v>-</v>
      </c>
      <c r="O2280" s="24">
        <f t="shared" si="4"/>
        <v>0</v>
      </c>
      <c r="P2280" s="24"/>
      <c r="Q2280" s="24">
        <f t="shared" si="6"/>
        <v>0</v>
      </c>
      <c r="R2280" s="24">
        <f t="shared" si="7"/>
        <v>0</v>
      </c>
      <c r="S2280" s="24"/>
      <c r="T2280" s="24"/>
    </row>
    <row r="2281">
      <c r="A2281" s="12" t="s">
        <v>2369</v>
      </c>
      <c r="F2281" s="19">
        <f>IFERROR(__xludf.DUMMYFUNCTION("SPLIT(A2277, "" |"")"),2275.0)</f>
        <v>2275</v>
      </c>
      <c r="G2281" s="19">
        <f>IFERROR(__xludf.DUMMYFUNCTION("""COMPUTED_VALUE"""),0.00236)</f>
        <v>0.00236</v>
      </c>
      <c r="H2281" s="19" t="str">
        <f>IFERROR(__xludf.DUMMYFUNCTION("""COMPUTED_VALUE"""),"-")</f>
        <v>-</v>
      </c>
      <c r="I2281" s="19">
        <f>IFERROR(__xludf.DUMMYFUNCTION("""COMPUTED_VALUE"""),0.0022)</f>
        <v>0.0022</v>
      </c>
      <c r="J2281" s="19">
        <f>IFERROR(__xludf.DUMMYFUNCTION("""COMPUTED_VALUE"""),0.04608)</f>
        <v>0.04608</v>
      </c>
      <c r="K2281" s="19" t="str">
        <f>IFERROR(__xludf.DUMMYFUNCTION("""COMPUTED_VALUE"""),"-")</f>
        <v>-</v>
      </c>
      <c r="L2281" s="19" t="str">
        <f>IFERROR(__xludf.DUMMYFUNCTION("""COMPUTED_VALUE"""),"-")</f>
        <v>-</v>
      </c>
      <c r="O2281" s="24">
        <f t="shared" si="4"/>
        <v>0</v>
      </c>
      <c r="P2281" s="24"/>
      <c r="Q2281" s="24">
        <f t="shared" si="6"/>
        <v>0</v>
      </c>
      <c r="R2281" s="24">
        <f t="shared" si="7"/>
        <v>0</v>
      </c>
      <c r="S2281" s="24"/>
      <c r="T2281" s="24"/>
    </row>
    <row r="2282">
      <c r="A2282" s="12" t="s">
        <v>2370</v>
      </c>
      <c r="F2282" s="19">
        <f>IFERROR(__xludf.DUMMYFUNCTION("SPLIT(A2278, "" |"")"),2276.0)</f>
        <v>2276</v>
      </c>
      <c r="G2282" s="19">
        <f>IFERROR(__xludf.DUMMYFUNCTION("""COMPUTED_VALUE"""),0.00252)</f>
        <v>0.00252</v>
      </c>
      <c r="H2282" s="19" t="str">
        <f>IFERROR(__xludf.DUMMYFUNCTION("""COMPUTED_VALUE"""),"-")</f>
        <v>-</v>
      </c>
      <c r="I2282" s="19">
        <f>IFERROR(__xludf.DUMMYFUNCTION("""COMPUTED_VALUE"""),0.00236)</f>
        <v>0.00236</v>
      </c>
      <c r="J2282" s="19">
        <f>IFERROR(__xludf.DUMMYFUNCTION("""COMPUTED_VALUE"""),0.04729)</f>
        <v>0.04729</v>
      </c>
      <c r="K2282" s="19" t="str">
        <f>IFERROR(__xludf.DUMMYFUNCTION("""COMPUTED_VALUE"""),"-")</f>
        <v>-</v>
      </c>
      <c r="L2282" s="19" t="str">
        <f>IFERROR(__xludf.DUMMYFUNCTION("""COMPUTED_VALUE"""),"-")</f>
        <v>-</v>
      </c>
      <c r="O2282" s="24">
        <f t="shared" si="4"/>
        <v>0</v>
      </c>
      <c r="P2282" s="24"/>
      <c r="Q2282" s="24">
        <f t="shared" si="6"/>
        <v>0</v>
      </c>
      <c r="R2282" s="24">
        <f t="shared" si="7"/>
        <v>0</v>
      </c>
      <c r="S2282" s="24"/>
      <c r="T2282" s="24"/>
    </row>
    <row r="2283">
      <c r="A2283" s="12" t="s">
        <v>2371</v>
      </c>
      <c r="F2283" s="19">
        <f>IFERROR(__xludf.DUMMYFUNCTION("SPLIT(A2279, "" |"")"),2277.0)</f>
        <v>2277</v>
      </c>
      <c r="G2283" s="19">
        <f>IFERROR(__xludf.DUMMYFUNCTION("""COMPUTED_VALUE"""),0.00238)</f>
        <v>0.00238</v>
      </c>
      <c r="H2283" s="19" t="str">
        <f>IFERROR(__xludf.DUMMYFUNCTION("""COMPUTED_VALUE"""),"-")</f>
        <v>-</v>
      </c>
      <c r="I2283" s="19">
        <f>IFERROR(__xludf.DUMMYFUNCTION("""COMPUTED_VALUE"""),0.00219)</f>
        <v>0.00219</v>
      </c>
      <c r="J2283" s="19">
        <f>IFERROR(__xludf.DUMMYFUNCTION("""COMPUTED_VALUE"""),0.0476)</f>
        <v>0.0476</v>
      </c>
      <c r="K2283" s="19" t="str">
        <f>IFERROR(__xludf.DUMMYFUNCTION("""COMPUTED_VALUE"""),"-")</f>
        <v>-</v>
      </c>
      <c r="L2283" s="19" t="str">
        <f>IFERROR(__xludf.DUMMYFUNCTION("""COMPUTED_VALUE"""),"-")</f>
        <v>-</v>
      </c>
      <c r="O2283" s="24">
        <f t="shared" si="4"/>
        <v>0</v>
      </c>
      <c r="P2283" s="24"/>
      <c r="Q2283" s="24">
        <f t="shared" si="6"/>
        <v>0</v>
      </c>
      <c r="R2283" s="24">
        <f t="shared" si="7"/>
        <v>0</v>
      </c>
      <c r="S2283" s="24"/>
      <c r="T2283" s="24"/>
    </row>
    <row r="2284">
      <c r="A2284" s="12" t="s">
        <v>2372</v>
      </c>
      <c r="F2284" s="19">
        <f>IFERROR(__xludf.DUMMYFUNCTION("SPLIT(A2280, "" |"")"),2278.0)</f>
        <v>2278</v>
      </c>
      <c r="G2284" s="19">
        <f>IFERROR(__xludf.DUMMYFUNCTION("""COMPUTED_VALUE"""),0.00244)</f>
        <v>0.00244</v>
      </c>
      <c r="H2284" s="19" t="str">
        <f>IFERROR(__xludf.DUMMYFUNCTION("""COMPUTED_VALUE"""),"-")</f>
        <v>-</v>
      </c>
      <c r="I2284" s="19">
        <f>IFERROR(__xludf.DUMMYFUNCTION("""COMPUTED_VALUE"""),0.00221)</f>
        <v>0.00221</v>
      </c>
      <c r="J2284" s="19">
        <f>IFERROR(__xludf.DUMMYFUNCTION("""COMPUTED_VALUE"""),0.0474)</f>
        <v>0.0474</v>
      </c>
      <c r="K2284" s="19" t="str">
        <f>IFERROR(__xludf.DUMMYFUNCTION("""COMPUTED_VALUE"""),"-")</f>
        <v>-</v>
      </c>
      <c r="L2284" s="19" t="str">
        <f>IFERROR(__xludf.DUMMYFUNCTION("""COMPUTED_VALUE"""),"-")</f>
        <v>-</v>
      </c>
      <c r="O2284" s="24">
        <f t="shared" si="4"/>
        <v>0</v>
      </c>
      <c r="P2284" s="24"/>
      <c r="Q2284" s="24">
        <f t="shared" si="6"/>
        <v>0</v>
      </c>
      <c r="R2284" s="24">
        <f t="shared" si="7"/>
        <v>0</v>
      </c>
      <c r="S2284" s="24"/>
      <c r="T2284" s="24"/>
    </row>
    <row r="2285">
      <c r="A2285" s="12" t="s">
        <v>2373</v>
      </c>
      <c r="F2285" s="19">
        <f>IFERROR(__xludf.DUMMYFUNCTION("SPLIT(A2281, "" |"")"),2279.0)</f>
        <v>2279</v>
      </c>
      <c r="G2285" s="19">
        <f>IFERROR(__xludf.DUMMYFUNCTION("""COMPUTED_VALUE"""),0.00237)</f>
        <v>0.00237</v>
      </c>
      <c r="H2285" s="19" t="str">
        <f>IFERROR(__xludf.DUMMYFUNCTION("""COMPUTED_VALUE"""),"-")</f>
        <v>-</v>
      </c>
      <c r="I2285" s="19">
        <f>IFERROR(__xludf.DUMMYFUNCTION("""COMPUTED_VALUE"""),0.0022)</f>
        <v>0.0022</v>
      </c>
      <c r="J2285" s="19">
        <f>IFERROR(__xludf.DUMMYFUNCTION("""COMPUTED_VALUE"""),0.04749)</f>
        <v>0.04749</v>
      </c>
      <c r="K2285" s="19" t="str">
        <f>IFERROR(__xludf.DUMMYFUNCTION("""COMPUTED_VALUE"""),"-")</f>
        <v>-</v>
      </c>
      <c r="L2285" s="19" t="str">
        <f>IFERROR(__xludf.DUMMYFUNCTION("""COMPUTED_VALUE"""),"-")</f>
        <v>-</v>
      </c>
      <c r="O2285" s="24">
        <f t="shared" si="4"/>
        <v>0</v>
      </c>
      <c r="P2285" s="24"/>
      <c r="Q2285" s="24">
        <f t="shared" si="6"/>
        <v>0</v>
      </c>
      <c r="R2285" s="24">
        <f t="shared" si="7"/>
        <v>0</v>
      </c>
      <c r="S2285" s="24"/>
      <c r="T2285" s="24"/>
    </row>
    <row r="2286">
      <c r="A2286" s="12" t="s">
        <v>2374</v>
      </c>
      <c r="F2286" s="19">
        <f>IFERROR(__xludf.DUMMYFUNCTION("SPLIT(A2282, "" |"")"),2280.0)</f>
        <v>2280</v>
      </c>
      <c r="G2286" s="19">
        <f>IFERROR(__xludf.DUMMYFUNCTION("""COMPUTED_VALUE"""),0.00236)</f>
        <v>0.00236</v>
      </c>
      <c r="H2286" s="19" t="str">
        <f>IFERROR(__xludf.DUMMYFUNCTION("""COMPUTED_VALUE"""),"-")</f>
        <v>-</v>
      </c>
      <c r="I2286" s="19">
        <f>IFERROR(__xludf.DUMMYFUNCTION("""COMPUTED_VALUE"""),0.00219)</f>
        <v>0.00219</v>
      </c>
      <c r="J2286" s="19">
        <f>IFERROR(__xludf.DUMMYFUNCTION("""COMPUTED_VALUE"""),0.04742)</f>
        <v>0.04742</v>
      </c>
      <c r="K2286" s="19" t="str">
        <f>IFERROR(__xludf.DUMMYFUNCTION("""COMPUTED_VALUE"""),"-")</f>
        <v>-</v>
      </c>
      <c r="L2286" s="19" t="str">
        <f>IFERROR(__xludf.DUMMYFUNCTION("""COMPUTED_VALUE"""),"-")</f>
        <v>-</v>
      </c>
      <c r="O2286" s="24">
        <f t="shared" si="4"/>
        <v>0</v>
      </c>
      <c r="P2286" s="24"/>
      <c r="Q2286" s="24">
        <f t="shared" si="6"/>
        <v>0</v>
      </c>
      <c r="R2286" s="24">
        <f t="shared" si="7"/>
        <v>0</v>
      </c>
      <c r="S2286" s="24"/>
      <c r="T2286" s="24"/>
    </row>
    <row r="2287">
      <c r="A2287" s="12" t="s">
        <v>2375</v>
      </c>
      <c r="F2287" s="19">
        <f>IFERROR(__xludf.DUMMYFUNCTION("SPLIT(A2283, "" |"")"),2281.0)</f>
        <v>2281</v>
      </c>
      <c r="G2287" s="19">
        <f>IFERROR(__xludf.DUMMYFUNCTION("""COMPUTED_VALUE"""),0.00239)</f>
        <v>0.00239</v>
      </c>
      <c r="H2287" s="19" t="str">
        <f>IFERROR(__xludf.DUMMYFUNCTION("""COMPUTED_VALUE"""),"-")</f>
        <v>-</v>
      </c>
      <c r="I2287" s="19">
        <f>IFERROR(__xludf.DUMMYFUNCTION("""COMPUTED_VALUE"""),0.00223)</f>
        <v>0.00223</v>
      </c>
      <c r="J2287" s="19">
        <f>IFERROR(__xludf.DUMMYFUNCTION("""COMPUTED_VALUE"""),0.04549)</f>
        <v>0.04549</v>
      </c>
      <c r="K2287" s="19" t="str">
        <f>IFERROR(__xludf.DUMMYFUNCTION("""COMPUTED_VALUE"""),"-")</f>
        <v>-</v>
      </c>
      <c r="L2287" s="19" t="str">
        <f>IFERROR(__xludf.DUMMYFUNCTION("""COMPUTED_VALUE"""),"-")</f>
        <v>-</v>
      </c>
      <c r="O2287" s="24">
        <f t="shared" si="4"/>
        <v>0</v>
      </c>
      <c r="P2287" s="24"/>
      <c r="Q2287" s="24">
        <f t="shared" si="6"/>
        <v>0</v>
      </c>
      <c r="R2287" s="24">
        <f t="shared" si="7"/>
        <v>0</v>
      </c>
      <c r="S2287" s="24"/>
      <c r="T2287" s="24"/>
    </row>
    <row r="2288">
      <c r="A2288" s="12" t="s">
        <v>2376</v>
      </c>
      <c r="F2288" s="19">
        <f>IFERROR(__xludf.DUMMYFUNCTION("SPLIT(A2284, "" |"")"),2282.0)</f>
        <v>2282</v>
      </c>
      <c r="G2288" s="19">
        <f>IFERROR(__xludf.DUMMYFUNCTION("""COMPUTED_VALUE"""),0.0024)</f>
        <v>0.0024</v>
      </c>
      <c r="H2288" s="19" t="str">
        <f>IFERROR(__xludf.DUMMYFUNCTION("""COMPUTED_VALUE"""),"-")</f>
        <v>-</v>
      </c>
      <c r="I2288" s="19">
        <f>IFERROR(__xludf.DUMMYFUNCTION("""COMPUTED_VALUE"""),0.00223)</f>
        <v>0.00223</v>
      </c>
      <c r="J2288" s="19">
        <f>IFERROR(__xludf.DUMMYFUNCTION("""COMPUTED_VALUE"""),0.04743)</f>
        <v>0.04743</v>
      </c>
      <c r="K2288" s="19" t="str">
        <f>IFERROR(__xludf.DUMMYFUNCTION("""COMPUTED_VALUE"""),"-")</f>
        <v>-</v>
      </c>
      <c r="L2288" s="19" t="str">
        <f>IFERROR(__xludf.DUMMYFUNCTION("""COMPUTED_VALUE"""),"-")</f>
        <v>-</v>
      </c>
      <c r="O2288" s="24">
        <f t="shared" si="4"/>
        <v>0</v>
      </c>
      <c r="P2288" s="24"/>
      <c r="Q2288" s="24">
        <f t="shared" si="6"/>
        <v>0</v>
      </c>
      <c r="R2288" s="24">
        <f t="shared" si="7"/>
        <v>0</v>
      </c>
      <c r="S2288" s="24"/>
      <c r="T2288" s="24"/>
    </row>
    <row r="2289">
      <c r="A2289" s="12" t="s">
        <v>2377</v>
      </c>
      <c r="F2289" s="19">
        <f>IFERROR(__xludf.DUMMYFUNCTION("SPLIT(A2285, "" |"")"),2283.0)</f>
        <v>2283</v>
      </c>
      <c r="G2289" s="19">
        <f>IFERROR(__xludf.DUMMYFUNCTION("""COMPUTED_VALUE"""),0.00233)</f>
        <v>0.00233</v>
      </c>
      <c r="H2289" s="19" t="str">
        <f>IFERROR(__xludf.DUMMYFUNCTION("""COMPUTED_VALUE"""),"-")</f>
        <v>-</v>
      </c>
      <c r="I2289" s="19">
        <f>IFERROR(__xludf.DUMMYFUNCTION("""COMPUTED_VALUE"""),0.0022)</f>
        <v>0.0022</v>
      </c>
      <c r="J2289" s="19">
        <f>IFERROR(__xludf.DUMMYFUNCTION("""COMPUTED_VALUE"""),0.04749)</f>
        <v>0.04749</v>
      </c>
      <c r="K2289" s="19" t="str">
        <f>IFERROR(__xludf.DUMMYFUNCTION("""COMPUTED_VALUE"""),"-")</f>
        <v>-</v>
      </c>
      <c r="L2289" s="19" t="str">
        <f>IFERROR(__xludf.DUMMYFUNCTION("""COMPUTED_VALUE"""),"-")</f>
        <v>-</v>
      </c>
      <c r="O2289" s="24">
        <f t="shared" si="4"/>
        <v>0</v>
      </c>
      <c r="P2289" s="24"/>
      <c r="Q2289" s="24">
        <f t="shared" si="6"/>
        <v>0</v>
      </c>
      <c r="R2289" s="24">
        <f t="shared" si="7"/>
        <v>0</v>
      </c>
      <c r="S2289" s="24"/>
      <c r="T2289" s="24"/>
    </row>
    <row r="2290">
      <c r="A2290" s="12" t="s">
        <v>2378</v>
      </c>
      <c r="F2290" s="19">
        <f>IFERROR(__xludf.DUMMYFUNCTION("SPLIT(A2286, "" |"")"),2284.0)</f>
        <v>2284</v>
      </c>
      <c r="G2290" s="19">
        <f>IFERROR(__xludf.DUMMYFUNCTION("""COMPUTED_VALUE"""),0.00242)</f>
        <v>0.00242</v>
      </c>
      <c r="H2290" s="19" t="str">
        <f>IFERROR(__xludf.DUMMYFUNCTION("""COMPUTED_VALUE"""),"-")</f>
        <v>-</v>
      </c>
      <c r="I2290" s="19">
        <f>IFERROR(__xludf.DUMMYFUNCTION("""COMPUTED_VALUE"""),0.00227)</f>
        <v>0.00227</v>
      </c>
      <c r="J2290" s="19">
        <f>IFERROR(__xludf.DUMMYFUNCTION("""COMPUTED_VALUE"""),0.04748)</f>
        <v>0.04748</v>
      </c>
      <c r="K2290" s="19" t="str">
        <f>IFERROR(__xludf.DUMMYFUNCTION("""COMPUTED_VALUE"""),"-")</f>
        <v>-</v>
      </c>
      <c r="L2290" s="19" t="str">
        <f>IFERROR(__xludf.DUMMYFUNCTION("""COMPUTED_VALUE"""),"-")</f>
        <v>-</v>
      </c>
      <c r="O2290" s="24">
        <f t="shared" si="4"/>
        <v>0</v>
      </c>
      <c r="P2290" s="24"/>
      <c r="Q2290" s="24">
        <f t="shared" si="6"/>
        <v>0</v>
      </c>
      <c r="R2290" s="24">
        <f t="shared" si="7"/>
        <v>0</v>
      </c>
      <c r="S2290" s="24"/>
      <c r="T2290" s="24"/>
    </row>
    <row r="2291">
      <c r="A2291" s="12" t="s">
        <v>2379</v>
      </c>
      <c r="F2291" s="19">
        <f>IFERROR(__xludf.DUMMYFUNCTION("SPLIT(A2287, "" |"")"),2285.0)</f>
        <v>2285</v>
      </c>
      <c r="G2291" s="19">
        <f>IFERROR(__xludf.DUMMYFUNCTION("""COMPUTED_VALUE"""),0.00237)</f>
        <v>0.00237</v>
      </c>
      <c r="H2291" s="19" t="str">
        <f>IFERROR(__xludf.DUMMYFUNCTION("""COMPUTED_VALUE"""),"-")</f>
        <v>-</v>
      </c>
      <c r="I2291" s="19">
        <f>IFERROR(__xludf.DUMMYFUNCTION("""COMPUTED_VALUE"""),0.00222)</f>
        <v>0.00222</v>
      </c>
      <c r="J2291" s="19">
        <f>IFERROR(__xludf.DUMMYFUNCTION("""COMPUTED_VALUE"""),0.04367)</f>
        <v>0.04367</v>
      </c>
      <c r="K2291" s="19" t="str">
        <f>IFERROR(__xludf.DUMMYFUNCTION("""COMPUTED_VALUE"""),"-")</f>
        <v>-</v>
      </c>
      <c r="L2291" s="19" t="str">
        <f>IFERROR(__xludf.DUMMYFUNCTION("""COMPUTED_VALUE"""),"-")</f>
        <v>-</v>
      </c>
      <c r="O2291" s="24">
        <f t="shared" si="4"/>
        <v>0</v>
      </c>
      <c r="P2291" s="24"/>
      <c r="Q2291" s="24">
        <f t="shared" si="6"/>
        <v>0</v>
      </c>
      <c r="R2291" s="24">
        <f t="shared" si="7"/>
        <v>1</v>
      </c>
      <c r="S2291" s="24"/>
      <c r="T2291" s="24"/>
    </row>
    <row r="2292">
      <c r="A2292" s="12" t="s">
        <v>2380</v>
      </c>
      <c r="F2292" s="19">
        <f>IFERROR(__xludf.DUMMYFUNCTION("SPLIT(A2288, "" |"")"),2286.0)</f>
        <v>2286</v>
      </c>
      <c r="G2292" s="19">
        <f>IFERROR(__xludf.DUMMYFUNCTION("""COMPUTED_VALUE"""),0.00236)</f>
        <v>0.00236</v>
      </c>
      <c r="H2292" s="19" t="str">
        <f>IFERROR(__xludf.DUMMYFUNCTION("""COMPUTED_VALUE"""),"-")</f>
        <v>-</v>
      </c>
      <c r="I2292" s="19">
        <f>IFERROR(__xludf.DUMMYFUNCTION("""COMPUTED_VALUE"""),0.00225)</f>
        <v>0.00225</v>
      </c>
      <c r="J2292" s="19">
        <f>IFERROR(__xludf.DUMMYFUNCTION("""COMPUTED_VALUE"""),0.04753)</f>
        <v>0.04753</v>
      </c>
      <c r="K2292" s="19" t="str">
        <f>IFERROR(__xludf.DUMMYFUNCTION("""COMPUTED_VALUE"""),"-")</f>
        <v>-</v>
      </c>
      <c r="L2292" s="19" t="str">
        <f>IFERROR(__xludf.DUMMYFUNCTION("""COMPUTED_VALUE"""),"-")</f>
        <v>-</v>
      </c>
      <c r="O2292" s="24">
        <f t="shared" si="4"/>
        <v>0</v>
      </c>
      <c r="P2292" s="24"/>
      <c r="Q2292" s="24">
        <f t="shared" si="6"/>
        <v>0</v>
      </c>
      <c r="R2292" s="24">
        <f t="shared" si="7"/>
        <v>0</v>
      </c>
      <c r="S2292" s="24"/>
      <c r="T2292" s="24"/>
    </row>
    <row r="2293">
      <c r="A2293" s="12" t="s">
        <v>2381</v>
      </c>
      <c r="F2293" s="19">
        <f>IFERROR(__xludf.DUMMYFUNCTION("SPLIT(A2289, "" |"")"),2287.0)</f>
        <v>2287</v>
      </c>
      <c r="G2293" s="19">
        <f>IFERROR(__xludf.DUMMYFUNCTION("""COMPUTED_VALUE"""),0.00236)</f>
        <v>0.00236</v>
      </c>
      <c r="H2293" s="19" t="str">
        <f>IFERROR(__xludf.DUMMYFUNCTION("""COMPUTED_VALUE"""),"-")</f>
        <v>-</v>
      </c>
      <c r="I2293" s="19">
        <f>IFERROR(__xludf.DUMMYFUNCTION("""COMPUTED_VALUE"""),0.00222)</f>
        <v>0.00222</v>
      </c>
      <c r="J2293" s="19">
        <f>IFERROR(__xludf.DUMMYFUNCTION("""COMPUTED_VALUE"""),0.04747)</f>
        <v>0.04747</v>
      </c>
      <c r="K2293" s="19" t="str">
        <f>IFERROR(__xludf.DUMMYFUNCTION("""COMPUTED_VALUE"""),"-")</f>
        <v>-</v>
      </c>
      <c r="L2293" s="19" t="str">
        <f>IFERROR(__xludf.DUMMYFUNCTION("""COMPUTED_VALUE"""),"-")</f>
        <v>-</v>
      </c>
      <c r="O2293" s="24">
        <f t="shared" si="4"/>
        <v>0</v>
      </c>
      <c r="P2293" s="24"/>
      <c r="Q2293" s="24">
        <f t="shared" si="6"/>
        <v>0</v>
      </c>
      <c r="R2293" s="24">
        <f t="shared" si="7"/>
        <v>0</v>
      </c>
      <c r="S2293" s="24"/>
      <c r="T2293" s="24"/>
    </row>
    <row r="2294">
      <c r="A2294" s="12" t="s">
        <v>2382</v>
      </c>
      <c r="F2294" s="19">
        <f>IFERROR(__xludf.DUMMYFUNCTION("SPLIT(A2290, "" |"")"),2288.0)</f>
        <v>2288</v>
      </c>
      <c r="G2294" s="19">
        <f>IFERROR(__xludf.DUMMYFUNCTION("""COMPUTED_VALUE"""),0.00247)</f>
        <v>0.00247</v>
      </c>
      <c r="H2294" s="19" t="str">
        <f>IFERROR(__xludf.DUMMYFUNCTION("""COMPUTED_VALUE"""),"-")</f>
        <v>-</v>
      </c>
      <c r="I2294" s="19">
        <f>IFERROR(__xludf.DUMMYFUNCTION("""COMPUTED_VALUE"""),0.00239)</f>
        <v>0.00239</v>
      </c>
      <c r="J2294" s="19">
        <f>IFERROR(__xludf.DUMMYFUNCTION("""COMPUTED_VALUE"""),0.03988)</f>
        <v>0.03988</v>
      </c>
      <c r="K2294" s="19" t="str">
        <f>IFERROR(__xludf.DUMMYFUNCTION("""COMPUTED_VALUE"""),"-")</f>
        <v>-</v>
      </c>
      <c r="L2294" s="19" t="str">
        <f>IFERROR(__xludf.DUMMYFUNCTION("""COMPUTED_VALUE"""),"-")</f>
        <v>-</v>
      </c>
      <c r="O2294" s="24">
        <f t="shared" si="4"/>
        <v>0</v>
      </c>
      <c r="P2294" s="24"/>
      <c r="Q2294" s="24">
        <f t="shared" si="6"/>
        <v>0</v>
      </c>
      <c r="R2294" s="24">
        <f t="shared" si="7"/>
        <v>1</v>
      </c>
      <c r="S2294" s="24"/>
      <c r="T2294" s="24"/>
    </row>
    <row r="2295">
      <c r="A2295" s="12" t="s">
        <v>2383</v>
      </c>
      <c r="F2295" s="19">
        <f>IFERROR(__xludf.DUMMYFUNCTION("SPLIT(A2291, "" |"")"),2289.0)</f>
        <v>2289</v>
      </c>
      <c r="G2295" s="19">
        <f>IFERROR(__xludf.DUMMYFUNCTION("""COMPUTED_VALUE"""),0.00242)</f>
        <v>0.00242</v>
      </c>
      <c r="H2295" s="19" t="str">
        <f>IFERROR(__xludf.DUMMYFUNCTION("""COMPUTED_VALUE"""),"-")</f>
        <v>-</v>
      </c>
      <c r="I2295" s="19">
        <f>IFERROR(__xludf.DUMMYFUNCTION("""COMPUTED_VALUE"""),0.00221)</f>
        <v>0.00221</v>
      </c>
      <c r="J2295" s="19">
        <f>IFERROR(__xludf.DUMMYFUNCTION("""COMPUTED_VALUE"""),0.04712)</f>
        <v>0.04712</v>
      </c>
      <c r="K2295" s="19" t="str">
        <f>IFERROR(__xludf.DUMMYFUNCTION("""COMPUTED_VALUE"""),"-")</f>
        <v>-</v>
      </c>
      <c r="L2295" s="19" t="str">
        <f>IFERROR(__xludf.DUMMYFUNCTION("""COMPUTED_VALUE"""),"-")</f>
        <v>-</v>
      </c>
      <c r="O2295" s="24">
        <f t="shared" si="4"/>
        <v>0</v>
      </c>
      <c r="P2295" s="24"/>
      <c r="Q2295" s="24">
        <f t="shared" si="6"/>
        <v>0</v>
      </c>
      <c r="R2295" s="24">
        <f t="shared" si="7"/>
        <v>0</v>
      </c>
      <c r="S2295" s="24"/>
      <c r="T2295" s="24"/>
    </row>
    <row r="2296">
      <c r="A2296" s="12" t="s">
        <v>2384</v>
      </c>
      <c r="F2296" s="19">
        <f>IFERROR(__xludf.DUMMYFUNCTION("SPLIT(A2292, "" |"")"),2290.0)</f>
        <v>2290</v>
      </c>
      <c r="G2296" s="19">
        <f>IFERROR(__xludf.DUMMYFUNCTION("""COMPUTED_VALUE"""),0.00241)</f>
        <v>0.00241</v>
      </c>
      <c r="H2296" s="19" t="str">
        <f>IFERROR(__xludf.DUMMYFUNCTION("""COMPUTED_VALUE"""),"-")</f>
        <v>-</v>
      </c>
      <c r="I2296" s="19">
        <f>IFERROR(__xludf.DUMMYFUNCTION("""COMPUTED_VALUE"""),0.00225)</f>
        <v>0.00225</v>
      </c>
      <c r="J2296" s="19">
        <f>IFERROR(__xludf.DUMMYFUNCTION("""COMPUTED_VALUE"""),0.04747)</f>
        <v>0.04747</v>
      </c>
      <c r="K2296" s="19" t="str">
        <f>IFERROR(__xludf.DUMMYFUNCTION("""COMPUTED_VALUE"""),"-")</f>
        <v>-</v>
      </c>
      <c r="L2296" s="19" t="str">
        <f>IFERROR(__xludf.DUMMYFUNCTION("""COMPUTED_VALUE"""),"-")</f>
        <v>-</v>
      </c>
      <c r="O2296" s="24">
        <f t="shared" si="4"/>
        <v>0</v>
      </c>
      <c r="P2296" s="24"/>
      <c r="Q2296" s="24">
        <f t="shared" si="6"/>
        <v>0</v>
      </c>
      <c r="R2296" s="24">
        <f t="shared" si="7"/>
        <v>0</v>
      </c>
      <c r="S2296" s="24"/>
      <c r="T2296" s="24"/>
    </row>
    <row r="2297">
      <c r="A2297" s="12" t="s">
        <v>2385</v>
      </c>
      <c r="F2297" s="19">
        <f>IFERROR(__xludf.DUMMYFUNCTION("SPLIT(A2293, "" |"")"),2291.0)</f>
        <v>2291</v>
      </c>
      <c r="G2297" s="19">
        <f>IFERROR(__xludf.DUMMYFUNCTION("""COMPUTED_VALUE"""),0.0024)</f>
        <v>0.0024</v>
      </c>
      <c r="H2297" s="19" t="str">
        <f>IFERROR(__xludf.DUMMYFUNCTION("""COMPUTED_VALUE"""),"-")</f>
        <v>-</v>
      </c>
      <c r="I2297" s="19">
        <f>IFERROR(__xludf.DUMMYFUNCTION("""COMPUTED_VALUE"""),0.00229)</f>
        <v>0.00229</v>
      </c>
      <c r="J2297" s="19">
        <f>IFERROR(__xludf.DUMMYFUNCTION("""COMPUTED_VALUE"""),0.04745)</f>
        <v>0.04745</v>
      </c>
      <c r="K2297" s="19" t="str">
        <f>IFERROR(__xludf.DUMMYFUNCTION("""COMPUTED_VALUE"""),"-")</f>
        <v>-</v>
      </c>
      <c r="L2297" s="19" t="str">
        <f>IFERROR(__xludf.DUMMYFUNCTION("""COMPUTED_VALUE"""),"-")</f>
        <v>-</v>
      </c>
      <c r="O2297" s="24">
        <f t="shared" si="4"/>
        <v>0</v>
      </c>
      <c r="P2297" s="24"/>
      <c r="Q2297" s="24">
        <f t="shared" si="6"/>
        <v>0</v>
      </c>
      <c r="R2297" s="24">
        <f t="shared" si="7"/>
        <v>0</v>
      </c>
      <c r="S2297" s="24"/>
      <c r="T2297" s="24"/>
    </row>
    <row r="2298">
      <c r="A2298" s="12" t="s">
        <v>2386</v>
      </c>
      <c r="F2298" s="19">
        <f>IFERROR(__xludf.DUMMYFUNCTION("SPLIT(A2294, "" |"")"),2292.0)</f>
        <v>2292</v>
      </c>
      <c r="G2298" s="19">
        <f>IFERROR(__xludf.DUMMYFUNCTION("""COMPUTED_VALUE"""),0.00239)</f>
        <v>0.00239</v>
      </c>
      <c r="H2298" s="19" t="str">
        <f>IFERROR(__xludf.DUMMYFUNCTION("""COMPUTED_VALUE"""),"-")</f>
        <v>-</v>
      </c>
      <c r="I2298" s="19">
        <f>IFERROR(__xludf.DUMMYFUNCTION("""COMPUTED_VALUE"""),0.00221)</f>
        <v>0.00221</v>
      </c>
      <c r="J2298" s="19">
        <f>IFERROR(__xludf.DUMMYFUNCTION("""COMPUTED_VALUE"""),0.04013)</f>
        <v>0.04013</v>
      </c>
      <c r="K2298" s="19" t="str">
        <f>IFERROR(__xludf.DUMMYFUNCTION("""COMPUTED_VALUE"""),"-")</f>
        <v>-</v>
      </c>
      <c r="L2298" s="19" t="str">
        <f>IFERROR(__xludf.DUMMYFUNCTION("""COMPUTED_VALUE"""),"-")</f>
        <v>-</v>
      </c>
      <c r="O2298" s="24">
        <f t="shared" si="4"/>
        <v>0</v>
      </c>
      <c r="P2298" s="24"/>
      <c r="Q2298" s="24">
        <f t="shared" si="6"/>
        <v>0</v>
      </c>
      <c r="R2298" s="24">
        <f t="shared" si="7"/>
        <v>1</v>
      </c>
      <c r="S2298" s="24"/>
      <c r="T2298" s="24"/>
    </row>
    <row r="2299">
      <c r="A2299" s="12" t="s">
        <v>2387</v>
      </c>
      <c r="F2299" s="19">
        <f>IFERROR(__xludf.DUMMYFUNCTION("SPLIT(A2295, "" |"")"),2293.0)</f>
        <v>2293</v>
      </c>
      <c r="G2299" s="19">
        <f>IFERROR(__xludf.DUMMYFUNCTION("""COMPUTED_VALUE"""),0.0023)</f>
        <v>0.0023</v>
      </c>
      <c r="H2299" s="19" t="str">
        <f>IFERROR(__xludf.DUMMYFUNCTION("""COMPUTED_VALUE"""),"-")</f>
        <v>-</v>
      </c>
      <c r="I2299" s="19">
        <f>IFERROR(__xludf.DUMMYFUNCTION("""COMPUTED_VALUE"""),0.0022)</f>
        <v>0.0022</v>
      </c>
      <c r="J2299" s="19">
        <f>IFERROR(__xludf.DUMMYFUNCTION("""COMPUTED_VALUE"""),0.0469)</f>
        <v>0.0469</v>
      </c>
      <c r="K2299" s="19" t="str">
        <f>IFERROR(__xludf.DUMMYFUNCTION("""COMPUTED_VALUE"""),"-")</f>
        <v>-</v>
      </c>
      <c r="L2299" s="19" t="str">
        <f>IFERROR(__xludf.DUMMYFUNCTION("""COMPUTED_VALUE"""),"-")</f>
        <v>-</v>
      </c>
      <c r="O2299" s="24">
        <f t="shared" si="4"/>
        <v>0</v>
      </c>
      <c r="P2299" s="24"/>
      <c r="Q2299" s="24">
        <f t="shared" si="6"/>
        <v>0</v>
      </c>
      <c r="R2299" s="24">
        <f t="shared" si="7"/>
        <v>0</v>
      </c>
      <c r="S2299" s="24"/>
      <c r="T2299" s="24"/>
    </row>
    <row r="2300">
      <c r="A2300" s="12" t="s">
        <v>2388</v>
      </c>
      <c r="F2300" s="19">
        <f>IFERROR(__xludf.DUMMYFUNCTION("SPLIT(A2296, "" |"")"),2294.0)</f>
        <v>2294</v>
      </c>
      <c r="G2300" s="19">
        <f>IFERROR(__xludf.DUMMYFUNCTION("""COMPUTED_VALUE"""),0.00239)</f>
        <v>0.00239</v>
      </c>
      <c r="H2300" s="19" t="str">
        <f>IFERROR(__xludf.DUMMYFUNCTION("""COMPUTED_VALUE"""),"-")</f>
        <v>-</v>
      </c>
      <c r="I2300" s="19">
        <f>IFERROR(__xludf.DUMMYFUNCTION("""COMPUTED_VALUE"""),0.00228)</f>
        <v>0.00228</v>
      </c>
      <c r="J2300" s="19">
        <f>IFERROR(__xludf.DUMMYFUNCTION("""COMPUTED_VALUE"""),0.04753)</f>
        <v>0.04753</v>
      </c>
      <c r="K2300" s="19" t="str">
        <f>IFERROR(__xludf.DUMMYFUNCTION("""COMPUTED_VALUE"""),"-")</f>
        <v>-</v>
      </c>
      <c r="L2300" s="19" t="str">
        <f>IFERROR(__xludf.DUMMYFUNCTION("""COMPUTED_VALUE"""),"-")</f>
        <v>-</v>
      </c>
      <c r="O2300" s="24">
        <f t="shared" si="4"/>
        <v>0</v>
      </c>
      <c r="P2300" s="24"/>
      <c r="Q2300" s="24">
        <f t="shared" si="6"/>
        <v>0</v>
      </c>
      <c r="R2300" s="24">
        <f t="shared" si="7"/>
        <v>0</v>
      </c>
      <c r="S2300" s="24"/>
      <c r="T2300" s="24"/>
    </row>
    <row r="2301">
      <c r="A2301" s="12" t="s">
        <v>2389</v>
      </c>
      <c r="F2301" s="19">
        <f>IFERROR(__xludf.DUMMYFUNCTION("SPLIT(A2297, "" |"")"),2295.0)</f>
        <v>2295</v>
      </c>
      <c r="G2301" s="19">
        <f>IFERROR(__xludf.DUMMYFUNCTION("""COMPUTED_VALUE"""),0.00239)</f>
        <v>0.00239</v>
      </c>
      <c r="H2301" s="19" t="str">
        <f>IFERROR(__xludf.DUMMYFUNCTION("""COMPUTED_VALUE"""),"-")</f>
        <v>-</v>
      </c>
      <c r="I2301" s="19">
        <f>IFERROR(__xludf.DUMMYFUNCTION("""COMPUTED_VALUE"""),0.00228)</f>
        <v>0.00228</v>
      </c>
      <c r="J2301" s="19">
        <f>IFERROR(__xludf.DUMMYFUNCTION("""COMPUTED_VALUE"""),0.04753)</f>
        <v>0.04753</v>
      </c>
      <c r="K2301" s="19" t="str">
        <f>IFERROR(__xludf.DUMMYFUNCTION("""COMPUTED_VALUE"""),"-")</f>
        <v>-</v>
      </c>
      <c r="L2301" s="19" t="str">
        <f>IFERROR(__xludf.DUMMYFUNCTION("""COMPUTED_VALUE"""),"-")</f>
        <v>-</v>
      </c>
      <c r="O2301" s="24">
        <f t="shared" si="4"/>
        <v>0</v>
      </c>
      <c r="P2301" s="24"/>
      <c r="Q2301" s="24">
        <f t="shared" si="6"/>
        <v>0</v>
      </c>
      <c r="R2301" s="24">
        <f t="shared" si="7"/>
        <v>0</v>
      </c>
      <c r="S2301" s="24"/>
      <c r="T2301" s="24"/>
    </row>
    <row r="2302">
      <c r="A2302" s="12" t="s">
        <v>2390</v>
      </c>
      <c r="F2302" s="19">
        <f>IFERROR(__xludf.DUMMYFUNCTION("SPLIT(A2298, "" |"")"),2296.0)</f>
        <v>2296</v>
      </c>
      <c r="G2302" s="19">
        <f>IFERROR(__xludf.DUMMYFUNCTION("""COMPUTED_VALUE"""),0.00245)</f>
        <v>0.00245</v>
      </c>
      <c r="H2302" s="19" t="str">
        <f>IFERROR(__xludf.DUMMYFUNCTION("""COMPUTED_VALUE"""),"-")</f>
        <v>-</v>
      </c>
      <c r="I2302" s="19">
        <f>IFERROR(__xludf.DUMMYFUNCTION("""COMPUTED_VALUE"""),0.00228)</f>
        <v>0.00228</v>
      </c>
      <c r="J2302" s="19">
        <f>IFERROR(__xludf.DUMMYFUNCTION("""COMPUTED_VALUE"""),0.04745)</f>
        <v>0.04745</v>
      </c>
      <c r="K2302" s="19" t="str">
        <f>IFERROR(__xludf.DUMMYFUNCTION("""COMPUTED_VALUE"""),"-")</f>
        <v>-</v>
      </c>
      <c r="L2302" s="19" t="str">
        <f>IFERROR(__xludf.DUMMYFUNCTION("""COMPUTED_VALUE"""),"-")</f>
        <v>-</v>
      </c>
      <c r="O2302" s="24">
        <f t="shared" si="4"/>
        <v>0</v>
      </c>
      <c r="P2302" s="24"/>
      <c r="Q2302" s="24">
        <f t="shared" si="6"/>
        <v>0</v>
      </c>
      <c r="R2302" s="24">
        <f t="shared" si="7"/>
        <v>0</v>
      </c>
      <c r="S2302" s="24"/>
      <c r="T2302" s="24"/>
    </row>
    <row r="2303">
      <c r="A2303" s="12" t="s">
        <v>2391</v>
      </c>
      <c r="F2303" s="19">
        <f>IFERROR(__xludf.DUMMYFUNCTION("SPLIT(A2299, "" |"")"),2297.0)</f>
        <v>2297</v>
      </c>
      <c r="G2303" s="19">
        <f>IFERROR(__xludf.DUMMYFUNCTION("""COMPUTED_VALUE"""),0.00234)</f>
        <v>0.00234</v>
      </c>
      <c r="H2303" s="19" t="str">
        <f>IFERROR(__xludf.DUMMYFUNCTION("""COMPUTED_VALUE"""),"-")</f>
        <v>-</v>
      </c>
      <c r="I2303" s="19">
        <f>IFERROR(__xludf.DUMMYFUNCTION("""COMPUTED_VALUE"""),0.00225)</f>
        <v>0.00225</v>
      </c>
      <c r="J2303" s="19">
        <f>IFERROR(__xludf.DUMMYFUNCTION("""COMPUTED_VALUE"""),0.04476)</f>
        <v>0.04476</v>
      </c>
      <c r="K2303" s="19" t="str">
        <f>IFERROR(__xludf.DUMMYFUNCTION("""COMPUTED_VALUE"""),"-")</f>
        <v>-</v>
      </c>
      <c r="L2303" s="19" t="str">
        <f>IFERROR(__xludf.DUMMYFUNCTION("""COMPUTED_VALUE"""),"-")</f>
        <v>-</v>
      </c>
      <c r="O2303" s="24">
        <f t="shared" si="4"/>
        <v>0</v>
      </c>
      <c r="P2303" s="24"/>
      <c r="Q2303" s="24">
        <f t="shared" si="6"/>
        <v>0</v>
      </c>
      <c r="R2303" s="24">
        <f t="shared" si="7"/>
        <v>1</v>
      </c>
      <c r="S2303" s="24"/>
      <c r="T2303" s="24"/>
    </row>
    <row r="2304">
      <c r="A2304" s="12" t="s">
        <v>2392</v>
      </c>
      <c r="F2304" s="19">
        <f>IFERROR(__xludf.DUMMYFUNCTION("SPLIT(A2300, "" |"")"),2298.0)</f>
        <v>2298</v>
      </c>
      <c r="G2304" s="19">
        <f>IFERROR(__xludf.DUMMYFUNCTION("""COMPUTED_VALUE"""),0.00236)</f>
        <v>0.00236</v>
      </c>
      <c r="H2304" s="19" t="str">
        <f>IFERROR(__xludf.DUMMYFUNCTION("""COMPUTED_VALUE"""),"-")</f>
        <v>-</v>
      </c>
      <c r="I2304" s="19">
        <f>IFERROR(__xludf.DUMMYFUNCTION("""COMPUTED_VALUE"""),0.00219)</f>
        <v>0.00219</v>
      </c>
      <c r="J2304" s="19">
        <f>IFERROR(__xludf.DUMMYFUNCTION("""COMPUTED_VALUE"""),0.04748)</f>
        <v>0.04748</v>
      </c>
      <c r="K2304" s="19" t="str">
        <f>IFERROR(__xludf.DUMMYFUNCTION("""COMPUTED_VALUE"""),"-")</f>
        <v>-</v>
      </c>
      <c r="L2304" s="19" t="str">
        <f>IFERROR(__xludf.DUMMYFUNCTION("""COMPUTED_VALUE"""),"-")</f>
        <v>-</v>
      </c>
      <c r="O2304" s="24">
        <f t="shared" si="4"/>
        <v>0</v>
      </c>
      <c r="P2304" s="24"/>
      <c r="Q2304" s="24">
        <f t="shared" si="6"/>
        <v>0</v>
      </c>
      <c r="R2304" s="24">
        <f t="shared" si="7"/>
        <v>0</v>
      </c>
      <c r="S2304" s="24"/>
      <c r="T2304" s="24"/>
    </row>
    <row r="2305">
      <c r="A2305" s="12" t="s">
        <v>2393</v>
      </c>
      <c r="F2305" s="19">
        <f>IFERROR(__xludf.DUMMYFUNCTION("SPLIT(A2301, "" |"")"),2299.0)</f>
        <v>2299</v>
      </c>
      <c r="G2305" s="19">
        <f>IFERROR(__xludf.DUMMYFUNCTION("""COMPUTED_VALUE"""),0.00235)</f>
        <v>0.00235</v>
      </c>
      <c r="H2305" s="19" t="str">
        <f>IFERROR(__xludf.DUMMYFUNCTION("""COMPUTED_VALUE"""),"-")</f>
        <v>-</v>
      </c>
      <c r="I2305" s="19">
        <f>IFERROR(__xludf.DUMMYFUNCTION("""COMPUTED_VALUE"""),0.00218)</f>
        <v>0.00218</v>
      </c>
      <c r="J2305" s="19">
        <f>IFERROR(__xludf.DUMMYFUNCTION("""COMPUTED_VALUE"""),0.04743)</f>
        <v>0.04743</v>
      </c>
      <c r="K2305" s="19" t="str">
        <f>IFERROR(__xludf.DUMMYFUNCTION("""COMPUTED_VALUE"""),"-")</f>
        <v>-</v>
      </c>
      <c r="L2305" s="19" t="str">
        <f>IFERROR(__xludf.DUMMYFUNCTION("""COMPUTED_VALUE"""),"-")</f>
        <v>-</v>
      </c>
      <c r="O2305" s="24">
        <f t="shared" si="4"/>
        <v>0</v>
      </c>
      <c r="P2305" s="24"/>
      <c r="Q2305" s="24">
        <f t="shared" si="6"/>
        <v>0</v>
      </c>
      <c r="R2305" s="24">
        <f t="shared" si="7"/>
        <v>0</v>
      </c>
      <c r="S2305" s="24"/>
      <c r="T2305" s="24"/>
    </row>
    <row r="2306">
      <c r="A2306" s="12" t="s">
        <v>2394</v>
      </c>
      <c r="F2306" s="19">
        <f>IFERROR(__xludf.DUMMYFUNCTION("SPLIT(A2302, "" |"")"),2300.0)</f>
        <v>2300</v>
      </c>
      <c r="G2306" s="19">
        <f>IFERROR(__xludf.DUMMYFUNCTION("""COMPUTED_VALUE"""),0.00234)</f>
        <v>0.00234</v>
      </c>
      <c r="H2306" s="19" t="str">
        <f>IFERROR(__xludf.DUMMYFUNCTION("""COMPUTED_VALUE"""),"-")</f>
        <v>-</v>
      </c>
      <c r="I2306" s="19">
        <f>IFERROR(__xludf.DUMMYFUNCTION("""COMPUTED_VALUE"""),0.0022)</f>
        <v>0.0022</v>
      </c>
      <c r="J2306" s="19">
        <f>IFERROR(__xludf.DUMMYFUNCTION("""COMPUTED_VALUE"""),0.04745)</f>
        <v>0.04745</v>
      </c>
      <c r="K2306" s="19" t="str">
        <f>IFERROR(__xludf.DUMMYFUNCTION("""COMPUTED_VALUE"""),"-")</f>
        <v>-</v>
      </c>
      <c r="L2306" s="19" t="str">
        <f>IFERROR(__xludf.DUMMYFUNCTION("""COMPUTED_VALUE"""),"-")</f>
        <v>-</v>
      </c>
      <c r="O2306" s="24">
        <f t="shared" si="4"/>
        <v>0</v>
      </c>
      <c r="P2306" s="24"/>
      <c r="Q2306" s="24">
        <f t="shared" si="6"/>
        <v>0</v>
      </c>
      <c r="R2306" s="24">
        <f t="shared" si="7"/>
        <v>0</v>
      </c>
      <c r="S2306" s="24"/>
      <c r="T2306" s="24"/>
    </row>
    <row r="2307">
      <c r="A2307" s="12" t="s">
        <v>2395</v>
      </c>
      <c r="F2307" s="19">
        <f>IFERROR(__xludf.DUMMYFUNCTION("SPLIT(A2303, "" |"")"),2301.0)</f>
        <v>2301</v>
      </c>
      <c r="G2307" s="19">
        <f>IFERROR(__xludf.DUMMYFUNCTION("""COMPUTED_VALUE"""),0.00236)</f>
        <v>0.00236</v>
      </c>
      <c r="H2307" s="19" t="str">
        <f>IFERROR(__xludf.DUMMYFUNCTION("""COMPUTED_VALUE"""),"-")</f>
        <v>-</v>
      </c>
      <c r="I2307" s="19">
        <f>IFERROR(__xludf.DUMMYFUNCTION("""COMPUTED_VALUE"""),0.00224)</f>
        <v>0.00224</v>
      </c>
      <c r="J2307" s="19">
        <f>IFERROR(__xludf.DUMMYFUNCTION("""COMPUTED_VALUE"""),0.04748)</f>
        <v>0.04748</v>
      </c>
      <c r="K2307" s="19" t="str">
        <f>IFERROR(__xludf.DUMMYFUNCTION("""COMPUTED_VALUE"""),"-")</f>
        <v>-</v>
      </c>
      <c r="L2307" s="19" t="str">
        <f>IFERROR(__xludf.DUMMYFUNCTION("""COMPUTED_VALUE"""),"-")</f>
        <v>-</v>
      </c>
      <c r="O2307" s="24">
        <f t="shared" si="4"/>
        <v>0</v>
      </c>
      <c r="P2307" s="24"/>
      <c r="Q2307" s="24">
        <f t="shared" si="6"/>
        <v>0</v>
      </c>
      <c r="R2307" s="24">
        <f t="shared" si="7"/>
        <v>0</v>
      </c>
      <c r="S2307" s="24"/>
      <c r="T2307" s="24"/>
    </row>
    <row r="2308">
      <c r="A2308" s="12" t="s">
        <v>2396</v>
      </c>
      <c r="F2308" s="19">
        <f>IFERROR(__xludf.DUMMYFUNCTION("SPLIT(A2304, "" |"")"),2302.0)</f>
        <v>2302</v>
      </c>
      <c r="G2308" s="19">
        <f>IFERROR(__xludf.DUMMYFUNCTION("""COMPUTED_VALUE"""),0.00242)</f>
        <v>0.00242</v>
      </c>
      <c r="H2308" s="19" t="str">
        <f>IFERROR(__xludf.DUMMYFUNCTION("""COMPUTED_VALUE"""),"-")</f>
        <v>-</v>
      </c>
      <c r="I2308" s="19">
        <f>IFERROR(__xludf.DUMMYFUNCTION("""COMPUTED_VALUE"""),0.00223)</f>
        <v>0.00223</v>
      </c>
      <c r="J2308" s="19">
        <f>IFERROR(__xludf.DUMMYFUNCTION("""COMPUTED_VALUE"""),0.04166)</f>
        <v>0.04166</v>
      </c>
      <c r="K2308" s="19" t="str">
        <f>IFERROR(__xludf.DUMMYFUNCTION("""COMPUTED_VALUE"""),"-")</f>
        <v>-</v>
      </c>
      <c r="L2308" s="19" t="str">
        <f>IFERROR(__xludf.DUMMYFUNCTION("""COMPUTED_VALUE"""),"-")</f>
        <v>-</v>
      </c>
      <c r="O2308" s="24">
        <f t="shared" si="4"/>
        <v>0</v>
      </c>
      <c r="P2308" s="24"/>
      <c r="Q2308" s="24">
        <f t="shared" si="6"/>
        <v>0</v>
      </c>
      <c r="R2308" s="24">
        <f t="shared" si="7"/>
        <v>1</v>
      </c>
      <c r="S2308" s="24"/>
      <c r="T2308" s="24"/>
    </row>
    <row r="2309">
      <c r="A2309" s="12" t="s">
        <v>2397</v>
      </c>
      <c r="F2309" s="19">
        <f>IFERROR(__xludf.DUMMYFUNCTION("SPLIT(A2305, "" |"")"),2303.0)</f>
        <v>2303</v>
      </c>
      <c r="G2309" s="19">
        <f>IFERROR(__xludf.DUMMYFUNCTION("""COMPUTED_VALUE"""),0.00236)</f>
        <v>0.00236</v>
      </c>
      <c r="H2309" s="19" t="str">
        <f>IFERROR(__xludf.DUMMYFUNCTION("""COMPUTED_VALUE"""),"-")</f>
        <v>-</v>
      </c>
      <c r="I2309" s="19">
        <f>IFERROR(__xludf.DUMMYFUNCTION("""COMPUTED_VALUE"""),0.00228)</f>
        <v>0.00228</v>
      </c>
      <c r="J2309" s="19">
        <f>IFERROR(__xludf.DUMMYFUNCTION("""COMPUTED_VALUE"""),0.04655)</f>
        <v>0.04655</v>
      </c>
      <c r="K2309" s="19" t="str">
        <f>IFERROR(__xludf.DUMMYFUNCTION("""COMPUTED_VALUE"""),"-")</f>
        <v>-</v>
      </c>
      <c r="L2309" s="19" t="str">
        <f>IFERROR(__xludf.DUMMYFUNCTION("""COMPUTED_VALUE"""),"-")</f>
        <v>-</v>
      </c>
      <c r="O2309" s="24">
        <f t="shared" si="4"/>
        <v>0</v>
      </c>
      <c r="P2309" s="24"/>
      <c r="Q2309" s="24">
        <f t="shared" si="6"/>
        <v>0</v>
      </c>
      <c r="R2309" s="24">
        <f t="shared" si="7"/>
        <v>0</v>
      </c>
      <c r="S2309" s="24"/>
      <c r="T2309" s="24"/>
    </row>
    <row r="2310">
      <c r="A2310" s="12" t="s">
        <v>2398</v>
      </c>
      <c r="F2310" s="19">
        <f>IFERROR(__xludf.DUMMYFUNCTION("SPLIT(A2306, "" |"")"),2304.0)</f>
        <v>2304</v>
      </c>
      <c r="G2310" s="19">
        <f>IFERROR(__xludf.DUMMYFUNCTION("""COMPUTED_VALUE"""),0.00242)</f>
        <v>0.00242</v>
      </c>
      <c r="H2310" s="19" t="str">
        <f>IFERROR(__xludf.DUMMYFUNCTION("""COMPUTED_VALUE"""),"-")</f>
        <v>-</v>
      </c>
      <c r="I2310" s="19">
        <f>IFERROR(__xludf.DUMMYFUNCTION("""COMPUTED_VALUE"""),0.00219)</f>
        <v>0.00219</v>
      </c>
      <c r="J2310" s="19">
        <f>IFERROR(__xludf.DUMMYFUNCTION("""COMPUTED_VALUE"""),0.04506)</f>
        <v>0.04506</v>
      </c>
      <c r="K2310" s="19" t="str">
        <f>IFERROR(__xludf.DUMMYFUNCTION("""COMPUTED_VALUE"""),"-")</f>
        <v>-</v>
      </c>
      <c r="L2310" s="19" t="str">
        <f>IFERROR(__xludf.DUMMYFUNCTION("""COMPUTED_VALUE"""),"-")</f>
        <v>-</v>
      </c>
      <c r="O2310" s="24">
        <f t="shared" si="4"/>
        <v>0</v>
      </c>
      <c r="P2310" s="24"/>
      <c r="Q2310" s="24">
        <f t="shared" si="6"/>
        <v>0</v>
      </c>
      <c r="R2310" s="24">
        <f t="shared" si="7"/>
        <v>0</v>
      </c>
      <c r="S2310" s="24"/>
      <c r="T2310" s="24"/>
    </row>
    <row r="2311">
      <c r="A2311" s="12" t="s">
        <v>2399</v>
      </c>
      <c r="F2311" s="19">
        <f>IFERROR(__xludf.DUMMYFUNCTION("SPLIT(A2307, "" |"")"),2305.0)</f>
        <v>2305</v>
      </c>
      <c r="G2311" s="19">
        <f>IFERROR(__xludf.DUMMYFUNCTION("""COMPUTED_VALUE"""),0.00239)</f>
        <v>0.00239</v>
      </c>
      <c r="H2311" s="19" t="str">
        <f>IFERROR(__xludf.DUMMYFUNCTION("""COMPUTED_VALUE"""),"-")</f>
        <v>-</v>
      </c>
      <c r="I2311" s="19">
        <f>IFERROR(__xludf.DUMMYFUNCTION("""COMPUTED_VALUE"""),0.00223)</f>
        <v>0.00223</v>
      </c>
      <c r="J2311" s="19">
        <f>IFERROR(__xludf.DUMMYFUNCTION("""COMPUTED_VALUE"""),0.03848)</f>
        <v>0.03848</v>
      </c>
      <c r="K2311" s="19" t="str">
        <f>IFERROR(__xludf.DUMMYFUNCTION("""COMPUTED_VALUE"""),"-")</f>
        <v>-</v>
      </c>
      <c r="L2311" s="19" t="str">
        <f>IFERROR(__xludf.DUMMYFUNCTION("""COMPUTED_VALUE"""),"-")</f>
        <v>-</v>
      </c>
      <c r="O2311" s="24">
        <f t="shared" si="4"/>
        <v>0</v>
      </c>
      <c r="P2311" s="24"/>
      <c r="Q2311" s="24">
        <f t="shared" si="6"/>
        <v>0</v>
      </c>
      <c r="R2311" s="24">
        <f t="shared" si="7"/>
        <v>1</v>
      </c>
      <c r="S2311" s="24"/>
      <c r="T2311" s="24"/>
    </row>
    <row r="2312">
      <c r="A2312" s="12" t="s">
        <v>2400</v>
      </c>
      <c r="F2312" s="19">
        <f>IFERROR(__xludf.DUMMYFUNCTION("SPLIT(A2308, "" |"")"),2306.0)</f>
        <v>2306</v>
      </c>
      <c r="G2312" s="19">
        <f>IFERROR(__xludf.DUMMYFUNCTION("""COMPUTED_VALUE"""),0.00238)</f>
        <v>0.00238</v>
      </c>
      <c r="H2312" s="19" t="str">
        <f>IFERROR(__xludf.DUMMYFUNCTION("""COMPUTED_VALUE"""),"-")</f>
        <v>-</v>
      </c>
      <c r="I2312" s="19">
        <f>IFERROR(__xludf.DUMMYFUNCTION("""COMPUTED_VALUE"""),0.00221)</f>
        <v>0.00221</v>
      </c>
      <c r="J2312" s="19">
        <f>IFERROR(__xludf.DUMMYFUNCTION("""COMPUTED_VALUE"""),0.04751)</f>
        <v>0.04751</v>
      </c>
      <c r="K2312" s="19" t="str">
        <f>IFERROR(__xludf.DUMMYFUNCTION("""COMPUTED_VALUE"""),"-")</f>
        <v>-</v>
      </c>
      <c r="L2312" s="19" t="str">
        <f>IFERROR(__xludf.DUMMYFUNCTION("""COMPUTED_VALUE"""),"-")</f>
        <v>-</v>
      </c>
      <c r="O2312" s="24">
        <f t="shared" si="4"/>
        <v>0</v>
      </c>
      <c r="P2312" s="24"/>
      <c r="Q2312" s="24">
        <f t="shared" si="6"/>
        <v>0</v>
      </c>
      <c r="R2312" s="24">
        <f t="shared" si="7"/>
        <v>0</v>
      </c>
      <c r="S2312" s="24"/>
      <c r="T2312" s="24"/>
    </row>
    <row r="2313">
      <c r="A2313" s="12" t="s">
        <v>2401</v>
      </c>
      <c r="F2313" s="19">
        <f>IFERROR(__xludf.DUMMYFUNCTION("SPLIT(A2309, "" |"")"),2307.0)</f>
        <v>2307</v>
      </c>
      <c r="G2313" s="19">
        <f>IFERROR(__xludf.DUMMYFUNCTION("""COMPUTED_VALUE"""),0.00239)</f>
        <v>0.00239</v>
      </c>
      <c r="H2313" s="19" t="str">
        <f>IFERROR(__xludf.DUMMYFUNCTION("""COMPUTED_VALUE"""),"-")</f>
        <v>-</v>
      </c>
      <c r="I2313" s="19">
        <f>IFERROR(__xludf.DUMMYFUNCTION("""COMPUTED_VALUE"""),0.00229)</f>
        <v>0.00229</v>
      </c>
      <c r="J2313" s="19">
        <f>IFERROR(__xludf.DUMMYFUNCTION("""COMPUTED_VALUE"""),0.04745)</f>
        <v>0.04745</v>
      </c>
      <c r="K2313" s="19" t="str">
        <f>IFERROR(__xludf.DUMMYFUNCTION("""COMPUTED_VALUE"""),"-")</f>
        <v>-</v>
      </c>
      <c r="L2313" s="19" t="str">
        <f>IFERROR(__xludf.DUMMYFUNCTION("""COMPUTED_VALUE"""),"-")</f>
        <v>-</v>
      </c>
      <c r="O2313" s="24">
        <f t="shared" si="4"/>
        <v>0</v>
      </c>
      <c r="P2313" s="24"/>
      <c r="Q2313" s="24">
        <f t="shared" si="6"/>
        <v>0</v>
      </c>
      <c r="R2313" s="24">
        <f t="shared" si="7"/>
        <v>0</v>
      </c>
      <c r="S2313" s="24"/>
      <c r="T2313" s="24"/>
    </row>
    <row r="2314">
      <c r="A2314" s="12" t="s">
        <v>2402</v>
      </c>
      <c r="F2314" s="19">
        <f>IFERROR(__xludf.DUMMYFUNCTION("SPLIT(A2310, "" |"")"),2308.0)</f>
        <v>2308</v>
      </c>
      <c r="G2314" s="19">
        <f>IFERROR(__xludf.DUMMYFUNCTION("""COMPUTED_VALUE"""),0.00239)</f>
        <v>0.00239</v>
      </c>
      <c r="H2314" s="19" t="str">
        <f>IFERROR(__xludf.DUMMYFUNCTION("""COMPUTED_VALUE"""),"-")</f>
        <v>-</v>
      </c>
      <c r="I2314" s="19">
        <f>IFERROR(__xludf.DUMMYFUNCTION("""COMPUTED_VALUE"""),0.00223)</f>
        <v>0.00223</v>
      </c>
      <c r="J2314" s="19">
        <f>IFERROR(__xludf.DUMMYFUNCTION("""COMPUTED_VALUE"""),0.04743)</f>
        <v>0.04743</v>
      </c>
      <c r="K2314" s="19" t="str">
        <f>IFERROR(__xludf.DUMMYFUNCTION("""COMPUTED_VALUE"""),"-")</f>
        <v>-</v>
      </c>
      <c r="L2314" s="19" t="str">
        <f>IFERROR(__xludf.DUMMYFUNCTION("""COMPUTED_VALUE"""),"-")</f>
        <v>-</v>
      </c>
      <c r="O2314" s="24">
        <f t="shared" si="4"/>
        <v>0</v>
      </c>
      <c r="P2314" s="24"/>
      <c r="Q2314" s="24">
        <f t="shared" si="6"/>
        <v>0</v>
      </c>
      <c r="R2314" s="24">
        <f t="shared" si="7"/>
        <v>0</v>
      </c>
      <c r="S2314" s="24"/>
      <c r="T2314" s="24"/>
    </row>
    <row r="2315">
      <c r="A2315" s="12" t="s">
        <v>2403</v>
      </c>
      <c r="F2315" s="19">
        <f>IFERROR(__xludf.DUMMYFUNCTION("SPLIT(A2311, "" |"")"),2309.0)</f>
        <v>2309</v>
      </c>
      <c r="G2315" s="19">
        <f>IFERROR(__xludf.DUMMYFUNCTION("""COMPUTED_VALUE"""),0.0024)</f>
        <v>0.0024</v>
      </c>
      <c r="H2315" s="19" t="str">
        <f>IFERROR(__xludf.DUMMYFUNCTION("""COMPUTED_VALUE"""),"-")</f>
        <v>-</v>
      </c>
      <c r="I2315" s="19">
        <f>IFERROR(__xludf.DUMMYFUNCTION("""COMPUTED_VALUE"""),0.00223)</f>
        <v>0.00223</v>
      </c>
      <c r="J2315" s="19">
        <f>IFERROR(__xludf.DUMMYFUNCTION("""COMPUTED_VALUE"""),0.04674)</f>
        <v>0.04674</v>
      </c>
      <c r="K2315" s="19" t="str">
        <f>IFERROR(__xludf.DUMMYFUNCTION("""COMPUTED_VALUE"""),"-")</f>
        <v>-</v>
      </c>
      <c r="L2315" s="19" t="str">
        <f>IFERROR(__xludf.DUMMYFUNCTION("""COMPUTED_VALUE"""),"-")</f>
        <v>-</v>
      </c>
      <c r="O2315" s="24">
        <f t="shared" si="4"/>
        <v>0</v>
      </c>
      <c r="P2315" s="24"/>
      <c r="Q2315" s="24">
        <f t="shared" si="6"/>
        <v>0</v>
      </c>
      <c r="R2315" s="24">
        <f t="shared" si="7"/>
        <v>0</v>
      </c>
      <c r="S2315" s="24"/>
      <c r="T2315" s="24"/>
    </row>
    <row r="2316">
      <c r="A2316" s="12" t="s">
        <v>2404</v>
      </c>
      <c r="F2316" s="19">
        <f>IFERROR(__xludf.DUMMYFUNCTION("SPLIT(A2312, "" |"")"),2310.0)</f>
        <v>2310</v>
      </c>
      <c r="G2316" s="19">
        <f>IFERROR(__xludf.DUMMYFUNCTION("""COMPUTED_VALUE"""),0.00237)</f>
        <v>0.00237</v>
      </c>
      <c r="H2316" s="19" t="str">
        <f>IFERROR(__xludf.DUMMYFUNCTION("""COMPUTED_VALUE"""),"-")</f>
        <v>-</v>
      </c>
      <c r="I2316" s="19">
        <f>IFERROR(__xludf.DUMMYFUNCTION("""COMPUTED_VALUE"""),0.00223)</f>
        <v>0.00223</v>
      </c>
      <c r="J2316" s="19">
        <f>IFERROR(__xludf.DUMMYFUNCTION("""COMPUTED_VALUE"""),0.04748)</f>
        <v>0.04748</v>
      </c>
      <c r="K2316" s="19" t="str">
        <f>IFERROR(__xludf.DUMMYFUNCTION("""COMPUTED_VALUE"""),"-")</f>
        <v>-</v>
      </c>
      <c r="L2316" s="19" t="str">
        <f>IFERROR(__xludf.DUMMYFUNCTION("""COMPUTED_VALUE"""),"-")</f>
        <v>-</v>
      </c>
      <c r="O2316" s="24">
        <f t="shared" si="4"/>
        <v>0</v>
      </c>
      <c r="P2316" s="24"/>
      <c r="Q2316" s="24">
        <f t="shared" si="6"/>
        <v>0</v>
      </c>
      <c r="R2316" s="24">
        <f t="shared" si="7"/>
        <v>0</v>
      </c>
      <c r="S2316" s="24"/>
      <c r="T2316" s="24"/>
    </row>
    <row r="2317">
      <c r="A2317" s="12" t="s">
        <v>2405</v>
      </c>
      <c r="F2317" s="19">
        <f>IFERROR(__xludf.DUMMYFUNCTION("SPLIT(A2313, "" |"")"),2311.0)</f>
        <v>2311</v>
      </c>
      <c r="G2317" s="19">
        <f>IFERROR(__xludf.DUMMYFUNCTION("""COMPUTED_VALUE"""),0.00234)</f>
        <v>0.00234</v>
      </c>
      <c r="H2317" s="19" t="str">
        <f>IFERROR(__xludf.DUMMYFUNCTION("""COMPUTED_VALUE"""),"-")</f>
        <v>-</v>
      </c>
      <c r="I2317" s="19">
        <f>IFERROR(__xludf.DUMMYFUNCTION("""COMPUTED_VALUE"""),0.00222)</f>
        <v>0.00222</v>
      </c>
      <c r="J2317" s="19">
        <f>IFERROR(__xludf.DUMMYFUNCTION("""COMPUTED_VALUE"""),0.04497)</f>
        <v>0.04497</v>
      </c>
      <c r="K2317" s="19" t="str">
        <f>IFERROR(__xludf.DUMMYFUNCTION("""COMPUTED_VALUE"""),"-")</f>
        <v>-</v>
      </c>
      <c r="L2317" s="19" t="str">
        <f>IFERROR(__xludf.DUMMYFUNCTION("""COMPUTED_VALUE"""),"-")</f>
        <v>-</v>
      </c>
      <c r="O2317" s="24">
        <f t="shared" si="4"/>
        <v>0</v>
      </c>
      <c r="P2317" s="24"/>
      <c r="Q2317" s="24">
        <f t="shared" si="6"/>
        <v>0</v>
      </c>
      <c r="R2317" s="24">
        <f t="shared" si="7"/>
        <v>0</v>
      </c>
      <c r="S2317" s="24"/>
      <c r="T2317" s="24"/>
    </row>
    <row r="2318">
      <c r="A2318" s="12" t="s">
        <v>2406</v>
      </c>
      <c r="F2318" s="19">
        <f>IFERROR(__xludf.DUMMYFUNCTION("SPLIT(A2314, "" |"")"),2312.0)</f>
        <v>2312</v>
      </c>
      <c r="G2318" s="19">
        <f>IFERROR(__xludf.DUMMYFUNCTION("""COMPUTED_VALUE"""),0.00233)</f>
        <v>0.00233</v>
      </c>
      <c r="H2318" s="19" t="str">
        <f>IFERROR(__xludf.DUMMYFUNCTION("""COMPUTED_VALUE"""),"-")</f>
        <v>-</v>
      </c>
      <c r="I2318" s="19">
        <f>IFERROR(__xludf.DUMMYFUNCTION("""COMPUTED_VALUE"""),0.00221)</f>
        <v>0.00221</v>
      </c>
      <c r="J2318" s="19">
        <f>IFERROR(__xludf.DUMMYFUNCTION("""COMPUTED_VALUE"""),0.04736)</f>
        <v>0.04736</v>
      </c>
      <c r="K2318" s="19" t="str">
        <f>IFERROR(__xludf.DUMMYFUNCTION("""COMPUTED_VALUE"""),"-")</f>
        <v>-</v>
      </c>
      <c r="L2318" s="19" t="str">
        <f>IFERROR(__xludf.DUMMYFUNCTION("""COMPUTED_VALUE"""),"-")</f>
        <v>-</v>
      </c>
      <c r="O2318" s="24">
        <f t="shared" si="4"/>
        <v>0</v>
      </c>
      <c r="P2318" s="24"/>
      <c r="Q2318" s="24">
        <f t="shared" si="6"/>
        <v>0</v>
      </c>
      <c r="R2318" s="24">
        <f t="shared" si="7"/>
        <v>0</v>
      </c>
      <c r="S2318" s="24"/>
      <c r="T2318" s="24"/>
    </row>
    <row r="2319">
      <c r="A2319" s="12" t="s">
        <v>2407</v>
      </c>
      <c r="F2319" s="19">
        <f>IFERROR(__xludf.DUMMYFUNCTION("SPLIT(A2315, "" |"")"),2313.0)</f>
        <v>2313</v>
      </c>
      <c r="G2319" s="19">
        <f>IFERROR(__xludf.DUMMYFUNCTION("""COMPUTED_VALUE"""),0.00226)</f>
        <v>0.00226</v>
      </c>
      <c r="H2319" s="19" t="str">
        <f>IFERROR(__xludf.DUMMYFUNCTION("""COMPUTED_VALUE"""),"-")</f>
        <v>-</v>
      </c>
      <c r="I2319" s="19">
        <f>IFERROR(__xludf.DUMMYFUNCTION("""COMPUTED_VALUE"""),0.00211)</f>
        <v>0.00211</v>
      </c>
      <c r="J2319" s="19">
        <f>IFERROR(__xludf.DUMMYFUNCTION("""COMPUTED_VALUE"""),0.04735)</f>
        <v>0.04735</v>
      </c>
      <c r="K2319" s="19" t="str">
        <f>IFERROR(__xludf.DUMMYFUNCTION("""COMPUTED_VALUE"""),"-")</f>
        <v>-</v>
      </c>
      <c r="L2319" s="19" t="str">
        <f>IFERROR(__xludf.DUMMYFUNCTION("""COMPUTED_VALUE"""),"-")</f>
        <v>-</v>
      </c>
      <c r="O2319" s="24">
        <f t="shared" si="4"/>
        <v>0</v>
      </c>
      <c r="P2319" s="24"/>
      <c r="Q2319" s="24">
        <f t="shared" si="6"/>
        <v>0</v>
      </c>
      <c r="R2319" s="24">
        <f t="shared" si="7"/>
        <v>0</v>
      </c>
      <c r="S2319" s="24"/>
      <c r="T2319" s="24"/>
    </row>
    <row r="2320">
      <c r="A2320" s="12" t="s">
        <v>2408</v>
      </c>
      <c r="F2320" s="19">
        <f>IFERROR(__xludf.DUMMYFUNCTION("SPLIT(A2316, "" |"")"),2314.0)</f>
        <v>2314</v>
      </c>
      <c r="G2320" s="19">
        <f>IFERROR(__xludf.DUMMYFUNCTION("""COMPUTED_VALUE"""),0.00235)</f>
        <v>0.00235</v>
      </c>
      <c r="H2320" s="19" t="str">
        <f>IFERROR(__xludf.DUMMYFUNCTION("""COMPUTED_VALUE"""),"-")</f>
        <v>-</v>
      </c>
      <c r="I2320" s="19">
        <f>IFERROR(__xludf.DUMMYFUNCTION("""COMPUTED_VALUE"""),0.00228)</f>
        <v>0.00228</v>
      </c>
      <c r="J2320" s="19">
        <f>IFERROR(__xludf.DUMMYFUNCTION("""COMPUTED_VALUE"""),0.0439)</f>
        <v>0.0439</v>
      </c>
      <c r="K2320" s="19" t="str">
        <f>IFERROR(__xludf.DUMMYFUNCTION("""COMPUTED_VALUE"""),"-")</f>
        <v>-</v>
      </c>
      <c r="L2320" s="19" t="str">
        <f>IFERROR(__xludf.DUMMYFUNCTION("""COMPUTED_VALUE"""),"-")</f>
        <v>-</v>
      </c>
      <c r="O2320" s="24">
        <f t="shared" si="4"/>
        <v>0</v>
      </c>
      <c r="P2320" s="24"/>
      <c r="Q2320" s="24">
        <f t="shared" si="6"/>
        <v>0</v>
      </c>
      <c r="R2320" s="24">
        <f t="shared" si="7"/>
        <v>1</v>
      </c>
      <c r="S2320" s="24"/>
      <c r="T2320" s="24"/>
    </row>
    <row r="2321">
      <c r="A2321" s="12" t="s">
        <v>2409</v>
      </c>
      <c r="F2321" s="19">
        <f>IFERROR(__xludf.DUMMYFUNCTION("SPLIT(A2317, "" |"")"),2315.0)</f>
        <v>2315</v>
      </c>
      <c r="G2321" s="19">
        <f>IFERROR(__xludf.DUMMYFUNCTION("""COMPUTED_VALUE"""),0.00238)</f>
        <v>0.00238</v>
      </c>
      <c r="H2321" s="19" t="str">
        <f>IFERROR(__xludf.DUMMYFUNCTION("""COMPUTED_VALUE"""),"-")</f>
        <v>-</v>
      </c>
      <c r="I2321" s="19">
        <f>IFERROR(__xludf.DUMMYFUNCTION("""COMPUTED_VALUE"""),0.00218)</f>
        <v>0.00218</v>
      </c>
      <c r="J2321" s="19">
        <f>IFERROR(__xludf.DUMMYFUNCTION("""COMPUTED_VALUE"""),0.04739)</f>
        <v>0.04739</v>
      </c>
      <c r="K2321" s="19" t="str">
        <f>IFERROR(__xludf.DUMMYFUNCTION("""COMPUTED_VALUE"""),"-")</f>
        <v>-</v>
      </c>
      <c r="L2321" s="19" t="str">
        <f>IFERROR(__xludf.DUMMYFUNCTION("""COMPUTED_VALUE"""),"-")</f>
        <v>-</v>
      </c>
      <c r="O2321" s="24">
        <f t="shared" si="4"/>
        <v>0</v>
      </c>
      <c r="P2321" s="24"/>
      <c r="Q2321" s="24">
        <f t="shared" si="6"/>
        <v>0</v>
      </c>
      <c r="R2321" s="24">
        <f t="shared" si="7"/>
        <v>0</v>
      </c>
      <c r="S2321" s="24"/>
      <c r="T2321" s="24"/>
    </row>
    <row r="2322">
      <c r="A2322" s="12" t="s">
        <v>2410</v>
      </c>
      <c r="F2322" s="19">
        <f>IFERROR(__xludf.DUMMYFUNCTION("SPLIT(A2318, "" |"")"),2316.0)</f>
        <v>2316</v>
      </c>
      <c r="G2322" s="19">
        <f>IFERROR(__xludf.DUMMYFUNCTION("""COMPUTED_VALUE"""),0.0023)</f>
        <v>0.0023</v>
      </c>
      <c r="H2322" s="19" t="str">
        <f>IFERROR(__xludf.DUMMYFUNCTION("""COMPUTED_VALUE"""),"-")</f>
        <v>-</v>
      </c>
      <c r="I2322" s="19">
        <f>IFERROR(__xludf.DUMMYFUNCTION("""COMPUTED_VALUE"""),0.00212)</f>
        <v>0.00212</v>
      </c>
      <c r="J2322" s="19">
        <f>IFERROR(__xludf.DUMMYFUNCTION("""COMPUTED_VALUE"""),0.04742)</f>
        <v>0.04742</v>
      </c>
      <c r="K2322" s="19" t="str">
        <f>IFERROR(__xludf.DUMMYFUNCTION("""COMPUTED_VALUE"""),"-")</f>
        <v>-</v>
      </c>
      <c r="L2322" s="19" t="str">
        <f>IFERROR(__xludf.DUMMYFUNCTION("""COMPUTED_VALUE"""),"-")</f>
        <v>-</v>
      </c>
      <c r="O2322" s="24">
        <f t="shared" si="4"/>
        <v>0</v>
      </c>
      <c r="P2322" s="24"/>
      <c r="Q2322" s="24">
        <f t="shared" si="6"/>
        <v>0</v>
      </c>
      <c r="R2322" s="24">
        <f t="shared" si="7"/>
        <v>0</v>
      </c>
      <c r="S2322" s="24"/>
      <c r="T2322" s="24"/>
    </row>
    <row r="2323">
      <c r="A2323" s="12" t="s">
        <v>2411</v>
      </c>
      <c r="F2323" s="19">
        <f>IFERROR(__xludf.DUMMYFUNCTION("SPLIT(A2319, "" |"")"),2317.0)</f>
        <v>2317</v>
      </c>
      <c r="G2323" s="19">
        <f>IFERROR(__xludf.DUMMYFUNCTION("""COMPUTED_VALUE"""),0.00228)</f>
        <v>0.00228</v>
      </c>
      <c r="H2323" s="19" t="str">
        <f>IFERROR(__xludf.DUMMYFUNCTION("""COMPUTED_VALUE"""),"-")</f>
        <v>-</v>
      </c>
      <c r="I2323" s="19">
        <f>IFERROR(__xludf.DUMMYFUNCTION("""COMPUTED_VALUE"""),0.00208)</f>
        <v>0.00208</v>
      </c>
      <c r="J2323" s="19">
        <f>IFERROR(__xludf.DUMMYFUNCTION("""COMPUTED_VALUE"""),0.03795)</f>
        <v>0.03795</v>
      </c>
      <c r="K2323" s="19" t="str">
        <f>IFERROR(__xludf.DUMMYFUNCTION("""COMPUTED_VALUE"""),"-")</f>
        <v>-</v>
      </c>
      <c r="L2323" s="19" t="str">
        <f>IFERROR(__xludf.DUMMYFUNCTION("""COMPUTED_VALUE"""),"-")</f>
        <v>-</v>
      </c>
      <c r="O2323" s="24">
        <f t="shared" si="4"/>
        <v>0</v>
      </c>
      <c r="P2323" s="24"/>
      <c r="Q2323" s="24">
        <f t="shared" si="6"/>
        <v>0</v>
      </c>
      <c r="R2323" s="24">
        <f t="shared" si="7"/>
        <v>1</v>
      </c>
      <c r="S2323" s="24"/>
      <c r="T2323" s="24"/>
    </row>
    <row r="2324">
      <c r="A2324" s="12" t="s">
        <v>2412</v>
      </c>
      <c r="F2324" s="19">
        <f>IFERROR(__xludf.DUMMYFUNCTION("SPLIT(A2320, "" |"")"),2318.0)</f>
        <v>2318</v>
      </c>
      <c r="G2324" s="19">
        <f>IFERROR(__xludf.DUMMYFUNCTION("""COMPUTED_VALUE"""),0.0023)</f>
        <v>0.0023</v>
      </c>
      <c r="H2324" s="19" t="str">
        <f>IFERROR(__xludf.DUMMYFUNCTION("""COMPUTED_VALUE"""),"-")</f>
        <v>-</v>
      </c>
      <c r="I2324" s="19">
        <f>IFERROR(__xludf.DUMMYFUNCTION("""COMPUTED_VALUE"""),0.00216)</f>
        <v>0.00216</v>
      </c>
      <c r="J2324" s="19">
        <f>IFERROR(__xludf.DUMMYFUNCTION("""COMPUTED_VALUE"""),0.04745)</f>
        <v>0.04745</v>
      </c>
      <c r="K2324" s="19" t="str">
        <f>IFERROR(__xludf.DUMMYFUNCTION("""COMPUTED_VALUE"""),"-")</f>
        <v>-</v>
      </c>
      <c r="L2324" s="19" t="str">
        <f>IFERROR(__xludf.DUMMYFUNCTION("""COMPUTED_VALUE"""),"-")</f>
        <v>-</v>
      </c>
      <c r="O2324" s="24">
        <f t="shared" si="4"/>
        <v>0</v>
      </c>
      <c r="P2324" s="24"/>
      <c r="Q2324" s="24">
        <f t="shared" si="6"/>
        <v>0</v>
      </c>
      <c r="R2324" s="24">
        <f t="shared" si="7"/>
        <v>0</v>
      </c>
      <c r="S2324" s="24"/>
      <c r="T2324" s="24"/>
    </row>
    <row r="2325">
      <c r="A2325" s="12" t="s">
        <v>2413</v>
      </c>
      <c r="F2325" s="19">
        <f>IFERROR(__xludf.DUMMYFUNCTION("SPLIT(A2321, "" |"")"),2319.0)</f>
        <v>2319</v>
      </c>
      <c r="G2325" s="19">
        <f>IFERROR(__xludf.DUMMYFUNCTION("""COMPUTED_VALUE"""),0.0024)</f>
        <v>0.0024</v>
      </c>
      <c r="H2325" s="19" t="str">
        <f>IFERROR(__xludf.DUMMYFUNCTION("""COMPUTED_VALUE"""),"-")</f>
        <v>-</v>
      </c>
      <c r="I2325" s="19">
        <f>IFERROR(__xludf.DUMMYFUNCTION("""COMPUTED_VALUE"""),0.0022)</f>
        <v>0.0022</v>
      </c>
      <c r="J2325" s="19">
        <f>IFERROR(__xludf.DUMMYFUNCTION("""COMPUTED_VALUE"""),0.04742)</f>
        <v>0.04742</v>
      </c>
      <c r="K2325" s="19" t="str">
        <f>IFERROR(__xludf.DUMMYFUNCTION("""COMPUTED_VALUE"""),"-")</f>
        <v>-</v>
      </c>
      <c r="L2325" s="19" t="str">
        <f>IFERROR(__xludf.DUMMYFUNCTION("""COMPUTED_VALUE"""),"-")</f>
        <v>-</v>
      </c>
      <c r="O2325" s="24">
        <f t="shared" si="4"/>
        <v>0</v>
      </c>
      <c r="P2325" s="24"/>
      <c r="Q2325" s="24">
        <f t="shared" si="6"/>
        <v>0</v>
      </c>
      <c r="R2325" s="24">
        <f t="shared" si="7"/>
        <v>0</v>
      </c>
      <c r="S2325" s="24"/>
      <c r="T2325" s="24"/>
    </row>
    <row r="2326">
      <c r="A2326" s="12" t="s">
        <v>2414</v>
      </c>
      <c r="F2326" s="19">
        <f>IFERROR(__xludf.DUMMYFUNCTION("SPLIT(A2322, "" |"")"),2320.0)</f>
        <v>2320</v>
      </c>
      <c r="G2326" s="19">
        <f>IFERROR(__xludf.DUMMYFUNCTION("""COMPUTED_VALUE"""),0.00237)</f>
        <v>0.00237</v>
      </c>
      <c r="H2326" s="19" t="str">
        <f>IFERROR(__xludf.DUMMYFUNCTION("""COMPUTED_VALUE"""),"-")</f>
        <v>-</v>
      </c>
      <c r="I2326" s="19">
        <f>IFERROR(__xludf.DUMMYFUNCTION("""COMPUTED_VALUE"""),0.0022)</f>
        <v>0.0022</v>
      </c>
      <c r="J2326" s="19">
        <f>IFERROR(__xludf.DUMMYFUNCTION("""COMPUTED_VALUE"""),0.03958)</f>
        <v>0.03958</v>
      </c>
      <c r="K2326" s="19" t="str">
        <f>IFERROR(__xludf.DUMMYFUNCTION("""COMPUTED_VALUE"""),"-")</f>
        <v>-</v>
      </c>
      <c r="L2326" s="19" t="str">
        <f>IFERROR(__xludf.DUMMYFUNCTION("""COMPUTED_VALUE"""),"-")</f>
        <v>-</v>
      </c>
      <c r="O2326" s="24">
        <f t="shared" si="4"/>
        <v>0</v>
      </c>
      <c r="P2326" s="24"/>
      <c r="Q2326" s="24">
        <f t="shared" si="6"/>
        <v>0</v>
      </c>
      <c r="R2326" s="24">
        <f t="shared" si="7"/>
        <v>1</v>
      </c>
      <c r="S2326" s="24"/>
      <c r="T2326" s="24"/>
    </row>
    <row r="2327">
      <c r="A2327" s="12" t="s">
        <v>2415</v>
      </c>
      <c r="F2327" s="19">
        <f>IFERROR(__xludf.DUMMYFUNCTION("SPLIT(A2323, "" |"")"),2321.0)</f>
        <v>2321</v>
      </c>
      <c r="G2327" s="19">
        <f>IFERROR(__xludf.DUMMYFUNCTION("""COMPUTED_VALUE"""),0.00231)</f>
        <v>0.00231</v>
      </c>
      <c r="H2327" s="19" t="str">
        <f>IFERROR(__xludf.DUMMYFUNCTION("""COMPUTED_VALUE"""),"-")</f>
        <v>-</v>
      </c>
      <c r="I2327" s="19">
        <f>IFERROR(__xludf.DUMMYFUNCTION("""COMPUTED_VALUE"""),0.00214)</f>
        <v>0.00214</v>
      </c>
      <c r="J2327" s="19">
        <f>IFERROR(__xludf.DUMMYFUNCTION("""COMPUTED_VALUE"""),0.04746)</f>
        <v>0.04746</v>
      </c>
      <c r="K2327" s="19" t="str">
        <f>IFERROR(__xludf.DUMMYFUNCTION("""COMPUTED_VALUE"""),"-")</f>
        <v>-</v>
      </c>
      <c r="L2327" s="19" t="str">
        <f>IFERROR(__xludf.DUMMYFUNCTION("""COMPUTED_VALUE"""),"-")</f>
        <v>-</v>
      </c>
      <c r="O2327" s="24">
        <f t="shared" si="4"/>
        <v>0</v>
      </c>
      <c r="P2327" s="24"/>
      <c r="Q2327" s="24">
        <f t="shared" si="6"/>
        <v>0</v>
      </c>
      <c r="R2327" s="24">
        <f t="shared" si="7"/>
        <v>0</v>
      </c>
      <c r="S2327" s="24"/>
      <c r="T2327" s="24"/>
    </row>
    <row r="2328">
      <c r="A2328" s="12" t="s">
        <v>2416</v>
      </c>
      <c r="F2328" s="19">
        <f>IFERROR(__xludf.DUMMYFUNCTION("SPLIT(A2324, "" |"")"),2322.0)</f>
        <v>2322</v>
      </c>
      <c r="G2328" s="19">
        <f>IFERROR(__xludf.DUMMYFUNCTION("""COMPUTED_VALUE"""),0.00232)</f>
        <v>0.00232</v>
      </c>
      <c r="H2328" s="19" t="str">
        <f>IFERROR(__xludf.DUMMYFUNCTION("""COMPUTED_VALUE"""),"-")</f>
        <v>-</v>
      </c>
      <c r="I2328" s="19">
        <f>IFERROR(__xludf.DUMMYFUNCTION("""COMPUTED_VALUE"""),0.0022)</f>
        <v>0.0022</v>
      </c>
      <c r="J2328" s="19">
        <f>IFERROR(__xludf.DUMMYFUNCTION("""COMPUTED_VALUE"""),0.04056)</f>
        <v>0.04056</v>
      </c>
      <c r="K2328" s="19" t="str">
        <f>IFERROR(__xludf.DUMMYFUNCTION("""COMPUTED_VALUE"""),"-")</f>
        <v>-</v>
      </c>
      <c r="L2328" s="19" t="str">
        <f>IFERROR(__xludf.DUMMYFUNCTION("""COMPUTED_VALUE"""),"-")</f>
        <v>-</v>
      </c>
      <c r="O2328" s="24">
        <f t="shared" si="4"/>
        <v>0</v>
      </c>
      <c r="P2328" s="24"/>
      <c r="Q2328" s="24">
        <f t="shared" si="6"/>
        <v>0</v>
      </c>
      <c r="R2328" s="24">
        <f t="shared" si="7"/>
        <v>1</v>
      </c>
      <c r="S2328" s="24"/>
      <c r="T2328" s="24"/>
    </row>
    <row r="2329">
      <c r="A2329" s="12" t="s">
        <v>2417</v>
      </c>
      <c r="F2329" s="19">
        <f>IFERROR(__xludf.DUMMYFUNCTION("SPLIT(A2325, "" |"")"),2323.0)</f>
        <v>2323</v>
      </c>
      <c r="G2329" s="19">
        <f>IFERROR(__xludf.DUMMYFUNCTION("""COMPUTED_VALUE"""),0.00231)</f>
        <v>0.00231</v>
      </c>
      <c r="H2329" s="19" t="str">
        <f>IFERROR(__xludf.DUMMYFUNCTION("""COMPUTED_VALUE"""),"-")</f>
        <v>-</v>
      </c>
      <c r="I2329" s="19">
        <f>IFERROR(__xludf.DUMMYFUNCTION("""COMPUTED_VALUE"""),0.00224)</f>
        <v>0.00224</v>
      </c>
      <c r="J2329" s="19">
        <f>IFERROR(__xludf.DUMMYFUNCTION("""COMPUTED_VALUE"""),0.04278)</f>
        <v>0.04278</v>
      </c>
      <c r="K2329" s="19" t="str">
        <f>IFERROR(__xludf.DUMMYFUNCTION("""COMPUTED_VALUE"""),"-")</f>
        <v>-</v>
      </c>
      <c r="L2329" s="19" t="str">
        <f>IFERROR(__xludf.DUMMYFUNCTION("""COMPUTED_VALUE"""),"-")</f>
        <v>-</v>
      </c>
      <c r="O2329" s="24">
        <f t="shared" si="4"/>
        <v>0</v>
      </c>
      <c r="P2329" s="24"/>
      <c r="Q2329" s="24">
        <f t="shared" si="6"/>
        <v>0</v>
      </c>
      <c r="R2329" s="24">
        <f t="shared" si="7"/>
        <v>1</v>
      </c>
      <c r="S2329" s="24"/>
      <c r="T2329" s="24"/>
    </row>
    <row r="2330">
      <c r="A2330" s="12" t="s">
        <v>2418</v>
      </c>
      <c r="F2330" s="19">
        <f>IFERROR(__xludf.DUMMYFUNCTION("SPLIT(A2326, "" |"")"),2324.0)</f>
        <v>2324</v>
      </c>
      <c r="G2330" s="19">
        <f>IFERROR(__xludf.DUMMYFUNCTION("""COMPUTED_VALUE"""),0.00237)</f>
        <v>0.00237</v>
      </c>
      <c r="H2330" s="19" t="str">
        <f>IFERROR(__xludf.DUMMYFUNCTION("""COMPUTED_VALUE"""),"-")</f>
        <v>-</v>
      </c>
      <c r="I2330" s="19">
        <f>IFERROR(__xludf.DUMMYFUNCTION("""COMPUTED_VALUE"""),0.00221)</f>
        <v>0.00221</v>
      </c>
      <c r="J2330" s="19">
        <f>IFERROR(__xludf.DUMMYFUNCTION("""COMPUTED_VALUE"""),0.04745)</f>
        <v>0.04745</v>
      </c>
      <c r="K2330" s="19" t="str">
        <f>IFERROR(__xludf.DUMMYFUNCTION("""COMPUTED_VALUE"""),"-")</f>
        <v>-</v>
      </c>
      <c r="L2330" s="19" t="str">
        <f>IFERROR(__xludf.DUMMYFUNCTION("""COMPUTED_VALUE"""),"-")</f>
        <v>-</v>
      </c>
      <c r="O2330" s="24">
        <f t="shared" si="4"/>
        <v>0</v>
      </c>
      <c r="P2330" s="24"/>
      <c r="Q2330" s="24">
        <f t="shared" si="6"/>
        <v>0</v>
      </c>
      <c r="R2330" s="24">
        <f t="shared" si="7"/>
        <v>0</v>
      </c>
      <c r="S2330" s="24"/>
      <c r="T2330" s="24"/>
    </row>
    <row r="2331">
      <c r="A2331" s="12" t="s">
        <v>2419</v>
      </c>
      <c r="F2331" s="19">
        <f>IFERROR(__xludf.DUMMYFUNCTION("SPLIT(A2327, "" |"")"),2325.0)</f>
        <v>2325</v>
      </c>
      <c r="G2331" s="19">
        <f>IFERROR(__xludf.DUMMYFUNCTION("""COMPUTED_VALUE"""),0.00242)</f>
        <v>0.00242</v>
      </c>
      <c r="H2331" s="19" t="str">
        <f>IFERROR(__xludf.DUMMYFUNCTION("""COMPUTED_VALUE"""),"-")</f>
        <v>-</v>
      </c>
      <c r="I2331" s="19">
        <f>IFERROR(__xludf.DUMMYFUNCTION("""COMPUTED_VALUE"""),0.00219)</f>
        <v>0.00219</v>
      </c>
      <c r="J2331" s="19">
        <f>IFERROR(__xludf.DUMMYFUNCTION("""COMPUTED_VALUE"""),0.04116)</f>
        <v>0.04116</v>
      </c>
      <c r="K2331" s="19" t="str">
        <f>IFERROR(__xludf.DUMMYFUNCTION("""COMPUTED_VALUE"""),"-")</f>
        <v>-</v>
      </c>
      <c r="L2331" s="19" t="str">
        <f>IFERROR(__xludf.DUMMYFUNCTION("""COMPUTED_VALUE"""),"-")</f>
        <v>-</v>
      </c>
      <c r="O2331" s="24">
        <f t="shared" si="4"/>
        <v>0</v>
      </c>
      <c r="P2331" s="24"/>
      <c r="Q2331" s="24">
        <f t="shared" si="6"/>
        <v>0</v>
      </c>
      <c r="R2331" s="24">
        <f t="shared" si="7"/>
        <v>1</v>
      </c>
      <c r="S2331" s="24"/>
      <c r="T2331" s="24"/>
    </row>
    <row r="2332">
      <c r="A2332" s="12" t="s">
        <v>2420</v>
      </c>
      <c r="F2332" s="19">
        <f>IFERROR(__xludf.DUMMYFUNCTION("SPLIT(A2328, "" |"")"),2326.0)</f>
        <v>2326</v>
      </c>
      <c r="G2332" s="19">
        <f>IFERROR(__xludf.DUMMYFUNCTION("""COMPUTED_VALUE"""),0.00224)</f>
        <v>0.00224</v>
      </c>
      <c r="H2332" s="19" t="str">
        <f>IFERROR(__xludf.DUMMYFUNCTION("""COMPUTED_VALUE"""),"-")</f>
        <v>-</v>
      </c>
      <c r="I2332" s="19">
        <f>IFERROR(__xludf.DUMMYFUNCTION("""COMPUTED_VALUE"""),0.00206)</f>
        <v>0.00206</v>
      </c>
      <c r="J2332" s="19">
        <f>IFERROR(__xludf.DUMMYFUNCTION("""COMPUTED_VALUE"""),0.04725)</f>
        <v>0.04725</v>
      </c>
      <c r="K2332" s="19" t="str">
        <f>IFERROR(__xludf.DUMMYFUNCTION("""COMPUTED_VALUE"""),"-")</f>
        <v>-</v>
      </c>
      <c r="L2332" s="19" t="str">
        <f>IFERROR(__xludf.DUMMYFUNCTION("""COMPUTED_VALUE"""),"-")</f>
        <v>-</v>
      </c>
      <c r="O2332" s="24">
        <f t="shared" si="4"/>
        <v>0</v>
      </c>
      <c r="P2332" s="24"/>
      <c r="Q2332" s="24">
        <f t="shared" si="6"/>
        <v>0</v>
      </c>
      <c r="R2332" s="24">
        <f t="shared" si="7"/>
        <v>0</v>
      </c>
      <c r="S2332" s="24"/>
      <c r="T2332" s="24"/>
    </row>
    <row r="2333">
      <c r="A2333" s="12" t="s">
        <v>2421</v>
      </c>
      <c r="F2333" s="19">
        <f>IFERROR(__xludf.DUMMYFUNCTION("SPLIT(A2329, "" |"")"),2327.0)</f>
        <v>2327</v>
      </c>
      <c r="G2333" s="19">
        <f>IFERROR(__xludf.DUMMYFUNCTION("""COMPUTED_VALUE"""),0.00222)</f>
        <v>0.00222</v>
      </c>
      <c r="H2333" s="19" t="str">
        <f>IFERROR(__xludf.DUMMYFUNCTION("""COMPUTED_VALUE"""),"-")</f>
        <v>-</v>
      </c>
      <c r="I2333" s="19">
        <f>IFERROR(__xludf.DUMMYFUNCTION("""COMPUTED_VALUE"""),0.00206)</f>
        <v>0.00206</v>
      </c>
      <c r="J2333" s="19">
        <f>IFERROR(__xludf.DUMMYFUNCTION("""COMPUTED_VALUE"""),0.04732)</f>
        <v>0.04732</v>
      </c>
      <c r="K2333" s="19" t="str">
        <f>IFERROR(__xludf.DUMMYFUNCTION("""COMPUTED_VALUE"""),"-")</f>
        <v>-</v>
      </c>
      <c r="L2333" s="19" t="str">
        <f>IFERROR(__xludf.DUMMYFUNCTION("""COMPUTED_VALUE"""),"-")</f>
        <v>-</v>
      </c>
      <c r="O2333" s="24">
        <f t="shared" si="4"/>
        <v>0</v>
      </c>
      <c r="P2333" s="24"/>
      <c r="Q2333" s="24">
        <f t="shared" si="6"/>
        <v>0</v>
      </c>
      <c r="R2333" s="24">
        <f t="shared" si="7"/>
        <v>0</v>
      </c>
      <c r="S2333" s="24"/>
      <c r="T2333" s="24"/>
    </row>
    <row r="2334">
      <c r="A2334" s="12" t="s">
        <v>2422</v>
      </c>
      <c r="F2334" s="19">
        <f>IFERROR(__xludf.DUMMYFUNCTION("SPLIT(A2330, "" |"")"),2328.0)</f>
        <v>2328</v>
      </c>
      <c r="G2334" s="19">
        <f>IFERROR(__xludf.DUMMYFUNCTION("""COMPUTED_VALUE"""),0.00242)</f>
        <v>0.00242</v>
      </c>
      <c r="H2334" s="19" t="str">
        <f>IFERROR(__xludf.DUMMYFUNCTION("""COMPUTED_VALUE"""),"-")</f>
        <v>-</v>
      </c>
      <c r="I2334" s="19">
        <f>IFERROR(__xludf.DUMMYFUNCTION("""COMPUTED_VALUE"""),0.00222)</f>
        <v>0.00222</v>
      </c>
      <c r="J2334" s="19">
        <f>IFERROR(__xludf.DUMMYFUNCTION("""COMPUTED_VALUE"""),0.04744)</f>
        <v>0.04744</v>
      </c>
      <c r="K2334" s="19" t="str">
        <f>IFERROR(__xludf.DUMMYFUNCTION("""COMPUTED_VALUE"""),"-")</f>
        <v>-</v>
      </c>
      <c r="L2334" s="19" t="str">
        <f>IFERROR(__xludf.DUMMYFUNCTION("""COMPUTED_VALUE"""),"-")</f>
        <v>-</v>
      </c>
      <c r="O2334" s="24">
        <f t="shared" si="4"/>
        <v>0</v>
      </c>
      <c r="P2334" s="24"/>
      <c r="Q2334" s="24">
        <f t="shared" si="6"/>
        <v>0</v>
      </c>
      <c r="R2334" s="24">
        <f t="shared" si="7"/>
        <v>0</v>
      </c>
      <c r="S2334" s="24"/>
      <c r="T2334" s="24"/>
    </row>
    <row r="2335">
      <c r="A2335" s="12" t="s">
        <v>2423</v>
      </c>
      <c r="F2335" s="19">
        <f>IFERROR(__xludf.DUMMYFUNCTION("SPLIT(A2331, "" |"")"),2329.0)</f>
        <v>2329</v>
      </c>
      <c r="G2335" s="19">
        <f>IFERROR(__xludf.DUMMYFUNCTION("""COMPUTED_VALUE"""),0.00234)</f>
        <v>0.00234</v>
      </c>
      <c r="H2335" s="19" t="str">
        <f>IFERROR(__xludf.DUMMYFUNCTION("""COMPUTED_VALUE"""),"-")</f>
        <v>-</v>
      </c>
      <c r="I2335" s="19">
        <f>IFERROR(__xludf.DUMMYFUNCTION("""COMPUTED_VALUE"""),0.00213)</f>
        <v>0.00213</v>
      </c>
      <c r="J2335" s="19">
        <f>IFERROR(__xludf.DUMMYFUNCTION("""COMPUTED_VALUE"""),0.04752)</f>
        <v>0.04752</v>
      </c>
      <c r="K2335" s="19" t="str">
        <f>IFERROR(__xludf.DUMMYFUNCTION("""COMPUTED_VALUE"""),"-")</f>
        <v>-</v>
      </c>
      <c r="L2335" s="19" t="str">
        <f>IFERROR(__xludf.DUMMYFUNCTION("""COMPUTED_VALUE"""),"-")</f>
        <v>-</v>
      </c>
      <c r="O2335" s="24">
        <f t="shared" si="4"/>
        <v>0</v>
      </c>
      <c r="P2335" s="24"/>
      <c r="Q2335" s="24">
        <f t="shared" si="6"/>
        <v>0</v>
      </c>
      <c r="R2335" s="24">
        <f t="shared" si="7"/>
        <v>0</v>
      </c>
      <c r="S2335" s="24"/>
      <c r="T2335" s="24"/>
    </row>
    <row r="2336">
      <c r="A2336" s="12" t="s">
        <v>2424</v>
      </c>
      <c r="F2336" s="19">
        <f>IFERROR(__xludf.DUMMYFUNCTION("SPLIT(A2332, "" |"")"),2330.0)</f>
        <v>2330</v>
      </c>
      <c r="G2336" s="19">
        <f>IFERROR(__xludf.DUMMYFUNCTION("""COMPUTED_VALUE"""),0.00237)</f>
        <v>0.00237</v>
      </c>
      <c r="H2336" s="19" t="str">
        <f>IFERROR(__xludf.DUMMYFUNCTION("""COMPUTED_VALUE"""),"-")</f>
        <v>-</v>
      </c>
      <c r="I2336" s="19">
        <f>IFERROR(__xludf.DUMMYFUNCTION("""COMPUTED_VALUE"""),0.00219)</f>
        <v>0.00219</v>
      </c>
      <c r="J2336" s="19">
        <f>IFERROR(__xludf.DUMMYFUNCTION("""COMPUTED_VALUE"""),0.04746)</f>
        <v>0.04746</v>
      </c>
      <c r="K2336" s="19" t="str">
        <f>IFERROR(__xludf.DUMMYFUNCTION("""COMPUTED_VALUE"""),"-")</f>
        <v>-</v>
      </c>
      <c r="L2336" s="19" t="str">
        <f>IFERROR(__xludf.DUMMYFUNCTION("""COMPUTED_VALUE"""),"-")</f>
        <v>-</v>
      </c>
      <c r="O2336" s="24">
        <f t="shared" si="4"/>
        <v>0</v>
      </c>
      <c r="P2336" s="24"/>
      <c r="Q2336" s="24">
        <f t="shared" si="6"/>
        <v>0</v>
      </c>
      <c r="R2336" s="24">
        <f t="shared" si="7"/>
        <v>0</v>
      </c>
      <c r="S2336" s="24"/>
      <c r="T2336" s="24"/>
    </row>
    <row r="2337">
      <c r="A2337" s="12" t="s">
        <v>2425</v>
      </c>
      <c r="F2337" s="19">
        <f>IFERROR(__xludf.DUMMYFUNCTION("SPLIT(A2333, "" |"")"),2331.0)</f>
        <v>2331</v>
      </c>
      <c r="G2337" s="19">
        <f>IFERROR(__xludf.DUMMYFUNCTION("""COMPUTED_VALUE"""),0.00234)</f>
        <v>0.00234</v>
      </c>
      <c r="H2337" s="19" t="str">
        <f>IFERROR(__xludf.DUMMYFUNCTION("""COMPUTED_VALUE"""),"-")</f>
        <v>-</v>
      </c>
      <c r="I2337" s="19">
        <f>IFERROR(__xludf.DUMMYFUNCTION("""COMPUTED_VALUE"""),0.0022)</f>
        <v>0.0022</v>
      </c>
      <c r="J2337" s="19">
        <f>IFERROR(__xludf.DUMMYFUNCTION("""COMPUTED_VALUE"""),0.04746)</f>
        <v>0.04746</v>
      </c>
      <c r="K2337" s="19" t="str">
        <f>IFERROR(__xludf.DUMMYFUNCTION("""COMPUTED_VALUE"""),"-")</f>
        <v>-</v>
      </c>
      <c r="L2337" s="19" t="str">
        <f>IFERROR(__xludf.DUMMYFUNCTION("""COMPUTED_VALUE"""),"-")</f>
        <v>-</v>
      </c>
      <c r="O2337" s="24">
        <f t="shared" si="4"/>
        <v>0</v>
      </c>
      <c r="P2337" s="24"/>
      <c r="Q2337" s="24">
        <f t="shared" si="6"/>
        <v>0</v>
      </c>
      <c r="R2337" s="24">
        <f t="shared" si="7"/>
        <v>0</v>
      </c>
      <c r="S2337" s="24"/>
      <c r="T2337" s="24"/>
    </row>
    <row r="2338">
      <c r="A2338" s="12" t="s">
        <v>2426</v>
      </c>
      <c r="F2338" s="19">
        <f>IFERROR(__xludf.DUMMYFUNCTION("SPLIT(A2334, "" |"")"),2332.0)</f>
        <v>2332</v>
      </c>
      <c r="G2338" s="19">
        <f>IFERROR(__xludf.DUMMYFUNCTION("""COMPUTED_VALUE"""),0.00234)</f>
        <v>0.00234</v>
      </c>
      <c r="H2338" s="19" t="str">
        <f>IFERROR(__xludf.DUMMYFUNCTION("""COMPUTED_VALUE"""),"-")</f>
        <v>-</v>
      </c>
      <c r="I2338" s="19">
        <f>IFERROR(__xludf.DUMMYFUNCTION("""COMPUTED_VALUE"""),0.00222)</f>
        <v>0.00222</v>
      </c>
      <c r="J2338" s="19">
        <f>IFERROR(__xludf.DUMMYFUNCTION("""COMPUTED_VALUE"""),0.046)</f>
        <v>0.046</v>
      </c>
      <c r="K2338" s="19" t="str">
        <f>IFERROR(__xludf.DUMMYFUNCTION("""COMPUTED_VALUE"""),"-")</f>
        <v>-</v>
      </c>
      <c r="L2338" s="19" t="str">
        <f>IFERROR(__xludf.DUMMYFUNCTION("""COMPUTED_VALUE"""),"-")</f>
        <v>-</v>
      </c>
      <c r="O2338" s="24">
        <f t="shared" si="4"/>
        <v>0</v>
      </c>
      <c r="P2338" s="24"/>
      <c r="Q2338" s="24">
        <f t="shared" si="6"/>
        <v>0</v>
      </c>
      <c r="R2338" s="24">
        <f t="shared" si="7"/>
        <v>0</v>
      </c>
      <c r="S2338" s="24"/>
      <c r="T2338" s="24"/>
    </row>
    <row r="2339">
      <c r="A2339" s="12" t="s">
        <v>2427</v>
      </c>
      <c r="F2339" s="19">
        <f>IFERROR(__xludf.DUMMYFUNCTION("SPLIT(A2335, "" |"")"),2333.0)</f>
        <v>2333</v>
      </c>
      <c r="G2339" s="19">
        <f>IFERROR(__xludf.DUMMYFUNCTION("""COMPUTED_VALUE"""),0.00234)</f>
        <v>0.00234</v>
      </c>
      <c r="H2339" s="19" t="str">
        <f>IFERROR(__xludf.DUMMYFUNCTION("""COMPUTED_VALUE"""),"-")</f>
        <v>-</v>
      </c>
      <c r="I2339" s="19">
        <f>IFERROR(__xludf.DUMMYFUNCTION("""COMPUTED_VALUE"""),0.0022)</f>
        <v>0.0022</v>
      </c>
      <c r="J2339" s="19">
        <f>IFERROR(__xludf.DUMMYFUNCTION("""COMPUTED_VALUE"""),0.04746)</f>
        <v>0.04746</v>
      </c>
      <c r="K2339" s="19" t="str">
        <f>IFERROR(__xludf.DUMMYFUNCTION("""COMPUTED_VALUE"""),"-")</f>
        <v>-</v>
      </c>
      <c r="L2339" s="19" t="str">
        <f>IFERROR(__xludf.DUMMYFUNCTION("""COMPUTED_VALUE"""),"-")</f>
        <v>-</v>
      </c>
      <c r="O2339" s="24">
        <f t="shared" si="4"/>
        <v>0</v>
      </c>
      <c r="P2339" s="24"/>
      <c r="Q2339" s="24">
        <f t="shared" si="6"/>
        <v>0</v>
      </c>
      <c r="R2339" s="24">
        <f t="shared" si="7"/>
        <v>0</v>
      </c>
      <c r="S2339" s="24"/>
      <c r="T2339" s="24"/>
    </row>
    <row r="2340">
      <c r="A2340" s="12" t="s">
        <v>2428</v>
      </c>
      <c r="F2340" s="19">
        <f>IFERROR(__xludf.DUMMYFUNCTION("SPLIT(A2336, "" |"")"),2334.0)</f>
        <v>2334</v>
      </c>
      <c r="G2340" s="19">
        <f>IFERROR(__xludf.DUMMYFUNCTION("""COMPUTED_VALUE"""),0.00235)</f>
        <v>0.00235</v>
      </c>
      <c r="H2340" s="19" t="str">
        <f>IFERROR(__xludf.DUMMYFUNCTION("""COMPUTED_VALUE"""),"-")</f>
        <v>-</v>
      </c>
      <c r="I2340" s="19">
        <f>IFERROR(__xludf.DUMMYFUNCTION("""COMPUTED_VALUE"""),0.00223)</f>
        <v>0.00223</v>
      </c>
      <c r="J2340" s="19">
        <f>IFERROR(__xludf.DUMMYFUNCTION("""COMPUTED_VALUE"""),0.04443)</f>
        <v>0.04443</v>
      </c>
      <c r="K2340" s="19" t="str">
        <f>IFERROR(__xludf.DUMMYFUNCTION("""COMPUTED_VALUE"""),"-")</f>
        <v>-</v>
      </c>
      <c r="L2340" s="19" t="str">
        <f>IFERROR(__xludf.DUMMYFUNCTION("""COMPUTED_VALUE"""),"-")</f>
        <v>-</v>
      </c>
      <c r="O2340" s="24">
        <f t="shared" si="4"/>
        <v>0</v>
      </c>
      <c r="P2340" s="24"/>
      <c r="Q2340" s="24">
        <f t="shared" si="6"/>
        <v>0</v>
      </c>
      <c r="R2340" s="24">
        <f t="shared" si="7"/>
        <v>1</v>
      </c>
      <c r="S2340" s="24"/>
      <c r="T2340" s="24"/>
    </row>
    <row r="2341">
      <c r="A2341" s="12" t="s">
        <v>2429</v>
      </c>
      <c r="F2341" s="19">
        <f>IFERROR(__xludf.DUMMYFUNCTION("SPLIT(A2337, "" |"")"),2335.0)</f>
        <v>2335</v>
      </c>
      <c r="G2341" s="19">
        <f>IFERROR(__xludf.DUMMYFUNCTION("""COMPUTED_VALUE"""),0.00237)</f>
        <v>0.00237</v>
      </c>
      <c r="H2341" s="19" t="str">
        <f>IFERROR(__xludf.DUMMYFUNCTION("""COMPUTED_VALUE"""),"-")</f>
        <v>-</v>
      </c>
      <c r="I2341" s="19">
        <f>IFERROR(__xludf.DUMMYFUNCTION("""COMPUTED_VALUE"""),0.00221)</f>
        <v>0.00221</v>
      </c>
      <c r="J2341" s="19">
        <f>IFERROR(__xludf.DUMMYFUNCTION("""COMPUTED_VALUE"""),0.04756)</f>
        <v>0.04756</v>
      </c>
      <c r="K2341" s="19" t="str">
        <f>IFERROR(__xludf.DUMMYFUNCTION("""COMPUTED_VALUE"""),"-")</f>
        <v>-</v>
      </c>
      <c r="L2341" s="19" t="str">
        <f>IFERROR(__xludf.DUMMYFUNCTION("""COMPUTED_VALUE"""),"-")</f>
        <v>-</v>
      </c>
      <c r="O2341" s="24">
        <f t="shared" si="4"/>
        <v>0</v>
      </c>
      <c r="P2341" s="24"/>
      <c r="Q2341" s="24">
        <f t="shared" si="6"/>
        <v>0</v>
      </c>
      <c r="R2341" s="24">
        <f t="shared" si="7"/>
        <v>0</v>
      </c>
      <c r="S2341" s="24"/>
      <c r="T2341" s="24"/>
    </row>
    <row r="2342">
      <c r="A2342" s="12" t="s">
        <v>2430</v>
      </c>
      <c r="F2342" s="19">
        <f>IFERROR(__xludf.DUMMYFUNCTION("SPLIT(A2338, "" |"")"),2336.0)</f>
        <v>2336</v>
      </c>
      <c r="G2342" s="19">
        <f>IFERROR(__xludf.DUMMYFUNCTION("""COMPUTED_VALUE"""),0.00237)</f>
        <v>0.00237</v>
      </c>
      <c r="H2342" s="19" t="str">
        <f>IFERROR(__xludf.DUMMYFUNCTION("""COMPUTED_VALUE"""),"-")</f>
        <v>-</v>
      </c>
      <c r="I2342" s="19">
        <f>IFERROR(__xludf.DUMMYFUNCTION("""COMPUTED_VALUE"""),0.00217)</f>
        <v>0.00217</v>
      </c>
      <c r="J2342" s="19">
        <f>IFERROR(__xludf.DUMMYFUNCTION("""COMPUTED_VALUE"""),0.04413)</f>
        <v>0.04413</v>
      </c>
      <c r="K2342" s="19" t="str">
        <f>IFERROR(__xludf.DUMMYFUNCTION("""COMPUTED_VALUE"""),"-")</f>
        <v>-</v>
      </c>
      <c r="L2342" s="19" t="str">
        <f>IFERROR(__xludf.DUMMYFUNCTION("""COMPUTED_VALUE"""),"-")</f>
        <v>-</v>
      </c>
      <c r="O2342" s="24">
        <f t="shared" si="4"/>
        <v>0</v>
      </c>
      <c r="P2342" s="24"/>
      <c r="Q2342" s="24">
        <f t="shared" si="6"/>
        <v>0</v>
      </c>
      <c r="R2342" s="24">
        <f t="shared" si="7"/>
        <v>1</v>
      </c>
      <c r="S2342" s="24"/>
      <c r="T2342" s="24"/>
    </row>
    <row r="2343">
      <c r="A2343" s="12" t="s">
        <v>2431</v>
      </c>
      <c r="F2343" s="19">
        <f>IFERROR(__xludf.DUMMYFUNCTION("SPLIT(A2339, "" |"")"),2337.0)</f>
        <v>2337</v>
      </c>
      <c r="G2343" s="19">
        <f>IFERROR(__xludf.DUMMYFUNCTION("""COMPUTED_VALUE"""),0.00237)</f>
        <v>0.00237</v>
      </c>
      <c r="H2343" s="19" t="str">
        <f>IFERROR(__xludf.DUMMYFUNCTION("""COMPUTED_VALUE"""),"-")</f>
        <v>-</v>
      </c>
      <c r="I2343" s="19">
        <f>IFERROR(__xludf.DUMMYFUNCTION("""COMPUTED_VALUE"""),0.00221)</f>
        <v>0.00221</v>
      </c>
      <c r="J2343" s="19">
        <f>IFERROR(__xludf.DUMMYFUNCTION("""COMPUTED_VALUE"""),0.04107)</f>
        <v>0.04107</v>
      </c>
      <c r="K2343" s="19" t="str">
        <f>IFERROR(__xludf.DUMMYFUNCTION("""COMPUTED_VALUE"""),"-")</f>
        <v>-</v>
      </c>
      <c r="L2343" s="19" t="str">
        <f>IFERROR(__xludf.DUMMYFUNCTION("""COMPUTED_VALUE"""),"-")</f>
        <v>-</v>
      </c>
      <c r="O2343" s="24">
        <f t="shared" si="4"/>
        <v>0</v>
      </c>
      <c r="P2343" s="24"/>
      <c r="Q2343" s="24">
        <f t="shared" si="6"/>
        <v>0</v>
      </c>
      <c r="R2343" s="24">
        <f t="shared" si="7"/>
        <v>1</v>
      </c>
      <c r="S2343" s="24"/>
      <c r="T2343" s="24"/>
    </row>
    <row r="2344">
      <c r="A2344" s="12" t="s">
        <v>2432</v>
      </c>
      <c r="F2344" s="19">
        <f>IFERROR(__xludf.DUMMYFUNCTION("SPLIT(A2340, "" |"")"),2338.0)</f>
        <v>2338</v>
      </c>
      <c r="G2344" s="19">
        <f>IFERROR(__xludf.DUMMYFUNCTION("""COMPUTED_VALUE"""),0.00232)</f>
        <v>0.00232</v>
      </c>
      <c r="H2344" s="19" t="str">
        <f>IFERROR(__xludf.DUMMYFUNCTION("""COMPUTED_VALUE"""),"-")</f>
        <v>-</v>
      </c>
      <c r="I2344" s="19">
        <f>IFERROR(__xludf.DUMMYFUNCTION("""COMPUTED_VALUE"""),0.00218)</f>
        <v>0.00218</v>
      </c>
      <c r="J2344" s="19">
        <f>IFERROR(__xludf.DUMMYFUNCTION("""COMPUTED_VALUE"""),0.04746)</f>
        <v>0.04746</v>
      </c>
      <c r="K2344" s="19" t="str">
        <f>IFERROR(__xludf.DUMMYFUNCTION("""COMPUTED_VALUE"""),"-")</f>
        <v>-</v>
      </c>
      <c r="L2344" s="19" t="str">
        <f>IFERROR(__xludf.DUMMYFUNCTION("""COMPUTED_VALUE"""),"-")</f>
        <v>-</v>
      </c>
      <c r="O2344" s="24">
        <f t="shared" si="4"/>
        <v>0</v>
      </c>
      <c r="P2344" s="24"/>
      <c r="Q2344" s="24">
        <f t="shared" si="6"/>
        <v>0</v>
      </c>
      <c r="R2344" s="24">
        <f t="shared" si="7"/>
        <v>0</v>
      </c>
      <c r="S2344" s="24"/>
      <c r="T2344" s="24"/>
    </row>
    <row r="2345">
      <c r="A2345" s="12" t="s">
        <v>2433</v>
      </c>
      <c r="F2345" s="19">
        <f>IFERROR(__xludf.DUMMYFUNCTION("SPLIT(A2341, "" |"")"),2339.0)</f>
        <v>2339</v>
      </c>
      <c r="G2345" s="19">
        <f>IFERROR(__xludf.DUMMYFUNCTION("""COMPUTED_VALUE"""),0.00236)</f>
        <v>0.00236</v>
      </c>
      <c r="H2345" s="19" t="str">
        <f>IFERROR(__xludf.DUMMYFUNCTION("""COMPUTED_VALUE"""),"-")</f>
        <v>-</v>
      </c>
      <c r="I2345" s="19">
        <f>IFERROR(__xludf.DUMMYFUNCTION("""COMPUTED_VALUE"""),0.00222)</f>
        <v>0.00222</v>
      </c>
      <c r="J2345" s="19">
        <f>IFERROR(__xludf.DUMMYFUNCTION("""COMPUTED_VALUE"""),0.04184)</f>
        <v>0.04184</v>
      </c>
      <c r="K2345" s="19" t="str">
        <f>IFERROR(__xludf.DUMMYFUNCTION("""COMPUTED_VALUE"""),"-")</f>
        <v>-</v>
      </c>
      <c r="L2345" s="19" t="str">
        <f>IFERROR(__xludf.DUMMYFUNCTION("""COMPUTED_VALUE"""),"-")</f>
        <v>-</v>
      </c>
      <c r="O2345" s="24">
        <f t="shared" si="4"/>
        <v>0</v>
      </c>
      <c r="P2345" s="24"/>
      <c r="Q2345" s="24">
        <f t="shared" si="6"/>
        <v>0</v>
      </c>
      <c r="R2345" s="24">
        <f t="shared" si="7"/>
        <v>1</v>
      </c>
      <c r="S2345" s="24"/>
      <c r="T2345" s="24"/>
    </row>
    <row r="2346">
      <c r="A2346" s="12" t="s">
        <v>2434</v>
      </c>
      <c r="F2346" s="19">
        <f>IFERROR(__xludf.DUMMYFUNCTION("SPLIT(A2342, "" |"")"),2340.0)</f>
        <v>2340</v>
      </c>
      <c r="G2346" s="19">
        <f>IFERROR(__xludf.DUMMYFUNCTION("""COMPUTED_VALUE"""),0.00235)</f>
        <v>0.00235</v>
      </c>
      <c r="H2346" s="19" t="str">
        <f>IFERROR(__xludf.DUMMYFUNCTION("""COMPUTED_VALUE"""),"-")</f>
        <v>-</v>
      </c>
      <c r="I2346" s="19">
        <f>IFERROR(__xludf.DUMMYFUNCTION("""COMPUTED_VALUE"""),0.00224)</f>
        <v>0.00224</v>
      </c>
      <c r="J2346" s="19">
        <f>IFERROR(__xludf.DUMMYFUNCTION("""COMPUTED_VALUE"""),0.04743)</f>
        <v>0.04743</v>
      </c>
      <c r="K2346" s="19" t="str">
        <f>IFERROR(__xludf.DUMMYFUNCTION("""COMPUTED_VALUE"""),"-")</f>
        <v>-</v>
      </c>
      <c r="L2346" s="19" t="str">
        <f>IFERROR(__xludf.DUMMYFUNCTION("""COMPUTED_VALUE"""),"-")</f>
        <v>-</v>
      </c>
      <c r="O2346" s="24">
        <f t="shared" si="4"/>
        <v>0</v>
      </c>
      <c r="P2346" s="24"/>
      <c r="Q2346" s="24">
        <f t="shared" si="6"/>
        <v>0</v>
      </c>
      <c r="R2346" s="24">
        <f t="shared" si="7"/>
        <v>0</v>
      </c>
      <c r="S2346" s="24"/>
      <c r="T2346" s="24"/>
    </row>
    <row r="2347">
      <c r="A2347" s="12" t="s">
        <v>2435</v>
      </c>
      <c r="F2347" s="19">
        <f>IFERROR(__xludf.DUMMYFUNCTION("SPLIT(A2343, "" |"")"),2341.0)</f>
        <v>2341</v>
      </c>
      <c r="G2347" s="19">
        <f>IFERROR(__xludf.DUMMYFUNCTION("""COMPUTED_VALUE"""),0.00242)</f>
        <v>0.00242</v>
      </c>
      <c r="H2347" s="19" t="str">
        <f>IFERROR(__xludf.DUMMYFUNCTION("""COMPUTED_VALUE"""),"-")</f>
        <v>-</v>
      </c>
      <c r="I2347" s="19">
        <f>IFERROR(__xludf.DUMMYFUNCTION("""COMPUTED_VALUE"""),0.00214)</f>
        <v>0.00214</v>
      </c>
      <c r="J2347" s="19">
        <f>IFERROR(__xludf.DUMMYFUNCTION("""COMPUTED_VALUE"""),0.04757)</f>
        <v>0.04757</v>
      </c>
      <c r="K2347" s="19" t="str">
        <f>IFERROR(__xludf.DUMMYFUNCTION("""COMPUTED_VALUE"""),"-")</f>
        <v>-</v>
      </c>
      <c r="L2347" s="19" t="str">
        <f>IFERROR(__xludf.DUMMYFUNCTION("""COMPUTED_VALUE"""),"-")</f>
        <v>-</v>
      </c>
      <c r="O2347" s="24">
        <f t="shared" si="4"/>
        <v>0</v>
      </c>
      <c r="P2347" s="24"/>
      <c r="Q2347" s="24">
        <f t="shared" si="6"/>
        <v>0</v>
      </c>
      <c r="R2347" s="24">
        <f t="shared" si="7"/>
        <v>0</v>
      </c>
      <c r="S2347" s="24"/>
      <c r="T2347" s="24"/>
    </row>
    <row r="2348">
      <c r="A2348" s="12" t="s">
        <v>2436</v>
      </c>
      <c r="F2348" s="19">
        <f>IFERROR(__xludf.DUMMYFUNCTION("SPLIT(A2344, "" |"")"),2342.0)</f>
        <v>2342</v>
      </c>
      <c r="G2348" s="19">
        <f>IFERROR(__xludf.DUMMYFUNCTION("""COMPUTED_VALUE"""),0.00238)</f>
        <v>0.00238</v>
      </c>
      <c r="H2348" s="19" t="str">
        <f>IFERROR(__xludf.DUMMYFUNCTION("""COMPUTED_VALUE"""),"-")</f>
        <v>-</v>
      </c>
      <c r="I2348" s="19">
        <f>IFERROR(__xludf.DUMMYFUNCTION("""COMPUTED_VALUE"""),0.0023)</f>
        <v>0.0023</v>
      </c>
      <c r="J2348" s="19">
        <f>IFERROR(__xludf.DUMMYFUNCTION("""COMPUTED_VALUE"""),0.04637)</f>
        <v>0.04637</v>
      </c>
      <c r="K2348" s="19" t="str">
        <f>IFERROR(__xludf.DUMMYFUNCTION("""COMPUTED_VALUE"""),"-")</f>
        <v>-</v>
      </c>
      <c r="L2348" s="19" t="str">
        <f>IFERROR(__xludf.DUMMYFUNCTION("""COMPUTED_VALUE"""),"-")</f>
        <v>-</v>
      </c>
      <c r="O2348" s="24">
        <f t="shared" si="4"/>
        <v>0</v>
      </c>
      <c r="P2348" s="24"/>
      <c r="Q2348" s="24">
        <f t="shared" si="6"/>
        <v>0</v>
      </c>
      <c r="R2348" s="24">
        <f t="shared" si="7"/>
        <v>0</v>
      </c>
      <c r="S2348" s="24"/>
      <c r="T2348" s="24"/>
    </row>
    <row r="2349">
      <c r="A2349" s="12" t="s">
        <v>2437</v>
      </c>
      <c r="F2349" s="19">
        <f>IFERROR(__xludf.DUMMYFUNCTION("SPLIT(A2345, "" |"")"),2343.0)</f>
        <v>2343</v>
      </c>
      <c r="G2349" s="19">
        <f>IFERROR(__xludf.DUMMYFUNCTION("""COMPUTED_VALUE"""),0.00237)</f>
        <v>0.00237</v>
      </c>
      <c r="H2349" s="19" t="str">
        <f>IFERROR(__xludf.DUMMYFUNCTION("""COMPUTED_VALUE"""),"-")</f>
        <v>-</v>
      </c>
      <c r="I2349" s="19">
        <f>IFERROR(__xludf.DUMMYFUNCTION("""COMPUTED_VALUE"""),0.00222)</f>
        <v>0.00222</v>
      </c>
      <c r="J2349" s="19">
        <f>IFERROR(__xludf.DUMMYFUNCTION("""COMPUTED_VALUE"""),0.04747)</f>
        <v>0.04747</v>
      </c>
      <c r="K2349" s="19" t="str">
        <f>IFERROR(__xludf.DUMMYFUNCTION("""COMPUTED_VALUE"""),"-")</f>
        <v>-</v>
      </c>
      <c r="L2349" s="19" t="str">
        <f>IFERROR(__xludf.DUMMYFUNCTION("""COMPUTED_VALUE"""),"-")</f>
        <v>-</v>
      </c>
      <c r="O2349" s="24">
        <f t="shared" si="4"/>
        <v>0</v>
      </c>
      <c r="P2349" s="24"/>
      <c r="Q2349" s="24">
        <f t="shared" si="6"/>
        <v>0</v>
      </c>
      <c r="R2349" s="24">
        <f t="shared" si="7"/>
        <v>0</v>
      </c>
      <c r="S2349" s="24"/>
      <c r="T2349" s="24"/>
    </row>
    <row r="2350">
      <c r="A2350" s="12" t="s">
        <v>2438</v>
      </c>
      <c r="F2350" s="19">
        <f>IFERROR(__xludf.DUMMYFUNCTION("SPLIT(A2346, "" |"")"),2344.0)</f>
        <v>2344</v>
      </c>
      <c r="G2350" s="19">
        <f>IFERROR(__xludf.DUMMYFUNCTION("""COMPUTED_VALUE"""),0.00235)</f>
        <v>0.00235</v>
      </c>
      <c r="H2350" s="19" t="str">
        <f>IFERROR(__xludf.DUMMYFUNCTION("""COMPUTED_VALUE"""),"-")</f>
        <v>-</v>
      </c>
      <c r="I2350" s="19">
        <f>IFERROR(__xludf.DUMMYFUNCTION("""COMPUTED_VALUE"""),0.0022)</f>
        <v>0.0022</v>
      </c>
      <c r="J2350" s="19">
        <f>IFERROR(__xludf.DUMMYFUNCTION("""COMPUTED_VALUE"""),0.04683)</f>
        <v>0.04683</v>
      </c>
      <c r="K2350" s="19" t="str">
        <f>IFERROR(__xludf.DUMMYFUNCTION("""COMPUTED_VALUE"""),"-")</f>
        <v>-</v>
      </c>
      <c r="L2350" s="19" t="str">
        <f>IFERROR(__xludf.DUMMYFUNCTION("""COMPUTED_VALUE"""),"-")</f>
        <v>-</v>
      </c>
      <c r="O2350" s="24">
        <f t="shared" si="4"/>
        <v>0</v>
      </c>
      <c r="P2350" s="24"/>
      <c r="Q2350" s="24">
        <f t="shared" si="6"/>
        <v>0</v>
      </c>
      <c r="R2350" s="24">
        <f t="shared" si="7"/>
        <v>0</v>
      </c>
      <c r="S2350" s="24"/>
      <c r="T2350" s="24"/>
    </row>
    <row r="2351">
      <c r="A2351" s="12" t="s">
        <v>2439</v>
      </c>
      <c r="F2351" s="19">
        <f>IFERROR(__xludf.DUMMYFUNCTION("SPLIT(A2347, "" |"")"),2345.0)</f>
        <v>2345</v>
      </c>
      <c r="G2351" s="19">
        <f>IFERROR(__xludf.DUMMYFUNCTION("""COMPUTED_VALUE"""),0.00237)</f>
        <v>0.00237</v>
      </c>
      <c r="H2351" s="19" t="str">
        <f>IFERROR(__xludf.DUMMYFUNCTION("""COMPUTED_VALUE"""),"-")</f>
        <v>-</v>
      </c>
      <c r="I2351" s="19">
        <f>IFERROR(__xludf.DUMMYFUNCTION("""COMPUTED_VALUE"""),0.00221)</f>
        <v>0.00221</v>
      </c>
      <c r="J2351" s="19">
        <f>IFERROR(__xludf.DUMMYFUNCTION("""COMPUTED_VALUE"""),0.04742)</f>
        <v>0.04742</v>
      </c>
      <c r="K2351" s="19" t="str">
        <f>IFERROR(__xludf.DUMMYFUNCTION("""COMPUTED_VALUE"""),"-")</f>
        <v>-</v>
      </c>
      <c r="L2351" s="19" t="str">
        <f>IFERROR(__xludf.DUMMYFUNCTION("""COMPUTED_VALUE"""),"-")</f>
        <v>-</v>
      </c>
      <c r="O2351" s="24">
        <f t="shared" si="4"/>
        <v>0</v>
      </c>
      <c r="P2351" s="24"/>
      <c r="Q2351" s="24">
        <f t="shared" si="6"/>
        <v>0</v>
      </c>
      <c r="R2351" s="24">
        <f t="shared" si="7"/>
        <v>0</v>
      </c>
      <c r="S2351" s="24"/>
      <c r="T2351" s="24"/>
    </row>
    <row r="2352">
      <c r="A2352" s="12" t="s">
        <v>2440</v>
      </c>
      <c r="F2352" s="19">
        <f>IFERROR(__xludf.DUMMYFUNCTION("SPLIT(A2348, "" |"")"),2346.0)</f>
        <v>2346</v>
      </c>
      <c r="G2352" s="19">
        <f>IFERROR(__xludf.DUMMYFUNCTION("""COMPUTED_VALUE"""),0.00237)</f>
        <v>0.00237</v>
      </c>
      <c r="H2352" s="19" t="str">
        <f>IFERROR(__xludf.DUMMYFUNCTION("""COMPUTED_VALUE"""),"-")</f>
        <v>-</v>
      </c>
      <c r="I2352" s="19">
        <f>IFERROR(__xludf.DUMMYFUNCTION("""COMPUTED_VALUE"""),0.00225)</f>
        <v>0.00225</v>
      </c>
      <c r="J2352" s="19">
        <f>IFERROR(__xludf.DUMMYFUNCTION("""COMPUTED_VALUE"""),0.04748)</f>
        <v>0.04748</v>
      </c>
      <c r="K2352" s="19" t="str">
        <f>IFERROR(__xludf.DUMMYFUNCTION("""COMPUTED_VALUE"""),"-")</f>
        <v>-</v>
      </c>
      <c r="L2352" s="19" t="str">
        <f>IFERROR(__xludf.DUMMYFUNCTION("""COMPUTED_VALUE"""),"-")</f>
        <v>-</v>
      </c>
      <c r="O2352" s="24">
        <f t="shared" si="4"/>
        <v>0</v>
      </c>
      <c r="P2352" s="24"/>
      <c r="Q2352" s="24">
        <f t="shared" si="6"/>
        <v>0</v>
      </c>
      <c r="R2352" s="24">
        <f t="shared" si="7"/>
        <v>0</v>
      </c>
      <c r="S2352" s="24"/>
      <c r="T2352" s="24"/>
    </row>
    <row r="2353">
      <c r="A2353" s="12" t="s">
        <v>2441</v>
      </c>
      <c r="F2353" s="19">
        <f>IFERROR(__xludf.DUMMYFUNCTION("SPLIT(A2349, "" |"")"),2347.0)</f>
        <v>2347</v>
      </c>
      <c r="G2353" s="19">
        <f>IFERROR(__xludf.DUMMYFUNCTION("""COMPUTED_VALUE"""),0.00235)</f>
        <v>0.00235</v>
      </c>
      <c r="H2353" s="19" t="str">
        <f>IFERROR(__xludf.DUMMYFUNCTION("""COMPUTED_VALUE"""),"-")</f>
        <v>-</v>
      </c>
      <c r="I2353" s="19">
        <f>IFERROR(__xludf.DUMMYFUNCTION("""COMPUTED_VALUE"""),0.00221)</f>
        <v>0.00221</v>
      </c>
      <c r="J2353" s="19">
        <f>IFERROR(__xludf.DUMMYFUNCTION("""COMPUTED_VALUE"""),0.04309)</f>
        <v>0.04309</v>
      </c>
      <c r="K2353" s="19" t="str">
        <f>IFERROR(__xludf.DUMMYFUNCTION("""COMPUTED_VALUE"""),"-")</f>
        <v>-</v>
      </c>
      <c r="L2353" s="19" t="str">
        <f>IFERROR(__xludf.DUMMYFUNCTION("""COMPUTED_VALUE"""),"-")</f>
        <v>-</v>
      </c>
      <c r="O2353" s="24">
        <f t="shared" si="4"/>
        <v>0</v>
      </c>
      <c r="P2353" s="24"/>
      <c r="Q2353" s="24">
        <f t="shared" si="6"/>
        <v>0</v>
      </c>
      <c r="R2353" s="24">
        <f t="shared" si="7"/>
        <v>1</v>
      </c>
      <c r="S2353" s="24"/>
      <c r="T2353" s="24"/>
    </row>
    <row r="2354">
      <c r="A2354" s="12" t="s">
        <v>2442</v>
      </c>
      <c r="F2354" s="19">
        <f>IFERROR(__xludf.DUMMYFUNCTION("SPLIT(A2350, "" |"")"),2348.0)</f>
        <v>2348</v>
      </c>
      <c r="G2354" s="19">
        <f>IFERROR(__xludf.DUMMYFUNCTION("""COMPUTED_VALUE"""),0.00242)</f>
        <v>0.00242</v>
      </c>
      <c r="H2354" s="19" t="str">
        <f>IFERROR(__xludf.DUMMYFUNCTION("""COMPUTED_VALUE"""),"-")</f>
        <v>-</v>
      </c>
      <c r="I2354" s="19">
        <f>IFERROR(__xludf.DUMMYFUNCTION("""COMPUTED_VALUE"""),0.00218)</f>
        <v>0.00218</v>
      </c>
      <c r="J2354" s="19">
        <f>IFERROR(__xludf.DUMMYFUNCTION("""COMPUTED_VALUE"""),0.04548)</f>
        <v>0.04548</v>
      </c>
      <c r="K2354" s="19" t="str">
        <f>IFERROR(__xludf.DUMMYFUNCTION("""COMPUTED_VALUE"""),"-")</f>
        <v>-</v>
      </c>
      <c r="L2354" s="19" t="str">
        <f>IFERROR(__xludf.DUMMYFUNCTION("""COMPUTED_VALUE"""),"-")</f>
        <v>-</v>
      </c>
      <c r="O2354" s="24">
        <f t="shared" si="4"/>
        <v>0</v>
      </c>
      <c r="P2354" s="24"/>
      <c r="Q2354" s="24">
        <f t="shared" si="6"/>
        <v>0</v>
      </c>
      <c r="R2354" s="24">
        <f t="shared" si="7"/>
        <v>0</v>
      </c>
      <c r="S2354" s="24"/>
      <c r="T2354" s="24"/>
    </row>
    <row r="2355">
      <c r="A2355" s="12" t="s">
        <v>2443</v>
      </c>
      <c r="F2355" s="19">
        <f>IFERROR(__xludf.DUMMYFUNCTION("SPLIT(A2351, "" |"")"),2349.0)</f>
        <v>2349</v>
      </c>
      <c r="G2355" s="19">
        <f>IFERROR(__xludf.DUMMYFUNCTION("""COMPUTED_VALUE"""),0.00238)</f>
        <v>0.00238</v>
      </c>
      <c r="H2355" s="19" t="str">
        <f>IFERROR(__xludf.DUMMYFUNCTION("""COMPUTED_VALUE"""),"-")</f>
        <v>-</v>
      </c>
      <c r="I2355" s="19">
        <f>IFERROR(__xludf.DUMMYFUNCTION("""COMPUTED_VALUE"""),0.0022)</f>
        <v>0.0022</v>
      </c>
      <c r="J2355" s="19">
        <f>IFERROR(__xludf.DUMMYFUNCTION("""COMPUTED_VALUE"""),0.04739)</f>
        <v>0.04739</v>
      </c>
      <c r="K2355" s="19" t="str">
        <f>IFERROR(__xludf.DUMMYFUNCTION("""COMPUTED_VALUE"""),"-")</f>
        <v>-</v>
      </c>
      <c r="L2355" s="19" t="str">
        <f>IFERROR(__xludf.DUMMYFUNCTION("""COMPUTED_VALUE"""),"-")</f>
        <v>-</v>
      </c>
      <c r="O2355" s="24">
        <f t="shared" si="4"/>
        <v>0</v>
      </c>
      <c r="P2355" s="24"/>
      <c r="Q2355" s="24">
        <f t="shared" si="6"/>
        <v>0</v>
      </c>
      <c r="R2355" s="24">
        <f t="shared" si="7"/>
        <v>0</v>
      </c>
      <c r="S2355" s="24"/>
      <c r="T2355" s="24"/>
    </row>
    <row r="2356">
      <c r="A2356" s="12" t="s">
        <v>2444</v>
      </c>
      <c r="F2356" s="19">
        <f>IFERROR(__xludf.DUMMYFUNCTION("SPLIT(A2352, "" |"")"),2350.0)</f>
        <v>2350</v>
      </c>
      <c r="G2356" s="19">
        <f>IFERROR(__xludf.DUMMYFUNCTION("""COMPUTED_VALUE"""),0.00236)</f>
        <v>0.00236</v>
      </c>
      <c r="H2356" s="19" t="str">
        <f>IFERROR(__xludf.DUMMYFUNCTION("""COMPUTED_VALUE"""),"-")</f>
        <v>-</v>
      </c>
      <c r="I2356" s="19">
        <f>IFERROR(__xludf.DUMMYFUNCTION("""COMPUTED_VALUE"""),0.00223)</f>
        <v>0.00223</v>
      </c>
      <c r="J2356" s="19">
        <f>IFERROR(__xludf.DUMMYFUNCTION("""COMPUTED_VALUE"""),0.04748)</f>
        <v>0.04748</v>
      </c>
      <c r="K2356" s="19" t="str">
        <f>IFERROR(__xludf.DUMMYFUNCTION("""COMPUTED_VALUE"""),"-")</f>
        <v>-</v>
      </c>
      <c r="L2356" s="19" t="str">
        <f>IFERROR(__xludf.DUMMYFUNCTION("""COMPUTED_VALUE"""),"-")</f>
        <v>-</v>
      </c>
      <c r="O2356" s="24">
        <f t="shared" si="4"/>
        <v>0</v>
      </c>
      <c r="P2356" s="24"/>
      <c r="Q2356" s="24">
        <f t="shared" si="6"/>
        <v>0</v>
      </c>
      <c r="R2356" s="24">
        <f t="shared" si="7"/>
        <v>0</v>
      </c>
      <c r="S2356" s="24"/>
      <c r="T2356" s="24"/>
    </row>
    <row r="2357">
      <c r="A2357" s="12" t="s">
        <v>2445</v>
      </c>
      <c r="F2357" s="19">
        <f>IFERROR(__xludf.DUMMYFUNCTION("SPLIT(A2353, "" |"")"),2351.0)</f>
        <v>2351</v>
      </c>
      <c r="G2357" s="19">
        <f>IFERROR(__xludf.DUMMYFUNCTION("""COMPUTED_VALUE"""),0.0024)</f>
        <v>0.0024</v>
      </c>
      <c r="H2357" s="19" t="str">
        <f>IFERROR(__xludf.DUMMYFUNCTION("""COMPUTED_VALUE"""),"-")</f>
        <v>-</v>
      </c>
      <c r="I2357" s="19">
        <f>IFERROR(__xludf.DUMMYFUNCTION("""COMPUTED_VALUE"""),0.00222)</f>
        <v>0.00222</v>
      </c>
      <c r="J2357" s="19">
        <f>IFERROR(__xludf.DUMMYFUNCTION("""COMPUTED_VALUE"""),0.04221)</f>
        <v>0.04221</v>
      </c>
      <c r="K2357" s="19" t="str">
        <f>IFERROR(__xludf.DUMMYFUNCTION("""COMPUTED_VALUE"""),"-")</f>
        <v>-</v>
      </c>
      <c r="L2357" s="19" t="str">
        <f>IFERROR(__xludf.DUMMYFUNCTION("""COMPUTED_VALUE"""),"-")</f>
        <v>-</v>
      </c>
      <c r="O2357" s="24">
        <f t="shared" si="4"/>
        <v>0</v>
      </c>
      <c r="P2357" s="24"/>
      <c r="Q2357" s="24">
        <f t="shared" si="6"/>
        <v>0</v>
      </c>
      <c r="R2357" s="24">
        <f t="shared" si="7"/>
        <v>1</v>
      </c>
      <c r="S2357" s="24"/>
      <c r="T2357" s="24"/>
    </row>
    <row r="2358">
      <c r="A2358" s="12" t="s">
        <v>2446</v>
      </c>
      <c r="F2358" s="19">
        <f>IFERROR(__xludf.DUMMYFUNCTION("SPLIT(A2354, "" |"")"),2352.0)</f>
        <v>2352</v>
      </c>
      <c r="G2358" s="19">
        <f>IFERROR(__xludf.DUMMYFUNCTION("""COMPUTED_VALUE"""),0.0024)</f>
        <v>0.0024</v>
      </c>
      <c r="H2358" s="19" t="str">
        <f>IFERROR(__xludf.DUMMYFUNCTION("""COMPUTED_VALUE"""),"-")</f>
        <v>-</v>
      </c>
      <c r="I2358" s="19">
        <f>IFERROR(__xludf.DUMMYFUNCTION("""COMPUTED_VALUE"""),0.00217)</f>
        <v>0.00217</v>
      </c>
      <c r="J2358" s="19">
        <f>IFERROR(__xludf.DUMMYFUNCTION("""COMPUTED_VALUE"""),0.04537)</f>
        <v>0.04537</v>
      </c>
      <c r="K2358" s="19" t="str">
        <f>IFERROR(__xludf.DUMMYFUNCTION("""COMPUTED_VALUE"""),"-")</f>
        <v>-</v>
      </c>
      <c r="L2358" s="19" t="str">
        <f>IFERROR(__xludf.DUMMYFUNCTION("""COMPUTED_VALUE"""),"-")</f>
        <v>-</v>
      </c>
      <c r="O2358" s="24">
        <f t="shared" si="4"/>
        <v>0</v>
      </c>
      <c r="P2358" s="24"/>
      <c r="Q2358" s="24">
        <f t="shared" si="6"/>
        <v>0</v>
      </c>
      <c r="R2358" s="24">
        <f t="shared" si="7"/>
        <v>0</v>
      </c>
      <c r="S2358" s="24"/>
      <c r="T2358" s="24"/>
    </row>
    <row r="2359">
      <c r="A2359" s="12" t="s">
        <v>2447</v>
      </c>
      <c r="F2359" s="19">
        <f>IFERROR(__xludf.DUMMYFUNCTION("SPLIT(A2355, "" |"")"),2353.0)</f>
        <v>2353</v>
      </c>
      <c r="G2359" s="19">
        <f>IFERROR(__xludf.DUMMYFUNCTION("""COMPUTED_VALUE"""),0.00233)</f>
        <v>0.00233</v>
      </c>
      <c r="H2359" s="19" t="str">
        <f>IFERROR(__xludf.DUMMYFUNCTION("""COMPUTED_VALUE"""),"-")</f>
        <v>-</v>
      </c>
      <c r="I2359" s="19">
        <f>IFERROR(__xludf.DUMMYFUNCTION("""COMPUTED_VALUE"""),0.00219)</f>
        <v>0.00219</v>
      </c>
      <c r="J2359" s="19">
        <f>IFERROR(__xludf.DUMMYFUNCTION("""COMPUTED_VALUE"""),0.04663)</f>
        <v>0.04663</v>
      </c>
      <c r="K2359" s="19" t="str">
        <f>IFERROR(__xludf.DUMMYFUNCTION("""COMPUTED_VALUE"""),"-")</f>
        <v>-</v>
      </c>
      <c r="L2359" s="19" t="str">
        <f>IFERROR(__xludf.DUMMYFUNCTION("""COMPUTED_VALUE"""),"-")</f>
        <v>-</v>
      </c>
      <c r="O2359" s="24">
        <f t="shared" si="4"/>
        <v>0</v>
      </c>
      <c r="P2359" s="24"/>
      <c r="Q2359" s="24">
        <f t="shared" si="6"/>
        <v>0</v>
      </c>
      <c r="R2359" s="24">
        <f t="shared" si="7"/>
        <v>0</v>
      </c>
      <c r="S2359" s="24"/>
      <c r="T2359" s="24"/>
    </row>
    <row r="2360">
      <c r="A2360" s="12" t="s">
        <v>2448</v>
      </c>
      <c r="F2360" s="19">
        <f>IFERROR(__xludf.DUMMYFUNCTION("SPLIT(A2356, "" |"")"),2354.0)</f>
        <v>2354</v>
      </c>
      <c r="G2360" s="19">
        <f>IFERROR(__xludf.DUMMYFUNCTION("""COMPUTED_VALUE"""),0.00222)</f>
        <v>0.00222</v>
      </c>
      <c r="H2360" s="19" t="str">
        <f>IFERROR(__xludf.DUMMYFUNCTION("""COMPUTED_VALUE"""),"-")</f>
        <v>-</v>
      </c>
      <c r="I2360" s="19">
        <f>IFERROR(__xludf.DUMMYFUNCTION("""COMPUTED_VALUE"""),0.00208)</f>
        <v>0.00208</v>
      </c>
      <c r="J2360" s="19">
        <f>IFERROR(__xludf.DUMMYFUNCTION("""COMPUTED_VALUE"""),0.04729)</f>
        <v>0.04729</v>
      </c>
      <c r="K2360" s="19" t="str">
        <f>IFERROR(__xludf.DUMMYFUNCTION("""COMPUTED_VALUE"""),"-")</f>
        <v>-</v>
      </c>
      <c r="L2360" s="19" t="str">
        <f>IFERROR(__xludf.DUMMYFUNCTION("""COMPUTED_VALUE"""),"-")</f>
        <v>-</v>
      </c>
      <c r="O2360" s="24">
        <f t="shared" si="4"/>
        <v>0</v>
      </c>
      <c r="P2360" s="24"/>
      <c r="Q2360" s="24">
        <f t="shared" si="6"/>
        <v>0</v>
      </c>
      <c r="R2360" s="24">
        <f t="shared" si="7"/>
        <v>0</v>
      </c>
      <c r="S2360" s="24"/>
      <c r="T2360" s="24"/>
    </row>
    <row r="2361">
      <c r="A2361" s="12" t="s">
        <v>2449</v>
      </c>
      <c r="F2361" s="19">
        <f>IFERROR(__xludf.DUMMYFUNCTION("SPLIT(A2357, "" |"")"),2355.0)</f>
        <v>2355</v>
      </c>
      <c r="G2361" s="19">
        <f>IFERROR(__xludf.DUMMYFUNCTION("""COMPUTED_VALUE"""),0.00236)</f>
        <v>0.00236</v>
      </c>
      <c r="H2361" s="19" t="str">
        <f>IFERROR(__xludf.DUMMYFUNCTION("""COMPUTED_VALUE"""),"-")</f>
        <v>-</v>
      </c>
      <c r="I2361" s="19">
        <f>IFERROR(__xludf.DUMMYFUNCTION("""COMPUTED_VALUE"""),0.00229)</f>
        <v>0.00229</v>
      </c>
      <c r="J2361" s="19">
        <f>IFERROR(__xludf.DUMMYFUNCTION("""COMPUTED_VALUE"""),0.04515)</f>
        <v>0.04515</v>
      </c>
      <c r="K2361" s="19" t="str">
        <f>IFERROR(__xludf.DUMMYFUNCTION("""COMPUTED_VALUE"""),"-")</f>
        <v>-</v>
      </c>
      <c r="L2361" s="19" t="str">
        <f>IFERROR(__xludf.DUMMYFUNCTION("""COMPUTED_VALUE"""),"-")</f>
        <v>-</v>
      </c>
      <c r="O2361" s="24">
        <f t="shared" si="4"/>
        <v>0</v>
      </c>
      <c r="P2361" s="24"/>
      <c r="Q2361" s="24">
        <f t="shared" si="6"/>
        <v>0</v>
      </c>
      <c r="R2361" s="24">
        <f t="shared" si="7"/>
        <v>0</v>
      </c>
      <c r="S2361" s="24"/>
      <c r="T2361" s="24"/>
    </row>
    <row r="2362">
      <c r="A2362" s="12" t="s">
        <v>2450</v>
      </c>
      <c r="F2362" s="19">
        <f>IFERROR(__xludf.DUMMYFUNCTION("SPLIT(A2358, "" |"")"),2356.0)</f>
        <v>2356</v>
      </c>
      <c r="G2362" s="19">
        <f>IFERROR(__xludf.DUMMYFUNCTION("""COMPUTED_VALUE"""),0.00246)</f>
        <v>0.00246</v>
      </c>
      <c r="H2362" s="19" t="str">
        <f>IFERROR(__xludf.DUMMYFUNCTION("""COMPUTED_VALUE"""),"-")</f>
        <v>-</v>
      </c>
      <c r="I2362" s="19">
        <f>IFERROR(__xludf.DUMMYFUNCTION("""COMPUTED_VALUE"""),0.00218)</f>
        <v>0.00218</v>
      </c>
      <c r="J2362" s="19">
        <f>IFERROR(__xludf.DUMMYFUNCTION("""COMPUTED_VALUE"""),0.0446)</f>
        <v>0.0446</v>
      </c>
      <c r="K2362" s="19" t="str">
        <f>IFERROR(__xludf.DUMMYFUNCTION("""COMPUTED_VALUE"""),"-")</f>
        <v>-</v>
      </c>
      <c r="L2362" s="19" t="str">
        <f>IFERROR(__xludf.DUMMYFUNCTION("""COMPUTED_VALUE"""),"-")</f>
        <v>-</v>
      </c>
      <c r="O2362" s="24">
        <f t="shared" si="4"/>
        <v>0</v>
      </c>
      <c r="P2362" s="24"/>
      <c r="Q2362" s="24">
        <f t="shared" si="6"/>
        <v>0</v>
      </c>
      <c r="R2362" s="24">
        <f t="shared" si="7"/>
        <v>1</v>
      </c>
      <c r="S2362" s="24"/>
      <c r="T2362" s="24"/>
    </row>
    <row r="2363">
      <c r="A2363" s="12" t="s">
        <v>2451</v>
      </c>
      <c r="F2363" s="19">
        <f>IFERROR(__xludf.DUMMYFUNCTION("SPLIT(A2359, "" |"")"),2357.0)</f>
        <v>2357</v>
      </c>
      <c r="G2363" s="19">
        <f>IFERROR(__xludf.DUMMYFUNCTION("""COMPUTED_VALUE"""),0.00233)</f>
        <v>0.00233</v>
      </c>
      <c r="H2363" s="19" t="str">
        <f>IFERROR(__xludf.DUMMYFUNCTION("""COMPUTED_VALUE"""),"-")</f>
        <v>-</v>
      </c>
      <c r="I2363" s="19">
        <f>IFERROR(__xludf.DUMMYFUNCTION("""COMPUTED_VALUE"""),0.00224)</f>
        <v>0.00224</v>
      </c>
      <c r="J2363" s="19">
        <f>IFERROR(__xludf.DUMMYFUNCTION("""COMPUTED_VALUE"""),0.04739)</f>
        <v>0.04739</v>
      </c>
      <c r="K2363" s="19" t="str">
        <f>IFERROR(__xludf.DUMMYFUNCTION("""COMPUTED_VALUE"""),"-")</f>
        <v>-</v>
      </c>
      <c r="L2363" s="19" t="str">
        <f>IFERROR(__xludf.DUMMYFUNCTION("""COMPUTED_VALUE"""),"-")</f>
        <v>-</v>
      </c>
      <c r="O2363" s="24">
        <f t="shared" si="4"/>
        <v>0</v>
      </c>
      <c r="P2363" s="24"/>
      <c r="Q2363" s="24">
        <f t="shared" si="6"/>
        <v>0</v>
      </c>
      <c r="R2363" s="24">
        <f t="shared" si="7"/>
        <v>0</v>
      </c>
      <c r="S2363" s="24"/>
      <c r="T2363" s="24"/>
    </row>
    <row r="2364">
      <c r="A2364" s="12" t="s">
        <v>2452</v>
      </c>
      <c r="F2364" s="19">
        <f>IFERROR(__xludf.DUMMYFUNCTION("SPLIT(A2360, "" |"")"),2358.0)</f>
        <v>2358</v>
      </c>
      <c r="G2364" s="19">
        <f>IFERROR(__xludf.DUMMYFUNCTION("""COMPUTED_VALUE"""),0.00238)</f>
        <v>0.00238</v>
      </c>
      <c r="H2364" s="19" t="str">
        <f>IFERROR(__xludf.DUMMYFUNCTION("""COMPUTED_VALUE"""),"-")</f>
        <v>-</v>
      </c>
      <c r="I2364" s="19">
        <f>IFERROR(__xludf.DUMMYFUNCTION("""COMPUTED_VALUE"""),0.00221)</f>
        <v>0.00221</v>
      </c>
      <c r="J2364" s="19">
        <f>IFERROR(__xludf.DUMMYFUNCTION("""COMPUTED_VALUE"""),0.04746)</f>
        <v>0.04746</v>
      </c>
      <c r="K2364" s="19" t="str">
        <f>IFERROR(__xludf.DUMMYFUNCTION("""COMPUTED_VALUE"""),"-")</f>
        <v>-</v>
      </c>
      <c r="L2364" s="19" t="str">
        <f>IFERROR(__xludf.DUMMYFUNCTION("""COMPUTED_VALUE"""),"-")</f>
        <v>-</v>
      </c>
      <c r="O2364" s="24">
        <f t="shared" si="4"/>
        <v>0</v>
      </c>
      <c r="P2364" s="24"/>
      <c r="Q2364" s="24">
        <f t="shared" si="6"/>
        <v>0</v>
      </c>
      <c r="R2364" s="24">
        <f t="shared" si="7"/>
        <v>0</v>
      </c>
      <c r="S2364" s="24"/>
      <c r="T2364" s="24"/>
    </row>
    <row r="2365">
      <c r="A2365" s="12" t="s">
        <v>2453</v>
      </c>
      <c r="F2365" s="19">
        <f>IFERROR(__xludf.DUMMYFUNCTION("SPLIT(A2361, "" |"")"),2359.0)</f>
        <v>2359</v>
      </c>
      <c r="G2365" s="19">
        <f>IFERROR(__xludf.DUMMYFUNCTION("""COMPUTED_VALUE"""),0.00233)</f>
        <v>0.00233</v>
      </c>
      <c r="H2365" s="19" t="str">
        <f>IFERROR(__xludf.DUMMYFUNCTION("""COMPUTED_VALUE"""),"-")</f>
        <v>-</v>
      </c>
      <c r="I2365" s="19">
        <f>IFERROR(__xludf.DUMMYFUNCTION("""COMPUTED_VALUE"""),0.00223)</f>
        <v>0.00223</v>
      </c>
      <c r="J2365" s="19">
        <f>IFERROR(__xludf.DUMMYFUNCTION("""COMPUTED_VALUE"""),0.0462)</f>
        <v>0.0462</v>
      </c>
      <c r="K2365" s="19" t="str">
        <f>IFERROR(__xludf.DUMMYFUNCTION("""COMPUTED_VALUE"""),"-")</f>
        <v>-</v>
      </c>
      <c r="L2365" s="19" t="str">
        <f>IFERROR(__xludf.DUMMYFUNCTION("""COMPUTED_VALUE"""),"-")</f>
        <v>-</v>
      </c>
      <c r="O2365" s="24">
        <f t="shared" si="4"/>
        <v>0</v>
      </c>
      <c r="P2365" s="24"/>
      <c r="Q2365" s="24">
        <f t="shared" si="6"/>
        <v>0</v>
      </c>
      <c r="R2365" s="24">
        <f t="shared" si="7"/>
        <v>0</v>
      </c>
      <c r="S2365" s="24"/>
      <c r="T2365" s="24"/>
    </row>
    <row r="2366">
      <c r="A2366" s="12" t="s">
        <v>2454</v>
      </c>
      <c r="F2366" s="19">
        <f>IFERROR(__xludf.DUMMYFUNCTION("SPLIT(A2362, "" |"")"),2360.0)</f>
        <v>2360</v>
      </c>
      <c r="G2366" s="19">
        <f>IFERROR(__xludf.DUMMYFUNCTION("""COMPUTED_VALUE"""),0.0023)</f>
        <v>0.0023</v>
      </c>
      <c r="H2366" s="19" t="str">
        <f>IFERROR(__xludf.DUMMYFUNCTION("""COMPUTED_VALUE"""),"-")</f>
        <v>-</v>
      </c>
      <c r="I2366" s="19">
        <f>IFERROR(__xludf.DUMMYFUNCTION("""COMPUTED_VALUE"""),0.00218)</f>
        <v>0.00218</v>
      </c>
      <c r="J2366" s="19">
        <f>IFERROR(__xludf.DUMMYFUNCTION("""COMPUTED_VALUE"""),0.04269)</f>
        <v>0.04269</v>
      </c>
      <c r="K2366" s="19" t="str">
        <f>IFERROR(__xludf.DUMMYFUNCTION("""COMPUTED_VALUE"""),"-")</f>
        <v>-</v>
      </c>
      <c r="L2366" s="19" t="str">
        <f>IFERROR(__xludf.DUMMYFUNCTION("""COMPUTED_VALUE"""),"-")</f>
        <v>-</v>
      </c>
      <c r="O2366" s="24">
        <f t="shared" si="4"/>
        <v>0</v>
      </c>
      <c r="P2366" s="24"/>
      <c r="Q2366" s="24">
        <f t="shared" si="6"/>
        <v>0</v>
      </c>
      <c r="R2366" s="24">
        <f t="shared" si="7"/>
        <v>1</v>
      </c>
      <c r="S2366" s="24"/>
      <c r="T2366" s="24"/>
    </row>
    <row r="2367">
      <c r="A2367" s="12" t="s">
        <v>2455</v>
      </c>
      <c r="F2367" s="19">
        <f>IFERROR(__xludf.DUMMYFUNCTION("SPLIT(A2363, "" |"")"),2361.0)</f>
        <v>2361</v>
      </c>
      <c r="G2367" s="19">
        <f>IFERROR(__xludf.DUMMYFUNCTION("""COMPUTED_VALUE"""),0.00232)</f>
        <v>0.00232</v>
      </c>
      <c r="H2367" s="19" t="str">
        <f>IFERROR(__xludf.DUMMYFUNCTION("""COMPUTED_VALUE"""),"-")</f>
        <v>-</v>
      </c>
      <c r="I2367" s="19">
        <f>IFERROR(__xludf.DUMMYFUNCTION("""COMPUTED_VALUE"""),0.00219)</f>
        <v>0.00219</v>
      </c>
      <c r="J2367" s="19">
        <f>IFERROR(__xludf.DUMMYFUNCTION("""COMPUTED_VALUE"""),0.04741)</f>
        <v>0.04741</v>
      </c>
      <c r="K2367" s="19" t="str">
        <f>IFERROR(__xludf.DUMMYFUNCTION("""COMPUTED_VALUE"""),"-")</f>
        <v>-</v>
      </c>
      <c r="L2367" s="19" t="str">
        <f>IFERROR(__xludf.DUMMYFUNCTION("""COMPUTED_VALUE"""),"-")</f>
        <v>-</v>
      </c>
      <c r="O2367" s="24">
        <f t="shared" si="4"/>
        <v>0</v>
      </c>
      <c r="P2367" s="24"/>
      <c r="Q2367" s="24">
        <f t="shared" si="6"/>
        <v>0</v>
      </c>
      <c r="R2367" s="24">
        <f t="shared" si="7"/>
        <v>0</v>
      </c>
      <c r="S2367" s="24"/>
      <c r="T2367" s="24"/>
    </row>
    <row r="2368">
      <c r="A2368" s="12" t="s">
        <v>2456</v>
      </c>
      <c r="F2368" s="19">
        <f>IFERROR(__xludf.DUMMYFUNCTION("SPLIT(A2364, "" |"")"),2362.0)</f>
        <v>2362</v>
      </c>
      <c r="G2368" s="19">
        <f>IFERROR(__xludf.DUMMYFUNCTION("""COMPUTED_VALUE"""),0.00241)</f>
        <v>0.00241</v>
      </c>
      <c r="H2368" s="19" t="str">
        <f>IFERROR(__xludf.DUMMYFUNCTION("""COMPUTED_VALUE"""),"-")</f>
        <v>-</v>
      </c>
      <c r="I2368" s="19">
        <f>IFERROR(__xludf.DUMMYFUNCTION("""COMPUTED_VALUE"""),0.00224)</f>
        <v>0.00224</v>
      </c>
      <c r="J2368" s="19">
        <f>IFERROR(__xludf.DUMMYFUNCTION("""COMPUTED_VALUE"""),0.04153)</f>
        <v>0.04153</v>
      </c>
      <c r="K2368" s="19" t="str">
        <f>IFERROR(__xludf.DUMMYFUNCTION("""COMPUTED_VALUE"""),"-")</f>
        <v>-</v>
      </c>
      <c r="L2368" s="19" t="str">
        <f>IFERROR(__xludf.DUMMYFUNCTION("""COMPUTED_VALUE"""),"-")</f>
        <v>-</v>
      </c>
      <c r="O2368" s="24">
        <f t="shared" si="4"/>
        <v>0</v>
      </c>
      <c r="P2368" s="24"/>
      <c r="Q2368" s="24">
        <f t="shared" si="6"/>
        <v>0</v>
      </c>
      <c r="R2368" s="24">
        <f t="shared" si="7"/>
        <v>1</v>
      </c>
      <c r="S2368" s="24"/>
      <c r="T2368" s="24"/>
    </row>
    <row r="2369">
      <c r="A2369" s="12" t="s">
        <v>2457</v>
      </c>
      <c r="F2369" s="19">
        <f>IFERROR(__xludf.DUMMYFUNCTION("SPLIT(A2365, "" |"")"),2363.0)</f>
        <v>2363</v>
      </c>
      <c r="G2369" s="19">
        <f>IFERROR(__xludf.DUMMYFUNCTION("""COMPUTED_VALUE"""),0.00234)</f>
        <v>0.00234</v>
      </c>
      <c r="H2369" s="19" t="str">
        <f>IFERROR(__xludf.DUMMYFUNCTION("""COMPUTED_VALUE"""),"-")</f>
        <v>-</v>
      </c>
      <c r="I2369" s="19">
        <f>IFERROR(__xludf.DUMMYFUNCTION("""COMPUTED_VALUE"""),0.00222)</f>
        <v>0.00222</v>
      </c>
      <c r="J2369" s="19">
        <f>IFERROR(__xludf.DUMMYFUNCTION("""COMPUTED_VALUE"""),0.04742)</f>
        <v>0.04742</v>
      </c>
      <c r="K2369" s="19" t="str">
        <f>IFERROR(__xludf.DUMMYFUNCTION("""COMPUTED_VALUE"""),"-")</f>
        <v>-</v>
      </c>
      <c r="L2369" s="19" t="str">
        <f>IFERROR(__xludf.DUMMYFUNCTION("""COMPUTED_VALUE"""),"-")</f>
        <v>-</v>
      </c>
      <c r="O2369" s="24">
        <f t="shared" si="4"/>
        <v>0</v>
      </c>
      <c r="P2369" s="24"/>
      <c r="Q2369" s="24">
        <f t="shared" si="6"/>
        <v>0</v>
      </c>
      <c r="R2369" s="24">
        <f t="shared" si="7"/>
        <v>0</v>
      </c>
      <c r="S2369" s="24"/>
      <c r="T2369" s="24"/>
    </row>
    <row r="2370">
      <c r="A2370" s="12" t="s">
        <v>2458</v>
      </c>
      <c r="F2370" s="19">
        <f>IFERROR(__xludf.DUMMYFUNCTION("SPLIT(A2366, "" |"")"),2364.0)</f>
        <v>2364</v>
      </c>
      <c r="G2370" s="19">
        <f>IFERROR(__xludf.DUMMYFUNCTION("""COMPUTED_VALUE"""),0.00233)</f>
        <v>0.00233</v>
      </c>
      <c r="H2370" s="19" t="str">
        <f>IFERROR(__xludf.DUMMYFUNCTION("""COMPUTED_VALUE"""),"-")</f>
        <v>-</v>
      </c>
      <c r="I2370" s="19">
        <f>IFERROR(__xludf.DUMMYFUNCTION("""COMPUTED_VALUE"""),0.00223)</f>
        <v>0.00223</v>
      </c>
      <c r="J2370" s="19">
        <f>IFERROR(__xludf.DUMMYFUNCTION("""COMPUTED_VALUE"""),0.04738)</f>
        <v>0.04738</v>
      </c>
      <c r="K2370" s="19" t="str">
        <f>IFERROR(__xludf.DUMMYFUNCTION("""COMPUTED_VALUE"""),"-")</f>
        <v>-</v>
      </c>
      <c r="L2370" s="19" t="str">
        <f>IFERROR(__xludf.DUMMYFUNCTION("""COMPUTED_VALUE"""),"-")</f>
        <v>-</v>
      </c>
      <c r="O2370" s="24">
        <f t="shared" si="4"/>
        <v>0</v>
      </c>
      <c r="P2370" s="24"/>
      <c r="Q2370" s="24">
        <f t="shared" si="6"/>
        <v>0</v>
      </c>
      <c r="R2370" s="24">
        <f t="shared" si="7"/>
        <v>0</v>
      </c>
      <c r="S2370" s="24"/>
      <c r="T2370" s="24"/>
    </row>
    <row r="2371">
      <c r="A2371" s="12" t="s">
        <v>2459</v>
      </c>
      <c r="F2371" s="19">
        <f>IFERROR(__xludf.DUMMYFUNCTION("SPLIT(A2367, "" |"")"),2365.0)</f>
        <v>2365</v>
      </c>
      <c r="G2371" s="19">
        <f>IFERROR(__xludf.DUMMYFUNCTION("""COMPUTED_VALUE"""),0.00227)</f>
        <v>0.00227</v>
      </c>
      <c r="H2371" s="19" t="str">
        <f>IFERROR(__xludf.DUMMYFUNCTION("""COMPUTED_VALUE"""),"-")</f>
        <v>-</v>
      </c>
      <c r="I2371" s="19">
        <f>IFERROR(__xludf.DUMMYFUNCTION("""COMPUTED_VALUE"""),0.00217)</f>
        <v>0.00217</v>
      </c>
      <c r="J2371" s="19">
        <f>IFERROR(__xludf.DUMMYFUNCTION("""COMPUTED_VALUE"""),0.04737)</f>
        <v>0.04737</v>
      </c>
      <c r="K2371" s="19" t="str">
        <f>IFERROR(__xludf.DUMMYFUNCTION("""COMPUTED_VALUE"""),"-")</f>
        <v>-</v>
      </c>
      <c r="L2371" s="19" t="str">
        <f>IFERROR(__xludf.DUMMYFUNCTION("""COMPUTED_VALUE"""),"-")</f>
        <v>-</v>
      </c>
      <c r="O2371" s="24">
        <f t="shared" si="4"/>
        <v>0</v>
      </c>
      <c r="P2371" s="24"/>
      <c r="Q2371" s="24">
        <f t="shared" si="6"/>
        <v>0</v>
      </c>
      <c r="R2371" s="24">
        <f t="shared" si="7"/>
        <v>0</v>
      </c>
      <c r="S2371" s="24"/>
      <c r="T2371" s="24"/>
    </row>
    <row r="2372">
      <c r="A2372" s="12" t="s">
        <v>2460</v>
      </c>
      <c r="F2372" s="19">
        <f>IFERROR(__xludf.DUMMYFUNCTION("SPLIT(A2368, "" |"")"),2366.0)</f>
        <v>2366</v>
      </c>
      <c r="G2372" s="19">
        <f>IFERROR(__xludf.DUMMYFUNCTION("""COMPUTED_VALUE"""),0.00241)</f>
        <v>0.00241</v>
      </c>
      <c r="H2372" s="19" t="str">
        <f>IFERROR(__xludf.DUMMYFUNCTION("""COMPUTED_VALUE"""),"-")</f>
        <v>-</v>
      </c>
      <c r="I2372" s="19">
        <f>IFERROR(__xludf.DUMMYFUNCTION("""COMPUTED_VALUE"""),0.00223)</f>
        <v>0.00223</v>
      </c>
      <c r="J2372" s="19">
        <f>IFERROR(__xludf.DUMMYFUNCTION("""COMPUTED_VALUE"""),0.04736)</f>
        <v>0.04736</v>
      </c>
      <c r="K2372" s="19" t="str">
        <f>IFERROR(__xludf.DUMMYFUNCTION("""COMPUTED_VALUE"""),"-")</f>
        <v>-</v>
      </c>
      <c r="L2372" s="19" t="str">
        <f>IFERROR(__xludf.DUMMYFUNCTION("""COMPUTED_VALUE"""),"-")</f>
        <v>-</v>
      </c>
      <c r="O2372" s="24">
        <f t="shared" si="4"/>
        <v>0</v>
      </c>
      <c r="P2372" s="24"/>
      <c r="Q2372" s="24">
        <f t="shared" si="6"/>
        <v>0</v>
      </c>
      <c r="R2372" s="24">
        <f t="shared" si="7"/>
        <v>0</v>
      </c>
      <c r="S2372" s="24"/>
      <c r="T2372" s="24"/>
    </row>
    <row r="2373">
      <c r="A2373" s="12" t="s">
        <v>2461</v>
      </c>
      <c r="F2373" s="19">
        <f>IFERROR(__xludf.DUMMYFUNCTION("SPLIT(A2369, "" |"")"),2367.0)</f>
        <v>2367</v>
      </c>
      <c r="G2373" s="19">
        <f>IFERROR(__xludf.DUMMYFUNCTION("""COMPUTED_VALUE"""),0.00227)</f>
        <v>0.00227</v>
      </c>
      <c r="H2373" s="19" t="str">
        <f>IFERROR(__xludf.DUMMYFUNCTION("""COMPUTED_VALUE"""),"-")</f>
        <v>-</v>
      </c>
      <c r="I2373" s="19">
        <f>IFERROR(__xludf.DUMMYFUNCTION("""COMPUTED_VALUE"""),0.00228)</f>
        <v>0.00228</v>
      </c>
      <c r="J2373" s="19">
        <f>IFERROR(__xludf.DUMMYFUNCTION("""COMPUTED_VALUE"""),0.04286)</f>
        <v>0.04286</v>
      </c>
      <c r="K2373" s="19" t="str">
        <f>IFERROR(__xludf.DUMMYFUNCTION("""COMPUTED_VALUE"""),"-")</f>
        <v>-</v>
      </c>
      <c r="L2373" s="19" t="str">
        <f>IFERROR(__xludf.DUMMYFUNCTION("""COMPUTED_VALUE"""),"-")</f>
        <v>-</v>
      </c>
      <c r="O2373" s="24">
        <f t="shared" si="4"/>
        <v>0</v>
      </c>
      <c r="P2373" s="24"/>
      <c r="Q2373" s="24">
        <f t="shared" si="6"/>
        <v>0</v>
      </c>
      <c r="R2373" s="24">
        <f t="shared" si="7"/>
        <v>1</v>
      </c>
      <c r="S2373" s="24"/>
      <c r="T2373" s="24"/>
    </row>
    <row r="2374">
      <c r="A2374" s="12" t="s">
        <v>2462</v>
      </c>
      <c r="F2374" s="19">
        <f>IFERROR(__xludf.DUMMYFUNCTION("SPLIT(A2370, "" |"")"),2368.0)</f>
        <v>2368</v>
      </c>
      <c r="G2374" s="19">
        <f>IFERROR(__xludf.DUMMYFUNCTION("""COMPUTED_VALUE"""),0.00238)</f>
        <v>0.00238</v>
      </c>
      <c r="H2374" s="19" t="str">
        <f>IFERROR(__xludf.DUMMYFUNCTION("""COMPUTED_VALUE"""),"-")</f>
        <v>-</v>
      </c>
      <c r="I2374" s="19">
        <f>IFERROR(__xludf.DUMMYFUNCTION("""COMPUTED_VALUE"""),0.00222)</f>
        <v>0.00222</v>
      </c>
      <c r="J2374" s="19">
        <f>IFERROR(__xludf.DUMMYFUNCTION("""COMPUTED_VALUE"""),0.0447)</f>
        <v>0.0447</v>
      </c>
      <c r="K2374" s="19" t="str">
        <f>IFERROR(__xludf.DUMMYFUNCTION("""COMPUTED_VALUE"""),"-")</f>
        <v>-</v>
      </c>
      <c r="L2374" s="19" t="str">
        <f>IFERROR(__xludf.DUMMYFUNCTION("""COMPUTED_VALUE"""),"-")</f>
        <v>-</v>
      </c>
      <c r="O2374" s="24">
        <f t="shared" si="4"/>
        <v>0</v>
      </c>
      <c r="P2374" s="24"/>
      <c r="Q2374" s="24">
        <f t="shared" si="6"/>
        <v>0</v>
      </c>
      <c r="R2374" s="24">
        <f t="shared" si="7"/>
        <v>1</v>
      </c>
      <c r="S2374" s="24"/>
      <c r="T2374" s="24"/>
    </row>
    <row r="2375">
      <c r="A2375" s="12" t="s">
        <v>2463</v>
      </c>
      <c r="F2375" s="19">
        <f>IFERROR(__xludf.DUMMYFUNCTION("SPLIT(A2371, "" |"")"),2369.0)</f>
        <v>2369</v>
      </c>
      <c r="G2375" s="19">
        <f>IFERROR(__xludf.DUMMYFUNCTION("""COMPUTED_VALUE"""),0.00236)</f>
        <v>0.00236</v>
      </c>
      <c r="H2375" s="19" t="str">
        <f>IFERROR(__xludf.DUMMYFUNCTION("""COMPUTED_VALUE"""),"-")</f>
        <v>-</v>
      </c>
      <c r="I2375" s="19">
        <f>IFERROR(__xludf.DUMMYFUNCTION("""COMPUTED_VALUE"""),0.0022)</f>
        <v>0.0022</v>
      </c>
      <c r="J2375" s="19">
        <f>IFERROR(__xludf.DUMMYFUNCTION("""COMPUTED_VALUE"""),0.0474)</f>
        <v>0.0474</v>
      </c>
      <c r="K2375" s="19" t="str">
        <f>IFERROR(__xludf.DUMMYFUNCTION("""COMPUTED_VALUE"""),"-")</f>
        <v>-</v>
      </c>
      <c r="L2375" s="19" t="str">
        <f>IFERROR(__xludf.DUMMYFUNCTION("""COMPUTED_VALUE"""),"-")</f>
        <v>-</v>
      </c>
      <c r="O2375" s="24">
        <f t="shared" si="4"/>
        <v>0</v>
      </c>
      <c r="P2375" s="24"/>
      <c r="Q2375" s="24">
        <f t="shared" si="6"/>
        <v>0</v>
      </c>
      <c r="R2375" s="24">
        <f t="shared" si="7"/>
        <v>0</v>
      </c>
      <c r="S2375" s="24"/>
      <c r="T2375" s="24"/>
    </row>
    <row r="2376">
      <c r="A2376" s="12" t="s">
        <v>2464</v>
      </c>
      <c r="F2376" s="19">
        <f>IFERROR(__xludf.DUMMYFUNCTION("SPLIT(A2372, "" |"")"),2370.0)</f>
        <v>2370</v>
      </c>
      <c r="G2376" s="19">
        <f>IFERROR(__xludf.DUMMYFUNCTION("""COMPUTED_VALUE"""),0.00234)</f>
        <v>0.00234</v>
      </c>
      <c r="H2376" s="19" t="str">
        <f>IFERROR(__xludf.DUMMYFUNCTION("""COMPUTED_VALUE"""),"-")</f>
        <v>-</v>
      </c>
      <c r="I2376" s="19">
        <f>IFERROR(__xludf.DUMMYFUNCTION("""COMPUTED_VALUE"""),0.00212)</f>
        <v>0.00212</v>
      </c>
      <c r="J2376" s="19">
        <f>IFERROR(__xludf.DUMMYFUNCTION("""COMPUTED_VALUE"""),0.0474)</f>
        <v>0.0474</v>
      </c>
      <c r="K2376" s="19" t="str">
        <f>IFERROR(__xludf.DUMMYFUNCTION("""COMPUTED_VALUE"""),"-")</f>
        <v>-</v>
      </c>
      <c r="L2376" s="19" t="str">
        <f>IFERROR(__xludf.DUMMYFUNCTION("""COMPUTED_VALUE"""),"-")</f>
        <v>-</v>
      </c>
      <c r="O2376" s="24">
        <f t="shared" si="4"/>
        <v>0</v>
      </c>
      <c r="P2376" s="24"/>
      <c r="Q2376" s="24">
        <f t="shared" si="6"/>
        <v>0</v>
      </c>
      <c r="R2376" s="24">
        <f t="shared" si="7"/>
        <v>0</v>
      </c>
      <c r="S2376" s="24"/>
      <c r="T2376" s="24"/>
    </row>
    <row r="2377">
      <c r="A2377" s="12" t="s">
        <v>2465</v>
      </c>
      <c r="F2377" s="19">
        <f>IFERROR(__xludf.DUMMYFUNCTION("SPLIT(A2373, "" |"")"),2371.0)</f>
        <v>2371</v>
      </c>
      <c r="G2377" s="19">
        <f>IFERROR(__xludf.DUMMYFUNCTION("""COMPUTED_VALUE"""),0.00235)</f>
        <v>0.00235</v>
      </c>
      <c r="H2377" s="19" t="str">
        <f>IFERROR(__xludf.DUMMYFUNCTION("""COMPUTED_VALUE"""),"-")</f>
        <v>-</v>
      </c>
      <c r="I2377" s="19">
        <f>IFERROR(__xludf.DUMMYFUNCTION("""COMPUTED_VALUE"""),0.00222)</f>
        <v>0.00222</v>
      </c>
      <c r="J2377" s="19">
        <f>IFERROR(__xludf.DUMMYFUNCTION("""COMPUTED_VALUE"""),0.04747)</f>
        <v>0.04747</v>
      </c>
      <c r="K2377" s="19" t="str">
        <f>IFERROR(__xludf.DUMMYFUNCTION("""COMPUTED_VALUE"""),"-")</f>
        <v>-</v>
      </c>
      <c r="L2377" s="19" t="str">
        <f>IFERROR(__xludf.DUMMYFUNCTION("""COMPUTED_VALUE"""),"-")</f>
        <v>-</v>
      </c>
      <c r="O2377" s="24">
        <f t="shared" si="4"/>
        <v>0</v>
      </c>
      <c r="P2377" s="24"/>
      <c r="Q2377" s="24">
        <f t="shared" si="6"/>
        <v>0</v>
      </c>
      <c r="R2377" s="24">
        <f t="shared" si="7"/>
        <v>0</v>
      </c>
      <c r="S2377" s="24"/>
      <c r="T2377" s="24"/>
    </row>
    <row r="2378">
      <c r="A2378" s="12" t="s">
        <v>2466</v>
      </c>
      <c r="F2378" s="19">
        <f>IFERROR(__xludf.DUMMYFUNCTION("SPLIT(A2374, "" |"")"),2372.0)</f>
        <v>2372</v>
      </c>
      <c r="G2378" s="19">
        <f>IFERROR(__xludf.DUMMYFUNCTION("""COMPUTED_VALUE"""),0.00236)</f>
        <v>0.00236</v>
      </c>
      <c r="H2378" s="19" t="str">
        <f>IFERROR(__xludf.DUMMYFUNCTION("""COMPUTED_VALUE"""),"-")</f>
        <v>-</v>
      </c>
      <c r="I2378" s="19">
        <f>IFERROR(__xludf.DUMMYFUNCTION("""COMPUTED_VALUE"""),0.00212)</f>
        <v>0.00212</v>
      </c>
      <c r="J2378" s="19">
        <f>IFERROR(__xludf.DUMMYFUNCTION("""COMPUTED_VALUE"""),0.04147)</f>
        <v>0.04147</v>
      </c>
      <c r="K2378" s="19" t="str">
        <f>IFERROR(__xludf.DUMMYFUNCTION("""COMPUTED_VALUE"""),"-")</f>
        <v>-</v>
      </c>
      <c r="L2378" s="19" t="str">
        <f>IFERROR(__xludf.DUMMYFUNCTION("""COMPUTED_VALUE"""),"-")</f>
        <v>-</v>
      </c>
      <c r="O2378" s="24">
        <f t="shared" si="4"/>
        <v>0</v>
      </c>
      <c r="P2378" s="24"/>
      <c r="Q2378" s="24">
        <f t="shared" si="6"/>
        <v>0</v>
      </c>
      <c r="R2378" s="24">
        <f t="shared" si="7"/>
        <v>1</v>
      </c>
      <c r="S2378" s="24"/>
      <c r="T2378" s="24"/>
    </row>
    <row r="2379">
      <c r="A2379" s="12" t="s">
        <v>2467</v>
      </c>
      <c r="F2379" s="19">
        <f>IFERROR(__xludf.DUMMYFUNCTION("SPLIT(A2375, "" |"")"),2373.0)</f>
        <v>2373</v>
      </c>
      <c r="G2379" s="19">
        <f>IFERROR(__xludf.DUMMYFUNCTION("""COMPUTED_VALUE"""),0.00236)</f>
        <v>0.00236</v>
      </c>
      <c r="H2379" s="19" t="str">
        <f>IFERROR(__xludf.DUMMYFUNCTION("""COMPUTED_VALUE"""),"-")</f>
        <v>-</v>
      </c>
      <c r="I2379" s="19">
        <f>IFERROR(__xludf.DUMMYFUNCTION("""COMPUTED_VALUE"""),0.0022)</f>
        <v>0.0022</v>
      </c>
      <c r="J2379" s="19">
        <f>IFERROR(__xludf.DUMMYFUNCTION("""COMPUTED_VALUE"""),0.04747)</f>
        <v>0.04747</v>
      </c>
      <c r="K2379" s="19" t="str">
        <f>IFERROR(__xludf.DUMMYFUNCTION("""COMPUTED_VALUE"""),"-")</f>
        <v>-</v>
      </c>
      <c r="L2379" s="19" t="str">
        <f>IFERROR(__xludf.DUMMYFUNCTION("""COMPUTED_VALUE"""),"-")</f>
        <v>-</v>
      </c>
      <c r="O2379" s="24">
        <f t="shared" si="4"/>
        <v>0</v>
      </c>
      <c r="P2379" s="24"/>
      <c r="Q2379" s="24">
        <f t="shared" si="6"/>
        <v>0</v>
      </c>
      <c r="R2379" s="24">
        <f t="shared" si="7"/>
        <v>0</v>
      </c>
      <c r="S2379" s="24"/>
      <c r="T2379" s="24"/>
    </row>
    <row r="2380">
      <c r="A2380" s="12" t="s">
        <v>2468</v>
      </c>
      <c r="F2380" s="19">
        <f>IFERROR(__xludf.DUMMYFUNCTION("SPLIT(A2376, "" |"")"),2374.0)</f>
        <v>2374</v>
      </c>
      <c r="G2380" s="19">
        <f>IFERROR(__xludf.DUMMYFUNCTION("""COMPUTED_VALUE"""),0.00237)</f>
        <v>0.00237</v>
      </c>
      <c r="H2380" s="19" t="str">
        <f>IFERROR(__xludf.DUMMYFUNCTION("""COMPUTED_VALUE"""),"-")</f>
        <v>-</v>
      </c>
      <c r="I2380" s="19">
        <f>IFERROR(__xludf.DUMMYFUNCTION("""COMPUTED_VALUE"""),0.00223)</f>
        <v>0.00223</v>
      </c>
      <c r="J2380" s="19">
        <f>IFERROR(__xludf.DUMMYFUNCTION("""COMPUTED_VALUE"""),0.04745)</f>
        <v>0.04745</v>
      </c>
      <c r="K2380" s="19" t="str">
        <f>IFERROR(__xludf.DUMMYFUNCTION("""COMPUTED_VALUE"""),"-")</f>
        <v>-</v>
      </c>
      <c r="L2380" s="19" t="str">
        <f>IFERROR(__xludf.DUMMYFUNCTION("""COMPUTED_VALUE"""),"-")</f>
        <v>-</v>
      </c>
      <c r="O2380" s="24">
        <f t="shared" si="4"/>
        <v>0</v>
      </c>
      <c r="P2380" s="24"/>
      <c r="Q2380" s="24">
        <f t="shared" si="6"/>
        <v>0</v>
      </c>
      <c r="R2380" s="24">
        <f t="shared" si="7"/>
        <v>0</v>
      </c>
      <c r="S2380" s="24"/>
      <c r="T2380" s="24"/>
    </row>
    <row r="2381">
      <c r="A2381" s="12" t="s">
        <v>2469</v>
      </c>
      <c r="F2381" s="19">
        <f>IFERROR(__xludf.DUMMYFUNCTION("SPLIT(A2377, "" |"")"),2375.0)</f>
        <v>2375</v>
      </c>
      <c r="G2381" s="19">
        <f>IFERROR(__xludf.DUMMYFUNCTION("""COMPUTED_VALUE"""),0.00237)</f>
        <v>0.00237</v>
      </c>
      <c r="H2381" s="19" t="str">
        <f>IFERROR(__xludf.DUMMYFUNCTION("""COMPUTED_VALUE"""),"-")</f>
        <v>-</v>
      </c>
      <c r="I2381" s="19">
        <f>IFERROR(__xludf.DUMMYFUNCTION("""COMPUTED_VALUE"""),0.00221)</f>
        <v>0.00221</v>
      </c>
      <c r="J2381" s="19">
        <f>IFERROR(__xludf.DUMMYFUNCTION("""COMPUTED_VALUE"""),0.04746)</f>
        <v>0.04746</v>
      </c>
      <c r="K2381" s="19" t="str">
        <f>IFERROR(__xludf.DUMMYFUNCTION("""COMPUTED_VALUE"""),"-")</f>
        <v>-</v>
      </c>
      <c r="L2381" s="19" t="str">
        <f>IFERROR(__xludf.DUMMYFUNCTION("""COMPUTED_VALUE"""),"-")</f>
        <v>-</v>
      </c>
      <c r="O2381" s="24">
        <f t="shared" si="4"/>
        <v>0</v>
      </c>
      <c r="P2381" s="24"/>
      <c r="Q2381" s="24">
        <f t="shared" si="6"/>
        <v>0</v>
      </c>
      <c r="R2381" s="24">
        <f t="shared" si="7"/>
        <v>0</v>
      </c>
      <c r="S2381" s="24"/>
      <c r="T2381" s="24"/>
    </row>
    <row r="2382">
      <c r="A2382" s="12" t="s">
        <v>2470</v>
      </c>
      <c r="F2382" s="19">
        <f>IFERROR(__xludf.DUMMYFUNCTION("SPLIT(A2378, "" |"")"),2376.0)</f>
        <v>2376</v>
      </c>
      <c r="G2382" s="19">
        <f>IFERROR(__xludf.DUMMYFUNCTION("""COMPUTED_VALUE"""),0.00231)</f>
        <v>0.00231</v>
      </c>
      <c r="H2382" s="19" t="str">
        <f>IFERROR(__xludf.DUMMYFUNCTION("""COMPUTED_VALUE"""),"-")</f>
        <v>-</v>
      </c>
      <c r="I2382" s="19">
        <f>IFERROR(__xludf.DUMMYFUNCTION("""COMPUTED_VALUE"""),0.00214)</f>
        <v>0.00214</v>
      </c>
      <c r="J2382" s="19">
        <f>IFERROR(__xludf.DUMMYFUNCTION("""COMPUTED_VALUE"""),0.04128)</f>
        <v>0.04128</v>
      </c>
      <c r="K2382" s="19" t="str">
        <f>IFERROR(__xludf.DUMMYFUNCTION("""COMPUTED_VALUE"""),"-")</f>
        <v>-</v>
      </c>
      <c r="L2382" s="19" t="str">
        <f>IFERROR(__xludf.DUMMYFUNCTION("""COMPUTED_VALUE"""),"-")</f>
        <v>-</v>
      </c>
      <c r="O2382" s="24">
        <f t="shared" si="4"/>
        <v>0</v>
      </c>
      <c r="P2382" s="24"/>
      <c r="Q2382" s="24">
        <f t="shared" si="6"/>
        <v>0</v>
      </c>
      <c r="R2382" s="24">
        <f t="shared" si="7"/>
        <v>1</v>
      </c>
      <c r="S2382" s="24"/>
      <c r="T2382" s="24"/>
    </row>
    <row r="2383">
      <c r="A2383" s="12" t="s">
        <v>2471</v>
      </c>
      <c r="F2383" s="19">
        <f>IFERROR(__xludf.DUMMYFUNCTION("SPLIT(A2379, "" |"")"),2377.0)</f>
        <v>2377</v>
      </c>
      <c r="G2383" s="19">
        <f>IFERROR(__xludf.DUMMYFUNCTION("""COMPUTED_VALUE"""),0.0023)</f>
        <v>0.0023</v>
      </c>
      <c r="H2383" s="19" t="str">
        <f>IFERROR(__xludf.DUMMYFUNCTION("""COMPUTED_VALUE"""),"-")</f>
        <v>-</v>
      </c>
      <c r="I2383" s="19">
        <f>IFERROR(__xludf.DUMMYFUNCTION("""COMPUTED_VALUE"""),0.00221)</f>
        <v>0.00221</v>
      </c>
      <c r="J2383" s="19">
        <f>IFERROR(__xludf.DUMMYFUNCTION("""COMPUTED_VALUE"""),0.04594)</f>
        <v>0.04594</v>
      </c>
      <c r="K2383" s="19" t="str">
        <f>IFERROR(__xludf.DUMMYFUNCTION("""COMPUTED_VALUE"""),"-")</f>
        <v>-</v>
      </c>
      <c r="L2383" s="19" t="str">
        <f>IFERROR(__xludf.DUMMYFUNCTION("""COMPUTED_VALUE"""),"-")</f>
        <v>-</v>
      </c>
      <c r="O2383" s="24">
        <f t="shared" si="4"/>
        <v>0</v>
      </c>
      <c r="P2383" s="24"/>
      <c r="Q2383" s="24">
        <f t="shared" si="6"/>
        <v>0</v>
      </c>
      <c r="R2383" s="24">
        <f t="shared" si="7"/>
        <v>0</v>
      </c>
      <c r="S2383" s="24"/>
      <c r="T2383" s="24"/>
    </row>
    <row r="2384">
      <c r="A2384" s="12" t="s">
        <v>2472</v>
      </c>
      <c r="F2384" s="19">
        <f>IFERROR(__xludf.DUMMYFUNCTION("SPLIT(A2380, "" |"")"),2378.0)</f>
        <v>2378</v>
      </c>
      <c r="G2384" s="19">
        <f>IFERROR(__xludf.DUMMYFUNCTION("""COMPUTED_VALUE"""),0.0024)</f>
        <v>0.0024</v>
      </c>
      <c r="H2384" s="19" t="str">
        <f>IFERROR(__xludf.DUMMYFUNCTION("""COMPUTED_VALUE"""),"-")</f>
        <v>-</v>
      </c>
      <c r="I2384" s="19">
        <f>IFERROR(__xludf.DUMMYFUNCTION("""COMPUTED_VALUE"""),0.00219)</f>
        <v>0.00219</v>
      </c>
      <c r="J2384" s="19">
        <f>IFERROR(__xludf.DUMMYFUNCTION("""COMPUTED_VALUE"""),0.04749)</f>
        <v>0.04749</v>
      </c>
      <c r="K2384" s="19" t="str">
        <f>IFERROR(__xludf.DUMMYFUNCTION("""COMPUTED_VALUE"""),"-")</f>
        <v>-</v>
      </c>
      <c r="L2384" s="19" t="str">
        <f>IFERROR(__xludf.DUMMYFUNCTION("""COMPUTED_VALUE"""),"-")</f>
        <v>-</v>
      </c>
      <c r="O2384" s="24">
        <f t="shared" si="4"/>
        <v>0</v>
      </c>
      <c r="P2384" s="24"/>
      <c r="Q2384" s="24">
        <f t="shared" si="6"/>
        <v>0</v>
      </c>
      <c r="R2384" s="24">
        <f t="shared" si="7"/>
        <v>0</v>
      </c>
      <c r="S2384" s="24"/>
      <c r="T2384" s="24"/>
    </row>
    <row r="2385">
      <c r="A2385" s="12" t="s">
        <v>2473</v>
      </c>
      <c r="F2385" s="19">
        <f>IFERROR(__xludf.DUMMYFUNCTION("SPLIT(A2381, "" |"")"),2379.0)</f>
        <v>2379</v>
      </c>
      <c r="G2385" s="19">
        <f>IFERROR(__xludf.DUMMYFUNCTION("""COMPUTED_VALUE"""),0.00233)</f>
        <v>0.00233</v>
      </c>
      <c r="H2385" s="19" t="str">
        <f>IFERROR(__xludf.DUMMYFUNCTION("""COMPUTED_VALUE"""),"-")</f>
        <v>-</v>
      </c>
      <c r="I2385" s="19">
        <f>IFERROR(__xludf.DUMMYFUNCTION("""COMPUTED_VALUE"""),0.00219)</f>
        <v>0.00219</v>
      </c>
      <c r="J2385" s="19">
        <f>IFERROR(__xludf.DUMMYFUNCTION("""COMPUTED_VALUE"""),0.04746)</f>
        <v>0.04746</v>
      </c>
      <c r="K2385" s="19" t="str">
        <f>IFERROR(__xludf.DUMMYFUNCTION("""COMPUTED_VALUE"""),"-")</f>
        <v>-</v>
      </c>
      <c r="L2385" s="19" t="str">
        <f>IFERROR(__xludf.DUMMYFUNCTION("""COMPUTED_VALUE"""),"-")</f>
        <v>-</v>
      </c>
      <c r="O2385" s="24">
        <f t="shared" si="4"/>
        <v>0</v>
      </c>
      <c r="P2385" s="24"/>
      <c r="Q2385" s="24">
        <f t="shared" si="6"/>
        <v>0</v>
      </c>
      <c r="R2385" s="24">
        <f t="shared" si="7"/>
        <v>0</v>
      </c>
      <c r="S2385" s="24"/>
      <c r="T2385" s="24"/>
    </row>
    <row r="2386">
      <c r="A2386" s="12" t="s">
        <v>2474</v>
      </c>
      <c r="F2386" s="19">
        <f>IFERROR(__xludf.DUMMYFUNCTION("SPLIT(A2382, "" |"")"),2380.0)</f>
        <v>2380</v>
      </c>
      <c r="G2386" s="19">
        <f>IFERROR(__xludf.DUMMYFUNCTION("""COMPUTED_VALUE"""),0.00233)</f>
        <v>0.00233</v>
      </c>
      <c r="H2386" s="19" t="str">
        <f>IFERROR(__xludf.DUMMYFUNCTION("""COMPUTED_VALUE"""),"-")</f>
        <v>-</v>
      </c>
      <c r="I2386" s="19">
        <f>IFERROR(__xludf.DUMMYFUNCTION("""COMPUTED_VALUE"""),0.00219)</f>
        <v>0.00219</v>
      </c>
      <c r="J2386" s="19">
        <f>IFERROR(__xludf.DUMMYFUNCTION("""COMPUTED_VALUE"""),0.04284)</f>
        <v>0.04284</v>
      </c>
      <c r="K2386" s="19" t="str">
        <f>IFERROR(__xludf.DUMMYFUNCTION("""COMPUTED_VALUE"""),"-")</f>
        <v>-</v>
      </c>
      <c r="L2386" s="19" t="str">
        <f>IFERROR(__xludf.DUMMYFUNCTION("""COMPUTED_VALUE"""),"-")</f>
        <v>-</v>
      </c>
      <c r="O2386" s="24">
        <f t="shared" si="4"/>
        <v>0</v>
      </c>
      <c r="P2386" s="24"/>
      <c r="Q2386" s="24">
        <f t="shared" si="6"/>
        <v>0</v>
      </c>
      <c r="R2386" s="24">
        <f t="shared" si="7"/>
        <v>1</v>
      </c>
      <c r="S2386" s="24"/>
      <c r="T2386" s="24"/>
    </row>
    <row r="2387">
      <c r="A2387" s="12" t="s">
        <v>2475</v>
      </c>
      <c r="F2387" s="19">
        <f>IFERROR(__xludf.DUMMYFUNCTION("SPLIT(A2383, "" |"")"),2381.0)</f>
        <v>2381</v>
      </c>
      <c r="G2387" s="19">
        <f>IFERROR(__xludf.DUMMYFUNCTION("""COMPUTED_VALUE"""),0.00234)</f>
        <v>0.00234</v>
      </c>
      <c r="H2387" s="19" t="str">
        <f>IFERROR(__xludf.DUMMYFUNCTION("""COMPUTED_VALUE"""),"-")</f>
        <v>-</v>
      </c>
      <c r="I2387" s="19">
        <f>IFERROR(__xludf.DUMMYFUNCTION("""COMPUTED_VALUE"""),0.00222)</f>
        <v>0.00222</v>
      </c>
      <c r="J2387" s="19">
        <f>IFERROR(__xludf.DUMMYFUNCTION("""COMPUTED_VALUE"""),0.0475)</f>
        <v>0.0475</v>
      </c>
      <c r="K2387" s="19" t="str">
        <f>IFERROR(__xludf.DUMMYFUNCTION("""COMPUTED_VALUE"""),"-")</f>
        <v>-</v>
      </c>
      <c r="L2387" s="19" t="str">
        <f>IFERROR(__xludf.DUMMYFUNCTION("""COMPUTED_VALUE"""),"-")</f>
        <v>-</v>
      </c>
      <c r="O2387" s="24">
        <f t="shared" si="4"/>
        <v>0</v>
      </c>
      <c r="P2387" s="24"/>
      <c r="Q2387" s="24">
        <f t="shared" si="6"/>
        <v>0</v>
      </c>
      <c r="R2387" s="24">
        <f t="shared" si="7"/>
        <v>0</v>
      </c>
      <c r="S2387" s="24"/>
      <c r="T2387" s="24"/>
    </row>
    <row r="2388">
      <c r="A2388" s="12" t="s">
        <v>2476</v>
      </c>
      <c r="F2388" s="19">
        <f>IFERROR(__xludf.DUMMYFUNCTION("SPLIT(A2384, "" |"")"),2382.0)</f>
        <v>2382</v>
      </c>
      <c r="G2388" s="19">
        <f>IFERROR(__xludf.DUMMYFUNCTION("""COMPUTED_VALUE"""),0.00237)</f>
        <v>0.00237</v>
      </c>
      <c r="H2388" s="19" t="str">
        <f>IFERROR(__xludf.DUMMYFUNCTION("""COMPUTED_VALUE"""),"-")</f>
        <v>-</v>
      </c>
      <c r="I2388" s="19">
        <f>IFERROR(__xludf.DUMMYFUNCTION("""COMPUTED_VALUE"""),0.00222)</f>
        <v>0.00222</v>
      </c>
      <c r="J2388" s="19">
        <f>IFERROR(__xludf.DUMMYFUNCTION("""COMPUTED_VALUE"""),0.04742)</f>
        <v>0.04742</v>
      </c>
      <c r="K2388" s="19" t="str">
        <f>IFERROR(__xludf.DUMMYFUNCTION("""COMPUTED_VALUE"""),"-")</f>
        <v>-</v>
      </c>
      <c r="L2388" s="19" t="str">
        <f>IFERROR(__xludf.DUMMYFUNCTION("""COMPUTED_VALUE"""),"-")</f>
        <v>-</v>
      </c>
      <c r="O2388" s="24">
        <f t="shared" si="4"/>
        <v>0</v>
      </c>
      <c r="P2388" s="24"/>
      <c r="Q2388" s="24">
        <f t="shared" si="6"/>
        <v>0</v>
      </c>
      <c r="R2388" s="24">
        <f t="shared" si="7"/>
        <v>0</v>
      </c>
      <c r="S2388" s="24"/>
      <c r="T2388" s="24"/>
    </row>
    <row r="2389">
      <c r="A2389" s="12" t="s">
        <v>2477</v>
      </c>
      <c r="F2389" s="19">
        <f>IFERROR(__xludf.DUMMYFUNCTION("SPLIT(A2385, "" |"")"),2383.0)</f>
        <v>2383</v>
      </c>
      <c r="G2389" s="19">
        <f>IFERROR(__xludf.DUMMYFUNCTION("""COMPUTED_VALUE"""),0.00235)</f>
        <v>0.00235</v>
      </c>
      <c r="H2389" s="19" t="str">
        <f>IFERROR(__xludf.DUMMYFUNCTION("""COMPUTED_VALUE"""),"-")</f>
        <v>-</v>
      </c>
      <c r="I2389" s="19">
        <f>IFERROR(__xludf.DUMMYFUNCTION("""COMPUTED_VALUE"""),0.00221)</f>
        <v>0.00221</v>
      </c>
      <c r="J2389" s="19">
        <f>IFERROR(__xludf.DUMMYFUNCTION("""COMPUTED_VALUE"""),0.04747)</f>
        <v>0.04747</v>
      </c>
      <c r="K2389" s="19" t="str">
        <f>IFERROR(__xludf.DUMMYFUNCTION("""COMPUTED_VALUE"""),"-")</f>
        <v>-</v>
      </c>
      <c r="L2389" s="19" t="str">
        <f>IFERROR(__xludf.DUMMYFUNCTION("""COMPUTED_VALUE"""),"-")</f>
        <v>-</v>
      </c>
      <c r="O2389" s="24">
        <f t="shared" si="4"/>
        <v>0</v>
      </c>
      <c r="P2389" s="24"/>
      <c r="Q2389" s="24">
        <f t="shared" si="6"/>
        <v>0</v>
      </c>
      <c r="R2389" s="24">
        <f t="shared" si="7"/>
        <v>0</v>
      </c>
      <c r="S2389" s="24"/>
      <c r="T2389" s="24"/>
    </row>
    <row r="2390">
      <c r="A2390" s="12" t="s">
        <v>2478</v>
      </c>
      <c r="F2390" s="19">
        <f>IFERROR(__xludf.DUMMYFUNCTION("SPLIT(A2386, "" |"")"),2384.0)</f>
        <v>2384</v>
      </c>
      <c r="G2390" s="19">
        <f>IFERROR(__xludf.DUMMYFUNCTION("""COMPUTED_VALUE"""),0.00239)</f>
        <v>0.00239</v>
      </c>
      <c r="H2390" s="19" t="str">
        <f>IFERROR(__xludf.DUMMYFUNCTION("""COMPUTED_VALUE"""),"-")</f>
        <v>-</v>
      </c>
      <c r="I2390" s="19">
        <f>IFERROR(__xludf.DUMMYFUNCTION("""COMPUTED_VALUE"""),0.00218)</f>
        <v>0.00218</v>
      </c>
      <c r="J2390" s="19">
        <f>IFERROR(__xludf.DUMMYFUNCTION("""COMPUTED_VALUE"""),0.04745)</f>
        <v>0.04745</v>
      </c>
      <c r="K2390" s="19" t="str">
        <f>IFERROR(__xludf.DUMMYFUNCTION("""COMPUTED_VALUE"""),"-")</f>
        <v>-</v>
      </c>
      <c r="L2390" s="19" t="str">
        <f>IFERROR(__xludf.DUMMYFUNCTION("""COMPUTED_VALUE"""),"-")</f>
        <v>-</v>
      </c>
      <c r="O2390" s="24">
        <f t="shared" si="4"/>
        <v>0</v>
      </c>
      <c r="P2390" s="24"/>
      <c r="Q2390" s="24">
        <f t="shared" si="6"/>
        <v>0</v>
      </c>
      <c r="R2390" s="24">
        <f t="shared" si="7"/>
        <v>0</v>
      </c>
      <c r="S2390" s="24"/>
      <c r="T2390" s="24"/>
    </row>
    <row r="2391">
      <c r="A2391" s="12" t="s">
        <v>2479</v>
      </c>
      <c r="F2391" s="19">
        <f>IFERROR(__xludf.DUMMYFUNCTION("SPLIT(A2387, "" |"")"),2385.0)</f>
        <v>2385</v>
      </c>
      <c r="G2391" s="19">
        <f>IFERROR(__xludf.DUMMYFUNCTION("""COMPUTED_VALUE"""),0.00237)</f>
        <v>0.00237</v>
      </c>
      <c r="H2391" s="19" t="str">
        <f>IFERROR(__xludf.DUMMYFUNCTION("""COMPUTED_VALUE"""),"-")</f>
        <v>-</v>
      </c>
      <c r="I2391" s="19">
        <f>IFERROR(__xludf.DUMMYFUNCTION("""COMPUTED_VALUE"""),0.00218)</f>
        <v>0.00218</v>
      </c>
      <c r="J2391" s="19">
        <f>IFERROR(__xludf.DUMMYFUNCTION("""COMPUTED_VALUE"""),0.0475)</f>
        <v>0.0475</v>
      </c>
      <c r="K2391" s="19" t="str">
        <f>IFERROR(__xludf.DUMMYFUNCTION("""COMPUTED_VALUE"""),"-")</f>
        <v>-</v>
      </c>
      <c r="L2391" s="19" t="str">
        <f>IFERROR(__xludf.DUMMYFUNCTION("""COMPUTED_VALUE"""),"-")</f>
        <v>-</v>
      </c>
      <c r="O2391" s="24">
        <f t="shared" si="4"/>
        <v>0</v>
      </c>
      <c r="P2391" s="24"/>
      <c r="Q2391" s="24">
        <f t="shared" si="6"/>
        <v>0</v>
      </c>
      <c r="R2391" s="24">
        <f t="shared" si="7"/>
        <v>0</v>
      </c>
      <c r="S2391" s="24"/>
      <c r="T2391" s="24"/>
    </row>
    <row r="2392">
      <c r="A2392" s="12" t="s">
        <v>2480</v>
      </c>
      <c r="F2392" s="19">
        <f>IFERROR(__xludf.DUMMYFUNCTION("SPLIT(A2388, "" |"")"),2386.0)</f>
        <v>2386</v>
      </c>
      <c r="G2392" s="19">
        <f>IFERROR(__xludf.DUMMYFUNCTION("""COMPUTED_VALUE"""),0.00232)</f>
        <v>0.00232</v>
      </c>
      <c r="H2392" s="19" t="str">
        <f>IFERROR(__xludf.DUMMYFUNCTION("""COMPUTED_VALUE"""),"-")</f>
        <v>-</v>
      </c>
      <c r="I2392" s="19">
        <f>IFERROR(__xludf.DUMMYFUNCTION("""COMPUTED_VALUE"""),0.00219)</f>
        <v>0.00219</v>
      </c>
      <c r="J2392" s="19">
        <f>IFERROR(__xludf.DUMMYFUNCTION("""COMPUTED_VALUE"""),0.04747)</f>
        <v>0.04747</v>
      </c>
      <c r="K2392" s="19" t="str">
        <f>IFERROR(__xludf.DUMMYFUNCTION("""COMPUTED_VALUE"""),"-")</f>
        <v>-</v>
      </c>
      <c r="L2392" s="19" t="str">
        <f>IFERROR(__xludf.DUMMYFUNCTION("""COMPUTED_VALUE"""),"-")</f>
        <v>-</v>
      </c>
      <c r="O2392" s="24">
        <f t="shared" si="4"/>
        <v>0</v>
      </c>
      <c r="P2392" s="24"/>
      <c r="Q2392" s="24">
        <f t="shared" si="6"/>
        <v>0</v>
      </c>
      <c r="R2392" s="24">
        <f t="shared" si="7"/>
        <v>0</v>
      </c>
      <c r="S2392" s="24"/>
      <c r="T2392" s="24"/>
    </row>
    <row r="2393">
      <c r="A2393" s="12" t="s">
        <v>2481</v>
      </c>
      <c r="F2393" s="19">
        <f>IFERROR(__xludf.DUMMYFUNCTION("SPLIT(A2389, "" |"")"),2387.0)</f>
        <v>2387</v>
      </c>
      <c r="G2393" s="19">
        <f>IFERROR(__xludf.DUMMYFUNCTION("""COMPUTED_VALUE"""),0.00235)</f>
        <v>0.00235</v>
      </c>
      <c r="H2393" s="19" t="str">
        <f>IFERROR(__xludf.DUMMYFUNCTION("""COMPUTED_VALUE"""),"-")</f>
        <v>-</v>
      </c>
      <c r="I2393" s="19">
        <f>IFERROR(__xludf.DUMMYFUNCTION("""COMPUTED_VALUE"""),0.00218)</f>
        <v>0.00218</v>
      </c>
      <c r="J2393" s="19">
        <f>IFERROR(__xludf.DUMMYFUNCTION("""COMPUTED_VALUE"""),0.0479)</f>
        <v>0.0479</v>
      </c>
      <c r="K2393" s="19" t="str">
        <f>IFERROR(__xludf.DUMMYFUNCTION("""COMPUTED_VALUE"""),"-")</f>
        <v>-</v>
      </c>
      <c r="L2393" s="19" t="str">
        <f>IFERROR(__xludf.DUMMYFUNCTION("""COMPUTED_VALUE"""),"-")</f>
        <v>-</v>
      </c>
      <c r="O2393" s="24">
        <f t="shared" si="4"/>
        <v>0</v>
      </c>
      <c r="P2393" s="24"/>
      <c r="Q2393" s="24">
        <f t="shared" si="6"/>
        <v>0</v>
      </c>
      <c r="R2393" s="24">
        <f t="shared" si="7"/>
        <v>0</v>
      </c>
      <c r="S2393" s="24"/>
      <c r="T2393" s="24"/>
    </row>
    <row r="2394">
      <c r="A2394" s="12" t="s">
        <v>2482</v>
      </c>
      <c r="F2394" s="19">
        <f>IFERROR(__xludf.DUMMYFUNCTION("SPLIT(A2390, "" |"")"),2388.0)</f>
        <v>2388</v>
      </c>
      <c r="G2394" s="19">
        <f>IFERROR(__xludf.DUMMYFUNCTION("""COMPUTED_VALUE"""),0.00223)</f>
        <v>0.00223</v>
      </c>
      <c r="H2394" s="19" t="str">
        <f>IFERROR(__xludf.DUMMYFUNCTION("""COMPUTED_VALUE"""),"-")</f>
        <v>-</v>
      </c>
      <c r="I2394" s="19">
        <f>IFERROR(__xludf.DUMMYFUNCTION("""COMPUTED_VALUE"""),0.00209)</f>
        <v>0.00209</v>
      </c>
      <c r="J2394" s="19">
        <f>IFERROR(__xludf.DUMMYFUNCTION("""COMPUTED_VALUE"""),0.04724)</f>
        <v>0.04724</v>
      </c>
      <c r="K2394" s="19" t="str">
        <f>IFERROR(__xludf.DUMMYFUNCTION("""COMPUTED_VALUE"""),"-")</f>
        <v>-</v>
      </c>
      <c r="L2394" s="19" t="str">
        <f>IFERROR(__xludf.DUMMYFUNCTION("""COMPUTED_VALUE"""),"-")</f>
        <v>-</v>
      </c>
      <c r="O2394" s="24">
        <f t="shared" si="4"/>
        <v>0</v>
      </c>
      <c r="P2394" s="24"/>
      <c r="Q2394" s="24">
        <f t="shared" si="6"/>
        <v>0</v>
      </c>
      <c r="R2394" s="24">
        <f t="shared" si="7"/>
        <v>0</v>
      </c>
      <c r="S2394" s="24"/>
      <c r="T2394" s="24"/>
    </row>
    <row r="2395">
      <c r="A2395" s="12" t="s">
        <v>2483</v>
      </c>
      <c r="F2395" s="19">
        <f>IFERROR(__xludf.DUMMYFUNCTION("SPLIT(A2391, "" |"")"),2389.0)</f>
        <v>2389</v>
      </c>
      <c r="G2395" s="19">
        <f>IFERROR(__xludf.DUMMYFUNCTION("""COMPUTED_VALUE"""),0.00223)</f>
        <v>0.00223</v>
      </c>
      <c r="H2395" s="19" t="str">
        <f>IFERROR(__xludf.DUMMYFUNCTION("""COMPUTED_VALUE"""),"-")</f>
        <v>-</v>
      </c>
      <c r="I2395" s="19">
        <f>IFERROR(__xludf.DUMMYFUNCTION("""COMPUTED_VALUE"""),0.00208)</f>
        <v>0.00208</v>
      </c>
      <c r="J2395" s="19">
        <f>IFERROR(__xludf.DUMMYFUNCTION("""COMPUTED_VALUE"""),0.04737)</f>
        <v>0.04737</v>
      </c>
      <c r="K2395" s="19" t="str">
        <f>IFERROR(__xludf.DUMMYFUNCTION("""COMPUTED_VALUE"""),"-")</f>
        <v>-</v>
      </c>
      <c r="L2395" s="19" t="str">
        <f>IFERROR(__xludf.DUMMYFUNCTION("""COMPUTED_VALUE"""),"-")</f>
        <v>-</v>
      </c>
      <c r="O2395" s="24">
        <f t="shared" si="4"/>
        <v>0</v>
      </c>
      <c r="P2395" s="24"/>
      <c r="Q2395" s="24">
        <f t="shared" si="6"/>
        <v>0</v>
      </c>
      <c r="R2395" s="24">
        <f t="shared" si="7"/>
        <v>0</v>
      </c>
      <c r="S2395" s="24"/>
      <c r="T2395" s="24"/>
    </row>
    <row r="2396">
      <c r="A2396" s="12" t="s">
        <v>2484</v>
      </c>
      <c r="F2396" s="19">
        <f>IFERROR(__xludf.DUMMYFUNCTION("SPLIT(A2392, "" |"")"),2390.0)</f>
        <v>2390</v>
      </c>
      <c r="G2396" s="19">
        <f>IFERROR(__xludf.DUMMYFUNCTION("""COMPUTED_VALUE"""),0.00245)</f>
        <v>0.00245</v>
      </c>
      <c r="H2396" s="19" t="str">
        <f>IFERROR(__xludf.DUMMYFUNCTION("""COMPUTED_VALUE"""),"-")</f>
        <v>-</v>
      </c>
      <c r="I2396" s="19">
        <f>IFERROR(__xludf.DUMMYFUNCTION("""COMPUTED_VALUE"""),0.00223)</f>
        <v>0.00223</v>
      </c>
      <c r="J2396" s="19">
        <f>IFERROR(__xludf.DUMMYFUNCTION("""COMPUTED_VALUE"""),0.0459)</f>
        <v>0.0459</v>
      </c>
      <c r="K2396" s="19" t="str">
        <f>IFERROR(__xludf.DUMMYFUNCTION("""COMPUTED_VALUE"""),"-")</f>
        <v>-</v>
      </c>
      <c r="L2396" s="19" t="str">
        <f>IFERROR(__xludf.DUMMYFUNCTION("""COMPUTED_VALUE"""),"-")</f>
        <v>-</v>
      </c>
      <c r="O2396" s="24">
        <f t="shared" si="4"/>
        <v>0</v>
      </c>
      <c r="P2396" s="24"/>
      <c r="Q2396" s="24">
        <f t="shared" si="6"/>
        <v>0</v>
      </c>
      <c r="R2396" s="24">
        <f t="shared" si="7"/>
        <v>0</v>
      </c>
      <c r="S2396" s="24"/>
      <c r="T2396" s="24"/>
    </row>
    <row r="2397">
      <c r="A2397" s="12" t="s">
        <v>2485</v>
      </c>
      <c r="F2397" s="19">
        <f>IFERROR(__xludf.DUMMYFUNCTION("SPLIT(A2393, "" |"")"),2391.0)</f>
        <v>2391</v>
      </c>
      <c r="G2397" s="19">
        <f>IFERROR(__xludf.DUMMYFUNCTION("""COMPUTED_VALUE"""),0.0024)</f>
        <v>0.0024</v>
      </c>
      <c r="H2397" s="19" t="str">
        <f>IFERROR(__xludf.DUMMYFUNCTION("""COMPUTED_VALUE"""),"-")</f>
        <v>-</v>
      </c>
      <c r="I2397" s="19">
        <f>IFERROR(__xludf.DUMMYFUNCTION("""COMPUTED_VALUE"""),0.00209)</f>
        <v>0.00209</v>
      </c>
      <c r="J2397" s="19">
        <f>IFERROR(__xludf.DUMMYFUNCTION("""COMPUTED_VALUE"""),0.04729)</f>
        <v>0.04729</v>
      </c>
      <c r="K2397" s="19" t="str">
        <f>IFERROR(__xludf.DUMMYFUNCTION("""COMPUTED_VALUE"""),"-")</f>
        <v>-</v>
      </c>
      <c r="L2397" s="19" t="str">
        <f>IFERROR(__xludf.DUMMYFUNCTION("""COMPUTED_VALUE"""),"-")</f>
        <v>-</v>
      </c>
      <c r="O2397" s="24">
        <f t="shared" si="4"/>
        <v>0</v>
      </c>
      <c r="P2397" s="24"/>
      <c r="Q2397" s="24">
        <f t="shared" si="6"/>
        <v>0</v>
      </c>
      <c r="R2397" s="24">
        <f t="shared" si="7"/>
        <v>0</v>
      </c>
      <c r="S2397" s="24"/>
      <c r="T2397" s="24"/>
    </row>
    <row r="2398">
      <c r="A2398" s="12" t="s">
        <v>2486</v>
      </c>
      <c r="F2398" s="19">
        <f>IFERROR(__xludf.DUMMYFUNCTION("SPLIT(A2394, "" |"")"),2392.0)</f>
        <v>2392</v>
      </c>
      <c r="G2398" s="19">
        <f>IFERROR(__xludf.DUMMYFUNCTION("""COMPUTED_VALUE"""),0.00243)</f>
        <v>0.00243</v>
      </c>
      <c r="H2398" s="19" t="str">
        <f>IFERROR(__xludf.DUMMYFUNCTION("""COMPUTED_VALUE"""),"-")</f>
        <v>-</v>
      </c>
      <c r="I2398" s="19">
        <f>IFERROR(__xludf.DUMMYFUNCTION("""COMPUTED_VALUE"""),0.00223)</f>
        <v>0.00223</v>
      </c>
      <c r="J2398" s="19">
        <f>IFERROR(__xludf.DUMMYFUNCTION("""COMPUTED_VALUE"""),0.041)</f>
        <v>0.041</v>
      </c>
      <c r="K2398" s="19" t="str">
        <f>IFERROR(__xludf.DUMMYFUNCTION("""COMPUTED_VALUE"""),"-")</f>
        <v>-</v>
      </c>
      <c r="L2398" s="19" t="str">
        <f>IFERROR(__xludf.DUMMYFUNCTION("""COMPUTED_VALUE"""),"-")</f>
        <v>-</v>
      </c>
      <c r="O2398" s="24">
        <f t="shared" si="4"/>
        <v>0</v>
      </c>
      <c r="P2398" s="24"/>
      <c r="Q2398" s="24">
        <f t="shared" si="6"/>
        <v>0</v>
      </c>
      <c r="R2398" s="24">
        <f t="shared" si="7"/>
        <v>1</v>
      </c>
      <c r="S2398" s="24"/>
      <c r="T2398" s="24"/>
    </row>
    <row r="2399">
      <c r="A2399" s="12" t="s">
        <v>2487</v>
      </c>
      <c r="F2399" s="19">
        <f>IFERROR(__xludf.DUMMYFUNCTION("SPLIT(A2395, "" |"")"),2393.0)</f>
        <v>2393</v>
      </c>
      <c r="G2399" s="19">
        <f>IFERROR(__xludf.DUMMYFUNCTION("""COMPUTED_VALUE"""),0.00226)</f>
        <v>0.00226</v>
      </c>
      <c r="H2399" s="19" t="str">
        <f>IFERROR(__xludf.DUMMYFUNCTION("""COMPUTED_VALUE"""),"-")</f>
        <v>-</v>
      </c>
      <c r="I2399" s="19">
        <f>IFERROR(__xludf.DUMMYFUNCTION("""COMPUTED_VALUE"""),0.00224)</f>
        <v>0.00224</v>
      </c>
      <c r="J2399" s="19">
        <f>IFERROR(__xludf.DUMMYFUNCTION("""COMPUTED_VALUE"""),0.04471)</f>
        <v>0.04471</v>
      </c>
      <c r="K2399" s="19" t="str">
        <f>IFERROR(__xludf.DUMMYFUNCTION("""COMPUTED_VALUE"""),"-")</f>
        <v>-</v>
      </c>
      <c r="L2399" s="19" t="str">
        <f>IFERROR(__xludf.DUMMYFUNCTION("""COMPUTED_VALUE"""),"-")</f>
        <v>-</v>
      </c>
      <c r="O2399" s="24">
        <f t="shared" si="4"/>
        <v>0</v>
      </c>
      <c r="P2399" s="24"/>
      <c r="Q2399" s="24">
        <f t="shared" si="6"/>
        <v>0</v>
      </c>
      <c r="R2399" s="24">
        <f t="shared" si="7"/>
        <v>1</v>
      </c>
      <c r="S2399" s="24"/>
      <c r="T2399" s="24"/>
    </row>
    <row r="2400">
      <c r="A2400" s="12" t="s">
        <v>2488</v>
      </c>
      <c r="F2400" s="19">
        <f>IFERROR(__xludf.DUMMYFUNCTION("SPLIT(A2396, "" |"")"),2394.0)</f>
        <v>2394</v>
      </c>
      <c r="G2400" s="19">
        <f>IFERROR(__xludf.DUMMYFUNCTION("""COMPUTED_VALUE"""),0.00236)</f>
        <v>0.00236</v>
      </c>
      <c r="H2400" s="19" t="str">
        <f>IFERROR(__xludf.DUMMYFUNCTION("""COMPUTED_VALUE"""),"-")</f>
        <v>-</v>
      </c>
      <c r="I2400" s="19">
        <f>IFERROR(__xludf.DUMMYFUNCTION("""COMPUTED_VALUE"""),0.00222)</f>
        <v>0.00222</v>
      </c>
      <c r="J2400" s="19">
        <f>IFERROR(__xludf.DUMMYFUNCTION("""COMPUTED_VALUE"""),0.04183)</f>
        <v>0.04183</v>
      </c>
      <c r="K2400" s="19" t="str">
        <f>IFERROR(__xludf.DUMMYFUNCTION("""COMPUTED_VALUE"""),"-")</f>
        <v>-</v>
      </c>
      <c r="L2400" s="19" t="str">
        <f>IFERROR(__xludf.DUMMYFUNCTION("""COMPUTED_VALUE"""),"-")</f>
        <v>-</v>
      </c>
      <c r="O2400" s="24">
        <f t="shared" si="4"/>
        <v>0</v>
      </c>
      <c r="P2400" s="24"/>
      <c r="Q2400" s="24">
        <f t="shared" si="6"/>
        <v>0</v>
      </c>
      <c r="R2400" s="24">
        <f t="shared" si="7"/>
        <v>1</v>
      </c>
      <c r="S2400" s="24"/>
      <c r="T2400" s="24"/>
    </row>
    <row r="2401">
      <c r="A2401" s="12" t="s">
        <v>2489</v>
      </c>
      <c r="F2401" s="19">
        <f>IFERROR(__xludf.DUMMYFUNCTION("SPLIT(A2397, "" |"")"),2395.0)</f>
        <v>2395</v>
      </c>
      <c r="G2401" s="19">
        <f>IFERROR(__xludf.DUMMYFUNCTION("""COMPUTED_VALUE"""),0.00233)</f>
        <v>0.00233</v>
      </c>
      <c r="H2401" s="19" t="str">
        <f>IFERROR(__xludf.DUMMYFUNCTION("""COMPUTED_VALUE"""),"-")</f>
        <v>-</v>
      </c>
      <c r="I2401" s="19">
        <f>IFERROR(__xludf.DUMMYFUNCTION("""COMPUTED_VALUE"""),0.0022)</f>
        <v>0.0022</v>
      </c>
      <c r="J2401" s="19">
        <f>IFERROR(__xludf.DUMMYFUNCTION("""COMPUTED_VALUE"""),0.04739)</f>
        <v>0.04739</v>
      </c>
      <c r="K2401" s="19" t="str">
        <f>IFERROR(__xludf.DUMMYFUNCTION("""COMPUTED_VALUE"""),"-")</f>
        <v>-</v>
      </c>
      <c r="L2401" s="19" t="str">
        <f>IFERROR(__xludf.DUMMYFUNCTION("""COMPUTED_VALUE"""),"-")</f>
        <v>-</v>
      </c>
      <c r="O2401" s="24">
        <f t="shared" si="4"/>
        <v>0</v>
      </c>
      <c r="P2401" s="24"/>
      <c r="Q2401" s="24">
        <f t="shared" si="6"/>
        <v>0</v>
      </c>
      <c r="R2401" s="24">
        <f t="shared" si="7"/>
        <v>0</v>
      </c>
      <c r="S2401" s="24"/>
      <c r="T2401" s="24"/>
    </row>
    <row r="2402">
      <c r="A2402" s="12" t="s">
        <v>2490</v>
      </c>
      <c r="F2402" s="19">
        <f>IFERROR(__xludf.DUMMYFUNCTION("SPLIT(A2398, "" |"")"),2396.0)</f>
        <v>2396</v>
      </c>
      <c r="G2402" s="19">
        <f>IFERROR(__xludf.DUMMYFUNCTION("""COMPUTED_VALUE"""),0.00235)</f>
        <v>0.00235</v>
      </c>
      <c r="H2402" s="19" t="str">
        <f>IFERROR(__xludf.DUMMYFUNCTION("""COMPUTED_VALUE"""),"-")</f>
        <v>-</v>
      </c>
      <c r="I2402" s="19">
        <f>IFERROR(__xludf.DUMMYFUNCTION("""COMPUTED_VALUE"""),0.00231)</f>
        <v>0.00231</v>
      </c>
      <c r="J2402" s="19">
        <f>IFERROR(__xludf.DUMMYFUNCTION("""COMPUTED_VALUE"""),0.04742)</f>
        <v>0.04742</v>
      </c>
      <c r="K2402" s="19" t="str">
        <f>IFERROR(__xludf.DUMMYFUNCTION("""COMPUTED_VALUE"""),"-")</f>
        <v>-</v>
      </c>
      <c r="L2402" s="19" t="str">
        <f>IFERROR(__xludf.DUMMYFUNCTION("""COMPUTED_VALUE"""),"-")</f>
        <v>-</v>
      </c>
      <c r="O2402" s="24">
        <f t="shared" si="4"/>
        <v>0</v>
      </c>
      <c r="P2402" s="24"/>
      <c r="Q2402" s="24">
        <f t="shared" si="6"/>
        <v>0</v>
      </c>
      <c r="R2402" s="24">
        <f t="shared" si="7"/>
        <v>0</v>
      </c>
      <c r="S2402" s="24"/>
      <c r="T2402" s="24"/>
    </row>
    <row r="2403">
      <c r="A2403" s="12" t="s">
        <v>2491</v>
      </c>
      <c r="F2403" s="19">
        <f>IFERROR(__xludf.DUMMYFUNCTION("SPLIT(A2399, "" |"")"),2397.0)</f>
        <v>2397</v>
      </c>
      <c r="G2403" s="19">
        <f>IFERROR(__xludf.DUMMYFUNCTION("""COMPUTED_VALUE"""),0.00234)</f>
        <v>0.00234</v>
      </c>
      <c r="H2403" s="19" t="str">
        <f>IFERROR(__xludf.DUMMYFUNCTION("""COMPUTED_VALUE"""),"-")</f>
        <v>-</v>
      </c>
      <c r="I2403" s="19">
        <f>IFERROR(__xludf.DUMMYFUNCTION("""COMPUTED_VALUE"""),0.00221)</f>
        <v>0.00221</v>
      </c>
      <c r="J2403" s="19">
        <f>IFERROR(__xludf.DUMMYFUNCTION("""COMPUTED_VALUE"""),0.04742)</f>
        <v>0.04742</v>
      </c>
      <c r="K2403" s="19" t="str">
        <f>IFERROR(__xludf.DUMMYFUNCTION("""COMPUTED_VALUE"""),"-")</f>
        <v>-</v>
      </c>
      <c r="L2403" s="19" t="str">
        <f>IFERROR(__xludf.DUMMYFUNCTION("""COMPUTED_VALUE"""),"-")</f>
        <v>-</v>
      </c>
      <c r="O2403" s="24">
        <f t="shared" si="4"/>
        <v>0</v>
      </c>
      <c r="P2403" s="24"/>
      <c r="Q2403" s="24">
        <f t="shared" si="6"/>
        <v>0</v>
      </c>
      <c r="R2403" s="24">
        <f t="shared" si="7"/>
        <v>0</v>
      </c>
      <c r="S2403" s="24"/>
      <c r="T2403" s="24"/>
    </row>
    <row r="2404">
      <c r="A2404" s="12" t="s">
        <v>2492</v>
      </c>
      <c r="F2404" s="19">
        <f>IFERROR(__xludf.DUMMYFUNCTION("SPLIT(A2400, "" |"")"),2398.0)</f>
        <v>2398</v>
      </c>
      <c r="G2404" s="19">
        <f>IFERROR(__xludf.DUMMYFUNCTION("""COMPUTED_VALUE"""),0.00233)</f>
        <v>0.00233</v>
      </c>
      <c r="H2404" s="19" t="str">
        <f>IFERROR(__xludf.DUMMYFUNCTION("""COMPUTED_VALUE"""),"-")</f>
        <v>-</v>
      </c>
      <c r="I2404" s="19">
        <f>IFERROR(__xludf.DUMMYFUNCTION("""COMPUTED_VALUE"""),0.0022)</f>
        <v>0.0022</v>
      </c>
      <c r="J2404" s="19">
        <f>IFERROR(__xludf.DUMMYFUNCTION("""COMPUTED_VALUE"""),0.04746)</f>
        <v>0.04746</v>
      </c>
      <c r="K2404" s="19" t="str">
        <f>IFERROR(__xludf.DUMMYFUNCTION("""COMPUTED_VALUE"""),"-")</f>
        <v>-</v>
      </c>
      <c r="L2404" s="19" t="str">
        <f>IFERROR(__xludf.DUMMYFUNCTION("""COMPUTED_VALUE"""),"-")</f>
        <v>-</v>
      </c>
      <c r="O2404" s="24">
        <f t="shared" si="4"/>
        <v>0</v>
      </c>
      <c r="P2404" s="24"/>
      <c r="Q2404" s="24">
        <f t="shared" si="6"/>
        <v>0</v>
      </c>
      <c r="R2404" s="24">
        <f t="shared" si="7"/>
        <v>0</v>
      </c>
      <c r="S2404" s="24"/>
      <c r="T2404" s="24"/>
    </row>
    <row r="2405">
      <c r="A2405" s="12" t="s">
        <v>2493</v>
      </c>
      <c r="F2405" s="19">
        <f>IFERROR(__xludf.DUMMYFUNCTION("SPLIT(A2401, "" |"")"),2399.0)</f>
        <v>2399</v>
      </c>
      <c r="G2405" s="19">
        <f>IFERROR(__xludf.DUMMYFUNCTION("""COMPUTED_VALUE"""),0.00232)</f>
        <v>0.00232</v>
      </c>
      <c r="H2405" s="19" t="str">
        <f>IFERROR(__xludf.DUMMYFUNCTION("""COMPUTED_VALUE"""),"-")</f>
        <v>-</v>
      </c>
      <c r="I2405" s="19">
        <f>IFERROR(__xludf.DUMMYFUNCTION("""COMPUTED_VALUE"""),0.00223)</f>
        <v>0.00223</v>
      </c>
      <c r="J2405" s="19">
        <f>IFERROR(__xludf.DUMMYFUNCTION("""COMPUTED_VALUE"""),0.04745)</f>
        <v>0.04745</v>
      </c>
      <c r="K2405" s="19" t="str">
        <f>IFERROR(__xludf.DUMMYFUNCTION("""COMPUTED_VALUE"""),"-")</f>
        <v>-</v>
      </c>
      <c r="L2405" s="19" t="str">
        <f>IFERROR(__xludf.DUMMYFUNCTION("""COMPUTED_VALUE"""),"-")</f>
        <v>-</v>
      </c>
      <c r="O2405" s="24">
        <f t="shared" si="4"/>
        <v>0</v>
      </c>
      <c r="P2405" s="24"/>
      <c r="Q2405" s="24">
        <f t="shared" si="6"/>
        <v>0</v>
      </c>
      <c r="R2405" s="24">
        <f t="shared" si="7"/>
        <v>0</v>
      </c>
      <c r="S2405" s="24"/>
      <c r="T2405" s="24"/>
    </row>
    <row r="2406">
      <c r="A2406" s="12" t="s">
        <v>2494</v>
      </c>
      <c r="F2406" s="19">
        <f>IFERROR(__xludf.DUMMYFUNCTION("SPLIT(A2402, "" |"")"),2400.0)</f>
        <v>2400</v>
      </c>
      <c r="G2406" s="19">
        <f>IFERROR(__xludf.DUMMYFUNCTION("""COMPUTED_VALUE"""),0.00238)</f>
        <v>0.00238</v>
      </c>
      <c r="H2406" s="19" t="str">
        <f>IFERROR(__xludf.DUMMYFUNCTION("""COMPUTED_VALUE"""),"-")</f>
        <v>-</v>
      </c>
      <c r="I2406" s="19">
        <f>IFERROR(__xludf.DUMMYFUNCTION("""COMPUTED_VALUE"""),0.00221)</f>
        <v>0.00221</v>
      </c>
      <c r="J2406" s="19">
        <f>IFERROR(__xludf.DUMMYFUNCTION("""COMPUTED_VALUE"""),0.04747)</f>
        <v>0.04747</v>
      </c>
      <c r="K2406" s="19" t="str">
        <f>IFERROR(__xludf.DUMMYFUNCTION("""COMPUTED_VALUE"""),"-")</f>
        <v>-</v>
      </c>
      <c r="L2406" s="19" t="str">
        <f>IFERROR(__xludf.DUMMYFUNCTION("""COMPUTED_VALUE"""),"-")</f>
        <v>-</v>
      </c>
      <c r="O2406" s="24">
        <f t="shared" si="4"/>
        <v>0</v>
      </c>
      <c r="P2406" s="24"/>
      <c r="Q2406" s="24">
        <f t="shared" si="6"/>
        <v>0</v>
      </c>
      <c r="R2406" s="24">
        <f t="shared" si="7"/>
        <v>0</v>
      </c>
      <c r="S2406" s="24"/>
      <c r="T2406" s="24"/>
    </row>
    <row r="2407">
      <c r="A2407" s="12" t="s">
        <v>2495</v>
      </c>
      <c r="F2407" s="19">
        <f>IFERROR(__xludf.DUMMYFUNCTION("SPLIT(A2403, "" |"")"),2401.0)</f>
        <v>2401</v>
      </c>
      <c r="G2407" s="19">
        <f>IFERROR(__xludf.DUMMYFUNCTION("""COMPUTED_VALUE"""),0.00235)</f>
        <v>0.00235</v>
      </c>
      <c r="H2407" s="19" t="str">
        <f>IFERROR(__xludf.DUMMYFUNCTION("""COMPUTED_VALUE"""),"-")</f>
        <v>-</v>
      </c>
      <c r="I2407" s="19">
        <f>IFERROR(__xludf.DUMMYFUNCTION("""COMPUTED_VALUE"""),0.00218)</f>
        <v>0.00218</v>
      </c>
      <c r="J2407" s="19">
        <f>IFERROR(__xludf.DUMMYFUNCTION("""COMPUTED_VALUE"""),0.04734)</f>
        <v>0.04734</v>
      </c>
      <c r="K2407" s="19" t="str">
        <f>IFERROR(__xludf.DUMMYFUNCTION("""COMPUTED_VALUE"""),"-")</f>
        <v>-</v>
      </c>
      <c r="L2407" s="19" t="str">
        <f>IFERROR(__xludf.DUMMYFUNCTION("""COMPUTED_VALUE"""),"-")</f>
        <v>-</v>
      </c>
      <c r="O2407" s="24">
        <f t="shared" si="4"/>
        <v>0</v>
      </c>
      <c r="P2407" s="24"/>
      <c r="Q2407" s="24">
        <f t="shared" si="6"/>
        <v>0</v>
      </c>
      <c r="R2407" s="24">
        <f t="shared" si="7"/>
        <v>0</v>
      </c>
      <c r="S2407" s="24"/>
      <c r="T2407" s="24"/>
    </row>
    <row r="2408">
      <c r="A2408" s="12" t="s">
        <v>2496</v>
      </c>
      <c r="F2408" s="19">
        <f>IFERROR(__xludf.DUMMYFUNCTION("SPLIT(A2404, "" |"")"),2402.0)</f>
        <v>2402</v>
      </c>
      <c r="G2408" s="19">
        <f>IFERROR(__xludf.DUMMYFUNCTION("""COMPUTED_VALUE"""),0.00242)</f>
        <v>0.00242</v>
      </c>
      <c r="H2408" s="19" t="str">
        <f>IFERROR(__xludf.DUMMYFUNCTION("""COMPUTED_VALUE"""),"-")</f>
        <v>-</v>
      </c>
      <c r="I2408" s="19">
        <f>IFERROR(__xludf.DUMMYFUNCTION("""COMPUTED_VALUE"""),0.00224)</f>
        <v>0.00224</v>
      </c>
      <c r="J2408" s="19">
        <f>IFERROR(__xludf.DUMMYFUNCTION("""COMPUTED_VALUE"""),0.04747)</f>
        <v>0.04747</v>
      </c>
      <c r="K2408" s="19" t="str">
        <f>IFERROR(__xludf.DUMMYFUNCTION("""COMPUTED_VALUE"""),"-")</f>
        <v>-</v>
      </c>
      <c r="L2408" s="19" t="str">
        <f>IFERROR(__xludf.DUMMYFUNCTION("""COMPUTED_VALUE"""),"-")</f>
        <v>-</v>
      </c>
      <c r="O2408" s="24">
        <f t="shared" si="4"/>
        <v>0</v>
      </c>
      <c r="P2408" s="24"/>
      <c r="Q2408" s="24">
        <f t="shared" si="6"/>
        <v>0</v>
      </c>
      <c r="R2408" s="24">
        <f t="shared" si="7"/>
        <v>0</v>
      </c>
      <c r="S2408" s="24"/>
      <c r="T2408" s="24"/>
    </row>
    <row r="2409">
      <c r="A2409" s="12" t="s">
        <v>2497</v>
      </c>
      <c r="F2409" s="19">
        <f>IFERROR(__xludf.DUMMYFUNCTION("SPLIT(A2405, "" |"")"),2403.0)</f>
        <v>2403</v>
      </c>
      <c r="G2409" s="19">
        <f>IFERROR(__xludf.DUMMYFUNCTION("""COMPUTED_VALUE"""),0.00234)</f>
        <v>0.00234</v>
      </c>
      <c r="H2409" s="19" t="str">
        <f>IFERROR(__xludf.DUMMYFUNCTION("""COMPUTED_VALUE"""),"-")</f>
        <v>-</v>
      </c>
      <c r="I2409" s="19">
        <f>IFERROR(__xludf.DUMMYFUNCTION("""COMPUTED_VALUE"""),0.00222)</f>
        <v>0.00222</v>
      </c>
      <c r="J2409" s="19">
        <f>IFERROR(__xludf.DUMMYFUNCTION("""COMPUTED_VALUE"""),0.04747)</f>
        <v>0.04747</v>
      </c>
      <c r="K2409" s="19" t="str">
        <f>IFERROR(__xludf.DUMMYFUNCTION("""COMPUTED_VALUE"""),"-")</f>
        <v>-</v>
      </c>
      <c r="L2409" s="19" t="str">
        <f>IFERROR(__xludf.DUMMYFUNCTION("""COMPUTED_VALUE"""),"-")</f>
        <v>-</v>
      </c>
      <c r="O2409" s="24">
        <f t="shared" si="4"/>
        <v>0</v>
      </c>
      <c r="P2409" s="24"/>
      <c r="Q2409" s="24">
        <f t="shared" si="6"/>
        <v>0</v>
      </c>
      <c r="R2409" s="24">
        <f t="shared" si="7"/>
        <v>0</v>
      </c>
      <c r="S2409" s="24"/>
      <c r="T2409" s="24"/>
    </row>
    <row r="2410">
      <c r="A2410" s="12" t="s">
        <v>2498</v>
      </c>
      <c r="F2410" s="19">
        <f>IFERROR(__xludf.DUMMYFUNCTION("SPLIT(A2406, "" |"")"),2404.0)</f>
        <v>2404</v>
      </c>
      <c r="G2410" s="19">
        <f>IFERROR(__xludf.DUMMYFUNCTION("""COMPUTED_VALUE"""),0.00238)</f>
        <v>0.00238</v>
      </c>
      <c r="H2410" s="19" t="str">
        <f>IFERROR(__xludf.DUMMYFUNCTION("""COMPUTED_VALUE"""),"-")</f>
        <v>-</v>
      </c>
      <c r="I2410" s="19">
        <f>IFERROR(__xludf.DUMMYFUNCTION("""COMPUTED_VALUE"""),0.00227)</f>
        <v>0.00227</v>
      </c>
      <c r="J2410" s="19">
        <f>IFERROR(__xludf.DUMMYFUNCTION("""COMPUTED_VALUE"""),0.04749)</f>
        <v>0.04749</v>
      </c>
      <c r="K2410" s="19" t="str">
        <f>IFERROR(__xludf.DUMMYFUNCTION("""COMPUTED_VALUE"""),"-")</f>
        <v>-</v>
      </c>
      <c r="L2410" s="19" t="str">
        <f>IFERROR(__xludf.DUMMYFUNCTION("""COMPUTED_VALUE"""),"-")</f>
        <v>-</v>
      </c>
      <c r="O2410" s="24">
        <f t="shared" si="4"/>
        <v>0</v>
      </c>
      <c r="P2410" s="24"/>
      <c r="Q2410" s="24">
        <f t="shared" si="6"/>
        <v>0</v>
      </c>
      <c r="R2410" s="24">
        <f t="shared" si="7"/>
        <v>0</v>
      </c>
      <c r="S2410" s="24"/>
      <c r="T2410" s="24"/>
    </row>
    <row r="2411">
      <c r="A2411" s="12" t="s">
        <v>2499</v>
      </c>
      <c r="F2411" s="19">
        <f>IFERROR(__xludf.DUMMYFUNCTION("SPLIT(A2407, "" |"")"),2405.0)</f>
        <v>2405</v>
      </c>
      <c r="G2411" s="19">
        <f>IFERROR(__xludf.DUMMYFUNCTION("""COMPUTED_VALUE"""),0.00239)</f>
        <v>0.00239</v>
      </c>
      <c r="H2411" s="19" t="str">
        <f>IFERROR(__xludf.DUMMYFUNCTION("""COMPUTED_VALUE"""),"-")</f>
        <v>-</v>
      </c>
      <c r="I2411" s="19">
        <f>IFERROR(__xludf.DUMMYFUNCTION("""COMPUTED_VALUE"""),0.00221)</f>
        <v>0.00221</v>
      </c>
      <c r="J2411" s="19">
        <f>IFERROR(__xludf.DUMMYFUNCTION("""COMPUTED_VALUE"""),0.04745)</f>
        <v>0.04745</v>
      </c>
      <c r="K2411" s="19" t="str">
        <f>IFERROR(__xludf.DUMMYFUNCTION("""COMPUTED_VALUE"""),"-")</f>
        <v>-</v>
      </c>
      <c r="L2411" s="19" t="str">
        <f>IFERROR(__xludf.DUMMYFUNCTION("""COMPUTED_VALUE"""),"-")</f>
        <v>-</v>
      </c>
      <c r="O2411" s="24">
        <f t="shared" si="4"/>
        <v>0</v>
      </c>
      <c r="P2411" s="24"/>
      <c r="Q2411" s="24">
        <f t="shared" si="6"/>
        <v>0</v>
      </c>
      <c r="R2411" s="24">
        <f t="shared" si="7"/>
        <v>0</v>
      </c>
      <c r="S2411" s="24"/>
      <c r="T2411" s="24"/>
    </row>
    <row r="2412">
      <c r="A2412" s="12" t="s">
        <v>2500</v>
      </c>
      <c r="F2412" s="19">
        <f>IFERROR(__xludf.DUMMYFUNCTION("SPLIT(A2408, "" |"")"),2406.0)</f>
        <v>2406</v>
      </c>
      <c r="G2412" s="19">
        <f>IFERROR(__xludf.DUMMYFUNCTION("""COMPUTED_VALUE"""),0.00238)</f>
        <v>0.00238</v>
      </c>
      <c r="H2412" s="19" t="str">
        <f>IFERROR(__xludf.DUMMYFUNCTION("""COMPUTED_VALUE"""),"-")</f>
        <v>-</v>
      </c>
      <c r="I2412" s="19">
        <f>IFERROR(__xludf.DUMMYFUNCTION("""COMPUTED_VALUE"""),0.0022)</f>
        <v>0.0022</v>
      </c>
      <c r="J2412" s="19">
        <f>IFERROR(__xludf.DUMMYFUNCTION("""COMPUTED_VALUE"""),0.04361)</f>
        <v>0.04361</v>
      </c>
      <c r="K2412" s="19" t="str">
        <f>IFERROR(__xludf.DUMMYFUNCTION("""COMPUTED_VALUE"""),"-")</f>
        <v>-</v>
      </c>
      <c r="L2412" s="19" t="str">
        <f>IFERROR(__xludf.DUMMYFUNCTION("""COMPUTED_VALUE"""),"-")</f>
        <v>-</v>
      </c>
      <c r="O2412" s="24">
        <f t="shared" si="4"/>
        <v>0</v>
      </c>
      <c r="P2412" s="24"/>
      <c r="Q2412" s="24">
        <f t="shared" si="6"/>
        <v>0</v>
      </c>
      <c r="R2412" s="24">
        <f t="shared" si="7"/>
        <v>1</v>
      </c>
      <c r="S2412" s="24"/>
      <c r="T2412" s="24"/>
    </row>
    <row r="2413">
      <c r="A2413" s="12" t="s">
        <v>2501</v>
      </c>
      <c r="F2413" s="19">
        <f>IFERROR(__xludf.DUMMYFUNCTION("SPLIT(A2409, "" |"")"),2407.0)</f>
        <v>2407</v>
      </c>
      <c r="G2413" s="19">
        <f>IFERROR(__xludf.DUMMYFUNCTION("""COMPUTED_VALUE"""),0.00234)</f>
        <v>0.00234</v>
      </c>
      <c r="H2413" s="19" t="str">
        <f>IFERROR(__xludf.DUMMYFUNCTION("""COMPUTED_VALUE"""),"-")</f>
        <v>-</v>
      </c>
      <c r="I2413" s="19">
        <f>IFERROR(__xludf.DUMMYFUNCTION("""COMPUTED_VALUE"""),0.00216)</f>
        <v>0.00216</v>
      </c>
      <c r="J2413" s="19">
        <f>IFERROR(__xludf.DUMMYFUNCTION("""COMPUTED_VALUE"""),0.0474)</f>
        <v>0.0474</v>
      </c>
      <c r="K2413" s="19" t="str">
        <f>IFERROR(__xludf.DUMMYFUNCTION("""COMPUTED_VALUE"""),"-")</f>
        <v>-</v>
      </c>
      <c r="L2413" s="19" t="str">
        <f>IFERROR(__xludf.DUMMYFUNCTION("""COMPUTED_VALUE"""),"-")</f>
        <v>-</v>
      </c>
      <c r="O2413" s="24">
        <f t="shared" si="4"/>
        <v>0</v>
      </c>
      <c r="P2413" s="24"/>
      <c r="Q2413" s="24">
        <f t="shared" si="6"/>
        <v>0</v>
      </c>
      <c r="R2413" s="24">
        <f t="shared" si="7"/>
        <v>0</v>
      </c>
      <c r="S2413" s="24"/>
      <c r="T2413" s="24"/>
    </row>
    <row r="2414">
      <c r="A2414" s="12" t="s">
        <v>2502</v>
      </c>
      <c r="F2414" s="19">
        <f>IFERROR(__xludf.DUMMYFUNCTION("SPLIT(A2410, "" |"")"),2408.0)</f>
        <v>2408</v>
      </c>
      <c r="G2414" s="19">
        <f>IFERROR(__xludf.DUMMYFUNCTION("""COMPUTED_VALUE"""),0.0024)</f>
        <v>0.0024</v>
      </c>
      <c r="H2414" s="19" t="str">
        <f>IFERROR(__xludf.DUMMYFUNCTION("""COMPUTED_VALUE"""),"-")</f>
        <v>-</v>
      </c>
      <c r="I2414" s="19">
        <f>IFERROR(__xludf.DUMMYFUNCTION("""COMPUTED_VALUE"""),0.00218)</f>
        <v>0.00218</v>
      </c>
      <c r="J2414" s="19">
        <f>IFERROR(__xludf.DUMMYFUNCTION("""COMPUTED_VALUE"""),0.04742)</f>
        <v>0.04742</v>
      </c>
      <c r="K2414" s="19" t="str">
        <f>IFERROR(__xludf.DUMMYFUNCTION("""COMPUTED_VALUE"""),"-")</f>
        <v>-</v>
      </c>
      <c r="L2414" s="19" t="str">
        <f>IFERROR(__xludf.DUMMYFUNCTION("""COMPUTED_VALUE"""),"-")</f>
        <v>-</v>
      </c>
      <c r="O2414" s="24">
        <f t="shared" si="4"/>
        <v>0</v>
      </c>
      <c r="P2414" s="24"/>
      <c r="Q2414" s="24">
        <f t="shared" si="6"/>
        <v>0</v>
      </c>
      <c r="R2414" s="24">
        <f t="shared" si="7"/>
        <v>0</v>
      </c>
      <c r="S2414" s="24"/>
      <c r="T2414" s="24"/>
    </row>
    <row r="2415">
      <c r="A2415" s="12" t="s">
        <v>2503</v>
      </c>
      <c r="F2415" s="19">
        <f>IFERROR(__xludf.DUMMYFUNCTION("SPLIT(A2411, "" |"")"),2409.0)</f>
        <v>2409</v>
      </c>
      <c r="G2415" s="19">
        <f>IFERROR(__xludf.DUMMYFUNCTION("""COMPUTED_VALUE"""),0.00234)</f>
        <v>0.00234</v>
      </c>
      <c r="H2415" s="19" t="str">
        <f>IFERROR(__xludf.DUMMYFUNCTION("""COMPUTED_VALUE"""),"-")</f>
        <v>-</v>
      </c>
      <c r="I2415" s="19">
        <f>IFERROR(__xludf.DUMMYFUNCTION("""COMPUTED_VALUE"""),0.00223)</f>
        <v>0.00223</v>
      </c>
      <c r="J2415" s="19">
        <f>IFERROR(__xludf.DUMMYFUNCTION("""COMPUTED_VALUE"""),0.04743)</f>
        <v>0.04743</v>
      </c>
      <c r="K2415" s="19" t="str">
        <f>IFERROR(__xludf.DUMMYFUNCTION("""COMPUTED_VALUE"""),"-")</f>
        <v>-</v>
      </c>
      <c r="L2415" s="19" t="str">
        <f>IFERROR(__xludf.DUMMYFUNCTION("""COMPUTED_VALUE"""),"-")</f>
        <v>-</v>
      </c>
      <c r="O2415" s="24">
        <f t="shared" si="4"/>
        <v>0</v>
      </c>
      <c r="P2415" s="24"/>
      <c r="Q2415" s="24">
        <f t="shared" si="6"/>
        <v>0</v>
      </c>
      <c r="R2415" s="24">
        <f t="shared" si="7"/>
        <v>0</v>
      </c>
      <c r="S2415" s="24"/>
      <c r="T2415" s="24"/>
    </row>
    <row r="2416">
      <c r="A2416" s="12" t="s">
        <v>2504</v>
      </c>
      <c r="F2416" s="19">
        <f>IFERROR(__xludf.DUMMYFUNCTION("SPLIT(A2412, "" |"")"),2410.0)</f>
        <v>2410</v>
      </c>
      <c r="G2416" s="19">
        <f>IFERROR(__xludf.DUMMYFUNCTION("""COMPUTED_VALUE"""),0.00238)</f>
        <v>0.00238</v>
      </c>
      <c r="H2416" s="19" t="str">
        <f>IFERROR(__xludf.DUMMYFUNCTION("""COMPUTED_VALUE"""),"-")</f>
        <v>-</v>
      </c>
      <c r="I2416" s="19">
        <f>IFERROR(__xludf.DUMMYFUNCTION("""COMPUTED_VALUE"""),0.00221)</f>
        <v>0.00221</v>
      </c>
      <c r="J2416" s="19">
        <f>IFERROR(__xludf.DUMMYFUNCTION("""COMPUTED_VALUE"""),0.04749)</f>
        <v>0.04749</v>
      </c>
      <c r="K2416" s="19" t="str">
        <f>IFERROR(__xludf.DUMMYFUNCTION("""COMPUTED_VALUE"""),"-")</f>
        <v>-</v>
      </c>
      <c r="L2416" s="19" t="str">
        <f>IFERROR(__xludf.DUMMYFUNCTION("""COMPUTED_VALUE"""),"-")</f>
        <v>-</v>
      </c>
      <c r="O2416" s="24">
        <f t="shared" si="4"/>
        <v>0</v>
      </c>
      <c r="P2416" s="24"/>
      <c r="Q2416" s="24">
        <f t="shared" si="6"/>
        <v>0</v>
      </c>
      <c r="R2416" s="24">
        <f t="shared" si="7"/>
        <v>0</v>
      </c>
      <c r="S2416" s="24"/>
      <c r="T2416" s="24"/>
    </row>
    <row r="2417">
      <c r="A2417" s="12" t="s">
        <v>2505</v>
      </c>
      <c r="F2417" s="19">
        <f>IFERROR(__xludf.DUMMYFUNCTION("SPLIT(A2413, "" |"")"),2411.0)</f>
        <v>2411</v>
      </c>
      <c r="G2417" s="19">
        <f>IFERROR(__xludf.DUMMYFUNCTION("""COMPUTED_VALUE"""),0.00233)</f>
        <v>0.00233</v>
      </c>
      <c r="H2417" s="19" t="str">
        <f>IFERROR(__xludf.DUMMYFUNCTION("""COMPUTED_VALUE"""),"-")</f>
        <v>-</v>
      </c>
      <c r="I2417" s="19">
        <f>IFERROR(__xludf.DUMMYFUNCTION("""COMPUTED_VALUE"""),0.0022)</f>
        <v>0.0022</v>
      </c>
      <c r="J2417" s="19">
        <f>IFERROR(__xludf.DUMMYFUNCTION("""COMPUTED_VALUE"""),0.04741)</f>
        <v>0.04741</v>
      </c>
      <c r="K2417" s="19" t="str">
        <f>IFERROR(__xludf.DUMMYFUNCTION("""COMPUTED_VALUE"""),"-")</f>
        <v>-</v>
      </c>
      <c r="L2417" s="19" t="str">
        <f>IFERROR(__xludf.DUMMYFUNCTION("""COMPUTED_VALUE"""),"-")</f>
        <v>-</v>
      </c>
      <c r="O2417" s="24">
        <f t="shared" si="4"/>
        <v>0</v>
      </c>
      <c r="P2417" s="24"/>
      <c r="Q2417" s="24">
        <f t="shared" si="6"/>
        <v>0</v>
      </c>
      <c r="R2417" s="24">
        <f t="shared" si="7"/>
        <v>0</v>
      </c>
      <c r="S2417" s="24"/>
      <c r="T2417" s="24"/>
    </row>
    <row r="2418">
      <c r="A2418" s="12" t="s">
        <v>2506</v>
      </c>
      <c r="F2418" s="19">
        <f>IFERROR(__xludf.DUMMYFUNCTION("SPLIT(A2414, "" |"")"),2412.0)</f>
        <v>2412</v>
      </c>
      <c r="G2418" s="19">
        <f>IFERROR(__xludf.DUMMYFUNCTION("""COMPUTED_VALUE"""),0.00237)</f>
        <v>0.00237</v>
      </c>
      <c r="H2418" s="19" t="str">
        <f>IFERROR(__xludf.DUMMYFUNCTION("""COMPUTED_VALUE"""),"-")</f>
        <v>-</v>
      </c>
      <c r="I2418" s="19">
        <f>IFERROR(__xludf.DUMMYFUNCTION("""COMPUTED_VALUE"""),0.00222)</f>
        <v>0.00222</v>
      </c>
      <c r="J2418" s="19">
        <f>IFERROR(__xludf.DUMMYFUNCTION("""COMPUTED_VALUE"""),0.04743)</f>
        <v>0.04743</v>
      </c>
      <c r="K2418" s="19" t="str">
        <f>IFERROR(__xludf.DUMMYFUNCTION("""COMPUTED_VALUE"""),"-")</f>
        <v>-</v>
      </c>
      <c r="L2418" s="19" t="str">
        <f>IFERROR(__xludf.DUMMYFUNCTION("""COMPUTED_VALUE"""),"-")</f>
        <v>-</v>
      </c>
      <c r="O2418" s="24">
        <f t="shared" si="4"/>
        <v>0</v>
      </c>
      <c r="P2418" s="24"/>
      <c r="Q2418" s="24">
        <f t="shared" si="6"/>
        <v>0</v>
      </c>
      <c r="R2418" s="24">
        <f t="shared" si="7"/>
        <v>0</v>
      </c>
      <c r="S2418" s="24"/>
      <c r="T2418" s="24"/>
    </row>
    <row r="2419">
      <c r="A2419" s="12" t="s">
        <v>2507</v>
      </c>
      <c r="F2419" s="19">
        <f>IFERROR(__xludf.DUMMYFUNCTION("SPLIT(A2415, "" |"")"),2413.0)</f>
        <v>2413</v>
      </c>
      <c r="G2419" s="19">
        <f>IFERROR(__xludf.DUMMYFUNCTION("""COMPUTED_VALUE"""),0.00237)</f>
        <v>0.00237</v>
      </c>
      <c r="H2419" s="19" t="str">
        <f>IFERROR(__xludf.DUMMYFUNCTION("""COMPUTED_VALUE"""),"-")</f>
        <v>-</v>
      </c>
      <c r="I2419" s="19">
        <f>IFERROR(__xludf.DUMMYFUNCTION("""COMPUTED_VALUE"""),0.00221)</f>
        <v>0.00221</v>
      </c>
      <c r="J2419" s="19">
        <f>IFERROR(__xludf.DUMMYFUNCTION("""COMPUTED_VALUE"""),0.04544)</f>
        <v>0.04544</v>
      </c>
      <c r="K2419" s="19" t="str">
        <f>IFERROR(__xludf.DUMMYFUNCTION("""COMPUTED_VALUE"""),"-")</f>
        <v>-</v>
      </c>
      <c r="L2419" s="19" t="str">
        <f>IFERROR(__xludf.DUMMYFUNCTION("""COMPUTED_VALUE"""),"-")</f>
        <v>-</v>
      </c>
      <c r="O2419" s="24">
        <f t="shared" si="4"/>
        <v>0</v>
      </c>
      <c r="P2419" s="24"/>
      <c r="Q2419" s="24">
        <f t="shared" si="6"/>
        <v>0</v>
      </c>
      <c r="R2419" s="24">
        <f t="shared" si="7"/>
        <v>0</v>
      </c>
      <c r="S2419" s="24"/>
      <c r="T2419" s="24"/>
    </row>
    <row r="2420">
      <c r="A2420" s="12" t="s">
        <v>2508</v>
      </c>
      <c r="F2420" s="19">
        <f>IFERROR(__xludf.DUMMYFUNCTION("SPLIT(A2416, "" |"")"),2414.0)</f>
        <v>2414</v>
      </c>
      <c r="G2420" s="19">
        <f>IFERROR(__xludf.DUMMYFUNCTION("""COMPUTED_VALUE"""),0.00237)</f>
        <v>0.00237</v>
      </c>
      <c r="H2420" s="19" t="str">
        <f>IFERROR(__xludf.DUMMYFUNCTION("""COMPUTED_VALUE"""),"-")</f>
        <v>-</v>
      </c>
      <c r="I2420" s="19">
        <f>IFERROR(__xludf.DUMMYFUNCTION("""COMPUTED_VALUE"""),0.00225)</f>
        <v>0.00225</v>
      </c>
      <c r="J2420" s="19">
        <f>IFERROR(__xludf.DUMMYFUNCTION("""COMPUTED_VALUE"""),0.04746)</f>
        <v>0.04746</v>
      </c>
      <c r="K2420" s="19" t="str">
        <f>IFERROR(__xludf.DUMMYFUNCTION("""COMPUTED_VALUE"""),"-")</f>
        <v>-</v>
      </c>
      <c r="L2420" s="19" t="str">
        <f>IFERROR(__xludf.DUMMYFUNCTION("""COMPUTED_VALUE"""),"-")</f>
        <v>-</v>
      </c>
      <c r="O2420" s="24">
        <f t="shared" si="4"/>
        <v>0</v>
      </c>
      <c r="P2420" s="24"/>
      <c r="Q2420" s="24">
        <f t="shared" si="6"/>
        <v>0</v>
      </c>
      <c r="R2420" s="24">
        <f t="shared" si="7"/>
        <v>0</v>
      </c>
      <c r="S2420" s="24"/>
      <c r="T2420" s="24"/>
    </row>
    <row r="2421">
      <c r="A2421" s="12" t="s">
        <v>2509</v>
      </c>
      <c r="F2421" s="19">
        <f>IFERROR(__xludf.DUMMYFUNCTION("SPLIT(A2417, "" |"")"),2415.0)</f>
        <v>2415</v>
      </c>
      <c r="G2421" s="19">
        <f>IFERROR(__xludf.DUMMYFUNCTION("""COMPUTED_VALUE"""),0.00231)</f>
        <v>0.00231</v>
      </c>
      <c r="H2421" s="19" t="str">
        <f>IFERROR(__xludf.DUMMYFUNCTION("""COMPUTED_VALUE"""),"-")</f>
        <v>-</v>
      </c>
      <c r="I2421" s="19">
        <f>IFERROR(__xludf.DUMMYFUNCTION("""COMPUTED_VALUE"""),0.00229)</f>
        <v>0.00229</v>
      </c>
      <c r="J2421" s="19">
        <f>IFERROR(__xludf.DUMMYFUNCTION("""COMPUTED_VALUE"""),0.04752)</f>
        <v>0.04752</v>
      </c>
      <c r="K2421" s="19" t="str">
        <f>IFERROR(__xludf.DUMMYFUNCTION("""COMPUTED_VALUE"""),"-")</f>
        <v>-</v>
      </c>
      <c r="L2421" s="19" t="str">
        <f>IFERROR(__xludf.DUMMYFUNCTION("""COMPUTED_VALUE"""),"-")</f>
        <v>-</v>
      </c>
      <c r="O2421" s="24">
        <f t="shared" si="4"/>
        <v>0</v>
      </c>
      <c r="P2421" s="24"/>
      <c r="Q2421" s="24">
        <f t="shared" si="6"/>
        <v>0</v>
      </c>
      <c r="R2421" s="24">
        <f t="shared" si="7"/>
        <v>0</v>
      </c>
      <c r="S2421" s="24"/>
      <c r="T2421" s="24"/>
    </row>
    <row r="2422">
      <c r="A2422" s="12" t="s">
        <v>2510</v>
      </c>
      <c r="F2422" s="19">
        <f>IFERROR(__xludf.DUMMYFUNCTION("SPLIT(A2418, "" |"")"),2416.0)</f>
        <v>2416</v>
      </c>
      <c r="G2422" s="19">
        <f>IFERROR(__xludf.DUMMYFUNCTION("""COMPUTED_VALUE"""),0.00221)</f>
        <v>0.00221</v>
      </c>
      <c r="H2422" s="19" t="str">
        <f>IFERROR(__xludf.DUMMYFUNCTION("""COMPUTED_VALUE"""),"-")</f>
        <v>-</v>
      </c>
      <c r="I2422" s="19">
        <f>IFERROR(__xludf.DUMMYFUNCTION("""COMPUTED_VALUE"""),0.0021)</f>
        <v>0.0021</v>
      </c>
      <c r="J2422" s="19">
        <f>IFERROR(__xludf.DUMMYFUNCTION("""COMPUTED_VALUE"""),0.0473)</f>
        <v>0.0473</v>
      </c>
      <c r="K2422" s="19" t="str">
        <f>IFERROR(__xludf.DUMMYFUNCTION("""COMPUTED_VALUE"""),"-")</f>
        <v>-</v>
      </c>
      <c r="L2422" s="19" t="str">
        <f>IFERROR(__xludf.DUMMYFUNCTION("""COMPUTED_VALUE"""),"-")</f>
        <v>-</v>
      </c>
      <c r="O2422" s="24">
        <f t="shared" si="4"/>
        <v>0</v>
      </c>
      <c r="P2422" s="24"/>
      <c r="Q2422" s="24">
        <f t="shared" si="6"/>
        <v>0</v>
      </c>
      <c r="R2422" s="24">
        <f t="shared" si="7"/>
        <v>0</v>
      </c>
      <c r="S2422" s="24"/>
      <c r="T2422" s="24"/>
    </row>
    <row r="2423">
      <c r="A2423" s="12" t="s">
        <v>2511</v>
      </c>
      <c r="F2423" s="19">
        <f>IFERROR(__xludf.DUMMYFUNCTION("SPLIT(A2419, "" |"")"),2417.0)</f>
        <v>2417</v>
      </c>
      <c r="G2423" s="19">
        <f>IFERROR(__xludf.DUMMYFUNCTION("""COMPUTED_VALUE"""),0.00224)</f>
        <v>0.00224</v>
      </c>
      <c r="H2423" s="19" t="str">
        <f>IFERROR(__xludf.DUMMYFUNCTION("""COMPUTED_VALUE"""),"-")</f>
        <v>-</v>
      </c>
      <c r="I2423" s="19">
        <f>IFERROR(__xludf.DUMMYFUNCTION("""COMPUTED_VALUE"""),0.0021)</f>
        <v>0.0021</v>
      </c>
      <c r="J2423" s="19">
        <f>IFERROR(__xludf.DUMMYFUNCTION("""COMPUTED_VALUE"""),0.0473)</f>
        <v>0.0473</v>
      </c>
      <c r="K2423" s="19" t="str">
        <f>IFERROR(__xludf.DUMMYFUNCTION("""COMPUTED_VALUE"""),"-")</f>
        <v>-</v>
      </c>
      <c r="L2423" s="19" t="str">
        <f>IFERROR(__xludf.DUMMYFUNCTION("""COMPUTED_VALUE"""),"-")</f>
        <v>-</v>
      </c>
      <c r="O2423" s="24">
        <f t="shared" si="4"/>
        <v>0</v>
      </c>
      <c r="P2423" s="24"/>
      <c r="Q2423" s="24">
        <f t="shared" si="6"/>
        <v>0</v>
      </c>
      <c r="R2423" s="24">
        <f t="shared" si="7"/>
        <v>0</v>
      </c>
      <c r="S2423" s="24"/>
      <c r="T2423" s="24"/>
    </row>
    <row r="2424">
      <c r="A2424" s="12" t="s">
        <v>2512</v>
      </c>
      <c r="F2424" s="19">
        <f>IFERROR(__xludf.DUMMYFUNCTION("SPLIT(A2420, "" |"")"),2418.0)</f>
        <v>2418</v>
      </c>
      <c r="G2424" s="19">
        <f>IFERROR(__xludf.DUMMYFUNCTION("""COMPUTED_VALUE"""),0.00224)</f>
        <v>0.00224</v>
      </c>
      <c r="H2424" s="19" t="str">
        <f>IFERROR(__xludf.DUMMYFUNCTION("""COMPUTED_VALUE"""),"-")</f>
        <v>-</v>
      </c>
      <c r="I2424" s="19">
        <f>IFERROR(__xludf.DUMMYFUNCTION("""COMPUTED_VALUE"""),0.00208)</f>
        <v>0.00208</v>
      </c>
      <c r="J2424" s="19">
        <f>IFERROR(__xludf.DUMMYFUNCTION("""COMPUTED_VALUE"""),0.04731)</f>
        <v>0.04731</v>
      </c>
      <c r="K2424" s="19" t="str">
        <f>IFERROR(__xludf.DUMMYFUNCTION("""COMPUTED_VALUE"""),"-")</f>
        <v>-</v>
      </c>
      <c r="L2424" s="19" t="str">
        <f>IFERROR(__xludf.DUMMYFUNCTION("""COMPUTED_VALUE"""),"-")</f>
        <v>-</v>
      </c>
      <c r="O2424" s="24">
        <f t="shared" si="4"/>
        <v>0</v>
      </c>
      <c r="P2424" s="24"/>
      <c r="Q2424" s="24">
        <f t="shared" si="6"/>
        <v>0</v>
      </c>
      <c r="R2424" s="24">
        <f t="shared" si="7"/>
        <v>0</v>
      </c>
      <c r="S2424" s="24"/>
      <c r="T2424" s="24"/>
    </row>
    <row r="2425">
      <c r="A2425" s="12" t="s">
        <v>2513</v>
      </c>
      <c r="F2425" s="19">
        <f>IFERROR(__xludf.DUMMYFUNCTION("SPLIT(A2421, "" |"")"),2419.0)</f>
        <v>2419</v>
      </c>
      <c r="G2425" s="19">
        <f>IFERROR(__xludf.DUMMYFUNCTION("""COMPUTED_VALUE"""),0.00229)</f>
        <v>0.00229</v>
      </c>
      <c r="H2425" s="19" t="str">
        <f>IFERROR(__xludf.DUMMYFUNCTION("""COMPUTED_VALUE"""),"-")</f>
        <v>-</v>
      </c>
      <c r="I2425" s="19">
        <f>IFERROR(__xludf.DUMMYFUNCTION("""COMPUTED_VALUE"""),0.00217)</f>
        <v>0.00217</v>
      </c>
      <c r="J2425" s="19">
        <f>IFERROR(__xludf.DUMMYFUNCTION("""COMPUTED_VALUE"""),0.04727)</f>
        <v>0.04727</v>
      </c>
      <c r="K2425" s="19" t="str">
        <f>IFERROR(__xludf.DUMMYFUNCTION("""COMPUTED_VALUE"""),"-")</f>
        <v>-</v>
      </c>
      <c r="L2425" s="19" t="str">
        <f>IFERROR(__xludf.DUMMYFUNCTION("""COMPUTED_VALUE"""),"-")</f>
        <v>-</v>
      </c>
      <c r="O2425" s="24">
        <f t="shared" si="4"/>
        <v>0</v>
      </c>
      <c r="P2425" s="24"/>
      <c r="Q2425" s="24">
        <f t="shared" si="6"/>
        <v>0</v>
      </c>
      <c r="R2425" s="24">
        <f t="shared" si="7"/>
        <v>0</v>
      </c>
      <c r="S2425" s="24"/>
      <c r="T2425" s="24"/>
    </row>
    <row r="2426">
      <c r="A2426" s="12" t="s">
        <v>2514</v>
      </c>
      <c r="F2426" s="19">
        <f>IFERROR(__xludf.DUMMYFUNCTION("SPLIT(A2422, "" |"")"),2420.0)</f>
        <v>2420</v>
      </c>
      <c r="G2426" s="19">
        <f>IFERROR(__xludf.DUMMYFUNCTION("""COMPUTED_VALUE"""),0.00225)</f>
        <v>0.00225</v>
      </c>
      <c r="H2426" s="19" t="str">
        <f>IFERROR(__xludf.DUMMYFUNCTION("""COMPUTED_VALUE"""),"-")</f>
        <v>-</v>
      </c>
      <c r="I2426" s="19">
        <f>IFERROR(__xludf.DUMMYFUNCTION("""COMPUTED_VALUE"""),0.00212)</f>
        <v>0.00212</v>
      </c>
      <c r="J2426" s="19">
        <f>IFERROR(__xludf.DUMMYFUNCTION("""COMPUTED_VALUE"""),0.0473)</f>
        <v>0.0473</v>
      </c>
      <c r="K2426" s="19" t="str">
        <f>IFERROR(__xludf.DUMMYFUNCTION("""COMPUTED_VALUE"""),"-")</f>
        <v>-</v>
      </c>
      <c r="L2426" s="19" t="str">
        <f>IFERROR(__xludf.DUMMYFUNCTION("""COMPUTED_VALUE"""),"-")</f>
        <v>-</v>
      </c>
      <c r="O2426" s="24">
        <f t="shared" si="4"/>
        <v>0</v>
      </c>
      <c r="P2426" s="24"/>
      <c r="Q2426" s="24">
        <f t="shared" si="6"/>
        <v>0</v>
      </c>
      <c r="R2426" s="24">
        <f t="shared" si="7"/>
        <v>0</v>
      </c>
      <c r="S2426" s="24"/>
      <c r="T2426" s="24"/>
    </row>
    <row r="2427">
      <c r="A2427" s="12" t="s">
        <v>2515</v>
      </c>
      <c r="F2427" s="19">
        <f>IFERROR(__xludf.DUMMYFUNCTION("SPLIT(A2423, "" |"")"),2421.0)</f>
        <v>2421</v>
      </c>
      <c r="G2427" s="19">
        <f>IFERROR(__xludf.DUMMYFUNCTION("""COMPUTED_VALUE"""),0.00225)</f>
        <v>0.00225</v>
      </c>
      <c r="H2427" s="19" t="str">
        <f>IFERROR(__xludf.DUMMYFUNCTION("""COMPUTED_VALUE"""),"-")</f>
        <v>-</v>
      </c>
      <c r="I2427" s="19">
        <f>IFERROR(__xludf.DUMMYFUNCTION("""COMPUTED_VALUE"""),0.00213)</f>
        <v>0.00213</v>
      </c>
      <c r="J2427" s="19">
        <f>IFERROR(__xludf.DUMMYFUNCTION("""COMPUTED_VALUE"""),0.04738)</f>
        <v>0.04738</v>
      </c>
      <c r="K2427" s="19" t="str">
        <f>IFERROR(__xludf.DUMMYFUNCTION("""COMPUTED_VALUE"""),"-")</f>
        <v>-</v>
      </c>
      <c r="L2427" s="19" t="str">
        <f>IFERROR(__xludf.DUMMYFUNCTION("""COMPUTED_VALUE"""),"-")</f>
        <v>-</v>
      </c>
      <c r="O2427" s="24">
        <f t="shared" si="4"/>
        <v>0</v>
      </c>
      <c r="P2427" s="24"/>
      <c r="Q2427" s="24">
        <f t="shared" si="6"/>
        <v>0</v>
      </c>
      <c r="R2427" s="24">
        <f t="shared" si="7"/>
        <v>0</v>
      </c>
      <c r="S2427" s="24"/>
      <c r="T2427" s="24"/>
    </row>
    <row r="2428">
      <c r="A2428" s="12" t="s">
        <v>2516</v>
      </c>
      <c r="F2428" s="19">
        <f>IFERROR(__xludf.DUMMYFUNCTION("SPLIT(A2424, "" |"")"),2422.0)</f>
        <v>2422</v>
      </c>
      <c r="G2428" s="19">
        <f>IFERROR(__xludf.DUMMYFUNCTION("""COMPUTED_VALUE"""),0.00229)</f>
        <v>0.00229</v>
      </c>
      <c r="H2428" s="19" t="str">
        <f>IFERROR(__xludf.DUMMYFUNCTION("""COMPUTED_VALUE"""),"-")</f>
        <v>-</v>
      </c>
      <c r="I2428" s="19">
        <f>IFERROR(__xludf.DUMMYFUNCTION("""COMPUTED_VALUE"""),0.00209)</f>
        <v>0.00209</v>
      </c>
      <c r="J2428" s="19">
        <f>IFERROR(__xludf.DUMMYFUNCTION("""COMPUTED_VALUE"""),0.04733)</f>
        <v>0.04733</v>
      </c>
      <c r="K2428" s="19" t="str">
        <f>IFERROR(__xludf.DUMMYFUNCTION("""COMPUTED_VALUE"""),"-")</f>
        <v>-</v>
      </c>
      <c r="L2428" s="19" t="str">
        <f>IFERROR(__xludf.DUMMYFUNCTION("""COMPUTED_VALUE"""),"-")</f>
        <v>-</v>
      </c>
      <c r="O2428" s="24">
        <f t="shared" si="4"/>
        <v>0</v>
      </c>
      <c r="P2428" s="24"/>
      <c r="Q2428" s="24">
        <f t="shared" si="6"/>
        <v>0</v>
      </c>
      <c r="R2428" s="24">
        <f t="shared" si="7"/>
        <v>0</v>
      </c>
      <c r="S2428" s="24"/>
      <c r="T2428" s="24"/>
    </row>
    <row r="2429">
      <c r="A2429" s="12" t="s">
        <v>2517</v>
      </c>
      <c r="F2429" s="19">
        <f>IFERROR(__xludf.DUMMYFUNCTION("SPLIT(A2425, "" |"")"),2423.0)</f>
        <v>2423</v>
      </c>
      <c r="G2429" s="19">
        <f>IFERROR(__xludf.DUMMYFUNCTION("""COMPUTED_VALUE"""),0.00228)</f>
        <v>0.00228</v>
      </c>
      <c r="H2429" s="19" t="str">
        <f>IFERROR(__xludf.DUMMYFUNCTION("""COMPUTED_VALUE"""),"-")</f>
        <v>-</v>
      </c>
      <c r="I2429" s="19">
        <f>IFERROR(__xludf.DUMMYFUNCTION("""COMPUTED_VALUE"""),0.00212)</f>
        <v>0.00212</v>
      </c>
      <c r="J2429" s="19">
        <f>IFERROR(__xludf.DUMMYFUNCTION("""COMPUTED_VALUE"""),0.04732)</f>
        <v>0.04732</v>
      </c>
      <c r="K2429" s="19" t="str">
        <f>IFERROR(__xludf.DUMMYFUNCTION("""COMPUTED_VALUE"""),"-")</f>
        <v>-</v>
      </c>
      <c r="L2429" s="19" t="str">
        <f>IFERROR(__xludf.DUMMYFUNCTION("""COMPUTED_VALUE"""),"-")</f>
        <v>-</v>
      </c>
      <c r="O2429" s="24">
        <f t="shared" si="4"/>
        <v>0</v>
      </c>
      <c r="P2429" s="24"/>
      <c r="Q2429" s="24">
        <f t="shared" si="6"/>
        <v>0</v>
      </c>
      <c r="R2429" s="24">
        <f t="shared" si="7"/>
        <v>0</v>
      </c>
      <c r="S2429" s="24"/>
      <c r="T2429" s="24"/>
    </row>
    <row r="2430">
      <c r="A2430" s="12" t="s">
        <v>2518</v>
      </c>
      <c r="F2430" s="19">
        <f>IFERROR(__xludf.DUMMYFUNCTION("SPLIT(A2426, "" |"")"),2424.0)</f>
        <v>2424</v>
      </c>
      <c r="G2430" s="19">
        <f>IFERROR(__xludf.DUMMYFUNCTION("""COMPUTED_VALUE"""),0.00227)</f>
        <v>0.00227</v>
      </c>
      <c r="H2430" s="19" t="str">
        <f>IFERROR(__xludf.DUMMYFUNCTION("""COMPUTED_VALUE"""),"-")</f>
        <v>-</v>
      </c>
      <c r="I2430" s="19">
        <f>IFERROR(__xludf.DUMMYFUNCTION("""COMPUTED_VALUE"""),0.00206)</f>
        <v>0.00206</v>
      </c>
      <c r="J2430" s="19">
        <f>IFERROR(__xludf.DUMMYFUNCTION("""COMPUTED_VALUE"""),0.04636)</f>
        <v>0.04636</v>
      </c>
      <c r="K2430" s="19" t="str">
        <f>IFERROR(__xludf.DUMMYFUNCTION("""COMPUTED_VALUE"""),"-")</f>
        <v>-</v>
      </c>
      <c r="L2430" s="19" t="str">
        <f>IFERROR(__xludf.DUMMYFUNCTION("""COMPUTED_VALUE"""),"-")</f>
        <v>-</v>
      </c>
      <c r="O2430" s="24">
        <f t="shared" si="4"/>
        <v>0</v>
      </c>
      <c r="P2430" s="24"/>
      <c r="Q2430" s="24">
        <f t="shared" si="6"/>
        <v>0</v>
      </c>
      <c r="R2430" s="24">
        <f t="shared" si="7"/>
        <v>0</v>
      </c>
      <c r="S2430" s="24"/>
      <c r="T2430" s="24"/>
    </row>
    <row r="2431">
      <c r="A2431" s="12" t="s">
        <v>2519</v>
      </c>
      <c r="F2431" s="19">
        <f>IFERROR(__xludf.DUMMYFUNCTION("SPLIT(A2427, "" |"")"),2425.0)</f>
        <v>2425</v>
      </c>
      <c r="G2431" s="19">
        <f>IFERROR(__xludf.DUMMYFUNCTION("""COMPUTED_VALUE"""),0.00225)</f>
        <v>0.00225</v>
      </c>
      <c r="H2431" s="19" t="str">
        <f>IFERROR(__xludf.DUMMYFUNCTION("""COMPUTED_VALUE"""),"-")</f>
        <v>-</v>
      </c>
      <c r="I2431" s="19">
        <f>IFERROR(__xludf.DUMMYFUNCTION("""COMPUTED_VALUE"""),0.00207)</f>
        <v>0.00207</v>
      </c>
      <c r="J2431" s="19">
        <f>IFERROR(__xludf.DUMMYFUNCTION("""COMPUTED_VALUE"""),0.0473)</f>
        <v>0.0473</v>
      </c>
      <c r="K2431" s="19" t="str">
        <f>IFERROR(__xludf.DUMMYFUNCTION("""COMPUTED_VALUE"""),"-")</f>
        <v>-</v>
      </c>
      <c r="L2431" s="19" t="str">
        <f>IFERROR(__xludf.DUMMYFUNCTION("""COMPUTED_VALUE"""),"-")</f>
        <v>-</v>
      </c>
      <c r="O2431" s="24">
        <f t="shared" si="4"/>
        <v>0</v>
      </c>
      <c r="P2431" s="24"/>
      <c r="Q2431" s="24">
        <f t="shared" si="6"/>
        <v>0</v>
      </c>
      <c r="R2431" s="24">
        <f t="shared" si="7"/>
        <v>0</v>
      </c>
      <c r="S2431" s="24"/>
      <c r="T2431" s="24"/>
    </row>
    <row r="2432">
      <c r="A2432" s="12" t="s">
        <v>2520</v>
      </c>
      <c r="F2432" s="19">
        <f>IFERROR(__xludf.DUMMYFUNCTION("SPLIT(A2428, "" |"")"),2426.0)</f>
        <v>2426</v>
      </c>
      <c r="G2432" s="19">
        <f>IFERROR(__xludf.DUMMYFUNCTION("""COMPUTED_VALUE"""),0.0022)</f>
        <v>0.0022</v>
      </c>
      <c r="H2432" s="19" t="str">
        <f>IFERROR(__xludf.DUMMYFUNCTION("""COMPUTED_VALUE"""),"-")</f>
        <v>-</v>
      </c>
      <c r="I2432" s="19">
        <f>IFERROR(__xludf.DUMMYFUNCTION("""COMPUTED_VALUE"""),0.00208)</f>
        <v>0.00208</v>
      </c>
      <c r="J2432" s="19">
        <f>IFERROR(__xludf.DUMMYFUNCTION("""COMPUTED_VALUE"""),0.04728)</f>
        <v>0.04728</v>
      </c>
      <c r="K2432" s="19" t="str">
        <f>IFERROR(__xludf.DUMMYFUNCTION("""COMPUTED_VALUE"""),"-")</f>
        <v>-</v>
      </c>
      <c r="L2432" s="19" t="str">
        <f>IFERROR(__xludf.DUMMYFUNCTION("""COMPUTED_VALUE"""),"-")</f>
        <v>-</v>
      </c>
      <c r="O2432" s="24">
        <f t="shared" si="4"/>
        <v>0</v>
      </c>
      <c r="P2432" s="24"/>
      <c r="Q2432" s="24">
        <f t="shared" si="6"/>
        <v>0</v>
      </c>
      <c r="R2432" s="24">
        <f t="shared" si="7"/>
        <v>0</v>
      </c>
      <c r="S2432" s="24"/>
      <c r="T2432" s="24"/>
    </row>
    <row r="2433">
      <c r="A2433" s="12" t="s">
        <v>2521</v>
      </c>
      <c r="F2433" s="19">
        <f>IFERROR(__xludf.DUMMYFUNCTION("SPLIT(A2429, "" |"")"),2427.0)</f>
        <v>2427</v>
      </c>
      <c r="G2433" s="19">
        <f>IFERROR(__xludf.DUMMYFUNCTION("""COMPUTED_VALUE"""),0.00224)</f>
        <v>0.00224</v>
      </c>
      <c r="H2433" s="19" t="str">
        <f>IFERROR(__xludf.DUMMYFUNCTION("""COMPUTED_VALUE"""),"-")</f>
        <v>-</v>
      </c>
      <c r="I2433" s="19">
        <f>IFERROR(__xludf.DUMMYFUNCTION("""COMPUTED_VALUE"""),0.0021)</f>
        <v>0.0021</v>
      </c>
      <c r="J2433" s="19">
        <f>IFERROR(__xludf.DUMMYFUNCTION("""COMPUTED_VALUE"""),0.0473)</f>
        <v>0.0473</v>
      </c>
      <c r="K2433" s="19" t="str">
        <f>IFERROR(__xludf.DUMMYFUNCTION("""COMPUTED_VALUE"""),"-")</f>
        <v>-</v>
      </c>
      <c r="L2433" s="19" t="str">
        <f>IFERROR(__xludf.DUMMYFUNCTION("""COMPUTED_VALUE"""),"-")</f>
        <v>-</v>
      </c>
      <c r="O2433" s="24">
        <f t="shared" si="4"/>
        <v>0</v>
      </c>
      <c r="P2433" s="24"/>
      <c r="Q2433" s="24">
        <f t="shared" si="6"/>
        <v>0</v>
      </c>
      <c r="R2433" s="24">
        <f t="shared" si="7"/>
        <v>0</v>
      </c>
      <c r="S2433" s="24"/>
      <c r="T2433" s="24"/>
    </row>
    <row r="2434">
      <c r="A2434" s="12" t="s">
        <v>2522</v>
      </c>
      <c r="F2434" s="19">
        <f>IFERROR(__xludf.DUMMYFUNCTION("SPLIT(A2430, "" |"")"),2428.0)</f>
        <v>2428</v>
      </c>
      <c r="G2434" s="19">
        <f>IFERROR(__xludf.DUMMYFUNCTION("""COMPUTED_VALUE"""),0.00221)</f>
        <v>0.00221</v>
      </c>
      <c r="H2434" s="19" t="str">
        <f>IFERROR(__xludf.DUMMYFUNCTION("""COMPUTED_VALUE"""),"-")</f>
        <v>-</v>
      </c>
      <c r="I2434" s="19">
        <f>IFERROR(__xludf.DUMMYFUNCTION("""COMPUTED_VALUE"""),0.00211)</f>
        <v>0.00211</v>
      </c>
      <c r="J2434" s="19">
        <f>IFERROR(__xludf.DUMMYFUNCTION("""COMPUTED_VALUE"""),0.04729)</f>
        <v>0.04729</v>
      </c>
      <c r="K2434" s="19" t="str">
        <f>IFERROR(__xludf.DUMMYFUNCTION("""COMPUTED_VALUE"""),"-")</f>
        <v>-</v>
      </c>
      <c r="L2434" s="19" t="str">
        <f>IFERROR(__xludf.DUMMYFUNCTION("""COMPUTED_VALUE"""),"-")</f>
        <v>-</v>
      </c>
      <c r="O2434" s="24">
        <f t="shared" si="4"/>
        <v>0</v>
      </c>
      <c r="P2434" s="24"/>
      <c r="Q2434" s="24">
        <f t="shared" si="6"/>
        <v>0</v>
      </c>
      <c r="R2434" s="24">
        <f t="shared" si="7"/>
        <v>0</v>
      </c>
      <c r="S2434" s="24"/>
      <c r="T2434" s="24"/>
    </row>
    <row r="2435">
      <c r="A2435" s="12" t="s">
        <v>2523</v>
      </c>
      <c r="F2435" s="19">
        <f>IFERROR(__xludf.DUMMYFUNCTION("SPLIT(A2431, "" |"")"),2429.0)</f>
        <v>2429</v>
      </c>
      <c r="G2435" s="19">
        <f>IFERROR(__xludf.DUMMYFUNCTION("""COMPUTED_VALUE"""),0.00222)</f>
        <v>0.00222</v>
      </c>
      <c r="H2435" s="19" t="str">
        <f>IFERROR(__xludf.DUMMYFUNCTION("""COMPUTED_VALUE"""),"-")</f>
        <v>-</v>
      </c>
      <c r="I2435" s="19">
        <f>IFERROR(__xludf.DUMMYFUNCTION("""COMPUTED_VALUE"""),0.00209)</f>
        <v>0.00209</v>
      </c>
      <c r="J2435" s="19">
        <f>IFERROR(__xludf.DUMMYFUNCTION("""COMPUTED_VALUE"""),0.04731)</f>
        <v>0.04731</v>
      </c>
      <c r="K2435" s="19" t="str">
        <f>IFERROR(__xludf.DUMMYFUNCTION("""COMPUTED_VALUE"""),"-")</f>
        <v>-</v>
      </c>
      <c r="L2435" s="19" t="str">
        <f>IFERROR(__xludf.DUMMYFUNCTION("""COMPUTED_VALUE"""),"-")</f>
        <v>-</v>
      </c>
      <c r="O2435" s="24">
        <f t="shared" si="4"/>
        <v>0</v>
      </c>
      <c r="P2435" s="24"/>
      <c r="Q2435" s="24">
        <f t="shared" si="6"/>
        <v>0</v>
      </c>
      <c r="R2435" s="24">
        <f t="shared" si="7"/>
        <v>0</v>
      </c>
      <c r="S2435" s="24"/>
      <c r="T2435" s="24"/>
    </row>
    <row r="2436">
      <c r="A2436" s="12" t="s">
        <v>2524</v>
      </c>
      <c r="F2436" s="19">
        <f>IFERROR(__xludf.DUMMYFUNCTION("SPLIT(A2432, "" |"")"),2430.0)</f>
        <v>2430</v>
      </c>
      <c r="G2436" s="19">
        <f>IFERROR(__xludf.DUMMYFUNCTION("""COMPUTED_VALUE"""),0.00221)</f>
        <v>0.00221</v>
      </c>
      <c r="H2436" s="19" t="str">
        <f>IFERROR(__xludf.DUMMYFUNCTION("""COMPUTED_VALUE"""),"-")</f>
        <v>-</v>
      </c>
      <c r="I2436" s="19">
        <f>IFERROR(__xludf.DUMMYFUNCTION("""COMPUTED_VALUE"""),0.00209)</f>
        <v>0.00209</v>
      </c>
      <c r="J2436" s="19">
        <f>IFERROR(__xludf.DUMMYFUNCTION("""COMPUTED_VALUE"""),0.04382)</f>
        <v>0.04382</v>
      </c>
      <c r="K2436" s="19" t="str">
        <f>IFERROR(__xludf.DUMMYFUNCTION("""COMPUTED_VALUE"""),"-")</f>
        <v>-</v>
      </c>
      <c r="L2436" s="19" t="str">
        <f>IFERROR(__xludf.DUMMYFUNCTION("""COMPUTED_VALUE"""),"-")</f>
        <v>-</v>
      </c>
      <c r="O2436" s="24">
        <f t="shared" si="4"/>
        <v>0</v>
      </c>
      <c r="P2436" s="24"/>
      <c r="Q2436" s="24">
        <f t="shared" si="6"/>
        <v>0</v>
      </c>
      <c r="R2436" s="24">
        <f t="shared" si="7"/>
        <v>1</v>
      </c>
      <c r="S2436" s="24"/>
      <c r="T2436" s="24"/>
    </row>
    <row r="2437">
      <c r="A2437" s="12" t="s">
        <v>2525</v>
      </c>
      <c r="F2437" s="19">
        <f>IFERROR(__xludf.DUMMYFUNCTION("SPLIT(A2433, "" |"")"),2431.0)</f>
        <v>2431</v>
      </c>
      <c r="G2437" s="19">
        <f>IFERROR(__xludf.DUMMYFUNCTION("""COMPUTED_VALUE"""),0.00224)</f>
        <v>0.00224</v>
      </c>
      <c r="H2437" s="19" t="str">
        <f>IFERROR(__xludf.DUMMYFUNCTION("""COMPUTED_VALUE"""),"-")</f>
        <v>-</v>
      </c>
      <c r="I2437" s="19">
        <f>IFERROR(__xludf.DUMMYFUNCTION("""COMPUTED_VALUE"""),0.00209)</f>
        <v>0.00209</v>
      </c>
      <c r="J2437" s="19">
        <f>IFERROR(__xludf.DUMMYFUNCTION("""COMPUTED_VALUE"""),0.03979)</f>
        <v>0.03979</v>
      </c>
      <c r="K2437" s="19" t="str">
        <f>IFERROR(__xludf.DUMMYFUNCTION("""COMPUTED_VALUE"""),"-")</f>
        <v>-</v>
      </c>
      <c r="L2437" s="19" t="str">
        <f>IFERROR(__xludf.DUMMYFUNCTION("""COMPUTED_VALUE"""),"-")</f>
        <v>-</v>
      </c>
      <c r="O2437" s="24">
        <f t="shared" si="4"/>
        <v>0</v>
      </c>
      <c r="P2437" s="24"/>
      <c r="Q2437" s="24">
        <f t="shared" si="6"/>
        <v>0</v>
      </c>
      <c r="R2437" s="24">
        <f t="shared" si="7"/>
        <v>1</v>
      </c>
      <c r="S2437" s="24"/>
      <c r="T2437" s="24"/>
    </row>
    <row r="2438">
      <c r="A2438" s="12" t="s">
        <v>2526</v>
      </c>
      <c r="F2438" s="19">
        <f>IFERROR(__xludf.DUMMYFUNCTION("SPLIT(A2434, "" |"")"),2432.0)</f>
        <v>2432</v>
      </c>
      <c r="G2438" s="19">
        <f>IFERROR(__xludf.DUMMYFUNCTION("""COMPUTED_VALUE"""),0.00218)</f>
        <v>0.00218</v>
      </c>
      <c r="H2438" s="19" t="str">
        <f>IFERROR(__xludf.DUMMYFUNCTION("""COMPUTED_VALUE"""),"-")</f>
        <v>-</v>
      </c>
      <c r="I2438" s="19">
        <f>IFERROR(__xludf.DUMMYFUNCTION("""COMPUTED_VALUE"""),0.00205)</f>
        <v>0.00205</v>
      </c>
      <c r="J2438" s="19">
        <f>IFERROR(__xludf.DUMMYFUNCTION("""COMPUTED_VALUE"""),0.04638)</f>
        <v>0.04638</v>
      </c>
      <c r="K2438" s="19" t="str">
        <f>IFERROR(__xludf.DUMMYFUNCTION("""COMPUTED_VALUE"""),"-")</f>
        <v>-</v>
      </c>
      <c r="L2438" s="19" t="str">
        <f>IFERROR(__xludf.DUMMYFUNCTION("""COMPUTED_VALUE"""),"-")</f>
        <v>-</v>
      </c>
      <c r="O2438" s="24">
        <f t="shared" si="4"/>
        <v>0</v>
      </c>
      <c r="P2438" s="24"/>
      <c r="Q2438" s="24">
        <f t="shared" si="6"/>
        <v>0</v>
      </c>
      <c r="R2438" s="24">
        <f t="shared" si="7"/>
        <v>0</v>
      </c>
      <c r="S2438" s="24"/>
      <c r="T2438" s="24"/>
    </row>
    <row r="2439">
      <c r="A2439" s="12" t="s">
        <v>2527</v>
      </c>
      <c r="F2439" s="19">
        <f>IFERROR(__xludf.DUMMYFUNCTION("SPLIT(A2435, "" |"")"),2433.0)</f>
        <v>2433</v>
      </c>
      <c r="G2439" s="19">
        <f>IFERROR(__xludf.DUMMYFUNCTION("""COMPUTED_VALUE"""),0.00218)</f>
        <v>0.00218</v>
      </c>
      <c r="H2439" s="19" t="str">
        <f>IFERROR(__xludf.DUMMYFUNCTION("""COMPUTED_VALUE"""),"-")</f>
        <v>-</v>
      </c>
      <c r="I2439" s="19">
        <f>IFERROR(__xludf.DUMMYFUNCTION("""COMPUTED_VALUE"""),0.00208)</f>
        <v>0.00208</v>
      </c>
      <c r="J2439" s="19">
        <f>IFERROR(__xludf.DUMMYFUNCTION("""COMPUTED_VALUE"""),0.04023)</f>
        <v>0.04023</v>
      </c>
      <c r="K2439" s="19" t="str">
        <f>IFERROR(__xludf.DUMMYFUNCTION("""COMPUTED_VALUE"""),"-")</f>
        <v>-</v>
      </c>
      <c r="L2439" s="19" t="str">
        <f>IFERROR(__xludf.DUMMYFUNCTION("""COMPUTED_VALUE"""),"-")</f>
        <v>-</v>
      </c>
      <c r="O2439" s="24">
        <f t="shared" si="4"/>
        <v>0</v>
      </c>
      <c r="P2439" s="24"/>
      <c r="Q2439" s="24">
        <f t="shared" si="6"/>
        <v>0</v>
      </c>
      <c r="R2439" s="24">
        <f t="shared" si="7"/>
        <v>1</v>
      </c>
      <c r="S2439" s="24"/>
      <c r="T2439" s="24"/>
    </row>
    <row r="2440">
      <c r="A2440" s="12" t="s">
        <v>2528</v>
      </c>
      <c r="F2440" s="19">
        <f>IFERROR(__xludf.DUMMYFUNCTION("SPLIT(A2436, "" |"")"),2434.0)</f>
        <v>2434</v>
      </c>
      <c r="G2440" s="19">
        <f>IFERROR(__xludf.DUMMYFUNCTION("""COMPUTED_VALUE"""),0.00218)</f>
        <v>0.00218</v>
      </c>
      <c r="H2440" s="19" t="str">
        <f>IFERROR(__xludf.DUMMYFUNCTION("""COMPUTED_VALUE"""),"-")</f>
        <v>-</v>
      </c>
      <c r="I2440" s="19">
        <f>IFERROR(__xludf.DUMMYFUNCTION("""COMPUTED_VALUE"""),0.00205)</f>
        <v>0.00205</v>
      </c>
      <c r="J2440" s="19">
        <f>IFERROR(__xludf.DUMMYFUNCTION("""COMPUTED_VALUE"""),0.04724)</f>
        <v>0.04724</v>
      </c>
      <c r="K2440" s="19" t="str">
        <f>IFERROR(__xludf.DUMMYFUNCTION("""COMPUTED_VALUE"""),"-")</f>
        <v>-</v>
      </c>
      <c r="L2440" s="19" t="str">
        <f>IFERROR(__xludf.DUMMYFUNCTION("""COMPUTED_VALUE"""),"-")</f>
        <v>-</v>
      </c>
      <c r="O2440" s="24">
        <f t="shared" si="4"/>
        <v>0</v>
      </c>
      <c r="P2440" s="24"/>
      <c r="Q2440" s="24">
        <f t="shared" si="6"/>
        <v>0</v>
      </c>
      <c r="R2440" s="24">
        <f t="shared" si="7"/>
        <v>0</v>
      </c>
      <c r="S2440" s="24"/>
      <c r="T2440" s="24"/>
    </row>
    <row r="2441">
      <c r="A2441" s="12" t="s">
        <v>2529</v>
      </c>
      <c r="F2441" s="19">
        <f>IFERROR(__xludf.DUMMYFUNCTION("SPLIT(A2437, "" |"")"),2435.0)</f>
        <v>2435</v>
      </c>
      <c r="G2441" s="19">
        <f>IFERROR(__xludf.DUMMYFUNCTION("""COMPUTED_VALUE"""),0.00226)</f>
        <v>0.00226</v>
      </c>
      <c r="H2441" s="19" t="str">
        <f>IFERROR(__xludf.DUMMYFUNCTION("""COMPUTED_VALUE"""),"-")</f>
        <v>-</v>
      </c>
      <c r="I2441" s="19">
        <f>IFERROR(__xludf.DUMMYFUNCTION("""COMPUTED_VALUE"""),0.00209)</f>
        <v>0.00209</v>
      </c>
      <c r="J2441" s="19">
        <f>IFERROR(__xludf.DUMMYFUNCTION("""COMPUTED_VALUE"""),0.04727)</f>
        <v>0.04727</v>
      </c>
      <c r="K2441" s="19" t="str">
        <f>IFERROR(__xludf.DUMMYFUNCTION("""COMPUTED_VALUE"""),"-")</f>
        <v>-</v>
      </c>
      <c r="L2441" s="19" t="str">
        <f>IFERROR(__xludf.DUMMYFUNCTION("""COMPUTED_VALUE"""),"-")</f>
        <v>-</v>
      </c>
      <c r="O2441" s="24">
        <f t="shared" si="4"/>
        <v>0</v>
      </c>
      <c r="P2441" s="24"/>
      <c r="Q2441" s="24">
        <f t="shared" si="6"/>
        <v>0</v>
      </c>
      <c r="R2441" s="24">
        <f t="shared" si="7"/>
        <v>0</v>
      </c>
      <c r="S2441" s="24"/>
      <c r="T2441" s="24"/>
    </row>
    <row r="2442">
      <c r="A2442" s="12" t="s">
        <v>2530</v>
      </c>
      <c r="F2442" s="19">
        <f>IFERROR(__xludf.DUMMYFUNCTION("SPLIT(A2438, "" |"")"),2436.0)</f>
        <v>2436</v>
      </c>
      <c r="G2442" s="19">
        <f>IFERROR(__xludf.DUMMYFUNCTION("""COMPUTED_VALUE"""),0.00218)</f>
        <v>0.00218</v>
      </c>
      <c r="H2442" s="19" t="str">
        <f>IFERROR(__xludf.DUMMYFUNCTION("""COMPUTED_VALUE"""),"-")</f>
        <v>-</v>
      </c>
      <c r="I2442" s="19">
        <f>IFERROR(__xludf.DUMMYFUNCTION("""COMPUTED_VALUE"""),0.00207)</f>
        <v>0.00207</v>
      </c>
      <c r="J2442" s="19">
        <f>IFERROR(__xludf.DUMMYFUNCTION("""COMPUTED_VALUE"""),0.04725)</f>
        <v>0.04725</v>
      </c>
      <c r="K2442" s="19" t="str">
        <f>IFERROR(__xludf.DUMMYFUNCTION("""COMPUTED_VALUE"""),"-")</f>
        <v>-</v>
      </c>
      <c r="L2442" s="19" t="str">
        <f>IFERROR(__xludf.DUMMYFUNCTION("""COMPUTED_VALUE"""),"-")</f>
        <v>-</v>
      </c>
      <c r="O2442" s="24">
        <f t="shared" si="4"/>
        <v>0</v>
      </c>
      <c r="P2442" s="24"/>
      <c r="Q2442" s="24">
        <f t="shared" si="6"/>
        <v>0</v>
      </c>
      <c r="R2442" s="24">
        <f t="shared" si="7"/>
        <v>0</v>
      </c>
      <c r="S2442" s="24"/>
      <c r="T2442" s="24"/>
    </row>
    <row r="2443">
      <c r="A2443" s="12" t="s">
        <v>2531</v>
      </c>
      <c r="F2443" s="19">
        <f>IFERROR(__xludf.DUMMYFUNCTION("SPLIT(A2439, "" |"")"),2437.0)</f>
        <v>2437</v>
      </c>
      <c r="G2443" s="19">
        <f>IFERROR(__xludf.DUMMYFUNCTION("""COMPUTED_VALUE"""),0.00221)</f>
        <v>0.00221</v>
      </c>
      <c r="H2443" s="19" t="str">
        <f>IFERROR(__xludf.DUMMYFUNCTION("""COMPUTED_VALUE"""),"-")</f>
        <v>-</v>
      </c>
      <c r="I2443" s="19">
        <f>IFERROR(__xludf.DUMMYFUNCTION("""COMPUTED_VALUE"""),0.00212)</f>
        <v>0.00212</v>
      </c>
      <c r="J2443" s="19">
        <f>IFERROR(__xludf.DUMMYFUNCTION("""COMPUTED_VALUE"""),0.04729)</f>
        <v>0.04729</v>
      </c>
      <c r="K2443" s="19" t="str">
        <f>IFERROR(__xludf.DUMMYFUNCTION("""COMPUTED_VALUE"""),"-")</f>
        <v>-</v>
      </c>
      <c r="L2443" s="19" t="str">
        <f>IFERROR(__xludf.DUMMYFUNCTION("""COMPUTED_VALUE"""),"-")</f>
        <v>-</v>
      </c>
      <c r="O2443" s="24">
        <f t="shared" si="4"/>
        <v>0</v>
      </c>
      <c r="P2443" s="24"/>
      <c r="Q2443" s="24">
        <f t="shared" si="6"/>
        <v>0</v>
      </c>
      <c r="R2443" s="24">
        <f t="shared" si="7"/>
        <v>0</v>
      </c>
      <c r="S2443" s="24"/>
      <c r="T2443" s="24"/>
    </row>
    <row r="2444">
      <c r="A2444" s="12" t="s">
        <v>2532</v>
      </c>
      <c r="F2444" s="19">
        <f>IFERROR(__xludf.DUMMYFUNCTION("SPLIT(A2440, "" |"")"),2438.0)</f>
        <v>2438</v>
      </c>
      <c r="G2444" s="19">
        <f>IFERROR(__xludf.DUMMYFUNCTION("""COMPUTED_VALUE"""),0.00221)</f>
        <v>0.00221</v>
      </c>
      <c r="H2444" s="19" t="str">
        <f>IFERROR(__xludf.DUMMYFUNCTION("""COMPUTED_VALUE"""),"-")</f>
        <v>-</v>
      </c>
      <c r="I2444" s="19">
        <f>IFERROR(__xludf.DUMMYFUNCTION("""COMPUTED_VALUE"""),0.00208)</f>
        <v>0.00208</v>
      </c>
      <c r="J2444" s="19">
        <f>IFERROR(__xludf.DUMMYFUNCTION("""COMPUTED_VALUE"""),0.04728)</f>
        <v>0.04728</v>
      </c>
      <c r="K2444" s="19" t="str">
        <f>IFERROR(__xludf.DUMMYFUNCTION("""COMPUTED_VALUE"""),"-")</f>
        <v>-</v>
      </c>
      <c r="L2444" s="19" t="str">
        <f>IFERROR(__xludf.DUMMYFUNCTION("""COMPUTED_VALUE"""),"-")</f>
        <v>-</v>
      </c>
      <c r="O2444" s="24">
        <f t="shared" si="4"/>
        <v>0</v>
      </c>
      <c r="P2444" s="24"/>
      <c r="Q2444" s="24">
        <f t="shared" si="6"/>
        <v>0</v>
      </c>
      <c r="R2444" s="24">
        <f t="shared" si="7"/>
        <v>0</v>
      </c>
      <c r="S2444" s="24"/>
      <c r="T2444" s="24"/>
    </row>
    <row r="2445">
      <c r="A2445" s="12" t="s">
        <v>2533</v>
      </c>
      <c r="F2445" s="19">
        <f>IFERROR(__xludf.DUMMYFUNCTION("SPLIT(A2441, "" |"")"),2439.0)</f>
        <v>2439</v>
      </c>
      <c r="G2445" s="19">
        <f>IFERROR(__xludf.DUMMYFUNCTION("""COMPUTED_VALUE"""),0.00229)</f>
        <v>0.00229</v>
      </c>
      <c r="H2445" s="19" t="str">
        <f>IFERROR(__xludf.DUMMYFUNCTION("""COMPUTED_VALUE"""),"-")</f>
        <v>-</v>
      </c>
      <c r="I2445" s="19">
        <f>IFERROR(__xludf.DUMMYFUNCTION("""COMPUTED_VALUE"""),0.00217)</f>
        <v>0.00217</v>
      </c>
      <c r="J2445" s="19">
        <f>IFERROR(__xludf.DUMMYFUNCTION("""COMPUTED_VALUE"""),0.0473)</f>
        <v>0.0473</v>
      </c>
      <c r="K2445" s="19" t="str">
        <f>IFERROR(__xludf.DUMMYFUNCTION("""COMPUTED_VALUE"""),"-")</f>
        <v>-</v>
      </c>
      <c r="L2445" s="19" t="str">
        <f>IFERROR(__xludf.DUMMYFUNCTION("""COMPUTED_VALUE"""),"-")</f>
        <v>-</v>
      </c>
      <c r="O2445" s="24">
        <f t="shared" si="4"/>
        <v>0</v>
      </c>
      <c r="P2445" s="24"/>
      <c r="Q2445" s="24">
        <f t="shared" si="6"/>
        <v>0</v>
      </c>
      <c r="R2445" s="24">
        <f t="shared" si="7"/>
        <v>0</v>
      </c>
      <c r="S2445" s="24"/>
      <c r="T2445" s="24"/>
    </row>
    <row r="2446">
      <c r="A2446" s="12" t="s">
        <v>2534</v>
      </c>
      <c r="F2446" s="19">
        <f>IFERROR(__xludf.DUMMYFUNCTION("SPLIT(A2442, "" |"")"),2440.0)</f>
        <v>2440</v>
      </c>
      <c r="G2446" s="19">
        <f>IFERROR(__xludf.DUMMYFUNCTION("""COMPUTED_VALUE"""),0.00222)</f>
        <v>0.00222</v>
      </c>
      <c r="H2446" s="19" t="str">
        <f>IFERROR(__xludf.DUMMYFUNCTION("""COMPUTED_VALUE"""),"-")</f>
        <v>-</v>
      </c>
      <c r="I2446" s="19">
        <f>IFERROR(__xludf.DUMMYFUNCTION("""COMPUTED_VALUE"""),0.00208)</f>
        <v>0.00208</v>
      </c>
      <c r="J2446" s="19">
        <f>IFERROR(__xludf.DUMMYFUNCTION("""COMPUTED_VALUE"""),0.04727)</f>
        <v>0.04727</v>
      </c>
      <c r="K2446" s="19" t="str">
        <f>IFERROR(__xludf.DUMMYFUNCTION("""COMPUTED_VALUE"""),"-")</f>
        <v>-</v>
      </c>
      <c r="L2446" s="19" t="str">
        <f>IFERROR(__xludf.DUMMYFUNCTION("""COMPUTED_VALUE"""),"-")</f>
        <v>-</v>
      </c>
      <c r="O2446" s="24">
        <f t="shared" si="4"/>
        <v>0</v>
      </c>
      <c r="P2446" s="24"/>
      <c r="Q2446" s="24">
        <f t="shared" si="6"/>
        <v>0</v>
      </c>
      <c r="R2446" s="24">
        <f t="shared" si="7"/>
        <v>0</v>
      </c>
      <c r="S2446" s="24"/>
      <c r="T2446" s="24"/>
    </row>
    <row r="2447">
      <c r="A2447" s="12" t="s">
        <v>2535</v>
      </c>
      <c r="F2447" s="19">
        <f>IFERROR(__xludf.DUMMYFUNCTION("SPLIT(A2443, "" |"")"),2441.0)</f>
        <v>2441</v>
      </c>
      <c r="G2447" s="19">
        <f>IFERROR(__xludf.DUMMYFUNCTION("""COMPUTED_VALUE"""),0.0022)</f>
        <v>0.0022</v>
      </c>
      <c r="H2447" s="19" t="str">
        <f>IFERROR(__xludf.DUMMYFUNCTION("""COMPUTED_VALUE"""),"-")</f>
        <v>-</v>
      </c>
      <c r="I2447" s="19">
        <f>IFERROR(__xludf.DUMMYFUNCTION("""COMPUTED_VALUE"""),0.00207)</f>
        <v>0.00207</v>
      </c>
      <c r="J2447" s="19">
        <f>IFERROR(__xludf.DUMMYFUNCTION("""COMPUTED_VALUE"""),0.04726)</f>
        <v>0.04726</v>
      </c>
      <c r="K2447" s="19" t="str">
        <f>IFERROR(__xludf.DUMMYFUNCTION("""COMPUTED_VALUE"""),"-")</f>
        <v>-</v>
      </c>
      <c r="L2447" s="19" t="str">
        <f>IFERROR(__xludf.DUMMYFUNCTION("""COMPUTED_VALUE"""),"-")</f>
        <v>-</v>
      </c>
      <c r="O2447" s="24">
        <f t="shared" si="4"/>
        <v>0</v>
      </c>
      <c r="P2447" s="24"/>
      <c r="Q2447" s="24">
        <f t="shared" si="6"/>
        <v>0</v>
      </c>
      <c r="R2447" s="24">
        <f t="shared" si="7"/>
        <v>0</v>
      </c>
      <c r="S2447" s="24"/>
      <c r="T2447" s="24"/>
    </row>
    <row r="2448">
      <c r="A2448" s="12" t="s">
        <v>2536</v>
      </c>
      <c r="F2448" s="19">
        <f>IFERROR(__xludf.DUMMYFUNCTION("SPLIT(A2444, "" |"")"),2442.0)</f>
        <v>2442</v>
      </c>
      <c r="G2448" s="19">
        <f>IFERROR(__xludf.DUMMYFUNCTION("""COMPUTED_VALUE"""),0.00218)</f>
        <v>0.00218</v>
      </c>
      <c r="H2448" s="19" t="str">
        <f>IFERROR(__xludf.DUMMYFUNCTION("""COMPUTED_VALUE"""),"-")</f>
        <v>-</v>
      </c>
      <c r="I2448" s="19">
        <f>IFERROR(__xludf.DUMMYFUNCTION("""COMPUTED_VALUE"""),0.00207)</f>
        <v>0.00207</v>
      </c>
      <c r="J2448" s="19">
        <f>IFERROR(__xludf.DUMMYFUNCTION("""COMPUTED_VALUE"""),0.04727)</f>
        <v>0.04727</v>
      </c>
      <c r="K2448" s="19" t="str">
        <f>IFERROR(__xludf.DUMMYFUNCTION("""COMPUTED_VALUE"""),"-")</f>
        <v>-</v>
      </c>
      <c r="L2448" s="19" t="str">
        <f>IFERROR(__xludf.DUMMYFUNCTION("""COMPUTED_VALUE"""),"-")</f>
        <v>-</v>
      </c>
      <c r="O2448" s="24">
        <f t="shared" si="4"/>
        <v>0</v>
      </c>
      <c r="P2448" s="24"/>
      <c r="Q2448" s="24">
        <f t="shared" si="6"/>
        <v>0</v>
      </c>
      <c r="R2448" s="24">
        <f t="shared" si="7"/>
        <v>0</v>
      </c>
      <c r="S2448" s="24"/>
      <c r="T2448" s="24"/>
    </row>
    <row r="2449">
      <c r="A2449" s="12" t="s">
        <v>2537</v>
      </c>
      <c r="F2449" s="19">
        <f>IFERROR(__xludf.DUMMYFUNCTION("SPLIT(A2445, "" |"")"),2443.0)</f>
        <v>2443</v>
      </c>
      <c r="G2449" s="19">
        <f>IFERROR(__xludf.DUMMYFUNCTION("""COMPUTED_VALUE"""),0.00219)</f>
        <v>0.00219</v>
      </c>
      <c r="H2449" s="19" t="str">
        <f>IFERROR(__xludf.DUMMYFUNCTION("""COMPUTED_VALUE"""),"-")</f>
        <v>-</v>
      </c>
      <c r="I2449" s="19">
        <f>IFERROR(__xludf.DUMMYFUNCTION("""COMPUTED_VALUE"""),0.00207)</f>
        <v>0.00207</v>
      </c>
      <c r="J2449" s="19">
        <f>IFERROR(__xludf.DUMMYFUNCTION("""COMPUTED_VALUE"""),0.04696)</f>
        <v>0.04696</v>
      </c>
      <c r="K2449" s="19" t="str">
        <f>IFERROR(__xludf.DUMMYFUNCTION("""COMPUTED_VALUE"""),"-")</f>
        <v>-</v>
      </c>
      <c r="L2449" s="19" t="str">
        <f>IFERROR(__xludf.DUMMYFUNCTION("""COMPUTED_VALUE"""),"-")</f>
        <v>-</v>
      </c>
      <c r="O2449" s="24">
        <f t="shared" si="4"/>
        <v>0</v>
      </c>
      <c r="P2449" s="24"/>
      <c r="Q2449" s="24">
        <f t="shared" si="6"/>
        <v>0</v>
      </c>
      <c r="R2449" s="24">
        <f t="shared" si="7"/>
        <v>0</v>
      </c>
      <c r="S2449" s="24"/>
      <c r="T2449" s="24"/>
    </row>
    <row r="2450">
      <c r="A2450" s="12" t="s">
        <v>2538</v>
      </c>
      <c r="F2450" s="19">
        <f>IFERROR(__xludf.DUMMYFUNCTION("SPLIT(A2446, "" |"")"),2444.0)</f>
        <v>2444</v>
      </c>
      <c r="G2450" s="19">
        <f>IFERROR(__xludf.DUMMYFUNCTION("""COMPUTED_VALUE"""),0.00223)</f>
        <v>0.00223</v>
      </c>
      <c r="H2450" s="19" t="str">
        <f>IFERROR(__xludf.DUMMYFUNCTION("""COMPUTED_VALUE"""),"-")</f>
        <v>-</v>
      </c>
      <c r="I2450" s="19">
        <f>IFERROR(__xludf.DUMMYFUNCTION("""COMPUTED_VALUE"""),0.00217)</f>
        <v>0.00217</v>
      </c>
      <c r="J2450" s="19">
        <f>IFERROR(__xludf.DUMMYFUNCTION("""COMPUTED_VALUE"""),0.04332)</f>
        <v>0.04332</v>
      </c>
      <c r="K2450" s="19" t="str">
        <f>IFERROR(__xludf.DUMMYFUNCTION("""COMPUTED_VALUE"""),"-")</f>
        <v>-</v>
      </c>
      <c r="L2450" s="19" t="str">
        <f>IFERROR(__xludf.DUMMYFUNCTION("""COMPUTED_VALUE"""),"-")</f>
        <v>-</v>
      </c>
      <c r="O2450" s="24">
        <f t="shared" si="4"/>
        <v>0</v>
      </c>
      <c r="P2450" s="24"/>
      <c r="Q2450" s="24">
        <f t="shared" si="6"/>
        <v>0</v>
      </c>
      <c r="R2450" s="24">
        <f t="shared" si="7"/>
        <v>1</v>
      </c>
      <c r="S2450" s="24"/>
      <c r="T2450" s="24"/>
    </row>
    <row r="2451">
      <c r="A2451" s="12" t="s">
        <v>2539</v>
      </c>
      <c r="F2451" s="19">
        <f>IFERROR(__xludf.DUMMYFUNCTION("SPLIT(A2447, "" |"")"),2445.0)</f>
        <v>2445</v>
      </c>
      <c r="G2451" s="19">
        <f>IFERROR(__xludf.DUMMYFUNCTION("""COMPUTED_VALUE"""),0.0022)</f>
        <v>0.0022</v>
      </c>
      <c r="H2451" s="19" t="str">
        <f>IFERROR(__xludf.DUMMYFUNCTION("""COMPUTED_VALUE"""),"-")</f>
        <v>-</v>
      </c>
      <c r="I2451" s="19">
        <f>IFERROR(__xludf.DUMMYFUNCTION("""COMPUTED_VALUE"""),0.00207)</f>
        <v>0.00207</v>
      </c>
      <c r="J2451" s="19">
        <f>IFERROR(__xludf.DUMMYFUNCTION("""COMPUTED_VALUE"""),0.04726)</f>
        <v>0.04726</v>
      </c>
      <c r="K2451" s="19" t="str">
        <f>IFERROR(__xludf.DUMMYFUNCTION("""COMPUTED_VALUE"""),"-")</f>
        <v>-</v>
      </c>
      <c r="L2451" s="19" t="str">
        <f>IFERROR(__xludf.DUMMYFUNCTION("""COMPUTED_VALUE"""),"-")</f>
        <v>-</v>
      </c>
      <c r="O2451" s="24">
        <f t="shared" si="4"/>
        <v>0</v>
      </c>
      <c r="P2451" s="24"/>
      <c r="Q2451" s="24">
        <f t="shared" si="6"/>
        <v>0</v>
      </c>
      <c r="R2451" s="24">
        <f t="shared" si="7"/>
        <v>0</v>
      </c>
      <c r="S2451" s="24"/>
      <c r="T2451" s="24"/>
    </row>
    <row r="2452">
      <c r="A2452" s="12" t="s">
        <v>2540</v>
      </c>
      <c r="F2452" s="19">
        <f>IFERROR(__xludf.DUMMYFUNCTION("SPLIT(A2448, "" |"")"),2446.0)</f>
        <v>2446</v>
      </c>
      <c r="G2452" s="19">
        <f>IFERROR(__xludf.DUMMYFUNCTION("""COMPUTED_VALUE"""),0.00225)</f>
        <v>0.00225</v>
      </c>
      <c r="H2452" s="19" t="str">
        <f>IFERROR(__xludf.DUMMYFUNCTION("""COMPUTED_VALUE"""),"-")</f>
        <v>-</v>
      </c>
      <c r="I2452" s="19">
        <f>IFERROR(__xludf.DUMMYFUNCTION("""COMPUTED_VALUE"""),0.0021)</f>
        <v>0.0021</v>
      </c>
      <c r="J2452" s="19">
        <f>IFERROR(__xludf.DUMMYFUNCTION("""COMPUTED_VALUE"""),0.0473)</f>
        <v>0.0473</v>
      </c>
      <c r="K2452" s="19" t="str">
        <f>IFERROR(__xludf.DUMMYFUNCTION("""COMPUTED_VALUE"""),"-")</f>
        <v>-</v>
      </c>
      <c r="L2452" s="19" t="str">
        <f>IFERROR(__xludf.DUMMYFUNCTION("""COMPUTED_VALUE"""),"-")</f>
        <v>-</v>
      </c>
      <c r="O2452" s="24">
        <f t="shared" si="4"/>
        <v>0</v>
      </c>
      <c r="P2452" s="24"/>
      <c r="Q2452" s="24">
        <f t="shared" si="6"/>
        <v>0</v>
      </c>
      <c r="R2452" s="24">
        <f t="shared" si="7"/>
        <v>0</v>
      </c>
      <c r="S2452" s="24"/>
      <c r="T2452" s="24"/>
    </row>
    <row r="2453">
      <c r="A2453" s="12" t="s">
        <v>2541</v>
      </c>
      <c r="F2453" s="19">
        <f>IFERROR(__xludf.DUMMYFUNCTION("SPLIT(A2449, "" |"")"),2447.0)</f>
        <v>2447</v>
      </c>
      <c r="G2453" s="19">
        <f>IFERROR(__xludf.DUMMYFUNCTION("""COMPUTED_VALUE"""),0.00221)</f>
        <v>0.00221</v>
      </c>
      <c r="H2453" s="19" t="str">
        <f>IFERROR(__xludf.DUMMYFUNCTION("""COMPUTED_VALUE"""),"-")</f>
        <v>-</v>
      </c>
      <c r="I2453" s="19">
        <f>IFERROR(__xludf.DUMMYFUNCTION("""COMPUTED_VALUE"""),0.00211)</f>
        <v>0.00211</v>
      </c>
      <c r="J2453" s="19">
        <f>IFERROR(__xludf.DUMMYFUNCTION("""COMPUTED_VALUE"""),0.04733)</f>
        <v>0.04733</v>
      </c>
      <c r="K2453" s="19" t="str">
        <f>IFERROR(__xludf.DUMMYFUNCTION("""COMPUTED_VALUE"""),"-")</f>
        <v>-</v>
      </c>
      <c r="L2453" s="19" t="str">
        <f>IFERROR(__xludf.DUMMYFUNCTION("""COMPUTED_VALUE"""),"-")</f>
        <v>-</v>
      </c>
      <c r="O2453" s="24">
        <f t="shared" si="4"/>
        <v>0</v>
      </c>
      <c r="P2453" s="24"/>
      <c r="Q2453" s="24">
        <f t="shared" si="6"/>
        <v>0</v>
      </c>
      <c r="R2453" s="24">
        <f t="shared" si="7"/>
        <v>0</v>
      </c>
      <c r="S2453" s="24"/>
      <c r="T2453" s="24"/>
    </row>
    <row r="2454">
      <c r="A2454" s="12" t="s">
        <v>2542</v>
      </c>
      <c r="F2454" s="19">
        <f>IFERROR(__xludf.DUMMYFUNCTION("SPLIT(A2450, "" |"")"),2448.0)</f>
        <v>2448</v>
      </c>
      <c r="G2454" s="19">
        <f>IFERROR(__xludf.DUMMYFUNCTION("""COMPUTED_VALUE"""),0.00222)</f>
        <v>0.00222</v>
      </c>
      <c r="H2454" s="19" t="str">
        <f>IFERROR(__xludf.DUMMYFUNCTION("""COMPUTED_VALUE"""),"-")</f>
        <v>-</v>
      </c>
      <c r="I2454" s="19">
        <f>IFERROR(__xludf.DUMMYFUNCTION("""COMPUTED_VALUE"""),0.00208)</f>
        <v>0.00208</v>
      </c>
      <c r="J2454" s="19">
        <f>IFERROR(__xludf.DUMMYFUNCTION("""COMPUTED_VALUE"""),0.04726)</f>
        <v>0.04726</v>
      </c>
      <c r="K2454" s="19" t="str">
        <f>IFERROR(__xludf.DUMMYFUNCTION("""COMPUTED_VALUE"""),"-")</f>
        <v>-</v>
      </c>
      <c r="L2454" s="19" t="str">
        <f>IFERROR(__xludf.DUMMYFUNCTION("""COMPUTED_VALUE"""),"-")</f>
        <v>-</v>
      </c>
      <c r="O2454" s="24">
        <f t="shared" si="4"/>
        <v>0</v>
      </c>
      <c r="P2454" s="24"/>
      <c r="Q2454" s="24">
        <f t="shared" si="6"/>
        <v>0</v>
      </c>
      <c r="R2454" s="24">
        <f t="shared" si="7"/>
        <v>0</v>
      </c>
      <c r="S2454" s="24"/>
      <c r="T2454" s="24"/>
    </row>
    <row r="2455">
      <c r="A2455" s="12" t="s">
        <v>2543</v>
      </c>
      <c r="F2455" s="19">
        <f>IFERROR(__xludf.DUMMYFUNCTION("SPLIT(A2451, "" |"")"),2449.0)</f>
        <v>2449</v>
      </c>
      <c r="G2455" s="19">
        <f>IFERROR(__xludf.DUMMYFUNCTION("""COMPUTED_VALUE"""),0.00219)</f>
        <v>0.00219</v>
      </c>
      <c r="H2455" s="19" t="str">
        <f>IFERROR(__xludf.DUMMYFUNCTION("""COMPUTED_VALUE"""),"-")</f>
        <v>-</v>
      </c>
      <c r="I2455" s="19">
        <f>IFERROR(__xludf.DUMMYFUNCTION("""COMPUTED_VALUE"""),0.00207)</f>
        <v>0.00207</v>
      </c>
      <c r="J2455" s="19">
        <f>IFERROR(__xludf.DUMMYFUNCTION("""COMPUTED_VALUE"""),0.04729)</f>
        <v>0.04729</v>
      </c>
      <c r="K2455" s="19" t="str">
        <f>IFERROR(__xludf.DUMMYFUNCTION("""COMPUTED_VALUE"""),"-")</f>
        <v>-</v>
      </c>
      <c r="L2455" s="19" t="str">
        <f>IFERROR(__xludf.DUMMYFUNCTION("""COMPUTED_VALUE"""),"-")</f>
        <v>-</v>
      </c>
      <c r="O2455" s="24">
        <f t="shared" si="4"/>
        <v>0</v>
      </c>
      <c r="P2455" s="24"/>
      <c r="Q2455" s="24">
        <f t="shared" si="6"/>
        <v>0</v>
      </c>
      <c r="R2455" s="24">
        <f t="shared" si="7"/>
        <v>0</v>
      </c>
      <c r="S2455" s="24"/>
      <c r="T2455" s="24"/>
    </row>
    <row r="2456">
      <c r="A2456" s="12" t="s">
        <v>2544</v>
      </c>
      <c r="F2456" s="19">
        <f>IFERROR(__xludf.DUMMYFUNCTION("SPLIT(A2452, "" |"")"),2450.0)</f>
        <v>2450</v>
      </c>
      <c r="G2456" s="19">
        <f>IFERROR(__xludf.DUMMYFUNCTION("""COMPUTED_VALUE"""),0.00235)</f>
        <v>0.00235</v>
      </c>
      <c r="H2456" s="19" t="str">
        <f>IFERROR(__xludf.DUMMYFUNCTION("""COMPUTED_VALUE"""),"-")</f>
        <v>-</v>
      </c>
      <c r="I2456" s="19">
        <f>IFERROR(__xludf.DUMMYFUNCTION("""COMPUTED_VALUE"""),0.00213)</f>
        <v>0.00213</v>
      </c>
      <c r="J2456" s="19">
        <f>IFERROR(__xludf.DUMMYFUNCTION("""COMPUTED_VALUE"""),0.04365)</f>
        <v>0.04365</v>
      </c>
      <c r="K2456" s="19" t="str">
        <f>IFERROR(__xludf.DUMMYFUNCTION("""COMPUTED_VALUE"""),"-")</f>
        <v>-</v>
      </c>
      <c r="L2456" s="19" t="str">
        <f>IFERROR(__xludf.DUMMYFUNCTION("""COMPUTED_VALUE"""),"-")</f>
        <v>-</v>
      </c>
      <c r="O2456" s="24">
        <f t="shared" si="4"/>
        <v>0</v>
      </c>
      <c r="P2456" s="24"/>
      <c r="Q2456" s="24">
        <f t="shared" si="6"/>
        <v>0</v>
      </c>
      <c r="R2456" s="24">
        <f t="shared" si="7"/>
        <v>1</v>
      </c>
      <c r="S2456" s="24"/>
      <c r="T2456" s="24"/>
    </row>
    <row r="2457">
      <c r="A2457" s="12" t="s">
        <v>2545</v>
      </c>
      <c r="F2457" s="19">
        <f>IFERROR(__xludf.DUMMYFUNCTION("SPLIT(A2453, "" |"")"),2451.0)</f>
        <v>2451</v>
      </c>
      <c r="G2457" s="19">
        <f>IFERROR(__xludf.DUMMYFUNCTION("""COMPUTED_VALUE"""),0.00226)</f>
        <v>0.00226</v>
      </c>
      <c r="H2457" s="19" t="str">
        <f>IFERROR(__xludf.DUMMYFUNCTION("""COMPUTED_VALUE"""),"-")</f>
        <v>-</v>
      </c>
      <c r="I2457" s="19">
        <f>IFERROR(__xludf.DUMMYFUNCTION("""COMPUTED_VALUE"""),0.00209)</f>
        <v>0.00209</v>
      </c>
      <c r="J2457" s="19">
        <f>IFERROR(__xludf.DUMMYFUNCTION("""COMPUTED_VALUE"""),0.03982)</f>
        <v>0.03982</v>
      </c>
      <c r="K2457" s="19" t="str">
        <f>IFERROR(__xludf.DUMMYFUNCTION("""COMPUTED_VALUE"""),"-")</f>
        <v>-</v>
      </c>
      <c r="L2457" s="19" t="str">
        <f>IFERROR(__xludf.DUMMYFUNCTION("""COMPUTED_VALUE"""),"-")</f>
        <v>-</v>
      </c>
      <c r="O2457" s="24">
        <f t="shared" si="4"/>
        <v>0</v>
      </c>
      <c r="P2457" s="24"/>
      <c r="Q2457" s="24">
        <f t="shared" si="6"/>
        <v>0</v>
      </c>
      <c r="R2457" s="24">
        <f t="shared" si="7"/>
        <v>1</v>
      </c>
      <c r="S2457" s="24"/>
      <c r="T2457" s="24"/>
    </row>
    <row r="2458">
      <c r="A2458" s="12" t="s">
        <v>2546</v>
      </c>
      <c r="F2458" s="19">
        <f>IFERROR(__xludf.DUMMYFUNCTION("SPLIT(A2454, "" |"")"),2452.0)</f>
        <v>2452</v>
      </c>
      <c r="G2458" s="19">
        <f>IFERROR(__xludf.DUMMYFUNCTION("""COMPUTED_VALUE"""),0.0022)</f>
        <v>0.0022</v>
      </c>
      <c r="H2458" s="19" t="str">
        <f>IFERROR(__xludf.DUMMYFUNCTION("""COMPUTED_VALUE"""),"-")</f>
        <v>-</v>
      </c>
      <c r="I2458" s="19">
        <f>IFERROR(__xludf.DUMMYFUNCTION("""COMPUTED_VALUE"""),0.0021)</f>
        <v>0.0021</v>
      </c>
      <c r="J2458" s="19">
        <f>IFERROR(__xludf.DUMMYFUNCTION("""COMPUTED_VALUE"""),0.04726)</f>
        <v>0.04726</v>
      </c>
      <c r="K2458" s="19" t="str">
        <f>IFERROR(__xludf.DUMMYFUNCTION("""COMPUTED_VALUE"""),"-")</f>
        <v>-</v>
      </c>
      <c r="L2458" s="19" t="str">
        <f>IFERROR(__xludf.DUMMYFUNCTION("""COMPUTED_VALUE"""),"-")</f>
        <v>-</v>
      </c>
      <c r="O2458" s="24">
        <f t="shared" si="4"/>
        <v>0</v>
      </c>
      <c r="P2458" s="24"/>
      <c r="Q2458" s="24">
        <f t="shared" si="6"/>
        <v>0</v>
      </c>
      <c r="R2458" s="24">
        <f t="shared" si="7"/>
        <v>0</v>
      </c>
      <c r="S2458" s="24"/>
      <c r="T2458" s="24"/>
    </row>
    <row r="2459">
      <c r="A2459" s="12" t="s">
        <v>2547</v>
      </c>
      <c r="F2459" s="19">
        <f>IFERROR(__xludf.DUMMYFUNCTION("SPLIT(A2455, "" |"")"),2453.0)</f>
        <v>2453</v>
      </c>
      <c r="G2459" s="19">
        <f>IFERROR(__xludf.DUMMYFUNCTION("""COMPUTED_VALUE"""),0.00227)</f>
        <v>0.00227</v>
      </c>
      <c r="H2459" s="19" t="str">
        <f>IFERROR(__xludf.DUMMYFUNCTION("""COMPUTED_VALUE"""),"-")</f>
        <v>-</v>
      </c>
      <c r="I2459" s="19">
        <f>IFERROR(__xludf.DUMMYFUNCTION("""COMPUTED_VALUE"""),0.00211)</f>
        <v>0.00211</v>
      </c>
      <c r="J2459" s="19">
        <f>IFERROR(__xludf.DUMMYFUNCTION("""COMPUTED_VALUE"""),0.04732)</f>
        <v>0.04732</v>
      </c>
      <c r="K2459" s="19" t="str">
        <f>IFERROR(__xludf.DUMMYFUNCTION("""COMPUTED_VALUE"""),"-")</f>
        <v>-</v>
      </c>
      <c r="L2459" s="19" t="str">
        <f>IFERROR(__xludf.DUMMYFUNCTION("""COMPUTED_VALUE"""),"-")</f>
        <v>-</v>
      </c>
      <c r="O2459" s="24">
        <f t="shared" si="4"/>
        <v>0</v>
      </c>
      <c r="P2459" s="24"/>
      <c r="Q2459" s="24">
        <f t="shared" si="6"/>
        <v>0</v>
      </c>
      <c r="R2459" s="24">
        <f t="shared" si="7"/>
        <v>0</v>
      </c>
      <c r="S2459" s="24"/>
      <c r="T2459" s="24"/>
    </row>
    <row r="2460">
      <c r="A2460" s="12" t="s">
        <v>2548</v>
      </c>
      <c r="F2460" s="19">
        <f>IFERROR(__xludf.DUMMYFUNCTION("SPLIT(A2456, "" |"")"),2454.0)</f>
        <v>2454</v>
      </c>
      <c r="G2460" s="19">
        <f>IFERROR(__xludf.DUMMYFUNCTION("""COMPUTED_VALUE"""),0.00224)</f>
        <v>0.00224</v>
      </c>
      <c r="H2460" s="19" t="str">
        <f>IFERROR(__xludf.DUMMYFUNCTION("""COMPUTED_VALUE"""),"-")</f>
        <v>-</v>
      </c>
      <c r="I2460" s="19">
        <f>IFERROR(__xludf.DUMMYFUNCTION("""COMPUTED_VALUE"""),0.0021)</f>
        <v>0.0021</v>
      </c>
      <c r="J2460" s="19">
        <f>IFERROR(__xludf.DUMMYFUNCTION("""COMPUTED_VALUE"""),0.04731)</f>
        <v>0.04731</v>
      </c>
      <c r="K2460" s="19" t="str">
        <f>IFERROR(__xludf.DUMMYFUNCTION("""COMPUTED_VALUE"""),"-")</f>
        <v>-</v>
      </c>
      <c r="L2460" s="19" t="str">
        <f>IFERROR(__xludf.DUMMYFUNCTION("""COMPUTED_VALUE"""),"-")</f>
        <v>-</v>
      </c>
      <c r="O2460" s="24">
        <f t="shared" si="4"/>
        <v>0</v>
      </c>
      <c r="P2460" s="24"/>
      <c r="Q2460" s="24">
        <f t="shared" si="6"/>
        <v>0</v>
      </c>
      <c r="R2460" s="24">
        <f t="shared" si="7"/>
        <v>0</v>
      </c>
      <c r="S2460" s="24"/>
      <c r="T2460" s="24"/>
    </row>
    <row r="2461">
      <c r="A2461" s="12" t="s">
        <v>2549</v>
      </c>
      <c r="F2461" s="19">
        <f>IFERROR(__xludf.DUMMYFUNCTION("SPLIT(A2457, "" |"")"),2455.0)</f>
        <v>2455</v>
      </c>
      <c r="G2461" s="19">
        <f>IFERROR(__xludf.DUMMYFUNCTION("""COMPUTED_VALUE"""),0.00224)</f>
        <v>0.00224</v>
      </c>
      <c r="H2461" s="19" t="str">
        <f>IFERROR(__xludf.DUMMYFUNCTION("""COMPUTED_VALUE"""),"-")</f>
        <v>-</v>
      </c>
      <c r="I2461" s="19">
        <f>IFERROR(__xludf.DUMMYFUNCTION("""COMPUTED_VALUE"""),0.00207)</f>
        <v>0.00207</v>
      </c>
      <c r="J2461" s="19">
        <f>IFERROR(__xludf.DUMMYFUNCTION("""COMPUTED_VALUE"""),0.04725)</f>
        <v>0.04725</v>
      </c>
      <c r="K2461" s="19" t="str">
        <f>IFERROR(__xludf.DUMMYFUNCTION("""COMPUTED_VALUE"""),"-")</f>
        <v>-</v>
      </c>
      <c r="L2461" s="19" t="str">
        <f>IFERROR(__xludf.DUMMYFUNCTION("""COMPUTED_VALUE"""),"-")</f>
        <v>-</v>
      </c>
      <c r="O2461" s="24">
        <f t="shared" si="4"/>
        <v>0</v>
      </c>
      <c r="P2461" s="24"/>
      <c r="Q2461" s="24">
        <f t="shared" si="6"/>
        <v>0</v>
      </c>
      <c r="R2461" s="24">
        <f t="shared" si="7"/>
        <v>0</v>
      </c>
      <c r="S2461" s="24"/>
      <c r="T2461" s="24"/>
    </row>
    <row r="2462">
      <c r="A2462" s="12" t="s">
        <v>2550</v>
      </c>
      <c r="F2462" s="19">
        <f>IFERROR(__xludf.DUMMYFUNCTION("SPLIT(A2458, "" |"")"),2456.0)</f>
        <v>2456</v>
      </c>
      <c r="G2462" s="19">
        <f>IFERROR(__xludf.DUMMYFUNCTION("""COMPUTED_VALUE"""),0.00217)</f>
        <v>0.00217</v>
      </c>
      <c r="H2462" s="19" t="str">
        <f>IFERROR(__xludf.DUMMYFUNCTION("""COMPUTED_VALUE"""),"-")</f>
        <v>-</v>
      </c>
      <c r="I2462" s="19">
        <f>IFERROR(__xludf.DUMMYFUNCTION("""COMPUTED_VALUE"""),0.00208)</f>
        <v>0.00208</v>
      </c>
      <c r="J2462" s="19">
        <f>IFERROR(__xludf.DUMMYFUNCTION("""COMPUTED_VALUE"""),0.04556)</f>
        <v>0.04556</v>
      </c>
      <c r="K2462" s="19" t="str">
        <f>IFERROR(__xludf.DUMMYFUNCTION("""COMPUTED_VALUE"""),"-")</f>
        <v>-</v>
      </c>
      <c r="L2462" s="19" t="str">
        <f>IFERROR(__xludf.DUMMYFUNCTION("""COMPUTED_VALUE"""),"-")</f>
        <v>-</v>
      </c>
      <c r="O2462" s="24">
        <f t="shared" si="4"/>
        <v>0</v>
      </c>
      <c r="P2462" s="24"/>
      <c r="Q2462" s="24">
        <f t="shared" si="6"/>
        <v>0</v>
      </c>
      <c r="R2462" s="24">
        <f t="shared" si="7"/>
        <v>0</v>
      </c>
      <c r="S2462" s="24"/>
      <c r="T2462" s="24"/>
    </row>
    <row r="2463">
      <c r="A2463" s="12" t="s">
        <v>2551</v>
      </c>
      <c r="F2463" s="19">
        <f>IFERROR(__xludf.DUMMYFUNCTION("SPLIT(A2459, "" |"")"),2457.0)</f>
        <v>2457</v>
      </c>
      <c r="G2463" s="19">
        <f>IFERROR(__xludf.DUMMYFUNCTION("""COMPUTED_VALUE"""),0.0022)</f>
        <v>0.0022</v>
      </c>
      <c r="H2463" s="19" t="str">
        <f>IFERROR(__xludf.DUMMYFUNCTION("""COMPUTED_VALUE"""),"-")</f>
        <v>-</v>
      </c>
      <c r="I2463" s="19">
        <f>IFERROR(__xludf.DUMMYFUNCTION("""COMPUTED_VALUE"""),0.00209)</f>
        <v>0.00209</v>
      </c>
      <c r="J2463" s="19">
        <f>IFERROR(__xludf.DUMMYFUNCTION("""COMPUTED_VALUE"""),0.04727)</f>
        <v>0.04727</v>
      </c>
      <c r="K2463" s="19" t="str">
        <f>IFERROR(__xludf.DUMMYFUNCTION("""COMPUTED_VALUE"""),"-")</f>
        <v>-</v>
      </c>
      <c r="L2463" s="19" t="str">
        <f>IFERROR(__xludf.DUMMYFUNCTION("""COMPUTED_VALUE"""),"-")</f>
        <v>-</v>
      </c>
      <c r="O2463" s="24">
        <f t="shared" si="4"/>
        <v>0</v>
      </c>
      <c r="P2463" s="24"/>
      <c r="Q2463" s="24">
        <f t="shared" si="6"/>
        <v>0</v>
      </c>
      <c r="R2463" s="24">
        <f t="shared" si="7"/>
        <v>0</v>
      </c>
      <c r="S2463" s="24"/>
      <c r="T2463" s="24"/>
    </row>
    <row r="2464">
      <c r="A2464" s="12" t="s">
        <v>2552</v>
      </c>
      <c r="F2464" s="19">
        <f>IFERROR(__xludf.DUMMYFUNCTION("SPLIT(A2460, "" |"")"),2458.0)</f>
        <v>2458</v>
      </c>
      <c r="G2464" s="19">
        <f>IFERROR(__xludf.DUMMYFUNCTION("""COMPUTED_VALUE"""),0.00218)</f>
        <v>0.00218</v>
      </c>
      <c r="H2464" s="19" t="str">
        <f>IFERROR(__xludf.DUMMYFUNCTION("""COMPUTED_VALUE"""),"-")</f>
        <v>-</v>
      </c>
      <c r="I2464" s="19">
        <f>IFERROR(__xludf.DUMMYFUNCTION("""COMPUTED_VALUE"""),0.00211)</f>
        <v>0.00211</v>
      </c>
      <c r="J2464" s="19">
        <f>IFERROR(__xludf.DUMMYFUNCTION("""COMPUTED_VALUE"""),0.04733)</f>
        <v>0.04733</v>
      </c>
      <c r="K2464" s="19" t="str">
        <f>IFERROR(__xludf.DUMMYFUNCTION("""COMPUTED_VALUE"""),"-")</f>
        <v>-</v>
      </c>
      <c r="L2464" s="19" t="str">
        <f>IFERROR(__xludf.DUMMYFUNCTION("""COMPUTED_VALUE"""),"-")</f>
        <v>-</v>
      </c>
      <c r="O2464" s="24">
        <f t="shared" si="4"/>
        <v>0</v>
      </c>
      <c r="P2464" s="24"/>
      <c r="Q2464" s="24">
        <f t="shared" si="6"/>
        <v>0</v>
      </c>
      <c r="R2464" s="24">
        <f t="shared" si="7"/>
        <v>0</v>
      </c>
      <c r="S2464" s="24"/>
      <c r="T2464" s="24"/>
    </row>
    <row r="2465">
      <c r="A2465" s="12" t="s">
        <v>2553</v>
      </c>
      <c r="F2465" s="19">
        <f>IFERROR(__xludf.DUMMYFUNCTION("SPLIT(A2461, "" |"")"),2459.0)</f>
        <v>2459</v>
      </c>
      <c r="G2465" s="19">
        <f>IFERROR(__xludf.DUMMYFUNCTION("""COMPUTED_VALUE"""),0.0022)</f>
        <v>0.0022</v>
      </c>
      <c r="H2465" s="19" t="str">
        <f>IFERROR(__xludf.DUMMYFUNCTION("""COMPUTED_VALUE"""),"-")</f>
        <v>-</v>
      </c>
      <c r="I2465" s="19">
        <f>IFERROR(__xludf.DUMMYFUNCTION("""COMPUTED_VALUE"""),0.00208)</f>
        <v>0.00208</v>
      </c>
      <c r="J2465" s="19">
        <f>IFERROR(__xludf.DUMMYFUNCTION("""COMPUTED_VALUE"""),0.04682)</f>
        <v>0.04682</v>
      </c>
      <c r="K2465" s="19" t="str">
        <f>IFERROR(__xludf.DUMMYFUNCTION("""COMPUTED_VALUE"""),"-")</f>
        <v>-</v>
      </c>
      <c r="L2465" s="19" t="str">
        <f>IFERROR(__xludf.DUMMYFUNCTION("""COMPUTED_VALUE"""),"-")</f>
        <v>-</v>
      </c>
      <c r="O2465" s="24">
        <f t="shared" si="4"/>
        <v>0</v>
      </c>
      <c r="P2465" s="24"/>
      <c r="Q2465" s="24">
        <f t="shared" si="6"/>
        <v>0</v>
      </c>
      <c r="R2465" s="24">
        <f t="shared" si="7"/>
        <v>0</v>
      </c>
      <c r="S2465" s="24"/>
      <c r="T2465" s="24"/>
    </row>
    <row r="2466">
      <c r="A2466" s="12" t="s">
        <v>2554</v>
      </c>
      <c r="F2466" s="19">
        <f>IFERROR(__xludf.DUMMYFUNCTION("SPLIT(A2462, "" |"")"),2460.0)</f>
        <v>2460</v>
      </c>
      <c r="G2466" s="19">
        <f>IFERROR(__xludf.DUMMYFUNCTION("""COMPUTED_VALUE"""),0.00222)</f>
        <v>0.00222</v>
      </c>
      <c r="H2466" s="19" t="str">
        <f>IFERROR(__xludf.DUMMYFUNCTION("""COMPUTED_VALUE"""),"-")</f>
        <v>-</v>
      </c>
      <c r="I2466" s="19">
        <f>IFERROR(__xludf.DUMMYFUNCTION("""COMPUTED_VALUE"""),0.00208)</f>
        <v>0.00208</v>
      </c>
      <c r="J2466" s="19">
        <f>IFERROR(__xludf.DUMMYFUNCTION("""COMPUTED_VALUE"""),0.04727)</f>
        <v>0.04727</v>
      </c>
      <c r="K2466" s="19" t="str">
        <f>IFERROR(__xludf.DUMMYFUNCTION("""COMPUTED_VALUE"""),"-")</f>
        <v>-</v>
      </c>
      <c r="L2466" s="19" t="str">
        <f>IFERROR(__xludf.DUMMYFUNCTION("""COMPUTED_VALUE"""),"-")</f>
        <v>-</v>
      </c>
      <c r="O2466" s="24">
        <f t="shared" si="4"/>
        <v>0</v>
      </c>
      <c r="P2466" s="24"/>
      <c r="Q2466" s="24">
        <f t="shared" si="6"/>
        <v>0</v>
      </c>
      <c r="R2466" s="24">
        <f t="shared" si="7"/>
        <v>0</v>
      </c>
      <c r="S2466" s="24"/>
      <c r="T2466" s="24"/>
    </row>
    <row r="2467">
      <c r="A2467" s="12" t="s">
        <v>2555</v>
      </c>
      <c r="F2467" s="19">
        <f>IFERROR(__xludf.DUMMYFUNCTION("SPLIT(A2463, "" |"")"),2461.0)</f>
        <v>2461</v>
      </c>
      <c r="G2467" s="19">
        <f>IFERROR(__xludf.DUMMYFUNCTION("""COMPUTED_VALUE"""),0.00222)</f>
        <v>0.00222</v>
      </c>
      <c r="H2467" s="19" t="str">
        <f>IFERROR(__xludf.DUMMYFUNCTION("""COMPUTED_VALUE"""),"-")</f>
        <v>-</v>
      </c>
      <c r="I2467" s="19">
        <f>IFERROR(__xludf.DUMMYFUNCTION("""COMPUTED_VALUE"""),0.00209)</f>
        <v>0.00209</v>
      </c>
      <c r="J2467" s="19">
        <f>IFERROR(__xludf.DUMMYFUNCTION("""COMPUTED_VALUE"""),0.04129)</f>
        <v>0.04129</v>
      </c>
      <c r="K2467" s="19" t="str">
        <f>IFERROR(__xludf.DUMMYFUNCTION("""COMPUTED_VALUE"""),"-")</f>
        <v>-</v>
      </c>
      <c r="L2467" s="19" t="str">
        <f>IFERROR(__xludf.DUMMYFUNCTION("""COMPUTED_VALUE"""),"-")</f>
        <v>-</v>
      </c>
      <c r="O2467" s="24">
        <f t="shared" si="4"/>
        <v>0</v>
      </c>
      <c r="P2467" s="24"/>
      <c r="Q2467" s="24">
        <f t="shared" si="6"/>
        <v>0</v>
      </c>
      <c r="R2467" s="24">
        <f t="shared" si="7"/>
        <v>1</v>
      </c>
      <c r="S2467" s="24"/>
      <c r="T2467" s="24"/>
    </row>
    <row r="2468">
      <c r="A2468" s="12" t="s">
        <v>2556</v>
      </c>
      <c r="F2468" s="19">
        <f>IFERROR(__xludf.DUMMYFUNCTION("SPLIT(A2464, "" |"")"),2462.0)</f>
        <v>2462</v>
      </c>
      <c r="G2468" s="19">
        <f>IFERROR(__xludf.DUMMYFUNCTION("""COMPUTED_VALUE"""),0.00217)</f>
        <v>0.00217</v>
      </c>
      <c r="H2468" s="19" t="str">
        <f>IFERROR(__xludf.DUMMYFUNCTION("""COMPUTED_VALUE"""),"-")</f>
        <v>-</v>
      </c>
      <c r="I2468" s="19">
        <f>IFERROR(__xludf.DUMMYFUNCTION("""COMPUTED_VALUE"""),0.00212)</f>
        <v>0.00212</v>
      </c>
      <c r="J2468" s="19">
        <f>IFERROR(__xludf.DUMMYFUNCTION("""COMPUTED_VALUE"""),0.04724)</f>
        <v>0.04724</v>
      </c>
      <c r="K2468" s="19" t="str">
        <f>IFERROR(__xludf.DUMMYFUNCTION("""COMPUTED_VALUE"""),"-")</f>
        <v>-</v>
      </c>
      <c r="L2468" s="19" t="str">
        <f>IFERROR(__xludf.DUMMYFUNCTION("""COMPUTED_VALUE"""),"-")</f>
        <v>-</v>
      </c>
      <c r="O2468" s="24">
        <f t="shared" si="4"/>
        <v>0</v>
      </c>
      <c r="P2468" s="24"/>
      <c r="Q2468" s="24">
        <f t="shared" si="6"/>
        <v>0</v>
      </c>
      <c r="R2468" s="24">
        <f t="shared" si="7"/>
        <v>0</v>
      </c>
      <c r="S2468" s="24"/>
      <c r="T2468" s="24"/>
    </row>
    <row r="2469">
      <c r="A2469" s="12" t="s">
        <v>2557</v>
      </c>
      <c r="F2469" s="19">
        <f>IFERROR(__xludf.DUMMYFUNCTION("SPLIT(A2465, "" |"")"),2463.0)</f>
        <v>2463</v>
      </c>
      <c r="G2469" s="19">
        <f>IFERROR(__xludf.DUMMYFUNCTION("""COMPUTED_VALUE"""),0.00234)</f>
        <v>0.00234</v>
      </c>
      <c r="H2469" s="19" t="str">
        <f>IFERROR(__xludf.DUMMYFUNCTION("""COMPUTED_VALUE"""),"-")</f>
        <v>-</v>
      </c>
      <c r="I2469" s="19">
        <f>IFERROR(__xludf.DUMMYFUNCTION("""COMPUTED_VALUE"""),0.00214)</f>
        <v>0.00214</v>
      </c>
      <c r="J2469" s="19">
        <f>IFERROR(__xludf.DUMMYFUNCTION("""COMPUTED_VALUE"""),0.04732)</f>
        <v>0.04732</v>
      </c>
      <c r="K2469" s="19" t="str">
        <f>IFERROR(__xludf.DUMMYFUNCTION("""COMPUTED_VALUE"""),"-")</f>
        <v>-</v>
      </c>
      <c r="L2469" s="19" t="str">
        <f>IFERROR(__xludf.DUMMYFUNCTION("""COMPUTED_VALUE"""),"-")</f>
        <v>-</v>
      </c>
      <c r="O2469" s="24">
        <f t="shared" si="4"/>
        <v>0</v>
      </c>
      <c r="P2469" s="24"/>
      <c r="Q2469" s="24">
        <f t="shared" si="6"/>
        <v>0</v>
      </c>
      <c r="R2469" s="24">
        <f t="shared" si="7"/>
        <v>0</v>
      </c>
      <c r="S2469" s="24"/>
      <c r="T2469" s="24"/>
    </row>
    <row r="2470">
      <c r="A2470" s="12" t="s">
        <v>2558</v>
      </c>
      <c r="F2470" s="19">
        <f>IFERROR(__xludf.DUMMYFUNCTION("SPLIT(A2466, "" |"")"),2464.0)</f>
        <v>2464</v>
      </c>
      <c r="G2470" s="19">
        <f>IFERROR(__xludf.DUMMYFUNCTION("""COMPUTED_VALUE"""),0.00222)</f>
        <v>0.00222</v>
      </c>
      <c r="H2470" s="19" t="str">
        <f>IFERROR(__xludf.DUMMYFUNCTION("""COMPUTED_VALUE"""),"-")</f>
        <v>-</v>
      </c>
      <c r="I2470" s="19">
        <f>IFERROR(__xludf.DUMMYFUNCTION("""COMPUTED_VALUE"""),0.0021)</f>
        <v>0.0021</v>
      </c>
      <c r="J2470" s="19">
        <f>IFERROR(__xludf.DUMMYFUNCTION("""COMPUTED_VALUE"""),0.0473)</f>
        <v>0.0473</v>
      </c>
      <c r="K2470" s="19" t="str">
        <f>IFERROR(__xludf.DUMMYFUNCTION("""COMPUTED_VALUE"""),"-")</f>
        <v>-</v>
      </c>
      <c r="L2470" s="19" t="str">
        <f>IFERROR(__xludf.DUMMYFUNCTION("""COMPUTED_VALUE"""),"-")</f>
        <v>-</v>
      </c>
      <c r="O2470" s="24">
        <f t="shared" si="4"/>
        <v>0</v>
      </c>
      <c r="P2470" s="24"/>
      <c r="Q2470" s="24">
        <f t="shared" si="6"/>
        <v>0</v>
      </c>
      <c r="R2470" s="24">
        <f t="shared" si="7"/>
        <v>0</v>
      </c>
      <c r="S2470" s="24"/>
      <c r="T2470" s="24"/>
    </row>
    <row r="2471">
      <c r="A2471" s="12" t="s">
        <v>2559</v>
      </c>
      <c r="F2471" s="19">
        <f>IFERROR(__xludf.DUMMYFUNCTION("SPLIT(A2467, "" |"")"),2465.0)</f>
        <v>2465</v>
      </c>
      <c r="G2471" s="19">
        <f>IFERROR(__xludf.DUMMYFUNCTION("""COMPUTED_VALUE"""),0.00223)</f>
        <v>0.00223</v>
      </c>
      <c r="H2471" s="19" t="str">
        <f>IFERROR(__xludf.DUMMYFUNCTION("""COMPUTED_VALUE"""),"-")</f>
        <v>-</v>
      </c>
      <c r="I2471" s="19">
        <f>IFERROR(__xludf.DUMMYFUNCTION("""COMPUTED_VALUE"""),0.0021)</f>
        <v>0.0021</v>
      </c>
      <c r="J2471" s="19">
        <f>IFERROR(__xludf.DUMMYFUNCTION("""COMPUTED_VALUE"""),0.04728)</f>
        <v>0.04728</v>
      </c>
      <c r="K2471" s="19" t="str">
        <f>IFERROR(__xludf.DUMMYFUNCTION("""COMPUTED_VALUE"""),"-")</f>
        <v>-</v>
      </c>
      <c r="L2471" s="19" t="str">
        <f>IFERROR(__xludf.DUMMYFUNCTION("""COMPUTED_VALUE"""),"-")</f>
        <v>-</v>
      </c>
      <c r="O2471" s="24">
        <f t="shared" si="4"/>
        <v>0</v>
      </c>
      <c r="P2471" s="24"/>
      <c r="Q2471" s="24">
        <f t="shared" si="6"/>
        <v>0</v>
      </c>
      <c r="R2471" s="24">
        <f t="shared" si="7"/>
        <v>0</v>
      </c>
      <c r="S2471" s="24"/>
      <c r="T2471" s="24"/>
    </row>
    <row r="2472">
      <c r="A2472" s="12" t="s">
        <v>2560</v>
      </c>
      <c r="F2472" s="19">
        <f>IFERROR(__xludf.DUMMYFUNCTION("SPLIT(A2468, "" |"")"),2466.0)</f>
        <v>2466</v>
      </c>
      <c r="G2472" s="19">
        <f>IFERROR(__xludf.DUMMYFUNCTION("""COMPUTED_VALUE"""),0.0022)</f>
        <v>0.0022</v>
      </c>
      <c r="H2472" s="19" t="str">
        <f>IFERROR(__xludf.DUMMYFUNCTION("""COMPUTED_VALUE"""),"-")</f>
        <v>-</v>
      </c>
      <c r="I2472" s="19">
        <f>IFERROR(__xludf.DUMMYFUNCTION("""COMPUTED_VALUE"""),0.00207)</f>
        <v>0.00207</v>
      </c>
      <c r="J2472" s="19">
        <f>IFERROR(__xludf.DUMMYFUNCTION("""COMPUTED_VALUE"""),0.04318)</f>
        <v>0.04318</v>
      </c>
      <c r="K2472" s="19" t="str">
        <f>IFERROR(__xludf.DUMMYFUNCTION("""COMPUTED_VALUE"""),"-")</f>
        <v>-</v>
      </c>
      <c r="L2472" s="19" t="str">
        <f>IFERROR(__xludf.DUMMYFUNCTION("""COMPUTED_VALUE"""),"-")</f>
        <v>-</v>
      </c>
      <c r="O2472" s="24">
        <f t="shared" si="4"/>
        <v>0</v>
      </c>
      <c r="P2472" s="24"/>
      <c r="Q2472" s="24">
        <f t="shared" si="6"/>
        <v>0</v>
      </c>
      <c r="R2472" s="24">
        <f t="shared" si="7"/>
        <v>1</v>
      </c>
      <c r="S2472" s="24"/>
      <c r="T2472" s="24"/>
    </row>
    <row r="2473">
      <c r="A2473" s="12" t="s">
        <v>2561</v>
      </c>
      <c r="F2473" s="19">
        <f>IFERROR(__xludf.DUMMYFUNCTION("SPLIT(A2469, "" |"")"),2467.0)</f>
        <v>2467</v>
      </c>
      <c r="G2473" s="19">
        <f>IFERROR(__xludf.DUMMYFUNCTION("""COMPUTED_VALUE"""),0.00231)</f>
        <v>0.00231</v>
      </c>
      <c r="H2473" s="19" t="str">
        <f>IFERROR(__xludf.DUMMYFUNCTION("""COMPUTED_VALUE"""),"-")</f>
        <v>-</v>
      </c>
      <c r="I2473" s="19">
        <f>IFERROR(__xludf.DUMMYFUNCTION("""COMPUTED_VALUE"""),0.0021)</f>
        <v>0.0021</v>
      </c>
      <c r="J2473" s="19">
        <f>IFERROR(__xludf.DUMMYFUNCTION("""COMPUTED_VALUE"""),0.04271)</f>
        <v>0.04271</v>
      </c>
      <c r="K2473" s="19" t="str">
        <f>IFERROR(__xludf.DUMMYFUNCTION("""COMPUTED_VALUE"""),"-")</f>
        <v>-</v>
      </c>
      <c r="L2473" s="19" t="str">
        <f>IFERROR(__xludf.DUMMYFUNCTION("""COMPUTED_VALUE"""),"-")</f>
        <v>-</v>
      </c>
      <c r="O2473" s="24">
        <f t="shared" si="4"/>
        <v>0</v>
      </c>
      <c r="P2473" s="24"/>
      <c r="Q2473" s="24">
        <f t="shared" si="6"/>
        <v>0</v>
      </c>
      <c r="R2473" s="24">
        <f t="shared" si="7"/>
        <v>1</v>
      </c>
      <c r="S2473" s="24"/>
      <c r="T2473" s="24"/>
    </row>
    <row r="2474">
      <c r="A2474" s="12" t="s">
        <v>2562</v>
      </c>
      <c r="F2474" s="19">
        <f>IFERROR(__xludf.DUMMYFUNCTION("SPLIT(A2470, "" |"")"),2468.0)</f>
        <v>2468</v>
      </c>
      <c r="G2474" s="19">
        <f>IFERROR(__xludf.DUMMYFUNCTION("""COMPUTED_VALUE"""),0.00223)</f>
        <v>0.00223</v>
      </c>
      <c r="H2474" s="19" t="str">
        <f>IFERROR(__xludf.DUMMYFUNCTION("""COMPUTED_VALUE"""),"-")</f>
        <v>-</v>
      </c>
      <c r="I2474" s="19">
        <f>IFERROR(__xludf.DUMMYFUNCTION("""COMPUTED_VALUE"""),0.00207)</f>
        <v>0.00207</v>
      </c>
      <c r="J2474" s="19">
        <f>IFERROR(__xludf.DUMMYFUNCTION("""COMPUTED_VALUE"""),0.04725)</f>
        <v>0.04725</v>
      </c>
      <c r="K2474" s="19" t="str">
        <f>IFERROR(__xludf.DUMMYFUNCTION("""COMPUTED_VALUE"""),"-")</f>
        <v>-</v>
      </c>
      <c r="L2474" s="19" t="str">
        <f>IFERROR(__xludf.DUMMYFUNCTION("""COMPUTED_VALUE"""),"-")</f>
        <v>-</v>
      </c>
      <c r="O2474" s="24">
        <f t="shared" si="4"/>
        <v>0</v>
      </c>
      <c r="P2474" s="24"/>
      <c r="Q2474" s="24">
        <f t="shared" si="6"/>
        <v>0</v>
      </c>
      <c r="R2474" s="24">
        <f t="shared" si="7"/>
        <v>0</v>
      </c>
      <c r="S2474" s="24"/>
      <c r="T2474" s="24"/>
    </row>
    <row r="2475">
      <c r="A2475" s="12" t="s">
        <v>2563</v>
      </c>
      <c r="F2475" s="19">
        <f>IFERROR(__xludf.DUMMYFUNCTION("SPLIT(A2471, "" |"")"),2469.0)</f>
        <v>2469</v>
      </c>
      <c r="G2475" s="19">
        <f>IFERROR(__xludf.DUMMYFUNCTION("""COMPUTED_VALUE"""),0.00221)</f>
        <v>0.00221</v>
      </c>
      <c r="H2475" s="19" t="str">
        <f>IFERROR(__xludf.DUMMYFUNCTION("""COMPUTED_VALUE"""),"-")</f>
        <v>-</v>
      </c>
      <c r="I2475" s="19">
        <f>IFERROR(__xludf.DUMMYFUNCTION("""COMPUTED_VALUE"""),0.00207)</f>
        <v>0.00207</v>
      </c>
      <c r="J2475" s="19">
        <f>IFERROR(__xludf.DUMMYFUNCTION("""COMPUTED_VALUE"""),0.04726)</f>
        <v>0.04726</v>
      </c>
      <c r="K2475" s="19" t="str">
        <f>IFERROR(__xludf.DUMMYFUNCTION("""COMPUTED_VALUE"""),"-")</f>
        <v>-</v>
      </c>
      <c r="L2475" s="19" t="str">
        <f>IFERROR(__xludf.DUMMYFUNCTION("""COMPUTED_VALUE"""),"-")</f>
        <v>-</v>
      </c>
      <c r="O2475" s="24">
        <f t="shared" si="4"/>
        <v>0</v>
      </c>
      <c r="P2475" s="24"/>
      <c r="Q2475" s="24">
        <f t="shared" si="6"/>
        <v>0</v>
      </c>
      <c r="R2475" s="24">
        <f t="shared" si="7"/>
        <v>0</v>
      </c>
      <c r="S2475" s="24"/>
      <c r="T2475" s="24"/>
    </row>
    <row r="2476">
      <c r="A2476" s="12" t="s">
        <v>2564</v>
      </c>
      <c r="F2476" s="19">
        <f>IFERROR(__xludf.DUMMYFUNCTION("SPLIT(A2472, "" |"")"),2470.0)</f>
        <v>2470</v>
      </c>
      <c r="G2476" s="19">
        <f>IFERROR(__xludf.DUMMYFUNCTION("""COMPUTED_VALUE"""),0.00223)</f>
        <v>0.00223</v>
      </c>
      <c r="H2476" s="19" t="str">
        <f>IFERROR(__xludf.DUMMYFUNCTION("""COMPUTED_VALUE"""),"-")</f>
        <v>-</v>
      </c>
      <c r="I2476" s="19">
        <f>IFERROR(__xludf.DUMMYFUNCTION("""COMPUTED_VALUE"""),0.00208)</f>
        <v>0.00208</v>
      </c>
      <c r="J2476" s="19">
        <f>IFERROR(__xludf.DUMMYFUNCTION("""COMPUTED_VALUE"""),0.04729)</f>
        <v>0.04729</v>
      </c>
      <c r="K2476" s="19" t="str">
        <f>IFERROR(__xludf.DUMMYFUNCTION("""COMPUTED_VALUE"""),"-")</f>
        <v>-</v>
      </c>
      <c r="L2476" s="19" t="str">
        <f>IFERROR(__xludf.DUMMYFUNCTION("""COMPUTED_VALUE"""),"-")</f>
        <v>-</v>
      </c>
      <c r="O2476" s="24">
        <f t="shared" si="4"/>
        <v>0</v>
      </c>
      <c r="P2476" s="24"/>
      <c r="Q2476" s="24">
        <f t="shared" si="6"/>
        <v>0</v>
      </c>
      <c r="R2476" s="24">
        <f t="shared" si="7"/>
        <v>0</v>
      </c>
      <c r="S2476" s="24"/>
      <c r="T2476" s="24"/>
    </row>
    <row r="2477">
      <c r="A2477" s="12" t="s">
        <v>2565</v>
      </c>
      <c r="F2477" s="19">
        <f>IFERROR(__xludf.DUMMYFUNCTION("SPLIT(A2473, "" |"")"),2471.0)</f>
        <v>2471</v>
      </c>
      <c r="G2477" s="19">
        <f>IFERROR(__xludf.DUMMYFUNCTION("""COMPUTED_VALUE"""),0.0022)</f>
        <v>0.0022</v>
      </c>
      <c r="H2477" s="19" t="str">
        <f>IFERROR(__xludf.DUMMYFUNCTION("""COMPUTED_VALUE"""),"-")</f>
        <v>-</v>
      </c>
      <c r="I2477" s="19">
        <f>IFERROR(__xludf.DUMMYFUNCTION("""COMPUTED_VALUE"""),0.00208)</f>
        <v>0.00208</v>
      </c>
      <c r="J2477" s="19">
        <f>IFERROR(__xludf.DUMMYFUNCTION("""COMPUTED_VALUE"""),0.04519)</f>
        <v>0.04519</v>
      </c>
      <c r="K2477" s="19" t="str">
        <f>IFERROR(__xludf.DUMMYFUNCTION("""COMPUTED_VALUE"""),"-")</f>
        <v>-</v>
      </c>
      <c r="L2477" s="19" t="str">
        <f>IFERROR(__xludf.DUMMYFUNCTION("""COMPUTED_VALUE"""),"-")</f>
        <v>-</v>
      </c>
      <c r="O2477" s="24">
        <f t="shared" si="4"/>
        <v>0</v>
      </c>
      <c r="P2477" s="24"/>
      <c r="Q2477" s="24">
        <f t="shared" si="6"/>
        <v>0</v>
      </c>
      <c r="R2477" s="24">
        <f t="shared" si="7"/>
        <v>0</v>
      </c>
      <c r="S2477" s="24"/>
      <c r="T2477" s="24"/>
    </row>
    <row r="2478">
      <c r="A2478" s="12" t="s">
        <v>2566</v>
      </c>
      <c r="F2478" s="19">
        <f>IFERROR(__xludf.DUMMYFUNCTION("SPLIT(A2474, "" |"")"),2472.0)</f>
        <v>2472</v>
      </c>
      <c r="G2478" s="19">
        <f>IFERROR(__xludf.DUMMYFUNCTION("""COMPUTED_VALUE"""),0.00222)</f>
        <v>0.00222</v>
      </c>
      <c r="H2478" s="19" t="str">
        <f>IFERROR(__xludf.DUMMYFUNCTION("""COMPUTED_VALUE"""),"-")</f>
        <v>-</v>
      </c>
      <c r="I2478" s="19">
        <f>IFERROR(__xludf.DUMMYFUNCTION("""COMPUTED_VALUE"""),0.00207)</f>
        <v>0.00207</v>
      </c>
      <c r="J2478" s="19">
        <f>IFERROR(__xludf.DUMMYFUNCTION("""COMPUTED_VALUE"""),0.04063)</f>
        <v>0.04063</v>
      </c>
      <c r="K2478" s="19" t="str">
        <f>IFERROR(__xludf.DUMMYFUNCTION("""COMPUTED_VALUE"""),"-")</f>
        <v>-</v>
      </c>
      <c r="L2478" s="19" t="str">
        <f>IFERROR(__xludf.DUMMYFUNCTION("""COMPUTED_VALUE"""),"-")</f>
        <v>-</v>
      </c>
      <c r="O2478" s="24">
        <f t="shared" si="4"/>
        <v>0</v>
      </c>
      <c r="P2478" s="24"/>
      <c r="Q2478" s="24">
        <f t="shared" si="6"/>
        <v>0</v>
      </c>
      <c r="R2478" s="24">
        <f t="shared" si="7"/>
        <v>1</v>
      </c>
      <c r="S2478" s="24"/>
      <c r="T2478" s="24"/>
    </row>
    <row r="2479">
      <c r="A2479" s="12" t="s">
        <v>2567</v>
      </c>
      <c r="F2479" s="19">
        <f>IFERROR(__xludf.DUMMYFUNCTION("SPLIT(A2475, "" |"")"),2473.0)</f>
        <v>2473</v>
      </c>
      <c r="G2479" s="19">
        <f>IFERROR(__xludf.DUMMYFUNCTION("""COMPUTED_VALUE"""),0.00222)</f>
        <v>0.00222</v>
      </c>
      <c r="H2479" s="19" t="str">
        <f>IFERROR(__xludf.DUMMYFUNCTION("""COMPUTED_VALUE"""),"-")</f>
        <v>-</v>
      </c>
      <c r="I2479" s="19">
        <f>IFERROR(__xludf.DUMMYFUNCTION("""COMPUTED_VALUE"""),0.00206)</f>
        <v>0.00206</v>
      </c>
      <c r="J2479" s="19">
        <f>IFERROR(__xludf.DUMMYFUNCTION("""COMPUTED_VALUE"""),0.04722)</f>
        <v>0.04722</v>
      </c>
      <c r="K2479" s="19" t="str">
        <f>IFERROR(__xludf.DUMMYFUNCTION("""COMPUTED_VALUE"""),"-")</f>
        <v>-</v>
      </c>
      <c r="L2479" s="19" t="str">
        <f>IFERROR(__xludf.DUMMYFUNCTION("""COMPUTED_VALUE"""),"-")</f>
        <v>-</v>
      </c>
      <c r="O2479" s="24">
        <f t="shared" si="4"/>
        <v>0</v>
      </c>
      <c r="P2479" s="24"/>
      <c r="Q2479" s="24">
        <f t="shared" si="6"/>
        <v>0</v>
      </c>
      <c r="R2479" s="24">
        <f t="shared" si="7"/>
        <v>0</v>
      </c>
      <c r="S2479" s="24"/>
      <c r="T2479" s="24"/>
    </row>
    <row r="2480">
      <c r="A2480" s="12" t="s">
        <v>2568</v>
      </c>
      <c r="F2480" s="19">
        <f>IFERROR(__xludf.DUMMYFUNCTION("SPLIT(A2476, "" |"")"),2474.0)</f>
        <v>2474</v>
      </c>
      <c r="G2480" s="19">
        <f>IFERROR(__xludf.DUMMYFUNCTION("""COMPUTED_VALUE"""),0.00228)</f>
        <v>0.00228</v>
      </c>
      <c r="H2480" s="19" t="str">
        <f>IFERROR(__xludf.DUMMYFUNCTION("""COMPUTED_VALUE"""),"-")</f>
        <v>-</v>
      </c>
      <c r="I2480" s="19">
        <f>IFERROR(__xludf.DUMMYFUNCTION("""COMPUTED_VALUE"""),0.00218)</f>
        <v>0.00218</v>
      </c>
      <c r="J2480" s="19">
        <f>IFERROR(__xludf.DUMMYFUNCTION("""COMPUTED_VALUE"""),0.04737)</f>
        <v>0.04737</v>
      </c>
      <c r="K2480" s="19" t="str">
        <f>IFERROR(__xludf.DUMMYFUNCTION("""COMPUTED_VALUE"""),"-")</f>
        <v>-</v>
      </c>
      <c r="L2480" s="19" t="str">
        <f>IFERROR(__xludf.DUMMYFUNCTION("""COMPUTED_VALUE"""),"-")</f>
        <v>-</v>
      </c>
      <c r="O2480" s="24">
        <f t="shared" si="4"/>
        <v>0</v>
      </c>
      <c r="P2480" s="24"/>
      <c r="Q2480" s="24">
        <f t="shared" si="6"/>
        <v>0</v>
      </c>
      <c r="R2480" s="24">
        <f t="shared" si="7"/>
        <v>0</v>
      </c>
      <c r="S2480" s="24"/>
      <c r="T2480" s="24"/>
    </row>
    <row r="2481">
      <c r="A2481" s="12" t="s">
        <v>2569</v>
      </c>
      <c r="F2481" s="19">
        <f>IFERROR(__xludf.DUMMYFUNCTION("SPLIT(A2477, "" |"")"),2475.0)</f>
        <v>2475</v>
      </c>
      <c r="G2481" s="19">
        <f>IFERROR(__xludf.DUMMYFUNCTION("""COMPUTED_VALUE"""),0.00224)</f>
        <v>0.00224</v>
      </c>
      <c r="H2481" s="19" t="str">
        <f>IFERROR(__xludf.DUMMYFUNCTION("""COMPUTED_VALUE"""),"-")</f>
        <v>-</v>
      </c>
      <c r="I2481" s="19">
        <f>IFERROR(__xludf.DUMMYFUNCTION("""COMPUTED_VALUE"""),0.00209)</f>
        <v>0.00209</v>
      </c>
      <c r="J2481" s="19">
        <f>IFERROR(__xludf.DUMMYFUNCTION("""COMPUTED_VALUE"""),0.04731)</f>
        <v>0.04731</v>
      </c>
      <c r="K2481" s="19" t="str">
        <f>IFERROR(__xludf.DUMMYFUNCTION("""COMPUTED_VALUE"""),"-")</f>
        <v>-</v>
      </c>
      <c r="L2481" s="19" t="str">
        <f>IFERROR(__xludf.DUMMYFUNCTION("""COMPUTED_VALUE"""),"-")</f>
        <v>-</v>
      </c>
      <c r="O2481" s="24">
        <f t="shared" si="4"/>
        <v>0</v>
      </c>
      <c r="P2481" s="24"/>
      <c r="Q2481" s="24">
        <f t="shared" si="6"/>
        <v>0</v>
      </c>
      <c r="R2481" s="24">
        <f t="shared" si="7"/>
        <v>0</v>
      </c>
      <c r="S2481" s="24"/>
      <c r="T2481" s="24"/>
    </row>
    <row r="2482">
      <c r="A2482" s="12" t="s">
        <v>2570</v>
      </c>
      <c r="F2482" s="19">
        <f>IFERROR(__xludf.DUMMYFUNCTION("SPLIT(A2478, "" |"")"),2476.0)</f>
        <v>2476</v>
      </c>
      <c r="G2482" s="19">
        <f>IFERROR(__xludf.DUMMYFUNCTION("""COMPUTED_VALUE"""),0.00224)</f>
        <v>0.00224</v>
      </c>
      <c r="H2482" s="19" t="str">
        <f>IFERROR(__xludf.DUMMYFUNCTION("""COMPUTED_VALUE"""),"-")</f>
        <v>-</v>
      </c>
      <c r="I2482" s="19">
        <f>IFERROR(__xludf.DUMMYFUNCTION("""COMPUTED_VALUE"""),0.0021)</f>
        <v>0.0021</v>
      </c>
      <c r="J2482" s="19">
        <f>IFERROR(__xludf.DUMMYFUNCTION("""COMPUTED_VALUE"""),0.04726)</f>
        <v>0.04726</v>
      </c>
      <c r="K2482" s="19" t="str">
        <f>IFERROR(__xludf.DUMMYFUNCTION("""COMPUTED_VALUE"""),"-")</f>
        <v>-</v>
      </c>
      <c r="L2482" s="19" t="str">
        <f>IFERROR(__xludf.DUMMYFUNCTION("""COMPUTED_VALUE"""),"-")</f>
        <v>-</v>
      </c>
      <c r="O2482" s="24">
        <f t="shared" si="4"/>
        <v>0</v>
      </c>
      <c r="P2482" s="24"/>
      <c r="Q2482" s="24">
        <f t="shared" si="6"/>
        <v>0</v>
      </c>
      <c r="R2482" s="24">
        <f t="shared" si="7"/>
        <v>0</v>
      </c>
      <c r="S2482" s="24"/>
      <c r="T2482" s="24"/>
    </row>
    <row r="2483">
      <c r="A2483" s="12" t="s">
        <v>2571</v>
      </c>
      <c r="F2483" s="19">
        <f>IFERROR(__xludf.DUMMYFUNCTION("SPLIT(A2479, "" |"")"),2477.0)</f>
        <v>2477</v>
      </c>
      <c r="G2483" s="19">
        <f>IFERROR(__xludf.DUMMYFUNCTION("""COMPUTED_VALUE"""),0.00216)</f>
        <v>0.00216</v>
      </c>
      <c r="H2483" s="19" t="str">
        <f>IFERROR(__xludf.DUMMYFUNCTION("""COMPUTED_VALUE"""),"-")</f>
        <v>-</v>
      </c>
      <c r="I2483" s="19">
        <f>IFERROR(__xludf.DUMMYFUNCTION("""COMPUTED_VALUE"""),0.00207)</f>
        <v>0.00207</v>
      </c>
      <c r="J2483" s="19">
        <f>IFERROR(__xludf.DUMMYFUNCTION("""COMPUTED_VALUE"""),0.04726)</f>
        <v>0.04726</v>
      </c>
      <c r="K2483" s="19" t="str">
        <f>IFERROR(__xludf.DUMMYFUNCTION("""COMPUTED_VALUE"""),"-")</f>
        <v>-</v>
      </c>
      <c r="L2483" s="19" t="str">
        <f>IFERROR(__xludf.DUMMYFUNCTION("""COMPUTED_VALUE"""),"-")</f>
        <v>-</v>
      </c>
      <c r="O2483" s="24">
        <f t="shared" si="4"/>
        <v>0</v>
      </c>
      <c r="P2483" s="24"/>
      <c r="Q2483" s="24">
        <f t="shared" si="6"/>
        <v>0</v>
      </c>
      <c r="R2483" s="24">
        <f t="shared" si="7"/>
        <v>0</v>
      </c>
      <c r="S2483" s="24"/>
      <c r="T2483" s="24"/>
    </row>
    <row r="2484">
      <c r="A2484" s="12" t="s">
        <v>2572</v>
      </c>
      <c r="F2484" s="19">
        <f>IFERROR(__xludf.DUMMYFUNCTION("SPLIT(A2480, "" |"")"),2478.0)</f>
        <v>2478</v>
      </c>
      <c r="G2484" s="19">
        <f>IFERROR(__xludf.DUMMYFUNCTION("""COMPUTED_VALUE"""),0.0022)</f>
        <v>0.0022</v>
      </c>
      <c r="H2484" s="19" t="str">
        <f>IFERROR(__xludf.DUMMYFUNCTION("""COMPUTED_VALUE"""),"-")</f>
        <v>-</v>
      </c>
      <c r="I2484" s="19">
        <f>IFERROR(__xludf.DUMMYFUNCTION("""COMPUTED_VALUE"""),0.00208)</f>
        <v>0.00208</v>
      </c>
      <c r="J2484" s="19">
        <f>IFERROR(__xludf.DUMMYFUNCTION("""COMPUTED_VALUE"""),0.04729)</f>
        <v>0.04729</v>
      </c>
      <c r="K2484" s="19" t="str">
        <f>IFERROR(__xludf.DUMMYFUNCTION("""COMPUTED_VALUE"""),"-")</f>
        <v>-</v>
      </c>
      <c r="L2484" s="19" t="str">
        <f>IFERROR(__xludf.DUMMYFUNCTION("""COMPUTED_VALUE"""),"-")</f>
        <v>-</v>
      </c>
      <c r="O2484" s="24">
        <f t="shared" si="4"/>
        <v>0</v>
      </c>
      <c r="P2484" s="24"/>
      <c r="Q2484" s="24">
        <f t="shared" si="6"/>
        <v>0</v>
      </c>
      <c r="R2484" s="24">
        <f t="shared" si="7"/>
        <v>0</v>
      </c>
      <c r="S2484" s="24"/>
      <c r="T2484" s="24"/>
    </row>
    <row r="2485">
      <c r="A2485" s="12" t="s">
        <v>2573</v>
      </c>
      <c r="F2485" s="19">
        <f>IFERROR(__xludf.DUMMYFUNCTION("SPLIT(A2481, "" |"")"),2479.0)</f>
        <v>2479</v>
      </c>
      <c r="G2485" s="19">
        <f>IFERROR(__xludf.DUMMYFUNCTION("""COMPUTED_VALUE"""),0.00219)</f>
        <v>0.00219</v>
      </c>
      <c r="H2485" s="19" t="str">
        <f>IFERROR(__xludf.DUMMYFUNCTION("""COMPUTED_VALUE"""),"-")</f>
        <v>-</v>
      </c>
      <c r="I2485" s="19">
        <f>IFERROR(__xludf.DUMMYFUNCTION("""COMPUTED_VALUE"""),0.0021)</f>
        <v>0.0021</v>
      </c>
      <c r="J2485" s="19">
        <f>IFERROR(__xludf.DUMMYFUNCTION("""COMPUTED_VALUE"""),0.04478)</f>
        <v>0.04478</v>
      </c>
      <c r="K2485" s="19" t="str">
        <f>IFERROR(__xludf.DUMMYFUNCTION("""COMPUTED_VALUE"""),"-")</f>
        <v>-</v>
      </c>
      <c r="L2485" s="19" t="str">
        <f>IFERROR(__xludf.DUMMYFUNCTION("""COMPUTED_VALUE"""),"-")</f>
        <v>-</v>
      </c>
      <c r="O2485" s="24">
        <f t="shared" si="4"/>
        <v>0</v>
      </c>
      <c r="P2485" s="24"/>
      <c r="Q2485" s="24">
        <f t="shared" si="6"/>
        <v>0</v>
      </c>
      <c r="R2485" s="24">
        <f t="shared" si="7"/>
        <v>1</v>
      </c>
      <c r="S2485" s="24"/>
      <c r="T2485" s="24"/>
    </row>
    <row r="2486">
      <c r="A2486" s="12" t="s">
        <v>2574</v>
      </c>
      <c r="F2486" s="19">
        <f>IFERROR(__xludf.DUMMYFUNCTION("SPLIT(A2482, "" |"")"),2480.0)</f>
        <v>2480</v>
      </c>
      <c r="G2486" s="19">
        <f>IFERROR(__xludf.DUMMYFUNCTION("""COMPUTED_VALUE"""),0.00221)</f>
        <v>0.00221</v>
      </c>
      <c r="H2486" s="19" t="str">
        <f>IFERROR(__xludf.DUMMYFUNCTION("""COMPUTED_VALUE"""),"-")</f>
        <v>-</v>
      </c>
      <c r="I2486" s="19">
        <f>IFERROR(__xludf.DUMMYFUNCTION("""COMPUTED_VALUE"""),0.00207)</f>
        <v>0.00207</v>
      </c>
      <c r="J2486" s="19">
        <f>IFERROR(__xludf.DUMMYFUNCTION("""COMPUTED_VALUE"""),0.04725)</f>
        <v>0.04725</v>
      </c>
      <c r="K2486" s="19" t="str">
        <f>IFERROR(__xludf.DUMMYFUNCTION("""COMPUTED_VALUE"""),"-")</f>
        <v>-</v>
      </c>
      <c r="L2486" s="19" t="str">
        <f>IFERROR(__xludf.DUMMYFUNCTION("""COMPUTED_VALUE"""),"-")</f>
        <v>-</v>
      </c>
      <c r="O2486" s="24">
        <f t="shared" si="4"/>
        <v>0</v>
      </c>
      <c r="P2486" s="24"/>
      <c r="Q2486" s="24">
        <f t="shared" si="6"/>
        <v>0</v>
      </c>
      <c r="R2486" s="24">
        <f t="shared" si="7"/>
        <v>0</v>
      </c>
      <c r="S2486" s="24"/>
      <c r="T2486" s="24"/>
    </row>
    <row r="2487">
      <c r="A2487" s="12" t="s">
        <v>2575</v>
      </c>
      <c r="F2487" s="19">
        <f>IFERROR(__xludf.DUMMYFUNCTION("SPLIT(A2483, "" |"")"),2481.0)</f>
        <v>2481</v>
      </c>
      <c r="G2487" s="19">
        <f>IFERROR(__xludf.DUMMYFUNCTION("""COMPUTED_VALUE"""),0.00219)</f>
        <v>0.00219</v>
      </c>
      <c r="H2487" s="19" t="str">
        <f>IFERROR(__xludf.DUMMYFUNCTION("""COMPUTED_VALUE"""),"-")</f>
        <v>-</v>
      </c>
      <c r="I2487" s="19">
        <f>IFERROR(__xludf.DUMMYFUNCTION("""COMPUTED_VALUE"""),0.00206)</f>
        <v>0.00206</v>
      </c>
      <c r="J2487" s="19">
        <f>IFERROR(__xludf.DUMMYFUNCTION("""COMPUTED_VALUE"""),0.04723)</f>
        <v>0.04723</v>
      </c>
      <c r="K2487" s="19" t="str">
        <f>IFERROR(__xludf.DUMMYFUNCTION("""COMPUTED_VALUE"""),"-")</f>
        <v>-</v>
      </c>
      <c r="L2487" s="19" t="str">
        <f>IFERROR(__xludf.DUMMYFUNCTION("""COMPUTED_VALUE"""),"-")</f>
        <v>-</v>
      </c>
      <c r="O2487" s="24">
        <f t="shared" si="4"/>
        <v>0</v>
      </c>
      <c r="P2487" s="24"/>
      <c r="Q2487" s="24">
        <f t="shared" si="6"/>
        <v>0</v>
      </c>
      <c r="R2487" s="24">
        <f t="shared" si="7"/>
        <v>0</v>
      </c>
      <c r="S2487" s="24"/>
      <c r="T2487" s="24"/>
    </row>
    <row r="2488">
      <c r="A2488" s="12" t="s">
        <v>2576</v>
      </c>
      <c r="F2488" s="19">
        <f>IFERROR(__xludf.DUMMYFUNCTION("SPLIT(A2484, "" |"")"),2482.0)</f>
        <v>2482</v>
      </c>
      <c r="G2488" s="19">
        <f>IFERROR(__xludf.DUMMYFUNCTION("""COMPUTED_VALUE"""),0.00219)</f>
        <v>0.00219</v>
      </c>
      <c r="H2488" s="19" t="str">
        <f>IFERROR(__xludf.DUMMYFUNCTION("""COMPUTED_VALUE"""),"-")</f>
        <v>-</v>
      </c>
      <c r="I2488" s="19">
        <f>IFERROR(__xludf.DUMMYFUNCTION("""COMPUTED_VALUE"""),0.00206)</f>
        <v>0.00206</v>
      </c>
      <c r="J2488" s="19">
        <f>IFERROR(__xludf.DUMMYFUNCTION("""COMPUTED_VALUE"""),0.04731)</f>
        <v>0.04731</v>
      </c>
      <c r="K2488" s="19" t="str">
        <f>IFERROR(__xludf.DUMMYFUNCTION("""COMPUTED_VALUE"""),"-")</f>
        <v>-</v>
      </c>
      <c r="L2488" s="19" t="str">
        <f>IFERROR(__xludf.DUMMYFUNCTION("""COMPUTED_VALUE"""),"-")</f>
        <v>-</v>
      </c>
      <c r="O2488" s="24">
        <f t="shared" si="4"/>
        <v>0</v>
      </c>
      <c r="P2488" s="24"/>
      <c r="Q2488" s="24">
        <f t="shared" si="6"/>
        <v>0</v>
      </c>
      <c r="R2488" s="24">
        <f t="shared" si="7"/>
        <v>0</v>
      </c>
      <c r="S2488" s="24"/>
      <c r="T2488" s="24"/>
    </row>
    <row r="2489">
      <c r="A2489" s="12" t="s">
        <v>2577</v>
      </c>
      <c r="F2489" s="19">
        <f>IFERROR(__xludf.DUMMYFUNCTION("SPLIT(A2485, "" |"")"),2483.0)</f>
        <v>2483</v>
      </c>
      <c r="G2489" s="19">
        <f>IFERROR(__xludf.DUMMYFUNCTION("""COMPUTED_VALUE"""),0.00224)</f>
        <v>0.00224</v>
      </c>
      <c r="H2489" s="19" t="str">
        <f>IFERROR(__xludf.DUMMYFUNCTION("""COMPUTED_VALUE"""),"-")</f>
        <v>-</v>
      </c>
      <c r="I2489" s="19">
        <f>IFERROR(__xludf.DUMMYFUNCTION("""COMPUTED_VALUE"""),0.00209)</f>
        <v>0.00209</v>
      </c>
      <c r="J2489" s="19">
        <f>IFERROR(__xludf.DUMMYFUNCTION("""COMPUTED_VALUE"""),0.04289)</f>
        <v>0.04289</v>
      </c>
      <c r="K2489" s="19" t="str">
        <f>IFERROR(__xludf.DUMMYFUNCTION("""COMPUTED_VALUE"""),"-")</f>
        <v>-</v>
      </c>
      <c r="L2489" s="19" t="str">
        <f>IFERROR(__xludf.DUMMYFUNCTION("""COMPUTED_VALUE"""),"-")</f>
        <v>-</v>
      </c>
      <c r="O2489" s="24">
        <f t="shared" si="4"/>
        <v>0</v>
      </c>
      <c r="P2489" s="24"/>
      <c r="Q2489" s="24">
        <f t="shared" si="6"/>
        <v>0</v>
      </c>
      <c r="R2489" s="24">
        <f t="shared" si="7"/>
        <v>1</v>
      </c>
      <c r="S2489" s="24"/>
      <c r="T2489" s="24"/>
    </row>
    <row r="2490">
      <c r="A2490" s="12" t="s">
        <v>2578</v>
      </c>
      <c r="F2490" s="19">
        <f>IFERROR(__xludf.DUMMYFUNCTION("SPLIT(A2486, "" |"")"),2484.0)</f>
        <v>2484</v>
      </c>
      <c r="G2490" s="19">
        <f>IFERROR(__xludf.DUMMYFUNCTION("""COMPUTED_VALUE"""),0.00218)</f>
        <v>0.00218</v>
      </c>
      <c r="H2490" s="19" t="str">
        <f>IFERROR(__xludf.DUMMYFUNCTION("""COMPUTED_VALUE"""),"-")</f>
        <v>-</v>
      </c>
      <c r="I2490" s="19">
        <f>IFERROR(__xludf.DUMMYFUNCTION("""COMPUTED_VALUE"""),0.00205)</f>
        <v>0.00205</v>
      </c>
      <c r="J2490" s="19">
        <f>IFERROR(__xludf.DUMMYFUNCTION("""COMPUTED_VALUE"""),0.04725)</f>
        <v>0.04725</v>
      </c>
      <c r="K2490" s="19" t="str">
        <f>IFERROR(__xludf.DUMMYFUNCTION("""COMPUTED_VALUE"""),"-")</f>
        <v>-</v>
      </c>
      <c r="L2490" s="19" t="str">
        <f>IFERROR(__xludf.DUMMYFUNCTION("""COMPUTED_VALUE"""),"-")</f>
        <v>-</v>
      </c>
      <c r="O2490" s="24">
        <f t="shared" si="4"/>
        <v>0</v>
      </c>
      <c r="P2490" s="24"/>
      <c r="Q2490" s="24">
        <f t="shared" si="6"/>
        <v>0</v>
      </c>
      <c r="R2490" s="24">
        <f t="shared" si="7"/>
        <v>0</v>
      </c>
      <c r="S2490" s="24"/>
      <c r="T2490" s="24"/>
    </row>
    <row r="2491">
      <c r="A2491" s="12" t="s">
        <v>2579</v>
      </c>
      <c r="F2491" s="19">
        <f>IFERROR(__xludf.DUMMYFUNCTION("SPLIT(A2487, "" |"")"),2485.0)</f>
        <v>2485</v>
      </c>
      <c r="G2491" s="19">
        <f>IFERROR(__xludf.DUMMYFUNCTION("""COMPUTED_VALUE"""),0.00222)</f>
        <v>0.00222</v>
      </c>
      <c r="H2491" s="19" t="str">
        <f>IFERROR(__xludf.DUMMYFUNCTION("""COMPUTED_VALUE"""),"-")</f>
        <v>-</v>
      </c>
      <c r="I2491" s="19">
        <f>IFERROR(__xludf.DUMMYFUNCTION("""COMPUTED_VALUE"""),0.00209)</f>
        <v>0.00209</v>
      </c>
      <c r="J2491" s="19">
        <f>IFERROR(__xludf.DUMMYFUNCTION("""COMPUTED_VALUE"""),0.0473)</f>
        <v>0.0473</v>
      </c>
      <c r="K2491" s="19" t="str">
        <f>IFERROR(__xludf.DUMMYFUNCTION("""COMPUTED_VALUE"""),"-")</f>
        <v>-</v>
      </c>
      <c r="L2491" s="19" t="str">
        <f>IFERROR(__xludf.DUMMYFUNCTION("""COMPUTED_VALUE"""),"-")</f>
        <v>-</v>
      </c>
      <c r="O2491" s="24">
        <f t="shared" si="4"/>
        <v>0</v>
      </c>
      <c r="P2491" s="24"/>
      <c r="Q2491" s="24">
        <f t="shared" si="6"/>
        <v>0</v>
      </c>
      <c r="R2491" s="24">
        <f t="shared" si="7"/>
        <v>0</v>
      </c>
      <c r="S2491" s="24"/>
      <c r="T2491" s="24"/>
    </row>
    <row r="2492">
      <c r="A2492" s="12" t="s">
        <v>2580</v>
      </c>
      <c r="F2492" s="19">
        <f>IFERROR(__xludf.DUMMYFUNCTION("SPLIT(A2488, "" |"")"),2486.0)</f>
        <v>2486</v>
      </c>
      <c r="G2492" s="19">
        <f>IFERROR(__xludf.DUMMYFUNCTION("""COMPUTED_VALUE"""),0.0022)</f>
        <v>0.0022</v>
      </c>
      <c r="H2492" s="19" t="str">
        <f>IFERROR(__xludf.DUMMYFUNCTION("""COMPUTED_VALUE"""),"-")</f>
        <v>-</v>
      </c>
      <c r="I2492" s="19">
        <f>IFERROR(__xludf.DUMMYFUNCTION("""COMPUTED_VALUE"""),0.00206)</f>
        <v>0.00206</v>
      </c>
      <c r="J2492" s="19">
        <f>IFERROR(__xludf.DUMMYFUNCTION("""COMPUTED_VALUE"""),0.04391)</f>
        <v>0.04391</v>
      </c>
      <c r="K2492" s="19" t="str">
        <f>IFERROR(__xludf.DUMMYFUNCTION("""COMPUTED_VALUE"""),"-")</f>
        <v>-</v>
      </c>
      <c r="L2492" s="19" t="str">
        <f>IFERROR(__xludf.DUMMYFUNCTION("""COMPUTED_VALUE"""),"-")</f>
        <v>-</v>
      </c>
      <c r="O2492" s="24">
        <f t="shared" si="4"/>
        <v>0</v>
      </c>
      <c r="P2492" s="24"/>
      <c r="Q2492" s="24">
        <f t="shared" si="6"/>
        <v>0</v>
      </c>
      <c r="R2492" s="24">
        <f t="shared" si="7"/>
        <v>1</v>
      </c>
      <c r="S2492" s="24"/>
      <c r="T2492" s="24"/>
    </row>
    <row r="2493">
      <c r="A2493" s="12" t="s">
        <v>2581</v>
      </c>
      <c r="F2493" s="19">
        <f>IFERROR(__xludf.DUMMYFUNCTION("SPLIT(A2489, "" |"")"),2487.0)</f>
        <v>2487</v>
      </c>
      <c r="G2493" s="19">
        <f>IFERROR(__xludf.DUMMYFUNCTION("""COMPUTED_VALUE"""),0.00224)</f>
        <v>0.00224</v>
      </c>
      <c r="H2493" s="19" t="str">
        <f>IFERROR(__xludf.DUMMYFUNCTION("""COMPUTED_VALUE"""),"-")</f>
        <v>-</v>
      </c>
      <c r="I2493" s="19">
        <f>IFERROR(__xludf.DUMMYFUNCTION("""COMPUTED_VALUE"""),0.00207)</f>
        <v>0.00207</v>
      </c>
      <c r="J2493" s="19">
        <f>IFERROR(__xludf.DUMMYFUNCTION("""COMPUTED_VALUE"""),0.04718)</f>
        <v>0.04718</v>
      </c>
      <c r="K2493" s="19" t="str">
        <f>IFERROR(__xludf.DUMMYFUNCTION("""COMPUTED_VALUE"""),"-")</f>
        <v>-</v>
      </c>
      <c r="L2493" s="19" t="str">
        <f>IFERROR(__xludf.DUMMYFUNCTION("""COMPUTED_VALUE"""),"-")</f>
        <v>-</v>
      </c>
      <c r="O2493" s="24">
        <f t="shared" si="4"/>
        <v>0</v>
      </c>
      <c r="P2493" s="24"/>
      <c r="Q2493" s="24">
        <f t="shared" si="6"/>
        <v>0</v>
      </c>
      <c r="R2493" s="24">
        <f t="shared" si="7"/>
        <v>0</v>
      </c>
      <c r="S2493" s="24"/>
      <c r="T2493" s="24"/>
    </row>
    <row r="2494">
      <c r="A2494" s="12" t="s">
        <v>2582</v>
      </c>
      <c r="F2494" s="19">
        <f>IFERROR(__xludf.DUMMYFUNCTION("SPLIT(A2490, "" |"")"),2488.0)</f>
        <v>2488</v>
      </c>
      <c r="G2494" s="19">
        <f>IFERROR(__xludf.DUMMYFUNCTION("""COMPUTED_VALUE"""),0.0022)</f>
        <v>0.0022</v>
      </c>
      <c r="H2494" s="19" t="str">
        <f>IFERROR(__xludf.DUMMYFUNCTION("""COMPUTED_VALUE"""),"-")</f>
        <v>-</v>
      </c>
      <c r="I2494" s="19">
        <f>IFERROR(__xludf.DUMMYFUNCTION("""COMPUTED_VALUE"""),0.00206)</f>
        <v>0.00206</v>
      </c>
      <c r="J2494" s="19">
        <f>IFERROR(__xludf.DUMMYFUNCTION("""COMPUTED_VALUE"""),0.04724)</f>
        <v>0.04724</v>
      </c>
      <c r="K2494" s="19" t="str">
        <f>IFERROR(__xludf.DUMMYFUNCTION("""COMPUTED_VALUE"""),"-")</f>
        <v>-</v>
      </c>
      <c r="L2494" s="19" t="str">
        <f>IFERROR(__xludf.DUMMYFUNCTION("""COMPUTED_VALUE"""),"-")</f>
        <v>-</v>
      </c>
      <c r="O2494" s="24">
        <f t="shared" si="4"/>
        <v>0</v>
      </c>
      <c r="P2494" s="24"/>
      <c r="Q2494" s="24">
        <f t="shared" si="6"/>
        <v>0</v>
      </c>
      <c r="R2494" s="24">
        <f t="shared" si="7"/>
        <v>0</v>
      </c>
      <c r="S2494" s="24"/>
      <c r="T2494" s="24"/>
    </row>
    <row r="2495">
      <c r="A2495" s="12" t="s">
        <v>2583</v>
      </c>
      <c r="F2495" s="19">
        <f>IFERROR(__xludf.DUMMYFUNCTION("SPLIT(A2491, "" |"")"),2489.0)</f>
        <v>2489</v>
      </c>
      <c r="G2495" s="19">
        <f>IFERROR(__xludf.DUMMYFUNCTION("""COMPUTED_VALUE"""),0.00218)</f>
        <v>0.00218</v>
      </c>
      <c r="H2495" s="19" t="str">
        <f>IFERROR(__xludf.DUMMYFUNCTION("""COMPUTED_VALUE"""),"-")</f>
        <v>-</v>
      </c>
      <c r="I2495" s="19">
        <f>IFERROR(__xludf.DUMMYFUNCTION("""COMPUTED_VALUE"""),0.00206)</f>
        <v>0.00206</v>
      </c>
      <c r="J2495" s="19">
        <f>IFERROR(__xludf.DUMMYFUNCTION("""COMPUTED_VALUE"""),0.04723)</f>
        <v>0.04723</v>
      </c>
      <c r="K2495" s="19" t="str">
        <f>IFERROR(__xludf.DUMMYFUNCTION("""COMPUTED_VALUE"""),"-")</f>
        <v>-</v>
      </c>
      <c r="L2495" s="19" t="str">
        <f>IFERROR(__xludf.DUMMYFUNCTION("""COMPUTED_VALUE"""),"-")</f>
        <v>-</v>
      </c>
      <c r="O2495" s="24">
        <f t="shared" si="4"/>
        <v>0</v>
      </c>
      <c r="P2495" s="24"/>
      <c r="Q2495" s="24">
        <f t="shared" si="6"/>
        <v>0</v>
      </c>
      <c r="R2495" s="24">
        <f t="shared" si="7"/>
        <v>0</v>
      </c>
      <c r="S2495" s="24"/>
      <c r="T2495" s="24"/>
    </row>
    <row r="2496">
      <c r="A2496" s="12" t="s">
        <v>2584</v>
      </c>
      <c r="F2496" s="19">
        <f>IFERROR(__xludf.DUMMYFUNCTION("SPLIT(A2492, "" |"")"),2490.0)</f>
        <v>2490</v>
      </c>
      <c r="G2496" s="19">
        <f>IFERROR(__xludf.DUMMYFUNCTION("""COMPUTED_VALUE"""),0.00219)</f>
        <v>0.00219</v>
      </c>
      <c r="H2496" s="19" t="str">
        <f>IFERROR(__xludf.DUMMYFUNCTION("""COMPUTED_VALUE"""),"-")</f>
        <v>-</v>
      </c>
      <c r="I2496" s="19">
        <f>IFERROR(__xludf.DUMMYFUNCTION("""COMPUTED_VALUE"""),0.00207)</f>
        <v>0.00207</v>
      </c>
      <c r="J2496" s="19">
        <f>IFERROR(__xludf.DUMMYFUNCTION("""COMPUTED_VALUE"""),0.04358)</f>
        <v>0.04358</v>
      </c>
      <c r="K2496" s="19" t="str">
        <f>IFERROR(__xludf.DUMMYFUNCTION("""COMPUTED_VALUE"""),"-")</f>
        <v>-</v>
      </c>
      <c r="L2496" s="19" t="str">
        <f>IFERROR(__xludf.DUMMYFUNCTION("""COMPUTED_VALUE"""),"-")</f>
        <v>-</v>
      </c>
      <c r="O2496" s="24">
        <f t="shared" si="4"/>
        <v>0</v>
      </c>
      <c r="P2496" s="24"/>
      <c r="Q2496" s="24">
        <f t="shared" si="6"/>
        <v>0</v>
      </c>
      <c r="R2496" s="24">
        <f t="shared" si="7"/>
        <v>1</v>
      </c>
      <c r="S2496" s="24"/>
      <c r="T2496" s="24"/>
    </row>
    <row r="2497">
      <c r="A2497" s="12" t="s">
        <v>2585</v>
      </c>
      <c r="F2497" s="19">
        <f>IFERROR(__xludf.DUMMYFUNCTION("SPLIT(A2493, "" |"")"),2491.0)</f>
        <v>2491</v>
      </c>
      <c r="G2497" s="19">
        <f>IFERROR(__xludf.DUMMYFUNCTION("""COMPUTED_VALUE"""),0.00218)</f>
        <v>0.00218</v>
      </c>
      <c r="H2497" s="19" t="str">
        <f>IFERROR(__xludf.DUMMYFUNCTION("""COMPUTED_VALUE"""),"-")</f>
        <v>-</v>
      </c>
      <c r="I2497" s="19">
        <f>IFERROR(__xludf.DUMMYFUNCTION("""COMPUTED_VALUE"""),0.00207)</f>
        <v>0.00207</v>
      </c>
      <c r="J2497" s="19">
        <f>IFERROR(__xludf.DUMMYFUNCTION("""COMPUTED_VALUE"""),0.04595)</f>
        <v>0.04595</v>
      </c>
      <c r="K2497" s="19" t="str">
        <f>IFERROR(__xludf.DUMMYFUNCTION("""COMPUTED_VALUE"""),"-")</f>
        <v>-</v>
      </c>
      <c r="L2497" s="19" t="str">
        <f>IFERROR(__xludf.DUMMYFUNCTION("""COMPUTED_VALUE"""),"-")</f>
        <v>-</v>
      </c>
      <c r="O2497" s="24">
        <f t="shared" si="4"/>
        <v>0</v>
      </c>
      <c r="P2497" s="24"/>
      <c r="Q2497" s="24">
        <f t="shared" si="6"/>
        <v>0</v>
      </c>
      <c r="R2497" s="24">
        <f t="shared" si="7"/>
        <v>0</v>
      </c>
      <c r="S2497" s="24"/>
      <c r="T2497" s="24"/>
    </row>
    <row r="2498">
      <c r="A2498" s="12" t="s">
        <v>2586</v>
      </c>
      <c r="F2498" s="19">
        <f>IFERROR(__xludf.DUMMYFUNCTION("SPLIT(A2494, "" |"")"),2492.0)</f>
        <v>2492</v>
      </c>
      <c r="G2498" s="19">
        <f>IFERROR(__xludf.DUMMYFUNCTION("""COMPUTED_VALUE"""),0.00221)</f>
        <v>0.00221</v>
      </c>
      <c r="H2498" s="19" t="str">
        <f>IFERROR(__xludf.DUMMYFUNCTION("""COMPUTED_VALUE"""),"-")</f>
        <v>-</v>
      </c>
      <c r="I2498" s="19">
        <f>IFERROR(__xludf.DUMMYFUNCTION("""COMPUTED_VALUE"""),0.00207)</f>
        <v>0.00207</v>
      </c>
      <c r="J2498" s="19">
        <f>IFERROR(__xludf.DUMMYFUNCTION("""COMPUTED_VALUE"""),0.04725)</f>
        <v>0.04725</v>
      </c>
      <c r="K2498" s="19" t="str">
        <f>IFERROR(__xludf.DUMMYFUNCTION("""COMPUTED_VALUE"""),"-")</f>
        <v>-</v>
      </c>
      <c r="L2498" s="19" t="str">
        <f>IFERROR(__xludf.DUMMYFUNCTION("""COMPUTED_VALUE"""),"-")</f>
        <v>-</v>
      </c>
      <c r="O2498" s="24">
        <f t="shared" si="4"/>
        <v>0</v>
      </c>
      <c r="P2498" s="24"/>
      <c r="Q2498" s="24">
        <f t="shared" si="6"/>
        <v>0</v>
      </c>
      <c r="R2498" s="24">
        <f t="shared" si="7"/>
        <v>0</v>
      </c>
      <c r="S2498" s="24"/>
      <c r="T2498" s="24"/>
    </row>
    <row r="2499">
      <c r="A2499" s="12" t="s">
        <v>2587</v>
      </c>
      <c r="F2499" s="19">
        <f>IFERROR(__xludf.DUMMYFUNCTION("SPLIT(A2495, "" |"")"),2493.0)</f>
        <v>2493</v>
      </c>
      <c r="G2499" s="19">
        <f>IFERROR(__xludf.DUMMYFUNCTION("""COMPUTED_VALUE"""),0.00224)</f>
        <v>0.00224</v>
      </c>
      <c r="H2499" s="19" t="str">
        <f>IFERROR(__xludf.DUMMYFUNCTION("""COMPUTED_VALUE"""),"-")</f>
        <v>-</v>
      </c>
      <c r="I2499" s="19">
        <f>IFERROR(__xludf.DUMMYFUNCTION("""COMPUTED_VALUE"""),0.00207)</f>
        <v>0.00207</v>
      </c>
      <c r="J2499" s="19">
        <f>IFERROR(__xludf.DUMMYFUNCTION("""COMPUTED_VALUE"""),0.04728)</f>
        <v>0.04728</v>
      </c>
      <c r="K2499" s="19" t="str">
        <f>IFERROR(__xludf.DUMMYFUNCTION("""COMPUTED_VALUE"""),"-")</f>
        <v>-</v>
      </c>
      <c r="L2499" s="19" t="str">
        <f>IFERROR(__xludf.DUMMYFUNCTION("""COMPUTED_VALUE"""),"-")</f>
        <v>-</v>
      </c>
      <c r="O2499" s="24">
        <f t="shared" si="4"/>
        <v>0</v>
      </c>
      <c r="P2499" s="24"/>
      <c r="Q2499" s="24">
        <f t="shared" si="6"/>
        <v>0</v>
      </c>
      <c r="R2499" s="24">
        <f t="shared" si="7"/>
        <v>0</v>
      </c>
      <c r="S2499" s="24"/>
      <c r="T2499" s="24"/>
    </row>
    <row r="2500">
      <c r="A2500" s="12" t="s">
        <v>2588</v>
      </c>
      <c r="F2500" s="19">
        <f>IFERROR(__xludf.DUMMYFUNCTION("SPLIT(A2496, "" |"")"),2494.0)</f>
        <v>2494</v>
      </c>
      <c r="G2500" s="19">
        <f>IFERROR(__xludf.DUMMYFUNCTION("""COMPUTED_VALUE"""),0.00231)</f>
        <v>0.00231</v>
      </c>
      <c r="H2500" s="19" t="str">
        <f>IFERROR(__xludf.DUMMYFUNCTION("""COMPUTED_VALUE"""),"-")</f>
        <v>-</v>
      </c>
      <c r="I2500" s="19">
        <f>IFERROR(__xludf.DUMMYFUNCTION("""COMPUTED_VALUE"""),0.00206)</f>
        <v>0.00206</v>
      </c>
      <c r="J2500" s="19">
        <f>IFERROR(__xludf.DUMMYFUNCTION("""COMPUTED_VALUE"""),0.04727)</f>
        <v>0.04727</v>
      </c>
      <c r="K2500" s="19" t="str">
        <f>IFERROR(__xludf.DUMMYFUNCTION("""COMPUTED_VALUE"""),"-")</f>
        <v>-</v>
      </c>
      <c r="L2500" s="19" t="str">
        <f>IFERROR(__xludf.DUMMYFUNCTION("""COMPUTED_VALUE"""),"-")</f>
        <v>-</v>
      </c>
      <c r="O2500" s="24">
        <f t="shared" si="4"/>
        <v>0</v>
      </c>
      <c r="P2500" s="24"/>
      <c r="Q2500" s="24">
        <f t="shared" si="6"/>
        <v>0</v>
      </c>
      <c r="R2500" s="24">
        <f t="shared" si="7"/>
        <v>0</v>
      </c>
      <c r="S2500" s="24"/>
      <c r="T2500" s="24"/>
    </row>
    <row r="2501">
      <c r="A2501" s="12" t="s">
        <v>2589</v>
      </c>
      <c r="F2501" s="19">
        <f>IFERROR(__xludf.DUMMYFUNCTION("SPLIT(A2497, "" |"")"),2495.0)</f>
        <v>2495</v>
      </c>
      <c r="G2501" s="19">
        <f>IFERROR(__xludf.DUMMYFUNCTION("""COMPUTED_VALUE"""),0.00223)</f>
        <v>0.00223</v>
      </c>
      <c r="H2501" s="19" t="str">
        <f>IFERROR(__xludf.DUMMYFUNCTION("""COMPUTED_VALUE"""),"-")</f>
        <v>-</v>
      </c>
      <c r="I2501" s="19">
        <f>IFERROR(__xludf.DUMMYFUNCTION("""COMPUTED_VALUE"""),0.00207)</f>
        <v>0.00207</v>
      </c>
      <c r="J2501" s="19">
        <f>IFERROR(__xludf.DUMMYFUNCTION("""COMPUTED_VALUE"""),0.04275)</f>
        <v>0.04275</v>
      </c>
      <c r="K2501" s="19" t="str">
        <f>IFERROR(__xludf.DUMMYFUNCTION("""COMPUTED_VALUE"""),"-")</f>
        <v>-</v>
      </c>
      <c r="L2501" s="19" t="str">
        <f>IFERROR(__xludf.DUMMYFUNCTION("""COMPUTED_VALUE"""),"-")</f>
        <v>-</v>
      </c>
      <c r="O2501" s="24">
        <f t="shared" si="4"/>
        <v>0</v>
      </c>
      <c r="P2501" s="24"/>
      <c r="Q2501" s="24">
        <f t="shared" si="6"/>
        <v>0</v>
      </c>
      <c r="R2501" s="24">
        <f t="shared" si="7"/>
        <v>1</v>
      </c>
      <c r="S2501" s="24"/>
      <c r="T2501" s="24"/>
    </row>
    <row r="2502">
      <c r="A2502" s="12" t="s">
        <v>2590</v>
      </c>
      <c r="F2502" s="19">
        <f>IFERROR(__xludf.DUMMYFUNCTION("SPLIT(A2498, "" |"")"),2496.0)</f>
        <v>2496</v>
      </c>
      <c r="G2502" s="19">
        <f>IFERROR(__xludf.DUMMYFUNCTION("""COMPUTED_VALUE"""),0.00217)</f>
        <v>0.00217</v>
      </c>
      <c r="H2502" s="19" t="str">
        <f>IFERROR(__xludf.DUMMYFUNCTION("""COMPUTED_VALUE"""),"-")</f>
        <v>-</v>
      </c>
      <c r="I2502" s="19">
        <f>IFERROR(__xludf.DUMMYFUNCTION("""COMPUTED_VALUE"""),0.00207)</f>
        <v>0.00207</v>
      </c>
      <c r="J2502" s="19">
        <f>IFERROR(__xludf.DUMMYFUNCTION("""COMPUTED_VALUE"""),0.04719)</f>
        <v>0.04719</v>
      </c>
      <c r="K2502" s="19" t="str">
        <f>IFERROR(__xludf.DUMMYFUNCTION("""COMPUTED_VALUE"""),"-")</f>
        <v>-</v>
      </c>
      <c r="L2502" s="19" t="str">
        <f>IFERROR(__xludf.DUMMYFUNCTION("""COMPUTED_VALUE"""),"-")</f>
        <v>-</v>
      </c>
      <c r="O2502" s="24">
        <f t="shared" si="4"/>
        <v>0</v>
      </c>
      <c r="P2502" s="24"/>
      <c r="Q2502" s="24">
        <f t="shared" si="6"/>
        <v>0</v>
      </c>
      <c r="R2502" s="24">
        <f t="shared" si="7"/>
        <v>0</v>
      </c>
      <c r="S2502" s="24"/>
      <c r="T2502" s="24"/>
    </row>
    <row r="2503">
      <c r="A2503" s="12" t="s">
        <v>2591</v>
      </c>
      <c r="F2503" s="19">
        <f>IFERROR(__xludf.DUMMYFUNCTION("SPLIT(A2499, "" |"")"),2497.0)</f>
        <v>2497</v>
      </c>
      <c r="G2503" s="19">
        <f>IFERROR(__xludf.DUMMYFUNCTION("""COMPUTED_VALUE"""),0.00218)</f>
        <v>0.00218</v>
      </c>
      <c r="H2503" s="19" t="str">
        <f>IFERROR(__xludf.DUMMYFUNCTION("""COMPUTED_VALUE"""),"-")</f>
        <v>-</v>
      </c>
      <c r="I2503" s="19">
        <f>IFERROR(__xludf.DUMMYFUNCTION("""COMPUTED_VALUE"""),0.00207)</f>
        <v>0.00207</v>
      </c>
      <c r="J2503" s="19">
        <f>IFERROR(__xludf.DUMMYFUNCTION("""COMPUTED_VALUE"""),0.04431)</f>
        <v>0.04431</v>
      </c>
      <c r="K2503" s="19" t="str">
        <f>IFERROR(__xludf.DUMMYFUNCTION("""COMPUTED_VALUE"""),"-")</f>
        <v>-</v>
      </c>
      <c r="L2503" s="19" t="str">
        <f>IFERROR(__xludf.DUMMYFUNCTION("""COMPUTED_VALUE"""),"-")</f>
        <v>-</v>
      </c>
      <c r="O2503" s="24">
        <f t="shared" si="4"/>
        <v>0</v>
      </c>
      <c r="P2503" s="24"/>
      <c r="Q2503" s="24">
        <f t="shared" si="6"/>
        <v>0</v>
      </c>
      <c r="R2503" s="24">
        <f t="shared" si="7"/>
        <v>1</v>
      </c>
      <c r="S2503" s="24"/>
      <c r="T2503" s="24"/>
    </row>
    <row r="2504">
      <c r="A2504" s="12" t="s">
        <v>2592</v>
      </c>
      <c r="F2504" s="19">
        <f>IFERROR(__xludf.DUMMYFUNCTION("SPLIT(A2500, "" |"")"),2498.0)</f>
        <v>2498</v>
      </c>
      <c r="G2504" s="19">
        <f>IFERROR(__xludf.DUMMYFUNCTION("""COMPUTED_VALUE"""),0.00218)</f>
        <v>0.00218</v>
      </c>
      <c r="H2504" s="19" t="str">
        <f>IFERROR(__xludf.DUMMYFUNCTION("""COMPUTED_VALUE"""),"-")</f>
        <v>-</v>
      </c>
      <c r="I2504" s="19">
        <f>IFERROR(__xludf.DUMMYFUNCTION("""COMPUTED_VALUE"""),0.00206)</f>
        <v>0.00206</v>
      </c>
      <c r="J2504" s="19">
        <f>IFERROR(__xludf.DUMMYFUNCTION("""COMPUTED_VALUE"""),0.04726)</f>
        <v>0.04726</v>
      </c>
      <c r="K2504" s="19" t="str">
        <f>IFERROR(__xludf.DUMMYFUNCTION("""COMPUTED_VALUE"""),"-")</f>
        <v>-</v>
      </c>
      <c r="L2504" s="19" t="str">
        <f>IFERROR(__xludf.DUMMYFUNCTION("""COMPUTED_VALUE"""),"-")</f>
        <v>-</v>
      </c>
      <c r="O2504" s="24">
        <f t="shared" si="4"/>
        <v>0</v>
      </c>
      <c r="P2504" s="24"/>
      <c r="Q2504" s="24">
        <f t="shared" si="6"/>
        <v>0</v>
      </c>
      <c r="R2504" s="24">
        <f t="shared" si="7"/>
        <v>0</v>
      </c>
      <c r="S2504" s="24"/>
      <c r="T2504" s="24"/>
    </row>
    <row r="2505">
      <c r="A2505" s="12" t="s">
        <v>2593</v>
      </c>
      <c r="F2505" s="19">
        <f>IFERROR(__xludf.DUMMYFUNCTION("SPLIT(A2501, "" |"")"),2499.0)</f>
        <v>2499</v>
      </c>
      <c r="G2505" s="19">
        <f>IFERROR(__xludf.DUMMYFUNCTION("""COMPUTED_VALUE"""),0.00225)</f>
        <v>0.00225</v>
      </c>
      <c r="H2505" s="19" t="str">
        <f>IFERROR(__xludf.DUMMYFUNCTION("""COMPUTED_VALUE"""),"-")</f>
        <v>-</v>
      </c>
      <c r="I2505" s="19">
        <f>IFERROR(__xludf.DUMMYFUNCTION("""COMPUTED_VALUE"""),0.00209)</f>
        <v>0.00209</v>
      </c>
      <c r="J2505" s="19">
        <f>IFERROR(__xludf.DUMMYFUNCTION("""COMPUTED_VALUE"""),0.04603)</f>
        <v>0.04603</v>
      </c>
      <c r="K2505" s="19" t="str">
        <f>IFERROR(__xludf.DUMMYFUNCTION("""COMPUTED_VALUE"""),"-")</f>
        <v>-</v>
      </c>
      <c r="L2505" s="19" t="str">
        <f>IFERROR(__xludf.DUMMYFUNCTION("""COMPUTED_VALUE"""),"-")</f>
        <v>-</v>
      </c>
      <c r="O2505" s="24">
        <f t="shared" si="4"/>
        <v>0</v>
      </c>
      <c r="P2505" s="24"/>
      <c r="Q2505" s="24">
        <f t="shared" si="6"/>
        <v>0</v>
      </c>
      <c r="R2505" s="24">
        <f t="shared" si="7"/>
        <v>0</v>
      </c>
      <c r="S2505" s="24"/>
      <c r="T2505" s="24"/>
    </row>
    <row r="2506">
      <c r="A2506" s="12" t="s">
        <v>2594</v>
      </c>
      <c r="F2506" s="19">
        <f>IFERROR(__xludf.DUMMYFUNCTION("SPLIT(A2502, "" |"")"),2500.0)</f>
        <v>2500</v>
      </c>
      <c r="G2506" s="19">
        <f>IFERROR(__xludf.DUMMYFUNCTION("""COMPUTED_VALUE"""),0.0022)</f>
        <v>0.0022</v>
      </c>
      <c r="H2506" s="19" t="str">
        <f>IFERROR(__xludf.DUMMYFUNCTION("""COMPUTED_VALUE"""),"-")</f>
        <v>-</v>
      </c>
      <c r="I2506" s="19">
        <f>IFERROR(__xludf.DUMMYFUNCTION("""COMPUTED_VALUE"""),0.00223)</f>
        <v>0.00223</v>
      </c>
      <c r="J2506" s="19">
        <f>IFERROR(__xludf.DUMMYFUNCTION("""COMPUTED_VALUE"""),0.0473)</f>
        <v>0.0473</v>
      </c>
      <c r="K2506" s="19" t="str">
        <f>IFERROR(__xludf.DUMMYFUNCTION("""COMPUTED_VALUE"""),"-")</f>
        <v>-</v>
      </c>
      <c r="L2506" s="19" t="str">
        <f>IFERROR(__xludf.DUMMYFUNCTION("""COMPUTED_VALUE"""),"-")</f>
        <v>-</v>
      </c>
      <c r="O2506" s="24">
        <f t="shared" si="4"/>
        <v>0</v>
      </c>
      <c r="P2506" s="24"/>
      <c r="Q2506" s="24">
        <f t="shared" si="6"/>
        <v>0</v>
      </c>
      <c r="R2506" s="24">
        <f t="shared" si="7"/>
        <v>0</v>
      </c>
      <c r="S2506" s="24"/>
      <c r="T2506" s="24"/>
    </row>
    <row r="2507">
      <c r="A2507" s="12" t="s">
        <v>2595</v>
      </c>
      <c r="F2507" s="19">
        <f>IFERROR(__xludf.DUMMYFUNCTION("SPLIT(A2503, "" |"")"),2501.0)</f>
        <v>2501</v>
      </c>
      <c r="G2507" s="19">
        <f>IFERROR(__xludf.DUMMYFUNCTION("""COMPUTED_VALUE"""),0.00232)</f>
        <v>0.00232</v>
      </c>
      <c r="H2507" s="19" t="str">
        <f>IFERROR(__xludf.DUMMYFUNCTION("""COMPUTED_VALUE"""),"-")</f>
        <v>-</v>
      </c>
      <c r="I2507" s="19">
        <f>IFERROR(__xludf.DUMMYFUNCTION("""COMPUTED_VALUE"""),0.00213)</f>
        <v>0.00213</v>
      </c>
      <c r="J2507" s="19">
        <f>IFERROR(__xludf.DUMMYFUNCTION("""COMPUTED_VALUE"""),0.04733)</f>
        <v>0.04733</v>
      </c>
      <c r="K2507" s="19" t="str">
        <f>IFERROR(__xludf.DUMMYFUNCTION("""COMPUTED_VALUE"""),"-")</f>
        <v>-</v>
      </c>
      <c r="L2507" s="19" t="str">
        <f>IFERROR(__xludf.DUMMYFUNCTION("""COMPUTED_VALUE"""),"-")</f>
        <v>-</v>
      </c>
      <c r="O2507" s="24">
        <f t="shared" si="4"/>
        <v>0</v>
      </c>
      <c r="P2507" s="24"/>
      <c r="Q2507" s="24">
        <f t="shared" si="6"/>
        <v>0</v>
      </c>
      <c r="R2507" s="24">
        <f t="shared" si="7"/>
        <v>0</v>
      </c>
      <c r="S2507" s="24"/>
      <c r="T2507" s="24"/>
    </row>
    <row r="2508">
      <c r="A2508" s="12" t="s">
        <v>2596</v>
      </c>
      <c r="F2508" s="19">
        <f>IFERROR(__xludf.DUMMYFUNCTION("SPLIT(A2504, "" |"")"),2502.0)</f>
        <v>2502</v>
      </c>
      <c r="G2508" s="19">
        <f>IFERROR(__xludf.DUMMYFUNCTION("""COMPUTED_VALUE"""),0.00221)</f>
        <v>0.00221</v>
      </c>
      <c r="H2508" s="19" t="str">
        <f>IFERROR(__xludf.DUMMYFUNCTION("""COMPUTED_VALUE"""),"-")</f>
        <v>-</v>
      </c>
      <c r="I2508" s="19">
        <f>IFERROR(__xludf.DUMMYFUNCTION("""COMPUTED_VALUE"""),0.00208)</f>
        <v>0.00208</v>
      </c>
      <c r="J2508" s="19">
        <f>IFERROR(__xludf.DUMMYFUNCTION("""COMPUTED_VALUE"""),0.04727)</f>
        <v>0.04727</v>
      </c>
      <c r="K2508" s="19" t="str">
        <f>IFERROR(__xludf.DUMMYFUNCTION("""COMPUTED_VALUE"""),"-")</f>
        <v>-</v>
      </c>
      <c r="L2508" s="19" t="str">
        <f>IFERROR(__xludf.DUMMYFUNCTION("""COMPUTED_VALUE"""),"-")</f>
        <v>-</v>
      </c>
      <c r="O2508" s="24">
        <f t="shared" si="4"/>
        <v>0</v>
      </c>
      <c r="P2508" s="24"/>
      <c r="Q2508" s="24">
        <f t="shared" si="6"/>
        <v>0</v>
      </c>
      <c r="R2508" s="24">
        <f t="shared" si="7"/>
        <v>0</v>
      </c>
      <c r="S2508" s="24"/>
      <c r="T2508" s="24"/>
    </row>
    <row r="2509">
      <c r="A2509" s="12" t="s">
        <v>2597</v>
      </c>
      <c r="F2509" s="19">
        <f>IFERROR(__xludf.DUMMYFUNCTION("SPLIT(A2505, "" |"")"),2503.0)</f>
        <v>2503</v>
      </c>
      <c r="G2509" s="19">
        <f>IFERROR(__xludf.DUMMYFUNCTION("""COMPUTED_VALUE"""),0.00226)</f>
        <v>0.00226</v>
      </c>
      <c r="H2509" s="19" t="str">
        <f>IFERROR(__xludf.DUMMYFUNCTION("""COMPUTED_VALUE"""),"-")</f>
        <v>-</v>
      </c>
      <c r="I2509" s="19">
        <f>IFERROR(__xludf.DUMMYFUNCTION("""COMPUTED_VALUE"""),0.00209)</f>
        <v>0.00209</v>
      </c>
      <c r="J2509" s="19">
        <f>IFERROR(__xludf.DUMMYFUNCTION("""COMPUTED_VALUE"""),0.04241)</f>
        <v>0.04241</v>
      </c>
      <c r="K2509" s="19" t="str">
        <f>IFERROR(__xludf.DUMMYFUNCTION("""COMPUTED_VALUE"""),"-")</f>
        <v>-</v>
      </c>
      <c r="L2509" s="19" t="str">
        <f>IFERROR(__xludf.DUMMYFUNCTION("""COMPUTED_VALUE"""),"-")</f>
        <v>-</v>
      </c>
      <c r="O2509" s="24">
        <f t="shared" si="4"/>
        <v>0</v>
      </c>
      <c r="P2509" s="24"/>
      <c r="Q2509" s="24">
        <f t="shared" si="6"/>
        <v>0</v>
      </c>
      <c r="R2509" s="24">
        <f t="shared" si="7"/>
        <v>1</v>
      </c>
      <c r="S2509" s="24"/>
      <c r="T2509" s="24"/>
    </row>
    <row r="2510">
      <c r="A2510" s="12" t="s">
        <v>2598</v>
      </c>
      <c r="F2510" s="19">
        <f>IFERROR(__xludf.DUMMYFUNCTION("SPLIT(A2506, "" |"")"),2504.0)</f>
        <v>2504</v>
      </c>
      <c r="G2510" s="19">
        <f>IFERROR(__xludf.DUMMYFUNCTION("""COMPUTED_VALUE"""),0.00223)</f>
        <v>0.00223</v>
      </c>
      <c r="H2510" s="19" t="str">
        <f>IFERROR(__xludf.DUMMYFUNCTION("""COMPUTED_VALUE"""),"-")</f>
        <v>-</v>
      </c>
      <c r="I2510" s="19">
        <f>IFERROR(__xludf.DUMMYFUNCTION("""COMPUTED_VALUE"""),0.00207)</f>
        <v>0.00207</v>
      </c>
      <c r="J2510" s="19">
        <f>IFERROR(__xludf.DUMMYFUNCTION("""COMPUTED_VALUE"""),0.04729)</f>
        <v>0.04729</v>
      </c>
      <c r="K2510" s="19" t="str">
        <f>IFERROR(__xludf.DUMMYFUNCTION("""COMPUTED_VALUE"""),"-")</f>
        <v>-</v>
      </c>
      <c r="L2510" s="19" t="str">
        <f>IFERROR(__xludf.DUMMYFUNCTION("""COMPUTED_VALUE"""),"-")</f>
        <v>-</v>
      </c>
      <c r="O2510" s="24">
        <f t="shared" si="4"/>
        <v>0</v>
      </c>
      <c r="P2510" s="24"/>
      <c r="Q2510" s="24">
        <f t="shared" si="6"/>
        <v>0</v>
      </c>
      <c r="R2510" s="24">
        <f t="shared" si="7"/>
        <v>0</v>
      </c>
      <c r="S2510" s="24"/>
      <c r="T2510" s="24"/>
    </row>
    <row r="2511">
      <c r="A2511" s="12" t="s">
        <v>2599</v>
      </c>
      <c r="F2511" s="19">
        <f>IFERROR(__xludf.DUMMYFUNCTION("SPLIT(A2507, "" |"")"),2505.0)</f>
        <v>2505</v>
      </c>
      <c r="G2511" s="19">
        <f>IFERROR(__xludf.DUMMYFUNCTION("""COMPUTED_VALUE"""),0.00225)</f>
        <v>0.00225</v>
      </c>
      <c r="H2511" s="19" t="str">
        <f>IFERROR(__xludf.DUMMYFUNCTION("""COMPUTED_VALUE"""),"-")</f>
        <v>-</v>
      </c>
      <c r="I2511" s="19">
        <f>IFERROR(__xludf.DUMMYFUNCTION("""COMPUTED_VALUE"""),0.0021)</f>
        <v>0.0021</v>
      </c>
      <c r="J2511" s="19">
        <f>IFERROR(__xludf.DUMMYFUNCTION("""COMPUTED_VALUE"""),0.04728)</f>
        <v>0.04728</v>
      </c>
      <c r="K2511" s="19" t="str">
        <f>IFERROR(__xludf.DUMMYFUNCTION("""COMPUTED_VALUE"""),"-")</f>
        <v>-</v>
      </c>
      <c r="L2511" s="19" t="str">
        <f>IFERROR(__xludf.DUMMYFUNCTION("""COMPUTED_VALUE"""),"-")</f>
        <v>-</v>
      </c>
      <c r="O2511" s="24">
        <f t="shared" si="4"/>
        <v>0</v>
      </c>
      <c r="P2511" s="24"/>
      <c r="Q2511" s="24">
        <f t="shared" si="6"/>
        <v>0</v>
      </c>
      <c r="R2511" s="24">
        <f t="shared" si="7"/>
        <v>0</v>
      </c>
      <c r="S2511" s="24"/>
      <c r="T2511" s="24"/>
    </row>
    <row r="2512">
      <c r="A2512" s="12" t="s">
        <v>2600</v>
      </c>
      <c r="F2512" s="19">
        <f>IFERROR(__xludf.DUMMYFUNCTION("SPLIT(A2508, "" |"")"),2506.0)</f>
        <v>2506</v>
      </c>
      <c r="G2512" s="19">
        <f>IFERROR(__xludf.DUMMYFUNCTION("""COMPUTED_VALUE"""),0.00219)</f>
        <v>0.00219</v>
      </c>
      <c r="H2512" s="19" t="str">
        <f>IFERROR(__xludf.DUMMYFUNCTION("""COMPUTED_VALUE"""),"-")</f>
        <v>-</v>
      </c>
      <c r="I2512" s="19">
        <f>IFERROR(__xludf.DUMMYFUNCTION("""COMPUTED_VALUE"""),0.00208)</f>
        <v>0.00208</v>
      </c>
      <c r="J2512" s="19">
        <f>IFERROR(__xludf.DUMMYFUNCTION("""COMPUTED_VALUE"""),0.04731)</f>
        <v>0.04731</v>
      </c>
      <c r="K2512" s="19" t="str">
        <f>IFERROR(__xludf.DUMMYFUNCTION("""COMPUTED_VALUE"""),"-")</f>
        <v>-</v>
      </c>
      <c r="L2512" s="19" t="str">
        <f>IFERROR(__xludf.DUMMYFUNCTION("""COMPUTED_VALUE"""),"-")</f>
        <v>-</v>
      </c>
      <c r="O2512" s="24">
        <f t="shared" si="4"/>
        <v>0</v>
      </c>
      <c r="P2512" s="24"/>
      <c r="Q2512" s="24">
        <f t="shared" si="6"/>
        <v>0</v>
      </c>
      <c r="R2512" s="24">
        <f t="shared" si="7"/>
        <v>0</v>
      </c>
      <c r="S2512" s="24"/>
      <c r="T2512" s="24"/>
    </row>
    <row r="2513">
      <c r="A2513" s="12" t="s">
        <v>2601</v>
      </c>
      <c r="F2513" s="19">
        <f>IFERROR(__xludf.DUMMYFUNCTION("SPLIT(A2509, "" |"")"),2507.0)</f>
        <v>2507</v>
      </c>
      <c r="G2513" s="19">
        <f>IFERROR(__xludf.DUMMYFUNCTION("""COMPUTED_VALUE"""),0.00225)</f>
        <v>0.00225</v>
      </c>
      <c r="H2513" s="19" t="str">
        <f>IFERROR(__xludf.DUMMYFUNCTION("""COMPUTED_VALUE"""),"-")</f>
        <v>-</v>
      </c>
      <c r="I2513" s="19">
        <f>IFERROR(__xludf.DUMMYFUNCTION("""COMPUTED_VALUE"""),0.0021)</f>
        <v>0.0021</v>
      </c>
      <c r="J2513" s="19">
        <f>IFERROR(__xludf.DUMMYFUNCTION("""COMPUTED_VALUE"""),0.04553)</f>
        <v>0.04553</v>
      </c>
      <c r="K2513" s="19" t="str">
        <f>IFERROR(__xludf.DUMMYFUNCTION("""COMPUTED_VALUE"""),"-")</f>
        <v>-</v>
      </c>
      <c r="L2513" s="19" t="str">
        <f>IFERROR(__xludf.DUMMYFUNCTION("""COMPUTED_VALUE"""),"-")</f>
        <v>-</v>
      </c>
      <c r="O2513" s="24">
        <f t="shared" si="4"/>
        <v>0</v>
      </c>
      <c r="P2513" s="24"/>
      <c r="Q2513" s="24">
        <f t="shared" si="6"/>
        <v>0</v>
      </c>
      <c r="R2513" s="24">
        <f t="shared" si="7"/>
        <v>0</v>
      </c>
      <c r="S2513" s="24"/>
      <c r="T2513" s="24"/>
    </row>
    <row r="2514">
      <c r="A2514" s="12" t="s">
        <v>2602</v>
      </c>
      <c r="F2514" s="19">
        <f>IFERROR(__xludf.DUMMYFUNCTION("SPLIT(A2510, "" |"")"),2508.0)</f>
        <v>2508</v>
      </c>
      <c r="G2514" s="19">
        <f>IFERROR(__xludf.DUMMYFUNCTION("""COMPUTED_VALUE"""),0.00222)</f>
        <v>0.00222</v>
      </c>
      <c r="H2514" s="19" t="str">
        <f>IFERROR(__xludf.DUMMYFUNCTION("""COMPUTED_VALUE"""),"-")</f>
        <v>-</v>
      </c>
      <c r="I2514" s="19">
        <f>IFERROR(__xludf.DUMMYFUNCTION("""COMPUTED_VALUE"""),0.00208)</f>
        <v>0.00208</v>
      </c>
      <c r="J2514" s="19">
        <f>IFERROR(__xludf.DUMMYFUNCTION("""COMPUTED_VALUE"""),0.04729)</f>
        <v>0.04729</v>
      </c>
      <c r="K2514" s="19" t="str">
        <f>IFERROR(__xludf.DUMMYFUNCTION("""COMPUTED_VALUE"""),"-")</f>
        <v>-</v>
      </c>
      <c r="L2514" s="19" t="str">
        <f>IFERROR(__xludf.DUMMYFUNCTION("""COMPUTED_VALUE"""),"-")</f>
        <v>-</v>
      </c>
      <c r="O2514" s="24">
        <f t="shared" si="4"/>
        <v>0</v>
      </c>
      <c r="P2514" s="24"/>
      <c r="Q2514" s="24">
        <f t="shared" si="6"/>
        <v>0</v>
      </c>
      <c r="R2514" s="24">
        <f t="shared" si="7"/>
        <v>0</v>
      </c>
      <c r="S2514" s="24"/>
      <c r="T2514" s="24"/>
    </row>
    <row r="2515">
      <c r="A2515" s="12" t="s">
        <v>2603</v>
      </c>
      <c r="F2515" s="19">
        <f>IFERROR(__xludf.DUMMYFUNCTION("SPLIT(A2511, "" |"")"),2509.0)</f>
        <v>2509</v>
      </c>
      <c r="G2515" s="19">
        <f>IFERROR(__xludf.DUMMYFUNCTION("""COMPUTED_VALUE"""),0.00221)</f>
        <v>0.00221</v>
      </c>
      <c r="H2515" s="19" t="str">
        <f>IFERROR(__xludf.DUMMYFUNCTION("""COMPUTED_VALUE"""),"-")</f>
        <v>-</v>
      </c>
      <c r="I2515" s="19">
        <f>IFERROR(__xludf.DUMMYFUNCTION("""COMPUTED_VALUE"""),0.00207)</f>
        <v>0.00207</v>
      </c>
      <c r="J2515" s="19">
        <f>IFERROR(__xludf.DUMMYFUNCTION("""COMPUTED_VALUE"""),0.04728)</f>
        <v>0.04728</v>
      </c>
      <c r="K2515" s="19" t="str">
        <f>IFERROR(__xludf.DUMMYFUNCTION("""COMPUTED_VALUE"""),"-")</f>
        <v>-</v>
      </c>
      <c r="L2515" s="19" t="str">
        <f>IFERROR(__xludf.DUMMYFUNCTION("""COMPUTED_VALUE"""),"-")</f>
        <v>-</v>
      </c>
      <c r="O2515" s="24">
        <f t="shared" si="4"/>
        <v>0</v>
      </c>
      <c r="P2515" s="24"/>
      <c r="Q2515" s="24">
        <f t="shared" si="6"/>
        <v>0</v>
      </c>
      <c r="R2515" s="24">
        <f t="shared" si="7"/>
        <v>0</v>
      </c>
      <c r="S2515" s="24"/>
      <c r="T2515" s="24"/>
    </row>
    <row r="2516">
      <c r="A2516" s="12" t="s">
        <v>2604</v>
      </c>
      <c r="F2516" s="19">
        <f>IFERROR(__xludf.DUMMYFUNCTION("SPLIT(A2512, "" |"")"),2510.0)</f>
        <v>2510</v>
      </c>
      <c r="G2516" s="19">
        <f>IFERROR(__xludf.DUMMYFUNCTION("""COMPUTED_VALUE"""),0.00222)</f>
        <v>0.00222</v>
      </c>
      <c r="H2516" s="19" t="str">
        <f>IFERROR(__xludf.DUMMYFUNCTION("""COMPUTED_VALUE"""),"-")</f>
        <v>-</v>
      </c>
      <c r="I2516" s="19">
        <f>IFERROR(__xludf.DUMMYFUNCTION("""COMPUTED_VALUE"""),0.0021)</f>
        <v>0.0021</v>
      </c>
      <c r="J2516" s="19">
        <f>IFERROR(__xludf.DUMMYFUNCTION("""COMPUTED_VALUE"""),0.04051)</f>
        <v>0.04051</v>
      </c>
      <c r="K2516" s="19" t="str">
        <f>IFERROR(__xludf.DUMMYFUNCTION("""COMPUTED_VALUE"""),"-")</f>
        <v>-</v>
      </c>
      <c r="L2516" s="19" t="str">
        <f>IFERROR(__xludf.DUMMYFUNCTION("""COMPUTED_VALUE"""),"-")</f>
        <v>-</v>
      </c>
      <c r="O2516" s="24">
        <f t="shared" si="4"/>
        <v>0</v>
      </c>
      <c r="P2516" s="24"/>
      <c r="Q2516" s="24">
        <f t="shared" si="6"/>
        <v>0</v>
      </c>
      <c r="R2516" s="24">
        <f t="shared" si="7"/>
        <v>1</v>
      </c>
      <c r="S2516" s="24"/>
      <c r="T2516" s="24"/>
    </row>
    <row r="2517">
      <c r="A2517" s="12" t="s">
        <v>2605</v>
      </c>
      <c r="F2517" s="19">
        <f>IFERROR(__xludf.DUMMYFUNCTION("SPLIT(A2513, "" |"")"),2511.0)</f>
        <v>2511</v>
      </c>
      <c r="G2517" s="19">
        <f>IFERROR(__xludf.DUMMYFUNCTION("""COMPUTED_VALUE"""),0.00217)</f>
        <v>0.00217</v>
      </c>
      <c r="H2517" s="19" t="str">
        <f>IFERROR(__xludf.DUMMYFUNCTION("""COMPUTED_VALUE"""),"-")</f>
        <v>-</v>
      </c>
      <c r="I2517" s="19">
        <f>IFERROR(__xludf.DUMMYFUNCTION("""COMPUTED_VALUE"""),0.00206)</f>
        <v>0.00206</v>
      </c>
      <c r="J2517" s="19">
        <f>IFERROR(__xludf.DUMMYFUNCTION("""COMPUTED_VALUE"""),0.04576)</f>
        <v>0.04576</v>
      </c>
      <c r="K2517" s="19" t="str">
        <f>IFERROR(__xludf.DUMMYFUNCTION("""COMPUTED_VALUE"""),"-")</f>
        <v>-</v>
      </c>
      <c r="L2517" s="19" t="str">
        <f>IFERROR(__xludf.DUMMYFUNCTION("""COMPUTED_VALUE"""),"-")</f>
        <v>-</v>
      </c>
      <c r="O2517" s="24">
        <f t="shared" si="4"/>
        <v>0</v>
      </c>
      <c r="P2517" s="24"/>
      <c r="Q2517" s="24">
        <f t="shared" si="6"/>
        <v>0</v>
      </c>
      <c r="R2517" s="24">
        <f t="shared" si="7"/>
        <v>0</v>
      </c>
      <c r="S2517" s="24"/>
      <c r="T2517" s="24"/>
    </row>
    <row r="2518">
      <c r="A2518" s="12" t="s">
        <v>2606</v>
      </c>
      <c r="F2518" s="19">
        <f>IFERROR(__xludf.DUMMYFUNCTION("SPLIT(A2514, "" |"")"),2512.0)</f>
        <v>2512</v>
      </c>
      <c r="G2518" s="19">
        <f>IFERROR(__xludf.DUMMYFUNCTION("""COMPUTED_VALUE"""),0.0022)</f>
        <v>0.0022</v>
      </c>
      <c r="H2518" s="19" t="str">
        <f>IFERROR(__xludf.DUMMYFUNCTION("""COMPUTED_VALUE"""),"-")</f>
        <v>-</v>
      </c>
      <c r="I2518" s="19">
        <f>IFERROR(__xludf.DUMMYFUNCTION("""COMPUTED_VALUE"""),0.00206)</f>
        <v>0.00206</v>
      </c>
      <c r="J2518" s="19">
        <f>IFERROR(__xludf.DUMMYFUNCTION("""COMPUTED_VALUE"""),0.04731)</f>
        <v>0.04731</v>
      </c>
      <c r="K2518" s="19" t="str">
        <f>IFERROR(__xludf.DUMMYFUNCTION("""COMPUTED_VALUE"""),"-")</f>
        <v>-</v>
      </c>
      <c r="L2518" s="19" t="str">
        <f>IFERROR(__xludf.DUMMYFUNCTION("""COMPUTED_VALUE"""),"-")</f>
        <v>-</v>
      </c>
      <c r="O2518" s="24">
        <f t="shared" si="4"/>
        <v>0</v>
      </c>
      <c r="P2518" s="24"/>
      <c r="Q2518" s="24">
        <f t="shared" si="6"/>
        <v>0</v>
      </c>
      <c r="R2518" s="24">
        <f t="shared" si="7"/>
        <v>0</v>
      </c>
      <c r="S2518" s="24"/>
      <c r="T2518" s="24"/>
    </row>
    <row r="2519">
      <c r="A2519" s="12" t="s">
        <v>2607</v>
      </c>
      <c r="F2519" s="19">
        <f>IFERROR(__xludf.DUMMYFUNCTION("SPLIT(A2515, "" |"")"),2513.0)</f>
        <v>2513</v>
      </c>
      <c r="G2519" s="19">
        <f>IFERROR(__xludf.DUMMYFUNCTION("""COMPUTED_VALUE"""),0.00224)</f>
        <v>0.00224</v>
      </c>
      <c r="H2519" s="19" t="str">
        <f>IFERROR(__xludf.DUMMYFUNCTION("""COMPUTED_VALUE"""),"-")</f>
        <v>-</v>
      </c>
      <c r="I2519" s="19">
        <f>IFERROR(__xludf.DUMMYFUNCTION("""COMPUTED_VALUE"""),0.00208)</f>
        <v>0.00208</v>
      </c>
      <c r="J2519" s="19">
        <f>IFERROR(__xludf.DUMMYFUNCTION("""COMPUTED_VALUE"""),0.04722)</f>
        <v>0.04722</v>
      </c>
      <c r="K2519" s="19" t="str">
        <f>IFERROR(__xludf.DUMMYFUNCTION("""COMPUTED_VALUE"""),"-")</f>
        <v>-</v>
      </c>
      <c r="L2519" s="19" t="str">
        <f>IFERROR(__xludf.DUMMYFUNCTION("""COMPUTED_VALUE"""),"-")</f>
        <v>-</v>
      </c>
      <c r="O2519" s="24">
        <f t="shared" si="4"/>
        <v>0</v>
      </c>
      <c r="P2519" s="24"/>
      <c r="Q2519" s="24">
        <f t="shared" si="6"/>
        <v>0</v>
      </c>
      <c r="R2519" s="24">
        <f t="shared" si="7"/>
        <v>0</v>
      </c>
      <c r="S2519" s="24"/>
      <c r="T2519" s="24"/>
    </row>
    <row r="2520">
      <c r="A2520" s="12" t="s">
        <v>2608</v>
      </c>
      <c r="F2520" s="19">
        <f>IFERROR(__xludf.DUMMYFUNCTION("SPLIT(A2516, "" |"")"),2514.0)</f>
        <v>2514</v>
      </c>
      <c r="G2520" s="19">
        <f>IFERROR(__xludf.DUMMYFUNCTION("""COMPUTED_VALUE"""),0.00228)</f>
        <v>0.00228</v>
      </c>
      <c r="H2520" s="19" t="str">
        <f>IFERROR(__xludf.DUMMYFUNCTION("""COMPUTED_VALUE"""),"-")</f>
        <v>-</v>
      </c>
      <c r="I2520" s="19">
        <f>IFERROR(__xludf.DUMMYFUNCTION("""COMPUTED_VALUE"""),0.00209)</f>
        <v>0.00209</v>
      </c>
      <c r="J2520" s="19">
        <f>IFERROR(__xludf.DUMMYFUNCTION("""COMPUTED_VALUE"""),0.0473)</f>
        <v>0.0473</v>
      </c>
      <c r="K2520" s="19" t="str">
        <f>IFERROR(__xludf.DUMMYFUNCTION("""COMPUTED_VALUE"""),"-")</f>
        <v>-</v>
      </c>
      <c r="L2520" s="19" t="str">
        <f>IFERROR(__xludf.DUMMYFUNCTION("""COMPUTED_VALUE"""),"-")</f>
        <v>-</v>
      </c>
      <c r="O2520" s="24">
        <f t="shared" si="4"/>
        <v>0</v>
      </c>
      <c r="P2520" s="24"/>
      <c r="Q2520" s="24">
        <f t="shared" si="6"/>
        <v>0</v>
      </c>
      <c r="R2520" s="24">
        <f t="shared" si="7"/>
        <v>0</v>
      </c>
      <c r="S2520" s="24"/>
      <c r="T2520" s="24"/>
    </row>
    <row r="2521">
      <c r="A2521" s="12" t="s">
        <v>2609</v>
      </c>
      <c r="F2521" s="19">
        <f>IFERROR(__xludf.DUMMYFUNCTION("SPLIT(A2517, "" |"")"),2515.0)</f>
        <v>2515</v>
      </c>
      <c r="G2521" s="19">
        <f>IFERROR(__xludf.DUMMYFUNCTION("""COMPUTED_VALUE"""),0.0022)</f>
        <v>0.0022</v>
      </c>
      <c r="H2521" s="19" t="str">
        <f>IFERROR(__xludf.DUMMYFUNCTION("""COMPUTED_VALUE"""),"-")</f>
        <v>-</v>
      </c>
      <c r="I2521" s="19">
        <f>IFERROR(__xludf.DUMMYFUNCTION("""COMPUTED_VALUE"""),0.00207)</f>
        <v>0.00207</v>
      </c>
      <c r="J2521" s="19">
        <f>IFERROR(__xludf.DUMMYFUNCTION("""COMPUTED_VALUE"""),0.04279)</f>
        <v>0.04279</v>
      </c>
      <c r="K2521" s="19" t="str">
        <f>IFERROR(__xludf.DUMMYFUNCTION("""COMPUTED_VALUE"""),"-")</f>
        <v>-</v>
      </c>
      <c r="L2521" s="19" t="str">
        <f>IFERROR(__xludf.DUMMYFUNCTION("""COMPUTED_VALUE"""),"-")</f>
        <v>-</v>
      </c>
      <c r="O2521" s="24">
        <f t="shared" si="4"/>
        <v>0</v>
      </c>
      <c r="P2521" s="24"/>
      <c r="Q2521" s="24">
        <f t="shared" si="6"/>
        <v>0</v>
      </c>
      <c r="R2521" s="24">
        <f t="shared" si="7"/>
        <v>1</v>
      </c>
      <c r="S2521" s="24"/>
      <c r="T2521" s="24"/>
    </row>
    <row r="2522">
      <c r="A2522" s="12" t="s">
        <v>2610</v>
      </c>
      <c r="F2522" s="19">
        <f>IFERROR(__xludf.DUMMYFUNCTION("SPLIT(A2518, "" |"")"),2516.0)</f>
        <v>2516</v>
      </c>
      <c r="G2522" s="19">
        <f>IFERROR(__xludf.DUMMYFUNCTION("""COMPUTED_VALUE"""),0.00219)</f>
        <v>0.00219</v>
      </c>
      <c r="H2522" s="19" t="str">
        <f>IFERROR(__xludf.DUMMYFUNCTION("""COMPUTED_VALUE"""),"-")</f>
        <v>-</v>
      </c>
      <c r="I2522" s="19">
        <f>IFERROR(__xludf.DUMMYFUNCTION("""COMPUTED_VALUE"""),0.00207)</f>
        <v>0.00207</v>
      </c>
      <c r="J2522" s="19">
        <f>IFERROR(__xludf.DUMMYFUNCTION("""COMPUTED_VALUE"""),0.04721)</f>
        <v>0.04721</v>
      </c>
      <c r="K2522" s="19" t="str">
        <f>IFERROR(__xludf.DUMMYFUNCTION("""COMPUTED_VALUE"""),"-")</f>
        <v>-</v>
      </c>
      <c r="L2522" s="19" t="str">
        <f>IFERROR(__xludf.DUMMYFUNCTION("""COMPUTED_VALUE"""),"-")</f>
        <v>-</v>
      </c>
      <c r="O2522" s="24">
        <f t="shared" si="4"/>
        <v>0</v>
      </c>
      <c r="P2522" s="24"/>
      <c r="Q2522" s="24">
        <f t="shared" si="6"/>
        <v>0</v>
      </c>
      <c r="R2522" s="24">
        <f t="shared" si="7"/>
        <v>0</v>
      </c>
      <c r="S2522" s="24"/>
      <c r="T2522" s="24"/>
    </row>
    <row r="2523">
      <c r="A2523" s="12" t="s">
        <v>2611</v>
      </c>
      <c r="F2523" s="19">
        <f>IFERROR(__xludf.DUMMYFUNCTION("SPLIT(A2519, "" |"")"),2517.0)</f>
        <v>2517</v>
      </c>
      <c r="G2523" s="19">
        <f>IFERROR(__xludf.DUMMYFUNCTION("""COMPUTED_VALUE"""),0.00223)</f>
        <v>0.00223</v>
      </c>
      <c r="H2523" s="19" t="str">
        <f>IFERROR(__xludf.DUMMYFUNCTION("""COMPUTED_VALUE"""),"-")</f>
        <v>-</v>
      </c>
      <c r="I2523" s="19">
        <f>IFERROR(__xludf.DUMMYFUNCTION("""COMPUTED_VALUE"""),0.00207)</f>
        <v>0.00207</v>
      </c>
      <c r="J2523" s="19">
        <f>IFERROR(__xludf.DUMMYFUNCTION("""COMPUTED_VALUE"""),0.04729)</f>
        <v>0.04729</v>
      </c>
      <c r="K2523" s="19" t="str">
        <f>IFERROR(__xludf.DUMMYFUNCTION("""COMPUTED_VALUE"""),"-")</f>
        <v>-</v>
      </c>
      <c r="L2523" s="19" t="str">
        <f>IFERROR(__xludf.DUMMYFUNCTION("""COMPUTED_VALUE"""),"-")</f>
        <v>-</v>
      </c>
      <c r="O2523" s="24">
        <f t="shared" si="4"/>
        <v>0</v>
      </c>
      <c r="P2523" s="24"/>
      <c r="Q2523" s="24">
        <f t="shared" si="6"/>
        <v>0</v>
      </c>
      <c r="R2523" s="24">
        <f t="shared" si="7"/>
        <v>0</v>
      </c>
      <c r="S2523" s="24"/>
      <c r="T2523" s="24"/>
    </row>
    <row r="2524">
      <c r="A2524" s="12" t="s">
        <v>2612</v>
      </c>
      <c r="F2524" s="19">
        <f>IFERROR(__xludf.DUMMYFUNCTION("SPLIT(A2520, "" |"")"),2518.0)</f>
        <v>2518</v>
      </c>
      <c r="G2524" s="19">
        <f>IFERROR(__xludf.DUMMYFUNCTION("""COMPUTED_VALUE"""),0.00223)</f>
        <v>0.00223</v>
      </c>
      <c r="H2524" s="19" t="str">
        <f>IFERROR(__xludf.DUMMYFUNCTION("""COMPUTED_VALUE"""),"-")</f>
        <v>-</v>
      </c>
      <c r="I2524" s="19">
        <f>IFERROR(__xludf.DUMMYFUNCTION("""COMPUTED_VALUE"""),0.00209)</f>
        <v>0.00209</v>
      </c>
      <c r="J2524" s="19">
        <f>IFERROR(__xludf.DUMMYFUNCTION("""COMPUTED_VALUE"""),0.04724)</f>
        <v>0.04724</v>
      </c>
      <c r="K2524" s="19" t="str">
        <f>IFERROR(__xludf.DUMMYFUNCTION("""COMPUTED_VALUE"""),"-")</f>
        <v>-</v>
      </c>
      <c r="L2524" s="19" t="str">
        <f>IFERROR(__xludf.DUMMYFUNCTION("""COMPUTED_VALUE"""),"-")</f>
        <v>-</v>
      </c>
      <c r="O2524" s="24">
        <f t="shared" si="4"/>
        <v>0</v>
      </c>
      <c r="P2524" s="24"/>
      <c r="Q2524" s="24">
        <f t="shared" si="6"/>
        <v>0</v>
      </c>
      <c r="R2524" s="24">
        <f t="shared" si="7"/>
        <v>0</v>
      </c>
      <c r="S2524" s="24"/>
      <c r="T2524" s="24"/>
    </row>
    <row r="2525">
      <c r="A2525" s="12" t="s">
        <v>2613</v>
      </c>
      <c r="F2525" s="19">
        <f>IFERROR(__xludf.DUMMYFUNCTION("SPLIT(A2521, "" |"")"),2519.0)</f>
        <v>2519</v>
      </c>
      <c r="G2525" s="19">
        <f>IFERROR(__xludf.DUMMYFUNCTION("""COMPUTED_VALUE"""),0.00224)</f>
        <v>0.00224</v>
      </c>
      <c r="H2525" s="19" t="str">
        <f>IFERROR(__xludf.DUMMYFUNCTION("""COMPUTED_VALUE"""),"-")</f>
        <v>-</v>
      </c>
      <c r="I2525" s="19">
        <f>IFERROR(__xludf.DUMMYFUNCTION("""COMPUTED_VALUE"""),0.0021)</f>
        <v>0.0021</v>
      </c>
      <c r="J2525" s="19">
        <f>IFERROR(__xludf.DUMMYFUNCTION("""COMPUTED_VALUE"""),0.04084)</f>
        <v>0.04084</v>
      </c>
      <c r="K2525" s="19" t="str">
        <f>IFERROR(__xludf.DUMMYFUNCTION("""COMPUTED_VALUE"""),"-")</f>
        <v>-</v>
      </c>
      <c r="L2525" s="19" t="str">
        <f>IFERROR(__xludf.DUMMYFUNCTION("""COMPUTED_VALUE"""),"-")</f>
        <v>-</v>
      </c>
      <c r="O2525" s="24">
        <f t="shared" si="4"/>
        <v>0</v>
      </c>
      <c r="P2525" s="24"/>
      <c r="Q2525" s="24">
        <f t="shared" si="6"/>
        <v>0</v>
      </c>
      <c r="R2525" s="24">
        <f t="shared" si="7"/>
        <v>1</v>
      </c>
      <c r="S2525" s="24"/>
      <c r="T2525" s="24"/>
    </row>
    <row r="2526">
      <c r="A2526" s="12" t="s">
        <v>2614</v>
      </c>
      <c r="F2526" s="19">
        <f>IFERROR(__xludf.DUMMYFUNCTION("SPLIT(A2522, "" |"")"),2520.0)</f>
        <v>2520</v>
      </c>
      <c r="G2526" s="19">
        <f>IFERROR(__xludf.DUMMYFUNCTION("""COMPUTED_VALUE"""),0.00193)</f>
        <v>0.00193</v>
      </c>
      <c r="H2526" s="19" t="str">
        <f>IFERROR(__xludf.DUMMYFUNCTION("""COMPUTED_VALUE"""),"-")</f>
        <v>-</v>
      </c>
      <c r="I2526" s="19">
        <f>IFERROR(__xludf.DUMMYFUNCTION("""COMPUTED_VALUE"""),0.00209)</f>
        <v>0.00209</v>
      </c>
      <c r="J2526" s="19">
        <f>IFERROR(__xludf.DUMMYFUNCTION("""COMPUTED_VALUE"""),0.0473)</f>
        <v>0.0473</v>
      </c>
      <c r="K2526" s="19" t="str">
        <f>IFERROR(__xludf.DUMMYFUNCTION("""COMPUTED_VALUE"""),"-")</f>
        <v>-</v>
      </c>
      <c r="L2526" s="19" t="str">
        <f>IFERROR(__xludf.DUMMYFUNCTION("""COMPUTED_VALUE"""),"-")</f>
        <v>-</v>
      </c>
      <c r="O2526" s="24">
        <f t="shared" si="4"/>
        <v>0</v>
      </c>
      <c r="P2526" s="24"/>
      <c r="Q2526" s="24">
        <f t="shared" si="6"/>
        <v>0</v>
      </c>
      <c r="R2526" s="24">
        <f t="shared" si="7"/>
        <v>0</v>
      </c>
      <c r="S2526" s="24"/>
      <c r="T2526" s="24"/>
    </row>
    <row r="2527">
      <c r="A2527" s="12" t="s">
        <v>2615</v>
      </c>
      <c r="F2527" s="19">
        <f>IFERROR(__xludf.DUMMYFUNCTION("SPLIT(A2523, "" |"")"),2521.0)</f>
        <v>2521</v>
      </c>
      <c r="G2527" s="19">
        <f>IFERROR(__xludf.DUMMYFUNCTION("""COMPUTED_VALUE"""),0.00226)</f>
        <v>0.00226</v>
      </c>
      <c r="H2527" s="19" t="str">
        <f>IFERROR(__xludf.DUMMYFUNCTION("""COMPUTED_VALUE"""),"-")</f>
        <v>-</v>
      </c>
      <c r="I2527" s="19">
        <f>IFERROR(__xludf.DUMMYFUNCTION("""COMPUTED_VALUE"""),0.00209)</f>
        <v>0.00209</v>
      </c>
      <c r="J2527" s="19">
        <f>IFERROR(__xludf.DUMMYFUNCTION("""COMPUTED_VALUE"""),0.04551)</f>
        <v>0.04551</v>
      </c>
      <c r="K2527" s="19" t="str">
        <f>IFERROR(__xludf.DUMMYFUNCTION("""COMPUTED_VALUE"""),"-")</f>
        <v>-</v>
      </c>
      <c r="L2527" s="19" t="str">
        <f>IFERROR(__xludf.DUMMYFUNCTION("""COMPUTED_VALUE"""),"-")</f>
        <v>-</v>
      </c>
      <c r="O2527" s="24">
        <f t="shared" si="4"/>
        <v>0</v>
      </c>
      <c r="P2527" s="24"/>
      <c r="Q2527" s="24">
        <f t="shared" si="6"/>
        <v>0</v>
      </c>
      <c r="R2527" s="24">
        <f t="shared" si="7"/>
        <v>0</v>
      </c>
      <c r="S2527" s="24"/>
      <c r="T2527" s="24"/>
    </row>
    <row r="2528">
      <c r="A2528" s="12" t="s">
        <v>2616</v>
      </c>
      <c r="F2528" s="19">
        <f>IFERROR(__xludf.DUMMYFUNCTION("SPLIT(A2524, "" |"")"),2522.0)</f>
        <v>2522</v>
      </c>
      <c r="G2528" s="19">
        <f>IFERROR(__xludf.DUMMYFUNCTION("""COMPUTED_VALUE"""),0.00222)</f>
        <v>0.00222</v>
      </c>
      <c r="H2528" s="19" t="str">
        <f>IFERROR(__xludf.DUMMYFUNCTION("""COMPUTED_VALUE"""),"-")</f>
        <v>-</v>
      </c>
      <c r="I2528" s="19">
        <f>IFERROR(__xludf.DUMMYFUNCTION("""COMPUTED_VALUE"""),0.00208)</f>
        <v>0.00208</v>
      </c>
      <c r="J2528" s="19">
        <f>IFERROR(__xludf.DUMMYFUNCTION("""COMPUTED_VALUE"""),0.04266)</f>
        <v>0.04266</v>
      </c>
      <c r="K2528" s="19" t="str">
        <f>IFERROR(__xludf.DUMMYFUNCTION("""COMPUTED_VALUE"""),"-")</f>
        <v>-</v>
      </c>
      <c r="L2528" s="19" t="str">
        <f>IFERROR(__xludf.DUMMYFUNCTION("""COMPUTED_VALUE"""),"-")</f>
        <v>-</v>
      </c>
      <c r="O2528" s="24">
        <f t="shared" si="4"/>
        <v>0</v>
      </c>
      <c r="P2528" s="24"/>
      <c r="Q2528" s="24">
        <f t="shared" si="6"/>
        <v>0</v>
      </c>
      <c r="R2528" s="24">
        <f t="shared" si="7"/>
        <v>1</v>
      </c>
      <c r="S2528" s="24"/>
      <c r="T2528" s="24"/>
    </row>
    <row r="2529">
      <c r="A2529" s="12" t="s">
        <v>2617</v>
      </c>
      <c r="F2529" s="19">
        <f>IFERROR(__xludf.DUMMYFUNCTION("SPLIT(A2525, "" |"")"),2523.0)</f>
        <v>2523</v>
      </c>
      <c r="G2529" s="19">
        <f>IFERROR(__xludf.DUMMYFUNCTION("""COMPUTED_VALUE"""),0.00227)</f>
        <v>0.00227</v>
      </c>
      <c r="H2529" s="19" t="str">
        <f>IFERROR(__xludf.DUMMYFUNCTION("""COMPUTED_VALUE"""),"-")</f>
        <v>-</v>
      </c>
      <c r="I2529" s="19">
        <f>IFERROR(__xludf.DUMMYFUNCTION("""COMPUTED_VALUE"""),0.00208)</f>
        <v>0.00208</v>
      </c>
      <c r="J2529" s="19">
        <f>IFERROR(__xludf.DUMMYFUNCTION("""COMPUTED_VALUE"""),0.04726)</f>
        <v>0.04726</v>
      </c>
      <c r="K2529" s="19" t="str">
        <f>IFERROR(__xludf.DUMMYFUNCTION("""COMPUTED_VALUE"""),"-")</f>
        <v>-</v>
      </c>
      <c r="L2529" s="19" t="str">
        <f>IFERROR(__xludf.DUMMYFUNCTION("""COMPUTED_VALUE"""),"-")</f>
        <v>-</v>
      </c>
      <c r="O2529" s="24">
        <f t="shared" si="4"/>
        <v>0</v>
      </c>
      <c r="P2529" s="24"/>
      <c r="Q2529" s="24">
        <f t="shared" si="6"/>
        <v>0</v>
      </c>
      <c r="R2529" s="24">
        <f t="shared" si="7"/>
        <v>0</v>
      </c>
      <c r="S2529" s="24"/>
      <c r="T2529" s="24"/>
    </row>
    <row r="2530">
      <c r="A2530" s="12" t="s">
        <v>2618</v>
      </c>
      <c r="F2530" s="19">
        <f>IFERROR(__xludf.DUMMYFUNCTION("SPLIT(A2526, "" |"")"),2524.0)</f>
        <v>2524</v>
      </c>
      <c r="G2530" s="19">
        <f>IFERROR(__xludf.DUMMYFUNCTION("""COMPUTED_VALUE"""),0.00222)</f>
        <v>0.00222</v>
      </c>
      <c r="H2530" s="19" t="str">
        <f>IFERROR(__xludf.DUMMYFUNCTION("""COMPUTED_VALUE"""),"-")</f>
        <v>-</v>
      </c>
      <c r="I2530" s="19">
        <f>IFERROR(__xludf.DUMMYFUNCTION("""COMPUTED_VALUE"""),0.00209)</f>
        <v>0.00209</v>
      </c>
      <c r="J2530" s="19">
        <f>IFERROR(__xludf.DUMMYFUNCTION("""COMPUTED_VALUE"""),0.04725)</f>
        <v>0.04725</v>
      </c>
      <c r="K2530" s="19" t="str">
        <f>IFERROR(__xludf.DUMMYFUNCTION("""COMPUTED_VALUE"""),"-")</f>
        <v>-</v>
      </c>
      <c r="L2530" s="19" t="str">
        <f>IFERROR(__xludf.DUMMYFUNCTION("""COMPUTED_VALUE"""),"-")</f>
        <v>-</v>
      </c>
      <c r="O2530" s="24">
        <f t="shared" si="4"/>
        <v>0</v>
      </c>
      <c r="P2530" s="24"/>
      <c r="Q2530" s="24">
        <f t="shared" si="6"/>
        <v>0</v>
      </c>
      <c r="R2530" s="24">
        <f t="shared" si="7"/>
        <v>0</v>
      </c>
      <c r="S2530" s="24"/>
      <c r="T2530" s="24"/>
    </row>
    <row r="2531">
      <c r="A2531" s="12" t="s">
        <v>2619</v>
      </c>
      <c r="F2531" s="19">
        <f>IFERROR(__xludf.DUMMYFUNCTION("SPLIT(A2527, "" |"")"),2525.0)</f>
        <v>2525</v>
      </c>
      <c r="G2531" s="19">
        <f>IFERROR(__xludf.DUMMYFUNCTION("""COMPUTED_VALUE"""),0.00221)</f>
        <v>0.00221</v>
      </c>
      <c r="H2531" s="19" t="str">
        <f>IFERROR(__xludf.DUMMYFUNCTION("""COMPUTED_VALUE"""),"-")</f>
        <v>-</v>
      </c>
      <c r="I2531" s="19">
        <f>IFERROR(__xludf.DUMMYFUNCTION("""COMPUTED_VALUE"""),0.00207)</f>
        <v>0.00207</v>
      </c>
      <c r="J2531" s="19">
        <f>IFERROR(__xludf.DUMMYFUNCTION("""COMPUTED_VALUE"""),0.04545)</f>
        <v>0.04545</v>
      </c>
      <c r="K2531" s="19" t="str">
        <f>IFERROR(__xludf.DUMMYFUNCTION("""COMPUTED_VALUE"""),"-")</f>
        <v>-</v>
      </c>
      <c r="L2531" s="19" t="str">
        <f>IFERROR(__xludf.DUMMYFUNCTION("""COMPUTED_VALUE"""),"-")</f>
        <v>-</v>
      </c>
      <c r="O2531" s="24">
        <f t="shared" si="4"/>
        <v>0</v>
      </c>
      <c r="P2531" s="24"/>
      <c r="Q2531" s="24">
        <f t="shared" si="6"/>
        <v>0</v>
      </c>
      <c r="R2531" s="24">
        <f t="shared" si="7"/>
        <v>0</v>
      </c>
      <c r="S2531" s="24"/>
      <c r="T2531" s="24"/>
    </row>
    <row r="2532">
      <c r="A2532" s="12" t="s">
        <v>2620</v>
      </c>
      <c r="F2532" s="19">
        <f>IFERROR(__xludf.DUMMYFUNCTION("SPLIT(A2528, "" |"")"),2526.0)</f>
        <v>2526</v>
      </c>
      <c r="G2532" s="19">
        <f>IFERROR(__xludf.DUMMYFUNCTION("""COMPUTED_VALUE"""),0.00222)</f>
        <v>0.00222</v>
      </c>
      <c r="H2532" s="19" t="str">
        <f>IFERROR(__xludf.DUMMYFUNCTION("""COMPUTED_VALUE"""),"-")</f>
        <v>-</v>
      </c>
      <c r="I2532" s="19">
        <f>IFERROR(__xludf.DUMMYFUNCTION("""COMPUTED_VALUE"""),0.00209)</f>
        <v>0.00209</v>
      </c>
      <c r="J2532" s="19">
        <f>IFERROR(__xludf.DUMMYFUNCTION("""COMPUTED_VALUE"""),0.04721)</f>
        <v>0.04721</v>
      </c>
      <c r="K2532" s="19" t="str">
        <f>IFERROR(__xludf.DUMMYFUNCTION("""COMPUTED_VALUE"""),"-")</f>
        <v>-</v>
      </c>
      <c r="L2532" s="19" t="str">
        <f>IFERROR(__xludf.DUMMYFUNCTION("""COMPUTED_VALUE"""),"-")</f>
        <v>-</v>
      </c>
      <c r="O2532" s="24">
        <f t="shared" si="4"/>
        <v>0</v>
      </c>
      <c r="P2532" s="24"/>
      <c r="Q2532" s="24">
        <f t="shared" si="6"/>
        <v>0</v>
      </c>
      <c r="R2532" s="24">
        <f t="shared" si="7"/>
        <v>0</v>
      </c>
      <c r="S2532" s="24"/>
      <c r="T2532" s="24"/>
    </row>
    <row r="2533">
      <c r="A2533" s="12" t="s">
        <v>2621</v>
      </c>
      <c r="F2533" s="19">
        <f>IFERROR(__xludf.DUMMYFUNCTION("SPLIT(A2529, "" |"")"),2527.0)</f>
        <v>2527</v>
      </c>
      <c r="G2533" s="19">
        <f>IFERROR(__xludf.DUMMYFUNCTION("""COMPUTED_VALUE"""),0.00221)</f>
        <v>0.00221</v>
      </c>
      <c r="H2533" s="19" t="str">
        <f>IFERROR(__xludf.DUMMYFUNCTION("""COMPUTED_VALUE"""),"-")</f>
        <v>-</v>
      </c>
      <c r="I2533" s="19">
        <f>IFERROR(__xludf.DUMMYFUNCTION("""COMPUTED_VALUE"""),0.00209)</f>
        <v>0.00209</v>
      </c>
      <c r="J2533" s="19">
        <f>IFERROR(__xludf.DUMMYFUNCTION("""COMPUTED_VALUE"""),0.04729)</f>
        <v>0.04729</v>
      </c>
      <c r="K2533" s="19" t="str">
        <f>IFERROR(__xludf.DUMMYFUNCTION("""COMPUTED_VALUE"""),"-")</f>
        <v>-</v>
      </c>
      <c r="L2533" s="19" t="str">
        <f>IFERROR(__xludf.DUMMYFUNCTION("""COMPUTED_VALUE"""),"-")</f>
        <v>-</v>
      </c>
      <c r="O2533" s="24">
        <f t="shared" si="4"/>
        <v>0</v>
      </c>
      <c r="P2533" s="24"/>
      <c r="Q2533" s="24">
        <f t="shared" si="6"/>
        <v>0</v>
      </c>
      <c r="R2533" s="24">
        <f t="shared" si="7"/>
        <v>0</v>
      </c>
      <c r="S2533" s="24"/>
      <c r="T2533" s="24"/>
    </row>
    <row r="2534">
      <c r="A2534" s="12" t="s">
        <v>2622</v>
      </c>
      <c r="F2534" s="19">
        <f>IFERROR(__xludf.DUMMYFUNCTION("SPLIT(A2530, "" |"")"),2528.0)</f>
        <v>2528</v>
      </c>
      <c r="G2534" s="19">
        <f>IFERROR(__xludf.DUMMYFUNCTION("""COMPUTED_VALUE"""),0.00225)</f>
        <v>0.00225</v>
      </c>
      <c r="H2534" s="19" t="str">
        <f>IFERROR(__xludf.DUMMYFUNCTION("""COMPUTED_VALUE"""),"-")</f>
        <v>-</v>
      </c>
      <c r="I2534" s="19">
        <f>IFERROR(__xludf.DUMMYFUNCTION("""COMPUTED_VALUE"""),0.00211)</f>
        <v>0.00211</v>
      </c>
      <c r="J2534" s="19">
        <f>IFERROR(__xludf.DUMMYFUNCTION("""COMPUTED_VALUE"""),0.0473)</f>
        <v>0.0473</v>
      </c>
      <c r="K2534" s="19" t="str">
        <f>IFERROR(__xludf.DUMMYFUNCTION("""COMPUTED_VALUE"""),"-")</f>
        <v>-</v>
      </c>
      <c r="L2534" s="19" t="str">
        <f>IFERROR(__xludf.DUMMYFUNCTION("""COMPUTED_VALUE"""),"-")</f>
        <v>-</v>
      </c>
      <c r="O2534" s="24">
        <f t="shared" si="4"/>
        <v>0</v>
      </c>
      <c r="P2534" s="24"/>
      <c r="Q2534" s="24">
        <f t="shared" si="6"/>
        <v>0</v>
      </c>
      <c r="R2534" s="24">
        <f t="shared" si="7"/>
        <v>0</v>
      </c>
      <c r="S2534" s="24"/>
      <c r="T2534" s="24"/>
    </row>
    <row r="2535">
      <c r="A2535" s="12" t="s">
        <v>2623</v>
      </c>
      <c r="F2535" s="19">
        <f>IFERROR(__xludf.DUMMYFUNCTION("SPLIT(A2531, "" |"")"),2529.0)</f>
        <v>2529</v>
      </c>
      <c r="G2535" s="19">
        <f>IFERROR(__xludf.DUMMYFUNCTION("""COMPUTED_VALUE"""),0.00225)</f>
        <v>0.00225</v>
      </c>
      <c r="H2535" s="19" t="str">
        <f>IFERROR(__xludf.DUMMYFUNCTION("""COMPUTED_VALUE"""),"-")</f>
        <v>-</v>
      </c>
      <c r="I2535" s="19">
        <f>IFERROR(__xludf.DUMMYFUNCTION("""COMPUTED_VALUE"""),0.0021)</f>
        <v>0.0021</v>
      </c>
      <c r="J2535" s="19">
        <f>IFERROR(__xludf.DUMMYFUNCTION("""COMPUTED_VALUE"""),0.04729)</f>
        <v>0.04729</v>
      </c>
      <c r="K2535" s="19" t="str">
        <f>IFERROR(__xludf.DUMMYFUNCTION("""COMPUTED_VALUE"""),"-")</f>
        <v>-</v>
      </c>
      <c r="L2535" s="19" t="str">
        <f>IFERROR(__xludf.DUMMYFUNCTION("""COMPUTED_VALUE"""),"-")</f>
        <v>-</v>
      </c>
      <c r="O2535" s="24">
        <f t="shared" si="4"/>
        <v>0</v>
      </c>
      <c r="P2535" s="24"/>
      <c r="Q2535" s="24">
        <f t="shared" si="6"/>
        <v>0</v>
      </c>
      <c r="R2535" s="24">
        <f t="shared" si="7"/>
        <v>0</v>
      </c>
      <c r="S2535" s="24"/>
      <c r="T2535" s="24"/>
    </row>
    <row r="2536">
      <c r="A2536" s="12" t="s">
        <v>2624</v>
      </c>
      <c r="F2536" s="19">
        <f>IFERROR(__xludf.DUMMYFUNCTION("SPLIT(A2532, "" |"")"),2530.0)</f>
        <v>2530</v>
      </c>
      <c r="G2536" s="19">
        <f>IFERROR(__xludf.DUMMYFUNCTION("""COMPUTED_VALUE"""),0.00223)</f>
        <v>0.00223</v>
      </c>
      <c r="H2536" s="19" t="str">
        <f>IFERROR(__xludf.DUMMYFUNCTION("""COMPUTED_VALUE"""),"-")</f>
        <v>-</v>
      </c>
      <c r="I2536" s="19">
        <f>IFERROR(__xludf.DUMMYFUNCTION("""COMPUTED_VALUE"""),0.00209)</f>
        <v>0.00209</v>
      </c>
      <c r="J2536" s="19">
        <f>IFERROR(__xludf.DUMMYFUNCTION("""COMPUTED_VALUE"""),0.045)</f>
        <v>0.045</v>
      </c>
      <c r="K2536" s="19" t="str">
        <f>IFERROR(__xludf.DUMMYFUNCTION("""COMPUTED_VALUE"""),"-")</f>
        <v>-</v>
      </c>
      <c r="L2536" s="19" t="str">
        <f>IFERROR(__xludf.DUMMYFUNCTION("""COMPUTED_VALUE"""),"-")</f>
        <v>-</v>
      </c>
      <c r="O2536" s="24">
        <f t="shared" si="4"/>
        <v>0</v>
      </c>
      <c r="P2536" s="24"/>
      <c r="Q2536" s="24">
        <f t="shared" si="6"/>
        <v>0</v>
      </c>
      <c r="R2536" s="24">
        <f t="shared" si="7"/>
        <v>0</v>
      </c>
      <c r="S2536" s="24"/>
      <c r="T2536" s="24"/>
    </row>
    <row r="2537">
      <c r="A2537" s="12" t="s">
        <v>2625</v>
      </c>
      <c r="F2537" s="19">
        <f>IFERROR(__xludf.DUMMYFUNCTION("SPLIT(A2533, "" |"")"),2531.0)</f>
        <v>2531</v>
      </c>
      <c r="G2537" s="19">
        <f>IFERROR(__xludf.DUMMYFUNCTION("""COMPUTED_VALUE"""),0.00224)</f>
        <v>0.00224</v>
      </c>
      <c r="H2537" s="19" t="str">
        <f>IFERROR(__xludf.DUMMYFUNCTION("""COMPUTED_VALUE"""),"-")</f>
        <v>-</v>
      </c>
      <c r="I2537" s="19">
        <f>IFERROR(__xludf.DUMMYFUNCTION("""COMPUTED_VALUE"""),0.00208)</f>
        <v>0.00208</v>
      </c>
      <c r="J2537" s="19">
        <f>IFERROR(__xludf.DUMMYFUNCTION("""COMPUTED_VALUE"""),0.04487)</f>
        <v>0.04487</v>
      </c>
      <c r="K2537" s="19" t="str">
        <f>IFERROR(__xludf.DUMMYFUNCTION("""COMPUTED_VALUE"""),"-")</f>
        <v>-</v>
      </c>
      <c r="L2537" s="19" t="str">
        <f>IFERROR(__xludf.DUMMYFUNCTION("""COMPUTED_VALUE"""),"-")</f>
        <v>-</v>
      </c>
      <c r="O2537" s="24">
        <f t="shared" si="4"/>
        <v>0</v>
      </c>
      <c r="P2537" s="24"/>
      <c r="Q2537" s="24">
        <f t="shared" si="6"/>
        <v>0</v>
      </c>
      <c r="R2537" s="24">
        <f t="shared" si="7"/>
        <v>1</v>
      </c>
      <c r="S2537" s="24"/>
      <c r="T2537" s="24"/>
    </row>
    <row r="2538">
      <c r="A2538" s="12" t="s">
        <v>2626</v>
      </c>
      <c r="F2538" s="19">
        <f>IFERROR(__xludf.DUMMYFUNCTION("SPLIT(A2534, "" |"")"),2532.0)</f>
        <v>2532</v>
      </c>
      <c r="G2538" s="19">
        <f>IFERROR(__xludf.DUMMYFUNCTION("""COMPUTED_VALUE"""),0.0023)</f>
        <v>0.0023</v>
      </c>
      <c r="H2538" s="19" t="str">
        <f>IFERROR(__xludf.DUMMYFUNCTION("""COMPUTED_VALUE"""),"-")</f>
        <v>-</v>
      </c>
      <c r="I2538" s="19">
        <f>IFERROR(__xludf.DUMMYFUNCTION("""COMPUTED_VALUE"""),0.00212)</f>
        <v>0.00212</v>
      </c>
      <c r="J2538" s="19">
        <f>IFERROR(__xludf.DUMMYFUNCTION("""COMPUTED_VALUE"""),0.0367)</f>
        <v>0.0367</v>
      </c>
      <c r="K2538" s="19" t="str">
        <f>IFERROR(__xludf.DUMMYFUNCTION("""COMPUTED_VALUE"""),"-")</f>
        <v>-</v>
      </c>
      <c r="L2538" s="19" t="str">
        <f>IFERROR(__xludf.DUMMYFUNCTION("""COMPUTED_VALUE"""),"-")</f>
        <v>-</v>
      </c>
      <c r="O2538" s="24">
        <f t="shared" si="4"/>
        <v>0</v>
      </c>
      <c r="P2538" s="24"/>
      <c r="Q2538" s="24">
        <f t="shared" si="6"/>
        <v>0</v>
      </c>
      <c r="R2538" s="24">
        <f t="shared" si="7"/>
        <v>1</v>
      </c>
      <c r="S2538" s="24"/>
      <c r="T2538" s="24"/>
    </row>
    <row r="2539">
      <c r="A2539" s="12" t="s">
        <v>2627</v>
      </c>
      <c r="F2539" s="19">
        <f>IFERROR(__xludf.DUMMYFUNCTION("SPLIT(A2535, "" |"")"),2533.0)</f>
        <v>2533</v>
      </c>
      <c r="G2539" s="19">
        <f>IFERROR(__xludf.DUMMYFUNCTION("""COMPUTED_VALUE"""),0.0022)</f>
        <v>0.0022</v>
      </c>
      <c r="H2539" s="19" t="str">
        <f>IFERROR(__xludf.DUMMYFUNCTION("""COMPUTED_VALUE"""),"-")</f>
        <v>-</v>
      </c>
      <c r="I2539" s="19">
        <f>IFERROR(__xludf.DUMMYFUNCTION("""COMPUTED_VALUE"""),0.00206)</f>
        <v>0.00206</v>
      </c>
      <c r="J2539" s="19">
        <f>IFERROR(__xludf.DUMMYFUNCTION("""COMPUTED_VALUE"""),0.0472)</f>
        <v>0.0472</v>
      </c>
      <c r="K2539" s="19" t="str">
        <f>IFERROR(__xludf.DUMMYFUNCTION("""COMPUTED_VALUE"""),"-")</f>
        <v>-</v>
      </c>
      <c r="L2539" s="19" t="str">
        <f>IFERROR(__xludf.DUMMYFUNCTION("""COMPUTED_VALUE"""),"-")</f>
        <v>-</v>
      </c>
      <c r="O2539" s="24">
        <f t="shared" si="4"/>
        <v>0</v>
      </c>
      <c r="P2539" s="24"/>
      <c r="Q2539" s="24">
        <f t="shared" si="6"/>
        <v>0</v>
      </c>
      <c r="R2539" s="24">
        <f t="shared" si="7"/>
        <v>0</v>
      </c>
      <c r="S2539" s="24"/>
      <c r="T2539" s="24"/>
    </row>
    <row r="2540">
      <c r="A2540" s="12" t="s">
        <v>2628</v>
      </c>
      <c r="F2540" s="19">
        <f>IFERROR(__xludf.DUMMYFUNCTION("SPLIT(A2536, "" |"")"),2534.0)</f>
        <v>2534</v>
      </c>
      <c r="G2540" s="19">
        <f>IFERROR(__xludf.DUMMYFUNCTION("""COMPUTED_VALUE"""),0.00234)</f>
        <v>0.00234</v>
      </c>
      <c r="H2540" s="19" t="str">
        <f>IFERROR(__xludf.DUMMYFUNCTION("""COMPUTED_VALUE"""),"-")</f>
        <v>-</v>
      </c>
      <c r="I2540" s="19">
        <f>IFERROR(__xludf.DUMMYFUNCTION("""COMPUTED_VALUE"""),0.00215)</f>
        <v>0.00215</v>
      </c>
      <c r="J2540" s="19">
        <f>IFERROR(__xludf.DUMMYFUNCTION("""COMPUTED_VALUE"""),0.04733)</f>
        <v>0.04733</v>
      </c>
      <c r="K2540" s="19" t="str">
        <f>IFERROR(__xludf.DUMMYFUNCTION("""COMPUTED_VALUE"""),"-")</f>
        <v>-</v>
      </c>
      <c r="L2540" s="19" t="str">
        <f>IFERROR(__xludf.DUMMYFUNCTION("""COMPUTED_VALUE"""),"-")</f>
        <v>-</v>
      </c>
      <c r="O2540" s="24">
        <f t="shared" si="4"/>
        <v>0</v>
      </c>
      <c r="P2540" s="24"/>
      <c r="Q2540" s="24">
        <f t="shared" si="6"/>
        <v>0</v>
      </c>
      <c r="R2540" s="24">
        <f t="shared" si="7"/>
        <v>0</v>
      </c>
      <c r="S2540" s="24"/>
      <c r="T2540" s="24"/>
    </row>
    <row r="2541">
      <c r="A2541" s="12" t="s">
        <v>2629</v>
      </c>
      <c r="F2541" s="19">
        <f>IFERROR(__xludf.DUMMYFUNCTION("SPLIT(A2537, "" |"")"),2535.0)</f>
        <v>2535</v>
      </c>
      <c r="G2541" s="19">
        <f>IFERROR(__xludf.DUMMYFUNCTION("""COMPUTED_VALUE"""),0.00243)</f>
        <v>0.00243</v>
      </c>
      <c r="H2541" s="19" t="str">
        <f>IFERROR(__xludf.DUMMYFUNCTION("""COMPUTED_VALUE"""),"-")</f>
        <v>-</v>
      </c>
      <c r="I2541" s="19">
        <f>IFERROR(__xludf.DUMMYFUNCTION("""COMPUTED_VALUE"""),0.00219)</f>
        <v>0.00219</v>
      </c>
      <c r="J2541" s="19">
        <f>IFERROR(__xludf.DUMMYFUNCTION("""COMPUTED_VALUE"""),0.04746)</f>
        <v>0.04746</v>
      </c>
      <c r="K2541" s="19" t="str">
        <f>IFERROR(__xludf.DUMMYFUNCTION("""COMPUTED_VALUE"""),"-")</f>
        <v>-</v>
      </c>
      <c r="L2541" s="19" t="str">
        <f>IFERROR(__xludf.DUMMYFUNCTION("""COMPUTED_VALUE"""),"-")</f>
        <v>-</v>
      </c>
      <c r="O2541" s="24">
        <f t="shared" si="4"/>
        <v>0</v>
      </c>
      <c r="P2541" s="24"/>
      <c r="Q2541" s="24">
        <f t="shared" si="6"/>
        <v>0</v>
      </c>
      <c r="R2541" s="24">
        <f t="shared" si="7"/>
        <v>0</v>
      </c>
      <c r="S2541" s="24"/>
      <c r="T2541" s="24"/>
    </row>
    <row r="2542">
      <c r="A2542" s="12" t="s">
        <v>2630</v>
      </c>
      <c r="F2542" s="19">
        <f>IFERROR(__xludf.DUMMYFUNCTION("SPLIT(A2538, "" |"")"),2536.0)</f>
        <v>2536</v>
      </c>
      <c r="G2542" s="19">
        <f>IFERROR(__xludf.DUMMYFUNCTION("""COMPUTED_VALUE"""),0.00236)</f>
        <v>0.00236</v>
      </c>
      <c r="H2542" s="19" t="str">
        <f>IFERROR(__xludf.DUMMYFUNCTION("""COMPUTED_VALUE"""),"-")</f>
        <v>-</v>
      </c>
      <c r="I2542" s="19">
        <f>IFERROR(__xludf.DUMMYFUNCTION("""COMPUTED_VALUE"""),0.00223)</f>
        <v>0.00223</v>
      </c>
      <c r="J2542" s="19">
        <f>IFERROR(__xludf.DUMMYFUNCTION("""COMPUTED_VALUE"""),0.04747)</f>
        <v>0.04747</v>
      </c>
      <c r="K2542" s="19" t="str">
        <f>IFERROR(__xludf.DUMMYFUNCTION("""COMPUTED_VALUE"""),"-")</f>
        <v>-</v>
      </c>
      <c r="L2542" s="19" t="str">
        <f>IFERROR(__xludf.DUMMYFUNCTION("""COMPUTED_VALUE"""),"-")</f>
        <v>-</v>
      </c>
      <c r="O2542" s="24">
        <f t="shared" si="4"/>
        <v>0</v>
      </c>
      <c r="P2542" s="24"/>
      <c r="Q2542" s="24">
        <f t="shared" si="6"/>
        <v>0</v>
      </c>
      <c r="R2542" s="24">
        <f t="shared" si="7"/>
        <v>0</v>
      </c>
      <c r="S2542" s="24"/>
      <c r="T2542" s="24"/>
    </row>
    <row r="2543">
      <c r="A2543" s="12" t="s">
        <v>2631</v>
      </c>
      <c r="F2543" s="19">
        <f>IFERROR(__xludf.DUMMYFUNCTION("SPLIT(A2539, "" |"")"),2537.0)</f>
        <v>2537</v>
      </c>
      <c r="G2543" s="19">
        <f>IFERROR(__xludf.DUMMYFUNCTION("""COMPUTED_VALUE"""),0.0023)</f>
        <v>0.0023</v>
      </c>
      <c r="H2543" s="19" t="str">
        <f>IFERROR(__xludf.DUMMYFUNCTION("""COMPUTED_VALUE"""),"-")</f>
        <v>-</v>
      </c>
      <c r="I2543" s="19">
        <f>IFERROR(__xludf.DUMMYFUNCTION("""COMPUTED_VALUE"""),0.00221)</f>
        <v>0.00221</v>
      </c>
      <c r="J2543" s="19">
        <f>IFERROR(__xludf.DUMMYFUNCTION("""COMPUTED_VALUE"""),0.0475)</f>
        <v>0.0475</v>
      </c>
      <c r="K2543" s="19" t="str">
        <f>IFERROR(__xludf.DUMMYFUNCTION("""COMPUTED_VALUE"""),"-")</f>
        <v>-</v>
      </c>
      <c r="L2543" s="19" t="str">
        <f>IFERROR(__xludf.DUMMYFUNCTION("""COMPUTED_VALUE"""),"-")</f>
        <v>-</v>
      </c>
      <c r="O2543" s="24">
        <f t="shared" si="4"/>
        <v>0</v>
      </c>
      <c r="P2543" s="24"/>
      <c r="Q2543" s="24">
        <f t="shared" si="6"/>
        <v>0</v>
      </c>
      <c r="R2543" s="24">
        <f t="shared" si="7"/>
        <v>0</v>
      </c>
      <c r="S2543" s="24"/>
      <c r="T2543" s="24"/>
    </row>
    <row r="2544">
      <c r="A2544" s="12" t="s">
        <v>2632</v>
      </c>
      <c r="F2544" s="19">
        <f>IFERROR(__xludf.DUMMYFUNCTION("SPLIT(A2540, "" |"")"),2538.0)</f>
        <v>2538</v>
      </c>
      <c r="G2544" s="19">
        <f>IFERROR(__xludf.DUMMYFUNCTION("""COMPUTED_VALUE"""),0.00235)</f>
        <v>0.00235</v>
      </c>
      <c r="H2544" s="19" t="str">
        <f>IFERROR(__xludf.DUMMYFUNCTION("""COMPUTED_VALUE"""),"-")</f>
        <v>-</v>
      </c>
      <c r="I2544" s="19">
        <f>IFERROR(__xludf.DUMMYFUNCTION("""COMPUTED_VALUE"""),0.00221)</f>
        <v>0.00221</v>
      </c>
      <c r="J2544" s="19">
        <f>IFERROR(__xludf.DUMMYFUNCTION("""COMPUTED_VALUE"""),0.04745)</f>
        <v>0.04745</v>
      </c>
      <c r="K2544" s="19" t="str">
        <f>IFERROR(__xludf.DUMMYFUNCTION("""COMPUTED_VALUE"""),"-")</f>
        <v>-</v>
      </c>
      <c r="L2544" s="19" t="str">
        <f>IFERROR(__xludf.DUMMYFUNCTION("""COMPUTED_VALUE"""),"-")</f>
        <v>-</v>
      </c>
      <c r="O2544" s="24">
        <f t="shared" si="4"/>
        <v>0</v>
      </c>
      <c r="P2544" s="24"/>
      <c r="Q2544" s="24">
        <f t="shared" si="6"/>
        <v>0</v>
      </c>
      <c r="R2544" s="24">
        <f t="shared" si="7"/>
        <v>0</v>
      </c>
      <c r="S2544" s="24"/>
      <c r="T2544" s="24"/>
    </row>
    <row r="2545">
      <c r="A2545" s="12" t="s">
        <v>2633</v>
      </c>
      <c r="F2545" s="19">
        <f>IFERROR(__xludf.DUMMYFUNCTION("SPLIT(A2541, "" |"")"),2539.0)</f>
        <v>2539</v>
      </c>
      <c r="G2545" s="19">
        <f>IFERROR(__xludf.DUMMYFUNCTION("""COMPUTED_VALUE"""),0.00236)</f>
        <v>0.00236</v>
      </c>
      <c r="H2545" s="19" t="str">
        <f>IFERROR(__xludf.DUMMYFUNCTION("""COMPUTED_VALUE"""),"-")</f>
        <v>-</v>
      </c>
      <c r="I2545" s="19">
        <f>IFERROR(__xludf.DUMMYFUNCTION("""COMPUTED_VALUE"""),0.00219)</f>
        <v>0.00219</v>
      </c>
      <c r="J2545" s="19">
        <f>IFERROR(__xludf.DUMMYFUNCTION("""COMPUTED_VALUE"""),0.0465)</f>
        <v>0.0465</v>
      </c>
      <c r="K2545" s="19" t="str">
        <f>IFERROR(__xludf.DUMMYFUNCTION("""COMPUTED_VALUE"""),"-")</f>
        <v>-</v>
      </c>
      <c r="L2545" s="19" t="str">
        <f>IFERROR(__xludf.DUMMYFUNCTION("""COMPUTED_VALUE"""),"-")</f>
        <v>-</v>
      </c>
      <c r="O2545" s="24">
        <f t="shared" si="4"/>
        <v>0</v>
      </c>
      <c r="P2545" s="24"/>
      <c r="Q2545" s="24">
        <f t="shared" si="6"/>
        <v>0</v>
      </c>
      <c r="R2545" s="24">
        <f t="shared" si="7"/>
        <v>0</v>
      </c>
      <c r="S2545" s="24"/>
      <c r="T2545" s="24"/>
    </row>
    <row r="2546">
      <c r="A2546" s="12" t="s">
        <v>2634</v>
      </c>
      <c r="F2546" s="19">
        <f>IFERROR(__xludf.DUMMYFUNCTION("SPLIT(A2542, "" |"")"),2540.0)</f>
        <v>2540</v>
      </c>
      <c r="G2546" s="19">
        <f>IFERROR(__xludf.DUMMYFUNCTION("""COMPUTED_VALUE"""),0.00234)</f>
        <v>0.00234</v>
      </c>
      <c r="H2546" s="19" t="str">
        <f>IFERROR(__xludf.DUMMYFUNCTION("""COMPUTED_VALUE"""),"-")</f>
        <v>-</v>
      </c>
      <c r="I2546" s="19">
        <f>IFERROR(__xludf.DUMMYFUNCTION("""COMPUTED_VALUE"""),0.0022)</f>
        <v>0.0022</v>
      </c>
      <c r="J2546" s="19">
        <f>IFERROR(__xludf.DUMMYFUNCTION("""COMPUTED_VALUE"""),0.04743)</f>
        <v>0.04743</v>
      </c>
      <c r="K2546" s="19" t="str">
        <f>IFERROR(__xludf.DUMMYFUNCTION("""COMPUTED_VALUE"""),"-")</f>
        <v>-</v>
      </c>
      <c r="L2546" s="19" t="str">
        <f>IFERROR(__xludf.DUMMYFUNCTION("""COMPUTED_VALUE"""),"-")</f>
        <v>-</v>
      </c>
      <c r="O2546" s="24">
        <f t="shared" si="4"/>
        <v>0</v>
      </c>
      <c r="P2546" s="24"/>
      <c r="Q2546" s="24">
        <f t="shared" si="6"/>
        <v>0</v>
      </c>
      <c r="R2546" s="24">
        <f t="shared" si="7"/>
        <v>0</v>
      </c>
      <c r="S2546" s="24"/>
      <c r="T2546" s="24"/>
    </row>
    <row r="2547">
      <c r="A2547" s="12" t="s">
        <v>2635</v>
      </c>
      <c r="F2547" s="19">
        <f>IFERROR(__xludf.DUMMYFUNCTION("SPLIT(A2543, "" |"")"),2541.0)</f>
        <v>2541</v>
      </c>
      <c r="G2547" s="19">
        <f>IFERROR(__xludf.DUMMYFUNCTION("""COMPUTED_VALUE"""),0.00236)</f>
        <v>0.00236</v>
      </c>
      <c r="H2547" s="19" t="str">
        <f>IFERROR(__xludf.DUMMYFUNCTION("""COMPUTED_VALUE"""),"-")</f>
        <v>-</v>
      </c>
      <c r="I2547" s="19">
        <f>IFERROR(__xludf.DUMMYFUNCTION("""COMPUTED_VALUE"""),0.00222)</f>
        <v>0.00222</v>
      </c>
      <c r="J2547" s="19">
        <f>IFERROR(__xludf.DUMMYFUNCTION("""COMPUTED_VALUE"""),0.0474)</f>
        <v>0.0474</v>
      </c>
      <c r="K2547" s="19" t="str">
        <f>IFERROR(__xludf.DUMMYFUNCTION("""COMPUTED_VALUE"""),"-")</f>
        <v>-</v>
      </c>
      <c r="L2547" s="19" t="str">
        <f>IFERROR(__xludf.DUMMYFUNCTION("""COMPUTED_VALUE"""),"-")</f>
        <v>-</v>
      </c>
      <c r="O2547" s="24">
        <f t="shared" si="4"/>
        <v>0</v>
      </c>
      <c r="P2547" s="24"/>
      <c r="Q2547" s="24">
        <f t="shared" si="6"/>
        <v>0</v>
      </c>
      <c r="R2547" s="24">
        <f t="shared" si="7"/>
        <v>0</v>
      </c>
      <c r="S2547" s="24"/>
      <c r="T2547" s="24"/>
    </row>
    <row r="2548">
      <c r="A2548" s="12" t="s">
        <v>2636</v>
      </c>
      <c r="F2548" s="19">
        <f>IFERROR(__xludf.DUMMYFUNCTION("SPLIT(A2544, "" |"")"),2542.0)</f>
        <v>2542</v>
      </c>
      <c r="G2548" s="19">
        <f>IFERROR(__xludf.DUMMYFUNCTION("""COMPUTED_VALUE"""),0.00234)</f>
        <v>0.00234</v>
      </c>
      <c r="H2548" s="19" t="str">
        <f>IFERROR(__xludf.DUMMYFUNCTION("""COMPUTED_VALUE"""),"-")</f>
        <v>-</v>
      </c>
      <c r="I2548" s="19">
        <f>IFERROR(__xludf.DUMMYFUNCTION("""COMPUTED_VALUE"""),0.00221)</f>
        <v>0.00221</v>
      </c>
      <c r="J2548" s="19">
        <f>IFERROR(__xludf.DUMMYFUNCTION("""COMPUTED_VALUE"""),0.04725)</f>
        <v>0.04725</v>
      </c>
      <c r="K2548" s="19" t="str">
        <f>IFERROR(__xludf.DUMMYFUNCTION("""COMPUTED_VALUE"""),"-")</f>
        <v>-</v>
      </c>
      <c r="L2548" s="19" t="str">
        <f>IFERROR(__xludf.DUMMYFUNCTION("""COMPUTED_VALUE"""),"-")</f>
        <v>-</v>
      </c>
      <c r="O2548" s="24">
        <f t="shared" si="4"/>
        <v>0</v>
      </c>
      <c r="P2548" s="24"/>
      <c r="Q2548" s="24">
        <f t="shared" si="6"/>
        <v>0</v>
      </c>
      <c r="R2548" s="24">
        <f t="shared" si="7"/>
        <v>0</v>
      </c>
      <c r="S2548" s="24"/>
      <c r="T2548" s="24"/>
    </row>
    <row r="2549">
      <c r="A2549" s="12" t="s">
        <v>2637</v>
      </c>
      <c r="F2549" s="19">
        <f>IFERROR(__xludf.DUMMYFUNCTION("SPLIT(A2545, "" |"")"),2543.0)</f>
        <v>2543</v>
      </c>
      <c r="G2549" s="19">
        <f>IFERROR(__xludf.DUMMYFUNCTION("""COMPUTED_VALUE"""),0.00238)</f>
        <v>0.00238</v>
      </c>
      <c r="H2549" s="19" t="str">
        <f>IFERROR(__xludf.DUMMYFUNCTION("""COMPUTED_VALUE"""),"-")</f>
        <v>-</v>
      </c>
      <c r="I2549" s="19">
        <f>IFERROR(__xludf.DUMMYFUNCTION("""COMPUTED_VALUE"""),0.00218)</f>
        <v>0.00218</v>
      </c>
      <c r="J2549" s="19">
        <f>IFERROR(__xludf.DUMMYFUNCTION("""COMPUTED_VALUE"""),0.04151)</f>
        <v>0.04151</v>
      </c>
      <c r="K2549" s="19" t="str">
        <f>IFERROR(__xludf.DUMMYFUNCTION("""COMPUTED_VALUE"""),"-")</f>
        <v>-</v>
      </c>
      <c r="L2549" s="19" t="str">
        <f>IFERROR(__xludf.DUMMYFUNCTION("""COMPUTED_VALUE"""),"-")</f>
        <v>-</v>
      </c>
      <c r="O2549" s="24">
        <f t="shared" si="4"/>
        <v>0</v>
      </c>
      <c r="P2549" s="24"/>
      <c r="Q2549" s="24">
        <f t="shared" si="6"/>
        <v>0</v>
      </c>
      <c r="R2549" s="24">
        <f t="shared" si="7"/>
        <v>1</v>
      </c>
      <c r="S2549" s="24"/>
      <c r="T2549" s="24"/>
    </row>
    <row r="2550">
      <c r="A2550" s="12" t="s">
        <v>2638</v>
      </c>
      <c r="F2550" s="19">
        <f>IFERROR(__xludf.DUMMYFUNCTION("SPLIT(A2546, "" |"")"),2544.0)</f>
        <v>2544</v>
      </c>
      <c r="G2550" s="19">
        <f>IFERROR(__xludf.DUMMYFUNCTION("""COMPUTED_VALUE"""),0.00229)</f>
        <v>0.00229</v>
      </c>
      <c r="H2550" s="19" t="str">
        <f>IFERROR(__xludf.DUMMYFUNCTION("""COMPUTED_VALUE"""),"-")</f>
        <v>-</v>
      </c>
      <c r="I2550" s="19">
        <f>IFERROR(__xludf.DUMMYFUNCTION("""COMPUTED_VALUE"""),0.0022)</f>
        <v>0.0022</v>
      </c>
      <c r="J2550" s="19">
        <f>IFERROR(__xludf.DUMMYFUNCTION("""COMPUTED_VALUE"""),0.04741)</f>
        <v>0.04741</v>
      </c>
      <c r="K2550" s="19" t="str">
        <f>IFERROR(__xludf.DUMMYFUNCTION("""COMPUTED_VALUE"""),"-")</f>
        <v>-</v>
      </c>
      <c r="L2550" s="19" t="str">
        <f>IFERROR(__xludf.DUMMYFUNCTION("""COMPUTED_VALUE"""),"-")</f>
        <v>-</v>
      </c>
      <c r="O2550" s="24">
        <f t="shared" si="4"/>
        <v>0</v>
      </c>
      <c r="P2550" s="24"/>
      <c r="Q2550" s="24">
        <f t="shared" si="6"/>
        <v>0</v>
      </c>
      <c r="R2550" s="24">
        <f t="shared" si="7"/>
        <v>0</v>
      </c>
      <c r="S2550" s="24"/>
      <c r="T2550" s="24"/>
    </row>
    <row r="2551">
      <c r="A2551" s="12" t="s">
        <v>2639</v>
      </c>
      <c r="F2551" s="19">
        <f>IFERROR(__xludf.DUMMYFUNCTION("SPLIT(A2547, "" |"")"),2545.0)</f>
        <v>2545</v>
      </c>
      <c r="G2551" s="19">
        <f>IFERROR(__xludf.DUMMYFUNCTION("""COMPUTED_VALUE"""),0.0024)</f>
        <v>0.0024</v>
      </c>
      <c r="H2551" s="19" t="str">
        <f>IFERROR(__xludf.DUMMYFUNCTION("""COMPUTED_VALUE"""),"-")</f>
        <v>-</v>
      </c>
      <c r="I2551" s="19">
        <f>IFERROR(__xludf.DUMMYFUNCTION("""COMPUTED_VALUE"""),0.00221)</f>
        <v>0.00221</v>
      </c>
      <c r="J2551" s="19">
        <f>IFERROR(__xludf.DUMMYFUNCTION("""COMPUTED_VALUE"""),0.04749)</f>
        <v>0.04749</v>
      </c>
      <c r="K2551" s="19" t="str">
        <f>IFERROR(__xludf.DUMMYFUNCTION("""COMPUTED_VALUE"""),"-")</f>
        <v>-</v>
      </c>
      <c r="L2551" s="19" t="str">
        <f>IFERROR(__xludf.DUMMYFUNCTION("""COMPUTED_VALUE"""),"-")</f>
        <v>-</v>
      </c>
      <c r="O2551" s="24">
        <f t="shared" si="4"/>
        <v>0</v>
      </c>
      <c r="P2551" s="24"/>
      <c r="Q2551" s="24">
        <f t="shared" si="6"/>
        <v>0</v>
      </c>
      <c r="R2551" s="24">
        <f t="shared" si="7"/>
        <v>0</v>
      </c>
      <c r="S2551" s="24"/>
      <c r="T2551" s="24"/>
    </row>
    <row r="2552">
      <c r="A2552" s="12" t="s">
        <v>2640</v>
      </c>
      <c r="F2552" s="19">
        <f>IFERROR(__xludf.DUMMYFUNCTION("SPLIT(A2548, "" |"")"),2546.0)</f>
        <v>2546</v>
      </c>
      <c r="G2552" s="19">
        <f>IFERROR(__xludf.DUMMYFUNCTION("""COMPUTED_VALUE"""),0.0023)</f>
        <v>0.0023</v>
      </c>
      <c r="H2552" s="19" t="str">
        <f>IFERROR(__xludf.DUMMYFUNCTION("""COMPUTED_VALUE"""),"-")</f>
        <v>-</v>
      </c>
      <c r="I2552" s="19">
        <f>IFERROR(__xludf.DUMMYFUNCTION("""COMPUTED_VALUE"""),0.00221)</f>
        <v>0.00221</v>
      </c>
      <c r="J2552" s="19">
        <f>IFERROR(__xludf.DUMMYFUNCTION("""COMPUTED_VALUE"""),0.04748)</f>
        <v>0.04748</v>
      </c>
      <c r="K2552" s="19" t="str">
        <f>IFERROR(__xludf.DUMMYFUNCTION("""COMPUTED_VALUE"""),"-")</f>
        <v>-</v>
      </c>
      <c r="L2552" s="19" t="str">
        <f>IFERROR(__xludf.DUMMYFUNCTION("""COMPUTED_VALUE"""),"-")</f>
        <v>-</v>
      </c>
      <c r="O2552" s="24">
        <f t="shared" si="4"/>
        <v>0</v>
      </c>
      <c r="P2552" s="24"/>
      <c r="Q2552" s="24">
        <f t="shared" si="6"/>
        <v>0</v>
      </c>
      <c r="R2552" s="24">
        <f t="shared" si="7"/>
        <v>0</v>
      </c>
      <c r="S2552" s="24"/>
      <c r="T2552" s="24"/>
    </row>
    <row r="2553">
      <c r="A2553" s="12" t="s">
        <v>2641</v>
      </c>
      <c r="F2553" s="19">
        <f>IFERROR(__xludf.DUMMYFUNCTION("SPLIT(A2549, "" |"")"),2547.0)</f>
        <v>2547</v>
      </c>
      <c r="G2553" s="19">
        <f>IFERROR(__xludf.DUMMYFUNCTION("""COMPUTED_VALUE"""),0.00244)</f>
        <v>0.00244</v>
      </c>
      <c r="H2553" s="19" t="str">
        <f>IFERROR(__xludf.DUMMYFUNCTION("""COMPUTED_VALUE"""),"-")</f>
        <v>-</v>
      </c>
      <c r="I2553" s="19">
        <f>IFERROR(__xludf.DUMMYFUNCTION("""COMPUTED_VALUE"""),0.00228)</f>
        <v>0.00228</v>
      </c>
      <c r="J2553" s="19">
        <f>IFERROR(__xludf.DUMMYFUNCTION("""COMPUTED_VALUE"""),0.04111)</f>
        <v>0.04111</v>
      </c>
      <c r="K2553" s="19" t="str">
        <f>IFERROR(__xludf.DUMMYFUNCTION("""COMPUTED_VALUE"""),"-")</f>
        <v>-</v>
      </c>
      <c r="L2553" s="19" t="str">
        <f>IFERROR(__xludf.DUMMYFUNCTION("""COMPUTED_VALUE"""),"-")</f>
        <v>-</v>
      </c>
      <c r="O2553" s="24">
        <f t="shared" si="4"/>
        <v>0</v>
      </c>
      <c r="P2553" s="24"/>
      <c r="Q2553" s="24">
        <f t="shared" si="6"/>
        <v>0</v>
      </c>
      <c r="R2553" s="24">
        <f t="shared" si="7"/>
        <v>1</v>
      </c>
      <c r="S2553" s="24"/>
      <c r="T2553" s="24"/>
    </row>
    <row r="2554">
      <c r="A2554" s="12" t="s">
        <v>2642</v>
      </c>
      <c r="F2554" s="19">
        <f>IFERROR(__xludf.DUMMYFUNCTION("SPLIT(A2550, "" |"")"),2548.0)</f>
        <v>2548</v>
      </c>
      <c r="G2554" s="19">
        <f>IFERROR(__xludf.DUMMYFUNCTION("""COMPUTED_VALUE"""),0.00231)</f>
        <v>0.00231</v>
      </c>
      <c r="H2554" s="19" t="str">
        <f>IFERROR(__xludf.DUMMYFUNCTION("""COMPUTED_VALUE"""),"-")</f>
        <v>-</v>
      </c>
      <c r="I2554" s="19">
        <f>IFERROR(__xludf.DUMMYFUNCTION("""COMPUTED_VALUE"""),0.00219)</f>
        <v>0.00219</v>
      </c>
      <c r="J2554" s="19">
        <f>IFERROR(__xludf.DUMMYFUNCTION("""COMPUTED_VALUE"""),0.04739)</f>
        <v>0.04739</v>
      </c>
      <c r="K2554" s="19" t="str">
        <f>IFERROR(__xludf.DUMMYFUNCTION("""COMPUTED_VALUE"""),"-")</f>
        <v>-</v>
      </c>
      <c r="L2554" s="19" t="str">
        <f>IFERROR(__xludf.DUMMYFUNCTION("""COMPUTED_VALUE"""),"-")</f>
        <v>-</v>
      </c>
      <c r="O2554" s="24">
        <f t="shared" si="4"/>
        <v>0</v>
      </c>
      <c r="P2554" s="24"/>
      <c r="Q2554" s="24">
        <f t="shared" si="6"/>
        <v>0</v>
      </c>
      <c r="R2554" s="24">
        <f t="shared" si="7"/>
        <v>0</v>
      </c>
      <c r="S2554" s="24"/>
      <c r="T2554" s="24"/>
    </row>
    <row r="2555">
      <c r="A2555" s="12" t="s">
        <v>2643</v>
      </c>
      <c r="F2555" s="19">
        <f>IFERROR(__xludf.DUMMYFUNCTION("SPLIT(A2551, "" |"")"),2549.0)</f>
        <v>2549</v>
      </c>
      <c r="G2555" s="19">
        <f>IFERROR(__xludf.DUMMYFUNCTION("""COMPUTED_VALUE"""),0.00244)</f>
        <v>0.00244</v>
      </c>
      <c r="H2555" s="19" t="str">
        <f>IFERROR(__xludf.DUMMYFUNCTION("""COMPUTED_VALUE"""),"-")</f>
        <v>-</v>
      </c>
      <c r="I2555" s="19">
        <f>IFERROR(__xludf.DUMMYFUNCTION("""COMPUTED_VALUE"""),0.00223)</f>
        <v>0.00223</v>
      </c>
      <c r="J2555" s="19">
        <f>IFERROR(__xludf.DUMMYFUNCTION("""COMPUTED_VALUE"""),0.04748)</f>
        <v>0.04748</v>
      </c>
      <c r="K2555" s="19" t="str">
        <f>IFERROR(__xludf.DUMMYFUNCTION("""COMPUTED_VALUE"""),"-")</f>
        <v>-</v>
      </c>
      <c r="L2555" s="19" t="str">
        <f>IFERROR(__xludf.DUMMYFUNCTION("""COMPUTED_VALUE"""),"-")</f>
        <v>-</v>
      </c>
      <c r="O2555" s="24">
        <f t="shared" si="4"/>
        <v>0</v>
      </c>
      <c r="P2555" s="24"/>
      <c r="Q2555" s="24">
        <f t="shared" si="6"/>
        <v>0</v>
      </c>
      <c r="R2555" s="24">
        <f t="shared" si="7"/>
        <v>0</v>
      </c>
      <c r="S2555" s="24"/>
      <c r="T2555" s="24"/>
    </row>
    <row r="2556">
      <c r="A2556" s="12" t="s">
        <v>2644</v>
      </c>
      <c r="F2556" s="19">
        <f>IFERROR(__xludf.DUMMYFUNCTION("SPLIT(A2552, "" |"")"),2550.0)</f>
        <v>2550</v>
      </c>
      <c r="G2556" s="19">
        <f>IFERROR(__xludf.DUMMYFUNCTION("""COMPUTED_VALUE"""),0.00236)</f>
        <v>0.00236</v>
      </c>
      <c r="H2556" s="19" t="str">
        <f>IFERROR(__xludf.DUMMYFUNCTION("""COMPUTED_VALUE"""),"-")</f>
        <v>-</v>
      </c>
      <c r="I2556" s="19">
        <f>IFERROR(__xludf.DUMMYFUNCTION("""COMPUTED_VALUE"""),0.0022)</f>
        <v>0.0022</v>
      </c>
      <c r="J2556" s="19">
        <f>IFERROR(__xludf.DUMMYFUNCTION("""COMPUTED_VALUE"""),0.04292)</f>
        <v>0.04292</v>
      </c>
      <c r="K2556" s="19" t="str">
        <f>IFERROR(__xludf.DUMMYFUNCTION("""COMPUTED_VALUE"""),"-")</f>
        <v>-</v>
      </c>
      <c r="L2556" s="19" t="str">
        <f>IFERROR(__xludf.DUMMYFUNCTION("""COMPUTED_VALUE"""),"-")</f>
        <v>-</v>
      </c>
      <c r="O2556" s="24">
        <f t="shared" si="4"/>
        <v>0</v>
      </c>
      <c r="P2556" s="24"/>
      <c r="Q2556" s="24">
        <f t="shared" si="6"/>
        <v>0</v>
      </c>
      <c r="R2556" s="24">
        <f t="shared" si="7"/>
        <v>1</v>
      </c>
      <c r="S2556" s="24"/>
      <c r="T2556" s="24"/>
    </row>
    <row r="2557">
      <c r="A2557" s="12" t="s">
        <v>2645</v>
      </c>
      <c r="F2557" s="19">
        <f>IFERROR(__xludf.DUMMYFUNCTION("SPLIT(A2553, "" |"")"),2551.0)</f>
        <v>2551</v>
      </c>
      <c r="G2557" s="19">
        <f>IFERROR(__xludf.DUMMYFUNCTION("""COMPUTED_VALUE"""),0.00232)</f>
        <v>0.00232</v>
      </c>
      <c r="H2557" s="19" t="str">
        <f>IFERROR(__xludf.DUMMYFUNCTION("""COMPUTED_VALUE"""),"-")</f>
        <v>-</v>
      </c>
      <c r="I2557" s="19">
        <f>IFERROR(__xludf.DUMMYFUNCTION("""COMPUTED_VALUE"""),0.00221)</f>
        <v>0.00221</v>
      </c>
      <c r="J2557" s="19">
        <f>IFERROR(__xludf.DUMMYFUNCTION("""COMPUTED_VALUE"""),0.04579)</f>
        <v>0.04579</v>
      </c>
      <c r="K2557" s="19" t="str">
        <f>IFERROR(__xludf.DUMMYFUNCTION("""COMPUTED_VALUE"""),"-")</f>
        <v>-</v>
      </c>
      <c r="L2557" s="19" t="str">
        <f>IFERROR(__xludf.DUMMYFUNCTION("""COMPUTED_VALUE"""),"-")</f>
        <v>-</v>
      </c>
      <c r="O2557" s="24">
        <f t="shared" si="4"/>
        <v>0</v>
      </c>
      <c r="P2557" s="24"/>
      <c r="Q2557" s="24">
        <f t="shared" si="6"/>
        <v>0</v>
      </c>
      <c r="R2557" s="24">
        <f t="shared" si="7"/>
        <v>0</v>
      </c>
      <c r="S2557" s="24"/>
      <c r="T2557" s="24"/>
    </row>
    <row r="2558">
      <c r="A2558" s="12" t="s">
        <v>2646</v>
      </c>
      <c r="F2558" s="19">
        <f>IFERROR(__xludf.DUMMYFUNCTION("SPLIT(A2554, "" |"")"),2552.0)</f>
        <v>2552</v>
      </c>
      <c r="G2558" s="19">
        <f>IFERROR(__xludf.DUMMYFUNCTION("""COMPUTED_VALUE"""),0.00234)</f>
        <v>0.00234</v>
      </c>
      <c r="H2558" s="19" t="str">
        <f>IFERROR(__xludf.DUMMYFUNCTION("""COMPUTED_VALUE"""),"-")</f>
        <v>-</v>
      </c>
      <c r="I2558" s="19">
        <f>IFERROR(__xludf.DUMMYFUNCTION("""COMPUTED_VALUE"""),0.0022)</f>
        <v>0.0022</v>
      </c>
      <c r="J2558" s="19">
        <f>IFERROR(__xludf.DUMMYFUNCTION("""COMPUTED_VALUE"""),0.04732)</f>
        <v>0.04732</v>
      </c>
      <c r="K2558" s="19" t="str">
        <f>IFERROR(__xludf.DUMMYFUNCTION("""COMPUTED_VALUE"""),"-")</f>
        <v>-</v>
      </c>
      <c r="L2558" s="19" t="str">
        <f>IFERROR(__xludf.DUMMYFUNCTION("""COMPUTED_VALUE"""),"-")</f>
        <v>-</v>
      </c>
      <c r="O2558" s="24">
        <f t="shared" si="4"/>
        <v>0</v>
      </c>
      <c r="P2558" s="24"/>
      <c r="Q2558" s="24">
        <f t="shared" si="6"/>
        <v>0</v>
      </c>
      <c r="R2558" s="24">
        <f t="shared" si="7"/>
        <v>0</v>
      </c>
      <c r="S2558" s="24"/>
      <c r="T2558" s="24"/>
    </row>
    <row r="2559">
      <c r="A2559" s="12" t="s">
        <v>2647</v>
      </c>
      <c r="F2559" s="19">
        <f>IFERROR(__xludf.DUMMYFUNCTION("SPLIT(A2555, "" |"")"),2553.0)</f>
        <v>2553</v>
      </c>
      <c r="G2559" s="19">
        <f>IFERROR(__xludf.DUMMYFUNCTION("""COMPUTED_VALUE"""),0.00243)</f>
        <v>0.00243</v>
      </c>
      <c r="H2559" s="19" t="str">
        <f>IFERROR(__xludf.DUMMYFUNCTION("""COMPUTED_VALUE"""),"-")</f>
        <v>-</v>
      </c>
      <c r="I2559" s="19">
        <f>IFERROR(__xludf.DUMMYFUNCTION("""COMPUTED_VALUE"""),0.00223)</f>
        <v>0.00223</v>
      </c>
      <c r="J2559" s="19">
        <f>IFERROR(__xludf.DUMMYFUNCTION("""COMPUTED_VALUE"""),0.04495)</f>
        <v>0.04495</v>
      </c>
      <c r="K2559" s="19" t="str">
        <f>IFERROR(__xludf.DUMMYFUNCTION("""COMPUTED_VALUE"""),"-")</f>
        <v>-</v>
      </c>
      <c r="L2559" s="19" t="str">
        <f>IFERROR(__xludf.DUMMYFUNCTION("""COMPUTED_VALUE"""),"-")</f>
        <v>-</v>
      </c>
      <c r="O2559" s="24">
        <f t="shared" si="4"/>
        <v>0</v>
      </c>
      <c r="P2559" s="24"/>
      <c r="Q2559" s="24">
        <f t="shared" si="6"/>
        <v>0</v>
      </c>
      <c r="R2559" s="24">
        <f t="shared" si="7"/>
        <v>0</v>
      </c>
      <c r="S2559" s="24"/>
      <c r="T2559" s="24"/>
    </row>
    <row r="2560">
      <c r="A2560" s="12" t="s">
        <v>2648</v>
      </c>
      <c r="F2560" s="19">
        <f>IFERROR(__xludf.DUMMYFUNCTION("SPLIT(A2556, "" |"")"),2554.0)</f>
        <v>2554</v>
      </c>
      <c r="G2560" s="19">
        <f>IFERROR(__xludf.DUMMYFUNCTION("""COMPUTED_VALUE"""),0.00238)</f>
        <v>0.00238</v>
      </c>
      <c r="H2560" s="19" t="str">
        <f>IFERROR(__xludf.DUMMYFUNCTION("""COMPUTED_VALUE"""),"-")</f>
        <v>-</v>
      </c>
      <c r="I2560" s="19">
        <f>IFERROR(__xludf.DUMMYFUNCTION("""COMPUTED_VALUE"""),0.00218)</f>
        <v>0.00218</v>
      </c>
      <c r="J2560" s="19">
        <f>IFERROR(__xludf.DUMMYFUNCTION("""COMPUTED_VALUE"""),0.04042)</f>
        <v>0.04042</v>
      </c>
      <c r="K2560" s="19" t="str">
        <f>IFERROR(__xludf.DUMMYFUNCTION("""COMPUTED_VALUE"""),"-")</f>
        <v>-</v>
      </c>
      <c r="L2560" s="19" t="str">
        <f>IFERROR(__xludf.DUMMYFUNCTION("""COMPUTED_VALUE"""),"-")</f>
        <v>-</v>
      </c>
      <c r="O2560" s="24">
        <f t="shared" si="4"/>
        <v>0</v>
      </c>
      <c r="P2560" s="24"/>
      <c r="Q2560" s="24">
        <f t="shared" si="6"/>
        <v>0</v>
      </c>
      <c r="R2560" s="24">
        <f t="shared" si="7"/>
        <v>1</v>
      </c>
      <c r="S2560" s="24"/>
      <c r="T2560" s="24"/>
    </row>
    <row r="2561">
      <c r="A2561" s="12" t="s">
        <v>2649</v>
      </c>
      <c r="F2561" s="19">
        <f>IFERROR(__xludf.DUMMYFUNCTION("SPLIT(A2557, "" |"")"),2555.0)</f>
        <v>2555</v>
      </c>
      <c r="G2561" s="19">
        <f>IFERROR(__xludf.DUMMYFUNCTION("""COMPUTED_VALUE"""),0.00229)</f>
        <v>0.00229</v>
      </c>
      <c r="H2561" s="19" t="str">
        <f>IFERROR(__xludf.DUMMYFUNCTION("""COMPUTED_VALUE"""),"-")</f>
        <v>-</v>
      </c>
      <c r="I2561" s="19">
        <f>IFERROR(__xludf.DUMMYFUNCTION("""COMPUTED_VALUE"""),0.00216)</f>
        <v>0.00216</v>
      </c>
      <c r="J2561" s="19">
        <f>IFERROR(__xludf.DUMMYFUNCTION("""COMPUTED_VALUE"""),0.04744)</f>
        <v>0.04744</v>
      </c>
      <c r="K2561" s="19" t="str">
        <f>IFERROR(__xludf.DUMMYFUNCTION("""COMPUTED_VALUE"""),"-")</f>
        <v>-</v>
      </c>
      <c r="L2561" s="19" t="str">
        <f>IFERROR(__xludf.DUMMYFUNCTION("""COMPUTED_VALUE"""),"-")</f>
        <v>-</v>
      </c>
      <c r="O2561" s="24">
        <f t="shared" si="4"/>
        <v>0</v>
      </c>
      <c r="P2561" s="24"/>
      <c r="Q2561" s="24">
        <f t="shared" si="6"/>
        <v>0</v>
      </c>
      <c r="R2561" s="24">
        <f t="shared" si="7"/>
        <v>0</v>
      </c>
      <c r="S2561" s="24"/>
      <c r="T2561" s="24"/>
    </row>
    <row r="2562">
      <c r="A2562" s="12" t="s">
        <v>2650</v>
      </c>
      <c r="F2562" s="19">
        <f>IFERROR(__xludf.DUMMYFUNCTION("SPLIT(A2558, "" |"")"),2556.0)</f>
        <v>2556</v>
      </c>
      <c r="G2562" s="19">
        <f>IFERROR(__xludf.DUMMYFUNCTION("""COMPUTED_VALUE"""),0.00237)</f>
        <v>0.00237</v>
      </c>
      <c r="H2562" s="19" t="str">
        <f>IFERROR(__xludf.DUMMYFUNCTION("""COMPUTED_VALUE"""),"-")</f>
        <v>-</v>
      </c>
      <c r="I2562" s="19">
        <f>IFERROR(__xludf.DUMMYFUNCTION("""COMPUTED_VALUE"""),0.00224)</f>
        <v>0.00224</v>
      </c>
      <c r="J2562" s="19">
        <f>IFERROR(__xludf.DUMMYFUNCTION("""COMPUTED_VALUE"""),0.04743)</f>
        <v>0.04743</v>
      </c>
      <c r="K2562" s="19" t="str">
        <f>IFERROR(__xludf.DUMMYFUNCTION("""COMPUTED_VALUE"""),"-")</f>
        <v>-</v>
      </c>
      <c r="L2562" s="19" t="str">
        <f>IFERROR(__xludf.DUMMYFUNCTION("""COMPUTED_VALUE"""),"-")</f>
        <v>-</v>
      </c>
      <c r="O2562" s="24">
        <f t="shared" si="4"/>
        <v>0</v>
      </c>
      <c r="P2562" s="24"/>
      <c r="Q2562" s="24">
        <f t="shared" si="6"/>
        <v>0</v>
      </c>
      <c r="R2562" s="24">
        <f t="shared" si="7"/>
        <v>0</v>
      </c>
      <c r="S2562" s="24"/>
      <c r="T2562" s="24"/>
    </row>
    <row r="2563">
      <c r="A2563" s="12" t="s">
        <v>2651</v>
      </c>
      <c r="F2563" s="19">
        <f>IFERROR(__xludf.DUMMYFUNCTION("SPLIT(A2559, "" |"")"),2557.0)</f>
        <v>2557</v>
      </c>
      <c r="G2563" s="19">
        <f>IFERROR(__xludf.DUMMYFUNCTION("""COMPUTED_VALUE"""),0.00232)</f>
        <v>0.00232</v>
      </c>
      <c r="H2563" s="19" t="str">
        <f>IFERROR(__xludf.DUMMYFUNCTION("""COMPUTED_VALUE"""),"-")</f>
        <v>-</v>
      </c>
      <c r="I2563" s="19">
        <f>IFERROR(__xludf.DUMMYFUNCTION("""COMPUTED_VALUE"""),0.00223)</f>
        <v>0.00223</v>
      </c>
      <c r="J2563" s="19">
        <f>IFERROR(__xludf.DUMMYFUNCTION("""COMPUTED_VALUE"""),0.04435)</f>
        <v>0.04435</v>
      </c>
      <c r="K2563" s="19" t="str">
        <f>IFERROR(__xludf.DUMMYFUNCTION("""COMPUTED_VALUE"""),"-")</f>
        <v>-</v>
      </c>
      <c r="L2563" s="19" t="str">
        <f>IFERROR(__xludf.DUMMYFUNCTION("""COMPUTED_VALUE"""),"-")</f>
        <v>-</v>
      </c>
      <c r="O2563" s="24">
        <f t="shared" si="4"/>
        <v>0</v>
      </c>
      <c r="P2563" s="24"/>
      <c r="Q2563" s="24">
        <f t="shared" si="6"/>
        <v>0</v>
      </c>
      <c r="R2563" s="24">
        <f t="shared" si="7"/>
        <v>1</v>
      </c>
      <c r="S2563" s="24"/>
      <c r="T2563" s="24"/>
    </row>
    <row r="2564">
      <c r="A2564" s="12" t="s">
        <v>2652</v>
      </c>
      <c r="F2564" s="19">
        <f>IFERROR(__xludf.DUMMYFUNCTION("SPLIT(A2560, "" |"")"),2558.0)</f>
        <v>2558</v>
      </c>
      <c r="G2564" s="19">
        <f>IFERROR(__xludf.DUMMYFUNCTION("""COMPUTED_VALUE"""),0.00236)</f>
        <v>0.00236</v>
      </c>
      <c r="H2564" s="19" t="str">
        <f>IFERROR(__xludf.DUMMYFUNCTION("""COMPUTED_VALUE"""),"-")</f>
        <v>-</v>
      </c>
      <c r="I2564" s="19">
        <f>IFERROR(__xludf.DUMMYFUNCTION("""COMPUTED_VALUE"""),0.00219)</f>
        <v>0.00219</v>
      </c>
      <c r="J2564" s="19">
        <f>IFERROR(__xludf.DUMMYFUNCTION("""COMPUTED_VALUE"""),0.04739)</f>
        <v>0.04739</v>
      </c>
      <c r="K2564" s="19" t="str">
        <f>IFERROR(__xludf.DUMMYFUNCTION("""COMPUTED_VALUE"""),"-")</f>
        <v>-</v>
      </c>
      <c r="L2564" s="19" t="str">
        <f>IFERROR(__xludf.DUMMYFUNCTION("""COMPUTED_VALUE"""),"-")</f>
        <v>-</v>
      </c>
      <c r="O2564" s="24">
        <f t="shared" si="4"/>
        <v>0</v>
      </c>
      <c r="P2564" s="24"/>
      <c r="Q2564" s="24">
        <f t="shared" si="6"/>
        <v>0</v>
      </c>
      <c r="R2564" s="24">
        <f t="shared" si="7"/>
        <v>0</v>
      </c>
      <c r="S2564" s="24"/>
      <c r="T2564" s="24"/>
    </row>
    <row r="2565">
      <c r="A2565" s="12" t="s">
        <v>2653</v>
      </c>
      <c r="F2565" s="19">
        <f>IFERROR(__xludf.DUMMYFUNCTION("SPLIT(A2561, "" |"")"),2559.0)</f>
        <v>2559</v>
      </c>
      <c r="G2565" s="19">
        <f>IFERROR(__xludf.DUMMYFUNCTION("""COMPUTED_VALUE"""),0.00243)</f>
        <v>0.00243</v>
      </c>
      <c r="H2565" s="19" t="str">
        <f>IFERROR(__xludf.DUMMYFUNCTION("""COMPUTED_VALUE"""),"-")</f>
        <v>-</v>
      </c>
      <c r="I2565" s="19">
        <f>IFERROR(__xludf.DUMMYFUNCTION("""COMPUTED_VALUE"""),0.0022)</f>
        <v>0.0022</v>
      </c>
      <c r="J2565" s="19">
        <f>IFERROR(__xludf.DUMMYFUNCTION("""COMPUTED_VALUE"""),0.04739)</f>
        <v>0.04739</v>
      </c>
      <c r="K2565" s="19" t="str">
        <f>IFERROR(__xludf.DUMMYFUNCTION("""COMPUTED_VALUE"""),"-")</f>
        <v>-</v>
      </c>
      <c r="L2565" s="19" t="str">
        <f>IFERROR(__xludf.DUMMYFUNCTION("""COMPUTED_VALUE"""),"-")</f>
        <v>-</v>
      </c>
      <c r="O2565" s="24">
        <f t="shared" si="4"/>
        <v>0</v>
      </c>
      <c r="P2565" s="24"/>
      <c r="Q2565" s="24">
        <f t="shared" si="6"/>
        <v>0</v>
      </c>
      <c r="R2565" s="24">
        <f t="shared" si="7"/>
        <v>0</v>
      </c>
      <c r="S2565" s="24"/>
      <c r="T2565" s="24"/>
    </row>
    <row r="2566">
      <c r="A2566" s="12" t="s">
        <v>2654</v>
      </c>
      <c r="F2566" s="19">
        <f>IFERROR(__xludf.DUMMYFUNCTION("SPLIT(A2562, "" |"")"),2560.0)</f>
        <v>2560</v>
      </c>
      <c r="G2566" s="19">
        <f>IFERROR(__xludf.DUMMYFUNCTION("""COMPUTED_VALUE"""),0.00235)</f>
        <v>0.00235</v>
      </c>
      <c r="H2566" s="19" t="str">
        <f>IFERROR(__xludf.DUMMYFUNCTION("""COMPUTED_VALUE"""),"-")</f>
        <v>-</v>
      </c>
      <c r="I2566" s="19">
        <f>IFERROR(__xludf.DUMMYFUNCTION("""COMPUTED_VALUE"""),0.00219)</f>
        <v>0.00219</v>
      </c>
      <c r="J2566" s="19">
        <f>IFERROR(__xludf.DUMMYFUNCTION("""COMPUTED_VALUE"""),0.04745)</f>
        <v>0.04745</v>
      </c>
      <c r="K2566" s="19" t="str">
        <f>IFERROR(__xludf.DUMMYFUNCTION("""COMPUTED_VALUE"""),"-")</f>
        <v>-</v>
      </c>
      <c r="L2566" s="19" t="str">
        <f>IFERROR(__xludf.DUMMYFUNCTION("""COMPUTED_VALUE"""),"-")</f>
        <v>-</v>
      </c>
      <c r="O2566" s="24">
        <f t="shared" si="4"/>
        <v>0</v>
      </c>
      <c r="P2566" s="24"/>
      <c r="Q2566" s="24">
        <f t="shared" si="6"/>
        <v>0</v>
      </c>
      <c r="R2566" s="24">
        <f t="shared" si="7"/>
        <v>0</v>
      </c>
      <c r="S2566" s="24"/>
      <c r="T2566" s="24"/>
    </row>
    <row r="2567">
      <c r="A2567" s="12" t="s">
        <v>2655</v>
      </c>
      <c r="F2567" s="19">
        <f>IFERROR(__xludf.DUMMYFUNCTION("SPLIT(A2563, "" |"")"),2561.0)</f>
        <v>2561</v>
      </c>
      <c r="G2567" s="19">
        <f>IFERROR(__xludf.DUMMYFUNCTION("""COMPUTED_VALUE"""),0.00232)</f>
        <v>0.00232</v>
      </c>
      <c r="H2567" s="19" t="str">
        <f>IFERROR(__xludf.DUMMYFUNCTION("""COMPUTED_VALUE"""),"-")</f>
        <v>-</v>
      </c>
      <c r="I2567" s="19">
        <f>IFERROR(__xludf.DUMMYFUNCTION("""COMPUTED_VALUE"""),0.00219)</f>
        <v>0.00219</v>
      </c>
      <c r="J2567" s="19">
        <f>IFERROR(__xludf.DUMMYFUNCTION("""COMPUTED_VALUE"""),0.04395)</f>
        <v>0.04395</v>
      </c>
      <c r="K2567" s="19" t="str">
        <f>IFERROR(__xludf.DUMMYFUNCTION("""COMPUTED_VALUE"""),"-")</f>
        <v>-</v>
      </c>
      <c r="L2567" s="19" t="str">
        <f>IFERROR(__xludf.DUMMYFUNCTION("""COMPUTED_VALUE"""),"-")</f>
        <v>-</v>
      </c>
      <c r="O2567" s="24">
        <f t="shared" si="4"/>
        <v>0</v>
      </c>
      <c r="P2567" s="24"/>
      <c r="Q2567" s="24">
        <f t="shared" si="6"/>
        <v>0</v>
      </c>
      <c r="R2567" s="24">
        <f t="shared" si="7"/>
        <v>1</v>
      </c>
      <c r="S2567" s="24"/>
      <c r="T2567" s="24"/>
    </row>
    <row r="2568">
      <c r="A2568" s="12" t="s">
        <v>2656</v>
      </c>
      <c r="F2568" s="19">
        <f>IFERROR(__xludf.DUMMYFUNCTION("SPLIT(A2564, "" |"")"),2562.0)</f>
        <v>2562</v>
      </c>
      <c r="G2568" s="19">
        <f>IFERROR(__xludf.DUMMYFUNCTION("""COMPUTED_VALUE"""),0.00236)</f>
        <v>0.00236</v>
      </c>
      <c r="H2568" s="19" t="str">
        <f>IFERROR(__xludf.DUMMYFUNCTION("""COMPUTED_VALUE"""),"-")</f>
        <v>-</v>
      </c>
      <c r="I2568" s="19">
        <f>IFERROR(__xludf.DUMMYFUNCTION("""COMPUTED_VALUE"""),0.00232)</f>
        <v>0.00232</v>
      </c>
      <c r="J2568" s="19">
        <f>IFERROR(__xludf.DUMMYFUNCTION("""COMPUTED_VALUE"""),0.04742)</f>
        <v>0.04742</v>
      </c>
      <c r="K2568" s="19" t="str">
        <f>IFERROR(__xludf.DUMMYFUNCTION("""COMPUTED_VALUE"""),"-")</f>
        <v>-</v>
      </c>
      <c r="L2568" s="19" t="str">
        <f>IFERROR(__xludf.DUMMYFUNCTION("""COMPUTED_VALUE"""),"-")</f>
        <v>-</v>
      </c>
      <c r="O2568" s="24">
        <f t="shared" si="4"/>
        <v>0</v>
      </c>
      <c r="P2568" s="24"/>
      <c r="Q2568" s="24">
        <f t="shared" si="6"/>
        <v>0</v>
      </c>
      <c r="R2568" s="24">
        <f t="shared" si="7"/>
        <v>0</v>
      </c>
      <c r="S2568" s="24"/>
      <c r="T2568" s="24"/>
    </row>
    <row r="2569">
      <c r="A2569" s="12" t="s">
        <v>2657</v>
      </c>
      <c r="F2569" s="19">
        <f>IFERROR(__xludf.DUMMYFUNCTION("SPLIT(A2565, "" |"")"),2563.0)</f>
        <v>2563</v>
      </c>
      <c r="G2569" s="19">
        <f>IFERROR(__xludf.DUMMYFUNCTION("""COMPUTED_VALUE"""),0.0023)</f>
        <v>0.0023</v>
      </c>
      <c r="H2569" s="19" t="str">
        <f>IFERROR(__xludf.DUMMYFUNCTION("""COMPUTED_VALUE"""),"-")</f>
        <v>-</v>
      </c>
      <c r="I2569" s="19">
        <f>IFERROR(__xludf.DUMMYFUNCTION("""COMPUTED_VALUE"""),0.00227)</f>
        <v>0.00227</v>
      </c>
      <c r="J2569" s="19">
        <f>IFERROR(__xludf.DUMMYFUNCTION("""COMPUTED_VALUE"""),0.04743)</f>
        <v>0.04743</v>
      </c>
      <c r="K2569" s="19" t="str">
        <f>IFERROR(__xludf.DUMMYFUNCTION("""COMPUTED_VALUE"""),"-")</f>
        <v>-</v>
      </c>
      <c r="L2569" s="19" t="str">
        <f>IFERROR(__xludf.DUMMYFUNCTION("""COMPUTED_VALUE"""),"-")</f>
        <v>-</v>
      </c>
      <c r="O2569" s="24">
        <f t="shared" si="4"/>
        <v>0</v>
      </c>
      <c r="P2569" s="24"/>
      <c r="Q2569" s="24">
        <f t="shared" si="6"/>
        <v>0</v>
      </c>
      <c r="R2569" s="24">
        <f t="shared" si="7"/>
        <v>0</v>
      </c>
      <c r="S2569" s="24"/>
      <c r="T2569" s="24"/>
    </row>
    <row r="2570">
      <c r="A2570" s="12" t="s">
        <v>2658</v>
      </c>
      <c r="F2570" s="19">
        <f>IFERROR(__xludf.DUMMYFUNCTION("SPLIT(A2566, "" |"")"),2564.0)</f>
        <v>2564</v>
      </c>
      <c r="G2570" s="19">
        <f>IFERROR(__xludf.DUMMYFUNCTION("""COMPUTED_VALUE"""),0.0023)</f>
        <v>0.0023</v>
      </c>
      <c r="H2570" s="19" t="str">
        <f>IFERROR(__xludf.DUMMYFUNCTION("""COMPUTED_VALUE"""),"-")</f>
        <v>-</v>
      </c>
      <c r="I2570" s="19">
        <f>IFERROR(__xludf.DUMMYFUNCTION("""COMPUTED_VALUE"""),0.00227)</f>
        <v>0.00227</v>
      </c>
      <c r="J2570" s="19">
        <f>IFERROR(__xludf.DUMMYFUNCTION("""COMPUTED_VALUE"""),0.04751)</f>
        <v>0.04751</v>
      </c>
      <c r="K2570" s="19" t="str">
        <f>IFERROR(__xludf.DUMMYFUNCTION("""COMPUTED_VALUE"""),"-")</f>
        <v>-</v>
      </c>
      <c r="L2570" s="19" t="str">
        <f>IFERROR(__xludf.DUMMYFUNCTION("""COMPUTED_VALUE"""),"-")</f>
        <v>-</v>
      </c>
      <c r="O2570" s="24">
        <f t="shared" si="4"/>
        <v>0</v>
      </c>
      <c r="P2570" s="24"/>
      <c r="Q2570" s="24">
        <f t="shared" si="6"/>
        <v>0</v>
      </c>
      <c r="R2570" s="24">
        <f t="shared" si="7"/>
        <v>0</v>
      </c>
      <c r="S2570" s="24"/>
      <c r="T2570" s="24"/>
    </row>
    <row r="2571">
      <c r="A2571" s="12" t="s">
        <v>2659</v>
      </c>
      <c r="F2571" s="19">
        <f>IFERROR(__xludf.DUMMYFUNCTION("SPLIT(A2567, "" |"")"),2565.0)</f>
        <v>2565</v>
      </c>
      <c r="G2571" s="19">
        <f>IFERROR(__xludf.DUMMYFUNCTION("""COMPUTED_VALUE"""),0.00232)</f>
        <v>0.00232</v>
      </c>
      <c r="H2571" s="19" t="str">
        <f>IFERROR(__xludf.DUMMYFUNCTION("""COMPUTED_VALUE"""),"-")</f>
        <v>-</v>
      </c>
      <c r="I2571" s="19">
        <f>IFERROR(__xludf.DUMMYFUNCTION("""COMPUTED_VALUE"""),0.00224)</f>
        <v>0.00224</v>
      </c>
      <c r="J2571" s="19">
        <f>IFERROR(__xludf.DUMMYFUNCTION("""COMPUTED_VALUE"""),0.0474)</f>
        <v>0.0474</v>
      </c>
      <c r="K2571" s="19" t="str">
        <f>IFERROR(__xludf.DUMMYFUNCTION("""COMPUTED_VALUE"""),"-")</f>
        <v>-</v>
      </c>
      <c r="L2571" s="19" t="str">
        <f>IFERROR(__xludf.DUMMYFUNCTION("""COMPUTED_VALUE"""),"-")</f>
        <v>-</v>
      </c>
      <c r="O2571" s="24">
        <f t="shared" si="4"/>
        <v>0</v>
      </c>
      <c r="P2571" s="24"/>
      <c r="Q2571" s="24">
        <f t="shared" si="6"/>
        <v>0</v>
      </c>
      <c r="R2571" s="24">
        <f t="shared" si="7"/>
        <v>0</v>
      </c>
      <c r="S2571" s="24"/>
      <c r="T2571" s="24"/>
    </row>
    <row r="2572">
      <c r="A2572" s="12" t="s">
        <v>2660</v>
      </c>
      <c r="F2572" s="19">
        <f>IFERROR(__xludf.DUMMYFUNCTION("SPLIT(A2568, "" |"")"),2566.0)</f>
        <v>2566</v>
      </c>
      <c r="G2572" s="19">
        <f>IFERROR(__xludf.DUMMYFUNCTION("""COMPUTED_VALUE"""),0.00235)</f>
        <v>0.00235</v>
      </c>
      <c r="H2572" s="19" t="str">
        <f>IFERROR(__xludf.DUMMYFUNCTION("""COMPUTED_VALUE"""),"-")</f>
        <v>-</v>
      </c>
      <c r="I2572" s="19">
        <f>IFERROR(__xludf.DUMMYFUNCTION("""COMPUTED_VALUE"""),0.00221)</f>
        <v>0.00221</v>
      </c>
      <c r="J2572" s="19">
        <f>IFERROR(__xludf.DUMMYFUNCTION("""COMPUTED_VALUE"""),0.04737)</f>
        <v>0.04737</v>
      </c>
      <c r="K2572" s="19" t="str">
        <f>IFERROR(__xludf.DUMMYFUNCTION("""COMPUTED_VALUE"""),"-")</f>
        <v>-</v>
      </c>
      <c r="L2572" s="19" t="str">
        <f>IFERROR(__xludf.DUMMYFUNCTION("""COMPUTED_VALUE"""),"-")</f>
        <v>-</v>
      </c>
      <c r="O2572" s="24">
        <f t="shared" si="4"/>
        <v>0</v>
      </c>
      <c r="P2572" s="24"/>
      <c r="Q2572" s="24">
        <f t="shared" si="6"/>
        <v>0</v>
      </c>
      <c r="R2572" s="24">
        <f t="shared" si="7"/>
        <v>0</v>
      </c>
      <c r="S2572" s="24"/>
      <c r="T2572" s="24"/>
    </row>
    <row r="2573">
      <c r="A2573" s="12" t="s">
        <v>2661</v>
      </c>
      <c r="F2573" s="19">
        <f>IFERROR(__xludf.DUMMYFUNCTION("SPLIT(A2569, "" |"")"),2567.0)</f>
        <v>2567</v>
      </c>
      <c r="G2573" s="19">
        <f>IFERROR(__xludf.DUMMYFUNCTION("""COMPUTED_VALUE"""),0.00244)</f>
        <v>0.00244</v>
      </c>
      <c r="H2573" s="19" t="str">
        <f>IFERROR(__xludf.DUMMYFUNCTION("""COMPUTED_VALUE"""),"-")</f>
        <v>-</v>
      </c>
      <c r="I2573" s="19">
        <f>IFERROR(__xludf.DUMMYFUNCTION("""COMPUTED_VALUE"""),0.00222)</f>
        <v>0.00222</v>
      </c>
      <c r="J2573" s="19">
        <f>IFERROR(__xludf.DUMMYFUNCTION("""COMPUTED_VALUE"""),0.04747)</f>
        <v>0.04747</v>
      </c>
      <c r="K2573" s="19" t="str">
        <f>IFERROR(__xludf.DUMMYFUNCTION("""COMPUTED_VALUE"""),"-")</f>
        <v>-</v>
      </c>
      <c r="L2573" s="19" t="str">
        <f>IFERROR(__xludf.DUMMYFUNCTION("""COMPUTED_VALUE"""),"-")</f>
        <v>-</v>
      </c>
      <c r="O2573" s="24">
        <f t="shared" si="4"/>
        <v>0</v>
      </c>
      <c r="P2573" s="24"/>
      <c r="Q2573" s="24">
        <f t="shared" si="6"/>
        <v>0</v>
      </c>
      <c r="R2573" s="24">
        <f t="shared" si="7"/>
        <v>0</v>
      </c>
      <c r="S2573" s="24"/>
      <c r="T2573" s="24"/>
    </row>
    <row r="2574">
      <c r="A2574" s="12" t="s">
        <v>2662</v>
      </c>
      <c r="F2574" s="19">
        <f>IFERROR(__xludf.DUMMYFUNCTION("SPLIT(A2570, "" |"")"),2568.0)</f>
        <v>2568</v>
      </c>
      <c r="G2574" s="19">
        <f>IFERROR(__xludf.DUMMYFUNCTION("""COMPUTED_VALUE"""),0.00242)</f>
        <v>0.00242</v>
      </c>
      <c r="H2574" s="19" t="str">
        <f>IFERROR(__xludf.DUMMYFUNCTION("""COMPUTED_VALUE"""),"-")</f>
        <v>-</v>
      </c>
      <c r="I2574" s="19">
        <f>IFERROR(__xludf.DUMMYFUNCTION("""COMPUTED_VALUE"""),0.00231)</f>
        <v>0.00231</v>
      </c>
      <c r="J2574" s="19">
        <f>IFERROR(__xludf.DUMMYFUNCTION("""COMPUTED_VALUE"""),0.04746)</f>
        <v>0.04746</v>
      </c>
      <c r="K2574" s="19" t="str">
        <f>IFERROR(__xludf.DUMMYFUNCTION("""COMPUTED_VALUE"""),"-")</f>
        <v>-</v>
      </c>
      <c r="L2574" s="19" t="str">
        <f>IFERROR(__xludf.DUMMYFUNCTION("""COMPUTED_VALUE"""),"-")</f>
        <v>-</v>
      </c>
      <c r="O2574" s="24">
        <f t="shared" si="4"/>
        <v>0</v>
      </c>
      <c r="P2574" s="24"/>
      <c r="Q2574" s="24">
        <f t="shared" si="6"/>
        <v>0</v>
      </c>
      <c r="R2574" s="24">
        <f t="shared" si="7"/>
        <v>0</v>
      </c>
      <c r="S2574" s="24"/>
      <c r="T2574" s="24"/>
    </row>
    <row r="2575">
      <c r="A2575" s="12" t="s">
        <v>2663</v>
      </c>
      <c r="F2575" s="19">
        <f>IFERROR(__xludf.DUMMYFUNCTION("SPLIT(A2571, "" |"")"),2569.0)</f>
        <v>2569</v>
      </c>
      <c r="G2575" s="19">
        <f>IFERROR(__xludf.DUMMYFUNCTION("""COMPUTED_VALUE"""),0.0024)</f>
        <v>0.0024</v>
      </c>
      <c r="H2575" s="19" t="str">
        <f>IFERROR(__xludf.DUMMYFUNCTION("""COMPUTED_VALUE"""),"-")</f>
        <v>-</v>
      </c>
      <c r="I2575" s="19">
        <f>IFERROR(__xludf.DUMMYFUNCTION("""COMPUTED_VALUE"""),0.00213)</f>
        <v>0.00213</v>
      </c>
      <c r="J2575" s="19">
        <f>IFERROR(__xludf.DUMMYFUNCTION("""COMPUTED_VALUE"""),0.04747)</f>
        <v>0.04747</v>
      </c>
      <c r="K2575" s="19" t="str">
        <f>IFERROR(__xludf.DUMMYFUNCTION("""COMPUTED_VALUE"""),"-")</f>
        <v>-</v>
      </c>
      <c r="L2575" s="19" t="str">
        <f>IFERROR(__xludf.DUMMYFUNCTION("""COMPUTED_VALUE"""),"-")</f>
        <v>-</v>
      </c>
      <c r="O2575" s="24">
        <f t="shared" si="4"/>
        <v>0</v>
      </c>
      <c r="P2575" s="24"/>
      <c r="Q2575" s="24">
        <f t="shared" si="6"/>
        <v>0</v>
      </c>
      <c r="R2575" s="24">
        <f t="shared" si="7"/>
        <v>0</v>
      </c>
      <c r="S2575" s="24"/>
      <c r="T2575" s="24"/>
    </row>
    <row r="2576">
      <c r="A2576" s="12" t="s">
        <v>2664</v>
      </c>
      <c r="F2576" s="19">
        <f>IFERROR(__xludf.DUMMYFUNCTION("SPLIT(A2572, "" |"")"),2570.0)</f>
        <v>2570</v>
      </c>
      <c r="G2576" s="19">
        <f>IFERROR(__xludf.DUMMYFUNCTION("""COMPUTED_VALUE"""),0.00235)</f>
        <v>0.00235</v>
      </c>
      <c r="H2576" s="19" t="str">
        <f>IFERROR(__xludf.DUMMYFUNCTION("""COMPUTED_VALUE"""),"-")</f>
        <v>-</v>
      </c>
      <c r="I2576" s="19">
        <f>IFERROR(__xludf.DUMMYFUNCTION("""COMPUTED_VALUE"""),0.00224)</f>
        <v>0.00224</v>
      </c>
      <c r="J2576" s="19">
        <f>IFERROR(__xludf.DUMMYFUNCTION("""COMPUTED_VALUE"""),0.04745)</f>
        <v>0.04745</v>
      </c>
      <c r="K2576" s="19" t="str">
        <f>IFERROR(__xludf.DUMMYFUNCTION("""COMPUTED_VALUE"""),"-")</f>
        <v>-</v>
      </c>
      <c r="L2576" s="19" t="str">
        <f>IFERROR(__xludf.DUMMYFUNCTION("""COMPUTED_VALUE"""),"-")</f>
        <v>-</v>
      </c>
      <c r="O2576" s="24">
        <f t="shared" si="4"/>
        <v>0</v>
      </c>
      <c r="P2576" s="24"/>
      <c r="Q2576" s="24">
        <f t="shared" si="6"/>
        <v>0</v>
      </c>
      <c r="R2576" s="24">
        <f t="shared" si="7"/>
        <v>0</v>
      </c>
      <c r="S2576" s="24"/>
      <c r="T2576" s="24"/>
    </row>
    <row r="2577">
      <c r="A2577" s="12" t="s">
        <v>2665</v>
      </c>
      <c r="F2577" s="19">
        <f>IFERROR(__xludf.DUMMYFUNCTION("SPLIT(A2573, "" |"")"),2571.0)</f>
        <v>2571</v>
      </c>
      <c r="G2577" s="19">
        <f>IFERROR(__xludf.DUMMYFUNCTION("""COMPUTED_VALUE"""),0.00235)</f>
        <v>0.00235</v>
      </c>
      <c r="H2577" s="19" t="str">
        <f>IFERROR(__xludf.DUMMYFUNCTION("""COMPUTED_VALUE"""),"-")</f>
        <v>-</v>
      </c>
      <c r="I2577" s="19">
        <f>IFERROR(__xludf.DUMMYFUNCTION("""COMPUTED_VALUE"""),0.0022)</f>
        <v>0.0022</v>
      </c>
      <c r="J2577" s="19">
        <f>IFERROR(__xludf.DUMMYFUNCTION("""COMPUTED_VALUE"""),0.0419)</f>
        <v>0.0419</v>
      </c>
      <c r="K2577" s="19" t="str">
        <f>IFERROR(__xludf.DUMMYFUNCTION("""COMPUTED_VALUE"""),"-")</f>
        <v>-</v>
      </c>
      <c r="L2577" s="19" t="str">
        <f>IFERROR(__xludf.DUMMYFUNCTION("""COMPUTED_VALUE"""),"-")</f>
        <v>-</v>
      </c>
      <c r="O2577" s="24">
        <f t="shared" si="4"/>
        <v>0</v>
      </c>
      <c r="P2577" s="24"/>
      <c r="Q2577" s="24">
        <f t="shared" si="6"/>
        <v>0</v>
      </c>
      <c r="R2577" s="24">
        <f t="shared" si="7"/>
        <v>1</v>
      </c>
      <c r="S2577" s="24"/>
      <c r="T2577" s="24"/>
    </row>
    <row r="2578">
      <c r="A2578" s="12" t="s">
        <v>2666</v>
      </c>
      <c r="F2578" s="19">
        <f>IFERROR(__xludf.DUMMYFUNCTION("SPLIT(A2574, "" |"")"),2572.0)</f>
        <v>2572</v>
      </c>
      <c r="G2578" s="19">
        <f>IFERROR(__xludf.DUMMYFUNCTION("""COMPUTED_VALUE"""),0.00225)</f>
        <v>0.00225</v>
      </c>
      <c r="H2578" s="19" t="str">
        <f>IFERROR(__xludf.DUMMYFUNCTION("""COMPUTED_VALUE"""),"-")</f>
        <v>-</v>
      </c>
      <c r="I2578" s="19">
        <f>IFERROR(__xludf.DUMMYFUNCTION("""COMPUTED_VALUE"""),0.00218)</f>
        <v>0.00218</v>
      </c>
      <c r="J2578" s="19">
        <f>IFERROR(__xludf.DUMMYFUNCTION("""COMPUTED_VALUE"""),0.04743)</f>
        <v>0.04743</v>
      </c>
      <c r="K2578" s="19" t="str">
        <f>IFERROR(__xludf.DUMMYFUNCTION("""COMPUTED_VALUE"""),"-")</f>
        <v>-</v>
      </c>
      <c r="L2578" s="19" t="str">
        <f>IFERROR(__xludf.DUMMYFUNCTION("""COMPUTED_VALUE"""),"-")</f>
        <v>-</v>
      </c>
      <c r="O2578" s="24">
        <f t="shared" si="4"/>
        <v>0</v>
      </c>
      <c r="P2578" s="24"/>
      <c r="Q2578" s="24">
        <f t="shared" si="6"/>
        <v>0</v>
      </c>
      <c r="R2578" s="24">
        <f t="shared" si="7"/>
        <v>0</v>
      </c>
      <c r="S2578" s="24"/>
      <c r="T2578" s="24"/>
    </row>
    <row r="2579">
      <c r="A2579" s="12" t="s">
        <v>2667</v>
      </c>
      <c r="F2579" s="19">
        <f>IFERROR(__xludf.DUMMYFUNCTION("SPLIT(A2575, "" |"")"),2573.0)</f>
        <v>2573</v>
      </c>
      <c r="G2579" s="19">
        <f>IFERROR(__xludf.DUMMYFUNCTION("""COMPUTED_VALUE"""),0.00241)</f>
        <v>0.00241</v>
      </c>
      <c r="H2579" s="19" t="str">
        <f>IFERROR(__xludf.DUMMYFUNCTION("""COMPUTED_VALUE"""),"-")</f>
        <v>-</v>
      </c>
      <c r="I2579" s="19">
        <f>IFERROR(__xludf.DUMMYFUNCTION("""COMPUTED_VALUE"""),0.00217)</f>
        <v>0.00217</v>
      </c>
      <c r="J2579" s="19">
        <f>IFERROR(__xludf.DUMMYFUNCTION("""COMPUTED_VALUE"""),0.04737)</f>
        <v>0.04737</v>
      </c>
      <c r="K2579" s="19" t="str">
        <f>IFERROR(__xludf.DUMMYFUNCTION("""COMPUTED_VALUE"""),"-")</f>
        <v>-</v>
      </c>
      <c r="L2579" s="19" t="str">
        <f>IFERROR(__xludf.DUMMYFUNCTION("""COMPUTED_VALUE"""),"-")</f>
        <v>-</v>
      </c>
      <c r="O2579" s="24">
        <f t="shared" si="4"/>
        <v>0</v>
      </c>
      <c r="P2579" s="24"/>
      <c r="Q2579" s="24">
        <f t="shared" si="6"/>
        <v>0</v>
      </c>
      <c r="R2579" s="24">
        <f t="shared" si="7"/>
        <v>0</v>
      </c>
      <c r="S2579" s="24"/>
      <c r="T2579" s="24"/>
    </row>
    <row r="2580">
      <c r="A2580" s="12" t="s">
        <v>2668</v>
      </c>
      <c r="F2580" s="19">
        <f>IFERROR(__xludf.DUMMYFUNCTION("SPLIT(A2576, "" |"")"),2574.0)</f>
        <v>2574</v>
      </c>
      <c r="G2580" s="19">
        <f>IFERROR(__xludf.DUMMYFUNCTION("""COMPUTED_VALUE"""),0.00238)</f>
        <v>0.00238</v>
      </c>
      <c r="H2580" s="19" t="str">
        <f>IFERROR(__xludf.DUMMYFUNCTION("""COMPUTED_VALUE"""),"-")</f>
        <v>-</v>
      </c>
      <c r="I2580" s="19">
        <f>IFERROR(__xludf.DUMMYFUNCTION("""COMPUTED_VALUE"""),0.00224)</f>
        <v>0.00224</v>
      </c>
      <c r="J2580" s="19">
        <f>IFERROR(__xludf.DUMMYFUNCTION("""COMPUTED_VALUE"""),0.04744)</f>
        <v>0.04744</v>
      </c>
      <c r="K2580" s="19" t="str">
        <f>IFERROR(__xludf.DUMMYFUNCTION("""COMPUTED_VALUE"""),"-")</f>
        <v>-</v>
      </c>
      <c r="L2580" s="19" t="str">
        <f>IFERROR(__xludf.DUMMYFUNCTION("""COMPUTED_VALUE"""),"-")</f>
        <v>-</v>
      </c>
      <c r="O2580" s="24">
        <f t="shared" si="4"/>
        <v>0</v>
      </c>
      <c r="P2580" s="24"/>
      <c r="Q2580" s="24">
        <f t="shared" si="6"/>
        <v>0</v>
      </c>
      <c r="R2580" s="24">
        <f t="shared" si="7"/>
        <v>0</v>
      </c>
      <c r="S2580" s="24"/>
      <c r="T2580" s="24"/>
    </row>
    <row r="2581">
      <c r="A2581" s="12" t="s">
        <v>2669</v>
      </c>
      <c r="F2581" s="19">
        <f>IFERROR(__xludf.DUMMYFUNCTION("SPLIT(A2577, "" |"")"),2575.0)</f>
        <v>2575</v>
      </c>
      <c r="G2581" s="19">
        <f>IFERROR(__xludf.DUMMYFUNCTION("""COMPUTED_VALUE"""),0.00234)</f>
        <v>0.00234</v>
      </c>
      <c r="H2581" s="19" t="str">
        <f>IFERROR(__xludf.DUMMYFUNCTION("""COMPUTED_VALUE"""),"-")</f>
        <v>-</v>
      </c>
      <c r="I2581" s="19">
        <f>IFERROR(__xludf.DUMMYFUNCTION("""COMPUTED_VALUE"""),0.00216)</f>
        <v>0.00216</v>
      </c>
      <c r="J2581" s="19">
        <f>IFERROR(__xludf.DUMMYFUNCTION("""COMPUTED_VALUE"""),0.04732)</f>
        <v>0.04732</v>
      </c>
      <c r="K2581" s="19" t="str">
        <f>IFERROR(__xludf.DUMMYFUNCTION("""COMPUTED_VALUE"""),"-")</f>
        <v>-</v>
      </c>
      <c r="L2581" s="19" t="str">
        <f>IFERROR(__xludf.DUMMYFUNCTION("""COMPUTED_VALUE"""),"-")</f>
        <v>-</v>
      </c>
      <c r="O2581" s="24">
        <f t="shared" si="4"/>
        <v>0</v>
      </c>
      <c r="P2581" s="24"/>
      <c r="Q2581" s="24">
        <f t="shared" si="6"/>
        <v>0</v>
      </c>
      <c r="R2581" s="24">
        <f t="shared" si="7"/>
        <v>0</v>
      </c>
      <c r="S2581" s="24"/>
      <c r="T2581" s="24"/>
    </row>
    <row r="2582">
      <c r="A2582" s="12" t="s">
        <v>2670</v>
      </c>
      <c r="F2582" s="19">
        <f>IFERROR(__xludf.DUMMYFUNCTION("SPLIT(A2578, "" |"")"),2576.0)</f>
        <v>2576</v>
      </c>
      <c r="G2582" s="19">
        <f>IFERROR(__xludf.DUMMYFUNCTION("""COMPUTED_VALUE"""),0.00237)</f>
        <v>0.00237</v>
      </c>
      <c r="H2582" s="19" t="str">
        <f>IFERROR(__xludf.DUMMYFUNCTION("""COMPUTED_VALUE"""),"-")</f>
        <v>-</v>
      </c>
      <c r="I2582" s="19">
        <f>IFERROR(__xludf.DUMMYFUNCTION("""COMPUTED_VALUE"""),0.00225)</f>
        <v>0.00225</v>
      </c>
      <c r="J2582" s="19">
        <f>IFERROR(__xludf.DUMMYFUNCTION("""COMPUTED_VALUE"""),0.04741)</f>
        <v>0.04741</v>
      </c>
      <c r="K2582" s="19" t="str">
        <f>IFERROR(__xludf.DUMMYFUNCTION("""COMPUTED_VALUE"""),"-")</f>
        <v>-</v>
      </c>
      <c r="L2582" s="19" t="str">
        <f>IFERROR(__xludf.DUMMYFUNCTION("""COMPUTED_VALUE"""),"-")</f>
        <v>-</v>
      </c>
      <c r="O2582" s="24">
        <f t="shared" si="4"/>
        <v>0</v>
      </c>
      <c r="P2582" s="24"/>
      <c r="Q2582" s="24">
        <f t="shared" si="6"/>
        <v>0</v>
      </c>
      <c r="R2582" s="24">
        <f t="shared" si="7"/>
        <v>0</v>
      </c>
      <c r="S2582" s="24"/>
      <c r="T2582" s="24"/>
    </row>
    <row r="2583">
      <c r="A2583" s="12" t="s">
        <v>2671</v>
      </c>
      <c r="F2583" s="19">
        <f>IFERROR(__xludf.DUMMYFUNCTION("SPLIT(A2579, "" |"")"),2577.0)</f>
        <v>2577</v>
      </c>
      <c r="G2583" s="19">
        <f>IFERROR(__xludf.DUMMYFUNCTION("""COMPUTED_VALUE"""),0.00235)</f>
        <v>0.00235</v>
      </c>
      <c r="H2583" s="19" t="str">
        <f>IFERROR(__xludf.DUMMYFUNCTION("""COMPUTED_VALUE"""),"-")</f>
        <v>-</v>
      </c>
      <c r="I2583" s="19">
        <f>IFERROR(__xludf.DUMMYFUNCTION("""COMPUTED_VALUE"""),0.00226)</f>
        <v>0.00226</v>
      </c>
      <c r="J2583" s="19">
        <f>IFERROR(__xludf.DUMMYFUNCTION("""COMPUTED_VALUE"""),0.04242)</f>
        <v>0.04242</v>
      </c>
      <c r="K2583" s="19" t="str">
        <f>IFERROR(__xludf.DUMMYFUNCTION("""COMPUTED_VALUE"""),"-")</f>
        <v>-</v>
      </c>
      <c r="L2583" s="19" t="str">
        <f>IFERROR(__xludf.DUMMYFUNCTION("""COMPUTED_VALUE"""),"-")</f>
        <v>-</v>
      </c>
      <c r="O2583" s="24">
        <f t="shared" si="4"/>
        <v>0</v>
      </c>
      <c r="P2583" s="24"/>
      <c r="Q2583" s="24">
        <f t="shared" si="6"/>
        <v>0</v>
      </c>
      <c r="R2583" s="24">
        <f t="shared" si="7"/>
        <v>1</v>
      </c>
      <c r="S2583" s="24"/>
      <c r="T2583" s="24"/>
    </row>
    <row r="2584">
      <c r="A2584" s="12" t="s">
        <v>2672</v>
      </c>
      <c r="F2584" s="19">
        <f>IFERROR(__xludf.DUMMYFUNCTION("SPLIT(A2580, "" |"")"),2578.0)</f>
        <v>2578</v>
      </c>
      <c r="G2584" s="19">
        <f>IFERROR(__xludf.DUMMYFUNCTION("""COMPUTED_VALUE"""),0.0024)</f>
        <v>0.0024</v>
      </c>
      <c r="H2584" s="19" t="str">
        <f>IFERROR(__xludf.DUMMYFUNCTION("""COMPUTED_VALUE"""),"-")</f>
        <v>-</v>
      </c>
      <c r="I2584" s="19">
        <f>IFERROR(__xludf.DUMMYFUNCTION("""COMPUTED_VALUE"""),0.00224)</f>
        <v>0.00224</v>
      </c>
      <c r="J2584" s="19">
        <f>IFERROR(__xludf.DUMMYFUNCTION("""COMPUTED_VALUE"""),0.04744)</f>
        <v>0.04744</v>
      </c>
      <c r="K2584" s="19" t="str">
        <f>IFERROR(__xludf.DUMMYFUNCTION("""COMPUTED_VALUE"""),"-")</f>
        <v>-</v>
      </c>
      <c r="L2584" s="19" t="str">
        <f>IFERROR(__xludf.DUMMYFUNCTION("""COMPUTED_VALUE"""),"-")</f>
        <v>-</v>
      </c>
      <c r="O2584" s="24">
        <f t="shared" si="4"/>
        <v>0</v>
      </c>
      <c r="P2584" s="24"/>
      <c r="Q2584" s="24">
        <f t="shared" si="6"/>
        <v>0</v>
      </c>
      <c r="R2584" s="24">
        <f t="shared" si="7"/>
        <v>0</v>
      </c>
      <c r="S2584" s="24"/>
      <c r="T2584" s="24"/>
    </row>
    <row r="2585">
      <c r="A2585" s="12" t="s">
        <v>2673</v>
      </c>
      <c r="F2585" s="19">
        <f>IFERROR(__xludf.DUMMYFUNCTION("SPLIT(A2581, "" |"")"),2579.0)</f>
        <v>2579</v>
      </c>
      <c r="G2585" s="19">
        <f>IFERROR(__xludf.DUMMYFUNCTION("""COMPUTED_VALUE"""),0.00235)</f>
        <v>0.00235</v>
      </c>
      <c r="H2585" s="19" t="str">
        <f>IFERROR(__xludf.DUMMYFUNCTION("""COMPUTED_VALUE"""),"-")</f>
        <v>-</v>
      </c>
      <c r="I2585" s="19">
        <f>IFERROR(__xludf.DUMMYFUNCTION("""COMPUTED_VALUE"""),0.00217)</f>
        <v>0.00217</v>
      </c>
      <c r="J2585" s="19">
        <f>IFERROR(__xludf.DUMMYFUNCTION("""COMPUTED_VALUE"""),0.04745)</f>
        <v>0.04745</v>
      </c>
      <c r="K2585" s="19" t="str">
        <f>IFERROR(__xludf.DUMMYFUNCTION("""COMPUTED_VALUE"""),"-")</f>
        <v>-</v>
      </c>
      <c r="L2585" s="19" t="str">
        <f>IFERROR(__xludf.DUMMYFUNCTION("""COMPUTED_VALUE"""),"-")</f>
        <v>-</v>
      </c>
      <c r="O2585" s="24">
        <f t="shared" si="4"/>
        <v>0</v>
      </c>
      <c r="P2585" s="24"/>
      <c r="Q2585" s="24">
        <f t="shared" si="6"/>
        <v>0</v>
      </c>
      <c r="R2585" s="24">
        <f t="shared" si="7"/>
        <v>0</v>
      </c>
      <c r="S2585" s="24"/>
      <c r="T2585" s="24"/>
    </row>
    <row r="2586">
      <c r="A2586" s="12" t="s">
        <v>2674</v>
      </c>
      <c r="F2586" s="19">
        <f>IFERROR(__xludf.DUMMYFUNCTION("SPLIT(A2582, "" |"")"),2580.0)</f>
        <v>2580</v>
      </c>
      <c r="G2586" s="19">
        <f>IFERROR(__xludf.DUMMYFUNCTION("""COMPUTED_VALUE"""),0.0022)</f>
        <v>0.0022</v>
      </c>
      <c r="H2586" s="19" t="str">
        <f>IFERROR(__xludf.DUMMYFUNCTION("""COMPUTED_VALUE"""),"-")</f>
        <v>-</v>
      </c>
      <c r="I2586" s="19">
        <f>IFERROR(__xludf.DUMMYFUNCTION("""COMPUTED_VALUE"""),0.0025)</f>
        <v>0.0025</v>
      </c>
      <c r="J2586" s="19">
        <f>IFERROR(__xludf.DUMMYFUNCTION("""COMPUTED_VALUE"""),0.04034)</f>
        <v>0.04034</v>
      </c>
      <c r="K2586" s="19" t="str">
        <f>IFERROR(__xludf.DUMMYFUNCTION("""COMPUTED_VALUE"""),"-")</f>
        <v>-</v>
      </c>
      <c r="L2586" s="19" t="str">
        <f>IFERROR(__xludf.DUMMYFUNCTION("""COMPUTED_VALUE"""),"-")</f>
        <v>-</v>
      </c>
      <c r="O2586" s="24">
        <f t="shared" si="4"/>
        <v>0</v>
      </c>
      <c r="P2586" s="24"/>
      <c r="Q2586" s="24">
        <f t="shared" si="6"/>
        <v>0</v>
      </c>
      <c r="R2586" s="24">
        <f t="shared" si="7"/>
        <v>1</v>
      </c>
      <c r="S2586" s="24"/>
      <c r="T2586" s="24"/>
    </row>
    <row r="2587">
      <c r="A2587" s="12" t="s">
        <v>2675</v>
      </c>
      <c r="F2587" s="19">
        <f>IFERROR(__xludf.DUMMYFUNCTION("SPLIT(A2583, "" |"")"),2581.0)</f>
        <v>2581</v>
      </c>
      <c r="G2587" s="19">
        <f>IFERROR(__xludf.DUMMYFUNCTION("""COMPUTED_VALUE"""),0.00238)</f>
        <v>0.00238</v>
      </c>
      <c r="H2587" s="19" t="str">
        <f>IFERROR(__xludf.DUMMYFUNCTION("""COMPUTED_VALUE"""),"-")</f>
        <v>-</v>
      </c>
      <c r="I2587" s="19">
        <f>IFERROR(__xludf.DUMMYFUNCTION("""COMPUTED_VALUE"""),0.0022)</f>
        <v>0.0022</v>
      </c>
      <c r="J2587" s="19">
        <f>IFERROR(__xludf.DUMMYFUNCTION("""COMPUTED_VALUE"""),0.047)</f>
        <v>0.047</v>
      </c>
      <c r="K2587" s="19" t="str">
        <f>IFERROR(__xludf.DUMMYFUNCTION("""COMPUTED_VALUE"""),"-")</f>
        <v>-</v>
      </c>
      <c r="L2587" s="19" t="str">
        <f>IFERROR(__xludf.DUMMYFUNCTION("""COMPUTED_VALUE"""),"-")</f>
        <v>-</v>
      </c>
      <c r="O2587" s="24">
        <f t="shared" si="4"/>
        <v>0</v>
      </c>
      <c r="P2587" s="24"/>
      <c r="Q2587" s="24">
        <f t="shared" si="6"/>
        <v>0</v>
      </c>
      <c r="R2587" s="24">
        <f t="shared" si="7"/>
        <v>0</v>
      </c>
      <c r="S2587" s="24"/>
      <c r="T2587" s="24"/>
    </row>
    <row r="2588">
      <c r="A2588" s="12" t="s">
        <v>2676</v>
      </c>
      <c r="F2588" s="19">
        <f>IFERROR(__xludf.DUMMYFUNCTION("SPLIT(A2584, "" |"")"),2582.0)</f>
        <v>2582</v>
      </c>
      <c r="G2588" s="19">
        <f>IFERROR(__xludf.DUMMYFUNCTION("""COMPUTED_VALUE"""),0.00235)</f>
        <v>0.00235</v>
      </c>
      <c r="H2588" s="19" t="str">
        <f>IFERROR(__xludf.DUMMYFUNCTION("""COMPUTED_VALUE"""),"-")</f>
        <v>-</v>
      </c>
      <c r="I2588" s="19">
        <f>IFERROR(__xludf.DUMMYFUNCTION("""COMPUTED_VALUE"""),0.00223)</f>
        <v>0.00223</v>
      </c>
      <c r="J2588" s="19">
        <f>IFERROR(__xludf.DUMMYFUNCTION("""COMPUTED_VALUE"""),0.04698)</f>
        <v>0.04698</v>
      </c>
      <c r="K2588" s="19" t="str">
        <f>IFERROR(__xludf.DUMMYFUNCTION("""COMPUTED_VALUE"""),"-")</f>
        <v>-</v>
      </c>
      <c r="L2588" s="19" t="str">
        <f>IFERROR(__xludf.DUMMYFUNCTION("""COMPUTED_VALUE"""),"-")</f>
        <v>-</v>
      </c>
      <c r="O2588" s="24">
        <f t="shared" si="4"/>
        <v>0</v>
      </c>
      <c r="P2588" s="24"/>
      <c r="Q2588" s="24">
        <f t="shared" si="6"/>
        <v>0</v>
      </c>
      <c r="R2588" s="24">
        <f t="shared" si="7"/>
        <v>0</v>
      </c>
      <c r="S2588" s="24"/>
      <c r="T2588" s="24"/>
    </row>
    <row r="2589">
      <c r="A2589" s="12" t="s">
        <v>2677</v>
      </c>
      <c r="F2589" s="19">
        <f>IFERROR(__xludf.DUMMYFUNCTION("SPLIT(A2585, "" |"")"),2583.0)</f>
        <v>2583</v>
      </c>
      <c r="G2589" s="19">
        <f>IFERROR(__xludf.DUMMYFUNCTION("""COMPUTED_VALUE"""),0.00242)</f>
        <v>0.00242</v>
      </c>
      <c r="H2589" s="19" t="str">
        <f>IFERROR(__xludf.DUMMYFUNCTION("""COMPUTED_VALUE"""),"-")</f>
        <v>-</v>
      </c>
      <c r="I2589" s="19">
        <f>IFERROR(__xludf.DUMMYFUNCTION("""COMPUTED_VALUE"""),0.00222)</f>
        <v>0.00222</v>
      </c>
      <c r="J2589" s="19">
        <f>IFERROR(__xludf.DUMMYFUNCTION("""COMPUTED_VALUE"""),0.04734)</f>
        <v>0.04734</v>
      </c>
      <c r="K2589" s="19" t="str">
        <f>IFERROR(__xludf.DUMMYFUNCTION("""COMPUTED_VALUE"""),"-")</f>
        <v>-</v>
      </c>
      <c r="L2589" s="19" t="str">
        <f>IFERROR(__xludf.DUMMYFUNCTION("""COMPUTED_VALUE"""),"-")</f>
        <v>-</v>
      </c>
      <c r="O2589" s="24">
        <f t="shared" si="4"/>
        <v>0</v>
      </c>
      <c r="P2589" s="24"/>
      <c r="Q2589" s="24">
        <f t="shared" si="6"/>
        <v>0</v>
      </c>
      <c r="R2589" s="24">
        <f t="shared" si="7"/>
        <v>0</v>
      </c>
      <c r="S2589" s="24"/>
      <c r="T2589" s="24"/>
    </row>
    <row r="2590">
      <c r="A2590" s="12" t="s">
        <v>2678</v>
      </c>
      <c r="F2590" s="19">
        <f>IFERROR(__xludf.DUMMYFUNCTION("SPLIT(A2586, "" |"")"),2584.0)</f>
        <v>2584</v>
      </c>
      <c r="G2590" s="19">
        <f>IFERROR(__xludf.DUMMYFUNCTION("""COMPUTED_VALUE"""),0.00237)</f>
        <v>0.00237</v>
      </c>
      <c r="H2590" s="19" t="str">
        <f>IFERROR(__xludf.DUMMYFUNCTION("""COMPUTED_VALUE"""),"-")</f>
        <v>-</v>
      </c>
      <c r="I2590" s="19">
        <f>IFERROR(__xludf.DUMMYFUNCTION("""COMPUTED_VALUE"""),0.00225)</f>
        <v>0.00225</v>
      </c>
      <c r="J2590" s="19">
        <f>IFERROR(__xludf.DUMMYFUNCTION("""COMPUTED_VALUE"""),0.04748)</f>
        <v>0.04748</v>
      </c>
      <c r="K2590" s="19" t="str">
        <f>IFERROR(__xludf.DUMMYFUNCTION("""COMPUTED_VALUE"""),"-")</f>
        <v>-</v>
      </c>
      <c r="L2590" s="19" t="str">
        <f>IFERROR(__xludf.DUMMYFUNCTION("""COMPUTED_VALUE"""),"-")</f>
        <v>-</v>
      </c>
      <c r="O2590" s="24">
        <f t="shared" si="4"/>
        <v>0</v>
      </c>
      <c r="P2590" s="24"/>
      <c r="Q2590" s="24">
        <f t="shared" si="6"/>
        <v>0</v>
      </c>
      <c r="R2590" s="24">
        <f t="shared" si="7"/>
        <v>0</v>
      </c>
      <c r="S2590" s="24"/>
      <c r="T2590" s="24"/>
    </row>
    <row r="2591">
      <c r="A2591" s="12" t="s">
        <v>2679</v>
      </c>
      <c r="F2591" s="19">
        <f>IFERROR(__xludf.DUMMYFUNCTION("SPLIT(A2587, "" |"")"),2585.0)</f>
        <v>2585</v>
      </c>
      <c r="G2591" s="19">
        <f>IFERROR(__xludf.DUMMYFUNCTION("""COMPUTED_VALUE"""),0.00237)</f>
        <v>0.00237</v>
      </c>
      <c r="H2591" s="19" t="str">
        <f>IFERROR(__xludf.DUMMYFUNCTION("""COMPUTED_VALUE"""),"-")</f>
        <v>-</v>
      </c>
      <c r="I2591" s="19">
        <f>IFERROR(__xludf.DUMMYFUNCTION("""COMPUTED_VALUE"""),0.00219)</f>
        <v>0.00219</v>
      </c>
      <c r="J2591" s="19">
        <f>IFERROR(__xludf.DUMMYFUNCTION("""COMPUTED_VALUE"""),0.0408)</f>
        <v>0.0408</v>
      </c>
      <c r="K2591" s="19" t="str">
        <f>IFERROR(__xludf.DUMMYFUNCTION("""COMPUTED_VALUE"""),"-")</f>
        <v>-</v>
      </c>
      <c r="L2591" s="19" t="str">
        <f>IFERROR(__xludf.DUMMYFUNCTION("""COMPUTED_VALUE"""),"-")</f>
        <v>-</v>
      </c>
      <c r="O2591" s="24">
        <f t="shared" si="4"/>
        <v>0</v>
      </c>
      <c r="P2591" s="24"/>
      <c r="Q2591" s="24">
        <f t="shared" si="6"/>
        <v>0</v>
      </c>
      <c r="R2591" s="24">
        <f t="shared" si="7"/>
        <v>1</v>
      </c>
      <c r="S2591" s="24"/>
      <c r="T2591" s="24"/>
    </row>
    <row r="2592">
      <c r="A2592" s="12" t="s">
        <v>2680</v>
      </c>
      <c r="F2592" s="19">
        <f>IFERROR(__xludf.DUMMYFUNCTION("SPLIT(A2588, "" |"")"),2586.0)</f>
        <v>2586</v>
      </c>
      <c r="G2592" s="19">
        <f>IFERROR(__xludf.DUMMYFUNCTION("""COMPUTED_VALUE"""),0.00239)</f>
        <v>0.00239</v>
      </c>
      <c r="H2592" s="19" t="str">
        <f>IFERROR(__xludf.DUMMYFUNCTION("""COMPUTED_VALUE"""),"-")</f>
        <v>-</v>
      </c>
      <c r="I2592" s="19">
        <f>IFERROR(__xludf.DUMMYFUNCTION("""COMPUTED_VALUE"""),0.00215)</f>
        <v>0.00215</v>
      </c>
      <c r="J2592" s="19">
        <f>IFERROR(__xludf.DUMMYFUNCTION("""COMPUTED_VALUE"""),0.04733)</f>
        <v>0.04733</v>
      </c>
      <c r="K2592" s="19" t="str">
        <f>IFERROR(__xludf.DUMMYFUNCTION("""COMPUTED_VALUE"""),"-")</f>
        <v>-</v>
      </c>
      <c r="L2592" s="19" t="str">
        <f>IFERROR(__xludf.DUMMYFUNCTION("""COMPUTED_VALUE"""),"-")</f>
        <v>-</v>
      </c>
      <c r="O2592" s="24">
        <f t="shared" si="4"/>
        <v>0</v>
      </c>
      <c r="P2592" s="24"/>
      <c r="Q2592" s="24">
        <f t="shared" si="6"/>
        <v>0</v>
      </c>
      <c r="R2592" s="24">
        <f t="shared" si="7"/>
        <v>0</v>
      </c>
      <c r="S2592" s="24"/>
      <c r="T2592" s="24"/>
    </row>
    <row r="2593">
      <c r="A2593" s="12" t="s">
        <v>2681</v>
      </c>
      <c r="F2593" s="19">
        <f>IFERROR(__xludf.DUMMYFUNCTION("SPLIT(A2589, "" |"")"),2587.0)</f>
        <v>2587</v>
      </c>
      <c r="G2593" s="19">
        <f>IFERROR(__xludf.DUMMYFUNCTION("""COMPUTED_VALUE"""),0.00242)</f>
        <v>0.00242</v>
      </c>
      <c r="H2593" s="19" t="str">
        <f>IFERROR(__xludf.DUMMYFUNCTION("""COMPUTED_VALUE"""),"-")</f>
        <v>-</v>
      </c>
      <c r="I2593" s="19">
        <f>IFERROR(__xludf.DUMMYFUNCTION("""COMPUTED_VALUE"""),0.00227)</f>
        <v>0.00227</v>
      </c>
      <c r="J2593" s="19">
        <f>IFERROR(__xludf.DUMMYFUNCTION("""COMPUTED_VALUE"""),0.04736)</f>
        <v>0.04736</v>
      </c>
      <c r="K2593" s="19" t="str">
        <f>IFERROR(__xludf.DUMMYFUNCTION("""COMPUTED_VALUE"""),"-")</f>
        <v>-</v>
      </c>
      <c r="L2593" s="19" t="str">
        <f>IFERROR(__xludf.DUMMYFUNCTION("""COMPUTED_VALUE"""),"-")</f>
        <v>-</v>
      </c>
      <c r="O2593" s="24">
        <f t="shared" si="4"/>
        <v>0</v>
      </c>
      <c r="P2593" s="24"/>
      <c r="Q2593" s="24">
        <f t="shared" si="6"/>
        <v>0</v>
      </c>
      <c r="R2593" s="24">
        <f t="shared" si="7"/>
        <v>0</v>
      </c>
      <c r="S2593" s="24"/>
      <c r="T2593" s="24"/>
    </row>
    <row r="2594">
      <c r="A2594" s="12" t="s">
        <v>2682</v>
      </c>
      <c r="F2594" s="19">
        <f>IFERROR(__xludf.DUMMYFUNCTION("SPLIT(A2590, "" |"")"),2588.0)</f>
        <v>2588</v>
      </c>
      <c r="G2594" s="19">
        <f>IFERROR(__xludf.DUMMYFUNCTION("""COMPUTED_VALUE"""),0.00238)</f>
        <v>0.00238</v>
      </c>
      <c r="H2594" s="19" t="str">
        <f>IFERROR(__xludf.DUMMYFUNCTION("""COMPUTED_VALUE"""),"-")</f>
        <v>-</v>
      </c>
      <c r="I2594" s="19">
        <f>IFERROR(__xludf.DUMMYFUNCTION("""COMPUTED_VALUE"""),0.00214)</f>
        <v>0.00214</v>
      </c>
      <c r="J2594" s="19">
        <f>IFERROR(__xludf.DUMMYFUNCTION("""COMPUTED_VALUE"""),0.0473)</f>
        <v>0.0473</v>
      </c>
      <c r="K2594" s="19" t="str">
        <f>IFERROR(__xludf.DUMMYFUNCTION("""COMPUTED_VALUE"""),"-")</f>
        <v>-</v>
      </c>
      <c r="L2594" s="19" t="str">
        <f>IFERROR(__xludf.DUMMYFUNCTION("""COMPUTED_VALUE"""),"-")</f>
        <v>-</v>
      </c>
      <c r="O2594" s="24">
        <f t="shared" si="4"/>
        <v>0</v>
      </c>
      <c r="P2594" s="24"/>
      <c r="Q2594" s="24">
        <f t="shared" si="6"/>
        <v>0</v>
      </c>
      <c r="R2594" s="24">
        <f t="shared" si="7"/>
        <v>0</v>
      </c>
      <c r="S2594" s="24"/>
      <c r="T2594" s="24"/>
    </row>
    <row r="2595">
      <c r="A2595" s="12" t="s">
        <v>2683</v>
      </c>
      <c r="F2595" s="19">
        <f>IFERROR(__xludf.DUMMYFUNCTION("SPLIT(A2591, "" |"")"),2589.0)</f>
        <v>2589</v>
      </c>
      <c r="G2595" s="19">
        <f>IFERROR(__xludf.DUMMYFUNCTION("""COMPUTED_VALUE"""),0.00239)</f>
        <v>0.00239</v>
      </c>
      <c r="H2595" s="19" t="str">
        <f>IFERROR(__xludf.DUMMYFUNCTION("""COMPUTED_VALUE"""),"-")</f>
        <v>-</v>
      </c>
      <c r="I2595" s="19">
        <f>IFERROR(__xludf.DUMMYFUNCTION("""COMPUTED_VALUE"""),0.0022)</f>
        <v>0.0022</v>
      </c>
      <c r="J2595" s="19">
        <f>IFERROR(__xludf.DUMMYFUNCTION("""COMPUTED_VALUE"""),0.04739)</f>
        <v>0.04739</v>
      </c>
      <c r="K2595" s="19" t="str">
        <f>IFERROR(__xludf.DUMMYFUNCTION("""COMPUTED_VALUE"""),"-")</f>
        <v>-</v>
      </c>
      <c r="L2595" s="19" t="str">
        <f>IFERROR(__xludf.DUMMYFUNCTION("""COMPUTED_VALUE"""),"-")</f>
        <v>-</v>
      </c>
      <c r="O2595" s="24">
        <f t="shared" si="4"/>
        <v>0</v>
      </c>
      <c r="P2595" s="24"/>
      <c r="Q2595" s="24">
        <f t="shared" si="6"/>
        <v>0</v>
      </c>
      <c r="R2595" s="24">
        <f t="shared" si="7"/>
        <v>0</v>
      </c>
      <c r="S2595" s="24"/>
      <c r="T2595" s="24"/>
    </row>
    <row r="2596">
      <c r="A2596" s="12" t="s">
        <v>2684</v>
      </c>
      <c r="F2596" s="19">
        <f>IFERROR(__xludf.DUMMYFUNCTION("SPLIT(A2592, "" |"")"),2590.0)</f>
        <v>2590</v>
      </c>
      <c r="G2596" s="19">
        <f>IFERROR(__xludf.DUMMYFUNCTION("""COMPUTED_VALUE"""),0.00233)</f>
        <v>0.00233</v>
      </c>
      <c r="H2596" s="19" t="str">
        <f>IFERROR(__xludf.DUMMYFUNCTION("""COMPUTED_VALUE"""),"-")</f>
        <v>-</v>
      </c>
      <c r="I2596" s="19">
        <f>IFERROR(__xludf.DUMMYFUNCTION("""COMPUTED_VALUE"""),0.0022)</f>
        <v>0.0022</v>
      </c>
      <c r="J2596" s="19">
        <f>IFERROR(__xludf.DUMMYFUNCTION("""COMPUTED_VALUE"""),0.04739)</f>
        <v>0.04739</v>
      </c>
      <c r="K2596" s="19" t="str">
        <f>IFERROR(__xludf.DUMMYFUNCTION("""COMPUTED_VALUE"""),"-")</f>
        <v>-</v>
      </c>
      <c r="L2596" s="19" t="str">
        <f>IFERROR(__xludf.DUMMYFUNCTION("""COMPUTED_VALUE"""),"-")</f>
        <v>-</v>
      </c>
      <c r="O2596" s="24">
        <f t="shared" si="4"/>
        <v>0</v>
      </c>
      <c r="P2596" s="24"/>
      <c r="Q2596" s="24">
        <f t="shared" si="6"/>
        <v>0</v>
      </c>
      <c r="R2596" s="24">
        <f t="shared" si="7"/>
        <v>0</v>
      </c>
      <c r="S2596" s="24"/>
      <c r="T2596" s="24"/>
    </row>
    <row r="2597">
      <c r="A2597" s="12" t="s">
        <v>2685</v>
      </c>
      <c r="F2597" s="19">
        <f>IFERROR(__xludf.DUMMYFUNCTION("SPLIT(A2593, "" |"")"),2591.0)</f>
        <v>2591</v>
      </c>
      <c r="G2597" s="19">
        <f>IFERROR(__xludf.DUMMYFUNCTION("""COMPUTED_VALUE"""),0.00228)</f>
        <v>0.00228</v>
      </c>
      <c r="H2597" s="19" t="str">
        <f>IFERROR(__xludf.DUMMYFUNCTION("""COMPUTED_VALUE"""),"-")</f>
        <v>-</v>
      </c>
      <c r="I2597" s="19">
        <f>IFERROR(__xludf.DUMMYFUNCTION("""COMPUTED_VALUE"""),0.0022)</f>
        <v>0.0022</v>
      </c>
      <c r="J2597" s="19">
        <f>IFERROR(__xludf.DUMMYFUNCTION("""COMPUTED_VALUE"""),0.04762)</f>
        <v>0.04762</v>
      </c>
      <c r="K2597" s="19" t="str">
        <f>IFERROR(__xludf.DUMMYFUNCTION("""COMPUTED_VALUE"""),"-")</f>
        <v>-</v>
      </c>
      <c r="L2597" s="19" t="str">
        <f>IFERROR(__xludf.DUMMYFUNCTION("""COMPUTED_VALUE"""),"-")</f>
        <v>-</v>
      </c>
      <c r="O2597" s="24">
        <f t="shared" si="4"/>
        <v>0</v>
      </c>
      <c r="P2597" s="24"/>
      <c r="Q2597" s="24">
        <f t="shared" si="6"/>
        <v>0</v>
      </c>
      <c r="R2597" s="24">
        <f t="shared" si="7"/>
        <v>0</v>
      </c>
      <c r="S2597" s="24"/>
      <c r="T2597" s="24"/>
    </row>
    <row r="2598">
      <c r="A2598" s="12" t="s">
        <v>2686</v>
      </c>
      <c r="F2598" s="19">
        <f>IFERROR(__xludf.DUMMYFUNCTION("SPLIT(A2594, "" |"")"),2592.0)</f>
        <v>2592</v>
      </c>
      <c r="G2598" s="19">
        <f>IFERROR(__xludf.DUMMYFUNCTION("""COMPUTED_VALUE"""),0.00246)</f>
        <v>0.00246</v>
      </c>
      <c r="H2598" s="19" t="str">
        <f>IFERROR(__xludf.DUMMYFUNCTION("""COMPUTED_VALUE"""),"-")</f>
        <v>-</v>
      </c>
      <c r="I2598" s="19">
        <f>IFERROR(__xludf.DUMMYFUNCTION("""COMPUTED_VALUE"""),0.00217)</f>
        <v>0.00217</v>
      </c>
      <c r="J2598" s="19">
        <f>IFERROR(__xludf.DUMMYFUNCTION("""COMPUTED_VALUE"""),0.04737)</f>
        <v>0.04737</v>
      </c>
      <c r="K2598" s="19" t="str">
        <f>IFERROR(__xludf.DUMMYFUNCTION("""COMPUTED_VALUE"""),"-")</f>
        <v>-</v>
      </c>
      <c r="L2598" s="19" t="str">
        <f>IFERROR(__xludf.DUMMYFUNCTION("""COMPUTED_VALUE"""),"-")</f>
        <v>-</v>
      </c>
      <c r="O2598" s="24">
        <f t="shared" si="4"/>
        <v>0</v>
      </c>
      <c r="P2598" s="24"/>
      <c r="Q2598" s="24">
        <f t="shared" si="6"/>
        <v>0</v>
      </c>
      <c r="R2598" s="24">
        <f t="shared" si="7"/>
        <v>0</v>
      </c>
      <c r="S2598" s="24"/>
      <c r="T2598" s="24"/>
    </row>
    <row r="2599">
      <c r="A2599" s="12" t="s">
        <v>2687</v>
      </c>
      <c r="F2599" s="19">
        <f>IFERROR(__xludf.DUMMYFUNCTION("SPLIT(A2595, "" |"")"),2593.0)</f>
        <v>2593</v>
      </c>
      <c r="G2599" s="19">
        <f>IFERROR(__xludf.DUMMYFUNCTION("""COMPUTED_VALUE"""),0.00232)</f>
        <v>0.00232</v>
      </c>
      <c r="H2599" s="19" t="str">
        <f>IFERROR(__xludf.DUMMYFUNCTION("""COMPUTED_VALUE"""),"-")</f>
        <v>-</v>
      </c>
      <c r="I2599" s="19">
        <f>IFERROR(__xludf.DUMMYFUNCTION("""COMPUTED_VALUE"""),0.0022)</f>
        <v>0.0022</v>
      </c>
      <c r="J2599" s="19">
        <f>IFERROR(__xludf.DUMMYFUNCTION("""COMPUTED_VALUE"""),0.04194)</f>
        <v>0.04194</v>
      </c>
      <c r="K2599" s="19" t="str">
        <f>IFERROR(__xludf.DUMMYFUNCTION("""COMPUTED_VALUE"""),"-")</f>
        <v>-</v>
      </c>
      <c r="L2599" s="19" t="str">
        <f>IFERROR(__xludf.DUMMYFUNCTION("""COMPUTED_VALUE"""),"-")</f>
        <v>-</v>
      </c>
      <c r="O2599" s="24">
        <f t="shared" si="4"/>
        <v>0</v>
      </c>
      <c r="P2599" s="24"/>
      <c r="Q2599" s="24">
        <f t="shared" si="6"/>
        <v>0</v>
      </c>
      <c r="R2599" s="24">
        <f t="shared" si="7"/>
        <v>1</v>
      </c>
      <c r="S2599" s="24"/>
      <c r="T2599" s="24"/>
    </row>
    <row r="2600">
      <c r="A2600" s="12" t="s">
        <v>2688</v>
      </c>
      <c r="F2600" s="19">
        <f>IFERROR(__xludf.DUMMYFUNCTION("SPLIT(A2596, "" |"")"),2594.0)</f>
        <v>2594</v>
      </c>
      <c r="G2600" s="19">
        <f>IFERROR(__xludf.DUMMYFUNCTION("""COMPUTED_VALUE"""),0.00236)</f>
        <v>0.00236</v>
      </c>
      <c r="H2600" s="19" t="str">
        <f>IFERROR(__xludf.DUMMYFUNCTION("""COMPUTED_VALUE"""),"-")</f>
        <v>-</v>
      </c>
      <c r="I2600" s="19">
        <f>IFERROR(__xludf.DUMMYFUNCTION("""COMPUTED_VALUE"""),0.00217)</f>
        <v>0.00217</v>
      </c>
      <c r="J2600" s="19">
        <f>IFERROR(__xludf.DUMMYFUNCTION("""COMPUTED_VALUE"""),0.04744)</f>
        <v>0.04744</v>
      </c>
      <c r="K2600" s="19" t="str">
        <f>IFERROR(__xludf.DUMMYFUNCTION("""COMPUTED_VALUE"""),"-")</f>
        <v>-</v>
      </c>
      <c r="L2600" s="19" t="str">
        <f>IFERROR(__xludf.DUMMYFUNCTION("""COMPUTED_VALUE"""),"-")</f>
        <v>-</v>
      </c>
      <c r="O2600" s="24">
        <f t="shared" si="4"/>
        <v>0</v>
      </c>
      <c r="P2600" s="24"/>
      <c r="Q2600" s="24">
        <f t="shared" si="6"/>
        <v>0</v>
      </c>
      <c r="R2600" s="24">
        <f t="shared" si="7"/>
        <v>0</v>
      </c>
      <c r="S2600" s="24"/>
      <c r="T2600" s="24"/>
    </row>
    <row r="2601">
      <c r="A2601" s="12" t="s">
        <v>2689</v>
      </c>
      <c r="F2601" s="19">
        <f>IFERROR(__xludf.DUMMYFUNCTION("SPLIT(A2597, "" |"")"),2595.0)</f>
        <v>2595</v>
      </c>
      <c r="G2601" s="19">
        <f>IFERROR(__xludf.DUMMYFUNCTION("""COMPUTED_VALUE"""),0.00235)</f>
        <v>0.00235</v>
      </c>
      <c r="H2601" s="19" t="str">
        <f>IFERROR(__xludf.DUMMYFUNCTION("""COMPUTED_VALUE"""),"-")</f>
        <v>-</v>
      </c>
      <c r="I2601" s="19">
        <f>IFERROR(__xludf.DUMMYFUNCTION("""COMPUTED_VALUE"""),0.00219)</f>
        <v>0.00219</v>
      </c>
      <c r="J2601" s="19">
        <f>IFERROR(__xludf.DUMMYFUNCTION("""COMPUTED_VALUE"""),0.04749)</f>
        <v>0.04749</v>
      </c>
      <c r="K2601" s="19" t="str">
        <f>IFERROR(__xludf.DUMMYFUNCTION("""COMPUTED_VALUE"""),"-")</f>
        <v>-</v>
      </c>
      <c r="L2601" s="19" t="str">
        <f>IFERROR(__xludf.DUMMYFUNCTION("""COMPUTED_VALUE"""),"-")</f>
        <v>-</v>
      </c>
      <c r="O2601" s="24">
        <f t="shared" si="4"/>
        <v>0</v>
      </c>
      <c r="P2601" s="24"/>
      <c r="Q2601" s="24">
        <f t="shared" si="6"/>
        <v>0</v>
      </c>
      <c r="R2601" s="24">
        <f t="shared" si="7"/>
        <v>0</v>
      </c>
      <c r="S2601" s="24"/>
      <c r="T2601" s="24"/>
    </row>
    <row r="2602">
      <c r="A2602" s="12" t="s">
        <v>2690</v>
      </c>
      <c r="F2602" s="19">
        <f>IFERROR(__xludf.DUMMYFUNCTION("SPLIT(A2598, "" |"")"),2596.0)</f>
        <v>2596</v>
      </c>
      <c r="G2602" s="19">
        <f>IFERROR(__xludf.DUMMYFUNCTION("""COMPUTED_VALUE"""),0.00232)</f>
        <v>0.00232</v>
      </c>
      <c r="H2602" s="19" t="str">
        <f>IFERROR(__xludf.DUMMYFUNCTION("""COMPUTED_VALUE"""),"-")</f>
        <v>-</v>
      </c>
      <c r="I2602" s="19">
        <f>IFERROR(__xludf.DUMMYFUNCTION("""COMPUTED_VALUE"""),0.00219)</f>
        <v>0.00219</v>
      </c>
      <c r="J2602" s="19">
        <f>IFERROR(__xludf.DUMMYFUNCTION("""COMPUTED_VALUE"""),0.04737)</f>
        <v>0.04737</v>
      </c>
      <c r="K2602" s="19" t="str">
        <f>IFERROR(__xludf.DUMMYFUNCTION("""COMPUTED_VALUE"""),"-")</f>
        <v>-</v>
      </c>
      <c r="L2602" s="19" t="str">
        <f>IFERROR(__xludf.DUMMYFUNCTION("""COMPUTED_VALUE"""),"-")</f>
        <v>-</v>
      </c>
      <c r="O2602" s="24">
        <f t="shared" si="4"/>
        <v>0</v>
      </c>
      <c r="P2602" s="24"/>
      <c r="Q2602" s="24">
        <f t="shared" si="6"/>
        <v>0</v>
      </c>
      <c r="R2602" s="24">
        <f t="shared" si="7"/>
        <v>0</v>
      </c>
      <c r="S2602" s="24"/>
      <c r="T2602" s="24"/>
    </row>
    <row r="2603">
      <c r="A2603" s="12" t="s">
        <v>2691</v>
      </c>
      <c r="F2603" s="19">
        <f>IFERROR(__xludf.DUMMYFUNCTION("SPLIT(A2599, "" |"")"),2597.0)</f>
        <v>2597</v>
      </c>
      <c r="G2603" s="19">
        <f>IFERROR(__xludf.DUMMYFUNCTION("""COMPUTED_VALUE"""),0.00237)</f>
        <v>0.00237</v>
      </c>
      <c r="H2603" s="19" t="str">
        <f>IFERROR(__xludf.DUMMYFUNCTION("""COMPUTED_VALUE"""),"-")</f>
        <v>-</v>
      </c>
      <c r="I2603" s="19">
        <f>IFERROR(__xludf.DUMMYFUNCTION("""COMPUTED_VALUE"""),0.0022)</f>
        <v>0.0022</v>
      </c>
      <c r="J2603" s="19">
        <f>IFERROR(__xludf.DUMMYFUNCTION("""COMPUTED_VALUE"""),0.0455)</f>
        <v>0.0455</v>
      </c>
      <c r="K2603" s="19" t="str">
        <f>IFERROR(__xludf.DUMMYFUNCTION("""COMPUTED_VALUE"""),"-")</f>
        <v>-</v>
      </c>
      <c r="L2603" s="19" t="str">
        <f>IFERROR(__xludf.DUMMYFUNCTION("""COMPUTED_VALUE"""),"-")</f>
        <v>-</v>
      </c>
      <c r="O2603" s="24">
        <f t="shared" si="4"/>
        <v>0</v>
      </c>
      <c r="P2603" s="24"/>
      <c r="Q2603" s="24">
        <f t="shared" si="6"/>
        <v>0</v>
      </c>
      <c r="R2603" s="24">
        <f t="shared" si="7"/>
        <v>0</v>
      </c>
      <c r="S2603" s="24"/>
      <c r="T2603" s="24"/>
    </row>
    <row r="2604">
      <c r="A2604" s="12" t="s">
        <v>2692</v>
      </c>
      <c r="F2604" s="19">
        <f>IFERROR(__xludf.DUMMYFUNCTION("SPLIT(A2600, "" |"")"),2598.0)</f>
        <v>2598</v>
      </c>
      <c r="G2604" s="19">
        <f>IFERROR(__xludf.DUMMYFUNCTION("""COMPUTED_VALUE"""),0.00234)</f>
        <v>0.00234</v>
      </c>
      <c r="H2604" s="19" t="str">
        <f>IFERROR(__xludf.DUMMYFUNCTION("""COMPUTED_VALUE"""),"-")</f>
        <v>-</v>
      </c>
      <c r="I2604" s="19">
        <f>IFERROR(__xludf.DUMMYFUNCTION("""COMPUTED_VALUE"""),0.00214)</f>
        <v>0.00214</v>
      </c>
      <c r="J2604" s="19">
        <f>IFERROR(__xludf.DUMMYFUNCTION("""COMPUTED_VALUE"""),0.04741)</f>
        <v>0.04741</v>
      </c>
      <c r="K2604" s="19" t="str">
        <f>IFERROR(__xludf.DUMMYFUNCTION("""COMPUTED_VALUE"""),"-")</f>
        <v>-</v>
      </c>
      <c r="L2604" s="19" t="str">
        <f>IFERROR(__xludf.DUMMYFUNCTION("""COMPUTED_VALUE"""),"-")</f>
        <v>-</v>
      </c>
      <c r="O2604" s="24">
        <f t="shared" si="4"/>
        <v>0</v>
      </c>
      <c r="P2604" s="24"/>
      <c r="Q2604" s="24">
        <f t="shared" si="6"/>
        <v>0</v>
      </c>
      <c r="R2604" s="24">
        <f t="shared" si="7"/>
        <v>0</v>
      </c>
      <c r="S2604" s="24"/>
      <c r="T2604" s="24"/>
    </row>
    <row r="2605">
      <c r="A2605" s="12" t="s">
        <v>2693</v>
      </c>
      <c r="F2605" s="19">
        <f>IFERROR(__xludf.DUMMYFUNCTION("SPLIT(A2601, "" |"")"),2599.0)</f>
        <v>2599</v>
      </c>
      <c r="G2605" s="19">
        <f>IFERROR(__xludf.DUMMYFUNCTION("""COMPUTED_VALUE"""),0.00238)</f>
        <v>0.00238</v>
      </c>
      <c r="H2605" s="19" t="str">
        <f>IFERROR(__xludf.DUMMYFUNCTION("""COMPUTED_VALUE"""),"-")</f>
        <v>-</v>
      </c>
      <c r="I2605" s="19">
        <f>IFERROR(__xludf.DUMMYFUNCTION("""COMPUTED_VALUE"""),0.00219)</f>
        <v>0.00219</v>
      </c>
      <c r="J2605" s="19">
        <f>IFERROR(__xludf.DUMMYFUNCTION("""COMPUTED_VALUE"""),0.04742)</f>
        <v>0.04742</v>
      </c>
      <c r="K2605" s="19" t="str">
        <f>IFERROR(__xludf.DUMMYFUNCTION("""COMPUTED_VALUE"""),"-")</f>
        <v>-</v>
      </c>
      <c r="L2605" s="19" t="str">
        <f>IFERROR(__xludf.DUMMYFUNCTION("""COMPUTED_VALUE"""),"-")</f>
        <v>-</v>
      </c>
      <c r="O2605" s="24">
        <f t="shared" si="4"/>
        <v>0</v>
      </c>
      <c r="P2605" s="24"/>
      <c r="Q2605" s="24">
        <f t="shared" si="6"/>
        <v>0</v>
      </c>
      <c r="R2605" s="24">
        <f t="shared" si="7"/>
        <v>0</v>
      </c>
      <c r="S2605" s="24"/>
      <c r="T2605" s="24"/>
    </row>
    <row r="2606">
      <c r="A2606" s="12" t="s">
        <v>2694</v>
      </c>
      <c r="F2606" s="19">
        <f>IFERROR(__xludf.DUMMYFUNCTION("SPLIT(A2602, "" |"")"),2600.0)</f>
        <v>2600</v>
      </c>
      <c r="G2606" s="19">
        <f>IFERROR(__xludf.DUMMYFUNCTION("""COMPUTED_VALUE"""),0.00241)</f>
        <v>0.00241</v>
      </c>
      <c r="H2606" s="19" t="str">
        <f>IFERROR(__xludf.DUMMYFUNCTION("""COMPUTED_VALUE"""),"-")</f>
        <v>-</v>
      </c>
      <c r="I2606" s="19">
        <f>IFERROR(__xludf.DUMMYFUNCTION("""COMPUTED_VALUE"""),0.00219)</f>
        <v>0.00219</v>
      </c>
      <c r="J2606" s="19">
        <f>IFERROR(__xludf.DUMMYFUNCTION("""COMPUTED_VALUE"""),0.04744)</f>
        <v>0.04744</v>
      </c>
      <c r="K2606" s="19" t="str">
        <f>IFERROR(__xludf.DUMMYFUNCTION("""COMPUTED_VALUE"""),"-")</f>
        <v>-</v>
      </c>
      <c r="L2606" s="19" t="str">
        <f>IFERROR(__xludf.DUMMYFUNCTION("""COMPUTED_VALUE"""),"-")</f>
        <v>-</v>
      </c>
      <c r="O2606" s="24">
        <f t="shared" si="4"/>
        <v>0</v>
      </c>
      <c r="P2606" s="24"/>
      <c r="Q2606" s="24">
        <f t="shared" si="6"/>
        <v>0</v>
      </c>
      <c r="R2606" s="24">
        <f t="shared" si="7"/>
        <v>0</v>
      </c>
      <c r="S2606" s="24"/>
      <c r="T2606" s="24"/>
    </row>
    <row r="2607">
      <c r="A2607" s="12" t="s">
        <v>2695</v>
      </c>
      <c r="F2607" s="19">
        <f>IFERROR(__xludf.DUMMYFUNCTION("SPLIT(A2603, "" |"")"),2601.0)</f>
        <v>2601</v>
      </c>
      <c r="G2607" s="19">
        <f>IFERROR(__xludf.DUMMYFUNCTION("""COMPUTED_VALUE"""),0.00235)</f>
        <v>0.00235</v>
      </c>
      <c r="H2607" s="19" t="str">
        <f>IFERROR(__xludf.DUMMYFUNCTION("""COMPUTED_VALUE"""),"-")</f>
        <v>-</v>
      </c>
      <c r="I2607" s="19">
        <f>IFERROR(__xludf.DUMMYFUNCTION("""COMPUTED_VALUE"""),0.0024)</f>
        <v>0.0024</v>
      </c>
      <c r="J2607" s="19">
        <f>IFERROR(__xludf.DUMMYFUNCTION("""COMPUTED_VALUE"""),0.04391)</f>
        <v>0.04391</v>
      </c>
      <c r="K2607" s="19" t="str">
        <f>IFERROR(__xludf.DUMMYFUNCTION("""COMPUTED_VALUE"""),"-")</f>
        <v>-</v>
      </c>
      <c r="L2607" s="19" t="str">
        <f>IFERROR(__xludf.DUMMYFUNCTION("""COMPUTED_VALUE"""),"-")</f>
        <v>-</v>
      </c>
      <c r="O2607" s="24">
        <f t="shared" si="4"/>
        <v>0</v>
      </c>
      <c r="P2607" s="24"/>
      <c r="Q2607" s="24">
        <f t="shared" si="6"/>
        <v>0</v>
      </c>
      <c r="R2607" s="24">
        <f t="shared" si="7"/>
        <v>1</v>
      </c>
      <c r="S2607" s="24"/>
      <c r="T2607" s="24"/>
    </row>
    <row r="2608">
      <c r="A2608" s="12" t="s">
        <v>2696</v>
      </c>
      <c r="F2608" s="19">
        <f>IFERROR(__xludf.DUMMYFUNCTION("SPLIT(A2604, "" |"")"),2602.0)</f>
        <v>2602</v>
      </c>
      <c r="G2608" s="19">
        <f>IFERROR(__xludf.DUMMYFUNCTION("""COMPUTED_VALUE"""),0.00249)</f>
        <v>0.00249</v>
      </c>
      <c r="H2608" s="19" t="str">
        <f>IFERROR(__xludf.DUMMYFUNCTION("""COMPUTED_VALUE"""),"-")</f>
        <v>-</v>
      </c>
      <c r="I2608" s="19">
        <f>IFERROR(__xludf.DUMMYFUNCTION("""COMPUTED_VALUE"""),0.00219)</f>
        <v>0.00219</v>
      </c>
      <c r="J2608" s="19">
        <f>IFERROR(__xludf.DUMMYFUNCTION("""COMPUTED_VALUE"""),0.04745)</f>
        <v>0.04745</v>
      </c>
      <c r="K2608" s="19" t="str">
        <f>IFERROR(__xludf.DUMMYFUNCTION("""COMPUTED_VALUE"""),"-")</f>
        <v>-</v>
      </c>
      <c r="L2608" s="19" t="str">
        <f>IFERROR(__xludf.DUMMYFUNCTION("""COMPUTED_VALUE"""),"-")</f>
        <v>-</v>
      </c>
      <c r="O2608" s="24">
        <f t="shared" si="4"/>
        <v>0</v>
      </c>
      <c r="P2608" s="24"/>
      <c r="Q2608" s="24">
        <f t="shared" si="6"/>
        <v>0</v>
      </c>
      <c r="R2608" s="24">
        <f t="shared" si="7"/>
        <v>0</v>
      </c>
      <c r="S2608" s="24"/>
      <c r="T2608" s="24"/>
    </row>
    <row r="2609">
      <c r="A2609" s="12" t="s">
        <v>2697</v>
      </c>
      <c r="F2609" s="19">
        <f>IFERROR(__xludf.DUMMYFUNCTION("SPLIT(A2605, "" |"")"),2603.0)</f>
        <v>2603</v>
      </c>
      <c r="G2609" s="19">
        <f>IFERROR(__xludf.DUMMYFUNCTION("""COMPUTED_VALUE"""),0.00243)</f>
        <v>0.00243</v>
      </c>
      <c r="H2609" s="19" t="str">
        <f>IFERROR(__xludf.DUMMYFUNCTION("""COMPUTED_VALUE"""),"-")</f>
        <v>-</v>
      </c>
      <c r="I2609" s="19">
        <f>IFERROR(__xludf.DUMMYFUNCTION("""COMPUTED_VALUE"""),0.00225)</f>
        <v>0.00225</v>
      </c>
      <c r="J2609" s="19">
        <f>IFERROR(__xludf.DUMMYFUNCTION("""COMPUTED_VALUE"""),0.04744)</f>
        <v>0.04744</v>
      </c>
      <c r="K2609" s="19" t="str">
        <f>IFERROR(__xludf.DUMMYFUNCTION("""COMPUTED_VALUE"""),"-")</f>
        <v>-</v>
      </c>
      <c r="L2609" s="19" t="str">
        <f>IFERROR(__xludf.DUMMYFUNCTION("""COMPUTED_VALUE"""),"-")</f>
        <v>-</v>
      </c>
      <c r="O2609" s="24">
        <f t="shared" si="4"/>
        <v>0</v>
      </c>
      <c r="P2609" s="24"/>
      <c r="Q2609" s="24">
        <f t="shared" si="6"/>
        <v>0</v>
      </c>
      <c r="R2609" s="24">
        <f t="shared" si="7"/>
        <v>0</v>
      </c>
      <c r="S2609" s="24"/>
      <c r="T2609" s="24"/>
    </row>
    <row r="2610">
      <c r="A2610" s="12" t="s">
        <v>2698</v>
      </c>
      <c r="F2610" s="19">
        <f>IFERROR(__xludf.DUMMYFUNCTION("SPLIT(A2606, "" |"")"),2604.0)</f>
        <v>2604</v>
      </c>
      <c r="G2610" s="19">
        <f>IFERROR(__xludf.DUMMYFUNCTION("""COMPUTED_VALUE"""),0.00242)</f>
        <v>0.00242</v>
      </c>
      <c r="H2610" s="19" t="str">
        <f>IFERROR(__xludf.DUMMYFUNCTION("""COMPUTED_VALUE"""),"-")</f>
        <v>-</v>
      </c>
      <c r="I2610" s="19">
        <f>IFERROR(__xludf.DUMMYFUNCTION("""COMPUTED_VALUE"""),0.0022)</f>
        <v>0.0022</v>
      </c>
      <c r="J2610" s="19">
        <f>IFERROR(__xludf.DUMMYFUNCTION("""COMPUTED_VALUE"""),0.04287)</f>
        <v>0.04287</v>
      </c>
      <c r="K2610" s="19" t="str">
        <f>IFERROR(__xludf.DUMMYFUNCTION("""COMPUTED_VALUE"""),"-")</f>
        <v>-</v>
      </c>
      <c r="L2610" s="19" t="str">
        <f>IFERROR(__xludf.DUMMYFUNCTION("""COMPUTED_VALUE"""),"-")</f>
        <v>-</v>
      </c>
      <c r="O2610" s="24">
        <f t="shared" si="4"/>
        <v>0</v>
      </c>
      <c r="P2610" s="24"/>
      <c r="Q2610" s="24">
        <f t="shared" si="6"/>
        <v>0</v>
      </c>
      <c r="R2610" s="24">
        <f t="shared" si="7"/>
        <v>1</v>
      </c>
      <c r="S2610" s="24"/>
      <c r="T2610" s="24"/>
    </row>
    <row r="2611">
      <c r="A2611" s="12" t="s">
        <v>2699</v>
      </c>
      <c r="F2611" s="19">
        <f>IFERROR(__xludf.DUMMYFUNCTION("SPLIT(A2607, "" |"")"),2605.0)</f>
        <v>2605</v>
      </c>
      <c r="G2611" s="19">
        <f>IFERROR(__xludf.DUMMYFUNCTION("""COMPUTED_VALUE"""),0.00236)</f>
        <v>0.00236</v>
      </c>
      <c r="H2611" s="19" t="str">
        <f>IFERROR(__xludf.DUMMYFUNCTION("""COMPUTED_VALUE"""),"-")</f>
        <v>-</v>
      </c>
      <c r="I2611" s="19">
        <f>IFERROR(__xludf.DUMMYFUNCTION("""COMPUTED_VALUE"""),0.00212)</f>
        <v>0.00212</v>
      </c>
      <c r="J2611" s="19">
        <f>IFERROR(__xludf.DUMMYFUNCTION("""COMPUTED_VALUE"""),0.0415)</f>
        <v>0.0415</v>
      </c>
      <c r="K2611" s="19" t="str">
        <f>IFERROR(__xludf.DUMMYFUNCTION("""COMPUTED_VALUE"""),"-")</f>
        <v>-</v>
      </c>
      <c r="L2611" s="19" t="str">
        <f>IFERROR(__xludf.DUMMYFUNCTION("""COMPUTED_VALUE"""),"-")</f>
        <v>-</v>
      </c>
      <c r="O2611" s="24">
        <f t="shared" si="4"/>
        <v>0</v>
      </c>
      <c r="P2611" s="24"/>
      <c r="Q2611" s="24">
        <f t="shared" si="6"/>
        <v>0</v>
      </c>
      <c r="R2611" s="24">
        <f t="shared" si="7"/>
        <v>1</v>
      </c>
      <c r="S2611" s="24"/>
      <c r="T2611" s="24"/>
    </row>
    <row r="2612">
      <c r="A2612" s="12" t="s">
        <v>2700</v>
      </c>
      <c r="F2612" s="19">
        <f>IFERROR(__xludf.DUMMYFUNCTION("SPLIT(A2608, "" |"")"),2606.0)</f>
        <v>2606</v>
      </c>
      <c r="G2612" s="19">
        <f>IFERROR(__xludf.DUMMYFUNCTION("""COMPUTED_VALUE"""),0.00233)</f>
        <v>0.00233</v>
      </c>
      <c r="H2612" s="19" t="str">
        <f>IFERROR(__xludf.DUMMYFUNCTION("""COMPUTED_VALUE"""),"-")</f>
        <v>-</v>
      </c>
      <c r="I2612" s="19">
        <f>IFERROR(__xludf.DUMMYFUNCTION("""COMPUTED_VALUE"""),0.00213)</f>
        <v>0.00213</v>
      </c>
      <c r="J2612" s="19">
        <f>IFERROR(__xludf.DUMMYFUNCTION("""COMPUTED_VALUE"""),0.04744)</f>
        <v>0.04744</v>
      </c>
      <c r="K2612" s="19" t="str">
        <f>IFERROR(__xludf.DUMMYFUNCTION("""COMPUTED_VALUE"""),"-")</f>
        <v>-</v>
      </c>
      <c r="L2612" s="19" t="str">
        <f>IFERROR(__xludf.DUMMYFUNCTION("""COMPUTED_VALUE"""),"-")</f>
        <v>-</v>
      </c>
      <c r="O2612" s="24">
        <f t="shared" si="4"/>
        <v>0</v>
      </c>
      <c r="P2612" s="24"/>
      <c r="Q2612" s="24">
        <f t="shared" si="6"/>
        <v>0</v>
      </c>
      <c r="R2612" s="24">
        <f t="shared" si="7"/>
        <v>0</v>
      </c>
      <c r="S2612" s="24"/>
      <c r="T2612" s="24"/>
    </row>
    <row r="2613">
      <c r="A2613" s="12" t="s">
        <v>2701</v>
      </c>
      <c r="F2613" s="19">
        <f>IFERROR(__xludf.DUMMYFUNCTION("SPLIT(A2609, "" |"")"),2607.0)</f>
        <v>2607</v>
      </c>
      <c r="G2613" s="19">
        <f>IFERROR(__xludf.DUMMYFUNCTION("""COMPUTED_VALUE"""),0.00233)</f>
        <v>0.00233</v>
      </c>
      <c r="H2613" s="19" t="str">
        <f>IFERROR(__xludf.DUMMYFUNCTION("""COMPUTED_VALUE"""),"-")</f>
        <v>-</v>
      </c>
      <c r="I2613" s="19">
        <f>IFERROR(__xludf.DUMMYFUNCTION("""COMPUTED_VALUE"""),0.00214)</f>
        <v>0.00214</v>
      </c>
      <c r="J2613" s="19">
        <f>IFERROR(__xludf.DUMMYFUNCTION("""COMPUTED_VALUE"""),0.0443)</f>
        <v>0.0443</v>
      </c>
      <c r="K2613" s="19" t="str">
        <f>IFERROR(__xludf.DUMMYFUNCTION("""COMPUTED_VALUE"""),"-")</f>
        <v>-</v>
      </c>
      <c r="L2613" s="19" t="str">
        <f>IFERROR(__xludf.DUMMYFUNCTION("""COMPUTED_VALUE"""),"-")</f>
        <v>-</v>
      </c>
      <c r="O2613" s="24">
        <f t="shared" si="4"/>
        <v>0</v>
      </c>
      <c r="P2613" s="24"/>
      <c r="Q2613" s="24">
        <f t="shared" si="6"/>
        <v>0</v>
      </c>
      <c r="R2613" s="24">
        <f t="shared" si="7"/>
        <v>1</v>
      </c>
      <c r="S2613" s="24"/>
      <c r="T2613" s="24"/>
    </row>
    <row r="2614">
      <c r="A2614" s="12" t="s">
        <v>2702</v>
      </c>
      <c r="F2614" s="19">
        <f>IFERROR(__xludf.DUMMYFUNCTION("SPLIT(A2610, "" |"")"),2608.0)</f>
        <v>2608</v>
      </c>
      <c r="G2614" s="19">
        <f>IFERROR(__xludf.DUMMYFUNCTION("""COMPUTED_VALUE"""),0.00235)</f>
        <v>0.00235</v>
      </c>
      <c r="H2614" s="19" t="str">
        <f>IFERROR(__xludf.DUMMYFUNCTION("""COMPUTED_VALUE"""),"-")</f>
        <v>-</v>
      </c>
      <c r="I2614" s="19">
        <f>IFERROR(__xludf.DUMMYFUNCTION("""COMPUTED_VALUE"""),0.00215)</f>
        <v>0.00215</v>
      </c>
      <c r="J2614" s="19">
        <f>IFERROR(__xludf.DUMMYFUNCTION("""COMPUTED_VALUE"""),0.04739)</f>
        <v>0.04739</v>
      </c>
      <c r="K2614" s="19" t="str">
        <f>IFERROR(__xludf.DUMMYFUNCTION("""COMPUTED_VALUE"""),"-")</f>
        <v>-</v>
      </c>
      <c r="L2614" s="19" t="str">
        <f>IFERROR(__xludf.DUMMYFUNCTION("""COMPUTED_VALUE"""),"-")</f>
        <v>-</v>
      </c>
      <c r="O2614" s="24">
        <f t="shared" si="4"/>
        <v>0</v>
      </c>
      <c r="P2614" s="24"/>
      <c r="Q2614" s="24">
        <f t="shared" si="6"/>
        <v>0</v>
      </c>
      <c r="R2614" s="24">
        <f t="shared" si="7"/>
        <v>0</v>
      </c>
      <c r="S2614" s="24"/>
      <c r="T2614" s="24"/>
    </row>
    <row r="2615">
      <c r="A2615" s="12" t="s">
        <v>2703</v>
      </c>
      <c r="F2615" s="19">
        <f>IFERROR(__xludf.DUMMYFUNCTION("SPLIT(A2611, "" |"")"),2609.0)</f>
        <v>2609</v>
      </c>
      <c r="G2615" s="19">
        <f>IFERROR(__xludf.DUMMYFUNCTION("""COMPUTED_VALUE"""),0.00239)</f>
        <v>0.00239</v>
      </c>
      <c r="H2615" s="19" t="str">
        <f>IFERROR(__xludf.DUMMYFUNCTION("""COMPUTED_VALUE"""),"-")</f>
        <v>-</v>
      </c>
      <c r="I2615" s="19">
        <f>IFERROR(__xludf.DUMMYFUNCTION("""COMPUTED_VALUE"""),0.0022)</f>
        <v>0.0022</v>
      </c>
      <c r="J2615" s="19">
        <f>IFERROR(__xludf.DUMMYFUNCTION("""COMPUTED_VALUE"""),0.04729)</f>
        <v>0.04729</v>
      </c>
      <c r="K2615" s="19" t="str">
        <f>IFERROR(__xludf.DUMMYFUNCTION("""COMPUTED_VALUE"""),"-")</f>
        <v>-</v>
      </c>
      <c r="L2615" s="19" t="str">
        <f>IFERROR(__xludf.DUMMYFUNCTION("""COMPUTED_VALUE"""),"-")</f>
        <v>-</v>
      </c>
      <c r="O2615" s="24">
        <f t="shared" si="4"/>
        <v>0</v>
      </c>
      <c r="P2615" s="24"/>
      <c r="Q2615" s="24">
        <f t="shared" si="6"/>
        <v>0</v>
      </c>
      <c r="R2615" s="24">
        <f t="shared" si="7"/>
        <v>0</v>
      </c>
      <c r="S2615" s="24"/>
      <c r="T2615" s="24"/>
    </row>
    <row r="2616">
      <c r="A2616" s="12" t="s">
        <v>2704</v>
      </c>
      <c r="F2616" s="19">
        <f>IFERROR(__xludf.DUMMYFUNCTION("SPLIT(A2612, "" |"")"),2610.0)</f>
        <v>2610</v>
      </c>
      <c r="G2616" s="19">
        <f>IFERROR(__xludf.DUMMYFUNCTION("""COMPUTED_VALUE"""),0.00232)</f>
        <v>0.00232</v>
      </c>
      <c r="H2616" s="19" t="str">
        <f>IFERROR(__xludf.DUMMYFUNCTION("""COMPUTED_VALUE"""),"-")</f>
        <v>-</v>
      </c>
      <c r="I2616" s="19">
        <f>IFERROR(__xludf.DUMMYFUNCTION("""COMPUTED_VALUE"""),0.00207)</f>
        <v>0.00207</v>
      </c>
      <c r="J2616" s="19">
        <f>IFERROR(__xludf.DUMMYFUNCTION("""COMPUTED_VALUE"""),0.04028)</f>
        <v>0.04028</v>
      </c>
      <c r="K2616" s="19" t="str">
        <f>IFERROR(__xludf.DUMMYFUNCTION("""COMPUTED_VALUE"""),"-")</f>
        <v>-</v>
      </c>
      <c r="L2616" s="19" t="str">
        <f>IFERROR(__xludf.DUMMYFUNCTION("""COMPUTED_VALUE"""),"-")</f>
        <v>-</v>
      </c>
      <c r="O2616" s="24">
        <f t="shared" si="4"/>
        <v>0</v>
      </c>
      <c r="P2616" s="24"/>
      <c r="Q2616" s="24">
        <f t="shared" si="6"/>
        <v>0</v>
      </c>
      <c r="R2616" s="24">
        <f t="shared" si="7"/>
        <v>1</v>
      </c>
      <c r="S2616" s="24"/>
      <c r="T2616" s="24"/>
    </row>
    <row r="2617">
      <c r="A2617" s="12" t="s">
        <v>2705</v>
      </c>
      <c r="F2617" s="19">
        <f>IFERROR(__xludf.DUMMYFUNCTION("SPLIT(A2613, "" |"")"),2611.0)</f>
        <v>2611</v>
      </c>
      <c r="G2617" s="19">
        <f>IFERROR(__xludf.DUMMYFUNCTION("""COMPUTED_VALUE"""),0.00227)</f>
        <v>0.00227</v>
      </c>
      <c r="H2617" s="19" t="str">
        <f>IFERROR(__xludf.DUMMYFUNCTION("""COMPUTED_VALUE"""),"-")</f>
        <v>-</v>
      </c>
      <c r="I2617" s="19">
        <f>IFERROR(__xludf.DUMMYFUNCTION("""COMPUTED_VALUE"""),0.00221)</f>
        <v>0.00221</v>
      </c>
      <c r="J2617" s="19">
        <f>IFERROR(__xludf.DUMMYFUNCTION("""COMPUTED_VALUE"""),0.04604)</f>
        <v>0.04604</v>
      </c>
      <c r="K2617" s="19" t="str">
        <f>IFERROR(__xludf.DUMMYFUNCTION("""COMPUTED_VALUE"""),"-")</f>
        <v>-</v>
      </c>
      <c r="L2617" s="19" t="str">
        <f>IFERROR(__xludf.DUMMYFUNCTION("""COMPUTED_VALUE"""),"-")</f>
        <v>-</v>
      </c>
      <c r="O2617" s="24">
        <f t="shared" si="4"/>
        <v>0</v>
      </c>
      <c r="P2617" s="24"/>
      <c r="Q2617" s="24">
        <f t="shared" si="6"/>
        <v>0</v>
      </c>
      <c r="R2617" s="24">
        <f t="shared" si="7"/>
        <v>0</v>
      </c>
      <c r="S2617" s="24"/>
      <c r="T2617" s="24"/>
    </row>
    <row r="2618">
      <c r="A2618" s="12" t="s">
        <v>2706</v>
      </c>
      <c r="F2618" s="19">
        <f>IFERROR(__xludf.DUMMYFUNCTION("SPLIT(A2614, "" |"")"),2612.0)</f>
        <v>2612</v>
      </c>
      <c r="G2618" s="19">
        <f>IFERROR(__xludf.DUMMYFUNCTION("""COMPUTED_VALUE"""),0.00226)</f>
        <v>0.00226</v>
      </c>
      <c r="H2618" s="19" t="str">
        <f>IFERROR(__xludf.DUMMYFUNCTION("""COMPUTED_VALUE"""),"-")</f>
        <v>-</v>
      </c>
      <c r="I2618" s="19">
        <f>IFERROR(__xludf.DUMMYFUNCTION("""COMPUTED_VALUE"""),0.00215)</f>
        <v>0.00215</v>
      </c>
      <c r="J2618" s="19">
        <f>IFERROR(__xludf.DUMMYFUNCTION("""COMPUTED_VALUE"""),0.04729)</f>
        <v>0.04729</v>
      </c>
      <c r="K2618" s="19" t="str">
        <f>IFERROR(__xludf.DUMMYFUNCTION("""COMPUTED_VALUE"""),"-")</f>
        <v>-</v>
      </c>
      <c r="L2618" s="19" t="str">
        <f>IFERROR(__xludf.DUMMYFUNCTION("""COMPUTED_VALUE"""),"-")</f>
        <v>-</v>
      </c>
      <c r="O2618" s="24">
        <f t="shared" si="4"/>
        <v>0</v>
      </c>
      <c r="P2618" s="24"/>
      <c r="Q2618" s="24">
        <f t="shared" si="6"/>
        <v>0</v>
      </c>
      <c r="R2618" s="24">
        <f t="shared" si="7"/>
        <v>0</v>
      </c>
      <c r="S2618" s="24"/>
      <c r="T2618" s="24"/>
    </row>
    <row r="2619">
      <c r="A2619" s="12" t="s">
        <v>2707</v>
      </c>
      <c r="F2619" s="19">
        <f>IFERROR(__xludf.DUMMYFUNCTION("SPLIT(A2615, "" |"")"),2613.0)</f>
        <v>2613</v>
      </c>
      <c r="G2619" s="19">
        <f>IFERROR(__xludf.DUMMYFUNCTION("""COMPUTED_VALUE"""),0.00243)</f>
        <v>0.00243</v>
      </c>
      <c r="H2619" s="19" t="str">
        <f>IFERROR(__xludf.DUMMYFUNCTION("""COMPUTED_VALUE"""),"-")</f>
        <v>-</v>
      </c>
      <c r="I2619" s="19">
        <f>IFERROR(__xludf.DUMMYFUNCTION("""COMPUTED_VALUE"""),0.00219)</f>
        <v>0.00219</v>
      </c>
      <c r="J2619" s="19">
        <f>IFERROR(__xludf.DUMMYFUNCTION("""COMPUTED_VALUE"""),0.04074)</f>
        <v>0.04074</v>
      </c>
      <c r="K2619" s="19" t="str">
        <f>IFERROR(__xludf.DUMMYFUNCTION("""COMPUTED_VALUE"""),"-")</f>
        <v>-</v>
      </c>
      <c r="L2619" s="19" t="str">
        <f>IFERROR(__xludf.DUMMYFUNCTION("""COMPUTED_VALUE"""),"-")</f>
        <v>-</v>
      </c>
      <c r="O2619" s="24">
        <f t="shared" si="4"/>
        <v>0</v>
      </c>
      <c r="P2619" s="24"/>
      <c r="Q2619" s="24">
        <f t="shared" si="6"/>
        <v>0</v>
      </c>
      <c r="R2619" s="24">
        <f t="shared" si="7"/>
        <v>1</v>
      </c>
      <c r="S2619" s="24"/>
      <c r="T2619" s="24"/>
    </row>
    <row r="2620">
      <c r="A2620" s="12" t="s">
        <v>2708</v>
      </c>
      <c r="F2620" s="19">
        <f>IFERROR(__xludf.DUMMYFUNCTION("SPLIT(A2616, "" |"")"),2614.0)</f>
        <v>2614</v>
      </c>
      <c r="G2620" s="19">
        <f>IFERROR(__xludf.DUMMYFUNCTION("""COMPUTED_VALUE"""),0.00229)</f>
        <v>0.00229</v>
      </c>
      <c r="H2620" s="19" t="str">
        <f>IFERROR(__xludf.DUMMYFUNCTION("""COMPUTED_VALUE"""),"-")</f>
        <v>-</v>
      </c>
      <c r="I2620" s="19">
        <f>IFERROR(__xludf.DUMMYFUNCTION("""COMPUTED_VALUE"""),0.00211)</f>
        <v>0.00211</v>
      </c>
      <c r="J2620" s="19">
        <f>IFERROR(__xludf.DUMMYFUNCTION("""COMPUTED_VALUE"""),0.0474)</f>
        <v>0.0474</v>
      </c>
      <c r="K2620" s="19" t="str">
        <f>IFERROR(__xludf.DUMMYFUNCTION("""COMPUTED_VALUE"""),"-")</f>
        <v>-</v>
      </c>
      <c r="L2620" s="19" t="str">
        <f>IFERROR(__xludf.DUMMYFUNCTION("""COMPUTED_VALUE"""),"-")</f>
        <v>-</v>
      </c>
      <c r="O2620" s="24">
        <f t="shared" si="4"/>
        <v>0</v>
      </c>
      <c r="P2620" s="24"/>
      <c r="Q2620" s="24">
        <f t="shared" si="6"/>
        <v>0</v>
      </c>
      <c r="R2620" s="24">
        <f t="shared" si="7"/>
        <v>0</v>
      </c>
      <c r="S2620" s="24"/>
      <c r="T2620" s="24"/>
    </row>
    <row r="2621">
      <c r="A2621" s="12" t="s">
        <v>2709</v>
      </c>
      <c r="F2621" s="19">
        <f>IFERROR(__xludf.DUMMYFUNCTION("SPLIT(A2617, "" |"")"),2615.0)</f>
        <v>2615</v>
      </c>
      <c r="G2621" s="19">
        <f>IFERROR(__xludf.DUMMYFUNCTION("""COMPUTED_VALUE"""),0.00222)</f>
        <v>0.00222</v>
      </c>
      <c r="H2621" s="19" t="str">
        <f>IFERROR(__xludf.DUMMYFUNCTION("""COMPUTED_VALUE"""),"-")</f>
        <v>-</v>
      </c>
      <c r="I2621" s="19">
        <f>IFERROR(__xludf.DUMMYFUNCTION("""COMPUTED_VALUE"""),0.00223)</f>
        <v>0.00223</v>
      </c>
      <c r="J2621" s="19">
        <f>IFERROR(__xludf.DUMMYFUNCTION("""COMPUTED_VALUE"""),0.04741)</f>
        <v>0.04741</v>
      </c>
      <c r="K2621" s="19" t="str">
        <f>IFERROR(__xludf.DUMMYFUNCTION("""COMPUTED_VALUE"""),"-")</f>
        <v>-</v>
      </c>
      <c r="L2621" s="19" t="str">
        <f>IFERROR(__xludf.DUMMYFUNCTION("""COMPUTED_VALUE"""),"-")</f>
        <v>-</v>
      </c>
      <c r="O2621" s="24">
        <f t="shared" si="4"/>
        <v>0</v>
      </c>
      <c r="P2621" s="24"/>
      <c r="Q2621" s="24">
        <f t="shared" si="6"/>
        <v>0</v>
      </c>
      <c r="R2621" s="24">
        <f t="shared" si="7"/>
        <v>0</v>
      </c>
      <c r="S2621" s="24"/>
      <c r="T2621" s="24"/>
    </row>
    <row r="2622">
      <c r="A2622" s="12" t="s">
        <v>2710</v>
      </c>
      <c r="F2622" s="19">
        <f>IFERROR(__xludf.DUMMYFUNCTION("SPLIT(A2618, "" |"")"),2616.0)</f>
        <v>2616</v>
      </c>
      <c r="G2622" s="19">
        <f>IFERROR(__xludf.DUMMYFUNCTION("""COMPUTED_VALUE"""),0.00227)</f>
        <v>0.00227</v>
      </c>
      <c r="H2622" s="19" t="str">
        <f>IFERROR(__xludf.DUMMYFUNCTION("""COMPUTED_VALUE"""),"-")</f>
        <v>-</v>
      </c>
      <c r="I2622" s="19">
        <f>IFERROR(__xludf.DUMMYFUNCTION("""COMPUTED_VALUE"""),0.00223)</f>
        <v>0.00223</v>
      </c>
      <c r="J2622" s="19">
        <f>IFERROR(__xludf.DUMMYFUNCTION("""COMPUTED_VALUE"""),0.04477)</f>
        <v>0.04477</v>
      </c>
      <c r="K2622" s="19" t="str">
        <f>IFERROR(__xludf.DUMMYFUNCTION("""COMPUTED_VALUE"""),"-")</f>
        <v>-</v>
      </c>
      <c r="L2622" s="19" t="str">
        <f>IFERROR(__xludf.DUMMYFUNCTION("""COMPUTED_VALUE"""),"-")</f>
        <v>-</v>
      </c>
      <c r="O2622" s="24">
        <f t="shared" si="4"/>
        <v>0</v>
      </c>
      <c r="P2622" s="24"/>
      <c r="Q2622" s="24">
        <f t="shared" si="6"/>
        <v>0</v>
      </c>
      <c r="R2622" s="24">
        <f t="shared" si="7"/>
        <v>1</v>
      </c>
      <c r="S2622" s="24"/>
      <c r="T2622" s="24"/>
    </row>
    <row r="2623">
      <c r="A2623" s="12" t="s">
        <v>2711</v>
      </c>
      <c r="F2623" s="19">
        <f>IFERROR(__xludf.DUMMYFUNCTION("SPLIT(A2619, "" |"")"),2617.0)</f>
        <v>2617</v>
      </c>
      <c r="G2623" s="19">
        <f>IFERROR(__xludf.DUMMYFUNCTION("""COMPUTED_VALUE"""),0.00228)</f>
        <v>0.00228</v>
      </c>
      <c r="H2623" s="19" t="str">
        <f>IFERROR(__xludf.DUMMYFUNCTION("""COMPUTED_VALUE"""),"-")</f>
        <v>-</v>
      </c>
      <c r="I2623" s="19">
        <f>IFERROR(__xludf.DUMMYFUNCTION("""COMPUTED_VALUE"""),0.00215)</f>
        <v>0.00215</v>
      </c>
      <c r="J2623" s="19">
        <f>IFERROR(__xludf.DUMMYFUNCTION("""COMPUTED_VALUE"""),0.04745)</f>
        <v>0.04745</v>
      </c>
      <c r="K2623" s="19" t="str">
        <f>IFERROR(__xludf.DUMMYFUNCTION("""COMPUTED_VALUE"""),"-")</f>
        <v>-</v>
      </c>
      <c r="L2623" s="19" t="str">
        <f>IFERROR(__xludf.DUMMYFUNCTION("""COMPUTED_VALUE"""),"-")</f>
        <v>-</v>
      </c>
      <c r="O2623" s="24">
        <f t="shared" si="4"/>
        <v>0</v>
      </c>
      <c r="P2623" s="24"/>
      <c r="Q2623" s="24">
        <f t="shared" si="6"/>
        <v>0</v>
      </c>
      <c r="R2623" s="24">
        <f t="shared" si="7"/>
        <v>0</v>
      </c>
      <c r="S2623" s="24"/>
      <c r="T2623" s="24"/>
    </row>
    <row r="2624">
      <c r="A2624" s="12" t="s">
        <v>2712</v>
      </c>
      <c r="F2624" s="19">
        <f>IFERROR(__xludf.DUMMYFUNCTION("SPLIT(A2620, "" |"")"),2618.0)</f>
        <v>2618</v>
      </c>
      <c r="G2624" s="19">
        <f>IFERROR(__xludf.DUMMYFUNCTION("""COMPUTED_VALUE"""),0.00234)</f>
        <v>0.00234</v>
      </c>
      <c r="H2624" s="19" t="str">
        <f>IFERROR(__xludf.DUMMYFUNCTION("""COMPUTED_VALUE"""),"-")</f>
        <v>-</v>
      </c>
      <c r="I2624" s="19">
        <f>IFERROR(__xludf.DUMMYFUNCTION("""COMPUTED_VALUE"""),0.00214)</f>
        <v>0.00214</v>
      </c>
      <c r="J2624" s="19">
        <f>IFERROR(__xludf.DUMMYFUNCTION("""COMPUTED_VALUE"""),0.04742)</f>
        <v>0.04742</v>
      </c>
      <c r="K2624" s="19" t="str">
        <f>IFERROR(__xludf.DUMMYFUNCTION("""COMPUTED_VALUE"""),"-")</f>
        <v>-</v>
      </c>
      <c r="L2624" s="19" t="str">
        <f>IFERROR(__xludf.DUMMYFUNCTION("""COMPUTED_VALUE"""),"-")</f>
        <v>-</v>
      </c>
      <c r="O2624" s="24">
        <f t="shared" si="4"/>
        <v>0</v>
      </c>
      <c r="P2624" s="24"/>
      <c r="Q2624" s="24">
        <f t="shared" si="6"/>
        <v>0</v>
      </c>
      <c r="R2624" s="24">
        <f t="shared" si="7"/>
        <v>0</v>
      </c>
      <c r="S2624" s="24"/>
      <c r="T2624" s="24"/>
    </row>
    <row r="2625">
      <c r="A2625" s="12" t="s">
        <v>2713</v>
      </c>
      <c r="F2625" s="19">
        <f>IFERROR(__xludf.DUMMYFUNCTION("SPLIT(A2621, "" |"")"),2619.0)</f>
        <v>2619</v>
      </c>
      <c r="G2625" s="19">
        <f>IFERROR(__xludf.DUMMYFUNCTION("""COMPUTED_VALUE"""),0.00234)</f>
        <v>0.00234</v>
      </c>
      <c r="H2625" s="19" t="str">
        <f>IFERROR(__xludf.DUMMYFUNCTION("""COMPUTED_VALUE"""),"-")</f>
        <v>-</v>
      </c>
      <c r="I2625" s="19">
        <f>IFERROR(__xludf.DUMMYFUNCTION("""COMPUTED_VALUE"""),0.00208)</f>
        <v>0.00208</v>
      </c>
      <c r="J2625" s="19">
        <f>IFERROR(__xludf.DUMMYFUNCTION("""COMPUTED_VALUE"""),0.04678)</f>
        <v>0.04678</v>
      </c>
      <c r="K2625" s="19" t="str">
        <f>IFERROR(__xludf.DUMMYFUNCTION("""COMPUTED_VALUE"""),"-")</f>
        <v>-</v>
      </c>
      <c r="L2625" s="19" t="str">
        <f>IFERROR(__xludf.DUMMYFUNCTION("""COMPUTED_VALUE"""),"-")</f>
        <v>-</v>
      </c>
      <c r="O2625" s="24">
        <f t="shared" si="4"/>
        <v>0</v>
      </c>
      <c r="P2625" s="24"/>
      <c r="Q2625" s="24">
        <f t="shared" si="6"/>
        <v>0</v>
      </c>
      <c r="R2625" s="24">
        <f t="shared" si="7"/>
        <v>0</v>
      </c>
      <c r="S2625" s="24"/>
      <c r="T2625" s="24"/>
    </row>
    <row r="2626">
      <c r="A2626" s="12" t="s">
        <v>2714</v>
      </c>
      <c r="F2626" s="19">
        <f>IFERROR(__xludf.DUMMYFUNCTION("SPLIT(A2622, "" |"")"),2620.0)</f>
        <v>2620</v>
      </c>
      <c r="G2626" s="19">
        <f>IFERROR(__xludf.DUMMYFUNCTION("""COMPUTED_VALUE"""),0.00227)</f>
        <v>0.00227</v>
      </c>
      <c r="H2626" s="19" t="str">
        <f>IFERROR(__xludf.DUMMYFUNCTION("""COMPUTED_VALUE"""),"-")</f>
        <v>-</v>
      </c>
      <c r="I2626" s="19">
        <f>IFERROR(__xludf.DUMMYFUNCTION("""COMPUTED_VALUE"""),0.00213)</f>
        <v>0.00213</v>
      </c>
      <c r="J2626" s="19">
        <f>IFERROR(__xludf.DUMMYFUNCTION("""COMPUTED_VALUE"""),0.04725)</f>
        <v>0.04725</v>
      </c>
      <c r="K2626" s="19" t="str">
        <f>IFERROR(__xludf.DUMMYFUNCTION("""COMPUTED_VALUE"""),"-")</f>
        <v>-</v>
      </c>
      <c r="L2626" s="19" t="str">
        <f>IFERROR(__xludf.DUMMYFUNCTION("""COMPUTED_VALUE"""),"-")</f>
        <v>-</v>
      </c>
      <c r="O2626" s="24">
        <f t="shared" si="4"/>
        <v>0</v>
      </c>
      <c r="P2626" s="24"/>
      <c r="Q2626" s="24">
        <f t="shared" si="6"/>
        <v>0</v>
      </c>
      <c r="R2626" s="24">
        <f t="shared" si="7"/>
        <v>0</v>
      </c>
      <c r="S2626" s="24"/>
      <c r="T2626" s="24"/>
    </row>
    <row r="2627">
      <c r="A2627" s="12" t="s">
        <v>2715</v>
      </c>
      <c r="F2627" s="19">
        <f>IFERROR(__xludf.DUMMYFUNCTION("SPLIT(A2623, "" |"")"),2621.0)</f>
        <v>2621</v>
      </c>
      <c r="G2627" s="19">
        <f>IFERROR(__xludf.DUMMYFUNCTION("""COMPUTED_VALUE"""),0.00227)</f>
        <v>0.00227</v>
      </c>
      <c r="H2627" s="19" t="str">
        <f>IFERROR(__xludf.DUMMYFUNCTION("""COMPUTED_VALUE"""),"-")</f>
        <v>-</v>
      </c>
      <c r="I2627" s="19">
        <f>IFERROR(__xludf.DUMMYFUNCTION("""COMPUTED_VALUE"""),0.00222)</f>
        <v>0.00222</v>
      </c>
      <c r="J2627" s="19">
        <f>IFERROR(__xludf.DUMMYFUNCTION("""COMPUTED_VALUE"""),0.04745)</f>
        <v>0.04745</v>
      </c>
      <c r="K2627" s="19" t="str">
        <f>IFERROR(__xludf.DUMMYFUNCTION("""COMPUTED_VALUE"""),"-")</f>
        <v>-</v>
      </c>
      <c r="L2627" s="19" t="str">
        <f>IFERROR(__xludf.DUMMYFUNCTION("""COMPUTED_VALUE"""),"-")</f>
        <v>-</v>
      </c>
      <c r="O2627" s="24">
        <f t="shared" si="4"/>
        <v>0</v>
      </c>
      <c r="P2627" s="24"/>
      <c r="Q2627" s="24">
        <f t="shared" si="6"/>
        <v>0</v>
      </c>
      <c r="R2627" s="24">
        <f t="shared" si="7"/>
        <v>0</v>
      </c>
      <c r="S2627" s="24"/>
      <c r="T2627" s="24"/>
    </row>
    <row r="2628">
      <c r="A2628" s="12" t="s">
        <v>2716</v>
      </c>
      <c r="F2628" s="19">
        <f>IFERROR(__xludf.DUMMYFUNCTION("SPLIT(A2624, "" |"")"),2622.0)</f>
        <v>2622</v>
      </c>
      <c r="G2628" s="19">
        <f>IFERROR(__xludf.DUMMYFUNCTION("""COMPUTED_VALUE"""),0.00225)</f>
        <v>0.00225</v>
      </c>
      <c r="H2628" s="19" t="str">
        <f>IFERROR(__xludf.DUMMYFUNCTION("""COMPUTED_VALUE"""),"-")</f>
        <v>-</v>
      </c>
      <c r="I2628" s="19">
        <f>IFERROR(__xludf.DUMMYFUNCTION("""COMPUTED_VALUE"""),0.00211)</f>
        <v>0.00211</v>
      </c>
      <c r="J2628" s="19">
        <f>IFERROR(__xludf.DUMMYFUNCTION("""COMPUTED_VALUE"""),0.04734)</f>
        <v>0.04734</v>
      </c>
      <c r="K2628" s="19" t="str">
        <f>IFERROR(__xludf.DUMMYFUNCTION("""COMPUTED_VALUE"""),"-")</f>
        <v>-</v>
      </c>
      <c r="L2628" s="19" t="str">
        <f>IFERROR(__xludf.DUMMYFUNCTION("""COMPUTED_VALUE"""),"-")</f>
        <v>-</v>
      </c>
      <c r="O2628" s="24">
        <f t="shared" si="4"/>
        <v>0</v>
      </c>
      <c r="P2628" s="24"/>
      <c r="Q2628" s="24">
        <f t="shared" si="6"/>
        <v>0</v>
      </c>
      <c r="R2628" s="24">
        <f t="shared" si="7"/>
        <v>0</v>
      </c>
      <c r="S2628" s="24"/>
      <c r="T2628" s="24"/>
    </row>
    <row r="2629">
      <c r="A2629" s="12" t="s">
        <v>2717</v>
      </c>
      <c r="F2629" s="19">
        <f>IFERROR(__xludf.DUMMYFUNCTION("SPLIT(A2625, "" |"")"),2623.0)</f>
        <v>2623</v>
      </c>
      <c r="G2629" s="19">
        <f>IFERROR(__xludf.DUMMYFUNCTION("""COMPUTED_VALUE"""),0.0025)</f>
        <v>0.0025</v>
      </c>
      <c r="H2629" s="19" t="str">
        <f>IFERROR(__xludf.DUMMYFUNCTION("""COMPUTED_VALUE"""),"-")</f>
        <v>-</v>
      </c>
      <c r="I2629" s="19">
        <f>IFERROR(__xludf.DUMMYFUNCTION("""COMPUTED_VALUE"""),0.00222)</f>
        <v>0.00222</v>
      </c>
      <c r="J2629" s="19">
        <f>IFERROR(__xludf.DUMMYFUNCTION("""COMPUTED_VALUE"""),0.0473)</f>
        <v>0.0473</v>
      </c>
      <c r="K2629" s="19" t="str">
        <f>IFERROR(__xludf.DUMMYFUNCTION("""COMPUTED_VALUE"""),"-")</f>
        <v>-</v>
      </c>
      <c r="L2629" s="19" t="str">
        <f>IFERROR(__xludf.DUMMYFUNCTION("""COMPUTED_VALUE"""),"-")</f>
        <v>-</v>
      </c>
      <c r="O2629" s="24">
        <f t="shared" si="4"/>
        <v>0</v>
      </c>
      <c r="P2629" s="24"/>
      <c r="Q2629" s="24">
        <f t="shared" si="6"/>
        <v>0</v>
      </c>
      <c r="R2629" s="24">
        <f t="shared" si="7"/>
        <v>0</v>
      </c>
      <c r="S2629" s="24"/>
      <c r="T2629" s="24"/>
    </row>
    <row r="2630">
      <c r="A2630" s="12" t="s">
        <v>2718</v>
      </c>
      <c r="F2630" s="19">
        <f>IFERROR(__xludf.DUMMYFUNCTION("SPLIT(A2626, "" |"")"),2624.0)</f>
        <v>2624</v>
      </c>
      <c r="G2630" s="19">
        <f>IFERROR(__xludf.DUMMYFUNCTION("""COMPUTED_VALUE"""),0.00228)</f>
        <v>0.00228</v>
      </c>
      <c r="H2630" s="19" t="str">
        <f>IFERROR(__xludf.DUMMYFUNCTION("""COMPUTED_VALUE"""),"-")</f>
        <v>-</v>
      </c>
      <c r="I2630" s="19">
        <f>IFERROR(__xludf.DUMMYFUNCTION("""COMPUTED_VALUE"""),0.00214)</f>
        <v>0.00214</v>
      </c>
      <c r="J2630" s="19">
        <f>IFERROR(__xludf.DUMMYFUNCTION("""COMPUTED_VALUE"""),0.0474)</f>
        <v>0.0474</v>
      </c>
      <c r="K2630" s="19" t="str">
        <f>IFERROR(__xludf.DUMMYFUNCTION("""COMPUTED_VALUE"""),"-")</f>
        <v>-</v>
      </c>
      <c r="L2630" s="19" t="str">
        <f>IFERROR(__xludf.DUMMYFUNCTION("""COMPUTED_VALUE"""),"-")</f>
        <v>-</v>
      </c>
      <c r="O2630" s="24">
        <f t="shared" si="4"/>
        <v>0</v>
      </c>
      <c r="P2630" s="24"/>
      <c r="Q2630" s="24">
        <f t="shared" si="6"/>
        <v>0</v>
      </c>
      <c r="R2630" s="24">
        <f t="shared" si="7"/>
        <v>0</v>
      </c>
      <c r="S2630" s="24"/>
      <c r="T2630" s="24"/>
    </row>
    <row r="2631">
      <c r="A2631" s="12" t="s">
        <v>2719</v>
      </c>
      <c r="F2631" s="19">
        <f>IFERROR(__xludf.DUMMYFUNCTION("SPLIT(A2627, "" |"")"),2625.0)</f>
        <v>2625</v>
      </c>
      <c r="G2631" s="19">
        <f>IFERROR(__xludf.DUMMYFUNCTION("""COMPUTED_VALUE"""),0.00219)</f>
        <v>0.00219</v>
      </c>
      <c r="H2631" s="19" t="str">
        <f>IFERROR(__xludf.DUMMYFUNCTION("""COMPUTED_VALUE"""),"-")</f>
        <v>-</v>
      </c>
      <c r="I2631" s="19">
        <f>IFERROR(__xludf.DUMMYFUNCTION("""COMPUTED_VALUE"""),0.00212)</f>
        <v>0.00212</v>
      </c>
      <c r="J2631" s="19">
        <f>IFERROR(__xludf.DUMMYFUNCTION("""COMPUTED_VALUE"""),0.04354)</f>
        <v>0.04354</v>
      </c>
      <c r="K2631" s="19" t="str">
        <f>IFERROR(__xludf.DUMMYFUNCTION("""COMPUTED_VALUE"""),"-")</f>
        <v>-</v>
      </c>
      <c r="L2631" s="19" t="str">
        <f>IFERROR(__xludf.DUMMYFUNCTION("""COMPUTED_VALUE"""),"-")</f>
        <v>-</v>
      </c>
      <c r="O2631" s="24">
        <f t="shared" si="4"/>
        <v>0</v>
      </c>
      <c r="P2631" s="24"/>
      <c r="Q2631" s="24">
        <f t="shared" si="6"/>
        <v>0</v>
      </c>
      <c r="R2631" s="24">
        <f t="shared" si="7"/>
        <v>1</v>
      </c>
      <c r="S2631" s="24"/>
      <c r="T2631" s="24"/>
    </row>
    <row r="2632">
      <c r="A2632" s="12" t="s">
        <v>2720</v>
      </c>
      <c r="F2632" s="19">
        <f>IFERROR(__xludf.DUMMYFUNCTION("SPLIT(A2628, "" |"")"),2626.0)</f>
        <v>2626</v>
      </c>
      <c r="G2632" s="19">
        <f>IFERROR(__xludf.DUMMYFUNCTION("""COMPUTED_VALUE"""),0.00233)</f>
        <v>0.00233</v>
      </c>
      <c r="H2632" s="19" t="str">
        <f>IFERROR(__xludf.DUMMYFUNCTION("""COMPUTED_VALUE"""),"-")</f>
        <v>-</v>
      </c>
      <c r="I2632" s="19">
        <f>IFERROR(__xludf.DUMMYFUNCTION("""COMPUTED_VALUE"""),0.00209)</f>
        <v>0.00209</v>
      </c>
      <c r="J2632" s="19">
        <f>IFERROR(__xludf.DUMMYFUNCTION("""COMPUTED_VALUE"""),0.04503)</f>
        <v>0.04503</v>
      </c>
      <c r="K2632" s="19" t="str">
        <f>IFERROR(__xludf.DUMMYFUNCTION("""COMPUTED_VALUE"""),"-")</f>
        <v>-</v>
      </c>
      <c r="L2632" s="19" t="str">
        <f>IFERROR(__xludf.DUMMYFUNCTION("""COMPUTED_VALUE"""),"-")</f>
        <v>-</v>
      </c>
      <c r="O2632" s="24">
        <f t="shared" si="4"/>
        <v>0</v>
      </c>
      <c r="P2632" s="24"/>
      <c r="Q2632" s="24">
        <f t="shared" si="6"/>
        <v>0</v>
      </c>
      <c r="R2632" s="24">
        <f t="shared" si="7"/>
        <v>0</v>
      </c>
      <c r="S2632" s="24"/>
      <c r="T2632" s="24"/>
    </row>
    <row r="2633">
      <c r="A2633" s="12" t="s">
        <v>2721</v>
      </c>
      <c r="F2633" s="19">
        <f>IFERROR(__xludf.DUMMYFUNCTION("SPLIT(A2629, "" |"")"),2627.0)</f>
        <v>2627</v>
      </c>
      <c r="G2633" s="19">
        <f>IFERROR(__xludf.DUMMYFUNCTION("""COMPUTED_VALUE"""),0.00235)</f>
        <v>0.00235</v>
      </c>
      <c r="H2633" s="19" t="str">
        <f>IFERROR(__xludf.DUMMYFUNCTION("""COMPUTED_VALUE"""),"-")</f>
        <v>-</v>
      </c>
      <c r="I2633" s="19">
        <f>IFERROR(__xludf.DUMMYFUNCTION("""COMPUTED_VALUE"""),0.00209)</f>
        <v>0.00209</v>
      </c>
      <c r="J2633" s="19">
        <f>IFERROR(__xludf.DUMMYFUNCTION("""COMPUTED_VALUE"""),0.04744)</f>
        <v>0.04744</v>
      </c>
      <c r="K2633" s="19" t="str">
        <f>IFERROR(__xludf.DUMMYFUNCTION("""COMPUTED_VALUE"""),"-")</f>
        <v>-</v>
      </c>
      <c r="L2633" s="19" t="str">
        <f>IFERROR(__xludf.DUMMYFUNCTION("""COMPUTED_VALUE"""),"-")</f>
        <v>-</v>
      </c>
      <c r="O2633" s="24">
        <f t="shared" si="4"/>
        <v>0</v>
      </c>
      <c r="P2633" s="24"/>
      <c r="Q2633" s="24">
        <f t="shared" si="6"/>
        <v>0</v>
      </c>
      <c r="R2633" s="24">
        <f t="shared" si="7"/>
        <v>0</v>
      </c>
      <c r="S2633" s="24"/>
      <c r="T2633" s="24"/>
    </row>
    <row r="2634">
      <c r="A2634" s="12" t="s">
        <v>2722</v>
      </c>
      <c r="F2634" s="19">
        <f>IFERROR(__xludf.DUMMYFUNCTION("SPLIT(A2630, "" |"")"),2628.0)</f>
        <v>2628</v>
      </c>
      <c r="G2634" s="19">
        <f>IFERROR(__xludf.DUMMYFUNCTION("""COMPUTED_VALUE"""),0.00228)</f>
        <v>0.00228</v>
      </c>
      <c r="H2634" s="19" t="str">
        <f>IFERROR(__xludf.DUMMYFUNCTION("""COMPUTED_VALUE"""),"-")</f>
        <v>-</v>
      </c>
      <c r="I2634" s="19">
        <f>IFERROR(__xludf.DUMMYFUNCTION("""COMPUTED_VALUE"""),0.00223)</f>
        <v>0.00223</v>
      </c>
      <c r="J2634" s="19">
        <f>IFERROR(__xludf.DUMMYFUNCTION("""COMPUTED_VALUE"""),0.04742)</f>
        <v>0.04742</v>
      </c>
      <c r="K2634" s="19" t="str">
        <f>IFERROR(__xludf.DUMMYFUNCTION("""COMPUTED_VALUE"""),"-")</f>
        <v>-</v>
      </c>
      <c r="L2634" s="19" t="str">
        <f>IFERROR(__xludf.DUMMYFUNCTION("""COMPUTED_VALUE"""),"-")</f>
        <v>-</v>
      </c>
      <c r="O2634" s="24">
        <f t="shared" si="4"/>
        <v>0</v>
      </c>
      <c r="P2634" s="24"/>
      <c r="Q2634" s="24">
        <f t="shared" si="6"/>
        <v>0</v>
      </c>
      <c r="R2634" s="24">
        <f t="shared" si="7"/>
        <v>0</v>
      </c>
      <c r="S2634" s="24"/>
      <c r="T2634" s="24"/>
    </row>
    <row r="2635">
      <c r="A2635" s="12" t="s">
        <v>2723</v>
      </c>
      <c r="F2635" s="19">
        <f>IFERROR(__xludf.DUMMYFUNCTION("SPLIT(A2631, "" |"")"),2629.0)</f>
        <v>2629</v>
      </c>
      <c r="G2635" s="19">
        <f>IFERROR(__xludf.DUMMYFUNCTION("""COMPUTED_VALUE"""),0.00226)</f>
        <v>0.00226</v>
      </c>
      <c r="H2635" s="19" t="str">
        <f>IFERROR(__xludf.DUMMYFUNCTION("""COMPUTED_VALUE"""),"-")</f>
        <v>-</v>
      </c>
      <c r="I2635" s="19">
        <f>IFERROR(__xludf.DUMMYFUNCTION("""COMPUTED_VALUE"""),0.0021)</f>
        <v>0.0021</v>
      </c>
      <c r="J2635" s="19">
        <f>IFERROR(__xludf.DUMMYFUNCTION("""COMPUTED_VALUE"""),0.04738)</f>
        <v>0.04738</v>
      </c>
      <c r="K2635" s="19" t="str">
        <f>IFERROR(__xludf.DUMMYFUNCTION("""COMPUTED_VALUE"""),"-")</f>
        <v>-</v>
      </c>
      <c r="L2635" s="19" t="str">
        <f>IFERROR(__xludf.DUMMYFUNCTION("""COMPUTED_VALUE"""),"-")</f>
        <v>-</v>
      </c>
      <c r="O2635" s="24">
        <f t="shared" si="4"/>
        <v>0</v>
      </c>
      <c r="P2635" s="24"/>
      <c r="Q2635" s="24">
        <f t="shared" si="6"/>
        <v>0</v>
      </c>
      <c r="R2635" s="24">
        <f t="shared" si="7"/>
        <v>0</v>
      </c>
      <c r="S2635" s="24"/>
      <c r="T2635" s="24"/>
    </row>
    <row r="2636">
      <c r="A2636" s="12" t="s">
        <v>2724</v>
      </c>
      <c r="F2636" s="19">
        <f>IFERROR(__xludf.DUMMYFUNCTION("SPLIT(A2632, "" |"")"),2630.0)</f>
        <v>2630</v>
      </c>
      <c r="G2636" s="19">
        <f>IFERROR(__xludf.DUMMYFUNCTION("""COMPUTED_VALUE"""),0.00225)</f>
        <v>0.00225</v>
      </c>
      <c r="H2636" s="19" t="str">
        <f>IFERROR(__xludf.DUMMYFUNCTION("""COMPUTED_VALUE"""),"-")</f>
        <v>-</v>
      </c>
      <c r="I2636" s="19">
        <f>IFERROR(__xludf.DUMMYFUNCTION("""COMPUTED_VALUE"""),0.00215)</f>
        <v>0.00215</v>
      </c>
      <c r="J2636" s="19">
        <f>IFERROR(__xludf.DUMMYFUNCTION("""COMPUTED_VALUE"""),0.04694)</f>
        <v>0.04694</v>
      </c>
      <c r="K2636" s="19" t="str">
        <f>IFERROR(__xludf.DUMMYFUNCTION("""COMPUTED_VALUE"""),"-")</f>
        <v>-</v>
      </c>
      <c r="L2636" s="19" t="str">
        <f>IFERROR(__xludf.DUMMYFUNCTION("""COMPUTED_VALUE"""),"-")</f>
        <v>-</v>
      </c>
      <c r="O2636" s="24">
        <f t="shared" si="4"/>
        <v>0</v>
      </c>
      <c r="P2636" s="24"/>
      <c r="Q2636" s="24">
        <f t="shared" si="6"/>
        <v>0</v>
      </c>
      <c r="R2636" s="24">
        <f t="shared" si="7"/>
        <v>0</v>
      </c>
      <c r="S2636" s="24"/>
      <c r="T2636" s="24"/>
    </row>
    <row r="2637">
      <c r="A2637" s="12" t="s">
        <v>2725</v>
      </c>
      <c r="F2637" s="19">
        <f>IFERROR(__xludf.DUMMYFUNCTION("SPLIT(A2633, "" |"")"),2631.0)</f>
        <v>2631</v>
      </c>
      <c r="G2637" s="19">
        <f>IFERROR(__xludf.DUMMYFUNCTION("""COMPUTED_VALUE"""),0.00242)</f>
        <v>0.00242</v>
      </c>
      <c r="H2637" s="19" t="str">
        <f>IFERROR(__xludf.DUMMYFUNCTION("""COMPUTED_VALUE"""),"-")</f>
        <v>-</v>
      </c>
      <c r="I2637" s="19">
        <f>IFERROR(__xludf.DUMMYFUNCTION("""COMPUTED_VALUE"""),0.00217)</f>
        <v>0.00217</v>
      </c>
      <c r="J2637" s="19">
        <f>IFERROR(__xludf.DUMMYFUNCTION("""COMPUTED_VALUE"""),0.04721)</f>
        <v>0.04721</v>
      </c>
      <c r="K2637" s="19" t="str">
        <f>IFERROR(__xludf.DUMMYFUNCTION("""COMPUTED_VALUE"""),"-")</f>
        <v>-</v>
      </c>
      <c r="L2637" s="19" t="str">
        <f>IFERROR(__xludf.DUMMYFUNCTION("""COMPUTED_VALUE"""),"-")</f>
        <v>-</v>
      </c>
      <c r="O2637" s="24">
        <f t="shared" si="4"/>
        <v>0</v>
      </c>
      <c r="P2637" s="24"/>
      <c r="Q2637" s="24">
        <f t="shared" si="6"/>
        <v>0</v>
      </c>
      <c r="R2637" s="24">
        <f t="shared" si="7"/>
        <v>0</v>
      </c>
      <c r="S2637" s="24"/>
      <c r="T2637" s="24"/>
    </row>
    <row r="2638">
      <c r="A2638" s="12" t="s">
        <v>2726</v>
      </c>
      <c r="F2638" s="19">
        <f>IFERROR(__xludf.DUMMYFUNCTION("SPLIT(A2634, "" |"")"),2632.0)</f>
        <v>2632</v>
      </c>
      <c r="G2638" s="19">
        <f>IFERROR(__xludf.DUMMYFUNCTION("""COMPUTED_VALUE"""),0.00228)</f>
        <v>0.00228</v>
      </c>
      <c r="H2638" s="19" t="str">
        <f>IFERROR(__xludf.DUMMYFUNCTION("""COMPUTED_VALUE"""),"-")</f>
        <v>-</v>
      </c>
      <c r="I2638" s="19">
        <f>IFERROR(__xludf.DUMMYFUNCTION("""COMPUTED_VALUE"""),0.00208)</f>
        <v>0.00208</v>
      </c>
      <c r="J2638" s="19">
        <f>IFERROR(__xludf.DUMMYFUNCTION("""COMPUTED_VALUE"""),0.04484)</f>
        <v>0.04484</v>
      </c>
      <c r="K2638" s="19" t="str">
        <f>IFERROR(__xludf.DUMMYFUNCTION("""COMPUTED_VALUE"""),"-")</f>
        <v>-</v>
      </c>
      <c r="L2638" s="19" t="str">
        <f>IFERROR(__xludf.DUMMYFUNCTION("""COMPUTED_VALUE"""),"-")</f>
        <v>-</v>
      </c>
      <c r="O2638" s="24">
        <f t="shared" si="4"/>
        <v>0</v>
      </c>
      <c r="P2638" s="24"/>
      <c r="Q2638" s="24">
        <f t="shared" si="6"/>
        <v>0</v>
      </c>
      <c r="R2638" s="24">
        <f t="shared" si="7"/>
        <v>1</v>
      </c>
      <c r="S2638" s="24"/>
      <c r="T2638" s="24"/>
    </row>
    <row r="2639">
      <c r="A2639" s="12" t="s">
        <v>2727</v>
      </c>
      <c r="F2639" s="19">
        <f>IFERROR(__xludf.DUMMYFUNCTION("SPLIT(A2635, "" |"")"),2633.0)</f>
        <v>2633</v>
      </c>
      <c r="G2639" s="19">
        <f>IFERROR(__xludf.DUMMYFUNCTION("""COMPUTED_VALUE"""),0.00236)</f>
        <v>0.00236</v>
      </c>
      <c r="H2639" s="19" t="str">
        <f>IFERROR(__xludf.DUMMYFUNCTION("""COMPUTED_VALUE"""),"-")</f>
        <v>-</v>
      </c>
      <c r="I2639" s="19">
        <f>IFERROR(__xludf.DUMMYFUNCTION("""COMPUTED_VALUE"""),0.00209)</f>
        <v>0.00209</v>
      </c>
      <c r="J2639" s="19">
        <f>IFERROR(__xludf.DUMMYFUNCTION("""COMPUTED_VALUE"""),0.04737)</f>
        <v>0.04737</v>
      </c>
      <c r="K2639" s="19" t="str">
        <f>IFERROR(__xludf.DUMMYFUNCTION("""COMPUTED_VALUE"""),"-")</f>
        <v>-</v>
      </c>
      <c r="L2639" s="19" t="str">
        <f>IFERROR(__xludf.DUMMYFUNCTION("""COMPUTED_VALUE"""),"-")</f>
        <v>-</v>
      </c>
      <c r="O2639" s="24">
        <f t="shared" si="4"/>
        <v>0</v>
      </c>
      <c r="P2639" s="24"/>
      <c r="Q2639" s="24">
        <f t="shared" si="6"/>
        <v>0</v>
      </c>
      <c r="R2639" s="24">
        <f t="shared" si="7"/>
        <v>0</v>
      </c>
      <c r="S2639" s="24"/>
      <c r="T2639" s="24"/>
    </row>
    <row r="2640">
      <c r="A2640" s="12" t="s">
        <v>2728</v>
      </c>
      <c r="F2640" s="19">
        <f>IFERROR(__xludf.DUMMYFUNCTION("SPLIT(A2636, "" |"")"),2634.0)</f>
        <v>2634</v>
      </c>
      <c r="G2640" s="19">
        <f>IFERROR(__xludf.DUMMYFUNCTION("""COMPUTED_VALUE"""),0.00233)</f>
        <v>0.00233</v>
      </c>
      <c r="H2640" s="19" t="str">
        <f>IFERROR(__xludf.DUMMYFUNCTION("""COMPUTED_VALUE"""),"-")</f>
        <v>-</v>
      </c>
      <c r="I2640" s="19">
        <f>IFERROR(__xludf.DUMMYFUNCTION("""COMPUTED_VALUE"""),0.00224)</f>
        <v>0.00224</v>
      </c>
      <c r="J2640" s="19">
        <f>IFERROR(__xludf.DUMMYFUNCTION("""COMPUTED_VALUE"""),0.04743)</f>
        <v>0.04743</v>
      </c>
      <c r="K2640" s="19" t="str">
        <f>IFERROR(__xludf.DUMMYFUNCTION("""COMPUTED_VALUE"""),"-")</f>
        <v>-</v>
      </c>
      <c r="L2640" s="19" t="str">
        <f>IFERROR(__xludf.DUMMYFUNCTION("""COMPUTED_VALUE"""),"-")</f>
        <v>-</v>
      </c>
      <c r="O2640" s="24">
        <f t="shared" si="4"/>
        <v>0</v>
      </c>
      <c r="P2640" s="24"/>
      <c r="Q2640" s="24">
        <f t="shared" si="6"/>
        <v>0</v>
      </c>
      <c r="R2640" s="24">
        <f t="shared" si="7"/>
        <v>0</v>
      </c>
      <c r="S2640" s="24"/>
      <c r="T2640" s="24"/>
    </row>
    <row r="2641">
      <c r="A2641" s="12" t="s">
        <v>2729</v>
      </c>
      <c r="F2641" s="19">
        <f>IFERROR(__xludf.DUMMYFUNCTION("SPLIT(A2637, "" |"")"),2635.0)</f>
        <v>2635</v>
      </c>
      <c r="G2641" s="19">
        <f>IFERROR(__xludf.DUMMYFUNCTION("""COMPUTED_VALUE"""),0.00228)</f>
        <v>0.00228</v>
      </c>
      <c r="H2641" s="19" t="str">
        <f>IFERROR(__xludf.DUMMYFUNCTION("""COMPUTED_VALUE"""),"-")</f>
        <v>-</v>
      </c>
      <c r="I2641" s="19">
        <f>IFERROR(__xludf.DUMMYFUNCTION("""COMPUTED_VALUE"""),0.00226)</f>
        <v>0.00226</v>
      </c>
      <c r="J2641" s="19">
        <f>IFERROR(__xludf.DUMMYFUNCTION("""COMPUTED_VALUE"""),0.04741)</f>
        <v>0.04741</v>
      </c>
      <c r="K2641" s="19" t="str">
        <f>IFERROR(__xludf.DUMMYFUNCTION("""COMPUTED_VALUE"""),"-")</f>
        <v>-</v>
      </c>
      <c r="L2641" s="19" t="str">
        <f>IFERROR(__xludf.DUMMYFUNCTION("""COMPUTED_VALUE"""),"-")</f>
        <v>-</v>
      </c>
      <c r="O2641" s="24">
        <f t="shared" si="4"/>
        <v>0</v>
      </c>
      <c r="P2641" s="24"/>
      <c r="Q2641" s="24">
        <f t="shared" si="6"/>
        <v>0</v>
      </c>
      <c r="R2641" s="24">
        <f t="shared" si="7"/>
        <v>0</v>
      </c>
      <c r="S2641" s="24"/>
      <c r="T2641" s="24"/>
    </row>
    <row r="2642">
      <c r="A2642" s="12" t="s">
        <v>2730</v>
      </c>
      <c r="F2642" s="19">
        <f>IFERROR(__xludf.DUMMYFUNCTION("SPLIT(A2638, "" |"")"),2636.0)</f>
        <v>2636</v>
      </c>
      <c r="G2642" s="19">
        <f>IFERROR(__xludf.DUMMYFUNCTION("""COMPUTED_VALUE"""),0.00233)</f>
        <v>0.00233</v>
      </c>
      <c r="H2642" s="19" t="str">
        <f>IFERROR(__xludf.DUMMYFUNCTION("""COMPUTED_VALUE"""),"-")</f>
        <v>-</v>
      </c>
      <c r="I2642" s="19">
        <f>IFERROR(__xludf.DUMMYFUNCTION("""COMPUTED_VALUE"""),0.00216)</f>
        <v>0.00216</v>
      </c>
      <c r="J2642" s="19">
        <f>IFERROR(__xludf.DUMMYFUNCTION("""COMPUTED_VALUE"""),0.04087)</f>
        <v>0.04087</v>
      </c>
      <c r="K2642" s="19" t="str">
        <f>IFERROR(__xludf.DUMMYFUNCTION("""COMPUTED_VALUE"""),"-")</f>
        <v>-</v>
      </c>
      <c r="L2642" s="19" t="str">
        <f>IFERROR(__xludf.DUMMYFUNCTION("""COMPUTED_VALUE"""),"-")</f>
        <v>-</v>
      </c>
      <c r="O2642" s="24">
        <f t="shared" si="4"/>
        <v>0</v>
      </c>
      <c r="P2642" s="24"/>
      <c r="Q2642" s="24">
        <f t="shared" si="6"/>
        <v>0</v>
      </c>
      <c r="R2642" s="24">
        <f t="shared" si="7"/>
        <v>1</v>
      </c>
      <c r="S2642" s="24"/>
      <c r="T2642" s="24"/>
    </row>
    <row r="2643">
      <c r="A2643" s="12" t="s">
        <v>2731</v>
      </c>
      <c r="F2643" s="19">
        <f>IFERROR(__xludf.DUMMYFUNCTION("SPLIT(A2639, "" |"")"),2637.0)</f>
        <v>2637</v>
      </c>
      <c r="G2643" s="19">
        <f>IFERROR(__xludf.DUMMYFUNCTION("""COMPUTED_VALUE"""),0.00225)</f>
        <v>0.00225</v>
      </c>
      <c r="H2643" s="19" t="str">
        <f>IFERROR(__xludf.DUMMYFUNCTION("""COMPUTED_VALUE"""),"-")</f>
        <v>-</v>
      </c>
      <c r="I2643" s="19">
        <f>IFERROR(__xludf.DUMMYFUNCTION("""COMPUTED_VALUE"""),0.00207)</f>
        <v>0.00207</v>
      </c>
      <c r="J2643" s="19">
        <f>IFERROR(__xludf.DUMMYFUNCTION("""COMPUTED_VALUE"""),0.04731)</f>
        <v>0.04731</v>
      </c>
      <c r="K2643" s="19" t="str">
        <f>IFERROR(__xludf.DUMMYFUNCTION("""COMPUTED_VALUE"""),"-")</f>
        <v>-</v>
      </c>
      <c r="L2643" s="19" t="str">
        <f>IFERROR(__xludf.DUMMYFUNCTION("""COMPUTED_VALUE"""),"-")</f>
        <v>-</v>
      </c>
      <c r="O2643" s="24">
        <f t="shared" si="4"/>
        <v>0</v>
      </c>
      <c r="P2643" s="24"/>
      <c r="Q2643" s="24">
        <f t="shared" si="6"/>
        <v>0</v>
      </c>
      <c r="R2643" s="24">
        <f t="shared" si="7"/>
        <v>0</v>
      </c>
      <c r="S2643" s="24"/>
      <c r="T2643" s="24"/>
    </row>
    <row r="2644">
      <c r="A2644" s="12" t="s">
        <v>2732</v>
      </c>
      <c r="F2644" s="19">
        <f>IFERROR(__xludf.DUMMYFUNCTION("SPLIT(A2640, "" |"")"),2638.0)</f>
        <v>2638</v>
      </c>
      <c r="G2644" s="19">
        <f>IFERROR(__xludf.DUMMYFUNCTION("""COMPUTED_VALUE"""),0.0023)</f>
        <v>0.0023</v>
      </c>
      <c r="H2644" s="19" t="str">
        <f>IFERROR(__xludf.DUMMYFUNCTION("""COMPUTED_VALUE"""),"-")</f>
        <v>-</v>
      </c>
      <c r="I2644" s="19">
        <f>IFERROR(__xludf.DUMMYFUNCTION("""COMPUTED_VALUE"""),0.00212)</f>
        <v>0.00212</v>
      </c>
      <c r="J2644" s="19">
        <f>IFERROR(__xludf.DUMMYFUNCTION("""COMPUTED_VALUE"""),0.04739)</f>
        <v>0.04739</v>
      </c>
      <c r="K2644" s="19" t="str">
        <f>IFERROR(__xludf.DUMMYFUNCTION("""COMPUTED_VALUE"""),"-")</f>
        <v>-</v>
      </c>
      <c r="L2644" s="19" t="str">
        <f>IFERROR(__xludf.DUMMYFUNCTION("""COMPUTED_VALUE"""),"-")</f>
        <v>-</v>
      </c>
      <c r="O2644" s="24">
        <f t="shared" si="4"/>
        <v>0</v>
      </c>
      <c r="P2644" s="24"/>
      <c r="Q2644" s="24">
        <f t="shared" si="6"/>
        <v>0</v>
      </c>
      <c r="R2644" s="24">
        <f t="shared" si="7"/>
        <v>0</v>
      </c>
      <c r="S2644" s="24"/>
      <c r="T2644" s="24"/>
    </row>
    <row r="2645">
      <c r="A2645" s="12" t="s">
        <v>2733</v>
      </c>
      <c r="F2645" s="19">
        <f>IFERROR(__xludf.DUMMYFUNCTION("SPLIT(A2641, "" |"")"),2639.0)</f>
        <v>2639</v>
      </c>
      <c r="G2645" s="19">
        <f>IFERROR(__xludf.DUMMYFUNCTION("""COMPUTED_VALUE"""),0.00237)</f>
        <v>0.00237</v>
      </c>
      <c r="H2645" s="19" t="str">
        <f>IFERROR(__xludf.DUMMYFUNCTION("""COMPUTED_VALUE"""),"-")</f>
        <v>-</v>
      </c>
      <c r="I2645" s="19">
        <f>IFERROR(__xludf.DUMMYFUNCTION("""COMPUTED_VALUE"""),0.00218)</f>
        <v>0.00218</v>
      </c>
      <c r="J2645" s="19">
        <f>IFERROR(__xludf.DUMMYFUNCTION("""COMPUTED_VALUE"""),0.04745)</f>
        <v>0.04745</v>
      </c>
      <c r="K2645" s="19" t="str">
        <f>IFERROR(__xludf.DUMMYFUNCTION("""COMPUTED_VALUE"""),"-")</f>
        <v>-</v>
      </c>
      <c r="L2645" s="19" t="str">
        <f>IFERROR(__xludf.DUMMYFUNCTION("""COMPUTED_VALUE"""),"-")</f>
        <v>-</v>
      </c>
      <c r="O2645" s="24">
        <f t="shared" si="4"/>
        <v>0</v>
      </c>
      <c r="P2645" s="24"/>
      <c r="Q2645" s="24">
        <f t="shared" si="6"/>
        <v>0</v>
      </c>
      <c r="R2645" s="24">
        <f t="shared" si="7"/>
        <v>0</v>
      </c>
      <c r="S2645" s="24"/>
      <c r="T2645" s="24"/>
    </row>
    <row r="2646">
      <c r="A2646" s="12" t="s">
        <v>2734</v>
      </c>
      <c r="F2646" s="19">
        <f>IFERROR(__xludf.DUMMYFUNCTION("SPLIT(A2642, "" |"")"),2640.0)</f>
        <v>2640</v>
      </c>
      <c r="G2646" s="19">
        <f>IFERROR(__xludf.DUMMYFUNCTION("""COMPUTED_VALUE"""),0.00222)</f>
        <v>0.00222</v>
      </c>
      <c r="H2646" s="19" t="str">
        <f>IFERROR(__xludf.DUMMYFUNCTION("""COMPUTED_VALUE"""),"-")</f>
        <v>-</v>
      </c>
      <c r="I2646" s="19">
        <f>IFERROR(__xludf.DUMMYFUNCTION("""COMPUTED_VALUE"""),0.00209)</f>
        <v>0.00209</v>
      </c>
      <c r="J2646" s="19">
        <f>IFERROR(__xludf.DUMMYFUNCTION("""COMPUTED_VALUE"""),0.04725)</f>
        <v>0.04725</v>
      </c>
      <c r="K2646" s="19" t="str">
        <f>IFERROR(__xludf.DUMMYFUNCTION("""COMPUTED_VALUE"""),"-")</f>
        <v>-</v>
      </c>
      <c r="L2646" s="19" t="str">
        <f>IFERROR(__xludf.DUMMYFUNCTION("""COMPUTED_VALUE"""),"-")</f>
        <v>-</v>
      </c>
      <c r="O2646" s="24">
        <f t="shared" si="4"/>
        <v>0</v>
      </c>
      <c r="P2646" s="24"/>
      <c r="Q2646" s="24">
        <f t="shared" si="6"/>
        <v>0</v>
      </c>
      <c r="R2646" s="24">
        <f t="shared" si="7"/>
        <v>0</v>
      </c>
      <c r="S2646" s="24"/>
      <c r="T2646" s="24"/>
    </row>
    <row r="2647">
      <c r="A2647" s="12" t="s">
        <v>2735</v>
      </c>
      <c r="F2647" s="19">
        <f>IFERROR(__xludf.DUMMYFUNCTION("SPLIT(A2643, "" |"")"),2641.0)</f>
        <v>2641</v>
      </c>
      <c r="G2647" s="19">
        <f>IFERROR(__xludf.DUMMYFUNCTION("""COMPUTED_VALUE"""),0.00228)</f>
        <v>0.00228</v>
      </c>
      <c r="H2647" s="19" t="str">
        <f>IFERROR(__xludf.DUMMYFUNCTION("""COMPUTED_VALUE"""),"-")</f>
        <v>-</v>
      </c>
      <c r="I2647" s="19">
        <f>IFERROR(__xludf.DUMMYFUNCTION("""COMPUTED_VALUE"""),0.00211)</f>
        <v>0.00211</v>
      </c>
      <c r="J2647" s="19">
        <f>IFERROR(__xludf.DUMMYFUNCTION("""COMPUTED_VALUE"""),0.04725)</f>
        <v>0.04725</v>
      </c>
      <c r="K2647" s="19" t="str">
        <f>IFERROR(__xludf.DUMMYFUNCTION("""COMPUTED_VALUE"""),"-")</f>
        <v>-</v>
      </c>
      <c r="L2647" s="19" t="str">
        <f>IFERROR(__xludf.DUMMYFUNCTION("""COMPUTED_VALUE"""),"-")</f>
        <v>-</v>
      </c>
      <c r="O2647" s="24">
        <f t="shared" si="4"/>
        <v>0</v>
      </c>
      <c r="P2647" s="24"/>
      <c r="Q2647" s="24">
        <f t="shared" si="6"/>
        <v>0</v>
      </c>
      <c r="R2647" s="24">
        <f t="shared" si="7"/>
        <v>0</v>
      </c>
      <c r="S2647" s="24"/>
      <c r="T2647" s="24"/>
    </row>
    <row r="2648">
      <c r="A2648" s="12" t="s">
        <v>2736</v>
      </c>
      <c r="F2648" s="19">
        <f>IFERROR(__xludf.DUMMYFUNCTION("SPLIT(A2644, "" |"")"),2642.0)</f>
        <v>2642</v>
      </c>
      <c r="G2648" s="19">
        <f>IFERROR(__xludf.DUMMYFUNCTION("""COMPUTED_VALUE"""),0.00224)</f>
        <v>0.00224</v>
      </c>
      <c r="H2648" s="19" t="str">
        <f>IFERROR(__xludf.DUMMYFUNCTION("""COMPUTED_VALUE"""),"-")</f>
        <v>-</v>
      </c>
      <c r="I2648" s="19">
        <f>IFERROR(__xludf.DUMMYFUNCTION("""COMPUTED_VALUE"""),0.00223)</f>
        <v>0.00223</v>
      </c>
      <c r="J2648" s="19">
        <f>IFERROR(__xludf.DUMMYFUNCTION("""COMPUTED_VALUE"""),0.04733)</f>
        <v>0.04733</v>
      </c>
      <c r="K2648" s="19" t="str">
        <f>IFERROR(__xludf.DUMMYFUNCTION("""COMPUTED_VALUE"""),"-")</f>
        <v>-</v>
      </c>
      <c r="L2648" s="19" t="str">
        <f>IFERROR(__xludf.DUMMYFUNCTION("""COMPUTED_VALUE"""),"-")</f>
        <v>-</v>
      </c>
      <c r="O2648" s="24">
        <f t="shared" si="4"/>
        <v>0</v>
      </c>
      <c r="P2648" s="24"/>
      <c r="Q2648" s="24">
        <f t="shared" si="6"/>
        <v>0</v>
      </c>
      <c r="R2648" s="24">
        <f t="shared" si="7"/>
        <v>0</v>
      </c>
      <c r="S2648" s="24"/>
      <c r="T2648" s="24"/>
    </row>
    <row r="2649">
      <c r="A2649" s="12" t="s">
        <v>2737</v>
      </c>
      <c r="F2649" s="19">
        <f>IFERROR(__xludf.DUMMYFUNCTION("SPLIT(A2645, "" |"")"),2643.0)</f>
        <v>2643</v>
      </c>
      <c r="G2649" s="19">
        <f>IFERROR(__xludf.DUMMYFUNCTION("""COMPUTED_VALUE"""),0.00238)</f>
        <v>0.00238</v>
      </c>
      <c r="H2649" s="19" t="str">
        <f>IFERROR(__xludf.DUMMYFUNCTION("""COMPUTED_VALUE"""),"-")</f>
        <v>-</v>
      </c>
      <c r="I2649" s="19">
        <f>IFERROR(__xludf.DUMMYFUNCTION("""COMPUTED_VALUE"""),0.00217)</f>
        <v>0.00217</v>
      </c>
      <c r="J2649" s="19">
        <f>IFERROR(__xludf.DUMMYFUNCTION("""COMPUTED_VALUE"""),0.04659)</f>
        <v>0.04659</v>
      </c>
      <c r="K2649" s="19" t="str">
        <f>IFERROR(__xludf.DUMMYFUNCTION("""COMPUTED_VALUE"""),"-")</f>
        <v>-</v>
      </c>
      <c r="L2649" s="19" t="str">
        <f>IFERROR(__xludf.DUMMYFUNCTION("""COMPUTED_VALUE"""),"-")</f>
        <v>-</v>
      </c>
      <c r="O2649" s="24">
        <f t="shared" si="4"/>
        <v>0</v>
      </c>
      <c r="P2649" s="24"/>
      <c r="Q2649" s="24">
        <f t="shared" si="6"/>
        <v>0</v>
      </c>
      <c r="R2649" s="24">
        <f t="shared" si="7"/>
        <v>0</v>
      </c>
      <c r="S2649" s="24"/>
      <c r="T2649" s="24"/>
    </row>
    <row r="2650">
      <c r="A2650" s="12" t="s">
        <v>2738</v>
      </c>
      <c r="F2650" s="19">
        <f>IFERROR(__xludf.DUMMYFUNCTION("SPLIT(A2646, "" |"")"),2644.0)</f>
        <v>2644</v>
      </c>
      <c r="G2650" s="19">
        <f>IFERROR(__xludf.DUMMYFUNCTION("""COMPUTED_VALUE"""),0.0023)</f>
        <v>0.0023</v>
      </c>
      <c r="H2650" s="19" t="str">
        <f>IFERROR(__xludf.DUMMYFUNCTION("""COMPUTED_VALUE"""),"-")</f>
        <v>-</v>
      </c>
      <c r="I2650" s="19">
        <f>IFERROR(__xludf.DUMMYFUNCTION("""COMPUTED_VALUE"""),0.00217)</f>
        <v>0.00217</v>
      </c>
      <c r="J2650" s="19">
        <f>IFERROR(__xludf.DUMMYFUNCTION("""COMPUTED_VALUE"""),0.04737)</f>
        <v>0.04737</v>
      </c>
      <c r="K2650" s="19" t="str">
        <f>IFERROR(__xludf.DUMMYFUNCTION("""COMPUTED_VALUE"""),"-")</f>
        <v>-</v>
      </c>
      <c r="L2650" s="19" t="str">
        <f>IFERROR(__xludf.DUMMYFUNCTION("""COMPUTED_VALUE"""),"-")</f>
        <v>-</v>
      </c>
      <c r="O2650" s="24">
        <f t="shared" si="4"/>
        <v>0</v>
      </c>
      <c r="P2650" s="24"/>
      <c r="Q2650" s="24">
        <f t="shared" si="6"/>
        <v>0</v>
      </c>
      <c r="R2650" s="24">
        <f t="shared" si="7"/>
        <v>0</v>
      </c>
      <c r="S2650" s="24"/>
      <c r="T2650" s="24"/>
    </row>
    <row r="2651">
      <c r="A2651" s="12" t="s">
        <v>2739</v>
      </c>
      <c r="F2651" s="19">
        <f>IFERROR(__xludf.DUMMYFUNCTION("SPLIT(A2647, "" |"")"),2645.0)</f>
        <v>2645</v>
      </c>
      <c r="G2651" s="19">
        <f>IFERROR(__xludf.DUMMYFUNCTION("""COMPUTED_VALUE"""),0.00235)</f>
        <v>0.00235</v>
      </c>
      <c r="H2651" s="19" t="str">
        <f>IFERROR(__xludf.DUMMYFUNCTION("""COMPUTED_VALUE"""),"-")</f>
        <v>-</v>
      </c>
      <c r="I2651" s="19">
        <f>IFERROR(__xludf.DUMMYFUNCTION("""COMPUTED_VALUE"""),0.00223)</f>
        <v>0.00223</v>
      </c>
      <c r="J2651" s="19">
        <f>IFERROR(__xludf.DUMMYFUNCTION("""COMPUTED_VALUE"""),0.04741)</f>
        <v>0.04741</v>
      </c>
      <c r="K2651" s="19" t="str">
        <f>IFERROR(__xludf.DUMMYFUNCTION("""COMPUTED_VALUE"""),"-")</f>
        <v>-</v>
      </c>
      <c r="L2651" s="19" t="str">
        <f>IFERROR(__xludf.DUMMYFUNCTION("""COMPUTED_VALUE"""),"-")</f>
        <v>-</v>
      </c>
      <c r="O2651" s="24">
        <f t="shared" si="4"/>
        <v>0</v>
      </c>
      <c r="P2651" s="24"/>
      <c r="Q2651" s="24">
        <f t="shared" si="6"/>
        <v>0</v>
      </c>
      <c r="R2651" s="24">
        <f t="shared" si="7"/>
        <v>0</v>
      </c>
      <c r="S2651" s="24"/>
      <c r="T2651" s="24"/>
    </row>
    <row r="2652">
      <c r="A2652" s="12" t="s">
        <v>2740</v>
      </c>
      <c r="F2652" s="19">
        <f>IFERROR(__xludf.DUMMYFUNCTION("SPLIT(A2648, "" |"")"),2646.0)</f>
        <v>2646</v>
      </c>
      <c r="G2652" s="19">
        <f>IFERROR(__xludf.DUMMYFUNCTION("""COMPUTED_VALUE"""),0.00236)</f>
        <v>0.00236</v>
      </c>
      <c r="H2652" s="19" t="str">
        <f>IFERROR(__xludf.DUMMYFUNCTION("""COMPUTED_VALUE"""),"-")</f>
        <v>-</v>
      </c>
      <c r="I2652" s="19">
        <f>IFERROR(__xludf.DUMMYFUNCTION("""COMPUTED_VALUE"""),0.0022)</f>
        <v>0.0022</v>
      </c>
      <c r="J2652" s="19">
        <f>IFERROR(__xludf.DUMMYFUNCTION("""COMPUTED_VALUE"""),0.04737)</f>
        <v>0.04737</v>
      </c>
      <c r="K2652" s="19" t="str">
        <f>IFERROR(__xludf.DUMMYFUNCTION("""COMPUTED_VALUE"""),"-")</f>
        <v>-</v>
      </c>
      <c r="L2652" s="19" t="str">
        <f>IFERROR(__xludf.DUMMYFUNCTION("""COMPUTED_VALUE"""),"-")</f>
        <v>-</v>
      </c>
      <c r="O2652" s="24">
        <f t="shared" si="4"/>
        <v>0</v>
      </c>
      <c r="P2652" s="24"/>
      <c r="Q2652" s="24">
        <f t="shared" si="6"/>
        <v>0</v>
      </c>
      <c r="R2652" s="24">
        <f t="shared" si="7"/>
        <v>0</v>
      </c>
      <c r="S2652" s="24"/>
      <c r="T2652" s="24"/>
    </row>
    <row r="2653">
      <c r="A2653" s="12" t="s">
        <v>2741</v>
      </c>
      <c r="F2653" s="19">
        <f>IFERROR(__xludf.DUMMYFUNCTION("SPLIT(A2649, "" |"")"),2647.0)</f>
        <v>2647</v>
      </c>
      <c r="G2653" s="19">
        <f>IFERROR(__xludf.DUMMYFUNCTION("""COMPUTED_VALUE"""),0.00226)</f>
        <v>0.00226</v>
      </c>
      <c r="H2653" s="19" t="str">
        <f>IFERROR(__xludf.DUMMYFUNCTION("""COMPUTED_VALUE"""),"-")</f>
        <v>-</v>
      </c>
      <c r="I2653" s="19">
        <f>IFERROR(__xludf.DUMMYFUNCTION("""COMPUTED_VALUE"""),0.00215)</f>
        <v>0.00215</v>
      </c>
      <c r="J2653" s="19">
        <f>IFERROR(__xludf.DUMMYFUNCTION("""COMPUTED_VALUE"""),0.04744)</f>
        <v>0.04744</v>
      </c>
      <c r="K2653" s="19" t="str">
        <f>IFERROR(__xludf.DUMMYFUNCTION("""COMPUTED_VALUE"""),"-")</f>
        <v>-</v>
      </c>
      <c r="L2653" s="19" t="str">
        <f>IFERROR(__xludf.DUMMYFUNCTION("""COMPUTED_VALUE"""),"-")</f>
        <v>-</v>
      </c>
      <c r="O2653" s="24">
        <f t="shared" si="4"/>
        <v>0</v>
      </c>
      <c r="P2653" s="24"/>
      <c r="Q2653" s="24">
        <f t="shared" si="6"/>
        <v>0</v>
      </c>
      <c r="R2653" s="24">
        <f t="shared" si="7"/>
        <v>0</v>
      </c>
      <c r="S2653" s="24"/>
      <c r="T2653" s="24"/>
    </row>
    <row r="2654">
      <c r="A2654" s="12" t="s">
        <v>2742</v>
      </c>
      <c r="F2654" s="19">
        <f>IFERROR(__xludf.DUMMYFUNCTION("SPLIT(A2650, "" |"")"),2648.0)</f>
        <v>2648</v>
      </c>
      <c r="G2654" s="19">
        <f>IFERROR(__xludf.DUMMYFUNCTION("""COMPUTED_VALUE"""),0.0023)</f>
        <v>0.0023</v>
      </c>
      <c r="H2654" s="19" t="str">
        <f>IFERROR(__xludf.DUMMYFUNCTION("""COMPUTED_VALUE"""),"-")</f>
        <v>-</v>
      </c>
      <c r="I2654" s="19">
        <f>IFERROR(__xludf.DUMMYFUNCTION("""COMPUTED_VALUE"""),0.00218)</f>
        <v>0.00218</v>
      </c>
      <c r="J2654" s="19">
        <f>IFERROR(__xludf.DUMMYFUNCTION("""COMPUTED_VALUE"""),0.04743)</f>
        <v>0.04743</v>
      </c>
      <c r="K2654" s="19" t="str">
        <f>IFERROR(__xludf.DUMMYFUNCTION("""COMPUTED_VALUE"""),"-")</f>
        <v>-</v>
      </c>
      <c r="L2654" s="19" t="str">
        <f>IFERROR(__xludf.DUMMYFUNCTION("""COMPUTED_VALUE"""),"-")</f>
        <v>-</v>
      </c>
      <c r="O2654" s="24">
        <f t="shared" si="4"/>
        <v>0</v>
      </c>
      <c r="P2654" s="24"/>
      <c r="Q2654" s="24">
        <f t="shared" si="6"/>
        <v>0</v>
      </c>
      <c r="R2654" s="24">
        <f t="shared" si="7"/>
        <v>0</v>
      </c>
      <c r="S2654" s="24"/>
      <c r="T2654" s="24"/>
    </row>
    <row r="2655">
      <c r="A2655" s="12" t="s">
        <v>2743</v>
      </c>
      <c r="F2655" s="19">
        <f>IFERROR(__xludf.DUMMYFUNCTION("SPLIT(A2651, "" |"")"),2649.0)</f>
        <v>2649</v>
      </c>
      <c r="G2655" s="19">
        <f>IFERROR(__xludf.DUMMYFUNCTION("""COMPUTED_VALUE"""),0.00233)</f>
        <v>0.00233</v>
      </c>
      <c r="H2655" s="19" t="str">
        <f>IFERROR(__xludf.DUMMYFUNCTION("""COMPUTED_VALUE"""),"-")</f>
        <v>-</v>
      </c>
      <c r="I2655" s="19">
        <f>IFERROR(__xludf.DUMMYFUNCTION("""COMPUTED_VALUE"""),0.00219)</f>
        <v>0.00219</v>
      </c>
      <c r="J2655" s="19">
        <f>IFERROR(__xludf.DUMMYFUNCTION("""COMPUTED_VALUE"""),0.04728)</f>
        <v>0.04728</v>
      </c>
      <c r="K2655" s="19" t="str">
        <f>IFERROR(__xludf.DUMMYFUNCTION("""COMPUTED_VALUE"""),"-")</f>
        <v>-</v>
      </c>
      <c r="L2655" s="19" t="str">
        <f>IFERROR(__xludf.DUMMYFUNCTION("""COMPUTED_VALUE"""),"-")</f>
        <v>-</v>
      </c>
      <c r="O2655" s="24">
        <f t="shared" si="4"/>
        <v>0</v>
      </c>
      <c r="P2655" s="24"/>
      <c r="Q2655" s="24">
        <f t="shared" si="6"/>
        <v>0</v>
      </c>
      <c r="R2655" s="24">
        <f t="shared" si="7"/>
        <v>0</v>
      </c>
      <c r="S2655" s="24"/>
      <c r="T2655" s="24"/>
    </row>
    <row r="2656">
      <c r="A2656" s="12" t="s">
        <v>2744</v>
      </c>
      <c r="F2656" s="19">
        <f>IFERROR(__xludf.DUMMYFUNCTION("SPLIT(A2652, "" |"")"),2650.0)</f>
        <v>2650</v>
      </c>
      <c r="G2656" s="19">
        <f>IFERROR(__xludf.DUMMYFUNCTION("""COMPUTED_VALUE"""),0.00233)</f>
        <v>0.00233</v>
      </c>
      <c r="H2656" s="19" t="str">
        <f>IFERROR(__xludf.DUMMYFUNCTION("""COMPUTED_VALUE"""),"-")</f>
        <v>-</v>
      </c>
      <c r="I2656" s="19">
        <f>IFERROR(__xludf.DUMMYFUNCTION("""COMPUTED_VALUE"""),0.00221)</f>
        <v>0.00221</v>
      </c>
      <c r="J2656" s="19">
        <f>IFERROR(__xludf.DUMMYFUNCTION("""COMPUTED_VALUE"""),0.04569)</f>
        <v>0.04569</v>
      </c>
      <c r="K2656" s="19" t="str">
        <f>IFERROR(__xludf.DUMMYFUNCTION("""COMPUTED_VALUE"""),"-")</f>
        <v>-</v>
      </c>
      <c r="L2656" s="19" t="str">
        <f>IFERROR(__xludf.DUMMYFUNCTION("""COMPUTED_VALUE"""),"-")</f>
        <v>-</v>
      </c>
      <c r="O2656" s="24">
        <f t="shared" si="4"/>
        <v>0</v>
      </c>
      <c r="P2656" s="24"/>
      <c r="Q2656" s="24">
        <f t="shared" si="6"/>
        <v>0</v>
      </c>
      <c r="R2656" s="24">
        <f t="shared" si="7"/>
        <v>0</v>
      </c>
      <c r="S2656" s="24"/>
      <c r="T2656" s="24"/>
    </row>
    <row r="2657">
      <c r="A2657" s="12" t="s">
        <v>2745</v>
      </c>
      <c r="F2657" s="19">
        <f>IFERROR(__xludf.DUMMYFUNCTION("SPLIT(A2653, "" |"")"),2651.0)</f>
        <v>2651</v>
      </c>
      <c r="G2657" s="19">
        <f>IFERROR(__xludf.DUMMYFUNCTION("""COMPUTED_VALUE"""),0.00242)</f>
        <v>0.00242</v>
      </c>
      <c r="H2657" s="19" t="str">
        <f>IFERROR(__xludf.DUMMYFUNCTION("""COMPUTED_VALUE"""),"-")</f>
        <v>-</v>
      </c>
      <c r="I2657" s="19">
        <f>IFERROR(__xludf.DUMMYFUNCTION("""COMPUTED_VALUE"""),0.00224)</f>
        <v>0.00224</v>
      </c>
      <c r="J2657" s="19">
        <f>IFERROR(__xludf.DUMMYFUNCTION("""COMPUTED_VALUE"""),0.04744)</f>
        <v>0.04744</v>
      </c>
      <c r="K2657" s="19" t="str">
        <f>IFERROR(__xludf.DUMMYFUNCTION("""COMPUTED_VALUE"""),"-")</f>
        <v>-</v>
      </c>
      <c r="L2657" s="19" t="str">
        <f>IFERROR(__xludf.DUMMYFUNCTION("""COMPUTED_VALUE"""),"-")</f>
        <v>-</v>
      </c>
      <c r="O2657" s="24">
        <f t="shared" si="4"/>
        <v>0</v>
      </c>
      <c r="P2657" s="24"/>
      <c r="Q2657" s="24">
        <f t="shared" si="6"/>
        <v>0</v>
      </c>
      <c r="R2657" s="24">
        <f t="shared" si="7"/>
        <v>0</v>
      </c>
      <c r="S2657" s="24"/>
      <c r="T2657" s="24"/>
    </row>
    <row r="2658">
      <c r="A2658" s="12" t="s">
        <v>2746</v>
      </c>
      <c r="F2658" s="19">
        <f>IFERROR(__xludf.DUMMYFUNCTION("SPLIT(A2654, "" |"")"),2652.0)</f>
        <v>2652</v>
      </c>
      <c r="G2658" s="19">
        <f>IFERROR(__xludf.DUMMYFUNCTION("""COMPUTED_VALUE"""),0.00231)</f>
        <v>0.00231</v>
      </c>
      <c r="H2658" s="19" t="str">
        <f>IFERROR(__xludf.DUMMYFUNCTION("""COMPUTED_VALUE"""),"-")</f>
        <v>-</v>
      </c>
      <c r="I2658" s="19">
        <f>IFERROR(__xludf.DUMMYFUNCTION("""COMPUTED_VALUE"""),0.00217)</f>
        <v>0.00217</v>
      </c>
      <c r="J2658" s="19">
        <f>IFERROR(__xludf.DUMMYFUNCTION("""COMPUTED_VALUE"""),0.04741)</f>
        <v>0.04741</v>
      </c>
      <c r="K2658" s="19" t="str">
        <f>IFERROR(__xludf.DUMMYFUNCTION("""COMPUTED_VALUE"""),"-")</f>
        <v>-</v>
      </c>
      <c r="L2658" s="19" t="str">
        <f>IFERROR(__xludf.DUMMYFUNCTION("""COMPUTED_VALUE"""),"-")</f>
        <v>-</v>
      </c>
      <c r="O2658" s="24">
        <f t="shared" si="4"/>
        <v>0</v>
      </c>
      <c r="P2658" s="24"/>
      <c r="Q2658" s="24">
        <f t="shared" si="6"/>
        <v>0</v>
      </c>
      <c r="R2658" s="24">
        <f t="shared" si="7"/>
        <v>0</v>
      </c>
      <c r="S2658" s="24"/>
      <c r="T2658" s="24"/>
    </row>
    <row r="2659">
      <c r="A2659" s="12" t="s">
        <v>2747</v>
      </c>
      <c r="F2659" s="19">
        <f>IFERROR(__xludf.DUMMYFUNCTION("SPLIT(A2655, "" |"")"),2653.0)</f>
        <v>2653</v>
      </c>
      <c r="G2659" s="19">
        <f>IFERROR(__xludf.DUMMYFUNCTION("""COMPUTED_VALUE"""),0.00233)</f>
        <v>0.00233</v>
      </c>
      <c r="H2659" s="19" t="str">
        <f>IFERROR(__xludf.DUMMYFUNCTION("""COMPUTED_VALUE"""),"-")</f>
        <v>-</v>
      </c>
      <c r="I2659" s="19">
        <f>IFERROR(__xludf.DUMMYFUNCTION("""COMPUTED_VALUE"""),0.00218)</f>
        <v>0.00218</v>
      </c>
      <c r="J2659" s="19">
        <f>IFERROR(__xludf.DUMMYFUNCTION("""COMPUTED_VALUE"""),0.04734)</f>
        <v>0.04734</v>
      </c>
      <c r="K2659" s="19" t="str">
        <f>IFERROR(__xludf.DUMMYFUNCTION("""COMPUTED_VALUE"""),"-")</f>
        <v>-</v>
      </c>
      <c r="L2659" s="19" t="str">
        <f>IFERROR(__xludf.DUMMYFUNCTION("""COMPUTED_VALUE"""),"-")</f>
        <v>-</v>
      </c>
      <c r="O2659" s="24">
        <f t="shared" si="4"/>
        <v>0</v>
      </c>
      <c r="P2659" s="24"/>
      <c r="Q2659" s="24">
        <f t="shared" si="6"/>
        <v>0</v>
      </c>
      <c r="R2659" s="24">
        <f t="shared" si="7"/>
        <v>0</v>
      </c>
      <c r="S2659" s="24"/>
      <c r="T2659" s="24"/>
    </row>
    <row r="2660">
      <c r="A2660" s="12" t="s">
        <v>2748</v>
      </c>
      <c r="F2660" s="19">
        <f>IFERROR(__xludf.DUMMYFUNCTION("SPLIT(A2656, "" |"")"),2654.0)</f>
        <v>2654</v>
      </c>
      <c r="G2660" s="19">
        <f>IFERROR(__xludf.DUMMYFUNCTION("""COMPUTED_VALUE"""),0.00238)</f>
        <v>0.00238</v>
      </c>
      <c r="H2660" s="19" t="str">
        <f>IFERROR(__xludf.DUMMYFUNCTION("""COMPUTED_VALUE"""),"-")</f>
        <v>-</v>
      </c>
      <c r="I2660" s="19">
        <f>IFERROR(__xludf.DUMMYFUNCTION("""COMPUTED_VALUE"""),0.0022)</f>
        <v>0.0022</v>
      </c>
      <c r="J2660" s="19">
        <f>IFERROR(__xludf.DUMMYFUNCTION("""COMPUTED_VALUE"""),0.04738)</f>
        <v>0.04738</v>
      </c>
      <c r="K2660" s="19" t="str">
        <f>IFERROR(__xludf.DUMMYFUNCTION("""COMPUTED_VALUE"""),"-")</f>
        <v>-</v>
      </c>
      <c r="L2660" s="19" t="str">
        <f>IFERROR(__xludf.DUMMYFUNCTION("""COMPUTED_VALUE"""),"-")</f>
        <v>-</v>
      </c>
      <c r="O2660" s="24">
        <f t="shared" si="4"/>
        <v>0</v>
      </c>
      <c r="P2660" s="24"/>
      <c r="Q2660" s="24">
        <f t="shared" si="6"/>
        <v>0</v>
      </c>
      <c r="R2660" s="24">
        <f t="shared" si="7"/>
        <v>0</v>
      </c>
      <c r="S2660" s="24"/>
      <c r="T2660" s="24"/>
    </row>
    <row r="2661">
      <c r="A2661" s="12" t="s">
        <v>2749</v>
      </c>
      <c r="F2661" s="19">
        <f>IFERROR(__xludf.DUMMYFUNCTION("SPLIT(A2657, "" |"")"),2655.0)</f>
        <v>2655</v>
      </c>
      <c r="G2661" s="19">
        <f>IFERROR(__xludf.DUMMYFUNCTION("""COMPUTED_VALUE"""),0.00228)</f>
        <v>0.00228</v>
      </c>
      <c r="H2661" s="19" t="str">
        <f>IFERROR(__xludf.DUMMYFUNCTION("""COMPUTED_VALUE"""),"-")</f>
        <v>-</v>
      </c>
      <c r="I2661" s="19">
        <f>IFERROR(__xludf.DUMMYFUNCTION("""COMPUTED_VALUE"""),0.00223)</f>
        <v>0.00223</v>
      </c>
      <c r="J2661" s="19">
        <f>IFERROR(__xludf.DUMMYFUNCTION("""COMPUTED_VALUE"""),0.0475)</f>
        <v>0.0475</v>
      </c>
      <c r="K2661" s="19" t="str">
        <f>IFERROR(__xludf.DUMMYFUNCTION("""COMPUTED_VALUE"""),"-")</f>
        <v>-</v>
      </c>
      <c r="L2661" s="19" t="str">
        <f>IFERROR(__xludf.DUMMYFUNCTION("""COMPUTED_VALUE"""),"-")</f>
        <v>-</v>
      </c>
      <c r="O2661" s="24">
        <f t="shared" si="4"/>
        <v>0</v>
      </c>
      <c r="P2661" s="24"/>
      <c r="Q2661" s="24">
        <f t="shared" si="6"/>
        <v>0</v>
      </c>
      <c r="R2661" s="24">
        <f t="shared" si="7"/>
        <v>0</v>
      </c>
      <c r="S2661" s="24"/>
      <c r="T2661" s="24"/>
    </row>
    <row r="2662">
      <c r="A2662" s="12" t="s">
        <v>2750</v>
      </c>
      <c r="F2662" s="19">
        <f>IFERROR(__xludf.DUMMYFUNCTION("SPLIT(A2658, "" |"")"),2656.0)</f>
        <v>2656</v>
      </c>
      <c r="G2662" s="19">
        <f>IFERROR(__xludf.DUMMYFUNCTION("""COMPUTED_VALUE"""),0.00236)</f>
        <v>0.00236</v>
      </c>
      <c r="H2662" s="19" t="str">
        <f>IFERROR(__xludf.DUMMYFUNCTION("""COMPUTED_VALUE"""),"-")</f>
        <v>-</v>
      </c>
      <c r="I2662" s="19">
        <f>IFERROR(__xludf.DUMMYFUNCTION("""COMPUTED_VALUE"""),0.00216)</f>
        <v>0.00216</v>
      </c>
      <c r="J2662" s="19">
        <f>IFERROR(__xludf.DUMMYFUNCTION("""COMPUTED_VALUE"""),0.04745)</f>
        <v>0.04745</v>
      </c>
      <c r="K2662" s="19" t="str">
        <f>IFERROR(__xludf.DUMMYFUNCTION("""COMPUTED_VALUE"""),"-")</f>
        <v>-</v>
      </c>
      <c r="L2662" s="19" t="str">
        <f>IFERROR(__xludf.DUMMYFUNCTION("""COMPUTED_VALUE"""),"-")</f>
        <v>-</v>
      </c>
      <c r="O2662" s="24">
        <f t="shared" si="4"/>
        <v>0</v>
      </c>
      <c r="P2662" s="24"/>
      <c r="Q2662" s="24">
        <f t="shared" si="6"/>
        <v>0</v>
      </c>
      <c r="R2662" s="24">
        <f t="shared" si="7"/>
        <v>0</v>
      </c>
      <c r="S2662" s="24"/>
      <c r="T2662" s="24"/>
    </row>
    <row r="2663">
      <c r="A2663" s="12" t="s">
        <v>2751</v>
      </c>
      <c r="F2663" s="19">
        <f>IFERROR(__xludf.DUMMYFUNCTION("SPLIT(A2659, "" |"")"),2657.0)</f>
        <v>2657</v>
      </c>
      <c r="G2663" s="19">
        <f>IFERROR(__xludf.DUMMYFUNCTION("""COMPUTED_VALUE"""),0.00235)</f>
        <v>0.00235</v>
      </c>
      <c r="H2663" s="19" t="str">
        <f>IFERROR(__xludf.DUMMYFUNCTION("""COMPUTED_VALUE"""),"-")</f>
        <v>-</v>
      </c>
      <c r="I2663" s="19">
        <f>IFERROR(__xludf.DUMMYFUNCTION("""COMPUTED_VALUE"""),0.00217)</f>
        <v>0.00217</v>
      </c>
      <c r="J2663" s="19">
        <f>IFERROR(__xludf.DUMMYFUNCTION("""COMPUTED_VALUE"""),0.04736)</f>
        <v>0.04736</v>
      </c>
      <c r="K2663" s="19" t="str">
        <f>IFERROR(__xludf.DUMMYFUNCTION("""COMPUTED_VALUE"""),"-")</f>
        <v>-</v>
      </c>
      <c r="L2663" s="19" t="str">
        <f>IFERROR(__xludf.DUMMYFUNCTION("""COMPUTED_VALUE"""),"-")</f>
        <v>-</v>
      </c>
      <c r="O2663" s="24">
        <f t="shared" si="4"/>
        <v>0</v>
      </c>
      <c r="P2663" s="24"/>
      <c r="Q2663" s="24">
        <f t="shared" si="6"/>
        <v>0</v>
      </c>
      <c r="R2663" s="24">
        <f t="shared" si="7"/>
        <v>0</v>
      </c>
      <c r="S2663" s="24"/>
      <c r="T2663" s="24"/>
    </row>
    <row r="2664">
      <c r="A2664" s="12" t="s">
        <v>2752</v>
      </c>
      <c r="F2664" s="19">
        <f>IFERROR(__xludf.DUMMYFUNCTION("SPLIT(A2660, "" |"")"),2658.0)</f>
        <v>2658</v>
      </c>
      <c r="G2664" s="19">
        <f>IFERROR(__xludf.DUMMYFUNCTION("""COMPUTED_VALUE"""),0.00245)</f>
        <v>0.00245</v>
      </c>
      <c r="H2664" s="19" t="str">
        <f>IFERROR(__xludf.DUMMYFUNCTION("""COMPUTED_VALUE"""),"-")</f>
        <v>-</v>
      </c>
      <c r="I2664" s="19">
        <f>IFERROR(__xludf.DUMMYFUNCTION("""COMPUTED_VALUE"""),0.00224)</f>
        <v>0.00224</v>
      </c>
      <c r="J2664" s="19">
        <f>IFERROR(__xludf.DUMMYFUNCTION("""COMPUTED_VALUE"""),0.04743)</f>
        <v>0.04743</v>
      </c>
      <c r="K2664" s="19" t="str">
        <f>IFERROR(__xludf.DUMMYFUNCTION("""COMPUTED_VALUE"""),"-")</f>
        <v>-</v>
      </c>
      <c r="L2664" s="19" t="str">
        <f>IFERROR(__xludf.DUMMYFUNCTION("""COMPUTED_VALUE"""),"-")</f>
        <v>-</v>
      </c>
      <c r="O2664" s="24">
        <f t="shared" si="4"/>
        <v>0</v>
      </c>
      <c r="P2664" s="24"/>
      <c r="Q2664" s="24">
        <f t="shared" si="6"/>
        <v>0</v>
      </c>
      <c r="R2664" s="24">
        <f t="shared" si="7"/>
        <v>0</v>
      </c>
      <c r="S2664" s="24"/>
      <c r="T2664" s="24"/>
    </row>
    <row r="2665">
      <c r="A2665" s="12" t="s">
        <v>2753</v>
      </c>
      <c r="F2665" s="19">
        <f>IFERROR(__xludf.DUMMYFUNCTION("SPLIT(A2661, "" |"")"),2659.0)</f>
        <v>2659</v>
      </c>
      <c r="G2665" s="19">
        <f>IFERROR(__xludf.DUMMYFUNCTION("""COMPUTED_VALUE"""),0.00239)</f>
        <v>0.00239</v>
      </c>
      <c r="H2665" s="19" t="str">
        <f>IFERROR(__xludf.DUMMYFUNCTION("""COMPUTED_VALUE"""),"-")</f>
        <v>-</v>
      </c>
      <c r="I2665" s="19">
        <f>IFERROR(__xludf.DUMMYFUNCTION("""COMPUTED_VALUE"""),0.00217)</f>
        <v>0.00217</v>
      </c>
      <c r="J2665" s="19">
        <f>IFERROR(__xludf.DUMMYFUNCTION("""COMPUTED_VALUE"""),0.04113)</f>
        <v>0.04113</v>
      </c>
      <c r="K2665" s="19" t="str">
        <f>IFERROR(__xludf.DUMMYFUNCTION("""COMPUTED_VALUE"""),"-")</f>
        <v>-</v>
      </c>
      <c r="L2665" s="19" t="str">
        <f>IFERROR(__xludf.DUMMYFUNCTION("""COMPUTED_VALUE"""),"-")</f>
        <v>-</v>
      </c>
      <c r="O2665" s="24">
        <f t="shared" si="4"/>
        <v>0</v>
      </c>
      <c r="P2665" s="24"/>
      <c r="Q2665" s="24">
        <f t="shared" si="6"/>
        <v>0</v>
      </c>
      <c r="R2665" s="24">
        <f t="shared" si="7"/>
        <v>1</v>
      </c>
      <c r="S2665" s="24"/>
      <c r="T2665" s="24"/>
    </row>
    <row r="2666">
      <c r="A2666" s="12" t="s">
        <v>2754</v>
      </c>
      <c r="F2666" s="19">
        <f>IFERROR(__xludf.DUMMYFUNCTION("SPLIT(A2662, "" |"")"),2660.0)</f>
        <v>2660</v>
      </c>
      <c r="G2666" s="19">
        <f>IFERROR(__xludf.DUMMYFUNCTION("""COMPUTED_VALUE"""),0.00238)</f>
        <v>0.00238</v>
      </c>
      <c r="H2666" s="19" t="str">
        <f>IFERROR(__xludf.DUMMYFUNCTION("""COMPUTED_VALUE"""),"-")</f>
        <v>-</v>
      </c>
      <c r="I2666" s="19">
        <f>IFERROR(__xludf.DUMMYFUNCTION("""COMPUTED_VALUE"""),0.00215)</f>
        <v>0.00215</v>
      </c>
      <c r="J2666" s="19">
        <f>IFERROR(__xludf.DUMMYFUNCTION("""COMPUTED_VALUE"""),0.04748)</f>
        <v>0.04748</v>
      </c>
      <c r="K2666" s="19" t="str">
        <f>IFERROR(__xludf.DUMMYFUNCTION("""COMPUTED_VALUE"""),"-")</f>
        <v>-</v>
      </c>
      <c r="L2666" s="19" t="str">
        <f>IFERROR(__xludf.DUMMYFUNCTION("""COMPUTED_VALUE"""),"-")</f>
        <v>-</v>
      </c>
      <c r="O2666" s="24">
        <f t="shared" si="4"/>
        <v>0</v>
      </c>
      <c r="P2666" s="24"/>
      <c r="Q2666" s="24">
        <f t="shared" si="6"/>
        <v>0</v>
      </c>
      <c r="R2666" s="24">
        <f t="shared" si="7"/>
        <v>0</v>
      </c>
      <c r="S2666" s="24"/>
      <c r="T2666" s="24"/>
    </row>
    <row r="2667">
      <c r="A2667" s="12" t="s">
        <v>2755</v>
      </c>
      <c r="F2667" s="19">
        <f>IFERROR(__xludf.DUMMYFUNCTION("SPLIT(A2663, "" |"")"),2661.0)</f>
        <v>2661</v>
      </c>
      <c r="G2667" s="19">
        <f>IFERROR(__xludf.DUMMYFUNCTION("""COMPUTED_VALUE"""),0.00238)</f>
        <v>0.00238</v>
      </c>
      <c r="H2667" s="19" t="str">
        <f>IFERROR(__xludf.DUMMYFUNCTION("""COMPUTED_VALUE"""),"-")</f>
        <v>-</v>
      </c>
      <c r="I2667" s="19">
        <f>IFERROR(__xludf.DUMMYFUNCTION("""COMPUTED_VALUE"""),0.00218)</f>
        <v>0.00218</v>
      </c>
      <c r="J2667" s="19">
        <f>IFERROR(__xludf.DUMMYFUNCTION("""COMPUTED_VALUE"""),0.04746)</f>
        <v>0.04746</v>
      </c>
      <c r="K2667" s="19" t="str">
        <f>IFERROR(__xludf.DUMMYFUNCTION("""COMPUTED_VALUE"""),"-")</f>
        <v>-</v>
      </c>
      <c r="L2667" s="19" t="str">
        <f>IFERROR(__xludf.DUMMYFUNCTION("""COMPUTED_VALUE"""),"-")</f>
        <v>-</v>
      </c>
      <c r="O2667" s="24">
        <f t="shared" si="4"/>
        <v>0</v>
      </c>
      <c r="P2667" s="24"/>
      <c r="Q2667" s="24">
        <f t="shared" si="6"/>
        <v>0</v>
      </c>
      <c r="R2667" s="24">
        <f t="shared" si="7"/>
        <v>0</v>
      </c>
      <c r="S2667" s="24"/>
      <c r="T2667" s="24"/>
    </row>
    <row r="2668">
      <c r="A2668" s="12" t="s">
        <v>2756</v>
      </c>
      <c r="F2668" s="19">
        <f>IFERROR(__xludf.DUMMYFUNCTION("SPLIT(A2664, "" |"")"),2662.0)</f>
        <v>2662</v>
      </c>
      <c r="G2668" s="19">
        <f>IFERROR(__xludf.DUMMYFUNCTION("""COMPUTED_VALUE"""),0.00237)</f>
        <v>0.00237</v>
      </c>
      <c r="H2668" s="19" t="str">
        <f>IFERROR(__xludf.DUMMYFUNCTION("""COMPUTED_VALUE"""),"-")</f>
        <v>-</v>
      </c>
      <c r="I2668" s="19">
        <f>IFERROR(__xludf.DUMMYFUNCTION("""COMPUTED_VALUE"""),0.00217)</f>
        <v>0.00217</v>
      </c>
      <c r="J2668" s="19">
        <f>IFERROR(__xludf.DUMMYFUNCTION("""COMPUTED_VALUE"""),0.04746)</f>
        <v>0.04746</v>
      </c>
      <c r="K2668" s="19" t="str">
        <f>IFERROR(__xludf.DUMMYFUNCTION("""COMPUTED_VALUE"""),"-")</f>
        <v>-</v>
      </c>
      <c r="L2668" s="19" t="str">
        <f>IFERROR(__xludf.DUMMYFUNCTION("""COMPUTED_VALUE"""),"-")</f>
        <v>-</v>
      </c>
      <c r="O2668" s="24">
        <f t="shared" si="4"/>
        <v>0</v>
      </c>
      <c r="P2668" s="24"/>
      <c r="Q2668" s="24">
        <f t="shared" si="6"/>
        <v>0</v>
      </c>
      <c r="R2668" s="24">
        <f t="shared" si="7"/>
        <v>0</v>
      </c>
      <c r="S2668" s="24"/>
      <c r="T2668" s="24"/>
    </row>
    <row r="2669">
      <c r="A2669" s="12" t="s">
        <v>2757</v>
      </c>
      <c r="F2669" s="19">
        <f>IFERROR(__xludf.DUMMYFUNCTION("SPLIT(A2665, "" |"")"),2663.0)</f>
        <v>2663</v>
      </c>
      <c r="G2669" s="19">
        <f>IFERROR(__xludf.DUMMYFUNCTION("""COMPUTED_VALUE"""),0.00238)</f>
        <v>0.00238</v>
      </c>
      <c r="H2669" s="19" t="str">
        <f>IFERROR(__xludf.DUMMYFUNCTION("""COMPUTED_VALUE"""),"-")</f>
        <v>-</v>
      </c>
      <c r="I2669" s="19">
        <f>IFERROR(__xludf.DUMMYFUNCTION("""COMPUTED_VALUE"""),0.00218)</f>
        <v>0.00218</v>
      </c>
      <c r="J2669" s="19">
        <f>IFERROR(__xludf.DUMMYFUNCTION("""COMPUTED_VALUE"""),0.04744)</f>
        <v>0.04744</v>
      </c>
      <c r="K2669" s="19" t="str">
        <f>IFERROR(__xludf.DUMMYFUNCTION("""COMPUTED_VALUE"""),"-")</f>
        <v>-</v>
      </c>
      <c r="L2669" s="19" t="str">
        <f>IFERROR(__xludf.DUMMYFUNCTION("""COMPUTED_VALUE"""),"-")</f>
        <v>-</v>
      </c>
      <c r="O2669" s="24">
        <f t="shared" si="4"/>
        <v>0</v>
      </c>
      <c r="P2669" s="24"/>
      <c r="Q2669" s="24">
        <f t="shared" si="6"/>
        <v>0</v>
      </c>
      <c r="R2669" s="24">
        <f t="shared" si="7"/>
        <v>0</v>
      </c>
      <c r="S2669" s="24"/>
      <c r="T2669" s="24"/>
    </row>
    <row r="2670">
      <c r="A2670" s="12" t="s">
        <v>2758</v>
      </c>
      <c r="F2670" s="19">
        <f>IFERROR(__xludf.DUMMYFUNCTION("SPLIT(A2666, "" |"")"),2664.0)</f>
        <v>2664</v>
      </c>
      <c r="G2670" s="19">
        <f>IFERROR(__xludf.DUMMYFUNCTION("""COMPUTED_VALUE"""),0.00235)</f>
        <v>0.00235</v>
      </c>
      <c r="H2670" s="19" t="str">
        <f>IFERROR(__xludf.DUMMYFUNCTION("""COMPUTED_VALUE"""),"-")</f>
        <v>-</v>
      </c>
      <c r="I2670" s="19">
        <f>IFERROR(__xludf.DUMMYFUNCTION("""COMPUTED_VALUE"""),0.00226)</f>
        <v>0.00226</v>
      </c>
      <c r="J2670" s="19">
        <f>IFERROR(__xludf.DUMMYFUNCTION("""COMPUTED_VALUE"""),0.04379)</f>
        <v>0.04379</v>
      </c>
      <c r="K2670" s="19" t="str">
        <f>IFERROR(__xludf.DUMMYFUNCTION("""COMPUTED_VALUE"""),"-")</f>
        <v>-</v>
      </c>
      <c r="L2670" s="19" t="str">
        <f>IFERROR(__xludf.DUMMYFUNCTION("""COMPUTED_VALUE"""),"-")</f>
        <v>-</v>
      </c>
      <c r="O2670" s="24">
        <f t="shared" si="4"/>
        <v>0</v>
      </c>
      <c r="P2670" s="24"/>
      <c r="Q2670" s="24">
        <f t="shared" si="6"/>
        <v>0</v>
      </c>
      <c r="R2670" s="24">
        <f t="shared" si="7"/>
        <v>1</v>
      </c>
      <c r="S2670" s="24"/>
      <c r="T2670" s="24"/>
    </row>
    <row r="2671">
      <c r="A2671" s="12" t="s">
        <v>2759</v>
      </c>
      <c r="F2671" s="19">
        <f>IFERROR(__xludf.DUMMYFUNCTION("SPLIT(A2667, "" |"")"),2665.0)</f>
        <v>2665</v>
      </c>
      <c r="G2671" s="19">
        <f>IFERROR(__xludf.DUMMYFUNCTION("""COMPUTED_VALUE"""),0.00236)</f>
        <v>0.00236</v>
      </c>
      <c r="H2671" s="19" t="str">
        <f>IFERROR(__xludf.DUMMYFUNCTION("""COMPUTED_VALUE"""),"-")</f>
        <v>-</v>
      </c>
      <c r="I2671" s="19">
        <f>IFERROR(__xludf.DUMMYFUNCTION("""COMPUTED_VALUE"""),0.00217)</f>
        <v>0.00217</v>
      </c>
      <c r="J2671" s="19">
        <f>IFERROR(__xludf.DUMMYFUNCTION("""COMPUTED_VALUE"""),0.04743)</f>
        <v>0.04743</v>
      </c>
      <c r="K2671" s="19" t="str">
        <f>IFERROR(__xludf.DUMMYFUNCTION("""COMPUTED_VALUE"""),"-")</f>
        <v>-</v>
      </c>
      <c r="L2671" s="19" t="str">
        <f>IFERROR(__xludf.DUMMYFUNCTION("""COMPUTED_VALUE"""),"-")</f>
        <v>-</v>
      </c>
      <c r="O2671" s="24">
        <f t="shared" si="4"/>
        <v>0</v>
      </c>
      <c r="P2671" s="24"/>
      <c r="Q2671" s="24">
        <f t="shared" si="6"/>
        <v>0</v>
      </c>
      <c r="R2671" s="24">
        <f t="shared" si="7"/>
        <v>0</v>
      </c>
      <c r="S2671" s="24"/>
      <c r="T2671" s="24"/>
    </row>
    <row r="2672">
      <c r="A2672" s="12" t="s">
        <v>2760</v>
      </c>
      <c r="F2672" s="19">
        <f>IFERROR(__xludf.DUMMYFUNCTION("SPLIT(A2668, "" |"")"),2666.0)</f>
        <v>2666</v>
      </c>
      <c r="G2672" s="19">
        <f>IFERROR(__xludf.DUMMYFUNCTION("""COMPUTED_VALUE"""),0.00235)</f>
        <v>0.00235</v>
      </c>
      <c r="H2672" s="19" t="str">
        <f>IFERROR(__xludf.DUMMYFUNCTION("""COMPUTED_VALUE"""),"-")</f>
        <v>-</v>
      </c>
      <c r="I2672" s="19">
        <f>IFERROR(__xludf.DUMMYFUNCTION("""COMPUTED_VALUE"""),0.00216)</f>
        <v>0.00216</v>
      </c>
      <c r="J2672" s="19">
        <f>IFERROR(__xludf.DUMMYFUNCTION("""COMPUTED_VALUE"""),0.0473)</f>
        <v>0.0473</v>
      </c>
      <c r="K2672" s="19" t="str">
        <f>IFERROR(__xludf.DUMMYFUNCTION("""COMPUTED_VALUE"""),"-")</f>
        <v>-</v>
      </c>
      <c r="L2672" s="19" t="str">
        <f>IFERROR(__xludf.DUMMYFUNCTION("""COMPUTED_VALUE"""),"-")</f>
        <v>-</v>
      </c>
      <c r="O2672" s="24">
        <f t="shared" si="4"/>
        <v>0</v>
      </c>
      <c r="P2672" s="24"/>
      <c r="Q2672" s="24">
        <f t="shared" si="6"/>
        <v>0</v>
      </c>
      <c r="R2672" s="24">
        <f t="shared" si="7"/>
        <v>0</v>
      </c>
      <c r="S2672" s="24"/>
      <c r="T2672" s="24"/>
    </row>
    <row r="2673">
      <c r="A2673" s="12" t="s">
        <v>2761</v>
      </c>
      <c r="F2673" s="19">
        <f>IFERROR(__xludf.DUMMYFUNCTION("SPLIT(A2669, "" |"")"),2667.0)</f>
        <v>2667</v>
      </c>
      <c r="G2673" s="19">
        <f>IFERROR(__xludf.DUMMYFUNCTION("""COMPUTED_VALUE"""),0.00246)</f>
        <v>0.00246</v>
      </c>
      <c r="H2673" s="19" t="str">
        <f>IFERROR(__xludf.DUMMYFUNCTION("""COMPUTED_VALUE"""),"-")</f>
        <v>-</v>
      </c>
      <c r="I2673" s="19">
        <f>IFERROR(__xludf.DUMMYFUNCTION("""COMPUTED_VALUE"""),0.0022)</f>
        <v>0.0022</v>
      </c>
      <c r="J2673" s="19">
        <f>IFERROR(__xludf.DUMMYFUNCTION("""COMPUTED_VALUE"""),0.04743)</f>
        <v>0.04743</v>
      </c>
      <c r="K2673" s="19" t="str">
        <f>IFERROR(__xludf.DUMMYFUNCTION("""COMPUTED_VALUE"""),"-")</f>
        <v>-</v>
      </c>
      <c r="L2673" s="19" t="str">
        <f>IFERROR(__xludf.DUMMYFUNCTION("""COMPUTED_VALUE"""),"-")</f>
        <v>-</v>
      </c>
      <c r="O2673" s="24">
        <f t="shared" si="4"/>
        <v>0</v>
      </c>
      <c r="P2673" s="24"/>
      <c r="Q2673" s="24">
        <f t="shared" si="6"/>
        <v>0</v>
      </c>
      <c r="R2673" s="24">
        <f t="shared" si="7"/>
        <v>0</v>
      </c>
      <c r="S2673" s="24"/>
      <c r="T2673" s="24"/>
    </row>
    <row r="2674">
      <c r="A2674" s="12" t="s">
        <v>2762</v>
      </c>
      <c r="F2674" s="19">
        <f>IFERROR(__xludf.DUMMYFUNCTION("SPLIT(A2670, "" |"")"),2668.0)</f>
        <v>2668</v>
      </c>
      <c r="G2674" s="19">
        <f>IFERROR(__xludf.DUMMYFUNCTION("""COMPUTED_VALUE"""),0.00237)</f>
        <v>0.00237</v>
      </c>
      <c r="H2674" s="19" t="str">
        <f>IFERROR(__xludf.DUMMYFUNCTION("""COMPUTED_VALUE"""),"-")</f>
        <v>-</v>
      </c>
      <c r="I2674" s="19">
        <f>IFERROR(__xludf.DUMMYFUNCTION("""COMPUTED_VALUE"""),0.0022)</f>
        <v>0.0022</v>
      </c>
      <c r="J2674" s="19">
        <f>IFERROR(__xludf.DUMMYFUNCTION("""COMPUTED_VALUE"""),0.0475)</f>
        <v>0.0475</v>
      </c>
      <c r="K2674" s="19" t="str">
        <f>IFERROR(__xludf.DUMMYFUNCTION("""COMPUTED_VALUE"""),"-")</f>
        <v>-</v>
      </c>
      <c r="L2674" s="19" t="str">
        <f>IFERROR(__xludf.DUMMYFUNCTION("""COMPUTED_VALUE"""),"-")</f>
        <v>-</v>
      </c>
      <c r="O2674" s="24">
        <f t="shared" si="4"/>
        <v>0</v>
      </c>
      <c r="P2674" s="24"/>
      <c r="Q2674" s="24">
        <f t="shared" si="6"/>
        <v>0</v>
      </c>
      <c r="R2674" s="24">
        <f t="shared" si="7"/>
        <v>0</v>
      </c>
      <c r="S2674" s="24"/>
      <c r="T2674" s="24"/>
    </row>
    <row r="2675">
      <c r="A2675" s="12" t="s">
        <v>2763</v>
      </c>
      <c r="F2675" s="19">
        <f>IFERROR(__xludf.DUMMYFUNCTION("SPLIT(A2671, "" |"")"),2669.0)</f>
        <v>2669</v>
      </c>
      <c r="G2675" s="19">
        <f>IFERROR(__xludf.DUMMYFUNCTION("""COMPUTED_VALUE"""),0.00234)</f>
        <v>0.00234</v>
      </c>
      <c r="H2675" s="19" t="str">
        <f>IFERROR(__xludf.DUMMYFUNCTION("""COMPUTED_VALUE"""),"-")</f>
        <v>-</v>
      </c>
      <c r="I2675" s="19">
        <f>IFERROR(__xludf.DUMMYFUNCTION("""COMPUTED_VALUE"""),0.00219)</f>
        <v>0.00219</v>
      </c>
      <c r="J2675" s="19">
        <f>IFERROR(__xludf.DUMMYFUNCTION("""COMPUTED_VALUE"""),0.0475)</f>
        <v>0.0475</v>
      </c>
      <c r="K2675" s="19" t="str">
        <f>IFERROR(__xludf.DUMMYFUNCTION("""COMPUTED_VALUE"""),"-")</f>
        <v>-</v>
      </c>
      <c r="L2675" s="19" t="str">
        <f>IFERROR(__xludf.DUMMYFUNCTION("""COMPUTED_VALUE"""),"-")</f>
        <v>-</v>
      </c>
      <c r="O2675" s="24">
        <f t="shared" si="4"/>
        <v>0</v>
      </c>
      <c r="P2675" s="24"/>
      <c r="Q2675" s="24">
        <f t="shared" si="6"/>
        <v>0</v>
      </c>
      <c r="R2675" s="24">
        <f t="shared" si="7"/>
        <v>0</v>
      </c>
      <c r="S2675" s="24"/>
      <c r="T2675" s="24"/>
    </row>
    <row r="2676">
      <c r="A2676" s="12" t="s">
        <v>2764</v>
      </c>
      <c r="F2676" s="19">
        <f>IFERROR(__xludf.DUMMYFUNCTION("SPLIT(A2672, "" |"")"),2670.0)</f>
        <v>2670</v>
      </c>
      <c r="G2676" s="19">
        <f>IFERROR(__xludf.DUMMYFUNCTION("""COMPUTED_VALUE"""),0.00239)</f>
        <v>0.00239</v>
      </c>
      <c r="H2676" s="19" t="str">
        <f>IFERROR(__xludf.DUMMYFUNCTION("""COMPUTED_VALUE"""),"-")</f>
        <v>-</v>
      </c>
      <c r="I2676" s="19">
        <f>IFERROR(__xludf.DUMMYFUNCTION("""COMPUTED_VALUE"""),0.00221)</f>
        <v>0.00221</v>
      </c>
      <c r="J2676" s="19">
        <f>IFERROR(__xludf.DUMMYFUNCTION("""COMPUTED_VALUE"""),0.04697)</f>
        <v>0.04697</v>
      </c>
      <c r="K2676" s="19" t="str">
        <f>IFERROR(__xludf.DUMMYFUNCTION("""COMPUTED_VALUE"""),"-")</f>
        <v>-</v>
      </c>
      <c r="L2676" s="19" t="str">
        <f>IFERROR(__xludf.DUMMYFUNCTION("""COMPUTED_VALUE"""),"-")</f>
        <v>-</v>
      </c>
      <c r="O2676" s="24">
        <f t="shared" si="4"/>
        <v>0</v>
      </c>
      <c r="P2676" s="24"/>
      <c r="Q2676" s="24">
        <f t="shared" si="6"/>
        <v>0</v>
      </c>
      <c r="R2676" s="24">
        <f t="shared" si="7"/>
        <v>0</v>
      </c>
      <c r="S2676" s="24"/>
      <c r="T2676" s="24"/>
    </row>
    <row r="2677">
      <c r="A2677" s="12" t="s">
        <v>2765</v>
      </c>
      <c r="F2677" s="19">
        <f>IFERROR(__xludf.DUMMYFUNCTION("SPLIT(A2673, "" |"")"),2671.0)</f>
        <v>2671</v>
      </c>
      <c r="G2677" s="19">
        <f>IFERROR(__xludf.DUMMYFUNCTION("""COMPUTED_VALUE"""),0.00226)</f>
        <v>0.00226</v>
      </c>
      <c r="H2677" s="19" t="str">
        <f>IFERROR(__xludf.DUMMYFUNCTION("""COMPUTED_VALUE"""),"-")</f>
        <v>-</v>
      </c>
      <c r="I2677" s="19">
        <f>IFERROR(__xludf.DUMMYFUNCTION("""COMPUTED_VALUE"""),0.0021)</f>
        <v>0.0021</v>
      </c>
      <c r="J2677" s="19">
        <f>IFERROR(__xludf.DUMMYFUNCTION("""COMPUTED_VALUE"""),0.04744)</f>
        <v>0.04744</v>
      </c>
      <c r="K2677" s="19" t="str">
        <f>IFERROR(__xludf.DUMMYFUNCTION("""COMPUTED_VALUE"""),"-")</f>
        <v>-</v>
      </c>
      <c r="L2677" s="19" t="str">
        <f>IFERROR(__xludf.DUMMYFUNCTION("""COMPUTED_VALUE"""),"-")</f>
        <v>-</v>
      </c>
      <c r="O2677" s="24">
        <f t="shared" si="4"/>
        <v>0</v>
      </c>
      <c r="P2677" s="24"/>
      <c r="Q2677" s="24">
        <f t="shared" si="6"/>
        <v>0</v>
      </c>
      <c r="R2677" s="24">
        <f t="shared" si="7"/>
        <v>0</v>
      </c>
      <c r="S2677" s="24"/>
      <c r="T2677" s="24"/>
    </row>
    <row r="2678">
      <c r="A2678" s="12" t="s">
        <v>2766</v>
      </c>
      <c r="F2678" s="19">
        <f>IFERROR(__xludf.DUMMYFUNCTION("SPLIT(A2674, "" |"")"),2672.0)</f>
        <v>2672</v>
      </c>
      <c r="G2678" s="19">
        <f>IFERROR(__xludf.DUMMYFUNCTION("""COMPUTED_VALUE"""),0.00237)</f>
        <v>0.00237</v>
      </c>
      <c r="H2678" s="19" t="str">
        <f>IFERROR(__xludf.DUMMYFUNCTION("""COMPUTED_VALUE"""),"-")</f>
        <v>-</v>
      </c>
      <c r="I2678" s="19">
        <f>IFERROR(__xludf.DUMMYFUNCTION("""COMPUTED_VALUE"""),0.00225)</f>
        <v>0.00225</v>
      </c>
      <c r="J2678" s="19">
        <f>IFERROR(__xludf.DUMMYFUNCTION("""COMPUTED_VALUE"""),0.04751)</f>
        <v>0.04751</v>
      </c>
      <c r="K2678" s="19" t="str">
        <f>IFERROR(__xludf.DUMMYFUNCTION("""COMPUTED_VALUE"""),"-")</f>
        <v>-</v>
      </c>
      <c r="L2678" s="19" t="str">
        <f>IFERROR(__xludf.DUMMYFUNCTION("""COMPUTED_VALUE"""),"-")</f>
        <v>-</v>
      </c>
      <c r="O2678" s="24">
        <f t="shared" si="4"/>
        <v>0</v>
      </c>
      <c r="P2678" s="24"/>
      <c r="Q2678" s="24">
        <f t="shared" si="6"/>
        <v>0</v>
      </c>
      <c r="R2678" s="24">
        <f t="shared" si="7"/>
        <v>0</v>
      </c>
      <c r="S2678" s="24"/>
      <c r="T2678" s="24"/>
    </row>
    <row r="2679">
      <c r="A2679" s="12" t="s">
        <v>2767</v>
      </c>
      <c r="F2679" s="19">
        <f>IFERROR(__xludf.DUMMYFUNCTION("SPLIT(A2675, "" |"")"),2673.0)</f>
        <v>2673</v>
      </c>
      <c r="G2679" s="19">
        <f>IFERROR(__xludf.DUMMYFUNCTION("""COMPUTED_VALUE"""),0.0024)</f>
        <v>0.0024</v>
      </c>
      <c r="H2679" s="19" t="str">
        <f>IFERROR(__xludf.DUMMYFUNCTION("""COMPUTED_VALUE"""),"-")</f>
        <v>-</v>
      </c>
      <c r="I2679" s="19">
        <f>IFERROR(__xludf.DUMMYFUNCTION("""COMPUTED_VALUE"""),0.00213)</f>
        <v>0.00213</v>
      </c>
      <c r="J2679" s="19">
        <f>IFERROR(__xludf.DUMMYFUNCTION("""COMPUTED_VALUE"""),0.04744)</f>
        <v>0.04744</v>
      </c>
      <c r="K2679" s="19" t="str">
        <f>IFERROR(__xludf.DUMMYFUNCTION("""COMPUTED_VALUE"""),"-")</f>
        <v>-</v>
      </c>
      <c r="L2679" s="19" t="str">
        <f>IFERROR(__xludf.DUMMYFUNCTION("""COMPUTED_VALUE"""),"-")</f>
        <v>-</v>
      </c>
      <c r="O2679" s="24">
        <f t="shared" si="4"/>
        <v>0</v>
      </c>
      <c r="P2679" s="24"/>
      <c r="Q2679" s="24">
        <f t="shared" si="6"/>
        <v>0</v>
      </c>
      <c r="R2679" s="24">
        <f t="shared" si="7"/>
        <v>0</v>
      </c>
      <c r="S2679" s="24"/>
      <c r="T2679" s="24"/>
    </row>
    <row r="2680">
      <c r="A2680" s="12" t="s">
        <v>2768</v>
      </c>
      <c r="F2680" s="19">
        <f>IFERROR(__xludf.DUMMYFUNCTION("SPLIT(A2676, "" |"")"),2674.0)</f>
        <v>2674</v>
      </c>
      <c r="G2680" s="19">
        <f>IFERROR(__xludf.DUMMYFUNCTION("""COMPUTED_VALUE"""),0.00236)</f>
        <v>0.00236</v>
      </c>
      <c r="H2680" s="19" t="str">
        <f>IFERROR(__xludf.DUMMYFUNCTION("""COMPUTED_VALUE"""),"-")</f>
        <v>-</v>
      </c>
      <c r="I2680" s="19">
        <f>IFERROR(__xludf.DUMMYFUNCTION("""COMPUTED_VALUE"""),0.00221)</f>
        <v>0.00221</v>
      </c>
      <c r="J2680" s="19">
        <f>IFERROR(__xludf.DUMMYFUNCTION("""COMPUTED_VALUE"""),0.04745)</f>
        <v>0.04745</v>
      </c>
      <c r="K2680" s="19" t="str">
        <f>IFERROR(__xludf.DUMMYFUNCTION("""COMPUTED_VALUE"""),"-")</f>
        <v>-</v>
      </c>
      <c r="L2680" s="19" t="str">
        <f>IFERROR(__xludf.DUMMYFUNCTION("""COMPUTED_VALUE"""),"-")</f>
        <v>-</v>
      </c>
      <c r="O2680" s="24">
        <f t="shared" si="4"/>
        <v>0</v>
      </c>
      <c r="P2680" s="24"/>
      <c r="Q2680" s="24">
        <f t="shared" si="6"/>
        <v>0</v>
      </c>
      <c r="R2680" s="24">
        <f t="shared" si="7"/>
        <v>0</v>
      </c>
      <c r="S2680" s="24"/>
      <c r="T2680" s="24"/>
    </row>
    <row r="2681">
      <c r="A2681" s="12" t="s">
        <v>2769</v>
      </c>
      <c r="F2681" s="19">
        <f>IFERROR(__xludf.DUMMYFUNCTION("SPLIT(A2677, "" |"")"),2675.0)</f>
        <v>2675</v>
      </c>
      <c r="G2681" s="19">
        <f>IFERROR(__xludf.DUMMYFUNCTION("""COMPUTED_VALUE"""),0.00235)</f>
        <v>0.00235</v>
      </c>
      <c r="H2681" s="19" t="str">
        <f>IFERROR(__xludf.DUMMYFUNCTION("""COMPUTED_VALUE"""),"-")</f>
        <v>-</v>
      </c>
      <c r="I2681" s="19">
        <f>IFERROR(__xludf.DUMMYFUNCTION("""COMPUTED_VALUE"""),0.00218)</f>
        <v>0.00218</v>
      </c>
      <c r="J2681" s="19">
        <f>IFERROR(__xludf.DUMMYFUNCTION("""COMPUTED_VALUE"""),0.04743)</f>
        <v>0.04743</v>
      </c>
      <c r="K2681" s="19" t="str">
        <f>IFERROR(__xludf.DUMMYFUNCTION("""COMPUTED_VALUE"""),"-")</f>
        <v>-</v>
      </c>
      <c r="L2681" s="19" t="str">
        <f>IFERROR(__xludf.DUMMYFUNCTION("""COMPUTED_VALUE"""),"-")</f>
        <v>-</v>
      </c>
      <c r="O2681" s="24">
        <f t="shared" si="4"/>
        <v>0</v>
      </c>
      <c r="P2681" s="24"/>
      <c r="Q2681" s="24">
        <f t="shared" si="6"/>
        <v>0</v>
      </c>
      <c r="R2681" s="24">
        <f t="shared" si="7"/>
        <v>0</v>
      </c>
      <c r="S2681" s="24"/>
      <c r="T2681" s="24"/>
    </row>
    <row r="2682">
      <c r="A2682" s="12" t="s">
        <v>2770</v>
      </c>
      <c r="F2682" s="19">
        <f>IFERROR(__xludf.DUMMYFUNCTION("SPLIT(A2678, "" |"")"),2676.0)</f>
        <v>2676</v>
      </c>
      <c r="G2682" s="19">
        <f>IFERROR(__xludf.DUMMYFUNCTION("""COMPUTED_VALUE"""),0.00233)</f>
        <v>0.00233</v>
      </c>
      <c r="H2682" s="19" t="str">
        <f>IFERROR(__xludf.DUMMYFUNCTION("""COMPUTED_VALUE"""),"-")</f>
        <v>-</v>
      </c>
      <c r="I2682" s="19">
        <f>IFERROR(__xludf.DUMMYFUNCTION("""COMPUTED_VALUE"""),0.00219)</f>
        <v>0.00219</v>
      </c>
      <c r="J2682" s="19">
        <f>IFERROR(__xludf.DUMMYFUNCTION("""COMPUTED_VALUE"""),0.04737)</f>
        <v>0.04737</v>
      </c>
      <c r="K2682" s="19" t="str">
        <f>IFERROR(__xludf.DUMMYFUNCTION("""COMPUTED_VALUE"""),"-")</f>
        <v>-</v>
      </c>
      <c r="L2682" s="19" t="str">
        <f>IFERROR(__xludf.DUMMYFUNCTION("""COMPUTED_VALUE"""),"-")</f>
        <v>-</v>
      </c>
      <c r="O2682" s="24">
        <f t="shared" si="4"/>
        <v>0</v>
      </c>
      <c r="P2682" s="24"/>
      <c r="Q2682" s="24">
        <f t="shared" si="6"/>
        <v>0</v>
      </c>
      <c r="R2682" s="24">
        <f t="shared" si="7"/>
        <v>0</v>
      </c>
      <c r="S2682" s="24"/>
      <c r="T2682" s="24"/>
    </row>
    <row r="2683">
      <c r="A2683" s="12" t="s">
        <v>2771</v>
      </c>
      <c r="F2683" s="19">
        <f>IFERROR(__xludf.DUMMYFUNCTION("SPLIT(A2679, "" |"")"),2677.0)</f>
        <v>2677</v>
      </c>
      <c r="G2683" s="19">
        <f>IFERROR(__xludf.DUMMYFUNCTION("""COMPUTED_VALUE"""),0.00233)</f>
        <v>0.00233</v>
      </c>
      <c r="H2683" s="19" t="str">
        <f>IFERROR(__xludf.DUMMYFUNCTION("""COMPUTED_VALUE"""),"-")</f>
        <v>-</v>
      </c>
      <c r="I2683" s="19">
        <f>IFERROR(__xludf.DUMMYFUNCTION("""COMPUTED_VALUE"""),0.00216)</f>
        <v>0.00216</v>
      </c>
      <c r="J2683" s="19">
        <f>IFERROR(__xludf.DUMMYFUNCTION("""COMPUTED_VALUE"""),0.04746)</f>
        <v>0.04746</v>
      </c>
      <c r="K2683" s="19" t="str">
        <f>IFERROR(__xludf.DUMMYFUNCTION("""COMPUTED_VALUE"""),"-")</f>
        <v>-</v>
      </c>
      <c r="L2683" s="19" t="str">
        <f>IFERROR(__xludf.DUMMYFUNCTION("""COMPUTED_VALUE"""),"-")</f>
        <v>-</v>
      </c>
      <c r="O2683" s="24">
        <f t="shared" si="4"/>
        <v>0</v>
      </c>
      <c r="P2683" s="24"/>
      <c r="Q2683" s="24">
        <f t="shared" si="6"/>
        <v>0</v>
      </c>
      <c r="R2683" s="24">
        <f t="shared" si="7"/>
        <v>0</v>
      </c>
      <c r="S2683" s="24"/>
      <c r="T2683" s="24"/>
    </row>
    <row r="2684">
      <c r="A2684" s="12" t="s">
        <v>2772</v>
      </c>
      <c r="F2684" s="19">
        <f>IFERROR(__xludf.DUMMYFUNCTION("SPLIT(A2680, "" |"")"),2678.0)</f>
        <v>2678</v>
      </c>
      <c r="G2684" s="19">
        <f>IFERROR(__xludf.DUMMYFUNCTION("""COMPUTED_VALUE"""),0.00239)</f>
        <v>0.00239</v>
      </c>
      <c r="H2684" s="19" t="str">
        <f>IFERROR(__xludf.DUMMYFUNCTION("""COMPUTED_VALUE"""),"-")</f>
        <v>-</v>
      </c>
      <c r="I2684" s="19">
        <f>IFERROR(__xludf.DUMMYFUNCTION("""COMPUTED_VALUE"""),0.00219)</f>
        <v>0.00219</v>
      </c>
      <c r="J2684" s="19">
        <f>IFERROR(__xludf.DUMMYFUNCTION("""COMPUTED_VALUE"""),0.04741)</f>
        <v>0.04741</v>
      </c>
      <c r="K2684" s="19" t="str">
        <f>IFERROR(__xludf.DUMMYFUNCTION("""COMPUTED_VALUE"""),"-")</f>
        <v>-</v>
      </c>
      <c r="L2684" s="19" t="str">
        <f>IFERROR(__xludf.DUMMYFUNCTION("""COMPUTED_VALUE"""),"-")</f>
        <v>-</v>
      </c>
      <c r="O2684" s="24">
        <f t="shared" si="4"/>
        <v>0</v>
      </c>
      <c r="P2684" s="24"/>
      <c r="Q2684" s="24">
        <f t="shared" si="6"/>
        <v>0</v>
      </c>
      <c r="R2684" s="24">
        <f t="shared" si="7"/>
        <v>0</v>
      </c>
      <c r="S2684" s="24"/>
      <c r="T2684" s="24"/>
    </row>
    <row r="2685">
      <c r="A2685" s="12" t="s">
        <v>2773</v>
      </c>
      <c r="F2685" s="19">
        <f>IFERROR(__xludf.DUMMYFUNCTION("SPLIT(A2681, "" |"")"),2679.0)</f>
        <v>2679</v>
      </c>
      <c r="G2685" s="19">
        <f>IFERROR(__xludf.DUMMYFUNCTION("""COMPUTED_VALUE"""),0.00242)</f>
        <v>0.00242</v>
      </c>
      <c r="H2685" s="19" t="str">
        <f>IFERROR(__xludf.DUMMYFUNCTION("""COMPUTED_VALUE"""),"-")</f>
        <v>-</v>
      </c>
      <c r="I2685" s="19">
        <f>IFERROR(__xludf.DUMMYFUNCTION("""COMPUTED_VALUE"""),0.00216)</f>
        <v>0.00216</v>
      </c>
      <c r="J2685" s="19">
        <f>IFERROR(__xludf.DUMMYFUNCTION("""COMPUTED_VALUE"""),0.04381)</f>
        <v>0.04381</v>
      </c>
      <c r="K2685" s="19" t="str">
        <f>IFERROR(__xludf.DUMMYFUNCTION("""COMPUTED_VALUE"""),"-")</f>
        <v>-</v>
      </c>
      <c r="L2685" s="19" t="str">
        <f>IFERROR(__xludf.DUMMYFUNCTION("""COMPUTED_VALUE"""),"-")</f>
        <v>-</v>
      </c>
      <c r="O2685" s="24">
        <f t="shared" si="4"/>
        <v>0</v>
      </c>
      <c r="P2685" s="24"/>
      <c r="Q2685" s="24">
        <f t="shared" si="6"/>
        <v>0</v>
      </c>
      <c r="R2685" s="24">
        <f t="shared" si="7"/>
        <v>1</v>
      </c>
      <c r="S2685" s="24"/>
      <c r="T2685" s="24"/>
    </row>
    <row r="2686">
      <c r="A2686" s="12" t="s">
        <v>2774</v>
      </c>
      <c r="F2686" s="19">
        <f>IFERROR(__xludf.DUMMYFUNCTION("SPLIT(A2682, "" |"")"),2680.0)</f>
        <v>2680</v>
      </c>
      <c r="G2686" s="19">
        <f>IFERROR(__xludf.DUMMYFUNCTION("""COMPUTED_VALUE"""),0.00226)</f>
        <v>0.00226</v>
      </c>
      <c r="H2686" s="19" t="str">
        <f>IFERROR(__xludf.DUMMYFUNCTION("""COMPUTED_VALUE"""),"-")</f>
        <v>-</v>
      </c>
      <c r="I2686" s="19">
        <f>IFERROR(__xludf.DUMMYFUNCTION("""COMPUTED_VALUE"""),0.00208)</f>
        <v>0.00208</v>
      </c>
      <c r="J2686" s="19">
        <f>IFERROR(__xludf.DUMMYFUNCTION("""COMPUTED_VALUE"""),0.04734)</f>
        <v>0.04734</v>
      </c>
      <c r="K2686" s="19" t="str">
        <f>IFERROR(__xludf.DUMMYFUNCTION("""COMPUTED_VALUE"""),"-")</f>
        <v>-</v>
      </c>
      <c r="L2686" s="19" t="str">
        <f>IFERROR(__xludf.DUMMYFUNCTION("""COMPUTED_VALUE"""),"-")</f>
        <v>-</v>
      </c>
      <c r="O2686" s="24">
        <f t="shared" si="4"/>
        <v>0</v>
      </c>
      <c r="P2686" s="24"/>
      <c r="Q2686" s="24">
        <f t="shared" si="6"/>
        <v>0</v>
      </c>
      <c r="R2686" s="24">
        <f t="shared" si="7"/>
        <v>0</v>
      </c>
      <c r="S2686" s="24"/>
      <c r="T2686" s="24"/>
    </row>
    <row r="2687">
      <c r="A2687" s="12" t="s">
        <v>2775</v>
      </c>
      <c r="F2687" s="19">
        <f>IFERROR(__xludf.DUMMYFUNCTION("SPLIT(A2683, "" |"")"),2681.0)</f>
        <v>2681</v>
      </c>
      <c r="G2687" s="19">
        <f>IFERROR(__xludf.DUMMYFUNCTION("""COMPUTED_VALUE"""),0.00242)</f>
        <v>0.00242</v>
      </c>
      <c r="H2687" s="19" t="str">
        <f>IFERROR(__xludf.DUMMYFUNCTION("""COMPUTED_VALUE"""),"-")</f>
        <v>-</v>
      </c>
      <c r="I2687" s="19">
        <f>IFERROR(__xludf.DUMMYFUNCTION("""COMPUTED_VALUE"""),0.00219)</f>
        <v>0.00219</v>
      </c>
      <c r="J2687" s="19">
        <f>IFERROR(__xludf.DUMMYFUNCTION("""COMPUTED_VALUE"""),0.04746)</f>
        <v>0.04746</v>
      </c>
      <c r="K2687" s="19" t="str">
        <f>IFERROR(__xludf.DUMMYFUNCTION("""COMPUTED_VALUE"""),"-")</f>
        <v>-</v>
      </c>
      <c r="L2687" s="19" t="str">
        <f>IFERROR(__xludf.DUMMYFUNCTION("""COMPUTED_VALUE"""),"-")</f>
        <v>-</v>
      </c>
      <c r="O2687" s="24">
        <f t="shared" si="4"/>
        <v>0</v>
      </c>
      <c r="P2687" s="24"/>
      <c r="Q2687" s="24">
        <f t="shared" si="6"/>
        <v>0</v>
      </c>
      <c r="R2687" s="24">
        <f t="shared" si="7"/>
        <v>0</v>
      </c>
      <c r="S2687" s="24"/>
      <c r="T2687" s="24"/>
    </row>
    <row r="2688">
      <c r="A2688" s="12" t="s">
        <v>2776</v>
      </c>
      <c r="F2688" s="19">
        <f>IFERROR(__xludf.DUMMYFUNCTION("SPLIT(A2684, "" |"")"),2682.0)</f>
        <v>2682</v>
      </c>
      <c r="G2688" s="19">
        <f>IFERROR(__xludf.DUMMYFUNCTION("""COMPUTED_VALUE"""),0.00237)</f>
        <v>0.00237</v>
      </c>
      <c r="H2688" s="19" t="str">
        <f>IFERROR(__xludf.DUMMYFUNCTION("""COMPUTED_VALUE"""),"-")</f>
        <v>-</v>
      </c>
      <c r="I2688" s="19">
        <f>IFERROR(__xludf.DUMMYFUNCTION("""COMPUTED_VALUE"""),0.00217)</f>
        <v>0.00217</v>
      </c>
      <c r="J2688" s="19">
        <f>IFERROR(__xludf.DUMMYFUNCTION("""COMPUTED_VALUE"""),0.04733)</f>
        <v>0.04733</v>
      </c>
      <c r="K2688" s="19" t="str">
        <f>IFERROR(__xludf.DUMMYFUNCTION("""COMPUTED_VALUE"""),"-")</f>
        <v>-</v>
      </c>
      <c r="L2688" s="19" t="str">
        <f>IFERROR(__xludf.DUMMYFUNCTION("""COMPUTED_VALUE"""),"-")</f>
        <v>-</v>
      </c>
      <c r="O2688" s="24">
        <f t="shared" si="4"/>
        <v>0</v>
      </c>
      <c r="P2688" s="24"/>
      <c r="Q2688" s="24">
        <f t="shared" si="6"/>
        <v>0</v>
      </c>
      <c r="R2688" s="24">
        <f t="shared" si="7"/>
        <v>0</v>
      </c>
      <c r="S2688" s="24"/>
      <c r="T2688" s="24"/>
    </row>
    <row r="2689">
      <c r="A2689" s="12" t="s">
        <v>2777</v>
      </c>
      <c r="F2689" s="19">
        <f>IFERROR(__xludf.DUMMYFUNCTION("SPLIT(A2685, "" |"")"),2683.0)</f>
        <v>2683</v>
      </c>
      <c r="G2689" s="19">
        <f>IFERROR(__xludf.DUMMYFUNCTION("""COMPUTED_VALUE"""),0.00245)</f>
        <v>0.00245</v>
      </c>
      <c r="H2689" s="19" t="str">
        <f>IFERROR(__xludf.DUMMYFUNCTION("""COMPUTED_VALUE"""),"-")</f>
        <v>-</v>
      </c>
      <c r="I2689" s="19">
        <f>IFERROR(__xludf.DUMMYFUNCTION("""COMPUTED_VALUE"""),0.00219)</f>
        <v>0.00219</v>
      </c>
      <c r="J2689" s="19">
        <f>IFERROR(__xludf.DUMMYFUNCTION("""COMPUTED_VALUE"""),0.04748)</f>
        <v>0.04748</v>
      </c>
      <c r="K2689" s="19" t="str">
        <f>IFERROR(__xludf.DUMMYFUNCTION("""COMPUTED_VALUE"""),"-")</f>
        <v>-</v>
      </c>
      <c r="L2689" s="19" t="str">
        <f>IFERROR(__xludf.DUMMYFUNCTION("""COMPUTED_VALUE"""),"-")</f>
        <v>-</v>
      </c>
      <c r="O2689" s="24">
        <f t="shared" si="4"/>
        <v>0</v>
      </c>
      <c r="P2689" s="24"/>
      <c r="Q2689" s="24">
        <f t="shared" si="6"/>
        <v>0</v>
      </c>
      <c r="R2689" s="24">
        <f t="shared" si="7"/>
        <v>0</v>
      </c>
      <c r="S2689" s="24"/>
      <c r="T2689" s="24"/>
    </row>
    <row r="2690">
      <c r="A2690" s="12" t="s">
        <v>2778</v>
      </c>
      <c r="F2690" s="19">
        <f>IFERROR(__xludf.DUMMYFUNCTION("SPLIT(A2686, "" |"")"),2684.0)</f>
        <v>2684</v>
      </c>
      <c r="G2690" s="19">
        <f>IFERROR(__xludf.DUMMYFUNCTION("""COMPUTED_VALUE"""),0.00229)</f>
        <v>0.00229</v>
      </c>
      <c r="H2690" s="19" t="str">
        <f>IFERROR(__xludf.DUMMYFUNCTION("""COMPUTED_VALUE"""),"-")</f>
        <v>-</v>
      </c>
      <c r="I2690" s="19">
        <f>IFERROR(__xludf.DUMMYFUNCTION("""COMPUTED_VALUE"""),0.00221)</f>
        <v>0.00221</v>
      </c>
      <c r="J2690" s="19">
        <f>IFERROR(__xludf.DUMMYFUNCTION("""COMPUTED_VALUE"""),0.04284)</f>
        <v>0.04284</v>
      </c>
      <c r="K2690" s="19" t="str">
        <f>IFERROR(__xludf.DUMMYFUNCTION("""COMPUTED_VALUE"""),"-")</f>
        <v>-</v>
      </c>
      <c r="L2690" s="19" t="str">
        <f>IFERROR(__xludf.DUMMYFUNCTION("""COMPUTED_VALUE"""),"-")</f>
        <v>-</v>
      </c>
      <c r="O2690" s="24">
        <f t="shared" si="4"/>
        <v>0</v>
      </c>
      <c r="P2690" s="24"/>
      <c r="Q2690" s="24">
        <f t="shared" si="6"/>
        <v>0</v>
      </c>
      <c r="R2690" s="24">
        <f t="shared" si="7"/>
        <v>1</v>
      </c>
      <c r="S2690" s="24"/>
      <c r="T2690" s="24"/>
    </row>
    <row r="2691">
      <c r="A2691" s="12" t="s">
        <v>2779</v>
      </c>
      <c r="F2691" s="19">
        <f>IFERROR(__xludf.DUMMYFUNCTION("SPLIT(A2687, "" |"")"),2685.0)</f>
        <v>2685</v>
      </c>
      <c r="G2691" s="19">
        <f>IFERROR(__xludf.DUMMYFUNCTION("""COMPUTED_VALUE"""),0.00235)</f>
        <v>0.00235</v>
      </c>
      <c r="H2691" s="19" t="str">
        <f>IFERROR(__xludf.DUMMYFUNCTION("""COMPUTED_VALUE"""),"-")</f>
        <v>-</v>
      </c>
      <c r="I2691" s="19">
        <f>IFERROR(__xludf.DUMMYFUNCTION("""COMPUTED_VALUE"""),0.00219)</f>
        <v>0.00219</v>
      </c>
      <c r="J2691" s="19">
        <f>IFERROR(__xludf.DUMMYFUNCTION("""COMPUTED_VALUE"""),0.04742)</f>
        <v>0.04742</v>
      </c>
      <c r="K2691" s="19" t="str">
        <f>IFERROR(__xludf.DUMMYFUNCTION("""COMPUTED_VALUE"""),"-")</f>
        <v>-</v>
      </c>
      <c r="L2691" s="19" t="str">
        <f>IFERROR(__xludf.DUMMYFUNCTION("""COMPUTED_VALUE"""),"-")</f>
        <v>-</v>
      </c>
      <c r="O2691" s="24">
        <f t="shared" si="4"/>
        <v>0</v>
      </c>
      <c r="P2691" s="24"/>
      <c r="Q2691" s="24">
        <f t="shared" si="6"/>
        <v>0</v>
      </c>
      <c r="R2691" s="24">
        <f t="shared" si="7"/>
        <v>0</v>
      </c>
      <c r="S2691" s="24"/>
      <c r="T2691" s="24"/>
    </row>
    <row r="2692">
      <c r="A2692" s="12" t="s">
        <v>2780</v>
      </c>
      <c r="F2692" s="19">
        <f>IFERROR(__xludf.DUMMYFUNCTION("SPLIT(A2688, "" |"")"),2686.0)</f>
        <v>2686</v>
      </c>
      <c r="G2692" s="19">
        <f>IFERROR(__xludf.DUMMYFUNCTION("""COMPUTED_VALUE"""),0.00223)</f>
        <v>0.00223</v>
      </c>
      <c r="H2692" s="19" t="str">
        <f>IFERROR(__xludf.DUMMYFUNCTION("""COMPUTED_VALUE"""),"-")</f>
        <v>-</v>
      </c>
      <c r="I2692" s="19">
        <f>IFERROR(__xludf.DUMMYFUNCTION("""COMPUTED_VALUE"""),0.0022)</f>
        <v>0.0022</v>
      </c>
      <c r="J2692" s="19">
        <f>IFERROR(__xludf.DUMMYFUNCTION("""COMPUTED_VALUE"""),0.04643)</f>
        <v>0.04643</v>
      </c>
      <c r="K2692" s="19" t="str">
        <f>IFERROR(__xludf.DUMMYFUNCTION("""COMPUTED_VALUE"""),"-")</f>
        <v>-</v>
      </c>
      <c r="L2692" s="19" t="str">
        <f>IFERROR(__xludf.DUMMYFUNCTION("""COMPUTED_VALUE"""),"-")</f>
        <v>-</v>
      </c>
      <c r="O2692" s="24">
        <f t="shared" si="4"/>
        <v>0</v>
      </c>
      <c r="P2692" s="24"/>
      <c r="Q2692" s="24">
        <f t="shared" si="6"/>
        <v>0</v>
      </c>
      <c r="R2692" s="24">
        <f t="shared" si="7"/>
        <v>0</v>
      </c>
      <c r="S2692" s="24"/>
      <c r="T2692" s="24"/>
    </row>
    <row r="2693">
      <c r="A2693" s="12" t="s">
        <v>2781</v>
      </c>
      <c r="F2693" s="19">
        <f>IFERROR(__xludf.DUMMYFUNCTION("SPLIT(A2689, "" |"")"),2687.0)</f>
        <v>2687</v>
      </c>
      <c r="G2693" s="19">
        <f>IFERROR(__xludf.DUMMYFUNCTION("""COMPUTED_VALUE"""),0.00246)</f>
        <v>0.00246</v>
      </c>
      <c r="H2693" s="19" t="str">
        <f>IFERROR(__xludf.DUMMYFUNCTION("""COMPUTED_VALUE"""),"-")</f>
        <v>-</v>
      </c>
      <c r="I2693" s="19">
        <f>IFERROR(__xludf.DUMMYFUNCTION("""COMPUTED_VALUE"""),0.00221)</f>
        <v>0.00221</v>
      </c>
      <c r="J2693" s="19">
        <f>IFERROR(__xludf.DUMMYFUNCTION("""COMPUTED_VALUE"""),0.04749)</f>
        <v>0.04749</v>
      </c>
      <c r="K2693" s="19" t="str">
        <f>IFERROR(__xludf.DUMMYFUNCTION("""COMPUTED_VALUE"""),"-")</f>
        <v>-</v>
      </c>
      <c r="L2693" s="19" t="str">
        <f>IFERROR(__xludf.DUMMYFUNCTION("""COMPUTED_VALUE"""),"-")</f>
        <v>-</v>
      </c>
      <c r="O2693" s="24">
        <f t="shared" si="4"/>
        <v>0</v>
      </c>
      <c r="P2693" s="24"/>
      <c r="Q2693" s="24">
        <f t="shared" si="6"/>
        <v>0</v>
      </c>
      <c r="R2693" s="24">
        <f t="shared" si="7"/>
        <v>0</v>
      </c>
      <c r="S2693" s="24"/>
      <c r="T2693" s="24"/>
    </row>
    <row r="2694">
      <c r="A2694" s="12" t="s">
        <v>2782</v>
      </c>
      <c r="F2694" s="19">
        <f>IFERROR(__xludf.DUMMYFUNCTION("SPLIT(A2690, "" |"")"),2688.0)</f>
        <v>2688</v>
      </c>
      <c r="G2694" s="19">
        <f>IFERROR(__xludf.DUMMYFUNCTION("""COMPUTED_VALUE"""),0.00224)</f>
        <v>0.00224</v>
      </c>
      <c r="H2694" s="19" t="str">
        <f>IFERROR(__xludf.DUMMYFUNCTION("""COMPUTED_VALUE"""),"-")</f>
        <v>-</v>
      </c>
      <c r="I2694" s="19">
        <f>IFERROR(__xludf.DUMMYFUNCTION("""COMPUTED_VALUE"""),0.00207)</f>
        <v>0.00207</v>
      </c>
      <c r="J2694" s="19">
        <f>IFERROR(__xludf.DUMMYFUNCTION("""COMPUTED_VALUE"""),0.04727)</f>
        <v>0.04727</v>
      </c>
      <c r="K2694" s="19" t="str">
        <f>IFERROR(__xludf.DUMMYFUNCTION("""COMPUTED_VALUE"""),"-")</f>
        <v>-</v>
      </c>
      <c r="L2694" s="19" t="str">
        <f>IFERROR(__xludf.DUMMYFUNCTION("""COMPUTED_VALUE"""),"-")</f>
        <v>-</v>
      </c>
      <c r="O2694" s="24">
        <f t="shared" si="4"/>
        <v>0</v>
      </c>
      <c r="P2694" s="24"/>
      <c r="Q2694" s="24">
        <f t="shared" si="6"/>
        <v>0</v>
      </c>
      <c r="R2694" s="24">
        <f t="shared" si="7"/>
        <v>0</v>
      </c>
      <c r="S2694" s="24"/>
      <c r="T2694" s="24"/>
    </row>
    <row r="2695">
      <c r="A2695" s="12" t="s">
        <v>2783</v>
      </c>
      <c r="F2695" s="19">
        <f>IFERROR(__xludf.DUMMYFUNCTION("SPLIT(A2691, "" |"")"),2689.0)</f>
        <v>2689</v>
      </c>
      <c r="G2695" s="19">
        <f>IFERROR(__xludf.DUMMYFUNCTION("""COMPUTED_VALUE"""),0.00226)</f>
        <v>0.00226</v>
      </c>
      <c r="H2695" s="19" t="str">
        <f>IFERROR(__xludf.DUMMYFUNCTION("""COMPUTED_VALUE"""),"-")</f>
        <v>-</v>
      </c>
      <c r="I2695" s="19">
        <f>IFERROR(__xludf.DUMMYFUNCTION("""COMPUTED_VALUE"""),0.0021)</f>
        <v>0.0021</v>
      </c>
      <c r="J2695" s="19">
        <f>IFERROR(__xludf.DUMMYFUNCTION("""COMPUTED_VALUE"""),0.04735)</f>
        <v>0.04735</v>
      </c>
      <c r="K2695" s="19" t="str">
        <f>IFERROR(__xludf.DUMMYFUNCTION("""COMPUTED_VALUE"""),"-")</f>
        <v>-</v>
      </c>
      <c r="L2695" s="19" t="str">
        <f>IFERROR(__xludf.DUMMYFUNCTION("""COMPUTED_VALUE"""),"-")</f>
        <v>-</v>
      </c>
      <c r="O2695" s="24">
        <f t="shared" si="4"/>
        <v>0</v>
      </c>
      <c r="P2695" s="24"/>
      <c r="Q2695" s="24">
        <f t="shared" si="6"/>
        <v>0</v>
      </c>
      <c r="R2695" s="24">
        <f t="shared" si="7"/>
        <v>0</v>
      </c>
      <c r="S2695" s="24"/>
      <c r="T2695" s="24"/>
    </row>
    <row r="2696">
      <c r="A2696" s="12" t="s">
        <v>2784</v>
      </c>
      <c r="F2696" s="19">
        <f>IFERROR(__xludf.DUMMYFUNCTION("SPLIT(A2692, "" |"")"),2690.0)</f>
        <v>2690</v>
      </c>
      <c r="G2696" s="19">
        <f>IFERROR(__xludf.DUMMYFUNCTION("""COMPUTED_VALUE"""),0.00241)</f>
        <v>0.00241</v>
      </c>
      <c r="H2696" s="19" t="str">
        <f>IFERROR(__xludf.DUMMYFUNCTION("""COMPUTED_VALUE"""),"-")</f>
        <v>-</v>
      </c>
      <c r="I2696" s="19">
        <f>IFERROR(__xludf.DUMMYFUNCTION("""COMPUTED_VALUE"""),0.0021)</f>
        <v>0.0021</v>
      </c>
      <c r="J2696" s="19">
        <f>IFERROR(__xludf.DUMMYFUNCTION("""COMPUTED_VALUE"""),0.04749)</f>
        <v>0.04749</v>
      </c>
      <c r="K2696" s="19" t="str">
        <f>IFERROR(__xludf.DUMMYFUNCTION("""COMPUTED_VALUE"""),"-")</f>
        <v>-</v>
      </c>
      <c r="L2696" s="19" t="str">
        <f>IFERROR(__xludf.DUMMYFUNCTION("""COMPUTED_VALUE"""),"-")</f>
        <v>-</v>
      </c>
      <c r="O2696" s="24">
        <f t="shared" si="4"/>
        <v>0</v>
      </c>
      <c r="P2696" s="24"/>
      <c r="Q2696" s="24">
        <f t="shared" si="6"/>
        <v>0</v>
      </c>
      <c r="R2696" s="24">
        <f t="shared" si="7"/>
        <v>0</v>
      </c>
      <c r="S2696" s="24"/>
      <c r="T2696" s="24"/>
    </row>
    <row r="2697">
      <c r="A2697" s="12" t="s">
        <v>2785</v>
      </c>
      <c r="F2697" s="19">
        <f>IFERROR(__xludf.DUMMYFUNCTION("SPLIT(A2693, "" |"")"),2691.0)</f>
        <v>2691</v>
      </c>
      <c r="G2697" s="19">
        <f>IFERROR(__xludf.DUMMYFUNCTION("""COMPUTED_VALUE"""),0.00245)</f>
        <v>0.00245</v>
      </c>
      <c r="H2697" s="19" t="str">
        <f>IFERROR(__xludf.DUMMYFUNCTION("""COMPUTED_VALUE"""),"-")</f>
        <v>-</v>
      </c>
      <c r="I2697" s="19">
        <f>IFERROR(__xludf.DUMMYFUNCTION("""COMPUTED_VALUE"""),0.00217)</f>
        <v>0.00217</v>
      </c>
      <c r="J2697" s="19">
        <f>IFERROR(__xludf.DUMMYFUNCTION("""COMPUTED_VALUE"""),0.04747)</f>
        <v>0.04747</v>
      </c>
      <c r="K2697" s="19" t="str">
        <f>IFERROR(__xludf.DUMMYFUNCTION("""COMPUTED_VALUE"""),"-")</f>
        <v>-</v>
      </c>
      <c r="L2697" s="19" t="str">
        <f>IFERROR(__xludf.DUMMYFUNCTION("""COMPUTED_VALUE"""),"-")</f>
        <v>-</v>
      </c>
      <c r="O2697" s="24">
        <f t="shared" si="4"/>
        <v>0</v>
      </c>
      <c r="P2697" s="24"/>
      <c r="Q2697" s="24">
        <f t="shared" si="6"/>
        <v>0</v>
      </c>
      <c r="R2697" s="24">
        <f t="shared" si="7"/>
        <v>0</v>
      </c>
      <c r="S2697" s="24"/>
      <c r="T2697" s="24"/>
    </row>
    <row r="2698">
      <c r="A2698" s="12" t="s">
        <v>2786</v>
      </c>
      <c r="F2698" s="19">
        <f>IFERROR(__xludf.DUMMYFUNCTION("SPLIT(A2694, "" |"")"),2692.0)</f>
        <v>2692</v>
      </c>
      <c r="G2698" s="19">
        <f>IFERROR(__xludf.DUMMYFUNCTION("""COMPUTED_VALUE"""),0.0023)</f>
        <v>0.0023</v>
      </c>
      <c r="H2698" s="19" t="str">
        <f>IFERROR(__xludf.DUMMYFUNCTION("""COMPUTED_VALUE"""),"-")</f>
        <v>-</v>
      </c>
      <c r="I2698" s="19">
        <f>IFERROR(__xludf.DUMMYFUNCTION("""COMPUTED_VALUE"""),0.00218)</f>
        <v>0.00218</v>
      </c>
      <c r="J2698" s="19">
        <f>IFERROR(__xludf.DUMMYFUNCTION("""COMPUTED_VALUE"""),0.04742)</f>
        <v>0.04742</v>
      </c>
      <c r="K2698" s="19" t="str">
        <f>IFERROR(__xludf.DUMMYFUNCTION("""COMPUTED_VALUE"""),"-")</f>
        <v>-</v>
      </c>
      <c r="L2698" s="19" t="str">
        <f>IFERROR(__xludf.DUMMYFUNCTION("""COMPUTED_VALUE"""),"-")</f>
        <v>-</v>
      </c>
      <c r="O2698" s="24">
        <f t="shared" si="4"/>
        <v>0</v>
      </c>
      <c r="P2698" s="24"/>
      <c r="Q2698" s="24">
        <f t="shared" si="6"/>
        <v>0</v>
      </c>
      <c r="R2698" s="24">
        <f t="shared" si="7"/>
        <v>0</v>
      </c>
      <c r="S2698" s="24"/>
      <c r="T2698" s="24"/>
    </row>
    <row r="2699">
      <c r="A2699" s="12" t="s">
        <v>2787</v>
      </c>
      <c r="F2699" s="19">
        <f>IFERROR(__xludf.DUMMYFUNCTION("SPLIT(A2695, "" |"")"),2693.0)</f>
        <v>2693</v>
      </c>
      <c r="G2699" s="19">
        <f>IFERROR(__xludf.DUMMYFUNCTION("""COMPUTED_VALUE"""),0.00234)</f>
        <v>0.00234</v>
      </c>
      <c r="H2699" s="19" t="str">
        <f>IFERROR(__xludf.DUMMYFUNCTION("""COMPUTED_VALUE"""),"-")</f>
        <v>-</v>
      </c>
      <c r="I2699" s="19">
        <f>IFERROR(__xludf.DUMMYFUNCTION("""COMPUTED_VALUE"""),0.00221)</f>
        <v>0.00221</v>
      </c>
      <c r="J2699" s="19">
        <f>IFERROR(__xludf.DUMMYFUNCTION("""COMPUTED_VALUE"""),0.04747)</f>
        <v>0.04747</v>
      </c>
      <c r="K2699" s="19" t="str">
        <f>IFERROR(__xludf.DUMMYFUNCTION("""COMPUTED_VALUE"""),"-")</f>
        <v>-</v>
      </c>
      <c r="L2699" s="19" t="str">
        <f>IFERROR(__xludf.DUMMYFUNCTION("""COMPUTED_VALUE"""),"-")</f>
        <v>-</v>
      </c>
      <c r="O2699" s="24">
        <f t="shared" si="4"/>
        <v>0</v>
      </c>
      <c r="P2699" s="24"/>
      <c r="Q2699" s="24">
        <f t="shared" si="6"/>
        <v>0</v>
      </c>
      <c r="R2699" s="24">
        <f t="shared" si="7"/>
        <v>0</v>
      </c>
      <c r="S2699" s="24"/>
      <c r="T2699" s="24"/>
    </row>
    <row r="2700">
      <c r="A2700" s="12" t="s">
        <v>2788</v>
      </c>
      <c r="F2700" s="19">
        <f>IFERROR(__xludf.DUMMYFUNCTION("SPLIT(A2696, "" |"")"),2694.0)</f>
        <v>2694</v>
      </c>
      <c r="G2700" s="19">
        <f>IFERROR(__xludf.DUMMYFUNCTION("""COMPUTED_VALUE"""),0.00234)</f>
        <v>0.00234</v>
      </c>
      <c r="H2700" s="19" t="str">
        <f>IFERROR(__xludf.DUMMYFUNCTION("""COMPUTED_VALUE"""),"-")</f>
        <v>-</v>
      </c>
      <c r="I2700" s="19">
        <f>IFERROR(__xludf.DUMMYFUNCTION("""COMPUTED_VALUE"""),0.0022)</f>
        <v>0.0022</v>
      </c>
      <c r="J2700" s="19">
        <f>IFERROR(__xludf.DUMMYFUNCTION("""COMPUTED_VALUE"""),0.04741)</f>
        <v>0.04741</v>
      </c>
      <c r="K2700" s="19" t="str">
        <f>IFERROR(__xludf.DUMMYFUNCTION("""COMPUTED_VALUE"""),"-")</f>
        <v>-</v>
      </c>
      <c r="L2700" s="19" t="str">
        <f>IFERROR(__xludf.DUMMYFUNCTION("""COMPUTED_VALUE"""),"-")</f>
        <v>-</v>
      </c>
      <c r="O2700" s="24">
        <f t="shared" si="4"/>
        <v>0</v>
      </c>
      <c r="P2700" s="24"/>
      <c r="Q2700" s="24">
        <f t="shared" si="6"/>
        <v>0</v>
      </c>
      <c r="R2700" s="24">
        <f t="shared" si="7"/>
        <v>0</v>
      </c>
      <c r="S2700" s="24"/>
      <c r="T2700" s="24"/>
    </row>
    <row r="2701">
      <c r="A2701" s="12" t="s">
        <v>2789</v>
      </c>
      <c r="F2701" s="19">
        <f>IFERROR(__xludf.DUMMYFUNCTION("SPLIT(A2697, "" |"")"),2695.0)</f>
        <v>2695</v>
      </c>
      <c r="G2701" s="19">
        <f>IFERROR(__xludf.DUMMYFUNCTION("""COMPUTED_VALUE"""),0.00234)</f>
        <v>0.00234</v>
      </c>
      <c r="H2701" s="19" t="str">
        <f>IFERROR(__xludf.DUMMYFUNCTION("""COMPUTED_VALUE"""),"-")</f>
        <v>-</v>
      </c>
      <c r="I2701" s="19">
        <f>IFERROR(__xludf.DUMMYFUNCTION("""COMPUTED_VALUE"""),0.00222)</f>
        <v>0.00222</v>
      </c>
      <c r="J2701" s="19">
        <f>IFERROR(__xludf.DUMMYFUNCTION("""COMPUTED_VALUE"""),0.04744)</f>
        <v>0.04744</v>
      </c>
      <c r="K2701" s="19" t="str">
        <f>IFERROR(__xludf.DUMMYFUNCTION("""COMPUTED_VALUE"""),"-")</f>
        <v>-</v>
      </c>
      <c r="L2701" s="19" t="str">
        <f>IFERROR(__xludf.DUMMYFUNCTION("""COMPUTED_VALUE"""),"-")</f>
        <v>-</v>
      </c>
      <c r="O2701" s="24">
        <f t="shared" si="4"/>
        <v>0</v>
      </c>
      <c r="P2701" s="24"/>
      <c r="Q2701" s="24">
        <f t="shared" si="6"/>
        <v>0</v>
      </c>
      <c r="R2701" s="24">
        <f t="shared" si="7"/>
        <v>0</v>
      </c>
      <c r="S2701" s="24"/>
      <c r="T2701" s="24"/>
    </row>
    <row r="2702">
      <c r="A2702" s="12" t="s">
        <v>2790</v>
      </c>
      <c r="F2702" s="19">
        <f>IFERROR(__xludf.DUMMYFUNCTION("SPLIT(A2698, "" |"")"),2696.0)</f>
        <v>2696</v>
      </c>
      <c r="G2702" s="19">
        <f>IFERROR(__xludf.DUMMYFUNCTION("""COMPUTED_VALUE"""),0.00244)</f>
        <v>0.00244</v>
      </c>
      <c r="H2702" s="19" t="str">
        <f>IFERROR(__xludf.DUMMYFUNCTION("""COMPUTED_VALUE"""),"-")</f>
        <v>-</v>
      </c>
      <c r="I2702" s="19">
        <f>IFERROR(__xludf.DUMMYFUNCTION("""COMPUTED_VALUE"""),0.00219)</f>
        <v>0.00219</v>
      </c>
      <c r="J2702" s="19">
        <f>IFERROR(__xludf.DUMMYFUNCTION("""COMPUTED_VALUE"""),0.04736)</f>
        <v>0.04736</v>
      </c>
      <c r="K2702" s="19" t="str">
        <f>IFERROR(__xludf.DUMMYFUNCTION("""COMPUTED_VALUE"""),"-")</f>
        <v>-</v>
      </c>
      <c r="L2702" s="19" t="str">
        <f>IFERROR(__xludf.DUMMYFUNCTION("""COMPUTED_VALUE"""),"-")</f>
        <v>-</v>
      </c>
      <c r="O2702" s="24">
        <f t="shared" si="4"/>
        <v>0</v>
      </c>
      <c r="P2702" s="24"/>
      <c r="Q2702" s="24">
        <f t="shared" si="6"/>
        <v>0</v>
      </c>
      <c r="R2702" s="24">
        <f t="shared" si="7"/>
        <v>0</v>
      </c>
      <c r="S2702" s="24"/>
      <c r="T2702" s="24"/>
    </row>
    <row r="2703">
      <c r="A2703" s="12" t="s">
        <v>2791</v>
      </c>
      <c r="F2703" s="19">
        <f>IFERROR(__xludf.DUMMYFUNCTION("SPLIT(A2699, "" |"")"),2697.0)</f>
        <v>2697</v>
      </c>
      <c r="G2703" s="19">
        <f>IFERROR(__xludf.DUMMYFUNCTION("""COMPUTED_VALUE"""),0.0025)</f>
        <v>0.0025</v>
      </c>
      <c r="H2703" s="19" t="str">
        <f>IFERROR(__xludf.DUMMYFUNCTION("""COMPUTED_VALUE"""),"-")</f>
        <v>-</v>
      </c>
      <c r="I2703" s="19">
        <f>IFERROR(__xludf.DUMMYFUNCTION("""COMPUTED_VALUE"""),0.00227)</f>
        <v>0.00227</v>
      </c>
      <c r="J2703" s="19">
        <f>IFERROR(__xludf.DUMMYFUNCTION("""COMPUTED_VALUE"""),0.04745)</f>
        <v>0.04745</v>
      </c>
      <c r="K2703" s="19" t="str">
        <f>IFERROR(__xludf.DUMMYFUNCTION("""COMPUTED_VALUE"""),"-")</f>
        <v>-</v>
      </c>
      <c r="L2703" s="19" t="str">
        <f>IFERROR(__xludf.DUMMYFUNCTION("""COMPUTED_VALUE"""),"-")</f>
        <v>-</v>
      </c>
      <c r="O2703" s="24">
        <f t="shared" si="4"/>
        <v>0</v>
      </c>
      <c r="P2703" s="24"/>
      <c r="Q2703" s="24">
        <f t="shared" si="6"/>
        <v>0</v>
      </c>
      <c r="R2703" s="24">
        <f t="shared" si="7"/>
        <v>0</v>
      </c>
      <c r="S2703" s="24"/>
      <c r="T2703" s="24"/>
    </row>
    <row r="2704">
      <c r="A2704" s="12" t="s">
        <v>2792</v>
      </c>
      <c r="F2704" s="19">
        <f>IFERROR(__xludf.DUMMYFUNCTION("SPLIT(A2700, "" |"")"),2698.0)</f>
        <v>2698</v>
      </c>
      <c r="G2704" s="19">
        <f>IFERROR(__xludf.DUMMYFUNCTION("""COMPUTED_VALUE"""),0.00241)</f>
        <v>0.00241</v>
      </c>
      <c r="H2704" s="19" t="str">
        <f>IFERROR(__xludf.DUMMYFUNCTION("""COMPUTED_VALUE"""),"-")</f>
        <v>-</v>
      </c>
      <c r="I2704" s="19">
        <f>IFERROR(__xludf.DUMMYFUNCTION("""COMPUTED_VALUE"""),0.0022)</f>
        <v>0.0022</v>
      </c>
      <c r="J2704" s="19">
        <f>IFERROR(__xludf.DUMMYFUNCTION("""COMPUTED_VALUE"""),0.03954)</f>
        <v>0.03954</v>
      </c>
      <c r="K2704" s="19" t="str">
        <f>IFERROR(__xludf.DUMMYFUNCTION("""COMPUTED_VALUE"""),"-")</f>
        <v>-</v>
      </c>
      <c r="L2704" s="19" t="str">
        <f>IFERROR(__xludf.DUMMYFUNCTION("""COMPUTED_VALUE"""),"-")</f>
        <v>-</v>
      </c>
      <c r="O2704" s="24">
        <f t="shared" si="4"/>
        <v>0</v>
      </c>
      <c r="P2704" s="24"/>
      <c r="Q2704" s="24">
        <f t="shared" si="6"/>
        <v>0</v>
      </c>
      <c r="R2704" s="24">
        <f t="shared" si="7"/>
        <v>1</v>
      </c>
      <c r="S2704" s="24"/>
      <c r="T2704" s="24"/>
    </row>
    <row r="2705">
      <c r="A2705" s="12" t="s">
        <v>2793</v>
      </c>
      <c r="F2705" s="19">
        <f>IFERROR(__xludf.DUMMYFUNCTION("SPLIT(A2701, "" |"")"),2699.0)</f>
        <v>2699</v>
      </c>
      <c r="G2705" s="19">
        <f>IFERROR(__xludf.DUMMYFUNCTION("""COMPUTED_VALUE"""),0.00233)</f>
        <v>0.00233</v>
      </c>
      <c r="H2705" s="19" t="str">
        <f>IFERROR(__xludf.DUMMYFUNCTION("""COMPUTED_VALUE"""),"-")</f>
        <v>-</v>
      </c>
      <c r="I2705" s="19">
        <f>IFERROR(__xludf.DUMMYFUNCTION("""COMPUTED_VALUE"""),0.00219)</f>
        <v>0.00219</v>
      </c>
      <c r="J2705" s="19">
        <f>IFERROR(__xludf.DUMMYFUNCTION("""COMPUTED_VALUE"""),0.04742)</f>
        <v>0.04742</v>
      </c>
      <c r="K2705" s="19" t="str">
        <f>IFERROR(__xludf.DUMMYFUNCTION("""COMPUTED_VALUE"""),"-")</f>
        <v>-</v>
      </c>
      <c r="L2705" s="19" t="str">
        <f>IFERROR(__xludf.DUMMYFUNCTION("""COMPUTED_VALUE"""),"-")</f>
        <v>-</v>
      </c>
      <c r="O2705" s="24">
        <f t="shared" si="4"/>
        <v>0</v>
      </c>
      <c r="P2705" s="24"/>
      <c r="Q2705" s="24">
        <f t="shared" si="6"/>
        <v>0</v>
      </c>
      <c r="R2705" s="24">
        <f t="shared" si="7"/>
        <v>0</v>
      </c>
      <c r="S2705" s="24"/>
      <c r="T2705" s="24"/>
    </row>
    <row r="2706">
      <c r="A2706" s="12" t="s">
        <v>2794</v>
      </c>
      <c r="F2706" s="19">
        <f>IFERROR(__xludf.DUMMYFUNCTION("SPLIT(A2702, "" |"")"),2700.0)</f>
        <v>2700</v>
      </c>
      <c r="G2706" s="19">
        <f>IFERROR(__xludf.DUMMYFUNCTION("""COMPUTED_VALUE"""),0.00238)</f>
        <v>0.00238</v>
      </c>
      <c r="H2706" s="19" t="str">
        <f>IFERROR(__xludf.DUMMYFUNCTION("""COMPUTED_VALUE"""),"-")</f>
        <v>-</v>
      </c>
      <c r="I2706" s="19">
        <f>IFERROR(__xludf.DUMMYFUNCTION("""COMPUTED_VALUE"""),0.00218)</f>
        <v>0.00218</v>
      </c>
      <c r="J2706" s="19">
        <f>IFERROR(__xludf.DUMMYFUNCTION("""COMPUTED_VALUE"""),0.04747)</f>
        <v>0.04747</v>
      </c>
      <c r="K2706" s="19" t="str">
        <f>IFERROR(__xludf.DUMMYFUNCTION("""COMPUTED_VALUE"""),"-")</f>
        <v>-</v>
      </c>
      <c r="L2706" s="19" t="str">
        <f>IFERROR(__xludf.DUMMYFUNCTION("""COMPUTED_VALUE"""),"-")</f>
        <v>-</v>
      </c>
      <c r="O2706" s="24">
        <f t="shared" si="4"/>
        <v>0</v>
      </c>
      <c r="P2706" s="24"/>
      <c r="Q2706" s="24">
        <f t="shared" si="6"/>
        <v>0</v>
      </c>
      <c r="R2706" s="24">
        <f t="shared" si="7"/>
        <v>0</v>
      </c>
      <c r="S2706" s="24"/>
      <c r="T2706" s="24"/>
    </row>
    <row r="2707">
      <c r="A2707" s="12" t="s">
        <v>2795</v>
      </c>
      <c r="F2707" s="19">
        <f>IFERROR(__xludf.DUMMYFUNCTION("SPLIT(A2703, "" |"")"),2701.0)</f>
        <v>2701</v>
      </c>
      <c r="G2707" s="19">
        <f>IFERROR(__xludf.DUMMYFUNCTION("""COMPUTED_VALUE"""),0.00239)</f>
        <v>0.00239</v>
      </c>
      <c r="H2707" s="19" t="str">
        <f>IFERROR(__xludf.DUMMYFUNCTION("""COMPUTED_VALUE"""),"-")</f>
        <v>-</v>
      </c>
      <c r="I2707" s="19">
        <f>IFERROR(__xludf.DUMMYFUNCTION("""COMPUTED_VALUE"""),0.00225)</f>
        <v>0.00225</v>
      </c>
      <c r="J2707" s="19">
        <f>IFERROR(__xludf.DUMMYFUNCTION("""COMPUTED_VALUE"""),0.04749)</f>
        <v>0.04749</v>
      </c>
      <c r="K2707" s="19" t="str">
        <f>IFERROR(__xludf.DUMMYFUNCTION("""COMPUTED_VALUE"""),"-")</f>
        <v>-</v>
      </c>
      <c r="L2707" s="19" t="str">
        <f>IFERROR(__xludf.DUMMYFUNCTION("""COMPUTED_VALUE"""),"-")</f>
        <v>-</v>
      </c>
      <c r="O2707" s="24">
        <f t="shared" si="4"/>
        <v>0</v>
      </c>
      <c r="P2707" s="24"/>
      <c r="Q2707" s="24">
        <f t="shared" si="6"/>
        <v>0</v>
      </c>
      <c r="R2707" s="24">
        <f t="shared" si="7"/>
        <v>0</v>
      </c>
      <c r="S2707" s="24"/>
      <c r="T2707" s="24"/>
    </row>
    <row r="2708">
      <c r="A2708" s="12" t="s">
        <v>2796</v>
      </c>
      <c r="F2708" s="19">
        <f>IFERROR(__xludf.DUMMYFUNCTION("SPLIT(A2704, "" |"")"),2702.0)</f>
        <v>2702</v>
      </c>
      <c r="G2708" s="19">
        <f>IFERROR(__xludf.DUMMYFUNCTION("""COMPUTED_VALUE"""),0.00235)</f>
        <v>0.00235</v>
      </c>
      <c r="H2708" s="19" t="str">
        <f>IFERROR(__xludf.DUMMYFUNCTION("""COMPUTED_VALUE"""),"-")</f>
        <v>-</v>
      </c>
      <c r="I2708" s="19">
        <f>IFERROR(__xludf.DUMMYFUNCTION("""COMPUTED_VALUE"""),0.00214)</f>
        <v>0.00214</v>
      </c>
      <c r="J2708" s="19">
        <f>IFERROR(__xludf.DUMMYFUNCTION("""COMPUTED_VALUE"""),0.04743)</f>
        <v>0.04743</v>
      </c>
      <c r="K2708" s="19" t="str">
        <f>IFERROR(__xludf.DUMMYFUNCTION("""COMPUTED_VALUE"""),"-")</f>
        <v>-</v>
      </c>
      <c r="L2708" s="19" t="str">
        <f>IFERROR(__xludf.DUMMYFUNCTION("""COMPUTED_VALUE"""),"-")</f>
        <v>-</v>
      </c>
      <c r="O2708" s="24">
        <f t="shared" si="4"/>
        <v>0</v>
      </c>
      <c r="P2708" s="24"/>
      <c r="Q2708" s="24">
        <f t="shared" si="6"/>
        <v>0</v>
      </c>
      <c r="R2708" s="24">
        <f t="shared" si="7"/>
        <v>0</v>
      </c>
      <c r="S2708" s="24"/>
      <c r="T2708" s="24"/>
    </row>
    <row r="2709">
      <c r="A2709" s="12" t="s">
        <v>2797</v>
      </c>
      <c r="F2709" s="19">
        <f>IFERROR(__xludf.DUMMYFUNCTION("SPLIT(A2705, "" |"")"),2703.0)</f>
        <v>2703</v>
      </c>
      <c r="G2709" s="19">
        <f>IFERROR(__xludf.DUMMYFUNCTION("""COMPUTED_VALUE"""),0.00241)</f>
        <v>0.00241</v>
      </c>
      <c r="H2709" s="19" t="str">
        <f>IFERROR(__xludf.DUMMYFUNCTION("""COMPUTED_VALUE"""),"-")</f>
        <v>-</v>
      </c>
      <c r="I2709" s="19">
        <f>IFERROR(__xludf.DUMMYFUNCTION("""COMPUTED_VALUE"""),0.00221)</f>
        <v>0.00221</v>
      </c>
      <c r="J2709" s="19">
        <f>IFERROR(__xludf.DUMMYFUNCTION("""COMPUTED_VALUE"""),0.04742)</f>
        <v>0.04742</v>
      </c>
      <c r="K2709" s="19" t="str">
        <f>IFERROR(__xludf.DUMMYFUNCTION("""COMPUTED_VALUE"""),"-")</f>
        <v>-</v>
      </c>
      <c r="L2709" s="19" t="str">
        <f>IFERROR(__xludf.DUMMYFUNCTION("""COMPUTED_VALUE"""),"-")</f>
        <v>-</v>
      </c>
      <c r="O2709" s="24">
        <f t="shared" si="4"/>
        <v>0</v>
      </c>
      <c r="P2709" s="24"/>
      <c r="Q2709" s="24">
        <f t="shared" si="6"/>
        <v>0</v>
      </c>
      <c r="R2709" s="24">
        <f t="shared" si="7"/>
        <v>0</v>
      </c>
      <c r="S2709" s="24"/>
      <c r="T2709" s="24"/>
    </row>
    <row r="2710">
      <c r="A2710" s="12" t="s">
        <v>2798</v>
      </c>
      <c r="F2710" s="19">
        <f>IFERROR(__xludf.DUMMYFUNCTION("SPLIT(A2706, "" |"")"),2704.0)</f>
        <v>2704</v>
      </c>
      <c r="G2710" s="19">
        <f>IFERROR(__xludf.DUMMYFUNCTION("""COMPUTED_VALUE"""),0.0024)</f>
        <v>0.0024</v>
      </c>
      <c r="H2710" s="19" t="str">
        <f>IFERROR(__xludf.DUMMYFUNCTION("""COMPUTED_VALUE"""),"-")</f>
        <v>-</v>
      </c>
      <c r="I2710" s="19">
        <f>IFERROR(__xludf.DUMMYFUNCTION("""COMPUTED_VALUE"""),0.00216)</f>
        <v>0.00216</v>
      </c>
      <c r="J2710" s="19">
        <f>IFERROR(__xludf.DUMMYFUNCTION("""COMPUTED_VALUE"""),0.04742)</f>
        <v>0.04742</v>
      </c>
      <c r="K2710" s="19" t="str">
        <f>IFERROR(__xludf.DUMMYFUNCTION("""COMPUTED_VALUE"""),"-")</f>
        <v>-</v>
      </c>
      <c r="L2710" s="19" t="str">
        <f>IFERROR(__xludf.DUMMYFUNCTION("""COMPUTED_VALUE"""),"-")</f>
        <v>-</v>
      </c>
      <c r="O2710" s="24">
        <f t="shared" si="4"/>
        <v>0</v>
      </c>
      <c r="P2710" s="24"/>
      <c r="Q2710" s="24">
        <f t="shared" si="6"/>
        <v>0</v>
      </c>
      <c r="R2710" s="24">
        <f t="shared" si="7"/>
        <v>0</v>
      </c>
      <c r="S2710" s="24"/>
      <c r="T2710" s="24"/>
    </row>
    <row r="2711">
      <c r="A2711" s="12" t="s">
        <v>2799</v>
      </c>
      <c r="F2711" s="19">
        <f>IFERROR(__xludf.DUMMYFUNCTION("SPLIT(A2707, "" |"")"),2705.0)</f>
        <v>2705</v>
      </c>
      <c r="G2711" s="19">
        <f>IFERROR(__xludf.DUMMYFUNCTION("""COMPUTED_VALUE"""),0.00238)</f>
        <v>0.00238</v>
      </c>
      <c r="H2711" s="19" t="str">
        <f>IFERROR(__xludf.DUMMYFUNCTION("""COMPUTED_VALUE"""),"-")</f>
        <v>-</v>
      </c>
      <c r="I2711" s="19">
        <f>IFERROR(__xludf.DUMMYFUNCTION("""COMPUTED_VALUE"""),0.00217)</f>
        <v>0.00217</v>
      </c>
      <c r="J2711" s="19">
        <f>IFERROR(__xludf.DUMMYFUNCTION("""COMPUTED_VALUE"""),0.04737)</f>
        <v>0.04737</v>
      </c>
      <c r="K2711" s="19" t="str">
        <f>IFERROR(__xludf.DUMMYFUNCTION("""COMPUTED_VALUE"""),"-")</f>
        <v>-</v>
      </c>
      <c r="L2711" s="19" t="str">
        <f>IFERROR(__xludf.DUMMYFUNCTION("""COMPUTED_VALUE"""),"-")</f>
        <v>-</v>
      </c>
      <c r="O2711" s="24">
        <f t="shared" si="4"/>
        <v>0</v>
      </c>
      <c r="P2711" s="24"/>
      <c r="Q2711" s="24">
        <f t="shared" si="6"/>
        <v>0</v>
      </c>
      <c r="R2711" s="24">
        <f t="shared" si="7"/>
        <v>0</v>
      </c>
      <c r="S2711" s="24"/>
      <c r="T2711" s="24"/>
    </row>
    <row r="2712">
      <c r="A2712" s="12" t="s">
        <v>2800</v>
      </c>
      <c r="F2712" s="19">
        <f>IFERROR(__xludf.DUMMYFUNCTION("SPLIT(A2708, "" |"")"),2706.0)</f>
        <v>2706</v>
      </c>
      <c r="G2712" s="19">
        <f>IFERROR(__xludf.DUMMYFUNCTION("""COMPUTED_VALUE"""),0.00238)</f>
        <v>0.00238</v>
      </c>
      <c r="H2712" s="19" t="str">
        <f>IFERROR(__xludf.DUMMYFUNCTION("""COMPUTED_VALUE"""),"-")</f>
        <v>-</v>
      </c>
      <c r="I2712" s="19">
        <f>IFERROR(__xludf.DUMMYFUNCTION("""COMPUTED_VALUE"""),0.0022)</f>
        <v>0.0022</v>
      </c>
      <c r="J2712" s="19">
        <f>IFERROR(__xludf.DUMMYFUNCTION("""COMPUTED_VALUE"""),0.04064)</f>
        <v>0.04064</v>
      </c>
      <c r="K2712" s="19" t="str">
        <f>IFERROR(__xludf.DUMMYFUNCTION("""COMPUTED_VALUE"""),"-")</f>
        <v>-</v>
      </c>
      <c r="L2712" s="19" t="str">
        <f>IFERROR(__xludf.DUMMYFUNCTION("""COMPUTED_VALUE"""),"-")</f>
        <v>-</v>
      </c>
      <c r="O2712" s="24">
        <f t="shared" si="4"/>
        <v>0</v>
      </c>
      <c r="P2712" s="24"/>
      <c r="Q2712" s="24">
        <f t="shared" si="6"/>
        <v>0</v>
      </c>
      <c r="R2712" s="24">
        <f t="shared" si="7"/>
        <v>1</v>
      </c>
      <c r="S2712" s="24"/>
      <c r="T2712" s="24"/>
    </row>
    <row r="2713">
      <c r="A2713" s="12" t="s">
        <v>2801</v>
      </c>
      <c r="F2713" s="19">
        <f>IFERROR(__xludf.DUMMYFUNCTION("SPLIT(A2709, "" |"")"),2707.0)</f>
        <v>2707</v>
      </c>
      <c r="G2713" s="19">
        <f>IFERROR(__xludf.DUMMYFUNCTION("""COMPUTED_VALUE"""),0.0024)</f>
        <v>0.0024</v>
      </c>
      <c r="H2713" s="19" t="str">
        <f>IFERROR(__xludf.DUMMYFUNCTION("""COMPUTED_VALUE"""),"-")</f>
        <v>-</v>
      </c>
      <c r="I2713" s="19">
        <f>IFERROR(__xludf.DUMMYFUNCTION("""COMPUTED_VALUE"""),0.00218)</f>
        <v>0.00218</v>
      </c>
      <c r="J2713" s="19">
        <f>IFERROR(__xludf.DUMMYFUNCTION("""COMPUTED_VALUE"""),0.04745)</f>
        <v>0.04745</v>
      </c>
      <c r="K2713" s="19" t="str">
        <f>IFERROR(__xludf.DUMMYFUNCTION("""COMPUTED_VALUE"""),"-")</f>
        <v>-</v>
      </c>
      <c r="L2713" s="19" t="str">
        <f>IFERROR(__xludf.DUMMYFUNCTION("""COMPUTED_VALUE"""),"-")</f>
        <v>-</v>
      </c>
      <c r="O2713" s="24">
        <f t="shared" si="4"/>
        <v>0</v>
      </c>
      <c r="P2713" s="24"/>
      <c r="Q2713" s="24">
        <f t="shared" si="6"/>
        <v>0</v>
      </c>
      <c r="R2713" s="24">
        <f t="shared" si="7"/>
        <v>0</v>
      </c>
      <c r="S2713" s="24"/>
      <c r="T2713" s="24"/>
    </row>
    <row r="2714">
      <c r="A2714" s="12" t="s">
        <v>2802</v>
      </c>
      <c r="F2714" s="19">
        <f>IFERROR(__xludf.DUMMYFUNCTION("SPLIT(A2710, "" |"")"),2708.0)</f>
        <v>2708</v>
      </c>
      <c r="G2714" s="19">
        <f>IFERROR(__xludf.DUMMYFUNCTION("""COMPUTED_VALUE"""),0.00237)</f>
        <v>0.00237</v>
      </c>
      <c r="H2714" s="19" t="str">
        <f>IFERROR(__xludf.DUMMYFUNCTION("""COMPUTED_VALUE"""),"-")</f>
        <v>-</v>
      </c>
      <c r="I2714" s="19">
        <f>IFERROR(__xludf.DUMMYFUNCTION("""COMPUTED_VALUE"""),0.00219)</f>
        <v>0.00219</v>
      </c>
      <c r="J2714" s="19">
        <f>IFERROR(__xludf.DUMMYFUNCTION("""COMPUTED_VALUE"""),0.04744)</f>
        <v>0.04744</v>
      </c>
      <c r="K2714" s="19" t="str">
        <f>IFERROR(__xludf.DUMMYFUNCTION("""COMPUTED_VALUE"""),"-")</f>
        <v>-</v>
      </c>
      <c r="L2714" s="19" t="str">
        <f>IFERROR(__xludf.DUMMYFUNCTION("""COMPUTED_VALUE"""),"-")</f>
        <v>-</v>
      </c>
      <c r="O2714" s="24">
        <f t="shared" si="4"/>
        <v>0</v>
      </c>
      <c r="P2714" s="24"/>
      <c r="Q2714" s="24">
        <f t="shared" si="6"/>
        <v>0</v>
      </c>
      <c r="R2714" s="24">
        <f t="shared" si="7"/>
        <v>0</v>
      </c>
      <c r="S2714" s="24"/>
      <c r="T2714" s="24"/>
    </row>
    <row r="2715">
      <c r="A2715" s="12" t="s">
        <v>2803</v>
      </c>
      <c r="F2715" s="19">
        <f>IFERROR(__xludf.DUMMYFUNCTION("SPLIT(A2711, "" |"")"),2709.0)</f>
        <v>2709</v>
      </c>
      <c r="G2715" s="19">
        <f>IFERROR(__xludf.DUMMYFUNCTION("""COMPUTED_VALUE"""),0.00244)</f>
        <v>0.00244</v>
      </c>
      <c r="H2715" s="19" t="str">
        <f>IFERROR(__xludf.DUMMYFUNCTION("""COMPUTED_VALUE"""),"-")</f>
        <v>-</v>
      </c>
      <c r="I2715" s="19">
        <f>IFERROR(__xludf.DUMMYFUNCTION("""COMPUTED_VALUE"""),0.00221)</f>
        <v>0.00221</v>
      </c>
      <c r="J2715" s="19">
        <f>IFERROR(__xludf.DUMMYFUNCTION("""COMPUTED_VALUE"""),0.04742)</f>
        <v>0.04742</v>
      </c>
      <c r="K2715" s="19" t="str">
        <f>IFERROR(__xludf.DUMMYFUNCTION("""COMPUTED_VALUE"""),"-")</f>
        <v>-</v>
      </c>
      <c r="L2715" s="19" t="str">
        <f>IFERROR(__xludf.DUMMYFUNCTION("""COMPUTED_VALUE"""),"-")</f>
        <v>-</v>
      </c>
      <c r="O2715" s="24">
        <f t="shared" si="4"/>
        <v>0</v>
      </c>
      <c r="P2715" s="24"/>
      <c r="Q2715" s="24">
        <f t="shared" si="6"/>
        <v>0</v>
      </c>
      <c r="R2715" s="24">
        <f t="shared" si="7"/>
        <v>0</v>
      </c>
      <c r="S2715" s="24"/>
      <c r="T2715" s="24"/>
    </row>
    <row r="2716">
      <c r="A2716" s="12" t="s">
        <v>2804</v>
      </c>
      <c r="F2716" s="19">
        <f>IFERROR(__xludf.DUMMYFUNCTION("SPLIT(A2712, "" |"")"),2710.0)</f>
        <v>2710</v>
      </c>
      <c r="G2716" s="19">
        <f>IFERROR(__xludf.DUMMYFUNCTION("""COMPUTED_VALUE"""),0.00247)</f>
        <v>0.00247</v>
      </c>
      <c r="H2716" s="19" t="str">
        <f>IFERROR(__xludf.DUMMYFUNCTION("""COMPUTED_VALUE"""),"-")</f>
        <v>-</v>
      </c>
      <c r="I2716" s="19">
        <f>IFERROR(__xludf.DUMMYFUNCTION("""COMPUTED_VALUE"""),0.00212)</f>
        <v>0.00212</v>
      </c>
      <c r="J2716" s="19">
        <f>IFERROR(__xludf.DUMMYFUNCTION("""COMPUTED_VALUE"""),0.04734)</f>
        <v>0.04734</v>
      </c>
      <c r="K2716" s="19" t="str">
        <f>IFERROR(__xludf.DUMMYFUNCTION("""COMPUTED_VALUE"""),"-")</f>
        <v>-</v>
      </c>
      <c r="L2716" s="19" t="str">
        <f>IFERROR(__xludf.DUMMYFUNCTION("""COMPUTED_VALUE"""),"-")</f>
        <v>-</v>
      </c>
      <c r="O2716" s="24">
        <f t="shared" si="4"/>
        <v>0</v>
      </c>
      <c r="P2716" s="24"/>
      <c r="Q2716" s="24">
        <f t="shared" si="6"/>
        <v>0</v>
      </c>
      <c r="R2716" s="24">
        <f t="shared" si="7"/>
        <v>0</v>
      </c>
      <c r="S2716" s="24"/>
      <c r="T2716" s="24"/>
    </row>
    <row r="2717">
      <c r="A2717" s="12" t="s">
        <v>2805</v>
      </c>
      <c r="F2717" s="19">
        <f>IFERROR(__xludf.DUMMYFUNCTION("SPLIT(A2713, "" |"")"),2711.0)</f>
        <v>2711</v>
      </c>
      <c r="G2717" s="19">
        <f>IFERROR(__xludf.DUMMYFUNCTION("""COMPUTED_VALUE"""),0.00223)</f>
        <v>0.00223</v>
      </c>
      <c r="H2717" s="19" t="str">
        <f>IFERROR(__xludf.DUMMYFUNCTION("""COMPUTED_VALUE"""),"-")</f>
        <v>-</v>
      </c>
      <c r="I2717" s="19">
        <f>IFERROR(__xludf.DUMMYFUNCTION("""COMPUTED_VALUE"""),0.00214)</f>
        <v>0.00214</v>
      </c>
      <c r="J2717" s="19">
        <f>IFERROR(__xludf.DUMMYFUNCTION("""COMPUTED_VALUE"""),0.04744)</f>
        <v>0.04744</v>
      </c>
      <c r="K2717" s="19" t="str">
        <f>IFERROR(__xludf.DUMMYFUNCTION("""COMPUTED_VALUE"""),"-")</f>
        <v>-</v>
      </c>
      <c r="L2717" s="19" t="str">
        <f>IFERROR(__xludf.DUMMYFUNCTION("""COMPUTED_VALUE"""),"-")</f>
        <v>-</v>
      </c>
      <c r="O2717" s="24">
        <f t="shared" si="4"/>
        <v>0</v>
      </c>
      <c r="P2717" s="24"/>
      <c r="Q2717" s="24">
        <f t="shared" si="6"/>
        <v>0</v>
      </c>
      <c r="R2717" s="24">
        <f t="shared" si="7"/>
        <v>0</v>
      </c>
      <c r="S2717" s="24"/>
      <c r="T2717" s="24"/>
    </row>
    <row r="2718">
      <c r="A2718" s="12" t="s">
        <v>2806</v>
      </c>
      <c r="F2718" s="19">
        <f>IFERROR(__xludf.DUMMYFUNCTION("SPLIT(A2714, "" |"")"),2712.0)</f>
        <v>2712</v>
      </c>
      <c r="G2718" s="19">
        <f>IFERROR(__xludf.DUMMYFUNCTION("""COMPUTED_VALUE"""),0.00236)</f>
        <v>0.00236</v>
      </c>
      <c r="H2718" s="19" t="str">
        <f>IFERROR(__xludf.DUMMYFUNCTION("""COMPUTED_VALUE"""),"-")</f>
        <v>-</v>
      </c>
      <c r="I2718" s="19">
        <f>IFERROR(__xludf.DUMMYFUNCTION("""COMPUTED_VALUE"""),0.00215)</f>
        <v>0.00215</v>
      </c>
      <c r="J2718" s="19">
        <f>IFERROR(__xludf.DUMMYFUNCTION("""COMPUTED_VALUE"""),0.04748)</f>
        <v>0.04748</v>
      </c>
      <c r="K2718" s="19" t="str">
        <f>IFERROR(__xludf.DUMMYFUNCTION("""COMPUTED_VALUE"""),"-")</f>
        <v>-</v>
      </c>
      <c r="L2718" s="19" t="str">
        <f>IFERROR(__xludf.DUMMYFUNCTION("""COMPUTED_VALUE"""),"-")</f>
        <v>-</v>
      </c>
      <c r="O2718" s="24">
        <f t="shared" si="4"/>
        <v>0</v>
      </c>
      <c r="P2718" s="24"/>
      <c r="Q2718" s="24">
        <f t="shared" si="6"/>
        <v>0</v>
      </c>
      <c r="R2718" s="24">
        <f t="shared" si="7"/>
        <v>0</v>
      </c>
      <c r="S2718" s="24"/>
      <c r="T2718" s="24"/>
    </row>
    <row r="2719">
      <c r="A2719" s="12" t="s">
        <v>2807</v>
      </c>
      <c r="F2719" s="19">
        <f>IFERROR(__xludf.DUMMYFUNCTION("SPLIT(A2715, "" |"")"),2713.0)</f>
        <v>2713</v>
      </c>
      <c r="G2719" s="19">
        <f>IFERROR(__xludf.DUMMYFUNCTION("""COMPUTED_VALUE"""),0.00246)</f>
        <v>0.00246</v>
      </c>
      <c r="H2719" s="19" t="str">
        <f>IFERROR(__xludf.DUMMYFUNCTION("""COMPUTED_VALUE"""),"-")</f>
        <v>-</v>
      </c>
      <c r="I2719" s="19">
        <f>IFERROR(__xludf.DUMMYFUNCTION("""COMPUTED_VALUE"""),0.00213)</f>
        <v>0.00213</v>
      </c>
      <c r="J2719" s="19">
        <f>IFERROR(__xludf.DUMMYFUNCTION("""COMPUTED_VALUE"""),0.04363)</f>
        <v>0.04363</v>
      </c>
      <c r="K2719" s="19" t="str">
        <f>IFERROR(__xludf.DUMMYFUNCTION("""COMPUTED_VALUE"""),"-")</f>
        <v>-</v>
      </c>
      <c r="L2719" s="19" t="str">
        <f>IFERROR(__xludf.DUMMYFUNCTION("""COMPUTED_VALUE"""),"-")</f>
        <v>-</v>
      </c>
      <c r="O2719" s="24">
        <f t="shared" si="4"/>
        <v>0</v>
      </c>
      <c r="P2719" s="24"/>
      <c r="Q2719" s="24">
        <f t="shared" si="6"/>
        <v>0</v>
      </c>
      <c r="R2719" s="24">
        <f t="shared" si="7"/>
        <v>1</v>
      </c>
      <c r="S2719" s="24"/>
      <c r="T2719" s="24"/>
    </row>
    <row r="2720">
      <c r="A2720" s="12" t="s">
        <v>2808</v>
      </c>
      <c r="F2720" s="19">
        <f>IFERROR(__xludf.DUMMYFUNCTION("SPLIT(A2716, "" |"")"),2714.0)</f>
        <v>2714</v>
      </c>
      <c r="G2720" s="19">
        <f>IFERROR(__xludf.DUMMYFUNCTION("""COMPUTED_VALUE"""),0.00241)</f>
        <v>0.00241</v>
      </c>
      <c r="H2720" s="19" t="str">
        <f>IFERROR(__xludf.DUMMYFUNCTION("""COMPUTED_VALUE"""),"-")</f>
        <v>-</v>
      </c>
      <c r="I2720" s="19">
        <f>IFERROR(__xludf.DUMMYFUNCTION("""COMPUTED_VALUE"""),0.00219)</f>
        <v>0.00219</v>
      </c>
      <c r="J2720" s="19">
        <f>IFERROR(__xludf.DUMMYFUNCTION("""COMPUTED_VALUE"""),0.04002)</f>
        <v>0.04002</v>
      </c>
      <c r="K2720" s="19" t="str">
        <f>IFERROR(__xludf.DUMMYFUNCTION("""COMPUTED_VALUE"""),"-")</f>
        <v>-</v>
      </c>
      <c r="L2720" s="19" t="str">
        <f>IFERROR(__xludf.DUMMYFUNCTION("""COMPUTED_VALUE"""),"-")</f>
        <v>-</v>
      </c>
      <c r="O2720" s="24">
        <f t="shared" si="4"/>
        <v>0</v>
      </c>
      <c r="P2720" s="24"/>
      <c r="Q2720" s="24">
        <f t="shared" si="6"/>
        <v>0</v>
      </c>
      <c r="R2720" s="24">
        <f t="shared" si="7"/>
        <v>1</v>
      </c>
      <c r="S2720" s="24"/>
      <c r="T2720" s="24"/>
    </row>
    <row r="2721">
      <c r="A2721" s="12" t="s">
        <v>2809</v>
      </c>
      <c r="F2721" s="19">
        <f>IFERROR(__xludf.DUMMYFUNCTION("SPLIT(A2717, "" |"")"),2715.0)</f>
        <v>2715</v>
      </c>
      <c r="G2721" s="19">
        <f>IFERROR(__xludf.DUMMYFUNCTION("""COMPUTED_VALUE"""),0.0023)</f>
        <v>0.0023</v>
      </c>
      <c r="H2721" s="19" t="str">
        <f>IFERROR(__xludf.DUMMYFUNCTION("""COMPUTED_VALUE"""),"-")</f>
        <v>-</v>
      </c>
      <c r="I2721" s="19">
        <f>IFERROR(__xludf.DUMMYFUNCTION("""COMPUTED_VALUE"""),0.00217)</f>
        <v>0.00217</v>
      </c>
      <c r="J2721" s="19">
        <f>IFERROR(__xludf.DUMMYFUNCTION("""COMPUTED_VALUE"""),0.04744)</f>
        <v>0.04744</v>
      </c>
      <c r="K2721" s="19" t="str">
        <f>IFERROR(__xludf.DUMMYFUNCTION("""COMPUTED_VALUE"""),"-")</f>
        <v>-</v>
      </c>
      <c r="L2721" s="19" t="str">
        <f>IFERROR(__xludf.DUMMYFUNCTION("""COMPUTED_VALUE"""),"-")</f>
        <v>-</v>
      </c>
      <c r="O2721" s="24">
        <f t="shared" si="4"/>
        <v>0</v>
      </c>
      <c r="P2721" s="24"/>
      <c r="Q2721" s="24">
        <f t="shared" si="6"/>
        <v>0</v>
      </c>
      <c r="R2721" s="24">
        <f t="shared" si="7"/>
        <v>0</v>
      </c>
      <c r="S2721" s="24"/>
      <c r="T2721" s="24"/>
    </row>
    <row r="2722">
      <c r="A2722" s="12" t="s">
        <v>2810</v>
      </c>
      <c r="F2722" s="19">
        <f>IFERROR(__xludf.DUMMYFUNCTION("SPLIT(A2718, "" |"")"),2716.0)</f>
        <v>2716</v>
      </c>
      <c r="G2722" s="19">
        <f>IFERROR(__xludf.DUMMYFUNCTION("""COMPUTED_VALUE"""),0.00232)</f>
        <v>0.00232</v>
      </c>
      <c r="H2722" s="19" t="str">
        <f>IFERROR(__xludf.DUMMYFUNCTION("""COMPUTED_VALUE"""),"-")</f>
        <v>-</v>
      </c>
      <c r="I2722" s="19">
        <f>IFERROR(__xludf.DUMMYFUNCTION("""COMPUTED_VALUE"""),0.00227)</f>
        <v>0.00227</v>
      </c>
      <c r="J2722" s="19">
        <f>IFERROR(__xludf.DUMMYFUNCTION("""COMPUTED_VALUE"""),0.04745)</f>
        <v>0.04745</v>
      </c>
      <c r="K2722" s="19" t="str">
        <f>IFERROR(__xludf.DUMMYFUNCTION("""COMPUTED_VALUE"""),"-")</f>
        <v>-</v>
      </c>
      <c r="L2722" s="19" t="str">
        <f>IFERROR(__xludf.DUMMYFUNCTION("""COMPUTED_VALUE"""),"-")</f>
        <v>-</v>
      </c>
      <c r="O2722" s="24">
        <f t="shared" si="4"/>
        <v>0</v>
      </c>
      <c r="P2722" s="24"/>
      <c r="Q2722" s="24">
        <f t="shared" si="6"/>
        <v>0</v>
      </c>
      <c r="R2722" s="24">
        <f t="shared" si="7"/>
        <v>0</v>
      </c>
      <c r="S2722" s="24"/>
      <c r="T2722" s="24"/>
    </row>
    <row r="2723">
      <c r="A2723" s="12" t="s">
        <v>2811</v>
      </c>
      <c r="F2723" s="19">
        <f>IFERROR(__xludf.DUMMYFUNCTION("SPLIT(A2719, "" |"")"),2717.0)</f>
        <v>2717</v>
      </c>
      <c r="G2723" s="19">
        <f>IFERROR(__xludf.DUMMYFUNCTION("""COMPUTED_VALUE"""),0.00233)</f>
        <v>0.00233</v>
      </c>
      <c r="H2723" s="19" t="str">
        <f>IFERROR(__xludf.DUMMYFUNCTION("""COMPUTED_VALUE"""),"-")</f>
        <v>-</v>
      </c>
      <c r="I2723" s="19">
        <f>IFERROR(__xludf.DUMMYFUNCTION("""COMPUTED_VALUE"""),0.00218)</f>
        <v>0.00218</v>
      </c>
      <c r="J2723" s="19">
        <f>IFERROR(__xludf.DUMMYFUNCTION("""COMPUTED_VALUE"""),0.04747)</f>
        <v>0.04747</v>
      </c>
      <c r="K2723" s="19" t="str">
        <f>IFERROR(__xludf.DUMMYFUNCTION("""COMPUTED_VALUE"""),"-")</f>
        <v>-</v>
      </c>
      <c r="L2723" s="19" t="str">
        <f>IFERROR(__xludf.DUMMYFUNCTION("""COMPUTED_VALUE"""),"-")</f>
        <v>-</v>
      </c>
      <c r="O2723" s="24">
        <f t="shared" si="4"/>
        <v>0</v>
      </c>
      <c r="P2723" s="24"/>
      <c r="Q2723" s="24">
        <f t="shared" si="6"/>
        <v>0</v>
      </c>
      <c r="R2723" s="24">
        <f t="shared" si="7"/>
        <v>0</v>
      </c>
      <c r="S2723" s="24"/>
      <c r="T2723" s="24"/>
    </row>
    <row r="2724">
      <c r="A2724" s="12" t="s">
        <v>2812</v>
      </c>
      <c r="F2724" s="19">
        <f>IFERROR(__xludf.DUMMYFUNCTION("SPLIT(A2720, "" |"")"),2718.0)</f>
        <v>2718</v>
      </c>
      <c r="G2724" s="19">
        <f>IFERROR(__xludf.DUMMYFUNCTION("""COMPUTED_VALUE"""),0.00238)</f>
        <v>0.00238</v>
      </c>
      <c r="H2724" s="19" t="str">
        <f>IFERROR(__xludf.DUMMYFUNCTION("""COMPUTED_VALUE"""),"-")</f>
        <v>-</v>
      </c>
      <c r="I2724" s="19">
        <f>IFERROR(__xludf.DUMMYFUNCTION("""COMPUTED_VALUE"""),0.00218)</f>
        <v>0.00218</v>
      </c>
      <c r="J2724" s="19">
        <f>IFERROR(__xludf.DUMMYFUNCTION("""COMPUTED_VALUE"""),0.04715)</f>
        <v>0.04715</v>
      </c>
      <c r="K2724" s="19" t="str">
        <f>IFERROR(__xludf.DUMMYFUNCTION("""COMPUTED_VALUE"""),"-")</f>
        <v>-</v>
      </c>
      <c r="L2724" s="19" t="str">
        <f>IFERROR(__xludf.DUMMYFUNCTION("""COMPUTED_VALUE"""),"-")</f>
        <v>-</v>
      </c>
      <c r="O2724" s="24">
        <f t="shared" si="4"/>
        <v>0</v>
      </c>
      <c r="P2724" s="24"/>
      <c r="Q2724" s="24">
        <f t="shared" si="6"/>
        <v>0</v>
      </c>
      <c r="R2724" s="24">
        <f t="shared" si="7"/>
        <v>0</v>
      </c>
      <c r="S2724" s="24"/>
      <c r="T2724" s="24"/>
    </row>
    <row r="2725">
      <c r="A2725" s="12" t="s">
        <v>2813</v>
      </c>
      <c r="F2725" s="19">
        <f>IFERROR(__xludf.DUMMYFUNCTION("SPLIT(A2721, "" |"")"),2719.0)</f>
        <v>2719</v>
      </c>
      <c r="G2725" s="19">
        <f>IFERROR(__xludf.DUMMYFUNCTION("""COMPUTED_VALUE"""),0.00227)</f>
        <v>0.00227</v>
      </c>
      <c r="H2725" s="19" t="str">
        <f>IFERROR(__xludf.DUMMYFUNCTION("""COMPUTED_VALUE"""),"-")</f>
        <v>-</v>
      </c>
      <c r="I2725" s="19">
        <f>IFERROR(__xludf.DUMMYFUNCTION("""COMPUTED_VALUE"""),0.00211)</f>
        <v>0.00211</v>
      </c>
      <c r="J2725" s="19">
        <f>IFERROR(__xludf.DUMMYFUNCTION("""COMPUTED_VALUE"""),0.0474)</f>
        <v>0.0474</v>
      </c>
      <c r="K2725" s="19" t="str">
        <f>IFERROR(__xludf.DUMMYFUNCTION("""COMPUTED_VALUE"""),"-")</f>
        <v>-</v>
      </c>
      <c r="L2725" s="19" t="str">
        <f>IFERROR(__xludf.DUMMYFUNCTION("""COMPUTED_VALUE"""),"-")</f>
        <v>-</v>
      </c>
      <c r="O2725" s="24">
        <f t="shared" si="4"/>
        <v>0</v>
      </c>
      <c r="P2725" s="24"/>
      <c r="Q2725" s="24">
        <f t="shared" si="6"/>
        <v>0</v>
      </c>
      <c r="R2725" s="24">
        <f t="shared" si="7"/>
        <v>0</v>
      </c>
      <c r="S2725" s="24"/>
      <c r="T2725" s="24"/>
    </row>
    <row r="2726">
      <c r="A2726" s="12" t="s">
        <v>2814</v>
      </c>
      <c r="F2726" s="19">
        <f>IFERROR(__xludf.DUMMYFUNCTION("SPLIT(A2722, "" |"")"),2720.0)</f>
        <v>2720</v>
      </c>
      <c r="G2726" s="19">
        <f>IFERROR(__xludf.DUMMYFUNCTION("""COMPUTED_VALUE"""),0.0024)</f>
        <v>0.0024</v>
      </c>
      <c r="H2726" s="19" t="str">
        <f>IFERROR(__xludf.DUMMYFUNCTION("""COMPUTED_VALUE"""),"-")</f>
        <v>-</v>
      </c>
      <c r="I2726" s="19">
        <f>IFERROR(__xludf.DUMMYFUNCTION("""COMPUTED_VALUE"""),0.00219)</f>
        <v>0.00219</v>
      </c>
      <c r="J2726" s="19">
        <f>IFERROR(__xludf.DUMMYFUNCTION("""COMPUTED_VALUE"""),0.04741)</f>
        <v>0.04741</v>
      </c>
      <c r="K2726" s="19" t="str">
        <f>IFERROR(__xludf.DUMMYFUNCTION("""COMPUTED_VALUE"""),"-")</f>
        <v>-</v>
      </c>
      <c r="L2726" s="19" t="str">
        <f>IFERROR(__xludf.DUMMYFUNCTION("""COMPUTED_VALUE"""),"-")</f>
        <v>-</v>
      </c>
      <c r="O2726" s="24">
        <f t="shared" si="4"/>
        <v>0</v>
      </c>
      <c r="P2726" s="24"/>
      <c r="Q2726" s="24">
        <f t="shared" si="6"/>
        <v>0</v>
      </c>
      <c r="R2726" s="24">
        <f t="shared" si="7"/>
        <v>0</v>
      </c>
      <c r="S2726" s="24"/>
      <c r="T2726" s="24"/>
    </row>
    <row r="2727">
      <c r="A2727" s="12" t="s">
        <v>2815</v>
      </c>
      <c r="F2727" s="19">
        <f>IFERROR(__xludf.DUMMYFUNCTION("SPLIT(A2723, "" |"")"),2721.0)</f>
        <v>2721</v>
      </c>
      <c r="G2727" s="19">
        <f>IFERROR(__xludf.DUMMYFUNCTION("""COMPUTED_VALUE"""),0.00233)</f>
        <v>0.00233</v>
      </c>
      <c r="H2727" s="19" t="str">
        <f>IFERROR(__xludf.DUMMYFUNCTION("""COMPUTED_VALUE"""),"-")</f>
        <v>-</v>
      </c>
      <c r="I2727" s="19">
        <f>IFERROR(__xludf.DUMMYFUNCTION("""COMPUTED_VALUE"""),0.00224)</f>
        <v>0.00224</v>
      </c>
      <c r="J2727" s="19">
        <f>IFERROR(__xludf.DUMMYFUNCTION("""COMPUTED_VALUE"""),0.04735)</f>
        <v>0.04735</v>
      </c>
      <c r="K2727" s="19" t="str">
        <f>IFERROR(__xludf.DUMMYFUNCTION("""COMPUTED_VALUE"""),"-")</f>
        <v>-</v>
      </c>
      <c r="L2727" s="19" t="str">
        <f>IFERROR(__xludf.DUMMYFUNCTION("""COMPUTED_VALUE"""),"-")</f>
        <v>-</v>
      </c>
      <c r="O2727" s="24">
        <f t="shared" si="4"/>
        <v>0</v>
      </c>
      <c r="P2727" s="24"/>
      <c r="Q2727" s="24">
        <f t="shared" si="6"/>
        <v>0</v>
      </c>
      <c r="R2727" s="24">
        <f t="shared" si="7"/>
        <v>0</v>
      </c>
      <c r="S2727" s="24"/>
      <c r="T2727" s="24"/>
    </row>
    <row r="2728">
      <c r="A2728" s="12" t="s">
        <v>2816</v>
      </c>
      <c r="F2728" s="19">
        <f>IFERROR(__xludf.DUMMYFUNCTION("SPLIT(A2724, "" |"")"),2722.0)</f>
        <v>2722</v>
      </c>
      <c r="G2728" s="19">
        <f>IFERROR(__xludf.DUMMYFUNCTION("""COMPUTED_VALUE"""),0.00241)</f>
        <v>0.00241</v>
      </c>
      <c r="H2728" s="19" t="str">
        <f>IFERROR(__xludf.DUMMYFUNCTION("""COMPUTED_VALUE"""),"-")</f>
        <v>-</v>
      </c>
      <c r="I2728" s="19">
        <f>IFERROR(__xludf.DUMMYFUNCTION("""COMPUTED_VALUE"""),0.00219)</f>
        <v>0.00219</v>
      </c>
      <c r="J2728" s="19">
        <f>IFERROR(__xludf.DUMMYFUNCTION("""COMPUTED_VALUE"""),0.04749)</f>
        <v>0.04749</v>
      </c>
      <c r="K2728" s="19" t="str">
        <f>IFERROR(__xludf.DUMMYFUNCTION("""COMPUTED_VALUE"""),"-")</f>
        <v>-</v>
      </c>
      <c r="L2728" s="19" t="str">
        <f>IFERROR(__xludf.DUMMYFUNCTION("""COMPUTED_VALUE"""),"-")</f>
        <v>-</v>
      </c>
      <c r="O2728" s="24">
        <f t="shared" si="4"/>
        <v>0</v>
      </c>
      <c r="P2728" s="24"/>
      <c r="Q2728" s="24">
        <f t="shared" si="6"/>
        <v>0</v>
      </c>
      <c r="R2728" s="24">
        <f t="shared" si="7"/>
        <v>0</v>
      </c>
      <c r="S2728" s="24"/>
      <c r="T2728" s="24"/>
    </row>
    <row r="2729">
      <c r="A2729" s="12" t="s">
        <v>2817</v>
      </c>
      <c r="F2729" s="19">
        <f>IFERROR(__xludf.DUMMYFUNCTION("SPLIT(A2725, "" |"")"),2723.0)</f>
        <v>2723</v>
      </c>
      <c r="G2729" s="19">
        <f>IFERROR(__xludf.DUMMYFUNCTION("""COMPUTED_VALUE"""),0.00235)</f>
        <v>0.00235</v>
      </c>
      <c r="H2729" s="19" t="str">
        <f>IFERROR(__xludf.DUMMYFUNCTION("""COMPUTED_VALUE"""),"-")</f>
        <v>-</v>
      </c>
      <c r="I2729" s="19">
        <f>IFERROR(__xludf.DUMMYFUNCTION("""COMPUTED_VALUE"""),0.00216)</f>
        <v>0.00216</v>
      </c>
      <c r="J2729" s="19">
        <f>IFERROR(__xludf.DUMMYFUNCTION("""COMPUTED_VALUE"""),0.04419)</f>
        <v>0.04419</v>
      </c>
      <c r="K2729" s="19" t="str">
        <f>IFERROR(__xludf.DUMMYFUNCTION("""COMPUTED_VALUE"""),"-")</f>
        <v>-</v>
      </c>
      <c r="L2729" s="19" t="str">
        <f>IFERROR(__xludf.DUMMYFUNCTION("""COMPUTED_VALUE"""),"-")</f>
        <v>-</v>
      </c>
      <c r="O2729" s="24">
        <f t="shared" si="4"/>
        <v>0</v>
      </c>
      <c r="P2729" s="24"/>
      <c r="Q2729" s="24">
        <f t="shared" si="6"/>
        <v>0</v>
      </c>
      <c r="R2729" s="24">
        <f t="shared" si="7"/>
        <v>1</v>
      </c>
      <c r="S2729" s="24"/>
      <c r="T2729" s="24"/>
    </row>
    <row r="2730">
      <c r="A2730" s="12" t="s">
        <v>2818</v>
      </c>
      <c r="F2730" s="19">
        <f>IFERROR(__xludf.DUMMYFUNCTION("SPLIT(A2726, "" |"")"),2724.0)</f>
        <v>2724</v>
      </c>
      <c r="G2730" s="19">
        <f>IFERROR(__xludf.DUMMYFUNCTION("""COMPUTED_VALUE"""),0.00232)</f>
        <v>0.00232</v>
      </c>
      <c r="H2730" s="19" t="str">
        <f>IFERROR(__xludf.DUMMYFUNCTION("""COMPUTED_VALUE"""),"-")</f>
        <v>-</v>
      </c>
      <c r="I2730" s="19">
        <f>IFERROR(__xludf.DUMMYFUNCTION("""COMPUTED_VALUE"""),0.00226)</f>
        <v>0.00226</v>
      </c>
      <c r="J2730" s="19">
        <f>IFERROR(__xludf.DUMMYFUNCTION("""COMPUTED_VALUE"""),0.04745)</f>
        <v>0.04745</v>
      </c>
      <c r="K2730" s="19" t="str">
        <f>IFERROR(__xludf.DUMMYFUNCTION("""COMPUTED_VALUE"""),"-")</f>
        <v>-</v>
      </c>
      <c r="L2730" s="19" t="str">
        <f>IFERROR(__xludf.DUMMYFUNCTION("""COMPUTED_VALUE"""),"-")</f>
        <v>-</v>
      </c>
      <c r="O2730" s="24">
        <f t="shared" si="4"/>
        <v>0</v>
      </c>
      <c r="P2730" s="24"/>
      <c r="Q2730" s="24">
        <f t="shared" si="6"/>
        <v>0</v>
      </c>
      <c r="R2730" s="24">
        <f t="shared" si="7"/>
        <v>0</v>
      </c>
      <c r="S2730" s="24"/>
      <c r="T2730" s="24"/>
    </row>
    <row r="2731">
      <c r="A2731" s="12" t="s">
        <v>2819</v>
      </c>
      <c r="F2731" s="19">
        <f>IFERROR(__xludf.DUMMYFUNCTION("SPLIT(A2727, "" |"")"),2725.0)</f>
        <v>2725</v>
      </c>
      <c r="G2731" s="19">
        <f>IFERROR(__xludf.DUMMYFUNCTION("""COMPUTED_VALUE"""),0.00236)</f>
        <v>0.00236</v>
      </c>
      <c r="H2731" s="19" t="str">
        <f>IFERROR(__xludf.DUMMYFUNCTION("""COMPUTED_VALUE"""),"-")</f>
        <v>-</v>
      </c>
      <c r="I2731" s="19">
        <f>IFERROR(__xludf.DUMMYFUNCTION("""COMPUTED_VALUE"""),0.00221)</f>
        <v>0.00221</v>
      </c>
      <c r="J2731" s="19">
        <f>IFERROR(__xludf.DUMMYFUNCTION("""COMPUTED_VALUE"""),0.04742)</f>
        <v>0.04742</v>
      </c>
      <c r="K2731" s="19" t="str">
        <f>IFERROR(__xludf.DUMMYFUNCTION("""COMPUTED_VALUE"""),"-")</f>
        <v>-</v>
      </c>
      <c r="L2731" s="19" t="str">
        <f>IFERROR(__xludf.DUMMYFUNCTION("""COMPUTED_VALUE"""),"-")</f>
        <v>-</v>
      </c>
      <c r="O2731" s="24">
        <f t="shared" si="4"/>
        <v>0</v>
      </c>
      <c r="P2731" s="24"/>
      <c r="Q2731" s="24">
        <f t="shared" si="6"/>
        <v>0</v>
      </c>
      <c r="R2731" s="24">
        <f t="shared" si="7"/>
        <v>0</v>
      </c>
      <c r="S2731" s="24"/>
      <c r="T2731" s="24"/>
    </row>
    <row r="2732">
      <c r="A2732" s="12" t="s">
        <v>2820</v>
      </c>
      <c r="F2732" s="19">
        <f>IFERROR(__xludf.DUMMYFUNCTION("SPLIT(A2728, "" |"")"),2726.0)</f>
        <v>2726</v>
      </c>
      <c r="G2732" s="19">
        <f>IFERROR(__xludf.DUMMYFUNCTION("""COMPUTED_VALUE"""),0.00239)</f>
        <v>0.00239</v>
      </c>
      <c r="H2732" s="19" t="str">
        <f>IFERROR(__xludf.DUMMYFUNCTION("""COMPUTED_VALUE"""),"-")</f>
        <v>-</v>
      </c>
      <c r="I2732" s="19">
        <f>IFERROR(__xludf.DUMMYFUNCTION("""COMPUTED_VALUE"""),0.00216)</f>
        <v>0.00216</v>
      </c>
      <c r="J2732" s="19">
        <f>IFERROR(__xludf.DUMMYFUNCTION("""COMPUTED_VALUE"""),0.04743)</f>
        <v>0.04743</v>
      </c>
      <c r="K2732" s="19" t="str">
        <f>IFERROR(__xludf.DUMMYFUNCTION("""COMPUTED_VALUE"""),"-")</f>
        <v>-</v>
      </c>
      <c r="L2732" s="19" t="str">
        <f>IFERROR(__xludf.DUMMYFUNCTION("""COMPUTED_VALUE"""),"-")</f>
        <v>-</v>
      </c>
      <c r="O2732" s="24">
        <f t="shared" si="4"/>
        <v>0</v>
      </c>
      <c r="P2732" s="24"/>
      <c r="Q2732" s="24">
        <f t="shared" si="6"/>
        <v>0</v>
      </c>
      <c r="R2732" s="24">
        <f t="shared" si="7"/>
        <v>0</v>
      </c>
      <c r="S2732" s="24"/>
      <c r="T2732" s="24"/>
    </row>
    <row r="2733">
      <c r="A2733" s="12" t="s">
        <v>2821</v>
      </c>
      <c r="F2733" s="19">
        <f>IFERROR(__xludf.DUMMYFUNCTION("SPLIT(A2729, "" |"")"),2727.0)</f>
        <v>2727</v>
      </c>
      <c r="G2733" s="19">
        <f>IFERROR(__xludf.DUMMYFUNCTION("""COMPUTED_VALUE"""),0.00242)</f>
        <v>0.00242</v>
      </c>
      <c r="H2733" s="19" t="str">
        <f>IFERROR(__xludf.DUMMYFUNCTION("""COMPUTED_VALUE"""),"-")</f>
        <v>-</v>
      </c>
      <c r="I2733" s="19">
        <f>IFERROR(__xludf.DUMMYFUNCTION("""COMPUTED_VALUE"""),0.00218)</f>
        <v>0.00218</v>
      </c>
      <c r="J2733" s="19">
        <f>IFERROR(__xludf.DUMMYFUNCTION("""COMPUTED_VALUE"""),0.03972)</f>
        <v>0.03972</v>
      </c>
      <c r="K2733" s="19" t="str">
        <f>IFERROR(__xludf.DUMMYFUNCTION("""COMPUTED_VALUE"""),"-")</f>
        <v>-</v>
      </c>
      <c r="L2733" s="19" t="str">
        <f>IFERROR(__xludf.DUMMYFUNCTION("""COMPUTED_VALUE"""),"-")</f>
        <v>-</v>
      </c>
      <c r="O2733" s="24">
        <f t="shared" si="4"/>
        <v>0</v>
      </c>
      <c r="P2733" s="24"/>
      <c r="Q2733" s="24">
        <f t="shared" si="6"/>
        <v>0</v>
      </c>
      <c r="R2733" s="24">
        <f t="shared" si="7"/>
        <v>1</v>
      </c>
      <c r="S2733" s="24"/>
      <c r="T2733" s="24"/>
    </row>
    <row r="2734">
      <c r="A2734" s="12" t="s">
        <v>2822</v>
      </c>
      <c r="F2734" s="19">
        <f>IFERROR(__xludf.DUMMYFUNCTION("SPLIT(A2730, "" |"")"),2728.0)</f>
        <v>2728</v>
      </c>
      <c r="G2734" s="19">
        <f>IFERROR(__xludf.DUMMYFUNCTION("""COMPUTED_VALUE"""),0.00228)</f>
        <v>0.00228</v>
      </c>
      <c r="H2734" s="19" t="str">
        <f>IFERROR(__xludf.DUMMYFUNCTION("""COMPUTED_VALUE"""),"-")</f>
        <v>-</v>
      </c>
      <c r="I2734" s="19">
        <f>IFERROR(__xludf.DUMMYFUNCTION("""COMPUTED_VALUE"""),0.0022)</f>
        <v>0.0022</v>
      </c>
      <c r="J2734" s="19">
        <f>IFERROR(__xludf.DUMMYFUNCTION("""COMPUTED_VALUE"""),0.04465)</f>
        <v>0.04465</v>
      </c>
      <c r="K2734" s="19" t="str">
        <f>IFERROR(__xludf.DUMMYFUNCTION("""COMPUTED_VALUE"""),"-")</f>
        <v>-</v>
      </c>
      <c r="L2734" s="19" t="str">
        <f>IFERROR(__xludf.DUMMYFUNCTION("""COMPUTED_VALUE"""),"-")</f>
        <v>-</v>
      </c>
      <c r="O2734" s="24">
        <f t="shared" si="4"/>
        <v>0</v>
      </c>
      <c r="P2734" s="24"/>
      <c r="Q2734" s="24">
        <f t="shared" si="6"/>
        <v>0</v>
      </c>
      <c r="R2734" s="24">
        <f t="shared" si="7"/>
        <v>1</v>
      </c>
      <c r="S2734" s="24"/>
      <c r="T2734" s="24"/>
    </row>
    <row r="2735">
      <c r="A2735" s="12" t="s">
        <v>2823</v>
      </c>
      <c r="F2735" s="19">
        <f>IFERROR(__xludf.DUMMYFUNCTION("SPLIT(A2731, "" |"")"),2729.0)</f>
        <v>2729</v>
      </c>
      <c r="G2735" s="19">
        <f>IFERROR(__xludf.DUMMYFUNCTION("""COMPUTED_VALUE"""),0.0024)</f>
        <v>0.0024</v>
      </c>
      <c r="H2735" s="19" t="str">
        <f>IFERROR(__xludf.DUMMYFUNCTION("""COMPUTED_VALUE"""),"-")</f>
        <v>-</v>
      </c>
      <c r="I2735" s="19">
        <f>IFERROR(__xludf.DUMMYFUNCTION("""COMPUTED_VALUE"""),0.00222)</f>
        <v>0.00222</v>
      </c>
      <c r="J2735" s="19">
        <f>IFERROR(__xludf.DUMMYFUNCTION("""COMPUTED_VALUE"""),0.04748)</f>
        <v>0.04748</v>
      </c>
      <c r="K2735" s="19" t="str">
        <f>IFERROR(__xludf.DUMMYFUNCTION("""COMPUTED_VALUE"""),"-")</f>
        <v>-</v>
      </c>
      <c r="L2735" s="19" t="str">
        <f>IFERROR(__xludf.DUMMYFUNCTION("""COMPUTED_VALUE"""),"-")</f>
        <v>-</v>
      </c>
      <c r="O2735" s="24">
        <f t="shared" si="4"/>
        <v>0</v>
      </c>
      <c r="P2735" s="24"/>
      <c r="Q2735" s="24">
        <f t="shared" si="6"/>
        <v>0</v>
      </c>
      <c r="R2735" s="24">
        <f t="shared" si="7"/>
        <v>0</v>
      </c>
      <c r="S2735" s="24"/>
      <c r="T2735" s="24"/>
    </row>
    <row r="2736">
      <c r="A2736" s="12" t="s">
        <v>2824</v>
      </c>
      <c r="F2736" s="19">
        <f>IFERROR(__xludf.DUMMYFUNCTION("SPLIT(A2732, "" |"")"),2730.0)</f>
        <v>2730</v>
      </c>
      <c r="G2736" s="19">
        <f>IFERROR(__xludf.DUMMYFUNCTION("""COMPUTED_VALUE"""),0.00244)</f>
        <v>0.00244</v>
      </c>
      <c r="H2736" s="19" t="str">
        <f>IFERROR(__xludf.DUMMYFUNCTION("""COMPUTED_VALUE"""),"-")</f>
        <v>-</v>
      </c>
      <c r="I2736" s="19">
        <f>IFERROR(__xludf.DUMMYFUNCTION("""COMPUTED_VALUE"""),0.00226)</f>
        <v>0.00226</v>
      </c>
      <c r="J2736" s="19">
        <f>IFERROR(__xludf.DUMMYFUNCTION("""COMPUTED_VALUE"""),0.04736)</f>
        <v>0.04736</v>
      </c>
      <c r="K2736" s="19" t="str">
        <f>IFERROR(__xludf.DUMMYFUNCTION("""COMPUTED_VALUE"""),"-")</f>
        <v>-</v>
      </c>
      <c r="L2736" s="19" t="str">
        <f>IFERROR(__xludf.DUMMYFUNCTION("""COMPUTED_VALUE"""),"-")</f>
        <v>-</v>
      </c>
      <c r="O2736" s="24">
        <f t="shared" si="4"/>
        <v>0</v>
      </c>
      <c r="P2736" s="24"/>
      <c r="Q2736" s="24">
        <f t="shared" si="6"/>
        <v>0</v>
      </c>
      <c r="R2736" s="24">
        <f t="shared" si="7"/>
        <v>0</v>
      </c>
      <c r="S2736" s="24"/>
      <c r="T2736" s="24"/>
    </row>
    <row r="2737">
      <c r="A2737" s="12" t="s">
        <v>2825</v>
      </c>
      <c r="F2737" s="19">
        <f>IFERROR(__xludf.DUMMYFUNCTION("SPLIT(A2733, "" |"")"),2731.0)</f>
        <v>2731</v>
      </c>
      <c r="G2737" s="19">
        <f>IFERROR(__xludf.DUMMYFUNCTION("""COMPUTED_VALUE"""),0.00239)</f>
        <v>0.00239</v>
      </c>
      <c r="H2737" s="19" t="str">
        <f>IFERROR(__xludf.DUMMYFUNCTION("""COMPUTED_VALUE"""),"-")</f>
        <v>-</v>
      </c>
      <c r="I2737" s="19">
        <f>IFERROR(__xludf.DUMMYFUNCTION("""COMPUTED_VALUE"""),0.00221)</f>
        <v>0.00221</v>
      </c>
      <c r="J2737" s="19">
        <f>IFERROR(__xludf.DUMMYFUNCTION("""COMPUTED_VALUE"""),0.04412)</f>
        <v>0.04412</v>
      </c>
      <c r="K2737" s="19" t="str">
        <f>IFERROR(__xludf.DUMMYFUNCTION("""COMPUTED_VALUE"""),"-")</f>
        <v>-</v>
      </c>
      <c r="L2737" s="19" t="str">
        <f>IFERROR(__xludf.DUMMYFUNCTION("""COMPUTED_VALUE"""),"-")</f>
        <v>-</v>
      </c>
      <c r="O2737" s="24">
        <f t="shared" si="4"/>
        <v>0</v>
      </c>
      <c r="P2737" s="24"/>
      <c r="Q2737" s="24">
        <f t="shared" si="6"/>
        <v>0</v>
      </c>
      <c r="R2737" s="24">
        <f t="shared" si="7"/>
        <v>1</v>
      </c>
      <c r="S2737" s="24"/>
      <c r="T2737" s="24"/>
    </row>
    <row r="2738">
      <c r="A2738" s="12" t="s">
        <v>2826</v>
      </c>
      <c r="F2738" s="19">
        <f>IFERROR(__xludf.DUMMYFUNCTION("SPLIT(A2734, "" |"")"),2732.0)</f>
        <v>2732</v>
      </c>
      <c r="G2738" s="19">
        <f>IFERROR(__xludf.DUMMYFUNCTION("""COMPUTED_VALUE"""),0.00236)</f>
        <v>0.00236</v>
      </c>
      <c r="H2738" s="19" t="str">
        <f>IFERROR(__xludf.DUMMYFUNCTION("""COMPUTED_VALUE"""),"-")</f>
        <v>-</v>
      </c>
      <c r="I2738" s="19">
        <f>IFERROR(__xludf.DUMMYFUNCTION("""COMPUTED_VALUE"""),0.0022)</f>
        <v>0.0022</v>
      </c>
      <c r="J2738" s="19">
        <f>IFERROR(__xludf.DUMMYFUNCTION("""COMPUTED_VALUE"""),0.04743)</f>
        <v>0.04743</v>
      </c>
      <c r="K2738" s="19" t="str">
        <f>IFERROR(__xludf.DUMMYFUNCTION("""COMPUTED_VALUE"""),"-")</f>
        <v>-</v>
      </c>
      <c r="L2738" s="19" t="str">
        <f>IFERROR(__xludf.DUMMYFUNCTION("""COMPUTED_VALUE"""),"-")</f>
        <v>-</v>
      </c>
      <c r="O2738" s="24">
        <f t="shared" si="4"/>
        <v>0</v>
      </c>
      <c r="P2738" s="24"/>
      <c r="Q2738" s="24">
        <f t="shared" si="6"/>
        <v>0</v>
      </c>
      <c r="R2738" s="24">
        <f t="shared" si="7"/>
        <v>0</v>
      </c>
      <c r="S2738" s="24"/>
      <c r="T2738" s="24"/>
    </row>
    <row r="2739">
      <c r="A2739" s="12" t="s">
        <v>2827</v>
      </c>
      <c r="F2739" s="19">
        <f>IFERROR(__xludf.DUMMYFUNCTION("SPLIT(A2735, "" |"")"),2733.0)</f>
        <v>2733</v>
      </c>
      <c r="G2739" s="19">
        <f>IFERROR(__xludf.DUMMYFUNCTION("""COMPUTED_VALUE"""),0.00236)</f>
        <v>0.00236</v>
      </c>
      <c r="H2739" s="19" t="str">
        <f>IFERROR(__xludf.DUMMYFUNCTION("""COMPUTED_VALUE"""),"-")</f>
        <v>-</v>
      </c>
      <c r="I2739" s="19">
        <f>IFERROR(__xludf.DUMMYFUNCTION("""COMPUTED_VALUE"""),0.00221)</f>
        <v>0.00221</v>
      </c>
      <c r="J2739" s="19">
        <f>IFERROR(__xludf.DUMMYFUNCTION("""COMPUTED_VALUE"""),0.04741)</f>
        <v>0.04741</v>
      </c>
      <c r="K2739" s="19" t="str">
        <f>IFERROR(__xludf.DUMMYFUNCTION("""COMPUTED_VALUE"""),"-")</f>
        <v>-</v>
      </c>
      <c r="L2739" s="19" t="str">
        <f>IFERROR(__xludf.DUMMYFUNCTION("""COMPUTED_VALUE"""),"-")</f>
        <v>-</v>
      </c>
      <c r="O2739" s="24">
        <f t="shared" si="4"/>
        <v>0</v>
      </c>
      <c r="P2739" s="24"/>
      <c r="Q2739" s="24">
        <f t="shared" si="6"/>
        <v>0</v>
      </c>
      <c r="R2739" s="24">
        <f t="shared" si="7"/>
        <v>0</v>
      </c>
      <c r="S2739" s="24"/>
      <c r="T2739" s="24"/>
    </row>
    <row r="2740">
      <c r="A2740" s="12" t="s">
        <v>2828</v>
      </c>
      <c r="F2740" s="19">
        <f>IFERROR(__xludf.DUMMYFUNCTION("SPLIT(A2736, "" |"")"),2734.0)</f>
        <v>2734</v>
      </c>
      <c r="G2740" s="19">
        <f>IFERROR(__xludf.DUMMYFUNCTION("""COMPUTED_VALUE"""),0.00239)</f>
        <v>0.00239</v>
      </c>
      <c r="H2740" s="19" t="str">
        <f>IFERROR(__xludf.DUMMYFUNCTION("""COMPUTED_VALUE"""),"-")</f>
        <v>-</v>
      </c>
      <c r="I2740" s="19">
        <f>IFERROR(__xludf.DUMMYFUNCTION("""COMPUTED_VALUE"""),0.00219)</f>
        <v>0.00219</v>
      </c>
      <c r="J2740" s="19">
        <f>IFERROR(__xludf.DUMMYFUNCTION("""COMPUTED_VALUE"""),0.04744)</f>
        <v>0.04744</v>
      </c>
      <c r="K2740" s="19" t="str">
        <f>IFERROR(__xludf.DUMMYFUNCTION("""COMPUTED_VALUE"""),"-")</f>
        <v>-</v>
      </c>
      <c r="L2740" s="19" t="str">
        <f>IFERROR(__xludf.DUMMYFUNCTION("""COMPUTED_VALUE"""),"-")</f>
        <v>-</v>
      </c>
      <c r="O2740" s="24">
        <f t="shared" si="4"/>
        <v>0</v>
      </c>
      <c r="P2740" s="24"/>
      <c r="Q2740" s="24">
        <f t="shared" si="6"/>
        <v>0</v>
      </c>
      <c r="R2740" s="24">
        <f t="shared" si="7"/>
        <v>0</v>
      </c>
      <c r="S2740" s="24"/>
      <c r="T2740" s="24"/>
    </row>
    <row r="2741">
      <c r="A2741" s="12" t="s">
        <v>2829</v>
      </c>
      <c r="F2741" s="19">
        <f>IFERROR(__xludf.DUMMYFUNCTION("SPLIT(A2737, "" |"")"),2735.0)</f>
        <v>2735</v>
      </c>
      <c r="G2741" s="19">
        <f>IFERROR(__xludf.DUMMYFUNCTION("""COMPUTED_VALUE"""),0.00236)</f>
        <v>0.00236</v>
      </c>
      <c r="H2741" s="19" t="str">
        <f>IFERROR(__xludf.DUMMYFUNCTION("""COMPUTED_VALUE"""),"-")</f>
        <v>-</v>
      </c>
      <c r="I2741" s="19">
        <f>IFERROR(__xludf.DUMMYFUNCTION("""COMPUTED_VALUE"""),0.00219)</f>
        <v>0.00219</v>
      </c>
      <c r="J2741" s="19">
        <f>IFERROR(__xludf.DUMMYFUNCTION("""COMPUTED_VALUE"""),0.04278)</f>
        <v>0.04278</v>
      </c>
      <c r="K2741" s="19" t="str">
        <f>IFERROR(__xludf.DUMMYFUNCTION("""COMPUTED_VALUE"""),"-")</f>
        <v>-</v>
      </c>
      <c r="L2741" s="19" t="str">
        <f>IFERROR(__xludf.DUMMYFUNCTION("""COMPUTED_VALUE"""),"-")</f>
        <v>-</v>
      </c>
      <c r="O2741" s="24">
        <f t="shared" si="4"/>
        <v>0</v>
      </c>
      <c r="P2741" s="24"/>
      <c r="Q2741" s="24">
        <f t="shared" si="6"/>
        <v>0</v>
      </c>
      <c r="R2741" s="24">
        <f t="shared" si="7"/>
        <v>1</v>
      </c>
      <c r="S2741" s="24"/>
      <c r="T2741" s="24"/>
    </row>
    <row r="2742">
      <c r="A2742" s="12" t="s">
        <v>2830</v>
      </c>
      <c r="F2742" s="19">
        <f>IFERROR(__xludf.DUMMYFUNCTION("SPLIT(A2738, "" |"")"),2736.0)</f>
        <v>2736</v>
      </c>
      <c r="G2742" s="19">
        <f>IFERROR(__xludf.DUMMYFUNCTION("""COMPUTED_VALUE"""),0.00231)</f>
        <v>0.00231</v>
      </c>
      <c r="H2742" s="19" t="str">
        <f>IFERROR(__xludf.DUMMYFUNCTION("""COMPUTED_VALUE"""),"-")</f>
        <v>-</v>
      </c>
      <c r="I2742" s="19">
        <f>IFERROR(__xludf.DUMMYFUNCTION("""COMPUTED_VALUE"""),0.00216)</f>
        <v>0.00216</v>
      </c>
      <c r="J2742" s="19">
        <f>IFERROR(__xludf.DUMMYFUNCTION("""COMPUTED_VALUE"""),0.04739)</f>
        <v>0.04739</v>
      </c>
      <c r="K2742" s="19" t="str">
        <f>IFERROR(__xludf.DUMMYFUNCTION("""COMPUTED_VALUE"""),"-")</f>
        <v>-</v>
      </c>
      <c r="L2742" s="19" t="str">
        <f>IFERROR(__xludf.DUMMYFUNCTION("""COMPUTED_VALUE"""),"-")</f>
        <v>-</v>
      </c>
      <c r="O2742" s="24">
        <f t="shared" si="4"/>
        <v>0</v>
      </c>
      <c r="P2742" s="24"/>
      <c r="Q2742" s="24">
        <f t="shared" si="6"/>
        <v>0</v>
      </c>
      <c r="R2742" s="24">
        <f t="shared" si="7"/>
        <v>0</v>
      </c>
      <c r="S2742" s="24"/>
      <c r="T2742" s="24"/>
    </row>
    <row r="2743">
      <c r="A2743" s="12" t="s">
        <v>2831</v>
      </c>
      <c r="F2743" s="19">
        <f>IFERROR(__xludf.DUMMYFUNCTION("SPLIT(A2739, "" |"")"),2737.0)</f>
        <v>2737</v>
      </c>
      <c r="G2743" s="19">
        <f>IFERROR(__xludf.DUMMYFUNCTION("""COMPUTED_VALUE"""),0.00237)</f>
        <v>0.00237</v>
      </c>
      <c r="H2743" s="19" t="str">
        <f>IFERROR(__xludf.DUMMYFUNCTION("""COMPUTED_VALUE"""),"-")</f>
        <v>-</v>
      </c>
      <c r="I2743" s="19">
        <f>IFERROR(__xludf.DUMMYFUNCTION("""COMPUTED_VALUE"""),0.0022)</f>
        <v>0.0022</v>
      </c>
      <c r="J2743" s="19">
        <f>IFERROR(__xludf.DUMMYFUNCTION("""COMPUTED_VALUE"""),0.04741)</f>
        <v>0.04741</v>
      </c>
      <c r="K2743" s="19" t="str">
        <f>IFERROR(__xludf.DUMMYFUNCTION("""COMPUTED_VALUE"""),"-")</f>
        <v>-</v>
      </c>
      <c r="L2743" s="19" t="str">
        <f>IFERROR(__xludf.DUMMYFUNCTION("""COMPUTED_VALUE"""),"-")</f>
        <v>-</v>
      </c>
      <c r="O2743" s="24">
        <f t="shared" si="4"/>
        <v>0</v>
      </c>
      <c r="P2743" s="24"/>
      <c r="Q2743" s="24">
        <f t="shared" si="6"/>
        <v>0</v>
      </c>
      <c r="R2743" s="24">
        <f t="shared" si="7"/>
        <v>0</v>
      </c>
      <c r="S2743" s="24"/>
      <c r="T2743" s="24"/>
    </row>
    <row r="2744">
      <c r="A2744" s="12" t="s">
        <v>2832</v>
      </c>
      <c r="F2744" s="19">
        <f>IFERROR(__xludf.DUMMYFUNCTION("SPLIT(A2740, "" |"")"),2738.0)</f>
        <v>2738</v>
      </c>
      <c r="G2744" s="19">
        <f>IFERROR(__xludf.DUMMYFUNCTION("""COMPUTED_VALUE"""),0.00241)</f>
        <v>0.00241</v>
      </c>
      <c r="H2744" s="19" t="str">
        <f>IFERROR(__xludf.DUMMYFUNCTION("""COMPUTED_VALUE"""),"-")</f>
        <v>-</v>
      </c>
      <c r="I2744" s="19">
        <f>IFERROR(__xludf.DUMMYFUNCTION("""COMPUTED_VALUE"""),0.00218)</f>
        <v>0.00218</v>
      </c>
      <c r="J2744" s="19">
        <f>IFERROR(__xludf.DUMMYFUNCTION("""COMPUTED_VALUE"""),0.03959)</f>
        <v>0.03959</v>
      </c>
      <c r="K2744" s="19" t="str">
        <f>IFERROR(__xludf.DUMMYFUNCTION("""COMPUTED_VALUE"""),"-")</f>
        <v>-</v>
      </c>
      <c r="L2744" s="19" t="str">
        <f>IFERROR(__xludf.DUMMYFUNCTION("""COMPUTED_VALUE"""),"-")</f>
        <v>-</v>
      </c>
      <c r="O2744" s="24">
        <f t="shared" si="4"/>
        <v>0</v>
      </c>
      <c r="P2744" s="24"/>
      <c r="Q2744" s="24">
        <f t="shared" si="6"/>
        <v>0</v>
      </c>
      <c r="R2744" s="24">
        <f t="shared" si="7"/>
        <v>1</v>
      </c>
      <c r="S2744" s="24"/>
      <c r="T2744" s="24"/>
    </row>
    <row r="2745">
      <c r="A2745" s="12" t="s">
        <v>2833</v>
      </c>
      <c r="F2745" s="19">
        <f>IFERROR(__xludf.DUMMYFUNCTION("SPLIT(A2741, "" |"")"),2739.0)</f>
        <v>2739</v>
      </c>
      <c r="G2745" s="19">
        <f>IFERROR(__xludf.DUMMYFUNCTION("""COMPUTED_VALUE"""),0.00235)</f>
        <v>0.00235</v>
      </c>
      <c r="H2745" s="19" t="str">
        <f>IFERROR(__xludf.DUMMYFUNCTION("""COMPUTED_VALUE"""),"-")</f>
        <v>-</v>
      </c>
      <c r="I2745" s="19">
        <f>IFERROR(__xludf.DUMMYFUNCTION("""COMPUTED_VALUE"""),0.00216)</f>
        <v>0.00216</v>
      </c>
      <c r="J2745" s="19">
        <f>IFERROR(__xludf.DUMMYFUNCTION("""COMPUTED_VALUE"""),0.0474)</f>
        <v>0.0474</v>
      </c>
      <c r="K2745" s="19" t="str">
        <f>IFERROR(__xludf.DUMMYFUNCTION("""COMPUTED_VALUE"""),"-")</f>
        <v>-</v>
      </c>
      <c r="L2745" s="19" t="str">
        <f>IFERROR(__xludf.DUMMYFUNCTION("""COMPUTED_VALUE"""),"-")</f>
        <v>-</v>
      </c>
      <c r="O2745" s="24">
        <f t="shared" si="4"/>
        <v>0</v>
      </c>
      <c r="P2745" s="24"/>
      <c r="Q2745" s="24">
        <f t="shared" si="6"/>
        <v>0</v>
      </c>
      <c r="R2745" s="24">
        <f t="shared" si="7"/>
        <v>0</v>
      </c>
      <c r="S2745" s="24"/>
      <c r="T2745" s="24"/>
    </row>
    <row r="2746">
      <c r="A2746" s="12" t="s">
        <v>2834</v>
      </c>
      <c r="F2746" s="19">
        <f>IFERROR(__xludf.DUMMYFUNCTION("SPLIT(A2742, "" |"")"),2740.0)</f>
        <v>2740</v>
      </c>
      <c r="G2746" s="19">
        <f>IFERROR(__xludf.DUMMYFUNCTION("""COMPUTED_VALUE"""),0.00239)</f>
        <v>0.00239</v>
      </c>
      <c r="H2746" s="19" t="str">
        <f>IFERROR(__xludf.DUMMYFUNCTION("""COMPUTED_VALUE"""),"-")</f>
        <v>-</v>
      </c>
      <c r="I2746" s="19">
        <f>IFERROR(__xludf.DUMMYFUNCTION("""COMPUTED_VALUE"""),0.00218)</f>
        <v>0.00218</v>
      </c>
      <c r="J2746" s="19">
        <f>IFERROR(__xludf.DUMMYFUNCTION("""COMPUTED_VALUE"""),0.04748)</f>
        <v>0.04748</v>
      </c>
      <c r="K2746" s="19" t="str">
        <f>IFERROR(__xludf.DUMMYFUNCTION("""COMPUTED_VALUE"""),"-")</f>
        <v>-</v>
      </c>
      <c r="L2746" s="19" t="str">
        <f>IFERROR(__xludf.DUMMYFUNCTION("""COMPUTED_VALUE"""),"-")</f>
        <v>-</v>
      </c>
      <c r="O2746" s="24">
        <f t="shared" si="4"/>
        <v>0</v>
      </c>
      <c r="P2746" s="24"/>
      <c r="Q2746" s="24">
        <f t="shared" si="6"/>
        <v>0</v>
      </c>
      <c r="R2746" s="24">
        <f t="shared" si="7"/>
        <v>0</v>
      </c>
      <c r="S2746" s="24"/>
      <c r="T2746" s="24"/>
    </row>
    <row r="2747">
      <c r="A2747" s="12" t="s">
        <v>2835</v>
      </c>
      <c r="F2747" s="19">
        <f>IFERROR(__xludf.DUMMYFUNCTION("SPLIT(A2743, "" |"")"),2741.0)</f>
        <v>2741</v>
      </c>
      <c r="G2747" s="19">
        <f>IFERROR(__xludf.DUMMYFUNCTION("""COMPUTED_VALUE"""),0.00232)</f>
        <v>0.00232</v>
      </c>
      <c r="H2747" s="19" t="str">
        <f>IFERROR(__xludf.DUMMYFUNCTION("""COMPUTED_VALUE"""),"-")</f>
        <v>-</v>
      </c>
      <c r="I2747" s="19">
        <f>IFERROR(__xludf.DUMMYFUNCTION("""COMPUTED_VALUE"""),0.00212)</f>
        <v>0.00212</v>
      </c>
      <c r="J2747" s="19">
        <f>IFERROR(__xludf.DUMMYFUNCTION("""COMPUTED_VALUE"""),0.04747)</f>
        <v>0.04747</v>
      </c>
      <c r="K2747" s="19" t="str">
        <f>IFERROR(__xludf.DUMMYFUNCTION("""COMPUTED_VALUE"""),"-")</f>
        <v>-</v>
      </c>
      <c r="L2747" s="19" t="str">
        <f>IFERROR(__xludf.DUMMYFUNCTION("""COMPUTED_VALUE"""),"-")</f>
        <v>-</v>
      </c>
      <c r="O2747" s="24">
        <f t="shared" si="4"/>
        <v>0</v>
      </c>
      <c r="P2747" s="24"/>
      <c r="Q2747" s="24">
        <f t="shared" si="6"/>
        <v>0</v>
      </c>
      <c r="R2747" s="24">
        <f t="shared" si="7"/>
        <v>0</v>
      </c>
      <c r="S2747" s="24"/>
      <c r="T2747" s="24"/>
    </row>
    <row r="2748">
      <c r="A2748" s="12" t="s">
        <v>2836</v>
      </c>
      <c r="F2748" s="19">
        <f>IFERROR(__xludf.DUMMYFUNCTION("SPLIT(A2744, "" |"")"),2742.0)</f>
        <v>2742</v>
      </c>
      <c r="G2748" s="19">
        <f>IFERROR(__xludf.DUMMYFUNCTION("""COMPUTED_VALUE"""),0.00238)</f>
        <v>0.00238</v>
      </c>
      <c r="H2748" s="19" t="str">
        <f>IFERROR(__xludf.DUMMYFUNCTION("""COMPUTED_VALUE"""),"-")</f>
        <v>-</v>
      </c>
      <c r="I2748" s="19">
        <f>IFERROR(__xludf.DUMMYFUNCTION("""COMPUTED_VALUE"""),0.00221)</f>
        <v>0.00221</v>
      </c>
      <c r="J2748" s="19">
        <f>IFERROR(__xludf.DUMMYFUNCTION("""COMPUTED_VALUE"""),0.04742)</f>
        <v>0.04742</v>
      </c>
      <c r="K2748" s="19" t="str">
        <f>IFERROR(__xludf.DUMMYFUNCTION("""COMPUTED_VALUE"""),"-")</f>
        <v>-</v>
      </c>
      <c r="L2748" s="19" t="str">
        <f>IFERROR(__xludf.DUMMYFUNCTION("""COMPUTED_VALUE"""),"-")</f>
        <v>-</v>
      </c>
      <c r="O2748" s="24">
        <f t="shared" si="4"/>
        <v>0</v>
      </c>
      <c r="P2748" s="24"/>
      <c r="Q2748" s="24">
        <f t="shared" si="6"/>
        <v>0</v>
      </c>
      <c r="R2748" s="24">
        <f t="shared" si="7"/>
        <v>0</v>
      </c>
      <c r="S2748" s="24"/>
      <c r="T2748" s="24"/>
    </row>
    <row r="2749">
      <c r="A2749" s="12" t="s">
        <v>2837</v>
      </c>
      <c r="F2749" s="19">
        <f>IFERROR(__xludf.DUMMYFUNCTION("SPLIT(A2745, "" |"")"),2743.0)</f>
        <v>2743</v>
      </c>
      <c r="G2749" s="19">
        <f>IFERROR(__xludf.DUMMYFUNCTION("""COMPUTED_VALUE"""),0.00238)</f>
        <v>0.00238</v>
      </c>
      <c r="H2749" s="19" t="str">
        <f>IFERROR(__xludf.DUMMYFUNCTION("""COMPUTED_VALUE"""),"-")</f>
        <v>-</v>
      </c>
      <c r="I2749" s="19">
        <f>IFERROR(__xludf.DUMMYFUNCTION("""COMPUTED_VALUE"""),0.00221)</f>
        <v>0.00221</v>
      </c>
      <c r="J2749" s="19">
        <f>IFERROR(__xludf.DUMMYFUNCTION("""COMPUTED_VALUE"""),0.047)</f>
        <v>0.047</v>
      </c>
      <c r="K2749" s="19" t="str">
        <f>IFERROR(__xludf.DUMMYFUNCTION("""COMPUTED_VALUE"""),"-")</f>
        <v>-</v>
      </c>
      <c r="L2749" s="19" t="str">
        <f>IFERROR(__xludf.DUMMYFUNCTION("""COMPUTED_VALUE"""),"-")</f>
        <v>-</v>
      </c>
      <c r="O2749" s="24">
        <f t="shared" si="4"/>
        <v>0</v>
      </c>
      <c r="P2749" s="24"/>
      <c r="Q2749" s="24">
        <f t="shared" si="6"/>
        <v>0</v>
      </c>
      <c r="R2749" s="24">
        <f t="shared" si="7"/>
        <v>0</v>
      </c>
      <c r="S2749" s="24"/>
      <c r="T2749" s="24"/>
    </row>
    <row r="2750">
      <c r="A2750" s="12" t="s">
        <v>2838</v>
      </c>
      <c r="F2750" s="19">
        <f>IFERROR(__xludf.DUMMYFUNCTION("SPLIT(A2746, "" |"")"),2744.0)</f>
        <v>2744</v>
      </c>
      <c r="G2750" s="19">
        <f>IFERROR(__xludf.DUMMYFUNCTION("""COMPUTED_VALUE"""),0.0024)</f>
        <v>0.0024</v>
      </c>
      <c r="H2750" s="19" t="str">
        <f>IFERROR(__xludf.DUMMYFUNCTION("""COMPUTED_VALUE"""),"-")</f>
        <v>-</v>
      </c>
      <c r="I2750" s="19">
        <f>IFERROR(__xludf.DUMMYFUNCTION("""COMPUTED_VALUE"""),0.00214)</f>
        <v>0.00214</v>
      </c>
      <c r="J2750" s="19">
        <f>IFERROR(__xludf.DUMMYFUNCTION("""COMPUTED_VALUE"""),0.04749)</f>
        <v>0.04749</v>
      </c>
      <c r="K2750" s="19" t="str">
        <f>IFERROR(__xludf.DUMMYFUNCTION("""COMPUTED_VALUE"""),"-")</f>
        <v>-</v>
      </c>
      <c r="L2750" s="19" t="str">
        <f>IFERROR(__xludf.DUMMYFUNCTION("""COMPUTED_VALUE"""),"-")</f>
        <v>-</v>
      </c>
      <c r="O2750" s="24">
        <f t="shared" si="4"/>
        <v>0</v>
      </c>
      <c r="P2750" s="24"/>
      <c r="Q2750" s="24">
        <f t="shared" si="6"/>
        <v>0</v>
      </c>
      <c r="R2750" s="24">
        <f t="shared" si="7"/>
        <v>0</v>
      </c>
      <c r="S2750" s="24"/>
      <c r="T2750" s="24"/>
    </row>
    <row r="2751">
      <c r="A2751" s="12" t="s">
        <v>2839</v>
      </c>
      <c r="F2751" s="19">
        <f>IFERROR(__xludf.DUMMYFUNCTION("SPLIT(A2747, "" |"")"),2745.0)</f>
        <v>2745</v>
      </c>
      <c r="G2751" s="19">
        <f>IFERROR(__xludf.DUMMYFUNCTION("""COMPUTED_VALUE"""),0.00235)</f>
        <v>0.00235</v>
      </c>
      <c r="H2751" s="19" t="str">
        <f>IFERROR(__xludf.DUMMYFUNCTION("""COMPUTED_VALUE"""),"-")</f>
        <v>-</v>
      </c>
      <c r="I2751" s="19">
        <f>IFERROR(__xludf.DUMMYFUNCTION("""COMPUTED_VALUE"""),0.00215)</f>
        <v>0.00215</v>
      </c>
      <c r="J2751" s="19">
        <f>IFERROR(__xludf.DUMMYFUNCTION("""COMPUTED_VALUE"""),0.04492)</f>
        <v>0.04492</v>
      </c>
      <c r="K2751" s="19" t="str">
        <f>IFERROR(__xludf.DUMMYFUNCTION("""COMPUTED_VALUE"""),"-")</f>
        <v>-</v>
      </c>
      <c r="L2751" s="19" t="str">
        <f>IFERROR(__xludf.DUMMYFUNCTION("""COMPUTED_VALUE"""),"-")</f>
        <v>-</v>
      </c>
      <c r="O2751" s="24">
        <f t="shared" si="4"/>
        <v>0</v>
      </c>
      <c r="P2751" s="24"/>
      <c r="Q2751" s="24">
        <f t="shared" si="6"/>
        <v>0</v>
      </c>
      <c r="R2751" s="24">
        <f t="shared" si="7"/>
        <v>1</v>
      </c>
      <c r="S2751" s="24"/>
      <c r="T2751" s="24"/>
    </row>
    <row r="2752">
      <c r="A2752" s="12" t="s">
        <v>2840</v>
      </c>
      <c r="F2752" s="19">
        <f>IFERROR(__xludf.DUMMYFUNCTION("SPLIT(A2748, "" |"")"),2746.0)</f>
        <v>2746</v>
      </c>
      <c r="G2752" s="19">
        <f>IFERROR(__xludf.DUMMYFUNCTION("""COMPUTED_VALUE"""),0.00238)</f>
        <v>0.00238</v>
      </c>
      <c r="H2752" s="19" t="str">
        <f>IFERROR(__xludf.DUMMYFUNCTION("""COMPUTED_VALUE"""),"-")</f>
        <v>-</v>
      </c>
      <c r="I2752" s="19">
        <f>IFERROR(__xludf.DUMMYFUNCTION("""COMPUTED_VALUE"""),0.00217)</f>
        <v>0.00217</v>
      </c>
      <c r="J2752" s="19">
        <f>IFERROR(__xludf.DUMMYFUNCTION("""COMPUTED_VALUE"""),0.04457)</f>
        <v>0.04457</v>
      </c>
      <c r="K2752" s="19" t="str">
        <f>IFERROR(__xludf.DUMMYFUNCTION("""COMPUTED_VALUE"""),"-")</f>
        <v>-</v>
      </c>
      <c r="L2752" s="19" t="str">
        <f>IFERROR(__xludf.DUMMYFUNCTION("""COMPUTED_VALUE"""),"-")</f>
        <v>-</v>
      </c>
      <c r="O2752" s="24">
        <f t="shared" si="4"/>
        <v>0</v>
      </c>
      <c r="P2752" s="24"/>
      <c r="Q2752" s="24">
        <f t="shared" si="6"/>
        <v>0</v>
      </c>
      <c r="R2752" s="24">
        <f t="shared" si="7"/>
        <v>1</v>
      </c>
      <c r="S2752" s="24"/>
      <c r="T2752" s="24"/>
    </row>
    <row r="2753">
      <c r="A2753" s="12" t="s">
        <v>2841</v>
      </c>
      <c r="F2753" s="19">
        <f>IFERROR(__xludf.DUMMYFUNCTION("SPLIT(A2749, "" |"")"),2747.0)</f>
        <v>2747</v>
      </c>
      <c r="G2753" s="19">
        <f>IFERROR(__xludf.DUMMYFUNCTION("""COMPUTED_VALUE"""),0.00232)</f>
        <v>0.00232</v>
      </c>
      <c r="H2753" s="19" t="str">
        <f>IFERROR(__xludf.DUMMYFUNCTION("""COMPUTED_VALUE"""),"-")</f>
        <v>-</v>
      </c>
      <c r="I2753" s="19">
        <f>IFERROR(__xludf.DUMMYFUNCTION("""COMPUTED_VALUE"""),0.0021)</f>
        <v>0.0021</v>
      </c>
      <c r="J2753" s="19">
        <f>IFERROR(__xludf.DUMMYFUNCTION("""COMPUTED_VALUE"""),0.03977)</f>
        <v>0.03977</v>
      </c>
      <c r="K2753" s="19" t="str">
        <f>IFERROR(__xludf.DUMMYFUNCTION("""COMPUTED_VALUE"""),"-")</f>
        <v>-</v>
      </c>
      <c r="L2753" s="19" t="str">
        <f>IFERROR(__xludf.DUMMYFUNCTION("""COMPUTED_VALUE"""),"-")</f>
        <v>-</v>
      </c>
      <c r="O2753" s="24">
        <f t="shared" si="4"/>
        <v>0</v>
      </c>
      <c r="P2753" s="24"/>
      <c r="Q2753" s="24">
        <f t="shared" si="6"/>
        <v>0</v>
      </c>
      <c r="R2753" s="24">
        <f t="shared" si="7"/>
        <v>1</v>
      </c>
      <c r="S2753" s="24"/>
      <c r="T2753" s="24"/>
    </row>
    <row r="2754">
      <c r="A2754" s="12" t="s">
        <v>2842</v>
      </c>
      <c r="F2754" s="19">
        <f>IFERROR(__xludf.DUMMYFUNCTION("SPLIT(A2750, "" |"")"),2748.0)</f>
        <v>2748</v>
      </c>
      <c r="G2754" s="19">
        <f>IFERROR(__xludf.DUMMYFUNCTION("""COMPUTED_VALUE"""),0.0023)</f>
        <v>0.0023</v>
      </c>
      <c r="H2754" s="19" t="str">
        <f>IFERROR(__xludf.DUMMYFUNCTION("""COMPUTED_VALUE"""),"-")</f>
        <v>-</v>
      </c>
      <c r="I2754" s="19">
        <f>IFERROR(__xludf.DUMMYFUNCTION("""COMPUTED_VALUE"""),0.00206)</f>
        <v>0.00206</v>
      </c>
      <c r="J2754" s="19">
        <f>IFERROR(__xludf.DUMMYFUNCTION("""COMPUTED_VALUE"""),0.04732)</f>
        <v>0.04732</v>
      </c>
      <c r="K2754" s="19" t="str">
        <f>IFERROR(__xludf.DUMMYFUNCTION("""COMPUTED_VALUE"""),"-")</f>
        <v>-</v>
      </c>
      <c r="L2754" s="19" t="str">
        <f>IFERROR(__xludf.DUMMYFUNCTION("""COMPUTED_VALUE"""),"-")</f>
        <v>-</v>
      </c>
      <c r="O2754" s="24">
        <f t="shared" si="4"/>
        <v>0</v>
      </c>
      <c r="P2754" s="24"/>
      <c r="Q2754" s="24">
        <f t="shared" si="6"/>
        <v>0</v>
      </c>
      <c r="R2754" s="24">
        <f t="shared" si="7"/>
        <v>0</v>
      </c>
      <c r="S2754" s="24"/>
      <c r="T2754" s="24"/>
    </row>
    <row r="2755">
      <c r="A2755" s="12" t="s">
        <v>2843</v>
      </c>
      <c r="F2755" s="19">
        <f>IFERROR(__xludf.DUMMYFUNCTION("SPLIT(A2751, "" |"")"),2749.0)</f>
        <v>2749</v>
      </c>
      <c r="G2755" s="19">
        <f>IFERROR(__xludf.DUMMYFUNCTION("""COMPUTED_VALUE"""),0.00234)</f>
        <v>0.00234</v>
      </c>
      <c r="H2755" s="19" t="str">
        <f>IFERROR(__xludf.DUMMYFUNCTION("""COMPUTED_VALUE"""),"-")</f>
        <v>-</v>
      </c>
      <c r="I2755" s="19">
        <f>IFERROR(__xludf.DUMMYFUNCTION("""COMPUTED_VALUE"""),0.00208)</f>
        <v>0.00208</v>
      </c>
      <c r="J2755" s="19">
        <f>IFERROR(__xludf.DUMMYFUNCTION("""COMPUTED_VALUE"""),0.04731)</f>
        <v>0.04731</v>
      </c>
      <c r="K2755" s="19" t="str">
        <f>IFERROR(__xludf.DUMMYFUNCTION("""COMPUTED_VALUE"""),"-")</f>
        <v>-</v>
      </c>
      <c r="L2755" s="19" t="str">
        <f>IFERROR(__xludf.DUMMYFUNCTION("""COMPUTED_VALUE"""),"-")</f>
        <v>-</v>
      </c>
      <c r="O2755" s="24">
        <f t="shared" si="4"/>
        <v>0</v>
      </c>
      <c r="P2755" s="24"/>
      <c r="Q2755" s="24">
        <f t="shared" si="6"/>
        <v>0</v>
      </c>
      <c r="R2755" s="24">
        <f t="shared" si="7"/>
        <v>0</v>
      </c>
      <c r="S2755" s="24"/>
      <c r="T2755" s="24"/>
    </row>
    <row r="2756">
      <c r="A2756" s="12" t="s">
        <v>2844</v>
      </c>
      <c r="F2756" s="19">
        <f>IFERROR(__xludf.DUMMYFUNCTION("SPLIT(A2752, "" |"")"),2750.0)</f>
        <v>2750</v>
      </c>
      <c r="G2756" s="19">
        <f>IFERROR(__xludf.DUMMYFUNCTION("""COMPUTED_VALUE"""),0.00227)</f>
        <v>0.00227</v>
      </c>
      <c r="H2756" s="19" t="str">
        <f>IFERROR(__xludf.DUMMYFUNCTION("""COMPUTED_VALUE"""),"-")</f>
        <v>-</v>
      </c>
      <c r="I2756" s="19">
        <f>IFERROR(__xludf.DUMMYFUNCTION("""COMPUTED_VALUE"""),0.00211)</f>
        <v>0.00211</v>
      </c>
      <c r="J2756" s="19">
        <f>IFERROR(__xludf.DUMMYFUNCTION("""COMPUTED_VALUE"""),0.0473)</f>
        <v>0.0473</v>
      </c>
      <c r="K2756" s="19" t="str">
        <f>IFERROR(__xludf.DUMMYFUNCTION("""COMPUTED_VALUE"""),"-")</f>
        <v>-</v>
      </c>
      <c r="L2756" s="19" t="str">
        <f>IFERROR(__xludf.DUMMYFUNCTION("""COMPUTED_VALUE"""),"-")</f>
        <v>-</v>
      </c>
      <c r="O2756" s="24">
        <f t="shared" si="4"/>
        <v>0</v>
      </c>
      <c r="P2756" s="24"/>
      <c r="Q2756" s="24">
        <f t="shared" si="6"/>
        <v>0</v>
      </c>
      <c r="R2756" s="24">
        <f t="shared" si="7"/>
        <v>0</v>
      </c>
      <c r="S2756" s="24"/>
      <c r="T2756" s="24"/>
    </row>
    <row r="2757">
      <c r="A2757" s="12" t="s">
        <v>2845</v>
      </c>
      <c r="F2757" s="19">
        <f>IFERROR(__xludf.DUMMYFUNCTION("SPLIT(A2753, "" |"")"),2751.0)</f>
        <v>2751</v>
      </c>
      <c r="G2757" s="19">
        <f>IFERROR(__xludf.DUMMYFUNCTION("""COMPUTED_VALUE"""),0.00222)</f>
        <v>0.00222</v>
      </c>
      <c r="H2757" s="19" t="str">
        <f>IFERROR(__xludf.DUMMYFUNCTION("""COMPUTED_VALUE"""),"-")</f>
        <v>-</v>
      </c>
      <c r="I2757" s="19">
        <f>IFERROR(__xludf.DUMMYFUNCTION("""COMPUTED_VALUE"""),0.00206)</f>
        <v>0.00206</v>
      </c>
      <c r="J2757" s="19">
        <f>IFERROR(__xludf.DUMMYFUNCTION("""COMPUTED_VALUE"""),0.04729)</f>
        <v>0.04729</v>
      </c>
      <c r="K2757" s="19" t="str">
        <f>IFERROR(__xludf.DUMMYFUNCTION("""COMPUTED_VALUE"""),"-")</f>
        <v>-</v>
      </c>
      <c r="L2757" s="19" t="str">
        <f>IFERROR(__xludf.DUMMYFUNCTION("""COMPUTED_VALUE"""),"-")</f>
        <v>-</v>
      </c>
      <c r="O2757" s="24">
        <f t="shared" si="4"/>
        <v>0</v>
      </c>
      <c r="P2757" s="24"/>
      <c r="Q2757" s="24">
        <f t="shared" si="6"/>
        <v>0</v>
      </c>
      <c r="R2757" s="24">
        <f t="shared" si="7"/>
        <v>0</v>
      </c>
      <c r="S2757" s="24"/>
      <c r="T2757" s="24"/>
    </row>
    <row r="2758">
      <c r="A2758" s="12" t="s">
        <v>2846</v>
      </c>
      <c r="F2758" s="19">
        <f>IFERROR(__xludf.DUMMYFUNCTION("SPLIT(A2754, "" |"")"),2752.0)</f>
        <v>2752</v>
      </c>
      <c r="G2758" s="19">
        <f>IFERROR(__xludf.DUMMYFUNCTION("""COMPUTED_VALUE"""),0.00218)</f>
        <v>0.00218</v>
      </c>
      <c r="H2758" s="19" t="str">
        <f>IFERROR(__xludf.DUMMYFUNCTION("""COMPUTED_VALUE"""),"-")</f>
        <v>-</v>
      </c>
      <c r="I2758" s="19">
        <f>IFERROR(__xludf.DUMMYFUNCTION("""COMPUTED_VALUE"""),0.00206)</f>
        <v>0.00206</v>
      </c>
      <c r="J2758" s="19">
        <f>IFERROR(__xludf.DUMMYFUNCTION("""COMPUTED_VALUE"""),0.04731)</f>
        <v>0.04731</v>
      </c>
      <c r="K2758" s="19" t="str">
        <f>IFERROR(__xludf.DUMMYFUNCTION("""COMPUTED_VALUE"""),"-")</f>
        <v>-</v>
      </c>
      <c r="L2758" s="19" t="str">
        <f>IFERROR(__xludf.DUMMYFUNCTION("""COMPUTED_VALUE"""),"-")</f>
        <v>-</v>
      </c>
      <c r="O2758" s="24">
        <f t="shared" si="4"/>
        <v>0</v>
      </c>
      <c r="P2758" s="24"/>
      <c r="Q2758" s="24">
        <f t="shared" si="6"/>
        <v>0</v>
      </c>
      <c r="R2758" s="24">
        <f t="shared" si="7"/>
        <v>0</v>
      </c>
      <c r="S2758" s="24"/>
      <c r="T2758" s="24"/>
    </row>
    <row r="2759">
      <c r="A2759" s="12" t="s">
        <v>2847</v>
      </c>
      <c r="F2759" s="19">
        <f>IFERROR(__xludf.DUMMYFUNCTION("SPLIT(A2755, "" |"")"),2753.0)</f>
        <v>2753</v>
      </c>
      <c r="G2759" s="19">
        <f>IFERROR(__xludf.DUMMYFUNCTION("""COMPUTED_VALUE"""),0.00224)</f>
        <v>0.00224</v>
      </c>
      <c r="H2759" s="19" t="str">
        <f>IFERROR(__xludf.DUMMYFUNCTION("""COMPUTED_VALUE"""),"-")</f>
        <v>-</v>
      </c>
      <c r="I2759" s="19">
        <f>IFERROR(__xludf.DUMMYFUNCTION("""COMPUTED_VALUE"""),0.00207)</f>
        <v>0.00207</v>
      </c>
      <c r="J2759" s="19">
        <f>IFERROR(__xludf.DUMMYFUNCTION("""COMPUTED_VALUE"""),0.04138)</f>
        <v>0.04138</v>
      </c>
      <c r="K2759" s="19" t="str">
        <f>IFERROR(__xludf.DUMMYFUNCTION("""COMPUTED_VALUE"""),"-")</f>
        <v>-</v>
      </c>
      <c r="L2759" s="19" t="str">
        <f>IFERROR(__xludf.DUMMYFUNCTION("""COMPUTED_VALUE"""),"-")</f>
        <v>-</v>
      </c>
      <c r="O2759" s="24">
        <f t="shared" si="4"/>
        <v>0</v>
      </c>
      <c r="P2759" s="24"/>
      <c r="Q2759" s="24">
        <f t="shared" si="6"/>
        <v>0</v>
      </c>
      <c r="R2759" s="24">
        <f t="shared" si="7"/>
        <v>1</v>
      </c>
      <c r="S2759" s="24"/>
      <c r="T2759" s="24"/>
    </row>
    <row r="2760">
      <c r="A2760" s="12" t="s">
        <v>2848</v>
      </c>
      <c r="F2760" s="19">
        <f>IFERROR(__xludf.DUMMYFUNCTION("SPLIT(A2756, "" |"")"),2754.0)</f>
        <v>2754</v>
      </c>
      <c r="G2760" s="19">
        <f>IFERROR(__xludf.DUMMYFUNCTION("""COMPUTED_VALUE"""),0.00219)</f>
        <v>0.00219</v>
      </c>
      <c r="H2760" s="19" t="str">
        <f>IFERROR(__xludf.DUMMYFUNCTION("""COMPUTED_VALUE"""),"-")</f>
        <v>-</v>
      </c>
      <c r="I2760" s="19">
        <f>IFERROR(__xludf.DUMMYFUNCTION("""COMPUTED_VALUE"""),0.00206)</f>
        <v>0.00206</v>
      </c>
      <c r="J2760" s="19">
        <f>IFERROR(__xludf.DUMMYFUNCTION("""COMPUTED_VALUE"""),0.04729)</f>
        <v>0.04729</v>
      </c>
      <c r="K2760" s="19" t="str">
        <f>IFERROR(__xludf.DUMMYFUNCTION("""COMPUTED_VALUE"""),"-")</f>
        <v>-</v>
      </c>
      <c r="L2760" s="19" t="str">
        <f>IFERROR(__xludf.DUMMYFUNCTION("""COMPUTED_VALUE"""),"-")</f>
        <v>-</v>
      </c>
      <c r="O2760" s="24">
        <f t="shared" si="4"/>
        <v>0</v>
      </c>
      <c r="P2760" s="24"/>
      <c r="Q2760" s="24">
        <f t="shared" si="6"/>
        <v>0</v>
      </c>
      <c r="R2760" s="24">
        <f t="shared" si="7"/>
        <v>0</v>
      </c>
      <c r="S2760" s="24"/>
      <c r="T2760" s="24"/>
    </row>
    <row r="2761">
      <c r="A2761" s="12" t="s">
        <v>2849</v>
      </c>
      <c r="F2761" s="19">
        <f>IFERROR(__xludf.DUMMYFUNCTION("SPLIT(A2757, "" |"")"),2755.0)</f>
        <v>2755</v>
      </c>
      <c r="G2761" s="19">
        <f>IFERROR(__xludf.DUMMYFUNCTION("""COMPUTED_VALUE"""),0.00225)</f>
        <v>0.00225</v>
      </c>
      <c r="H2761" s="19" t="str">
        <f>IFERROR(__xludf.DUMMYFUNCTION("""COMPUTED_VALUE"""),"-")</f>
        <v>-</v>
      </c>
      <c r="I2761" s="19">
        <f>IFERROR(__xludf.DUMMYFUNCTION("""COMPUTED_VALUE"""),0.00208)</f>
        <v>0.00208</v>
      </c>
      <c r="J2761" s="19">
        <f>IFERROR(__xludf.DUMMYFUNCTION("""COMPUTED_VALUE"""),0.04735)</f>
        <v>0.04735</v>
      </c>
      <c r="K2761" s="19" t="str">
        <f>IFERROR(__xludf.DUMMYFUNCTION("""COMPUTED_VALUE"""),"-")</f>
        <v>-</v>
      </c>
      <c r="L2761" s="19" t="str">
        <f>IFERROR(__xludf.DUMMYFUNCTION("""COMPUTED_VALUE"""),"-")</f>
        <v>-</v>
      </c>
      <c r="O2761" s="24">
        <f t="shared" si="4"/>
        <v>0</v>
      </c>
      <c r="P2761" s="24"/>
      <c r="Q2761" s="24">
        <f t="shared" si="6"/>
        <v>0</v>
      </c>
      <c r="R2761" s="24">
        <f t="shared" si="7"/>
        <v>0</v>
      </c>
      <c r="S2761" s="24"/>
      <c r="T2761" s="24"/>
    </row>
    <row r="2762">
      <c r="A2762" s="12" t="s">
        <v>2850</v>
      </c>
      <c r="F2762" s="19">
        <f>IFERROR(__xludf.DUMMYFUNCTION("SPLIT(A2758, "" |"")"),2756.0)</f>
        <v>2756</v>
      </c>
      <c r="G2762" s="19">
        <f>IFERROR(__xludf.DUMMYFUNCTION("""COMPUTED_VALUE"""),0.00229)</f>
        <v>0.00229</v>
      </c>
      <c r="H2762" s="19" t="str">
        <f>IFERROR(__xludf.DUMMYFUNCTION("""COMPUTED_VALUE"""),"-")</f>
        <v>-</v>
      </c>
      <c r="I2762" s="19">
        <f>IFERROR(__xludf.DUMMYFUNCTION("""COMPUTED_VALUE"""),0.00207)</f>
        <v>0.00207</v>
      </c>
      <c r="J2762" s="19">
        <f>IFERROR(__xludf.DUMMYFUNCTION("""COMPUTED_VALUE"""),0.04732)</f>
        <v>0.04732</v>
      </c>
      <c r="K2762" s="19" t="str">
        <f>IFERROR(__xludf.DUMMYFUNCTION("""COMPUTED_VALUE"""),"-")</f>
        <v>-</v>
      </c>
      <c r="L2762" s="19" t="str">
        <f>IFERROR(__xludf.DUMMYFUNCTION("""COMPUTED_VALUE"""),"-")</f>
        <v>-</v>
      </c>
      <c r="O2762" s="24">
        <f t="shared" si="4"/>
        <v>0</v>
      </c>
      <c r="P2762" s="24"/>
      <c r="Q2762" s="24">
        <f t="shared" si="6"/>
        <v>0</v>
      </c>
      <c r="R2762" s="24">
        <f t="shared" si="7"/>
        <v>0</v>
      </c>
      <c r="S2762" s="24"/>
      <c r="T2762" s="24"/>
    </row>
    <row r="2763">
      <c r="A2763" s="12" t="s">
        <v>2851</v>
      </c>
      <c r="F2763" s="19">
        <f>IFERROR(__xludf.DUMMYFUNCTION("SPLIT(A2759, "" |"")"),2757.0)</f>
        <v>2757</v>
      </c>
      <c r="G2763" s="19">
        <f>IFERROR(__xludf.DUMMYFUNCTION("""COMPUTED_VALUE"""),0.00227)</f>
        <v>0.00227</v>
      </c>
      <c r="H2763" s="19" t="str">
        <f>IFERROR(__xludf.DUMMYFUNCTION("""COMPUTED_VALUE"""),"-")</f>
        <v>-</v>
      </c>
      <c r="I2763" s="19">
        <f>IFERROR(__xludf.DUMMYFUNCTION("""COMPUTED_VALUE"""),0.00209)</f>
        <v>0.00209</v>
      </c>
      <c r="J2763" s="19">
        <f>IFERROR(__xludf.DUMMYFUNCTION("""COMPUTED_VALUE"""),0.04373)</f>
        <v>0.04373</v>
      </c>
      <c r="K2763" s="19" t="str">
        <f>IFERROR(__xludf.DUMMYFUNCTION("""COMPUTED_VALUE"""),"-")</f>
        <v>-</v>
      </c>
      <c r="L2763" s="19" t="str">
        <f>IFERROR(__xludf.DUMMYFUNCTION("""COMPUTED_VALUE"""),"-")</f>
        <v>-</v>
      </c>
      <c r="O2763" s="24">
        <f t="shared" si="4"/>
        <v>0</v>
      </c>
      <c r="P2763" s="24"/>
      <c r="Q2763" s="24">
        <f t="shared" si="6"/>
        <v>0</v>
      </c>
      <c r="R2763" s="24">
        <f t="shared" si="7"/>
        <v>1</v>
      </c>
      <c r="S2763" s="24"/>
      <c r="T2763" s="24"/>
    </row>
    <row r="2764">
      <c r="A2764" s="12" t="s">
        <v>2852</v>
      </c>
      <c r="F2764" s="19">
        <f>IFERROR(__xludf.DUMMYFUNCTION("SPLIT(A2760, "" |"")"),2758.0)</f>
        <v>2758</v>
      </c>
      <c r="G2764" s="19">
        <f>IFERROR(__xludf.DUMMYFUNCTION("""COMPUTED_VALUE"""),0.00227)</f>
        <v>0.00227</v>
      </c>
      <c r="H2764" s="19" t="str">
        <f>IFERROR(__xludf.DUMMYFUNCTION("""COMPUTED_VALUE"""),"-")</f>
        <v>-</v>
      </c>
      <c r="I2764" s="19">
        <f>IFERROR(__xludf.DUMMYFUNCTION("""COMPUTED_VALUE"""),0.00207)</f>
        <v>0.00207</v>
      </c>
      <c r="J2764" s="19">
        <f>IFERROR(__xludf.DUMMYFUNCTION("""COMPUTED_VALUE"""),0.04733)</f>
        <v>0.04733</v>
      </c>
      <c r="K2764" s="19" t="str">
        <f>IFERROR(__xludf.DUMMYFUNCTION("""COMPUTED_VALUE"""),"-")</f>
        <v>-</v>
      </c>
      <c r="L2764" s="19" t="str">
        <f>IFERROR(__xludf.DUMMYFUNCTION("""COMPUTED_VALUE"""),"-")</f>
        <v>-</v>
      </c>
      <c r="O2764" s="24">
        <f t="shared" si="4"/>
        <v>0</v>
      </c>
      <c r="P2764" s="24"/>
      <c r="Q2764" s="24">
        <f t="shared" si="6"/>
        <v>0</v>
      </c>
      <c r="R2764" s="24">
        <f t="shared" si="7"/>
        <v>0</v>
      </c>
      <c r="S2764" s="24"/>
      <c r="T2764" s="24"/>
    </row>
    <row r="2765">
      <c r="A2765" s="12" t="s">
        <v>2853</v>
      </c>
      <c r="F2765" s="19">
        <f>IFERROR(__xludf.DUMMYFUNCTION("SPLIT(A2761, "" |"")"),2759.0)</f>
        <v>2759</v>
      </c>
      <c r="G2765" s="19">
        <f>IFERROR(__xludf.DUMMYFUNCTION("""COMPUTED_VALUE"""),0.00226)</f>
        <v>0.00226</v>
      </c>
      <c r="H2765" s="19" t="str">
        <f>IFERROR(__xludf.DUMMYFUNCTION("""COMPUTED_VALUE"""),"-")</f>
        <v>-</v>
      </c>
      <c r="I2765" s="19">
        <f>IFERROR(__xludf.DUMMYFUNCTION("""COMPUTED_VALUE"""),0.00208)</f>
        <v>0.00208</v>
      </c>
      <c r="J2765" s="19">
        <f>IFERROR(__xludf.DUMMYFUNCTION("""COMPUTED_VALUE"""),0.04729)</f>
        <v>0.04729</v>
      </c>
      <c r="K2765" s="19" t="str">
        <f>IFERROR(__xludf.DUMMYFUNCTION("""COMPUTED_VALUE"""),"-")</f>
        <v>-</v>
      </c>
      <c r="L2765" s="19" t="str">
        <f>IFERROR(__xludf.DUMMYFUNCTION("""COMPUTED_VALUE"""),"-")</f>
        <v>-</v>
      </c>
      <c r="O2765" s="24">
        <f t="shared" si="4"/>
        <v>0</v>
      </c>
      <c r="P2765" s="24"/>
      <c r="Q2765" s="24">
        <f t="shared" si="6"/>
        <v>0</v>
      </c>
      <c r="R2765" s="24">
        <f t="shared" si="7"/>
        <v>0</v>
      </c>
      <c r="S2765" s="24"/>
      <c r="T2765" s="24"/>
    </row>
    <row r="2766">
      <c r="A2766" s="12" t="s">
        <v>2854</v>
      </c>
      <c r="F2766" s="19">
        <f>IFERROR(__xludf.DUMMYFUNCTION("SPLIT(A2762, "" |"")"),2760.0)</f>
        <v>2760</v>
      </c>
      <c r="G2766" s="19">
        <f>IFERROR(__xludf.DUMMYFUNCTION("""COMPUTED_VALUE"""),0.00224)</f>
        <v>0.00224</v>
      </c>
      <c r="H2766" s="19" t="str">
        <f>IFERROR(__xludf.DUMMYFUNCTION("""COMPUTED_VALUE"""),"-")</f>
        <v>-</v>
      </c>
      <c r="I2766" s="19">
        <f>IFERROR(__xludf.DUMMYFUNCTION("""COMPUTED_VALUE"""),0.00208)</f>
        <v>0.00208</v>
      </c>
      <c r="J2766" s="19">
        <f>IFERROR(__xludf.DUMMYFUNCTION("""COMPUTED_VALUE"""),0.0473)</f>
        <v>0.0473</v>
      </c>
      <c r="K2766" s="19" t="str">
        <f>IFERROR(__xludf.DUMMYFUNCTION("""COMPUTED_VALUE"""),"-")</f>
        <v>-</v>
      </c>
      <c r="L2766" s="19" t="str">
        <f>IFERROR(__xludf.DUMMYFUNCTION("""COMPUTED_VALUE"""),"-")</f>
        <v>-</v>
      </c>
      <c r="O2766" s="24">
        <f t="shared" si="4"/>
        <v>0</v>
      </c>
      <c r="P2766" s="24"/>
      <c r="Q2766" s="24">
        <f t="shared" si="6"/>
        <v>0</v>
      </c>
      <c r="R2766" s="24">
        <f t="shared" si="7"/>
        <v>0</v>
      </c>
      <c r="S2766" s="24"/>
      <c r="T2766" s="24"/>
    </row>
    <row r="2767">
      <c r="A2767" s="12" t="s">
        <v>2855</v>
      </c>
      <c r="F2767" s="19">
        <f>IFERROR(__xludf.DUMMYFUNCTION("SPLIT(A2763, "" |"")"),2761.0)</f>
        <v>2761</v>
      </c>
      <c r="G2767" s="19">
        <f>IFERROR(__xludf.DUMMYFUNCTION("""COMPUTED_VALUE"""),0.00226)</f>
        <v>0.00226</v>
      </c>
      <c r="H2767" s="19" t="str">
        <f>IFERROR(__xludf.DUMMYFUNCTION("""COMPUTED_VALUE"""),"-")</f>
        <v>-</v>
      </c>
      <c r="I2767" s="19">
        <f>IFERROR(__xludf.DUMMYFUNCTION("""COMPUTED_VALUE"""),0.00209)</f>
        <v>0.00209</v>
      </c>
      <c r="J2767" s="19">
        <f>IFERROR(__xludf.DUMMYFUNCTION("""COMPUTED_VALUE"""),0.04733)</f>
        <v>0.04733</v>
      </c>
      <c r="K2767" s="19" t="str">
        <f>IFERROR(__xludf.DUMMYFUNCTION("""COMPUTED_VALUE"""),"-")</f>
        <v>-</v>
      </c>
      <c r="L2767" s="19" t="str">
        <f>IFERROR(__xludf.DUMMYFUNCTION("""COMPUTED_VALUE"""),"-")</f>
        <v>-</v>
      </c>
      <c r="O2767" s="24">
        <f t="shared" si="4"/>
        <v>0</v>
      </c>
      <c r="P2767" s="24"/>
      <c r="Q2767" s="24">
        <f t="shared" si="6"/>
        <v>0</v>
      </c>
      <c r="R2767" s="24">
        <f t="shared" si="7"/>
        <v>0</v>
      </c>
      <c r="S2767" s="24"/>
      <c r="T2767" s="24"/>
    </row>
    <row r="2768">
      <c r="A2768" s="12" t="s">
        <v>2856</v>
      </c>
      <c r="F2768" s="19">
        <f>IFERROR(__xludf.DUMMYFUNCTION("SPLIT(A2764, "" |"")"),2762.0)</f>
        <v>2762</v>
      </c>
      <c r="G2768" s="19">
        <f>IFERROR(__xludf.DUMMYFUNCTION("""COMPUTED_VALUE"""),0.00243)</f>
        <v>0.00243</v>
      </c>
      <c r="H2768" s="19" t="str">
        <f>IFERROR(__xludf.DUMMYFUNCTION("""COMPUTED_VALUE"""),"-")</f>
        <v>-</v>
      </c>
      <c r="I2768" s="19">
        <f>IFERROR(__xludf.DUMMYFUNCTION("""COMPUTED_VALUE"""),0.00219)</f>
        <v>0.00219</v>
      </c>
      <c r="J2768" s="19">
        <f>IFERROR(__xludf.DUMMYFUNCTION("""COMPUTED_VALUE"""),0.04466)</f>
        <v>0.04466</v>
      </c>
      <c r="K2768" s="19" t="str">
        <f>IFERROR(__xludf.DUMMYFUNCTION("""COMPUTED_VALUE"""),"-")</f>
        <v>-</v>
      </c>
      <c r="L2768" s="19" t="str">
        <f>IFERROR(__xludf.DUMMYFUNCTION("""COMPUTED_VALUE"""),"-")</f>
        <v>-</v>
      </c>
      <c r="O2768" s="24">
        <f t="shared" si="4"/>
        <v>0</v>
      </c>
      <c r="P2768" s="24"/>
      <c r="Q2768" s="24">
        <f t="shared" si="6"/>
        <v>0</v>
      </c>
      <c r="R2768" s="24">
        <f t="shared" si="7"/>
        <v>1</v>
      </c>
      <c r="S2768" s="24"/>
      <c r="T2768" s="24"/>
    </row>
    <row r="2769">
      <c r="A2769" s="12" t="s">
        <v>2857</v>
      </c>
      <c r="F2769" s="19">
        <f>IFERROR(__xludf.DUMMYFUNCTION("SPLIT(A2765, "" |"")"),2763.0)</f>
        <v>2763</v>
      </c>
      <c r="G2769" s="19">
        <f>IFERROR(__xludf.DUMMYFUNCTION("""COMPUTED_VALUE"""),0.0024)</f>
        <v>0.0024</v>
      </c>
      <c r="H2769" s="19" t="str">
        <f>IFERROR(__xludf.DUMMYFUNCTION("""COMPUTED_VALUE"""),"-")</f>
        <v>-</v>
      </c>
      <c r="I2769" s="19">
        <f>IFERROR(__xludf.DUMMYFUNCTION("""COMPUTED_VALUE"""),0.00221)</f>
        <v>0.00221</v>
      </c>
      <c r="J2769" s="19">
        <f>IFERROR(__xludf.DUMMYFUNCTION("""COMPUTED_VALUE"""),0.04555)</f>
        <v>0.04555</v>
      </c>
      <c r="K2769" s="19" t="str">
        <f>IFERROR(__xludf.DUMMYFUNCTION("""COMPUTED_VALUE"""),"-")</f>
        <v>-</v>
      </c>
      <c r="L2769" s="19" t="str">
        <f>IFERROR(__xludf.DUMMYFUNCTION("""COMPUTED_VALUE"""),"-")</f>
        <v>-</v>
      </c>
      <c r="O2769" s="24">
        <f t="shared" si="4"/>
        <v>0</v>
      </c>
      <c r="P2769" s="24"/>
      <c r="Q2769" s="24">
        <f t="shared" si="6"/>
        <v>0</v>
      </c>
      <c r="R2769" s="24">
        <f t="shared" si="7"/>
        <v>0</v>
      </c>
      <c r="S2769" s="24"/>
      <c r="T2769" s="24"/>
    </row>
    <row r="2770">
      <c r="A2770" s="12" t="s">
        <v>2858</v>
      </c>
      <c r="F2770" s="19">
        <f>IFERROR(__xludf.DUMMYFUNCTION("SPLIT(A2766, "" |"")"),2764.0)</f>
        <v>2764</v>
      </c>
      <c r="G2770" s="19">
        <f>IFERROR(__xludf.DUMMYFUNCTION("""COMPUTED_VALUE"""),0.00242)</f>
        <v>0.00242</v>
      </c>
      <c r="H2770" s="19" t="str">
        <f>IFERROR(__xludf.DUMMYFUNCTION("""COMPUTED_VALUE"""),"-")</f>
        <v>-</v>
      </c>
      <c r="I2770" s="19">
        <f>IFERROR(__xludf.DUMMYFUNCTION("""COMPUTED_VALUE"""),0.00219)</f>
        <v>0.00219</v>
      </c>
      <c r="J2770" s="19">
        <f>IFERROR(__xludf.DUMMYFUNCTION("""COMPUTED_VALUE"""),0.04753)</f>
        <v>0.04753</v>
      </c>
      <c r="K2770" s="19" t="str">
        <f>IFERROR(__xludf.DUMMYFUNCTION("""COMPUTED_VALUE"""),"-")</f>
        <v>-</v>
      </c>
      <c r="L2770" s="19" t="str">
        <f>IFERROR(__xludf.DUMMYFUNCTION("""COMPUTED_VALUE"""),"-")</f>
        <v>-</v>
      </c>
      <c r="O2770" s="24">
        <f t="shared" si="4"/>
        <v>0</v>
      </c>
      <c r="P2770" s="24"/>
      <c r="Q2770" s="24">
        <f t="shared" si="6"/>
        <v>0</v>
      </c>
      <c r="R2770" s="24">
        <f t="shared" si="7"/>
        <v>0</v>
      </c>
      <c r="S2770" s="24"/>
      <c r="T2770" s="24"/>
    </row>
    <row r="2771">
      <c r="A2771" s="12" t="s">
        <v>2859</v>
      </c>
      <c r="F2771" s="19">
        <f>IFERROR(__xludf.DUMMYFUNCTION("SPLIT(A2767, "" |"")"),2765.0)</f>
        <v>2765</v>
      </c>
      <c r="G2771" s="19">
        <f>IFERROR(__xludf.DUMMYFUNCTION("""COMPUTED_VALUE"""),0.00235)</f>
        <v>0.00235</v>
      </c>
      <c r="H2771" s="19" t="str">
        <f>IFERROR(__xludf.DUMMYFUNCTION("""COMPUTED_VALUE"""),"-")</f>
        <v>-</v>
      </c>
      <c r="I2771" s="19">
        <f>IFERROR(__xludf.DUMMYFUNCTION("""COMPUTED_VALUE"""),0.00217)</f>
        <v>0.00217</v>
      </c>
      <c r="J2771" s="19">
        <f>IFERROR(__xludf.DUMMYFUNCTION("""COMPUTED_VALUE"""),0.04592)</f>
        <v>0.04592</v>
      </c>
      <c r="K2771" s="19" t="str">
        <f>IFERROR(__xludf.DUMMYFUNCTION("""COMPUTED_VALUE"""),"-")</f>
        <v>-</v>
      </c>
      <c r="L2771" s="19" t="str">
        <f>IFERROR(__xludf.DUMMYFUNCTION("""COMPUTED_VALUE"""),"-")</f>
        <v>-</v>
      </c>
      <c r="O2771" s="24">
        <f t="shared" si="4"/>
        <v>0</v>
      </c>
      <c r="P2771" s="24"/>
      <c r="Q2771" s="24">
        <f t="shared" si="6"/>
        <v>0</v>
      </c>
      <c r="R2771" s="24">
        <f t="shared" si="7"/>
        <v>0</v>
      </c>
      <c r="S2771" s="24"/>
      <c r="T2771" s="24"/>
    </row>
    <row r="2772">
      <c r="A2772" s="12" t="s">
        <v>2860</v>
      </c>
      <c r="F2772" s="19">
        <f>IFERROR(__xludf.DUMMYFUNCTION("SPLIT(A2768, "" |"")"),2766.0)</f>
        <v>2766</v>
      </c>
      <c r="G2772" s="19">
        <f>IFERROR(__xludf.DUMMYFUNCTION("""COMPUTED_VALUE"""),0.0025)</f>
        <v>0.0025</v>
      </c>
      <c r="H2772" s="19" t="str">
        <f>IFERROR(__xludf.DUMMYFUNCTION("""COMPUTED_VALUE"""),"-")</f>
        <v>-</v>
      </c>
      <c r="I2772" s="19">
        <f>IFERROR(__xludf.DUMMYFUNCTION("""COMPUTED_VALUE"""),0.00211)</f>
        <v>0.00211</v>
      </c>
      <c r="J2772" s="19">
        <f>IFERROR(__xludf.DUMMYFUNCTION("""COMPUTED_VALUE"""),0.0475)</f>
        <v>0.0475</v>
      </c>
      <c r="K2772" s="19" t="str">
        <f>IFERROR(__xludf.DUMMYFUNCTION("""COMPUTED_VALUE"""),"-")</f>
        <v>-</v>
      </c>
      <c r="L2772" s="19" t="str">
        <f>IFERROR(__xludf.DUMMYFUNCTION("""COMPUTED_VALUE"""),"-")</f>
        <v>-</v>
      </c>
      <c r="O2772" s="24">
        <f t="shared" si="4"/>
        <v>0</v>
      </c>
      <c r="P2772" s="24"/>
      <c r="Q2772" s="24">
        <f t="shared" si="6"/>
        <v>0</v>
      </c>
      <c r="R2772" s="24">
        <f t="shared" si="7"/>
        <v>0</v>
      </c>
      <c r="S2772" s="24"/>
      <c r="T2772" s="24"/>
    </row>
    <row r="2773">
      <c r="A2773" s="12" t="s">
        <v>2861</v>
      </c>
      <c r="F2773" s="19">
        <f>IFERROR(__xludf.DUMMYFUNCTION("SPLIT(A2769, "" |"")"),2767.0)</f>
        <v>2767</v>
      </c>
      <c r="G2773" s="19">
        <f>IFERROR(__xludf.DUMMYFUNCTION("""COMPUTED_VALUE"""),0.00232)</f>
        <v>0.00232</v>
      </c>
      <c r="H2773" s="19" t="str">
        <f>IFERROR(__xludf.DUMMYFUNCTION("""COMPUTED_VALUE"""),"-")</f>
        <v>-</v>
      </c>
      <c r="I2773" s="19">
        <f>IFERROR(__xludf.DUMMYFUNCTION("""COMPUTED_VALUE"""),0.00223)</f>
        <v>0.00223</v>
      </c>
      <c r="J2773" s="19">
        <f>IFERROR(__xludf.DUMMYFUNCTION("""COMPUTED_VALUE"""),0.04192)</f>
        <v>0.04192</v>
      </c>
      <c r="K2773" s="19" t="str">
        <f>IFERROR(__xludf.DUMMYFUNCTION("""COMPUTED_VALUE"""),"-")</f>
        <v>-</v>
      </c>
      <c r="L2773" s="19" t="str">
        <f>IFERROR(__xludf.DUMMYFUNCTION("""COMPUTED_VALUE"""),"-")</f>
        <v>-</v>
      </c>
      <c r="O2773" s="24">
        <f t="shared" si="4"/>
        <v>0</v>
      </c>
      <c r="P2773" s="24"/>
      <c r="Q2773" s="24">
        <f t="shared" si="6"/>
        <v>0</v>
      </c>
      <c r="R2773" s="24">
        <f t="shared" si="7"/>
        <v>1</v>
      </c>
      <c r="S2773" s="24"/>
      <c r="T2773" s="24"/>
    </row>
    <row r="2774">
      <c r="A2774" s="12" t="s">
        <v>2862</v>
      </c>
      <c r="F2774" s="19">
        <f>IFERROR(__xludf.DUMMYFUNCTION("SPLIT(A2770, "" |"")"),2768.0)</f>
        <v>2768</v>
      </c>
      <c r="G2774" s="19">
        <f>IFERROR(__xludf.DUMMYFUNCTION("""COMPUTED_VALUE"""),0.00234)</f>
        <v>0.00234</v>
      </c>
      <c r="H2774" s="19" t="str">
        <f>IFERROR(__xludf.DUMMYFUNCTION("""COMPUTED_VALUE"""),"-")</f>
        <v>-</v>
      </c>
      <c r="I2774" s="19">
        <f>IFERROR(__xludf.DUMMYFUNCTION("""COMPUTED_VALUE"""),0.0022)</f>
        <v>0.0022</v>
      </c>
      <c r="J2774" s="19">
        <f>IFERROR(__xludf.DUMMYFUNCTION("""COMPUTED_VALUE"""),0.04737)</f>
        <v>0.04737</v>
      </c>
      <c r="K2774" s="19" t="str">
        <f>IFERROR(__xludf.DUMMYFUNCTION("""COMPUTED_VALUE"""),"-")</f>
        <v>-</v>
      </c>
      <c r="L2774" s="19" t="str">
        <f>IFERROR(__xludf.DUMMYFUNCTION("""COMPUTED_VALUE"""),"-")</f>
        <v>-</v>
      </c>
      <c r="O2774" s="24">
        <f t="shared" si="4"/>
        <v>0</v>
      </c>
      <c r="P2774" s="24"/>
      <c r="Q2774" s="24">
        <f t="shared" si="6"/>
        <v>0</v>
      </c>
      <c r="R2774" s="24">
        <f t="shared" si="7"/>
        <v>0</v>
      </c>
      <c r="S2774" s="24"/>
      <c r="T2774" s="24"/>
    </row>
    <row r="2775">
      <c r="A2775" s="12" t="s">
        <v>2863</v>
      </c>
      <c r="F2775" s="19">
        <f>IFERROR(__xludf.DUMMYFUNCTION("SPLIT(A2771, "" |"")"),2769.0)</f>
        <v>2769</v>
      </c>
      <c r="G2775" s="19">
        <f>IFERROR(__xludf.DUMMYFUNCTION("""COMPUTED_VALUE"""),0.00227)</f>
        <v>0.00227</v>
      </c>
      <c r="H2775" s="19" t="str">
        <f>IFERROR(__xludf.DUMMYFUNCTION("""COMPUTED_VALUE"""),"-")</f>
        <v>-</v>
      </c>
      <c r="I2775" s="19">
        <f>IFERROR(__xludf.DUMMYFUNCTION("""COMPUTED_VALUE"""),0.00209)</f>
        <v>0.00209</v>
      </c>
      <c r="J2775" s="19">
        <f>IFERROR(__xludf.DUMMYFUNCTION("""COMPUTED_VALUE"""),0.04691)</f>
        <v>0.04691</v>
      </c>
      <c r="K2775" s="19" t="str">
        <f>IFERROR(__xludf.DUMMYFUNCTION("""COMPUTED_VALUE"""),"-")</f>
        <v>-</v>
      </c>
      <c r="L2775" s="19" t="str">
        <f>IFERROR(__xludf.DUMMYFUNCTION("""COMPUTED_VALUE"""),"-")</f>
        <v>-</v>
      </c>
      <c r="O2775" s="24">
        <f t="shared" si="4"/>
        <v>0</v>
      </c>
      <c r="P2775" s="24"/>
      <c r="Q2775" s="24">
        <f t="shared" si="6"/>
        <v>0</v>
      </c>
      <c r="R2775" s="24">
        <f t="shared" si="7"/>
        <v>0</v>
      </c>
      <c r="S2775" s="24"/>
      <c r="T2775" s="24"/>
    </row>
    <row r="2776">
      <c r="A2776" s="12" t="s">
        <v>2864</v>
      </c>
      <c r="F2776" s="19">
        <f>IFERROR(__xludf.DUMMYFUNCTION("SPLIT(A2772, "" |"")"),2770.0)</f>
        <v>2770</v>
      </c>
      <c r="G2776" s="19">
        <f>IFERROR(__xludf.DUMMYFUNCTION("""COMPUTED_VALUE"""),0.00246)</f>
        <v>0.00246</v>
      </c>
      <c r="H2776" s="19" t="str">
        <f>IFERROR(__xludf.DUMMYFUNCTION("""COMPUTED_VALUE"""),"-")</f>
        <v>-</v>
      </c>
      <c r="I2776" s="19">
        <f>IFERROR(__xludf.DUMMYFUNCTION("""COMPUTED_VALUE"""),0.00214)</f>
        <v>0.00214</v>
      </c>
      <c r="J2776" s="19">
        <f>IFERROR(__xludf.DUMMYFUNCTION("""COMPUTED_VALUE"""),0.04745)</f>
        <v>0.04745</v>
      </c>
      <c r="K2776" s="19" t="str">
        <f>IFERROR(__xludf.DUMMYFUNCTION("""COMPUTED_VALUE"""),"-")</f>
        <v>-</v>
      </c>
      <c r="L2776" s="19" t="str">
        <f>IFERROR(__xludf.DUMMYFUNCTION("""COMPUTED_VALUE"""),"-")</f>
        <v>-</v>
      </c>
      <c r="O2776" s="24">
        <f t="shared" si="4"/>
        <v>0</v>
      </c>
      <c r="P2776" s="24"/>
      <c r="Q2776" s="24">
        <f t="shared" si="6"/>
        <v>0</v>
      </c>
      <c r="R2776" s="24">
        <f t="shared" si="7"/>
        <v>0</v>
      </c>
      <c r="S2776" s="24"/>
      <c r="T2776" s="24"/>
    </row>
    <row r="2777">
      <c r="A2777" s="12" t="s">
        <v>2865</v>
      </c>
      <c r="F2777" s="19">
        <f>IFERROR(__xludf.DUMMYFUNCTION("SPLIT(A2773, "" |"")"),2771.0)</f>
        <v>2771</v>
      </c>
      <c r="G2777" s="19">
        <f>IFERROR(__xludf.DUMMYFUNCTION("""COMPUTED_VALUE"""),0.00233)</f>
        <v>0.00233</v>
      </c>
      <c r="H2777" s="19" t="str">
        <f>IFERROR(__xludf.DUMMYFUNCTION("""COMPUTED_VALUE"""),"-")</f>
        <v>-</v>
      </c>
      <c r="I2777" s="19">
        <f>IFERROR(__xludf.DUMMYFUNCTION("""COMPUTED_VALUE"""),0.00221)</f>
        <v>0.00221</v>
      </c>
      <c r="J2777" s="19">
        <f>IFERROR(__xludf.DUMMYFUNCTION("""COMPUTED_VALUE"""),0.04742)</f>
        <v>0.04742</v>
      </c>
      <c r="K2777" s="19" t="str">
        <f>IFERROR(__xludf.DUMMYFUNCTION("""COMPUTED_VALUE"""),"-")</f>
        <v>-</v>
      </c>
      <c r="L2777" s="19" t="str">
        <f>IFERROR(__xludf.DUMMYFUNCTION("""COMPUTED_VALUE"""),"-")</f>
        <v>-</v>
      </c>
      <c r="O2777" s="24">
        <f t="shared" si="4"/>
        <v>0</v>
      </c>
      <c r="P2777" s="24"/>
      <c r="Q2777" s="24">
        <f t="shared" si="6"/>
        <v>0</v>
      </c>
      <c r="R2777" s="24">
        <f t="shared" si="7"/>
        <v>0</v>
      </c>
      <c r="S2777" s="24"/>
      <c r="T2777" s="24"/>
    </row>
    <row r="2778">
      <c r="A2778" s="12" t="s">
        <v>2866</v>
      </c>
      <c r="F2778" s="19">
        <f>IFERROR(__xludf.DUMMYFUNCTION("SPLIT(A2774, "" |"")"),2772.0)</f>
        <v>2772</v>
      </c>
      <c r="G2778" s="19">
        <f>IFERROR(__xludf.DUMMYFUNCTION("""COMPUTED_VALUE"""),0.00229)</f>
        <v>0.00229</v>
      </c>
      <c r="H2778" s="19" t="str">
        <f>IFERROR(__xludf.DUMMYFUNCTION("""COMPUTED_VALUE"""),"-")</f>
        <v>-</v>
      </c>
      <c r="I2778" s="19">
        <f>IFERROR(__xludf.DUMMYFUNCTION("""COMPUTED_VALUE"""),0.00223)</f>
        <v>0.00223</v>
      </c>
      <c r="J2778" s="19">
        <f>IFERROR(__xludf.DUMMYFUNCTION("""COMPUTED_VALUE"""),0.04741)</f>
        <v>0.04741</v>
      </c>
      <c r="K2778" s="19" t="str">
        <f>IFERROR(__xludf.DUMMYFUNCTION("""COMPUTED_VALUE"""),"-")</f>
        <v>-</v>
      </c>
      <c r="L2778" s="19" t="str">
        <f>IFERROR(__xludf.DUMMYFUNCTION("""COMPUTED_VALUE"""),"-")</f>
        <v>-</v>
      </c>
      <c r="O2778" s="24">
        <f t="shared" si="4"/>
        <v>0</v>
      </c>
      <c r="P2778" s="24"/>
      <c r="Q2778" s="24">
        <f t="shared" si="6"/>
        <v>0</v>
      </c>
      <c r="R2778" s="24">
        <f t="shared" si="7"/>
        <v>0</v>
      </c>
      <c r="S2778" s="24"/>
      <c r="T2778" s="24"/>
    </row>
    <row r="2779">
      <c r="A2779" s="12" t="s">
        <v>2867</v>
      </c>
      <c r="F2779" s="19">
        <f>IFERROR(__xludf.DUMMYFUNCTION("SPLIT(A2775, "" |"")"),2773.0)</f>
        <v>2773</v>
      </c>
      <c r="G2779" s="19">
        <f>IFERROR(__xludf.DUMMYFUNCTION("""COMPUTED_VALUE"""),0.00235)</f>
        <v>0.00235</v>
      </c>
      <c r="H2779" s="19" t="str">
        <f>IFERROR(__xludf.DUMMYFUNCTION("""COMPUTED_VALUE"""),"-")</f>
        <v>-</v>
      </c>
      <c r="I2779" s="19">
        <f>IFERROR(__xludf.DUMMYFUNCTION("""COMPUTED_VALUE"""),0.00222)</f>
        <v>0.00222</v>
      </c>
      <c r="J2779" s="19">
        <f>IFERROR(__xludf.DUMMYFUNCTION("""COMPUTED_VALUE"""),0.0454)</f>
        <v>0.0454</v>
      </c>
      <c r="K2779" s="19" t="str">
        <f>IFERROR(__xludf.DUMMYFUNCTION("""COMPUTED_VALUE"""),"-")</f>
        <v>-</v>
      </c>
      <c r="L2779" s="19" t="str">
        <f>IFERROR(__xludf.DUMMYFUNCTION("""COMPUTED_VALUE"""),"-")</f>
        <v>-</v>
      </c>
      <c r="O2779" s="24">
        <f t="shared" si="4"/>
        <v>0</v>
      </c>
      <c r="P2779" s="24"/>
      <c r="Q2779" s="24">
        <f t="shared" si="6"/>
        <v>0</v>
      </c>
      <c r="R2779" s="24">
        <f t="shared" si="7"/>
        <v>0</v>
      </c>
      <c r="S2779" s="24"/>
      <c r="T2779" s="24"/>
    </row>
    <row r="2780">
      <c r="A2780" s="12" t="s">
        <v>2868</v>
      </c>
      <c r="F2780" s="19">
        <f>IFERROR(__xludf.DUMMYFUNCTION("SPLIT(A2776, "" |"")"),2774.0)</f>
        <v>2774</v>
      </c>
      <c r="G2780" s="19">
        <f>IFERROR(__xludf.DUMMYFUNCTION("""COMPUTED_VALUE"""),0.00239)</f>
        <v>0.00239</v>
      </c>
      <c r="H2780" s="19" t="str">
        <f>IFERROR(__xludf.DUMMYFUNCTION("""COMPUTED_VALUE"""),"-")</f>
        <v>-</v>
      </c>
      <c r="I2780" s="19">
        <f>IFERROR(__xludf.DUMMYFUNCTION("""COMPUTED_VALUE"""),0.00221)</f>
        <v>0.00221</v>
      </c>
      <c r="J2780" s="19">
        <f>IFERROR(__xludf.DUMMYFUNCTION("""COMPUTED_VALUE"""),0.04746)</f>
        <v>0.04746</v>
      </c>
      <c r="K2780" s="19" t="str">
        <f>IFERROR(__xludf.DUMMYFUNCTION("""COMPUTED_VALUE"""),"-")</f>
        <v>-</v>
      </c>
      <c r="L2780" s="19" t="str">
        <f>IFERROR(__xludf.DUMMYFUNCTION("""COMPUTED_VALUE"""),"-")</f>
        <v>-</v>
      </c>
      <c r="O2780" s="24">
        <f t="shared" si="4"/>
        <v>0</v>
      </c>
      <c r="P2780" s="24"/>
      <c r="Q2780" s="24">
        <f t="shared" si="6"/>
        <v>0</v>
      </c>
      <c r="R2780" s="24">
        <f t="shared" si="7"/>
        <v>0</v>
      </c>
      <c r="S2780" s="24"/>
      <c r="T2780" s="24"/>
    </row>
    <row r="2781">
      <c r="A2781" s="12" t="s">
        <v>2869</v>
      </c>
      <c r="F2781" s="19">
        <f>IFERROR(__xludf.DUMMYFUNCTION("SPLIT(A2777, "" |"")"),2775.0)</f>
        <v>2775</v>
      </c>
      <c r="G2781" s="19">
        <f>IFERROR(__xludf.DUMMYFUNCTION("""COMPUTED_VALUE"""),0.00239)</f>
        <v>0.00239</v>
      </c>
      <c r="H2781" s="19" t="str">
        <f>IFERROR(__xludf.DUMMYFUNCTION("""COMPUTED_VALUE"""),"-")</f>
        <v>-</v>
      </c>
      <c r="I2781" s="19">
        <f>IFERROR(__xludf.DUMMYFUNCTION("""COMPUTED_VALUE"""),0.00214)</f>
        <v>0.00214</v>
      </c>
      <c r="J2781" s="19">
        <f>IFERROR(__xludf.DUMMYFUNCTION("""COMPUTED_VALUE"""),0.04747)</f>
        <v>0.04747</v>
      </c>
      <c r="K2781" s="19" t="str">
        <f>IFERROR(__xludf.DUMMYFUNCTION("""COMPUTED_VALUE"""),"-")</f>
        <v>-</v>
      </c>
      <c r="L2781" s="19" t="str">
        <f>IFERROR(__xludf.DUMMYFUNCTION("""COMPUTED_VALUE"""),"-")</f>
        <v>-</v>
      </c>
      <c r="O2781" s="24">
        <f t="shared" si="4"/>
        <v>0</v>
      </c>
      <c r="P2781" s="24"/>
      <c r="Q2781" s="24">
        <f t="shared" si="6"/>
        <v>0</v>
      </c>
      <c r="R2781" s="24">
        <f t="shared" si="7"/>
        <v>0</v>
      </c>
      <c r="S2781" s="24"/>
      <c r="T2781" s="24"/>
    </row>
    <row r="2782">
      <c r="A2782" s="12" t="s">
        <v>2870</v>
      </c>
      <c r="F2782" s="19">
        <f>IFERROR(__xludf.DUMMYFUNCTION("SPLIT(A2778, "" |"")"),2776.0)</f>
        <v>2776</v>
      </c>
      <c r="G2782" s="19">
        <f>IFERROR(__xludf.DUMMYFUNCTION("""COMPUTED_VALUE"""),0.00239)</f>
        <v>0.00239</v>
      </c>
      <c r="H2782" s="19" t="str">
        <f>IFERROR(__xludf.DUMMYFUNCTION("""COMPUTED_VALUE"""),"-")</f>
        <v>-</v>
      </c>
      <c r="I2782" s="19">
        <f>IFERROR(__xludf.DUMMYFUNCTION("""COMPUTED_VALUE"""),0.00218)</f>
        <v>0.00218</v>
      </c>
      <c r="J2782" s="19">
        <f>IFERROR(__xludf.DUMMYFUNCTION("""COMPUTED_VALUE"""),0.04737)</f>
        <v>0.04737</v>
      </c>
      <c r="K2782" s="19" t="str">
        <f>IFERROR(__xludf.DUMMYFUNCTION("""COMPUTED_VALUE"""),"-")</f>
        <v>-</v>
      </c>
      <c r="L2782" s="19" t="str">
        <f>IFERROR(__xludf.DUMMYFUNCTION("""COMPUTED_VALUE"""),"-")</f>
        <v>-</v>
      </c>
      <c r="O2782" s="24">
        <f t="shared" si="4"/>
        <v>0</v>
      </c>
      <c r="P2782" s="24"/>
      <c r="Q2782" s="24">
        <f t="shared" si="6"/>
        <v>0</v>
      </c>
      <c r="R2782" s="24">
        <f t="shared" si="7"/>
        <v>0</v>
      </c>
      <c r="S2782" s="24"/>
      <c r="T2782" s="24"/>
    </row>
    <row r="2783">
      <c r="A2783" s="12" t="s">
        <v>2871</v>
      </c>
      <c r="F2783" s="19">
        <f>IFERROR(__xludf.DUMMYFUNCTION("SPLIT(A2779, "" |"")"),2777.0)</f>
        <v>2777</v>
      </c>
      <c r="G2783" s="19">
        <f>IFERROR(__xludf.DUMMYFUNCTION("""COMPUTED_VALUE"""),0.00232)</f>
        <v>0.00232</v>
      </c>
      <c r="H2783" s="19" t="str">
        <f>IFERROR(__xludf.DUMMYFUNCTION("""COMPUTED_VALUE"""),"-")</f>
        <v>-</v>
      </c>
      <c r="I2783" s="19">
        <f>IFERROR(__xludf.DUMMYFUNCTION("""COMPUTED_VALUE"""),0.00223)</f>
        <v>0.00223</v>
      </c>
      <c r="J2783" s="19">
        <f>IFERROR(__xludf.DUMMYFUNCTION("""COMPUTED_VALUE"""),0.04737)</f>
        <v>0.04737</v>
      </c>
      <c r="K2783" s="19" t="str">
        <f>IFERROR(__xludf.DUMMYFUNCTION("""COMPUTED_VALUE"""),"-")</f>
        <v>-</v>
      </c>
      <c r="L2783" s="19" t="str">
        <f>IFERROR(__xludf.DUMMYFUNCTION("""COMPUTED_VALUE"""),"-")</f>
        <v>-</v>
      </c>
      <c r="O2783" s="24">
        <f t="shared" si="4"/>
        <v>0</v>
      </c>
      <c r="P2783" s="24"/>
      <c r="Q2783" s="24">
        <f t="shared" si="6"/>
        <v>0</v>
      </c>
      <c r="R2783" s="24">
        <f t="shared" si="7"/>
        <v>0</v>
      </c>
      <c r="S2783" s="24"/>
      <c r="T2783" s="24"/>
    </row>
    <row r="2784">
      <c r="A2784" s="12" t="s">
        <v>2872</v>
      </c>
      <c r="F2784" s="19">
        <f>IFERROR(__xludf.DUMMYFUNCTION("SPLIT(A2780, "" |"")"),2778.0)</f>
        <v>2778</v>
      </c>
      <c r="G2784" s="19">
        <f>IFERROR(__xludf.DUMMYFUNCTION("""COMPUTED_VALUE"""),0.00225)</f>
        <v>0.00225</v>
      </c>
      <c r="H2784" s="19" t="str">
        <f>IFERROR(__xludf.DUMMYFUNCTION("""COMPUTED_VALUE"""),"-")</f>
        <v>-</v>
      </c>
      <c r="I2784" s="19">
        <f>IFERROR(__xludf.DUMMYFUNCTION("""COMPUTED_VALUE"""),0.00208)</f>
        <v>0.00208</v>
      </c>
      <c r="J2784" s="19">
        <f>IFERROR(__xludf.DUMMYFUNCTION("""COMPUTED_VALUE"""),0.04734)</f>
        <v>0.04734</v>
      </c>
      <c r="K2784" s="19" t="str">
        <f>IFERROR(__xludf.DUMMYFUNCTION("""COMPUTED_VALUE"""),"-")</f>
        <v>-</v>
      </c>
      <c r="L2784" s="19" t="str">
        <f>IFERROR(__xludf.DUMMYFUNCTION("""COMPUTED_VALUE"""),"-")</f>
        <v>-</v>
      </c>
      <c r="O2784" s="24">
        <f t="shared" si="4"/>
        <v>0</v>
      </c>
      <c r="P2784" s="24"/>
      <c r="Q2784" s="24">
        <f t="shared" si="6"/>
        <v>0</v>
      </c>
      <c r="R2784" s="24">
        <f t="shared" si="7"/>
        <v>0</v>
      </c>
      <c r="S2784" s="24"/>
      <c r="T2784" s="24"/>
    </row>
    <row r="2785">
      <c r="A2785" s="12" t="s">
        <v>2873</v>
      </c>
      <c r="F2785" s="19">
        <f>IFERROR(__xludf.DUMMYFUNCTION("SPLIT(A2781, "" |"")"),2779.0)</f>
        <v>2779</v>
      </c>
      <c r="G2785" s="19">
        <f>IFERROR(__xludf.DUMMYFUNCTION("""COMPUTED_VALUE"""),0.0024)</f>
        <v>0.0024</v>
      </c>
      <c r="H2785" s="19" t="str">
        <f>IFERROR(__xludf.DUMMYFUNCTION("""COMPUTED_VALUE"""),"-")</f>
        <v>-</v>
      </c>
      <c r="I2785" s="19">
        <f>IFERROR(__xludf.DUMMYFUNCTION("""COMPUTED_VALUE"""),0.00218)</f>
        <v>0.00218</v>
      </c>
      <c r="J2785" s="19">
        <f>IFERROR(__xludf.DUMMYFUNCTION("""COMPUTED_VALUE"""),0.04746)</f>
        <v>0.04746</v>
      </c>
      <c r="K2785" s="19" t="str">
        <f>IFERROR(__xludf.DUMMYFUNCTION("""COMPUTED_VALUE"""),"-")</f>
        <v>-</v>
      </c>
      <c r="L2785" s="19" t="str">
        <f>IFERROR(__xludf.DUMMYFUNCTION("""COMPUTED_VALUE"""),"-")</f>
        <v>-</v>
      </c>
      <c r="O2785" s="24">
        <f t="shared" si="4"/>
        <v>0</v>
      </c>
      <c r="P2785" s="24"/>
      <c r="Q2785" s="24">
        <f t="shared" si="6"/>
        <v>0</v>
      </c>
      <c r="R2785" s="24">
        <f t="shared" si="7"/>
        <v>0</v>
      </c>
      <c r="S2785" s="24"/>
      <c r="T2785" s="24"/>
    </row>
    <row r="2786">
      <c r="A2786" s="12" t="s">
        <v>2874</v>
      </c>
      <c r="F2786" s="19">
        <f>IFERROR(__xludf.DUMMYFUNCTION("SPLIT(A2782, "" |"")"),2780.0)</f>
        <v>2780</v>
      </c>
      <c r="G2786" s="19">
        <f>IFERROR(__xludf.DUMMYFUNCTION("""COMPUTED_VALUE"""),0.00238)</f>
        <v>0.00238</v>
      </c>
      <c r="H2786" s="19" t="str">
        <f>IFERROR(__xludf.DUMMYFUNCTION("""COMPUTED_VALUE"""),"-")</f>
        <v>-</v>
      </c>
      <c r="I2786" s="19">
        <f>IFERROR(__xludf.DUMMYFUNCTION("""COMPUTED_VALUE"""),0.00216)</f>
        <v>0.00216</v>
      </c>
      <c r="J2786" s="19">
        <f>IFERROR(__xludf.DUMMYFUNCTION("""COMPUTED_VALUE"""),0.04742)</f>
        <v>0.04742</v>
      </c>
      <c r="K2786" s="19" t="str">
        <f>IFERROR(__xludf.DUMMYFUNCTION("""COMPUTED_VALUE"""),"-")</f>
        <v>-</v>
      </c>
      <c r="L2786" s="19" t="str">
        <f>IFERROR(__xludf.DUMMYFUNCTION("""COMPUTED_VALUE"""),"-")</f>
        <v>-</v>
      </c>
      <c r="O2786" s="24">
        <f t="shared" si="4"/>
        <v>0</v>
      </c>
      <c r="P2786" s="24"/>
      <c r="Q2786" s="24">
        <f t="shared" si="6"/>
        <v>0</v>
      </c>
      <c r="R2786" s="24">
        <f t="shared" si="7"/>
        <v>0</v>
      </c>
      <c r="S2786" s="24"/>
      <c r="T2786" s="24"/>
    </row>
    <row r="2787">
      <c r="A2787" s="12" t="s">
        <v>2875</v>
      </c>
      <c r="F2787" s="19">
        <f>IFERROR(__xludf.DUMMYFUNCTION("SPLIT(A2783, "" |"")"),2781.0)</f>
        <v>2781</v>
      </c>
      <c r="G2787" s="19">
        <f>IFERROR(__xludf.DUMMYFUNCTION("""COMPUTED_VALUE"""),0.00239)</f>
        <v>0.00239</v>
      </c>
      <c r="H2787" s="19" t="str">
        <f>IFERROR(__xludf.DUMMYFUNCTION("""COMPUTED_VALUE"""),"-")</f>
        <v>-</v>
      </c>
      <c r="I2787" s="19">
        <f>IFERROR(__xludf.DUMMYFUNCTION("""COMPUTED_VALUE"""),0.00219)</f>
        <v>0.00219</v>
      </c>
      <c r="J2787" s="19">
        <f>IFERROR(__xludf.DUMMYFUNCTION("""COMPUTED_VALUE"""),0.04008)</f>
        <v>0.04008</v>
      </c>
      <c r="K2787" s="19" t="str">
        <f>IFERROR(__xludf.DUMMYFUNCTION("""COMPUTED_VALUE"""),"-")</f>
        <v>-</v>
      </c>
      <c r="L2787" s="19" t="str">
        <f>IFERROR(__xludf.DUMMYFUNCTION("""COMPUTED_VALUE"""),"-")</f>
        <v>-</v>
      </c>
      <c r="O2787" s="24">
        <f t="shared" si="4"/>
        <v>0</v>
      </c>
      <c r="P2787" s="24"/>
      <c r="Q2787" s="24">
        <f t="shared" si="6"/>
        <v>0</v>
      </c>
      <c r="R2787" s="24">
        <f t="shared" si="7"/>
        <v>1</v>
      </c>
      <c r="S2787" s="24"/>
      <c r="T2787" s="24"/>
    </row>
    <row r="2788">
      <c r="A2788" s="12" t="s">
        <v>2876</v>
      </c>
      <c r="F2788" s="19">
        <f>IFERROR(__xludf.DUMMYFUNCTION("SPLIT(A2784, "" |"")"),2782.0)</f>
        <v>2782</v>
      </c>
      <c r="G2788" s="19">
        <f>IFERROR(__xludf.DUMMYFUNCTION("""COMPUTED_VALUE"""),0.00231)</f>
        <v>0.00231</v>
      </c>
      <c r="H2788" s="19" t="str">
        <f>IFERROR(__xludf.DUMMYFUNCTION("""COMPUTED_VALUE"""),"-")</f>
        <v>-</v>
      </c>
      <c r="I2788" s="19">
        <f>IFERROR(__xludf.DUMMYFUNCTION("""COMPUTED_VALUE"""),0.00213)</f>
        <v>0.00213</v>
      </c>
      <c r="J2788" s="19">
        <f>IFERROR(__xludf.DUMMYFUNCTION("""COMPUTED_VALUE"""),0.04742)</f>
        <v>0.04742</v>
      </c>
      <c r="K2788" s="19" t="str">
        <f>IFERROR(__xludf.DUMMYFUNCTION("""COMPUTED_VALUE"""),"-")</f>
        <v>-</v>
      </c>
      <c r="L2788" s="19" t="str">
        <f>IFERROR(__xludf.DUMMYFUNCTION("""COMPUTED_VALUE"""),"-")</f>
        <v>-</v>
      </c>
      <c r="O2788" s="24">
        <f t="shared" si="4"/>
        <v>0</v>
      </c>
      <c r="P2788" s="24"/>
      <c r="Q2788" s="24">
        <f t="shared" si="6"/>
        <v>0</v>
      </c>
      <c r="R2788" s="24">
        <f t="shared" si="7"/>
        <v>0</v>
      </c>
      <c r="S2788" s="24"/>
      <c r="T2788" s="24"/>
    </row>
    <row r="2789">
      <c r="A2789" s="12" t="s">
        <v>2877</v>
      </c>
      <c r="F2789" s="19">
        <f>IFERROR(__xludf.DUMMYFUNCTION("SPLIT(A2785, "" |"")"),2783.0)</f>
        <v>2783</v>
      </c>
      <c r="G2789" s="19">
        <f>IFERROR(__xludf.DUMMYFUNCTION("""COMPUTED_VALUE"""),0.00235)</f>
        <v>0.00235</v>
      </c>
      <c r="H2789" s="19" t="str">
        <f>IFERROR(__xludf.DUMMYFUNCTION("""COMPUTED_VALUE"""),"-")</f>
        <v>-</v>
      </c>
      <c r="I2789" s="19">
        <f>IFERROR(__xludf.DUMMYFUNCTION("""COMPUTED_VALUE"""),0.00217)</f>
        <v>0.00217</v>
      </c>
      <c r="J2789" s="19">
        <f>IFERROR(__xludf.DUMMYFUNCTION("""COMPUTED_VALUE"""),0.04431)</f>
        <v>0.04431</v>
      </c>
      <c r="K2789" s="19" t="str">
        <f>IFERROR(__xludf.DUMMYFUNCTION("""COMPUTED_VALUE"""),"-")</f>
        <v>-</v>
      </c>
      <c r="L2789" s="19" t="str">
        <f>IFERROR(__xludf.DUMMYFUNCTION("""COMPUTED_VALUE"""),"-")</f>
        <v>-</v>
      </c>
      <c r="O2789" s="24">
        <f t="shared" si="4"/>
        <v>0</v>
      </c>
      <c r="P2789" s="24"/>
      <c r="Q2789" s="24">
        <f t="shared" si="6"/>
        <v>0</v>
      </c>
      <c r="R2789" s="24">
        <f t="shared" si="7"/>
        <v>1</v>
      </c>
      <c r="S2789" s="24"/>
      <c r="T2789" s="24"/>
    </row>
    <row r="2790">
      <c r="A2790" s="12" t="s">
        <v>2878</v>
      </c>
      <c r="F2790" s="19">
        <f>IFERROR(__xludf.DUMMYFUNCTION("SPLIT(A2786, "" |"")"),2784.0)</f>
        <v>2784</v>
      </c>
      <c r="G2790" s="19">
        <f>IFERROR(__xludf.DUMMYFUNCTION("""COMPUTED_VALUE"""),0.00224)</f>
        <v>0.00224</v>
      </c>
      <c r="H2790" s="19" t="str">
        <f>IFERROR(__xludf.DUMMYFUNCTION("""COMPUTED_VALUE"""),"-")</f>
        <v>-</v>
      </c>
      <c r="I2790" s="19">
        <f>IFERROR(__xludf.DUMMYFUNCTION("""COMPUTED_VALUE"""),0.00209)</f>
        <v>0.00209</v>
      </c>
      <c r="J2790" s="19">
        <f>IFERROR(__xludf.DUMMYFUNCTION("""COMPUTED_VALUE"""),0.04355)</f>
        <v>0.04355</v>
      </c>
      <c r="K2790" s="19" t="str">
        <f>IFERROR(__xludf.DUMMYFUNCTION("""COMPUTED_VALUE"""),"-")</f>
        <v>-</v>
      </c>
      <c r="L2790" s="19" t="str">
        <f>IFERROR(__xludf.DUMMYFUNCTION("""COMPUTED_VALUE"""),"-")</f>
        <v>-</v>
      </c>
      <c r="O2790" s="24">
        <f t="shared" si="4"/>
        <v>0</v>
      </c>
      <c r="P2790" s="24"/>
      <c r="Q2790" s="24">
        <f t="shared" si="6"/>
        <v>0</v>
      </c>
      <c r="R2790" s="24">
        <f t="shared" si="7"/>
        <v>1</v>
      </c>
      <c r="S2790" s="24"/>
      <c r="T2790" s="24"/>
    </row>
    <row r="2791">
      <c r="A2791" s="12" t="s">
        <v>2879</v>
      </c>
      <c r="F2791" s="19">
        <f>IFERROR(__xludf.DUMMYFUNCTION("SPLIT(A2787, "" |"")"),2785.0)</f>
        <v>2785</v>
      </c>
      <c r="G2791" s="19">
        <f>IFERROR(__xludf.DUMMYFUNCTION("""COMPUTED_VALUE"""),0.00242)</f>
        <v>0.00242</v>
      </c>
      <c r="H2791" s="19" t="str">
        <f>IFERROR(__xludf.DUMMYFUNCTION("""COMPUTED_VALUE"""),"-")</f>
        <v>-</v>
      </c>
      <c r="I2791" s="19">
        <f>IFERROR(__xludf.DUMMYFUNCTION("""COMPUTED_VALUE"""),0.00218)</f>
        <v>0.00218</v>
      </c>
      <c r="J2791" s="19">
        <f>IFERROR(__xludf.DUMMYFUNCTION("""COMPUTED_VALUE"""),0.0475)</f>
        <v>0.0475</v>
      </c>
      <c r="K2791" s="19" t="str">
        <f>IFERROR(__xludf.DUMMYFUNCTION("""COMPUTED_VALUE"""),"-")</f>
        <v>-</v>
      </c>
      <c r="L2791" s="19" t="str">
        <f>IFERROR(__xludf.DUMMYFUNCTION("""COMPUTED_VALUE"""),"-")</f>
        <v>-</v>
      </c>
      <c r="O2791" s="24">
        <f t="shared" si="4"/>
        <v>0</v>
      </c>
      <c r="P2791" s="24"/>
      <c r="Q2791" s="24">
        <f t="shared" si="6"/>
        <v>0</v>
      </c>
      <c r="R2791" s="24">
        <f t="shared" si="7"/>
        <v>0</v>
      </c>
      <c r="S2791" s="24"/>
      <c r="T2791" s="24"/>
    </row>
    <row r="2792">
      <c r="A2792" s="12" t="s">
        <v>2880</v>
      </c>
      <c r="F2792" s="19">
        <f>IFERROR(__xludf.DUMMYFUNCTION("SPLIT(A2788, "" |"")"),2786.0)</f>
        <v>2786</v>
      </c>
      <c r="G2792" s="19">
        <f>IFERROR(__xludf.DUMMYFUNCTION("""COMPUTED_VALUE"""),0.00241)</f>
        <v>0.00241</v>
      </c>
      <c r="H2792" s="19" t="str">
        <f>IFERROR(__xludf.DUMMYFUNCTION("""COMPUTED_VALUE"""),"-")</f>
        <v>-</v>
      </c>
      <c r="I2792" s="19">
        <f>IFERROR(__xludf.DUMMYFUNCTION("""COMPUTED_VALUE"""),0.00223)</f>
        <v>0.00223</v>
      </c>
      <c r="J2792" s="19">
        <f>IFERROR(__xludf.DUMMYFUNCTION("""COMPUTED_VALUE"""),0.04746)</f>
        <v>0.04746</v>
      </c>
      <c r="K2792" s="19" t="str">
        <f>IFERROR(__xludf.DUMMYFUNCTION("""COMPUTED_VALUE"""),"-")</f>
        <v>-</v>
      </c>
      <c r="L2792" s="19" t="str">
        <f>IFERROR(__xludf.DUMMYFUNCTION("""COMPUTED_VALUE"""),"-")</f>
        <v>-</v>
      </c>
      <c r="O2792" s="24">
        <f t="shared" si="4"/>
        <v>0</v>
      </c>
      <c r="P2792" s="24"/>
      <c r="Q2792" s="24">
        <f t="shared" si="6"/>
        <v>0</v>
      </c>
      <c r="R2792" s="24">
        <f t="shared" si="7"/>
        <v>0</v>
      </c>
      <c r="S2792" s="24"/>
      <c r="T2792" s="24"/>
    </row>
    <row r="2793">
      <c r="A2793" s="12" t="s">
        <v>2881</v>
      </c>
      <c r="F2793" s="19">
        <f>IFERROR(__xludf.DUMMYFUNCTION("SPLIT(A2789, "" |"")"),2787.0)</f>
        <v>2787</v>
      </c>
      <c r="G2793" s="19">
        <f>IFERROR(__xludf.DUMMYFUNCTION("""COMPUTED_VALUE"""),0.00237)</f>
        <v>0.00237</v>
      </c>
      <c r="H2793" s="19" t="str">
        <f>IFERROR(__xludf.DUMMYFUNCTION("""COMPUTED_VALUE"""),"-")</f>
        <v>-</v>
      </c>
      <c r="I2793" s="19">
        <f>IFERROR(__xludf.DUMMYFUNCTION("""COMPUTED_VALUE"""),0.0022)</f>
        <v>0.0022</v>
      </c>
      <c r="J2793" s="19">
        <f>IFERROR(__xludf.DUMMYFUNCTION("""COMPUTED_VALUE"""),0.04741)</f>
        <v>0.04741</v>
      </c>
      <c r="K2793" s="19" t="str">
        <f>IFERROR(__xludf.DUMMYFUNCTION("""COMPUTED_VALUE"""),"-")</f>
        <v>-</v>
      </c>
      <c r="L2793" s="19" t="str">
        <f>IFERROR(__xludf.DUMMYFUNCTION("""COMPUTED_VALUE"""),"-")</f>
        <v>-</v>
      </c>
      <c r="O2793" s="24">
        <f t="shared" si="4"/>
        <v>0</v>
      </c>
      <c r="P2793" s="24"/>
      <c r="Q2793" s="24">
        <f t="shared" si="6"/>
        <v>0</v>
      </c>
      <c r="R2793" s="24">
        <f t="shared" si="7"/>
        <v>0</v>
      </c>
      <c r="S2793" s="24"/>
      <c r="T2793" s="24"/>
    </row>
    <row r="2794">
      <c r="A2794" s="12" t="s">
        <v>2882</v>
      </c>
      <c r="F2794" s="19">
        <f>IFERROR(__xludf.DUMMYFUNCTION("SPLIT(A2790, "" |"")"),2788.0)</f>
        <v>2788</v>
      </c>
      <c r="G2794" s="19">
        <f>IFERROR(__xludf.DUMMYFUNCTION("""COMPUTED_VALUE"""),0.00242)</f>
        <v>0.00242</v>
      </c>
      <c r="H2794" s="19" t="str">
        <f>IFERROR(__xludf.DUMMYFUNCTION("""COMPUTED_VALUE"""),"-")</f>
        <v>-</v>
      </c>
      <c r="I2794" s="19">
        <f>IFERROR(__xludf.DUMMYFUNCTION("""COMPUTED_VALUE"""),0.00218)</f>
        <v>0.00218</v>
      </c>
      <c r="J2794" s="19">
        <f>IFERROR(__xludf.DUMMYFUNCTION("""COMPUTED_VALUE"""),0.04747)</f>
        <v>0.04747</v>
      </c>
      <c r="K2794" s="19" t="str">
        <f>IFERROR(__xludf.DUMMYFUNCTION("""COMPUTED_VALUE"""),"-")</f>
        <v>-</v>
      </c>
      <c r="L2794" s="19" t="str">
        <f>IFERROR(__xludf.DUMMYFUNCTION("""COMPUTED_VALUE"""),"-")</f>
        <v>-</v>
      </c>
      <c r="O2794" s="24">
        <f t="shared" si="4"/>
        <v>0</v>
      </c>
      <c r="P2794" s="24"/>
      <c r="Q2794" s="24">
        <f t="shared" si="6"/>
        <v>0</v>
      </c>
      <c r="R2794" s="24">
        <f t="shared" si="7"/>
        <v>0</v>
      </c>
      <c r="S2794" s="24"/>
      <c r="T2794" s="24"/>
    </row>
    <row r="2795">
      <c r="A2795" s="12" t="s">
        <v>2883</v>
      </c>
      <c r="F2795" s="19">
        <f>IFERROR(__xludf.DUMMYFUNCTION("SPLIT(A2791, "" |"")"),2789.0)</f>
        <v>2789</v>
      </c>
      <c r="G2795" s="19">
        <f>IFERROR(__xludf.DUMMYFUNCTION("""COMPUTED_VALUE"""),0.00242)</f>
        <v>0.00242</v>
      </c>
      <c r="H2795" s="19" t="str">
        <f>IFERROR(__xludf.DUMMYFUNCTION("""COMPUTED_VALUE"""),"-")</f>
        <v>-</v>
      </c>
      <c r="I2795" s="19">
        <f>IFERROR(__xludf.DUMMYFUNCTION("""COMPUTED_VALUE"""),0.00213)</f>
        <v>0.00213</v>
      </c>
      <c r="J2795" s="19">
        <f>IFERROR(__xludf.DUMMYFUNCTION("""COMPUTED_VALUE"""),0.04491)</f>
        <v>0.04491</v>
      </c>
      <c r="K2795" s="19" t="str">
        <f>IFERROR(__xludf.DUMMYFUNCTION("""COMPUTED_VALUE"""),"-")</f>
        <v>-</v>
      </c>
      <c r="L2795" s="19" t="str">
        <f>IFERROR(__xludf.DUMMYFUNCTION("""COMPUTED_VALUE"""),"-")</f>
        <v>-</v>
      </c>
      <c r="O2795" s="24">
        <f t="shared" si="4"/>
        <v>0</v>
      </c>
      <c r="P2795" s="24"/>
      <c r="Q2795" s="24">
        <f t="shared" si="6"/>
        <v>0</v>
      </c>
      <c r="R2795" s="24">
        <f t="shared" si="7"/>
        <v>1</v>
      </c>
      <c r="S2795" s="24"/>
      <c r="T2795" s="24"/>
    </row>
    <row r="2796">
      <c r="A2796" s="12" t="s">
        <v>2884</v>
      </c>
      <c r="F2796" s="19">
        <f>IFERROR(__xludf.DUMMYFUNCTION("SPLIT(A2792, "" |"")"),2790.0)</f>
        <v>2790</v>
      </c>
      <c r="G2796" s="19">
        <f>IFERROR(__xludf.DUMMYFUNCTION("""COMPUTED_VALUE"""),0.00228)</f>
        <v>0.00228</v>
      </c>
      <c r="H2796" s="19" t="str">
        <f>IFERROR(__xludf.DUMMYFUNCTION("""COMPUTED_VALUE"""),"-")</f>
        <v>-</v>
      </c>
      <c r="I2796" s="19">
        <f>IFERROR(__xludf.DUMMYFUNCTION("""COMPUTED_VALUE"""),0.00219)</f>
        <v>0.00219</v>
      </c>
      <c r="J2796" s="19">
        <f>IFERROR(__xludf.DUMMYFUNCTION("""COMPUTED_VALUE"""),0.04751)</f>
        <v>0.04751</v>
      </c>
      <c r="K2796" s="19" t="str">
        <f>IFERROR(__xludf.DUMMYFUNCTION("""COMPUTED_VALUE"""),"-")</f>
        <v>-</v>
      </c>
      <c r="L2796" s="19" t="str">
        <f>IFERROR(__xludf.DUMMYFUNCTION("""COMPUTED_VALUE"""),"-")</f>
        <v>-</v>
      </c>
      <c r="O2796" s="24">
        <f t="shared" si="4"/>
        <v>0</v>
      </c>
      <c r="P2796" s="24"/>
      <c r="Q2796" s="24">
        <f t="shared" si="6"/>
        <v>0</v>
      </c>
      <c r="R2796" s="24">
        <f t="shared" si="7"/>
        <v>0</v>
      </c>
      <c r="S2796" s="24"/>
      <c r="T2796" s="24"/>
    </row>
    <row r="2797">
      <c r="A2797" s="12" t="s">
        <v>2885</v>
      </c>
      <c r="F2797" s="19">
        <f>IFERROR(__xludf.DUMMYFUNCTION("SPLIT(A2793, "" |"")"),2791.0)</f>
        <v>2791</v>
      </c>
      <c r="G2797" s="19">
        <f>IFERROR(__xludf.DUMMYFUNCTION("""COMPUTED_VALUE"""),0.00246)</f>
        <v>0.00246</v>
      </c>
      <c r="H2797" s="19" t="str">
        <f>IFERROR(__xludf.DUMMYFUNCTION("""COMPUTED_VALUE"""),"-")</f>
        <v>-</v>
      </c>
      <c r="I2797" s="19">
        <f>IFERROR(__xludf.DUMMYFUNCTION("""COMPUTED_VALUE"""),0.00225)</f>
        <v>0.00225</v>
      </c>
      <c r="J2797" s="19">
        <f>IFERROR(__xludf.DUMMYFUNCTION("""COMPUTED_VALUE"""),0.04592)</f>
        <v>0.04592</v>
      </c>
      <c r="K2797" s="19" t="str">
        <f>IFERROR(__xludf.DUMMYFUNCTION("""COMPUTED_VALUE"""),"-")</f>
        <v>-</v>
      </c>
      <c r="L2797" s="19" t="str">
        <f>IFERROR(__xludf.DUMMYFUNCTION("""COMPUTED_VALUE"""),"-")</f>
        <v>-</v>
      </c>
      <c r="O2797" s="24">
        <f t="shared" si="4"/>
        <v>0</v>
      </c>
      <c r="P2797" s="24"/>
      <c r="Q2797" s="24">
        <f t="shared" si="6"/>
        <v>0</v>
      </c>
      <c r="R2797" s="24">
        <f t="shared" si="7"/>
        <v>0</v>
      </c>
      <c r="S2797" s="24"/>
      <c r="T2797" s="24"/>
    </row>
    <row r="2798">
      <c r="A2798" s="12" t="s">
        <v>2886</v>
      </c>
      <c r="F2798" s="19">
        <f>IFERROR(__xludf.DUMMYFUNCTION("SPLIT(A2794, "" |"")"),2792.0)</f>
        <v>2792</v>
      </c>
      <c r="G2798" s="19">
        <f>IFERROR(__xludf.DUMMYFUNCTION("""COMPUTED_VALUE"""),0.00234)</f>
        <v>0.00234</v>
      </c>
      <c r="H2798" s="19" t="str">
        <f>IFERROR(__xludf.DUMMYFUNCTION("""COMPUTED_VALUE"""),"-")</f>
        <v>-</v>
      </c>
      <c r="I2798" s="19">
        <f>IFERROR(__xludf.DUMMYFUNCTION("""COMPUTED_VALUE"""),0.00217)</f>
        <v>0.00217</v>
      </c>
      <c r="J2798" s="19">
        <f>IFERROR(__xludf.DUMMYFUNCTION("""COMPUTED_VALUE"""),0.04387)</f>
        <v>0.04387</v>
      </c>
      <c r="K2798" s="19" t="str">
        <f>IFERROR(__xludf.DUMMYFUNCTION("""COMPUTED_VALUE"""),"-")</f>
        <v>-</v>
      </c>
      <c r="L2798" s="19" t="str">
        <f>IFERROR(__xludf.DUMMYFUNCTION("""COMPUTED_VALUE"""),"-")</f>
        <v>-</v>
      </c>
      <c r="O2798" s="24">
        <f t="shared" si="4"/>
        <v>0</v>
      </c>
      <c r="P2798" s="24"/>
      <c r="Q2798" s="24">
        <f t="shared" si="6"/>
        <v>0</v>
      </c>
      <c r="R2798" s="24">
        <f t="shared" si="7"/>
        <v>1</v>
      </c>
      <c r="S2798" s="24"/>
      <c r="T2798" s="24"/>
    </row>
    <row r="2799">
      <c r="A2799" s="12" t="s">
        <v>2887</v>
      </c>
      <c r="F2799" s="19">
        <f>IFERROR(__xludf.DUMMYFUNCTION("SPLIT(A2795, "" |"")"),2793.0)</f>
        <v>2793</v>
      </c>
      <c r="G2799" s="19">
        <f>IFERROR(__xludf.DUMMYFUNCTION("""COMPUTED_VALUE"""),0.00236)</f>
        <v>0.00236</v>
      </c>
      <c r="H2799" s="19" t="str">
        <f>IFERROR(__xludf.DUMMYFUNCTION("""COMPUTED_VALUE"""),"-")</f>
        <v>-</v>
      </c>
      <c r="I2799" s="19">
        <f>IFERROR(__xludf.DUMMYFUNCTION("""COMPUTED_VALUE"""),0.00214)</f>
        <v>0.00214</v>
      </c>
      <c r="J2799" s="19">
        <f>IFERROR(__xludf.DUMMYFUNCTION("""COMPUTED_VALUE"""),0.04734)</f>
        <v>0.04734</v>
      </c>
      <c r="K2799" s="19" t="str">
        <f>IFERROR(__xludf.DUMMYFUNCTION("""COMPUTED_VALUE"""),"-")</f>
        <v>-</v>
      </c>
      <c r="L2799" s="19" t="str">
        <f>IFERROR(__xludf.DUMMYFUNCTION("""COMPUTED_VALUE"""),"-")</f>
        <v>-</v>
      </c>
      <c r="O2799" s="24">
        <f t="shared" si="4"/>
        <v>0</v>
      </c>
      <c r="P2799" s="24"/>
      <c r="Q2799" s="24">
        <f t="shared" si="6"/>
        <v>0</v>
      </c>
      <c r="R2799" s="24">
        <f t="shared" si="7"/>
        <v>0</v>
      </c>
      <c r="S2799" s="24"/>
      <c r="T2799" s="24"/>
    </row>
    <row r="2800">
      <c r="A2800" s="12" t="s">
        <v>2888</v>
      </c>
      <c r="F2800" s="19">
        <f>IFERROR(__xludf.DUMMYFUNCTION("SPLIT(A2796, "" |"")"),2794.0)</f>
        <v>2794</v>
      </c>
      <c r="G2800" s="19">
        <f>IFERROR(__xludf.DUMMYFUNCTION("""COMPUTED_VALUE"""),0.00244)</f>
        <v>0.00244</v>
      </c>
      <c r="H2800" s="19" t="str">
        <f>IFERROR(__xludf.DUMMYFUNCTION("""COMPUTED_VALUE"""),"-")</f>
        <v>-</v>
      </c>
      <c r="I2800" s="19">
        <f>IFERROR(__xludf.DUMMYFUNCTION("""COMPUTED_VALUE"""),0.00221)</f>
        <v>0.00221</v>
      </c>
      <c r="J2800" s="19">
        <f>IFERROR(__xludf.DUMMYFUNCTION("""COMPUTED_VALUE"""),0.04749)</f>
        <v>0.04749</v>
      </c>
      <c r="K2800" s="19" t="str">
        <f>IFERROR(__xludf.DUMMYFUNCTION("""COMPUTED_VALUE"""),"-")</f>
        <v>-</v>
      </c>
      <c r="L2800" s="19" t="str">
        <f>IFERROR(__xludf.DUMMYFUNCTION("""COMPUTED_VALUE"""),"-")</f>
        <v>-</v>
      </c>
      <c r="O2800" s="24">
        <f t="shared" si="4"/>
        <v>0</v>
      </c>
      <c r="P2800" s="24"/>
      <c r="Q2800" s="24">
        <f t="shared" si="6"/>
        <v>0</v>
      </c>
      <c r="R2800" s="24">
        <f t="shared" si="7"/>
        <v>0</v>
      </c>
      <c r="S2800" s="24"/>
      <c r="T2800" s="24"/>
    </row>
    <row r="2801">
      <c r="A2801" s="12" t="s">
        <v>2889</v>
      </c>
      <c r="F2801" s="19">
        <f>IFERROR(__xludf.DUMMYFUNCTION("SPLIT(A2797, "" |"")"),2795.0)</f>
        <v>2795</v>
      </c>
      <c r="G2801" s="19">
        <f>IFERROR(__xludf.DUMMYFUNCTION("""COMPUTED_VALUE"""),0.0024)</f>
        <v>0.0024</v>
      </c>
      <c r="H2801" s="19" t="str">
        <f>IFERROR(__xludf.DUMMYFUNCTION("""COMPUTED_VALUE"""),"-")</f>
        <v>-</v>
      </c>
      <c r="I2801" s="19">
        <f>IFERROR(__xludf.DUMMYFUNCTION("""COMPUTED_VALUE"""),0.00222)</f>
        <v>0.00222</v>
      </c>
      <c r="J2801" s="19">
        <f>IFERROR(__xludf.DUMMYFUNCTION("""COMPUTED_VALUE"""),0.04624)</f>
        <v>0.04624</v>
      </c>
      <c r="K2801" s="19" t="str">
        <f>IFERROR(__xludf.DUMMYFUNCTION("""COMPUTED_VALUE"""),"-")</f>
        <v>-</v>
      </c>
      <c r="L2801" s="19" t="str">
        <f>IFERROR(__xludf.DUMMYFUNCTION("""COMPUTED_VALUE"""),"-")</f>
        <v>-</v>
      </c>
      <c r="O2801" s="24">
        <f t="shared" si="4"/>
        <v>0</v>
      </c>
      <c r="P2801" s="24"/>
      <c r="Q2801" s="24">
        <f t="shared" si="6"/>
        <v>0</v>
      </c>
      <c r="R2801" s="24">
        <f t="shared" si="7"/>
        <v>0</v>
      </c>
      <c r="S2801" s="24"/>
      <c r="T2801" s="24"/>
    </row>
    <row r="2802">
      <c r="A2802" s="12" t="s">
        <v>2890</v>
      </c>
      <c r="F2802" s="19">
        <f>IFERROR(__xludf.DUMMYFUNCTION("SPLIT(A2798, "" |"")"),2796.0)</f>
        <v>2796</v>
      </c>
      <c r="G2802" s="19">
        <f>IFERROR(__xludf.DUMMYFUNCTION("""COMPUTED_VALUE"""),0.00236)</f>
        <v>0.00236</v>
      </c>
      <c r="H2802" s="19" t="str">
        <f>IFERROR(__xludf.DUMMYFUNCTION("""COMPUTED_VALUE"""),"-")</f>
        <v>-</v>
      </c>
      <c r="I2802" s="19">
        <f>IFERROR(__xludf.DUMMYFUNCTION("""COMPUTED_VALUE"""),0.00212)</f>
        <v>0.00212</v>
      </c>
      <c r="J2802" s="19">
        <f>IFERROR(__xludf.DUMMYFUNCTION("""COMPUTED_VALUE"""),0.04676)</f>
        <v>0.04676</v>
      </c>
      <c r="K2802" s="19" t="str">
        <f>IFERROR(__xludf.DUMMYFUNCTION("""COMPUTED_VALUE"""),"-")</f>
        <v>-</v>
      </c>
      <c r="L2802" s="19" t="str">
        <f>IFERROR(__xludf.DUMMYFUNCTION("""COMPUTED_VALUE"""),"-")</f>
        <v>-</v>
      </c>
      <c r="O2802" s="24">
        <f t="shared" si="4"/>
        <v>0</v>
      </c>
      <c r="P2802" s="24"/>
      <c r="Q2802" s="24">
        <f t="shared" si="6"/>
        <v>0</v>
      </c>
      <c r="R2802" s="24">
        <f t="shared" si="7"/>
        <v>0</v>
      </c>
      <c r="S2802" s="24"/>
      <c r="T2802" s="24"/>
    </row>
    <row r="2803">
      <c r="A2803" s="12" t="s">
        <v>2891</v>
      </c>
      <c r="F2803" s="19">
        <f>IFERROR(__xludf.DUMMYFUNCTION("SPLIT(A2799, "" |"")"),2797.0)</f>
        <v>2797</v>
      </c>
      <c r="G2803" s="19">
        <f>IFERROR(__xludf.DUMMYFUNCTION("""COMPUTED_VALUE"""),0.00245)</f>
        <v>0.00245</v>
      </c>
      <c r="H2803" s="19" t="str">
        <f>IFERROR(__xludf.DUMMYFUNCTION("""COMPUTED_VALUE"""),"-")</f>
        <v>-</v>
      </c>
      <c r="I2803" s="19">
        <f>IFERROR(__xludf.DUMMYFUNCTION("""COMPUTED_VALUE"""),0.00223)</f>
        <v>0.00223</v>
      </c>
      <c r="J2803" s="19">
        <f>IFERROR(__xludf.DUMMYFUNCTION("""COMPUTED_VALUE"""),0.04751)</f>
        <v>0.04751</v>
      </c>
      <c r="K2803" s="19" t="str">
        <f>IFERROR(__xludf.DUMMYFUNCTION("""COMPUTED_VALUE"""),"-")</f>
        <v>-</v>
      </c>
      <c r="L2803" s="19" t="str">
        <f>IFERROR(__xludf.DUMMYFUNCTION("""COMPUTED_VALUE"""),"-")</f>
        <v>-</v>
      </c>
      <c r="O2803" s="24">
        <f t="shared" si="4"/>
        <v>0</v>
      </c>
      <c r="P2803" s="24"/>
      <c r="Q2803" s="24">
        <f t="shared" si="6"/>
        <v>0</v>
      </c>
      <c r="R2803" s="24">
        <f t="shared" si="7"/>
        <v>0</v>
      </c>
      <c r="S2803" s="24"/>
      <c r="T2803" s="24"/>
    </row>
    <row r="2804">
      <c r="A2804" s="12" t="s">
        <v>2892</v>
      </c>
      <c r="F2804" s="19">
        <f>IFERROR(__xludf.DUMMYFUNCTION("SPLIT(A2800, "" |"")"),2798.0)</f>
        <v>2798</v>
      </c>
      <c r="G2804" s="19">
        <f>IFERROR(__xludf.DUMMYFUNCTION("""COMPUTED_VALUE"""),0.00248)</f>
        <v>0.00248</v>
      </c>
      <c r="H2804" s="19" t="str">
        <f>IFERROR(__xludf.DUMMYFUNCTION("""COMPUTED_VALUE"""),"-")</f>
        <v>-</v>
      </c>
      <c r="I2804" s="19">
        <f>IFERROR(__xludf.DUMMYFUNCTION("""COMPUTED_VALUE"""),0.00221)</f>
        <v>0.00221</v>
      </c>
      <c r="J2804" s="19">
        <f>IFERROR(__xludf.DUMMYFUNCTION("""COMPUTED_VALUE"""),0.04745)</f>
        <v>0.04745</v>
      </c>
      <c r="K2804" s="19" t="str">
        <f>IFERROR(__xludf.DUMMYFUNCTION("""COMPUTED_VALUE"""),"-")</f>
        <v>-</v>
      </c>
      <c r="L2804" s="19" t="str">
        <f>IFERROR(__xludf.DUMMYFUNCTION("""COMPUTED_VALUE"""),"-")</f>
        <v>-</v>
      </c>
      <c r="O2804" s="24">
        <f t="shared" si="4"/>
        <v>0</v>
      </c>
      <c r="P2804" s="24"/>
      <c r="Q2804" s="24">
        <f t="shared" si="6"/>
        <v>0</v>
      </c>
      <c r="R2804" s="24">
        <f t="shared" si="7"/>
        <v>0</v>
      </c>
      <c r="S2804" s="24"/>
      <c r="T2804" s="24"/>
    </row>
    <row r="2805">
      <c r="A2805" s="12" t="s">
        <v>2893</v>
      </c>
      <c r="F2805" s="19">
        <f>IFERROR(__xludf.DUMMYFUNCTION("SPLIT(A2801, "" |"")"),2799.0)</f>
        <v>2799</v>
      </c>
      <c r="G2805" s="19">
        <f>IFERROR(__xludf.DUMMYFUNCTION("""COMPUTED_VALUE"""),0.00237)</f>
        <v>0.00237</v>
      </c>
      <c r="H2805" s="19" t="str">
        <f>IFERROR(__xludf.DUMMYFUNCTION("""COMPUTED_VALUE"""),"-")</f>
        <v>-</v>
      </c>
      <c r="I2805" s="19">
        <f>IFERROR(__xludf.DUMMYFUNCTION("""COMPUTED_VALUE"""),0.0021)</f>
        <v>0.0021</v>
      </c>
      <c r="J2805" s="19">
        <f>IFERROR(__xludf.DUMMYFUNCTION("""COMPUTED_VALUE"""),0.04735)</f>
        <v>0.04735</v>
      </c>
      <c r="K2805" s="19" t="str">
        <f>IFERROR(__xludf.DUMMYFUNCTION("""COMPUTED_VALUE"""),"-")</f>
        <v>-</v>
      </c>
      <c r="L2805" s="19" t="str">
        <f>IFERROR(__xludf.DUMMYFUNCTION("""COMPUTED_VALUE"""),"-")</f>
        <v>-</v>
      </c>
      <c r="O2805" s="24">
        <f t="shared" si="4"/>
        <v>0</v>
      </c>
      <c r="P2805" s="24"/>
      <c r="Q2805" s="24">
        <f t="shared" si="6"/>
        <v>0</v>
      </c>
      <c r="R2805" s="24">
        <f t="shared" si="7"/>
        <v>0</v>
      </c>
      <c r="S2805" s="24"/>
      <c r="T2805" s="24"/>
    </row>
    <row r="2806">
      <c r="A2806" s="12" t="s">
        <v>2894</v>
      </c>
      <c r="F2806" s="19">
        <f>IFERROR(__xludf.DUMMYFUNCTION("SPLIT(A2802, "" |"")"),2800.0)</f>
        <v>2800</v>
      </c>
      <c r="G2806" s="19">
        <f>IFERROR(__xludf.DUMMYFUNCTION("""COMPUTED_VALUE"""),0.00241)</f>
        <v>0.00241</v>
      </c>
      <c r="H2806" s="19" t="str">
        <f>IFERROR(__xludf.DUMMYFUNCTION("""COMPUTED_VALUE"""),"-")</f>
        <v>-</v>
      </c>
      <c r="I2806" s="19">
        <f>IFERROR(__xludf.DUMMYFUNCTION("""COMPUTED_VALUE"""),0.00221)</f>
        <v>0.00221</v>
      </c>
      <c r="J2806" s="19">
        <f>IFERROR(__xludf.DUMMYFUNCTION("""COMPUTED_VALUE"""),0.04767)</f>
        <v>0.04767</v>
      </c>
      <c r="K2806" s="19" t="str">
        <f>IFERROR(__xludf.DUMMYFUNCTION("""COMPUTED_VALUE"""),"-")</f>
        <v>-</v>
      </c>
      <c r="L2806" s="19" t="str">
        <f>IFERROR(__xludf.DUMMYFUNCTION("""COMPUTED_VALUE"""),"-")</f>
        <v>-</v>
      </c>
      <c r="O2806" s="24">
        <f t="shared" si="4"/>
        <v>0</v>
      </c>
      <c r="P2806" s="24"/>
      <c r="Q2806" s="24">
        <f t="shared" si="6"/>
        <v>0</v>
      </c>
      <c r="R2806" s="24">
        <f t="shared" si="7"/>
        <v>0</v>
      </c>
      <c r="S2806" s="24"/>
      <c r="T2806" s="24"/>
    </row>
    <row r="2807">
      <c r="A2807" s="12" t="s">
        <v>2895</v>
      </c>
      <c r="F2807" s="19">
        <f>IFERROR(__xludf.DUMMYFUNCTION("SPLIT(A2803, "" |"")"),2801.0)</f>
        <v>2801</v>
      </c>
      <c r="G2807" s="19">
        <f>IFERROR(__xludf.DUMMYFUNCTION("""COMPUTED_VALUE"""),0.00244)</f>
        <v>0.00244</v>
      </c>
      <c r="H2807" s="19" t="str">
        <f>IFERROR(__xludf.DUMMYFUNCTION("""COMPUTED_VALUE"""),"-")</f>
        <v>-</v>
      </c>
      <c r="I2807" s="19">
        <f>IFERROR(__xludf.DUMMYFUNCTION("""COMPUTED_VALUE"""),0.00218)</f>
        <v>0.00218</v>
      </c>
      <c r="J2807" s="19">
        <f>IFERROR(__xludf.DUMMYFUNCTION("""COMPUTED_VALUE"""),0.04729)</f>
        <v>0.04729</v>
      </c>
      <c r="K2807" s="19" t="str">
        <f>IFERROR(__xludf.DUMMYFUNCTION("""COMPUTED_VALUE"""),"-")</f>
        <v>-</v>
      </c>
      <c r="L2807" s="19" t="str">
        <f>IFERROR(__xludf.DUMMYFUNCTION("""COMPUTED_VALUE"""),"-")</f>
        <v>-</v>
      </c>
      <c r="O2807" s="24">
        <f t="shared" si="4"/>
        <v>0</v>
      </c>
      <c r="P2807" s="24"/>
      <c r="Q2807" s="24">
        <f t="shared" si="6"/>
        <v>0</v>
      </c>
      <c r="R2807" s="24">
        <f t="shared" si="7"/>
        <v>0</v>
      </c>
      <c r="S2807" s="24"/>
      <c r="T2807" s="24"/>
    </row>
    <row r="2808">
      <c r="A2808" s="12" t="s">
        <v>2896</v>
      </c>
      <c r="F2808" s="19">
        <f>IFERROR(__xludf.DUMMYFUNCTION("SPLIT(A2804, "" |"")"),2802.0)</f>
        <v>2802</v>
      </c>
      <c r="G2808" s="19">
        <f>IFERROR(__xludf.DUMMYFUNCTION("""COMPUTED_VALUE"""),0.00236)</f>
        <v>0.00236</v>
      </c>
      <c r="H2808" s="19" t="str">
        <f>IFERROR(__xludf.DUMMYFUNCTION("""COMPUTED_VALUE"""),"-")</f>
        <v>-</v>
      </c>
      <c r="I2808" s="19">
        <f>IFERROR(__xludf.DUMMYFUNCTION("""COMPUTED_VALUE"""),0.0024)</f>
        <v>0.0024</v>
      </c>
      <c r="J2808" s="19">
        <f>IFERROR(__xludf.DUMMYFUNCTION("""COMPUTED_VALUE"""),0.0438)</f>
        <v>0.0438</v>
      </c>
      <c r="K2808" s="19" t="str">
        <f>IFERROR(__xludf.DUMMYFUNCTION("""COMPUTED_VALUE"""),"-")</f>
        <v>-</v>
      </c>
      <c r="L2808" s="19" t="str">
        <f>IFERROR(__xludf.DUMMYFUNCTION("""COMPUTED_VALUE"""),"-")</f>
        <v>-</v>
      </c>
      <c r="O2808" s="24">
        <f t="shared" si="4"/>
        <v>0</v>
      </c>
      <c r="P2808" s="24"/>
      <c r="Q2808" s="24">
        <f t="shared" si="6"/>
        <v>0</v>
      </c>
      <c r="R2808" s="24">
        <f t="shared" si="7"/>
        <v>1</v>
      </c>
      <c r="S2808" s="24"/>
      <c r="T2808" s="24"/>
    </row>
    <row r="2809">
      <c r="A2809" s="12" t="s">
        <v>2897</v>
      </c>
      <c r="F2809" s="19">
        <f>IFERROR(__xludf.DUMMYFUNCTION("SPLIT(A2805, "" |"")"),2803.0)</f>
        <v>2803</v>
      </c>
      <c r="G2809" s="19">
        <f>IFERROR(__xludf.DUMMYFUNCTION("""COMPUTED_VALUE"""),0.00235)</f>
        <v>0.00235</v>
      </c>
      <c r="H2809" s="19" t="str">
        <f>IFERROR(__xludf.DUMMYFUNCTION("""COMPUTED_VALUE"""),"-")</f>
        <v>-</v>
      </c>
      <c r="I2809" s="19">
        <f>IFERROR(__xludf.DUMMYFUNCTION("""COMPUTED_VALUE"""),0.00224)</f>
        <v>0.00224</v>
      </c>
      <c r="J2809" s="19">
        <f>IFERROR(__xludf.DUMMYFUNCTION("""COMPUTED_VALUE"""),0.04141)</f>
        <v>0.04141</v>
      </c>
      <c r="K2809" s="19" t="str">
        <f>IFERROR(__xludf.DUMMYFUNCTION("""COMPUTED_VALUE"""),"-")</f>
        <v>-</v>
      </c>
      <c r="L2809" s="19" t="str">
        <f>IFERROR(__xludf.DUMMYFUNCTION("""COMPUTED_VALUE"""),"-")</f>
        <v>-</v>
      </c>
      <c r="O2809" s="24">
        <f t="shared" si="4"/>
        <v>0</v>
      </c>
      <c r="P2809" s="24"/>
      <c r="Q2809" s="24">
        <f t="shared" si="6"/>
        <v>0</v>
      </c>
      <c r="R2809" s="24">
        <f t="shared" si="7"/>
        <v>1</v>
      </c>
      <c r="S2809" s="24"/>
      <c r="T2809" s="24"/>
    </row>
    <row r="2810">
      <c r="A2810" s="12" t="s">
        <v>2898</v>
      </c>
      <c r="F2810" s="19">
        <f>IFERROR(__xludf.DUMMYFUNCTION("SPLIT(A2806, "" |"")"),2804.0)</f>
        <v>2804</v>
      </c>
      <c r="G2810" s="19">
        <f>IFERROR(__xludf.DUMMYFUNCTION("""COMPUTED_VALUE"""),0.00247)</f>
        <v>0.00247</v>
      </c>
      <c r="H2810" s="19" t="str">
        <f>IFERROR(__xludf.DUMMYFUNCTION("""COMPUTED_VALUE"""),"-")</f>
        <v>-</v>
      </c>
      <c r="I2810" s="19">
        <f>IFERROR(__xludf.DUMMYFUNCTION("""COMPUTED_VALUE"""),0.00209)</f>
        <v>0.00209</v>
      </c>
      <c r="J2810" s="19">
        <f>IFERROR(__xludf.DUMMYFUNCTION("""COMPUTED_VALUE"""),0.04734)</f>
        <v>0.04734</v>
      </c>
      <c r="K2810" s="19" t="str">
        <f>IFERROR(__xludf.DUMMYFUNCTION("""COMPUTED_VALUE"""),"-")</f>
        <v>-</v>
      </c>
      <c r="L2810" s="19" t="str">
        <f>IFERROR(__xludf.DUMMYFUNCTION("""COMPUTED_VALUE"""),"-")</f>
        <v>-</v>
      </c>
      <c r="O2810" s="24">
        <f t="shared" si="4"/>
        <v>0</v>
      </c>
      <c r="P2810" s="24"/>
      <c r="Q2810" s="24">
        <f t="shared" si="6"/>
        <v>0</v>
      </c>
      <c r="R2810" s="24">
        <f t="shared" si="7"/>
        <v>0</v>
      </c>
      <c r="S2810" s="24"/>
      <c r="T2810" s="24"/>
    </row>
    <row r="2811">
      <c r="A2811" s="12" t="s">
        <v>2899</v>
      </c>
      <c r="F2811" s="19">
        <f>IFERROR(__xludf.DUMMYFUNCTION("SPLIT(A2807, "" |"")"),2805.0)</f>
        <v>2805</v>
      </c>
      <c r="G2811" s="19">
        <f>IFERROR(__xludf.DUMMYFUNCTION("""COMPUTED_VALUE"""),0.00239)</f>
        <v>0.00239</v>
      </c>
      <c r="H2811" s="19" t="str">
        <f>IFERROR(__xludf.DUMMYFUNCTION("""COMPUTED_VALUE"""),"-")</f>
        <v>-</v>
      </c>
      <c r="I2811" s="19">
        <f>IFERROR(__xludf.DUMMYFUNCTION("""COMPUTED_VALUE"""),0.00214)</f>
        <v>0.00214</v>
      </c>
      <c r="J2811" s="19">
        <f>IFERROR(__xludf.DUMMYFUNCTION("""COMPUTED_VALUE"""),0.04068)</f>
        <v>0.04068</v>
      </c>
      <c r="K2811" s="19" t="str">
        <f>IFERROR(__xludf.DUMMYFUNCTION("""COMPUTED_VALUE"""),"-")</f>
        <v>-</v>
      </c>
      <c r="L2811" s="19" t="str">
        <f>IFERROR(__xludf.DUMMYFUNCTION("""COMPUTED_VALUE"""),"-")</f>
        <v>-</v>
      </c>
      <c r="O2811" s="24">
        <f t="shared" si="4"/>
        <v>0</v>
      </c>
      <c r="P2811" s="24"/>
      <c r="Q2811" s="24">
        <f t="shared" si="6"/>
        <v>0</v>
      </c>
      <c r="R2811" s="24">
        <f t="shared" si="7"/>
        <v>1</v>
      </c>
      <c r="S2811" s="24"/>
      <c r="T2811" s="24"/>
    </row>
    <row r="2812">
      <c r="A2812" s="12" t="s">
        <v>2900</v>
      </c>
      <c r="F2812" s="19">
        <f>IFERROR(__xludf.DUMMYFUNCTION("SPLIT(A2808, "" |"")"),2806.0)</f>
        <v>2806</v>
      </c>
      <c r="G2812" s="19">
        <f>IFERROR(__xludf.DUMMYFUNCTION("""COMPUTED_VALUE"""),0.00231)</f>
        <v>0.00231</v>
      </c>
      <c r="H2812" s="19" t="str">
        <f>IFERROR(__xludf.DUMMYFUNCTION("""COMPUTED_VALUE"""),"-")</f>
        <v>-</v>
      </c>
      <c r="I2812" s="19">
        <f>IFERROR(__xludf.DUMMYFUNCTION("""COMPUTED_VALUE"""),0.0021)</f>
        <v>0.0021</v>
      </c>
      <c r="J2812" s="19">
        <f>IFERROR(__xludf.DUMMYFUNCTION("""COMPUTED_VALUE"""),0.04069)</f>
        <v>0.04069</v>
      </c>
      <c r="K2812" s="19" t="str">
        <f>IFERROR(__xludf.DUMMYFUNCTION("""COMPUTED_VALUE"""),"-")</f>
        <v>-</v>
      </c>
      <c r="L2812" s="19" t="str">
        <f>IFERROR(__xludf.DUMMYFUNCTION("""COMPUTED_VALUE"""),"-")</f>
        <v>-</v>
      </c>
      <c r="O2812" s="24">
        <f t="shared" si="4"/>
        <v>0</v>
      </c>
      <c r="P2812" s="24"/>
      <c r="Q2812" s="24">
        <f t="shared" si="6"/>
        <v>0</v>
      </c>
      <c r="R2812" s="24">
        <f t="shared" si="7"/>
        <v>1</v>
      </c>
      <c r="S2812" s="24"/>
      <c r="T2812" s="24"/>
    </row>
    <row r="2813">
      <c r="A2813" s="12"/>
      <c r="F2813" s="19">
        <f>IFERROR(__xludf.DUMMYFUNCTION("SPLIT(A2809, "" |"")"),2807.0)</f>
        <v>2807</v>
      </c>
      <c r="G2813" s="19">
        <f>IFERROR(__xludf.DUMMYFUNCTION("""COMPUTED_VALUE"""),0.00234)</f>
        <v>0.00234</v>
      </c>
      <c r="H2813" s="19" t="str">
        <f>IFERROR(__xludf.DUMMYFUNCTION("""COMPUTED_VALUE"""),"-")</f>
        <v>-</v>
      </c>
      <c r="I2813" s="19">
        <f>IFERROR(__xludf.DUMMYFUNCTION("""COMPUTED_VALUE"""),0.00218)</f>
        <v>0.00218</v>
      </c>
      <c r="J2813" s="19">
        <f>IFERROR(__xludf.DUMMYFUNCTION("""COMPUTED_VALUE"""),0.04742)</f>
        <v>0.04742</v>
      </c>
      <c r="K2813" s="19" t="str">
        <f>IFERROR(__xludf.DUMMYFUNCTION("""COMPUTED_VALUE"""),"-")</f>
        <v>-</v>
      </c>
      <c r="L2813" s="19" t="str">
        <f>IFERROR(__xludf.DUMMYFUNCTION("""COMPUTED_VALUE"""),"-")</f>
        <v>-</v>
      </c>
      <c r="O2813" s="24">
        <f t="shared" si="4"/>
        <v>0</v>
      </c>
      <c r="P2813" s="24"/>
      <c r="Q2813" s="24">
        <f t="shared" si="6"/>
        <v>0</v>
      </c>
      <c r="R2813" s="24">
        <f t="shared" si="7"/>
        <v>0</v>
      </c>
      <c r="S2813" s="24"/>
      <c r="T2813" s="24"/>
    </row>
    <row r="2814">
      <c r="A2814" s="12" t="s">
        <v>2901</v>
      </c>
      <c r="F2814" s="19">
        <f>IFERROR(__xludf.DUMMYFUNCTION("SPLIT(A2810, "" |"")"),2808.0)</f>
        <v>2808</v>
      </c>
      <c r="G2814" s="19">
        <f>IFERROR(__xludf.DUMMYFUNCTION("""COMPUTED_VALUE"""),0.00241)</f>
        <v>0.00241</v>
      </c>
      <c r="H2814" s="19" t="str">
        <f>IFERROR(__xludf.DUMMYFUNCTION("""COMPUTED_VALUE"""),"-")</f>
        <v>-</v>
      </c>
      <c r="I2814" s="19">
        <f>IFERROR(__xludf.DUMMYFUNCTION("""COMPUTED_VALUE"""),0.00218)</f>
        <v>0.00218</v>
      </c>
      <c r="J2814" s="19">
        <f>IFERROR(__xludf.DUMMYFUNCTION("""COMPUTED_VALUE"""),0.04612)</f>
        <v>0.04612</v>
      </c>
      <c r="K2814" s="19" t="str">
        <f>IFERROR(__xludf.DUMMYFUNCTION("""COMPUTED_VALUE"""),"-")</f>
        <v>-</v>
      </c>
      <c r="L2814" s="19" t="str">
        <f>IFERROR(__xludf.DUMMYFUNCTION("""COMPUTED_VALUE"""),"-")</f>
        <v>-</v>
      </c>
      <c r="O2814" s="24">
        <f t="shared" si="4"/>
        <v>0</v>
      </c>
      <c r="P2814" s="24"/>
      <c r="Q2814" s="24">
        <f t="shared" si="6"/>
        <v>0</v>
      </c>
      <c r="R2814" s="24">
        <f t="shared" si="7"/>
        <v>0</v>
      </c>
      <c r="S2814" s="24"/>
      <c r="T2814" s="24"/>
    </row>
    <row r="2815">
      <c r="A2815" s="12" t="s">
        <v>2902</v>
      </c>
      <c r="F2815" s="19">
        <f>IFERROR(__xludf.DUMMYFUNCTION("SPLIT(A2811, "" |"")"),2809.0)</f>
        <v>2809</v>
      </c>
      <c r="G2815" s="19">
        <f>IFERROR(__xludf.DUMMYFUNCTION("""COMPUTED_VALUE"""),0.00317)</f>
        <v>0.00317</v>
      </c>
      <c r="H2815" s="19" t="str">
        <f>IFERROR(__xludf.DUMMYFUNCTION("""COMPUTED_VALUE"""),"-")</f>
        <v>-</v>
      </c>
      <c r="I2815" s="19">
        <f>IFERROR(__xludf.DUMMYFUNCTION("""COMPUTED_VALUE"""),0.00367)</f>
        <v>0.00367</v>
      </c>
      <c r="J2815" s="19">
        <f>IFERROR(__xludf.DUMMYFUNCTION("""COMPUTED_VALUE"""),0.0426)</f>
        <v>0.0426</v>
      </c>
      <c r="K2815" s="19" t="str">
        <f>IFERROR(__xludf.DUMMYFUNCTION("""COMPUTED_VALUE"""),"-")</f>
        <v>-</v>
      </c>
      <c r="L2815" s="19" t="str">
        <f>IFERROR(__xludf.DUMMYFUNCTION("""COMPUTED_VALUE"""),"-")</f>
        <v>-</v>
      </c>
      <c r="O2815" s="24">
        <f t="shared" si="4"/>
        <v>0</v>
      </c>
      <c r="P2815" s="24"/>
      <c r="Q2815" s="24">
        <f t="shared" si="6"/>
        <v>1</v>
      </c>
      <c r="R2815" s="24">
        <f t="shared" si="7"/>
        <v>1</v>
      </c>
      <c r="S2815" s="24"/>
      <c r="T2815" s="24"/>
    </row>
    <row r="2816">
      <c r="A2816" s="12" t="s">
        <v>2903</v>
      </c>
      <c r="F2816" s="19">
        <f>IFERROR(__xludf.DUMMYFUNCTION("SPLIT(A2812, "" |"")"),2810.0)</f>
        <v>2810</v>
      </c>
      <c r="G2816" s="19">
        <f>IFERROR(__xludf.DUMMYFUNCTION("""COMPUTED_VALUE"""),0.00303)</f>
        <v>0.00303</v>
      </c>
      <c r="H2816" s="19" t="str">
        <f>IFERROR(__xludf.DUMMYFUNCTION("""COMPUTED_VALUE"""),"-")</f>
        <v>-</v>
      </c>
      <c r="I2816" s="19">
        <f>IFERROR(__xludf.DUMMYFUNCTION("""COMPUTED_VALUE"""),0.00343)</f>
        <v>0.00343</v>
      </c>
      <c r="J2816" s="19">
        <f>IFERROR(__xludf.DUMMYFUNCTION("""COMPUTED_VALUE"""),0.04259)</f>
        <v>0.04259</v>
      </c>
      <c r="K2816" s="19" t="str">
        <f>IFERROR(__xludf.DUMMYFUNCTION("""COMPUTED_VALUE"""),"-")</f>
        <v>-</v>
      </c>
      <c r="L2816" s="19" t="str">
        <f>IFERROR(__xludf.DUMMYFUNCTION("""COMPUTED_VALUE"""),"-")</f>
        <v>-</v>
      </c>
      <c r="O2816" s="24">
        <f t="shared" si="4"/>
        <v>0</v>
      </c>
      <c r="P2816" s="24"/>
      <c r="Q2816" s="24">
        <f t="shared" si="6"/>
        <v>1</v>
      </c>
      <c r="R2816" s="24">
        <f t="shared" si="7"/>
        <v>1</v>
      </c>
      <c r="S2816" s="24"/>
      <c r="T2816" s="24"/>
    </row>
    <row r="2817">
      <c r="A2817" s="12" t="s">
        <v>2904</v>
      </c>
      <c r="F2817" s="19" t="str">
        <f>IFERROR(__xludf.DUMMYFUNCTION("SPLIT(A2813, "" |"")"),"#VALUE!")</f>
        <v>#VALUE!</v>
      </c>
      <c r="O2817" s="24">
        <f t="shared" si="4"/>
        <v>1</v>
      </c>
      <c r="P2817" s="24"/>
      <c r="Q2817" s="24">
        <f t="shared" si="6"/>
        <v>1</v>
      </c>
      <c r="R2817" s="24">
        <f t="shared" si="7"/>
        <v>1</v>
      </c>
      <c r="S2817" s="24"/>
      <c r="T2817" s="24"/>
    </row>
    <row r="2818">
      <c r="A2818" s="12" t="s">
        <v>2905</v>
      </c>
      <c r="F2818" s="19">
        <f>IFERROR(__xludf.DUMMYFUNCTION("SPLIT(A2814, "" |"")"),2812.0)</f>
        <v>2812</v>
      </c>
      <c r="G2818" s="19">
        <f>IFERROR(__xludf.DUMMYFUNCTION("""COMPUTED_VALUE"""),0.00242)</f>
        <v>0.00242</v>
      </c>
      <c r="H2818" s="19" t="str">
        <f>IFERROR(__xludf.DUMMYFUNCTION("""COMPUTED_VALUE"""),"-")</f>
        <v>-</v>
      </c>
      <c r="I2818" s="19">
        <f>IFERROR(__xludf.DUMMYFUNCTION("""COMPUTED_VALUE"""),0.0024)</f>
        <v>0.0024</v>
      </c>
      <c r="J2818" s="19">
        <f>IFERROR(__xludf.DUMMYFUNCTION("""COMPUTED_VALUE"""),0.04062)</f>
        <v>0.04062</v>
      </c>
      <c r="K2818" s="19" t="str">
        <f>IFERROR(__xludf.DUMMYFUNCTION("""COMPUTED_VALUE"""),"-")</f>
        <v>-</v>
      </c>
      <c r="L2818" s="19" t="str">
        <f>IFERROR(__xludf.DUMMYFUNCTION("""COMPUTED_VALUE"""),"-")</f>
        <v>-</v>
      </c>
      <c r="O2818" s="24">
        <f t="shared" si="4"/>
        <v>0</v>
      </c>
      <c r="P2818" s="24"/>
      <c r="Q2818" s="24">
        <f t="shared" si="6"/>
        <v>0</v>
      </c>
      <c r="R2818" s="24">
        <f t="shared" si="7"/>
        <v>1</v>
      </c>
      <c r="S2818" s="24"/>
      <c r="T2818" s="24"/>
    </row>
    <row r="2819">
      <c r="A2819" s="12" t="s">
        <v>2906</v>
      </c>
      <c r="F2819" s="19">
        <f>IFERROR(__xludf.DUMMYFUNCTION("SPLIT(A2815, "" |"")"),2813.0)</f>
        <v>2813</v>
      </c>
      <c r="G2819" s="19">
        <f>IFERROR(__xludf.DUMMYFUNCTION("""COMPUTED_VALUE"""),0.0025)</f>
        <v>0.0025</v>
      </c>
      <c r="H2819" s="19" t="str">
        <f>IFERROR(__xludf.DUMMYFUNCTION("""COMPUTED_VALUE"""),"-")</f>
        <v>-</v>
      </c>
      <c r="I2819" s="19">
        <f>IFERROR(__xludf.DUMMYFUNCTION("""COMPUTED_VALUE"""),0.00227)</f>
        <v>0.00227</v>
      </c>
      <c r="J2819" s="19">
        <f>IFERROR(__xludf.DUMMYFUNCTION("""COMPUTED_VALUE"""),0.04308)</f>
        <v>0.04308</v>
      </c>
      <c r="K2819" s="19" t="str">
        <f>IFERROR(__xludf.DUMMYFUNCTION("""COMPUTED_VALUE"""),"-")</f>
        <v>-</v>
      </c>
      <c r="L2819" s="19" t="str">
        <f>IFERROR(__xludf.DUMMYFUNCTION("""COMPUTED_VALUE"""),"-")</f>
        <v>-</v>
      </c>
      <c r="O2819" s="24">
        <f t="shared" si="4"/>
        <v>0</v>
      </c>
      <c r="P2819" s="24"/>
      <c r="Q2819" s="24">
        <f t="shared" si="6"/>
        <v>0</v>
      </c>
      <c r="R2819" s="24">
        <f t="shared" si="7"/>
        <v>1</v>
      </c>
      <c r="S2819" s="24"/>
      <c r="T2819" s="24"/>
    </row>
    <row r="2820">
      <c r="A2820" s="12" t="s">
        <v>2907</v>
      </c>
      <c r="F2820" s="19">
        <f>IFERROR(__xludf.DUMMYFUNCTION("SPLIT(A2816, "" |"")"),2814.0)</f>
        <v>2814</v>
      </c>
      <c r="G2820" s="19">
        <f>IFERROR(__xludf.DUMMYFUNCTION("""COMPUTED_VALUE"""),0.00293)</f>
        <v>0.00293</v>
      </c>
      <c r="H2820" s="19" t="str">
        <f>IFERROR(__xludf.DUMMYFUNCTION("""COMPUTED_VALUE"""),"-")</f>
        <v>-</v>
      </c>
      <c r="I2820" s="19">
        <f>IFERROR(__xludf.DUMMYFUNCTION("""COMPUTED_VALUE"""),0.00227)</f>
        <v>0.00227</v>
      </c>
      <c r="J2820" s="19">
        <f>IFERROR(__xludf.DUMMYFUNCTION("""COMPUTED_VALUE"""),0.04396)</f>
        <v>0.04396</v>
      </c>
      <c r="K2820" s="19" t="str">
        <f>IFERROR(__xludf.DUMMYFUNCTION("""COMPUTED_VALUE"""),"-")</f>
        <v>-</v>
      </c>
      <c r="L2820" s="19" t="str">
        <f>IFERROR(__xludf.DUMMYFUNCTION("""COMPUTED_VALUE"""),"-")</f>
        <v>-</v>
      </c>
      <c r="O2820" s="24">
        <f t="shared" si="4"/>
        <v>0</v>
      </c>
      <c r="P2820" s="24"/>
      <c r="Q2820" s="24">
        <f t="shared" si="6"/>
        <v>0</v>
      </c>
      <c r="R2820" s="24">
        <f t="shared" si="7"/>
        <v>1</v>
      </c>
      <c r="S2820" s="24"/>
      <c r="T2820" s="24"/>
    </row>
    <row r="2821">
      <c r="A2821" s="12" t="s">
        <v>2908</v>
      </c>
      <c r="F2821" s="19">
        <f>IFERROR(__xludf.DUMMYFUNCTION("SPLIT(A2817, "" |"")"),2815.0)</f>
        <v>2815</v>
      </c>
      <c r="G2821" s="19">
        <f>IFERROR(__xludf.DUMMYFUNCTION("""COMPUTED_VALUE"""),0.00248)</f>
        <v>0.00248</v>
      </c>
      <c r="H2821" s="19" t="str">
        <f>IFERROR(__xludf.DUMMYFUNCTION("""COMPUTED_VALUE"""),"-")</f>
        <v>-</v>
      </c>
      <c r="I2821" s="19">
        <f>IFERROR(__xludf.DUMMYFUNCTION("""COMPUTED_VALUE"""),0.00223)</f>
        <v>0.00223</v>
      </c>
      <c r="J2821" s="19">
        <f>IFERROR(__xludf.DUMMYFUNCTION("""COMPUTED_VALUE"""),0.04522)</f>
        <v>0.04522</v>
      </c>
      <c r="K2821" s="19" t="str">
        <f>IFERROR(__xludf.DUMMYFUNCTION("""COMPUTED_VALUE"""),"-")</f>
        <v>-</v>
      </c>
      <c r="L2821" s="19" t="str">
        <f>IFERROR(__xludf.DUMMYFUNCTION("""COMPUTED_VALUE"""),"-")</f>
        <v>-</v>
      </c>
      <c r="O2821" s="24">
        <f t="shared" si="4"/>
        <v>0</v>
      </c>
      <c r="P2821" s="24"/>
      <c r="Q2821" s="24">
        <f t="shared" si="6"/>
        <v>0</v>
      </c>
      <c r="R2821" s="24">
        <f t="shared" si="7"/>
        <v>0</v>
      </c>
      <c r="S2821" s="24"/>
      <c r="T2821" s="24"/>
    </row>
    <row r="2822">
      <c r="A2822" s="12" t="s">
        <v>2909</v>
      </c>
      <c r="F2822" s="19">
        <f>IFERROR(__xludf.DUMMYFUNCTION("SPLIT(A2818, "" |"")"),2816.0)</f>
        <v>2816</v>
      </c>
      <c r="G2822" s="19">
        <f>IFERROR(__xludf.DUMMYFUNCTION("""COMPUTED_VALUE"""),0.0028)</f>
        <v>0.0028</v>
      </c>
      <c r="H2822" s="19" t="str">
        <f>IFERROR(__xludf.DUMMYFUNCTION("""COMPUTED_VALUE"""),"-")</f>
        <v>-</v>
      </c>
      <c r="I2822" s="19">
        <f>IFERROR(__xludf.DUMMYFUNCTION("""COMPUTED_VALUE"""),0.00237)</f>
        <v>0.00237</v>
      </c>
      <c r="J2822" s="19">
        <f>IFERROR(__xludf.DUMMYFUNCTION("""COMPUTED_VALUE"""),0.04537)</f>
        <v>0.04537</v>
      </c>
      <c r="K2822" s="19" t="str">
        <f>IFERROR(__xludf.DUMMYFUNCTION("""COMPUTED_VALUE"""),"-")</f>
        <v>-</v>
      </c>
      <c r="L2822" s="19" t="str">
        <f>IFERROR(__xludf.DUMMYFUNCTION("""COMPUTED_VALUE"""),"-")</f>
        <v>-</v>
      </c>
      <c r="O2822" s="24">
        <f t="shared" si="4"/>
        <v>0</v>
      </c>
      <c r="P2822" s="24"/>
      <c r="Q2822" s="24">
        <f t="shared" si="6"/>
        <v>0</v>
      </c>
      <c r="R2822" s="24">
        <f t="shared" si="7"/>
        <v>0</v>
      </c>
      <c r="S2822" s="24"/>
      <c r="T2822" s="24"/>
    </row>
    <row r="2823">
      <c r="A2823" s="12" t="s">
        <v>2910</v>
      </c>
      <c r="F2823" s="19">
        <f>IFERROR(__xludf.DUMMYFUNCTION("SPLIT(A2819, "" |"")"),2817.0)</f>
        <v>2817</v>
      </c>
      <c r="G2823" s="19">
        <f>IFERROR(__xludf.DUMMYFUNCTION("""COMPUTED_VALUE"""),0.00244)</f>
        <v>0.00244</v>
      </c>
      <c r="H2823" s="19" t="str">
        <f>IFERROR(__xludf.DUMMYFUNCTION("""COMPUTED_VALUE"""),"-")</f>
        <v>-</v>
      </c>
      <c r="I2823" s="19">
        <f>IFERROR(__xludf.DUMMYFUNCTION("""COMPUTED_VALUE"""),0.00235)</f>
        <v>0.00235</v>
      </c>
      <c r="J2823" s="19">
        <f>IFERROR(__xludf.DUMMYFUNCTION("""COMPUTED_VALUE"""),0.04629)</f>
        <v>0.04629</v>
      </c>
      <c r="K2823" s="19" t="str">
        <f>IFERROR(__xludf.DUMMYFUNCTION("""COMPUTED_VALUE"""),"-")</f>
        <v>-</v>
      </c>
      <c r="L2823" s="19" t="str">
        <f>IFERROR(__xludf.DUMMYFUNCTION("""COMPUTED_VALUE"""),"-")</f>
        <v>-</v>
      </c>
      <c r="O2823" s="24">
        <f t="shared" si="4"/>
        <v>0</v>
      </c>
      <c r="P2823" s="24"/>
      <c r="Q2823" s="24">
        <f t="shared" si="6"/>
        <v>0</v>
      </c>
      <c r="R2823" s="24">
        <f t="shared" si="7"/>
        <v>0</v>
      </c>
      <c r="S2823" s="24"/>
      <c r="T2823" s="24"/>
    </row>
    <row r="2824">
      <c r="A2824" s="12" t="s">
        <v>2911</v>
      </c>
      <c r="F2824" s="19">
        <f>IFERROR(__xludf.DUMMYFUNCTION("SPLIT(A2820, "" |"")"),2818.0)</f>
        <v>2818</v>
      </c>
      <c r="G2824" s="19">
        <f>IFERROR(__xludf.DUMMYFUNCTION("""COMPUTED_VALUE"""),0.00258)</f>
        <v>0.00258</v>
      </c>
      <c r="H2824" s="19" t="str">
        <f>IFERROR(__xludf.DUMMYFUNCTION("""COMPUTED_VALUE"""),"-")</f>
        <v>-</v>
      </c>
      <c r="I2824" s="19">
        <f>IFERROR(__xludf.DUMMYFUNCTION("""COMPUTED_VALUE"""),0.00234)</f>
        <v>0.00234</v>
      </c>
      <c r="J2824" s="19">
        <f>IFERROR(__xludf.DUMMYFUNCTION("""COMPUTED_VALUE"""),0.0433)</f>
        <v>0.0433</v>
      </c>
      <c r="K2824" s="19" t="str">
        <f>IFERROR(__xludf.DUMMYFUNCTION("""COMPUTED_VALUE"""),"-")</f>
        <v>-</v>
      </c>
      <c r="L2824" s="19" t="str">
        <f>IFERROR(__xludf.DUMMYFUNCTION("""COMPUTED_VALUE"""),"-")</f>
        <v>-</v>
      </c>
      <c r="O2824" s="24">
        <f t="shared" si="4"/>
        <v>0</v>
      </c>
      <c r="P2824" s="24"/>
      <c r="Q2824" s="24">
        <f t="shared" si="6"/>
        <v>0</v>
      </c>
      <c r="R2824" s="24">
        <f t="shared" si="7"/>
        <v>1</v>
      </c>
      <c r="S2824" s="24"/>
      <c r="T2824" s="24"/>
    </row>
    <row r="2825">
      <c r="A2825" s="12" t="s">
        <v>2912</v>
      </c>
      <c r="F2825" s="19">
        <f>IFERROR(__xludf.DUMMYFUNCTION("SPLIT(A2821, "" |"")"),2819.0)</f>
        <v>2819</v>
      </c>
      <c r="G2825" s="19">
        <f>IFERROR(__xludf.DUMMYFUNCTION("""COMPUTED_VALUE"""),0.00236)</f>
        <v>0.00236</v>
      </c>
      <c r="H2825" s="19" t="str">
        <f>IFERROR(__xludf.DUMMYFUNCTION("""COMPUTED_VALUE"""),"-")</f>
        <v>-</v>
      </c>
      <c r="I2825" s="19">
        <f>IFERROR(__xludf.DUMMYFUNCTION("""COMPUTED_VALUE"""),0.00213)</f>
        <v>0.00213</v>
      </c>
      <c r="J2825" s="19">
        <f>IFERROR(__xludf.DUMMYFUNCTION("""COMPUTED_VALUE"""),0.04578)</f>
        <v>0.04578</v>
      </c>
      <c r="K2825" s="19" t="str">
        <f>IFERROR(__xludf.DUMMYFUNCTION("""COMPUTED_VALUE"""),"-")</f>
        <v>-</v>
      </c>
      <c r="L2825" s="19" t="str">
        <f>IFERROR(__xludf.DUMMYFUNCTION("""COMPUTED_VALUE"""),"-")</f>
        <v>-</v>
      </c>
      <c r="O2825" s="24">
        <f t="shared" si="4"/>
        <v>0</v>
      </c>
      <c r="P2825" s="24"/>
      <c r="Q2825" s="24">
        <f t="shared" si="6"/>
        <v>0</v>
      </c>
      <c r="R2825" s="24">
        <f t="shared" si="7"/>
        <v>0</v>
      </c>
      <c r="S2825" s="24"/>
      <c r="T2825" s="24"/>
    </row>
    <row r="2826">
      <c r="A2826" s="12" t="s">
        <v>2913</v>
      </c>
      <c r="F2826" s="19">
        <f>IFERROR(__xludf.DUMMYFUNCTION("SPLIT(A2822, "" |"")"),2820.0)</f>
        <v>2820</v>
      </c>
      <c r="G2826" s="19">
        <f>IFERROR(__xludf.DUMMYFUNCTION("""COMPUTED_VALUE"""),0.00234)</f>
        <v>0.00234</v>
      </c>
      <c r="H2826" s="19" t="str">
        <f>IFERROR(__xludf.DUMMYFUNCTION("""COMPUTED_VALUE"""),"-")</f>
        <v>-</v>
      </c>
      <c r="I2826" s="19">
        <f>IFERROR(__xludf.DUMMYFUNCTION("""COMPUTED_VALUE"""),0.00215)</f>
        <v>0.00215</v>
      </c>
      <c r="J2826" s="19">
        <f>IFERROR(__xludf.DUMMYFUNCTION("""COMPUTED_VALUE"""),0.04574)</f>
        <v>0.04574</v>
      </c>
      <c r="K2826" s="19" t="str">
        <f>IFERROR(__xludf.DUMMYFUNCTION("""COMPUTED_VALUE"""),"-")</f>
        <v>-</v>
      </c>
      <c r="L2826" s="19" t="str">
        <f>IFERROR(__xludf.DUMMYFUNCTION("""COMPUTED_VALUE"""),"-")</f>
        <v>-</v>
      </c>
      <c r="O2826" s="24">
        <f t="shared" si="4"/>
        <v>0</v>
      </c>
      <c r="P2826" s="24"/>
      <c r="Q2826" s="24">
        <f t="shared" si="6"/>
        <v>0</v>
      </c>
      <c r="R2826" s="24">
        <f t="shared" si="7"/>
        <v>0</v>
      </c>
      <c r="S2826" s="24"/>
      <c r="T2826" s="24"/>
    </row>
    <row r="2827">
      <c r="A2827" s="12" t="s">
        <v>2914</v>
      </c>
      <c r="F2827" s="19">
        <f>IFERROR(__xludf.DUMMYFUNCTION("SPLIT(A2823, "" |"")"),2821.0)</f>
        <v>2821</v>
      </c>
      <c r="G2827" s="19">
        <f>IFERROR(__xludf.DUMMYFUNCTION("""COMPUTED_VALUE"""),0.00271)</f>
        <v>0.00271</v>
      </c>
      <c r="H2827" s="19" t="str">
        <f>IFERROR(__xludf.DUMMYFUNCTION("""COMPUTED_VALUE"""),"-")</f>
        <v>-</v>
      </c>
      <c r="I2827" s="19">
        <f>IFERROR(__xludf.DUMMYFUNCTION("""COMPUTED_VALUE"""),0.00223)</f>
        <v>0.00223</v>
      </c>
      <c r="J2827" s="19">
        <f>IFERROR(__xludf.DUMMYFUNCTION("""COMPUTED_VALUE"""),0.0449)</f>
        <v>0.0449</v>
      </c>
      <c r="K2827" s="19" t="str">
        <f>IFERROR(__xludf.DUMMYFUNCTION("""COMPUTED_VALUE"""),"-")</f>
        <v>-</v>
      </c>
      <c r="L2827" s="19" t="str">
        <f>IFERROR(__xludf.DUMMYFUNCTION("""COMPUTED_VALUE"""),"-")</f>
        <v>-</v>
      </c>
      <c r="O2827" s="24">
        <f t="shared" si="4"/>
        <v>0</v>
      </c>
      <c r="P2827" s="24"/>
      <c r="Q2827" s="24">
        <f t="shared" si="6"/>
        <v>0</v>
      </c>
      <c r="R2827" s="24">
        <f t="shared" si="7"/>
        <v>1</v>
      </c>
      <c r="S2827" s="24"/>
      <c r="T2827" s="24"/>
    </row>
    <row r="2828">
      <c r="A2828" s="12" t="s">
        <v>2915</v>
      </c>
      <c r="F2828" s="19">
        <f>IFERROR(__xludf.DUMMYFUNCTION("SPLIT(A2824, "" |"")"),2822.0)</f>
        <v>2822</v>
      </c>
      <c r="G2828" s="19">
        <f>IFERROR(__xludf.DUMMYFUNCTION("""COMPUTED_VALUE"""),0.00241)</f>
        <v>0.00241</v>
      </c>
      <c r="H2828" s="19" t="str">
        <f>IFERROR(__xludf.DUMMYFUNCTION("""COMPUTED_VALUE"""),"-")</f>
        <v>-</v>
      </c>
      <c r="I2828" s="19">
        <f>IFERROR(__xludf.DUMMYFUNCTION("""COMPUTED_VALUE"""),0.0023)</f>
        <v>0.0023</v>
      </c>
      <c r="J2828" s="19">
        <f>IFERROR(__xludf.DUMMYFUNCTION("""COMPUTED_VALUE"""),0.04545)</f>
        <v>0.04545</v>
      </c>
      <c r="K2828" s="19" t="str">
        <f>IFERROR(__xludf.DUMMYFUNCTION("""COMPUTED_VALUE"""),"-")</f>
        <v>-</v>
      </c>
      <c r="L2828" s="19" t="str">
        <f>IFERROR(__xludf.DUMMYFUNCTION("""COMPUTED_VALUE"""),"-")</f>
        <v>-</v>
      </c>
      <c r="O2828" s="24">
        <f t="shared" si="4"/>
        <v>0</v>
      </c>
      <c r="P2828" s="24"/>
      <c r="Q2828" s="24">
        <f t="shared" si="6"/>
        <v>0</v>
      </c>
      <c r="R2828" s="24">
        <f t="shared" si="7"/>
        <v>0</v>
      </c>
      <c r="S2828" s="24"/>
      <c r="T2828" s="24"/>
    </row>
    <row r="2829">
      <c r="A2829" s="12" t="s">
        <v>2916</v>
      </c>
      <c r="F2829" s="19">
        <f>IFERROR(__xludf.DUMMYFUNCTION("SPLIT(A2825, "" |"")"),2823.0)</f>
        <v>2823</v>
      </c>
      <c r="G2829" s="19">
        <f>IFERROR(__xludf.DUMMYFUNCTION("""COMPUTED_VALUE"""),0.00233)</f>
        <v>0.00233</v>
      </c>
      <c r="H2829" s="19" t="str">
        <f>IFERROR(__xludf.DUMMYFUNCTION("""COMPUTED_VALUE"""),"-")</f>
        <v>-</v>
      </c>
      <c r="I2829" s="19">
        <f>IFERROR(__xludf.DUMMYFUNCTION("""COMPUTED_VALUE"""),0.00212)</f>
        <v>0.00212</v>
      </c>
      <c r="J2829" s="19">
        <f>IFERROR(__xludf.DUMMYFUNCTION("""COMPUTED_VALUE"""),0.04501)</f>
        <v>0.04501</v>
      </c>
      <c r="K2829" s="19" t="str">
        <f>IFERROR(__xludf.DUMMYFUNCTION("""COMPUTED_VALUE"""),"-")</f>
        <v>-</v>
      </c>
      <c r="L2829" s="19" t="str">
        <f>IFERROR(__xludf.DUMMYFUNCTION("""COMPUTED_VALUE"""),"-")</f>
        <v>-</v>
      </c>
      <c r="O2829" s="24">
        <f t="shared" si="4"/>
        <v>0</v>
      </c>
      <c r="P2829" s="24"/>
      <c r="Q2829" s="24">
        <f t="shared" si="6"/>
        <v>0</v>
      </c>
      <c r="R2829" s="24">
        <f t="shared" si="7"/>
        <v>0</v>
      </c>
      <c r="S2829" s="24"/>
      <c r="T2829" s="24"/>
    </row>
    <row r="2830">
      <c r="A2830" s="12" t="s">
        <v>2917</v>
      </c>
      <c r="F2830" s="19">
        <f>IFERROR(__xludf.DUMMYFUNCTION("SPLIT(A2826, "" |"")"),2824.0)</f>
        <v>2824</v>
      </c>
      <c r="G2830" s="19">
        <f>IFERROR(__xludf.DUMMYFUNCTION("""COMPUTED_VALUE"""),0.00234)</f>
        <v>0.00234</v>
      </c>
      <c r="H2830" s="19" t="str">
        <f>IFERROR(__xludf.DUMMYFUNCTION("""COMPUTED_VALUE"""),"-")</f>
        <v>-</v>
      </c>
      <c r="I2830" s="19">
        <f>IFERROR(__xludf.DUMMYFUNCTION("""COMPUTED_VALUE"""),0.00213)</f>
        <v>0.00213</v>
      </c>
      <c r="J2830" s="19">
        <f>IFERROR(__xludf.DUMMYFUNCTION("""COMPUTED_VALUE"""),0.04506)</f>
        <v>0.04506</v>
      </c>
      <c r="K2830" s="19" t="str">
        <f>IFERROR(__xludf.DUMMYFUNCTION("""COMPUTED_VALUE"""),"-")</f>
        <v>-</v>
      </c>
      <c r="L2830" s="19" t="str">
        <f>IFERROR(__xludf.DUMMYFUNCTION("""COMPUTED_VALUE"""),"-")</f>
        <v>-</v>
      </c>
      <c r="O2830" s="24">
        <f t="shared" si="4"/>
        <v>0</v>
      </c>
      <c r="P2830" s="24"/>
      <c r="Q2830" s="24">
        <f t="shared" si="6"/>
        <v>0</v>
      </c>
      <c r="R2830" s="24">
        <f t="shared" si="7"/>
        <v>0</v>
      </c>
      <c r="S2830" s="24"/>
      <c r="T2830" s="24"/>
    </row>
    <row r="2831">
      <c r="A2831" s="12" t="s">
        <v>2918</v>
      </c>
      <c r="F2831" s="19">
        <f>IFERROR(__xludf.DUMMYFUNCTION("SPLIT(A2827, "" |"")"),2825.0)</f>
        <v>2825</v>
      </c>
      <c r="G2831" s="19">
        <f>IFERROR(__xludf.DUMMYFUNCTION("""COMPUTED_VALUE"""),0.00244)</f>
        <v>0.00244</v>
      </c>
      <c r="H2831" s="19" t="str">
        <f>IFERROR(__xludf.DUMMYFUNCTION("""COMPUTED_VALUE"""),"-")</f>
        <v>-</v>
      </c>
      <c r="I2831" s="19">
        <f>IFERROR(__xludf.DUMMYFUNCTION("""COMPUTED_VALUE"""),0.00228)</f>
        <v>0.00228</v>
      </c>
      <c r="J2831" s="19">
        <f>IFERROR(__xludf.DUMMYFUNCTION("""COMPUTED_VALUE"""),0.04491)</f>
        <v>0.04491</v>
      </c>
      <c r="K2831" s="19" t="str">
        <f>IFERROR(__xludf.DUMMYFUNCTION("""COMPUTED_VALUE"""),"-")</f>
        <v>-</v>
      </c>
      <c r="L2831" s="19" t="str">
        <f>IFERROR(__xludf.DUMMYFUNCTION("""COMPUTED_VALUE"""),"-")</f>
        <v>-</v>
      </c>
      <c r="O2831" s="24">
        <f t="shared" si="4"/>
        <v>0</v>
      </c>
      <c r="P2831" s="24"/>
      <c r="Q2831" s="24">
        <f t="shared" si="6"/>
        <v>0</v>
      </c>
      <c r="R2831" s="24">
        <f t="shared" si="7"/>
        <v>1</v>
      </c>
      <c r="S2831" s="24"/>
      <c r="T2831" s="24"/>
    </row>
    <row r="2832">
      <c r="A2832" s="12" t="s">
        <v>2919</v>
      </c>
      <c r="F2832" s="19">
        <f>IFERROR(__xludf.DUMMYFUNCTION("SPLIT(A2828, "" |"")"),2826.0)</f>
        <v>2826</v>
      </c>
      <c r="G2832" s="19">
        <f>IFERROR(__xludf.DUMMYFUNCTION("""COMPUTED_VALUE"""),0.00236)</f>
        <v>0.00236</v>
      </c>
      <c r="H2832" s="19" t="str">
        <f>IFERROR(__xludf.DUMMYFUNCTION("""COMPUTED_VALUE"""),"-")</f>
        <v>-</v>
      </c>
      <c r="I2832" s="19">
        <f>IFERROR(__xludf.DUMMYFUNCTION("""COMPUTED_VALUE"""),0.00226)</f>
        <v>0.00226</v>
      </c>
      <c r="J2832" s="19">
        <f>IFERROR(__xludf.DUMMYFUNCTION("""COMPUTED_VALUE"""),0.03791)</f>
        <v>0.03791</v>
      </c>
      <c r="K2832" s="19" t="str">
        <f>IFERROR(__xludf.DUMMYFUNCTION("""COMPUTED_VALUE"""),"-")</f>
        <v>-</v>
      </c>
      <c r="L2832" s="19" t="str">
        <f>IFERROR(__xludf.DUMMYFUNCTION("""COMPUTED_VALUE"""),"-")</f>
        <v>-</v>
      </c>
      <c r="O2832" s="24">
        <f t="shared" si="4"/>
        <v>0</v>
      </c>
      <c r="P2832" s="24"/>
      <c r="Q2832" s="24">
        <f t="shared" si="6"/>
        <v>0</v>
      </c>
      <c r="R2832" s="24">
        <f t="shared" si="7"/>
        <v>1</v>
      </c>
      <c r="S2832" s="24"/>
      <c r="T2832" s="24"/>
    </row>
    <row r="2833">
      <c r="A2833" s="12" t="s">
        <v>2920</v>
      </c>
      <c r="F2833" s="19">
        <f>IFERROR(__xludf.DUMMYFUNCTION("SPLIT(A2829, "" |"")"),2827.0)</f>
        <v>2827</v>
      </c>
      <c r="G2833" s="19">
        <f>IFERROR(__xludf.DUMMYFUNCTION("""COMPUTED_VALUE"""),0.00249)</f>
        <v>0.00249</v>
      </c>
      <c r="H2833" s="19" t="str">
        <f>IFERROR(__xludf.DUMMYFUNCTION("""COMPUTED_VALUE"""),"-")</f>
        <v>-</v>
      </c>
      <c r="I2833" s="19">
        <f>IFERROR(__xludf.DUMMYFUNCTION("""COMPUTED_VALUE"""),0.00226)</f>
        <v>0.00226</v>
      </c>
      <c r="J2833" s="19">
        <f>IFERROR(__xludf.DUMMYFUNCTION("""COMPUTED_VALUE"""),0.03748)</f>
        <v>0.03748</v>
      </c>
      <c r="K2833" s="19" t="str">
        <f>IFERROR(__xludf.DUMMYFUNCTION("""COMPUTED_VALUE"""),"-")</f>
        <v>-</v>
      </c>
      <c r="L2833" s="19" t="str">
        <f>IFERROR(__xludf.DUMMYFUNCTION("""COMPUTED_VALUE"""),"-")</f>
        <v>-</v>
      </c>
      <c r="O2833" s="24">
        <f t="shared" si="4"/>
        <v>0</v>
      </c>
      <c r="P2833" s="24"/>
      <c r="Q2833" s="24">
        <f t="shared" si="6"/>
        <v>0</v>
      </c>
      <c r="R2833" s="24">
        <f t="shared" si="7"/>
        <v>1</v>
      </c>
      <c r="S2833" s="24"/>
      <c r="T2833" s="24"/>
    </row>
    <row r="2834">
      <c r="A2834" s="12" t="s">
        <v>2921</v>
      </c>
      <c r="F2834" s="19">
        <f>IFERROR(__xludf.DUMMYFUNCTION("SPLIT(A2830, "" |"")"),2828.0)</f>
        <v>2828</v>
      </c>
      <c r="G2834" s="19">
        <f>IFERROR(__xludf.DUMMYFUNCTION("""COMPUTED_VALUE"""),0.00222)</f>
        <v>0.00222</v>
      </c>
      <c r="H2834" s="19" t="str">
        <f>IFERROR(__xludf.DUMMYFUNCTION("""COMPUTED_VALUE"""),"-")</f>
        <v>-</v>
      </c>
      <c r="I2834" s="19">
        <f>IFERROR(__xludf.DUMMYFUNCTION("""COMPUTED_VALUE"""),0.00204)</f>
        <v>0.00204</v>
      </c>
      <c r="J2834" s="19">
        <f>IFERROR(__xludf.DUMMYFUNCTION("""COMPUTED_VALUE"""),0.04725)</f>
        <v>0.04725</v>
      </c>
      <c r="K2834" s="19" t="str">
        <f>IFERROR(__xludf.DUMMYFUNCTION("""COMPUTED_VALUE"""),"-")</f>
        <v>-</v>
      </c>
      <c r="L2834" s="19" t="str">
        <f>IFERROR(__xludf.DUMMYFUNCTION("""COMPUTED_VALUE"""),"-")</f>
        <v>-</v>
      </c>
      <c r="O2834" s="24">
        <f t="shared" si="4"/>
        <v>0</v>
      </c>
      <c r="P2834" s="24"/>
      <c r="Q2834" s="24">
        <f t="shared" si="6"/>
        <v>0</v>
      </c>
      <c r="R2834" s="24">
        <f t="shared" si="7"/>
        <v>0</v>
      </c>
      <c r="S2834" s="24"/>
      <c r="T2834" s="24"/>
    </row>
    <row r="2835">
      <c r="A2835" s="12" t="s">
        <v>2922</v>
      </c>
      <c r="F2835" s="19">
        <f>IFERROR(__xludf.DUMMYFUNCTION("SPLIT(A2831, "" |"")"),2829.0)</f>
        <v>2829</v>
      </c>
      <c r="G2835" s="19">
        <f>IFERROR(__xludf.DUMMYFUNCTION("""COMPUTED_VALUE"""),0.00234)</f>
        <v>0.00234</v>
      </c>
      <c r="H2835" s="19" t="str">
        <f>IFERROR(__xludf.DUMMYFUNCTION("""COMPUTED_VALUE"""),"-")</f>
        <v>-</v>
      </c>
      <c r="I2835" s="19">
        <f>IFERROR(__xludf.DUMMYFUNCTION("""COMPUTED_VALUE"""),0.00208)</f>
        <v>0.00208</v>
      </c>
      <c r="J2835" s="19">
        <f>IFERROR(__xludf.DUMMYFUNCTION("""COMPUTED_VALUE"""),0.04728)</f>
        <v>0.04728</v>
      </c>
      <c r="K2835" s="19" t="str">
        <f>IFERROR(__xludf.DUMMYFUNCTION("""COMPUTED_VALUE"""),"-")</f>
        <v>-</v>
      </c>
      <c r="L2835" s="19" t="str">
        <f>IFERROR(__xludf.DUMMYFUNCTION("""COMPUTED_VALUE"""),"-")</f>
        <v>-</v>
      </c>
      <c r="O2835" s="24">
        <f t="shared" si="4"/>
        <v>0</v>
      </c>
      <c r="P2835" s="24"/>
      <c r="Q2835" s="24">
        <f t="shared" si="6"/>
        <v>0</v>
      </c>
      <c r="R2835" s="24">
        <f t="shared" si="7"/>
        <v>0</v>
      </c>
      <c r="S2835" s="24"/>
      <c r="T2835" s="24"/>
    </row>
    <row r="2836">
      <c r="A2836" s="12" t="s">
        <v>2923</v>
      </c>
      <c r="F2836" s="19">
        <f>IFERROR(__xludf.DUMMYFUNCTION("SPLIT(A2832, "" |"")"),2830.0)</f>
        <v>2830</v>
      </c>
      <c r="G2836" s="19">
        <f>IFERROR(__xludf.DUMMYFUNCTION("""COMPUTED_VALUE"""),0.00218)</f>
        <v>0.00218</v>
      </c>
      <c r="H2836" s="19" t="str">
        <f>IFERROR(__xludf.DUMMYFUNCTION("""COMPUTED_VALUE"""),"-")</f>
        <v>-</v>
      </c>
      <c r="I2836" s="19">
        <f>IFERROR(__xludf.DUMMYFUNCTION("""COMPUTED_VALUE"""),0.00207)</f>
        <v>0.00207</v>
      </c>
      <c r="J2836" s="19">
        <f>IFERROR(__xludf.DUMMYFUNCTION("""COMPUTED_VALUE"""),0.04726)</f>
        <v>0.04726</v>
      </c>
      <c r="K2836" s="19" t="str">
        <f>IFERROR(__xludf.DUMMYFUNCTION("""COMPUTED_VALUE"""),"-")</f>
        <v>-</v>
      </c>
      <c r="L2836" s="19" t="str">
        <f>IFERROR(__xludf.DUMMYFUNCTION("""COMPUTED_VALUE"""),"-")</f>
        <v>-</v>
      </c>
      <c r="O2836" s="24">
        <f t="shared" si="4"/>
        <v>0</v>
      </c>
      <c r="P2836" s="24"/>
      <c r="Q2836" s="24">
        <f t="shared" si="6"/>
        <v>0</v>
      </c>
      <c r="R2836" s="24">
        <f t="shared" si="7"/>
        <v>0</v>
      </c>
      <c r="S2836" s="24"/>
      <c r="T2836" s="24"/>
    </row>
    <row r="2837">
      <c r="A2837" s="12" t="s">
        <v>2924</v>
      </c>
      <c r="F2837" s="19">
        <f>IFERROR(__xludf.DUMMYFUNCTION("SPLIT(A2833, "" |"")"),2831.0)</f>
        <v>2831</v>
      </c>
      <c r="G2837" s="19">
        <f>IFERROR(__xludf.DUMMYFUNCTION("""COMPUTED_VALUE"""),0.0022)</f>
        <v>0.0022</v>
      </c>
      <c r="H2837" s="19" t="str">
        <f>IFERROR(__xludf.DUMMYFUNCTION("""COMPUTED_VALUE"""),"-")</f>
        <v>-</v>
      </c>
      <c r="I2837" s="19">
        <f>IFERROR(__xludf.DUMMYFUNCTION("""COMPUTED_VALUE"""),0.0021)</f>
        <v>0.0021</v>
      </c>
      <c r="J2837" s="19">
        <f>IFERROR(__xludf.DUMMYFUNCTION("""COMPUTED_VALUE"""),0.04728)</f>
        <v>0.04728</v>
      </c>
      <c r="K2837" s="19" t="str">
        <f>IFERROR(__xludf.DUMMYFUNCTION("""COMPUTED_VALUE"""),"-")</f>
        <v>-</v>
      </c>
      <c r="L2837" s="19" t="str">
        <f>IFERROR(__xludf.DUMMYFUNCTION("""COMPUTED_VALUE"""),"-")</f>
        <v>-</v>
      </c>
      <c r="O2837" s="24">
        <f t="shared" si="4"/>
        <v>0</v>
      </c>
      <c r="P2837" s="24"/>
      <c r="Q2837" s="24">
        <f t="shared" si="6"/>
        <v>0</v>
      </c>
      <c r="R2837" s="24">
        <f t="shared" si="7"/>
        <v>0</v>
      </c>
      <c r="S2837" s="24"/>
      <c r="T2837" s="24"/>
    </row>
    <row r="2838">
      <c r="A2838" s="12" t="s">
        <v>2925</v>
      </c>
      <c r="F2838" s="19">
        <f>IFERROR(__xludf.DUMMYFUNCTION("SPLIT(A2834, "" |"")"),2832.0)</f>
        <v>2832</v>
      </c>
      <c r="G2838" s="19">
        <f>IFERROR(__xludf.DUMMYFUNCTION("""COMPUTED_VALUE"""),0.0022)</f>
        <v>0.0022</v>
      </c>
      <c r="H2838" s="19" t="str">
        <f>IFERROR(__xludf.DUMMYFUNCTION("""COMPUTED_VALUE"""),"-")</f>
        <v>-</v>
      </c>
      <c r="I2838" s="19">
        <f>IFERROR(__xludf.DUMMYFUNCTION("""COMPUTED_VALUE"""),0.00209)</f>
        <v>0.00209</v>
      </c>
      <c r="J2838" s="19">
        <f>IFERROR(__xludf.DUMMYFUNCTION("""COMPUTED_VALUE"""),0.04729)</f>
        <v>0.04729</v>
      </c>
      <c r="K2838" s="19" t="str">
        <f>IFERROR(__xludf.DUMMYFUNCTION("""COMPUTED_VALUE"""),"-")</f>
        <v>-</v>
      </c>
      <c r="L2838" s="19" t="str">
        <f>IFERROR(__xludf.DUMMYFUNCTION("""COMPUTED_VALUE"""),"-")</f>
        <v>-</v>
      </c>
      <c r="O2838" s="24">
        <f t="shared" si="4"/>
        <v>0</v>
      </c>
      <c r="P2838" s="24"/>
      <c r="Q2838" s="24">
        <f t="shared" si="6"/>
        <v>0</v>
      </c>
      <c r="R2838" s="24">
        <f t="shared" si="7"/>
        <v>0</v>
      </c>
      <c r="S2838" s="24"/>
      <c r="T2838" s="24"/>
    </row>
    <row r="2839">
      <c r="A2839" s="12" t="s">
        <v>2926</v>
      </c>
      <c r="F2839" s="19">
        <f>IFERROR(__xludf.DUMMYFUNCTION("SPLIT(A2835, "" |"")"),2833.0)</f>
        <v>2833</v>
      </c>
      <c r="G2839" s="19">
        <f>IFERROR(__xludf.DUMMYFUNCTION("""COMPUTED_VALUE"""),0.00225)</f>
        <v>0.00225</v>
      </c>
      <c r="H2839" s="19" t="str">
        <f>IFERROR(__xludf.DUMMYFUNCTION("""COMPUTED_VALUE"""),"-")</f>
        <v>-</v>
      </c>
      <c r="I2839" s="19">
        <f>IFERROR(__xludf.DUMMYFUNCTION("""COMPUTED_VALUE"""),0.00208)</f>
        <v>0.00208</v>
      </c>
      <c r="J2839" s="19">
        <f>IFERROR(__xludf.DUMMYFUNCTION("""COMPUTED_VALUE"""),0.04419)</f>
        <v>0.04419</v>
      </c>
      <c r="K2839" s="19" t="str">
        <f>IFERROR(__xludf.DUMMYFUNCTION("""COMPUTED_VALUE"""),"-")</f>
        <v>-</v>
      </c>
      <c r="L2839" s="19" t="str">
        <f>IFERROR(__xludf.DUMMYFUNCTION("""COMPUTED_VALUE"""),"-")</f>
        <v>-</v>
      </c>
      <c r="O2839" s="24">
        <f t="shared" si="4"/>
        <v>0</v>
      </c>
      <c r="P2839" s="24"/>
      <c r="Q2839" s="24">
        <f t="shared" si="6"/>
        <v>0</v>
      </c>
      <c r="R2839" s="24">
        <f t="shared" si="7"/>
        <v>1</v>
      </c>
      <c r="S2839" s="24"/>
      <c r="T2839" s="24"/>
    </row>
    <row r="2840">
      <c r="A2840" s="12" t="s">
        <v>2927</v>
      </c>
      <c r="F2840" s="19">
        <f>IFERROR(__xludf.DUMMYFUNCTION("SPLIT(A2836, "" |"")"),2834.0)</f>
        <v>2834</v>
      </c>
      <c r="G2840" s="19">
        <f>IFERROR(__xludf.DUMMYFUNCTION("""COMPUTED_VALUE"""),0.0022)</f>
        <v>0.0022</v>
      </c>
      <c r="H2840" s="19" t="str">
        <f>IFERROR(__xludf.DUMMYFUNCTION("""COMPUTED_VALUE"""),"-")</f>
        <v>-</v>
      </c>
      <c r="I2840" s="19">
        <f>IFERROR(__xludf.DUMMYFUNCTION("""COMPUTED_VALUE"""),0.00207)</f>
        <v>0.00207</v>
      </c>
      <c r="J2840" s="19">
        <f>IFERROR(__xludf.DUMMYFUNCTION("""COMPUTED_VALUE"""),0.04728)</f>
        <v>0.04728</v>
      </c>
      <c r="K2840" s="19" t="str">
        <f>IFERROR(__xludf.DUMMYFUNCTION("""COMPUTED_VALUE"""),"-")</f>
        <v>-</v>
      </c>
      <c r="L2840" s="19" t="str">
        <f>IFERROR(__xludf.DUMMYFUNCTION("""COMPUTED_VALUE"""),"-")</f>
        <v>-</v>
      </c>
      <c r="O2840" s="24">
        <f t="shared" si="4"/>
        <v>0</v>
      </c>
      <c r="P2840" s="24"/>
      <c r="Q2840" s="24">
        <f t="shared" si="6"/>
        <v>0</v>
      </c>
      <c r="R2840" s="24">
        <f t="shared" si="7"/>
        <v>0</v>
      </c>
      <c r="S2840" s="24"/>
      <c r="T2840" s="24"/>
    </row>
    <row r="2841">
      <c r="A2841" s="12" t="s">
        <v>2928</v>
      </c>
      <c r="F2841" s="19">
        <f>IFERROR(__xludf.DUMMYFUNCTION("SPLIT(A2837, "" |"")"),2835.0)</f>
        <v>2835</v>
      </c>
      <c r="G2841" s="19">
        <f>IFERROR(__xludf.DUMMYFUNCTION("""COMPUTED_VALUE"""),0.00225)</f>
        <v>0.00225</v>
      </c>
      <c r="H2841" s="19" t="str">
        <f>IFERROR(__xludf.DUMMYFUNCTION("""COMPUTED_VALUE"""),"-")</f>
        <v>-</v>
      </c>
      <c r="I2841" s="19">
        <f>IFERROR(__xludf.DUMMYFUNCTION("""COMPUTED_VALUE"""),0.00209)</f>
        <v>0.00209</v>
      </c>
      <c r="J2841" s="19">
        <f>IFERROR(__xludf.DUMMYFUNCTION("""COMPUTED_VALUE"""),0.04729)</f>
        <v>0.04729</v>
      </c>
      <c r="K2841" s="19" t="str">
        <f>IFERROR(__xludf.DUMMYFUNCTION("""COMPUTED_VALUE"""),"-")</f>
        <v>-</v>
      </c>
      <c r="L2841" s="19" t="str">
        <f>IFERROR(__xludf.DUMMYFUNCTION("""COMPUTED_VALUE"""),"-")</f>
        <v>-</v>
      </c>
      <c r="O2841" s="24">
        <f t="shared" si="4"/>
        <v>0</v>
      </c>
      <c r="P2841" s="24"/>
      <c r="Q2841" s="24">
        <f t="shared" si="6"/>
        <v>0</v>
      </c>
      <c r="R2841" s="24">
        <f t="shared" si="7"/>
        <v>0</v>
      </c>
      <c r="S2841" s="24"/>
      <c r="T2841" s="24"/>
    </row>
    <row r="2842">
      <c r="A2842" s="12" t="s">
        <v>2929</v>
      </c>
      <c r="F2842" s="19">
        <f>IFERROR(__xludf.DUMMYFUNCTION("SPLIT(A2838, "" |"")"),2836.0)</f>
        <v>2836</v>
      </c>
      <c r="G2842" s="19">
        <f>IFERROR(__xludf.DUMMYFUNCTION("""COMPUTED_VALUE"""),0.0022)</f>
        <v>0.0022</v>
      </c>
      <c r="H2842" s="19" t="str">
        <f>IFERROR(__xludf.DUMMYFUNCTION("""COMPUTED_VALUE"""),"-")</f>
        <v>-</v>
      </c>
      <c r="I2842" s="19">
        <f>IFERROR(__xludf.DUMMYFUNCTION("""COMPUTED_VALUE"""),0.00208)</f>
        <v>0.00208</v>
      </c>
      <c r="J2842" s="19">
        <f>IFERROR(__xludf.DUMMYFUNCTION("""COMPUTED_VALUE"""),0.04728)</f>
        <v>0.04728</v>
      </c>
      <c r="K2842" s="19" t="str">
        <f>IFERROR(__xludf.DUMMYFUNCTION("""COMPUTED_VALUE"""),"-")</f>
        <v>-</v>
      </c>
      <c r="L2842" s="19" t="str">
        <f>IFERROR(__xludf.DUMMYFUNCTION("""COMPUTED_VALUE"""),"-")</f>
        <v>-</v>
      </c>
      <c r="O2842" s="24">
        <f t="shared" si="4"/>
        <v>0</v>
      </c>
      <c r="P2842" s="24"/>
      <c r="Q2842" s="24">
        <f t="shared" si="6"/>
        <v>0</v>
      </c>
      <c r="R2842" s="24">
        <f t="shared" si="7"/>
        <v>0</v>
      </c>
      <c r="S2842" s="24"/>
      <c r="T2842" s="24"/>
    </row>
    <row r="2843">
      <c r="A2843" s="12" t="s">
        <v>2930</v>
      </c>
      <c r="F2843" s="19">
        <f>IFERROR(__xludf.DUMMYFUNCTION("SPLIT(A2839, "" |"")"),2837.0)</f>
        <v>2837</v>
      </c>
      <c r="G2843" s="19">
        <f>IFERROR(__xludf.DUMMYFUNCTION("""COMPUTED_VALUE"""),0.00219)</f>
        <v>0.00219</v>
      </c>
      <c r="H2843" s="19" t="str">
        <f>IFERROR(__xludf.DUMMYFUNCTION("""COMPUTED_VALUE"""),"-")</f>
        <v>-</v>
      </c>
      <c r="I2843" s="19">
        <f>IFERROR(__xludf.DUMMYFUNCTION("""COMPUTED_VALUE"""),0.00207)</f>
        <v>0.00207</v>
      </c>
      <c r="J2843" s="19">
        <f>IFERROR(__xludf.DUMMYFUNCTION("""COMPUTED_VALUE"""),0.04727)</f>
        <v>0.04727</v>
      </c>
      <c r="K2843" s="19" t="str">
        <f>IFERROR(__xludf.DUMMYFUNCTION("""COMPUTED_VALUE"""),"-")</f>
        <v>-</v>
      </c>
      <c r="L2843" s="19" t="str">
        <f>IFERROR(__xludf.DUMMYFUNCTION("""COMPUTED_VALUE"""),"-")</f>
        <v>-</v>
      </c>
      <c r="O2843" s="24">
        <f t="shared" si="4"/>
        <v>0</v>
      </c>
      <c r="P2843" s="24"/>
      <c r="Q2843" s="24">
        <f t="shared" si="6"/>
        <v>0</v>
      </c>
      <c r="R2843" s="24">
        <f t="shared" si="7"/>
        <v>0</v>
      </c>
      <c r="S2843" s="24"/>
      <c r="T2843" s="24"/>
    </row>
    <row r="2844">
      <c r="A2844" s="12" t="s">
        <v>2931</v>
      </c>
      <c r="F2844" s="19">
        <f>IFERROR(__xludf.DUMMYFUNCTION("SPLIT(A2840, "" |"")"),2838.0)</f>
        <v>2838</v>
      </c>
      <c r="G2844" s="19">
        <f>IFERROR(__xludf.DUMMYFUNCTION("""COMPUTED_VALUE"""),0.00219)</f>
        <v>0.00219</v>
      </c>
      <c r="H2844" s="19" t="str">
        <f>IFERROR(__xludf.DUMMYFUNCTION("""COMPUTED_VALUE"""),"-")</f>
        <v>-</v>
      </c>
      <c r="I2844" s="19">
        <f>IFERROR(__xludf.DUMMYFUNCTION("""COMPUTED_VALUE"""),0.0021)</f>
        <v>0.0021</v>
      </c>
      <c r="J2844" s="19">
        <f>IFERROR(__xludf.DUMMYFUNCTION("""COMPUTED_VALUE"""),0.04727)</f>
        <v>0.04727</v>
      </c>
      <c r="K2844" s="19" t="str">
        <f>IFERROR(__xludf.DUMMYFUNCTION("""COMPUTED_VALUE"""),"-")</f>
        <v>-</v>
      </c>
      <c r="L2844" s="19" t="str">
        <f>IFERROR(__xludf.DUMMYFUNCTION("""COMPUTED_VALUE"""),"-")</f>
        <v>-</v>
      </c>
      <c r="O2844" s="24">
        <f t="shared" si="4"/>
        <v>0</v>
      </c>
      <c r="P2844" s="24"/>
      <c r="Q2844" s="24">
        <f t="shared" si="6"/>
        <v>0</v>
      </c>
      <c r="R2844" s="24">
        <f t="shared" si="7"/>
        <v>0</v>
      </c>
      <c r="S2844" s="24"/>
      <c r="T2844" s="24"/>
    </row>
    <row r="2845">
      <c r="A2845" s="12" t="s">
        <v>2932</v>
      </c>
      <c r="F2845" s="19">
        <f>IFERROR(__xludf.DUMMYFUNCTION("SPLIT(A2841, "" |"")"),2839.0)</f>
        <v>2839</v>
      </c>
      <c r="G2845" s="19">
        <f>IFERROR(__xludf.DUMMYFUNCTION("""COMPUTED_VALUE"""),0.00219)</f>
        <v>0.00219</v>
      </c>
      <c r="H2845" s="19" t="str">
        <f>IFERROR(__xludf.DUMMYFUNCTION("""COMPUTED_VALUE"""),"-")</f>
        <v>-</v>
      </c>
      <c r="I2845" s="19">
        <f>IFERROR(__xludf.DUMMYFUNCTION("""COMPUTED_VALUE"""),0.00206)</f>
        <v>0.00206</v>
      </c>
      <c r="J2845" s="19">
        <f>IFERROR(__xludf.DUMMYFUNCTION("""COMPUTED_VALUE"""),0.04727)</f>
        <v>0.04727</v>
      </c>
      <c r="K2845" s="19" t="str">
        <f>IFERROR(__xludf.DUMMYFUNCTION("""COMPUTED_VALUE"""),"-")</f>
        <v>-</v>
      </c>
      <c r="L2845" s="19" t="str">
        <f>IFERROR(__xludf.DUMMYFUNCTION("""COMPUTED_VALUE"""),"-")</f>
        <v>-</v>
      </c>
      <c r="O2845" s="24">
        <f t="shared" si="4"/>
        <v>0</v>
      </c>
      <c r="P2845" s="24"/>
      <c r="Q2845" s="24">
        <f t="shared" si="6"/>
        <v>0</v>
      </c>
      <c r="R2845" s="24">
        <f t="shared" si="7"/>
        <v>0</v>
      </c>
      <c r="S2845" s="24"/>
      <c r="T2845" s="24"/>
    </row>
    <row r="2846">
      <c r="A2846" s="12" t="s">
        <v>2933</v>
      </c>
      <c r="F2846" s="19">
        <f>IFERROR(__xludf.DUMMYFUNCTION("SPLIT(A2842, "" |"")"),2840.0)</f>
        <v>2840</v>
      </c>
      <c r="G2846" s="19">
        <f>IFERROR(__xludf.DUMMYFUNCTION("""COMPUTED_VALUE"""),0.0022)</f>
        <v>0.0022</v>
      </c>
      <c r="H2846" s="19" t="str">
        <f>IFERROR(__xludf.DUMMYFUNCTION("""COMPUTED_VALUE"""),"-")</f>
        <v>-</v>
      </c>
      <c r="I2846" s="19">
        <f>IFERROR(__xludf.DUMMYFUNCTION("""COMPUTED_VALUE"""),0.00211)</f>
        <v>0.00211</v>
      </c>
      <c r="J2846" s="19">
        <f>IFERROR(__xludf.DUMMYFUNCTION("""COMPUTED_VALUE"""),0.0473)</f>
        <v>0.0473</v>
      </c>
      <c r="K2846" s="19" t="str">
        <f>IFERROR(__xludf.DUMMYFUNCTION("""COMPUTED_VALUE"""),"-")</f>
        <v>-</v>
      </c>
      <c r="L2846" s="19" t="str">
        <f>IFERROR(__xludf.DUMMYFUNCTION("""COMPUTED_VALUE"""),"-")</f>
        <v>-</v>
      </c>
      <c r="O2846" s="24">
        <f t="shared" si="4"/>
        <v>0</v>
      </c>
      <c r="P2846" s="24"/>
      <c r="Q2846" s="24">
        <f t="shared" si="6"/>
        <v>0</v>
      </c>
      <c r="R2846" s="24">
        <f t="shared" si="7"/>
        <v>0</v>
      </c>
      <c r="S2846" s="24"/>
      <c r="T2846" s="24"/>
    </row>
    <row r="2847">
      <c r="A2847" s="12" t="s">
        <v>2934</v>
      </c>
      <c r="F2847" s="19">
        <f>IFERROR(__xludf.DUMMYFUNCTION("SPLIT(A2843, "" |"")"),2841.0)</f>
        <v>2841</v>
      </c>
      <c r="G2847" s="19">
        <f>IFERROR(__xludf.DUMMYFUNCTION("""COMPUTED_VALUE"""),0.00219)</f>
        <v>0.00219</v>
      </c>
      <c r="H2847" s="19" t="str">
        <f>IFERROR(__xludf.DUMMYFUNCTION("""COMPUTED_VALUE"""),"-")</f>
        <v>-</v>
      </c>
      <c r="I2847" s="19">
        <f>IFERROR(__xludf.DUMMYFUNCTION("""COMPUTED_VALUE"""),0.00207)</f>
        <v>0.00207</v>
      </c>
      <c r="J2847" s="19">
        <f>IFERROR(__xludf.DUMMYFUNCTION("""COMPUTED_VALUE"""),0.04672)</f>
        <v>0.04672</v>
      </c>
      <c r="K2847" s="19" t="str">
        <f>IFERROR(__xludf.DUMMYFUNCTION("""COMPUTED_VALUE"""),"-")</f>
        <v>-</v>
      </c>
      <c r="L2847" s="19" t="str">
        <f>IFERROR(__xludf.DUMMYFUNCTION("""COMPUTED_VALUE"""),"-")</f>
        <v>-</v>
      </c>
      <c r="O2847" s="24">
        <f t="shared" si="4"/>
        <v>0</v>
      </c>
      <c r="P2847" s="24"/>
      <c r="Q2847" s="24">
        <f t="shared" si="6"/>
        <v>0</v>
      </c>
      <c r="R2847" s="24">
        <f t="shared" si="7"/>
        <v>0</v>
      </c>
      <c r="S2847" s="24"/>
      <c r="T2847" s="24"/>
    </row>
    <row r="2848">
      <c r="A2848" s="12" t="s">
        <v>2935</v>
      </c>
      <c r="F2848" s="19">
        <f>IFERROR(__xludf.DUMMYFUNCTION("SPLIT(A2844, "" |"")"),2842.0)</f>
        <v>2842</v>
      </c>
      <c r="G2848" s="19">
        <f>IFERROR(__xludf.DUMMYFUNCTION("""COMPUTED_VALUE"""),0.0022)</f>
        <v>0.0022</v>
      </c>
      <c r="H2848" s="19" t="str">
        <f>IFERROR(__xludf.DUMMYFUNCTION("""COMPUTED_VALUE"""),"-")</f>
        <v>-</v>
      </c>
      <c r="I2848" s="19">
        <f>IFERROR(__xludf.DUMMYFUNCTION("""COMPUTED_VALUE"""),0.00206)</f>
        <v>0.00206</v>
      </c>
      <c r="J2848" s="19">
        <f>IFERROR(__xludf.DUMMYFUNCTION("""COMPUTED_VALUE"""),0.04721)</f>
        <v>0.04721</v>
      </c>
      <c r="K2848" s="19" t="str">
        <f>IFERROR(__xludf.DUMMYFUNCTION("""COMPUTED_VALUE"""),"-")</f>
        <v>-</v>
      </c>
      <c r="L2848" s="19" t="str">
        <f>IFERROR(__xludf.DUMMYFUNCTION("""COMPUTED_VALUE"""),"-")</f>
        <v>-</v>
      </c>
      <c r="O2848" s="24">
        <f t="shared" si="4"/>
        <v>0</v>
      </c>
      <c r="P2848" s="24"/>
      <c r="Q2848" s="24">
        <f t="shared" si="6"/>
        <v>0</v>
      </c>
      <c r="R2848" s="24">
        <f t="shared" si="7"/>
        <v>0</v>
      </c>
      <c r="S2848" s="24"/>
      <c r="T2848" s="24"/>
    </row>
    <row r="2849">
      <c r="A2849" s="12" t="s">
        <v>2936</v>
      </c>
      <c r="F2849" s="19">
        <f>IFERROR(__xludf.DUMMYFUNCTION("SPLIT(A2845, "" |"")"),2843.0)</f>
        <v>2843</v>
      </c>
      <c r="G2849" s="19">
        <f>IFERROR(__xludf.DUMMYFUNCTION("""COMPUTED_VALUE"""),0.00219)</f>
        <v>0.00219</v>
      </c>
      <c r="H2849" s="19" t="str">
        <f>IFERROR(__xludf.DUMMYFUNCTION("""COMPUTED_VALUE"""),"-")</f>
        <v>-</v>
      </c>
      <c r="I2849" s="19">
        <f>IFERROR(__xludf.DUMMYFUNCTION("""COMPUTED_VALUE"""),0.00207)</f>
        <v>0.00207</v>
      </c>
      <c r="J2849" s="19">
        <f>IFERROR(__xludf.DUMMYFUNCTION("""COMPUTED_VALUE"""),0.04725)</f>
        <v>0.04725</v>
      </c>
      <c r="K2849" s="19" t="str">
        <f>IFERROR(__xludf.DUMMYFUNCTION("""COMPUTED_VALUE"""),"-")</f>
        <v>-</v>
      </c>
      <c r="L2849" s="19" t="str">
        <f>IFERROR(__xludf.DUMMYFUNCTION("""COMPUTED_VALUE"""),"-")</f>
        <v>-</v>
      </c>
      <c r="O2849" s="24">
        <f t="shared" si="4"/>
        <v>0</v>
      </c>
      <c r="P2849" s="24"/>
      <c r="Q2849" s="24">
        <f t="shared" si="6"/>
        <v>0</v>
      </c>
      <c r="R2849" s="24">
        <f t="shared" si="7"/>
        <v>0</v>
      </c>
      <c r="S2849" s="24"/>
      <c r="T2849" s="24"/>
    </row>
    <row r="2850">
      <c r="A2850" s="12" t="s">
        <v>2937</v>
      </c>
      <c r="F2850" s="19">
        <f>IFERROR(__xludf.DUMMYFUNCTION("SPLIT(A2846, "" |"")"),2844.0)</f>
        <v>2844</v>
      </c>
      <c r="G2850" s="19">
        <f>IFERROR(__xludf.DUMMYFUNCTION("""COMPUTED_VALUE"""),0.00218)</f>
        <v>0.00218</v>
      </c>
      <c r="H2850" s="19" t="str">
        <f>IFERROR(__xludf.DUMMYFUNCTION("""COMPUTED_VALUE"""),"-")</f>
        <v>-</v>
      </c>
      <c r="I2850" s="19">
        <f>IFERROR(__xludf.DUMMYFUNCTION("""COMPUTED_VALUE"""),0.00209)</f>
        <v>0.00209</v>
      </c>
      <c r="J2850" s="19">
        <f>IFERROR(__xludf.DUMMYFUNCTION("""COMPUTED_VALUE"""),0.04728)</f>
        <v>0.04728</v>
      </c>
      <c r="K2850" s="19" t="str">
        <f>IFERROR(__xludf.DUMMYFUNCTION("""COMPUTED_VALUE"""),"-")</f>
        <v>-</v>
      </c>
      <c r="L2850" s="19" t="str">
        <f>IFERROR(__xludf.DUMMYFUNCTION("""COMPUTED_VALUE"""),"-")</f>
        <v>-</v>
      </c>
      <c r="O2850" s="24">
        <f t="shared" si="4"/>
        <v>0</v>
      </c>
      <c r="P2850" s="24"/>
      <c r="Q2850" s="24">
        <f t="shared" si="6"/>
        <v>0</v>
      </c>
      <c r="R2850" s="24">
        <f t="shared" si="7"/>
        <v>0</v>
      </c>
      <c r="S2850" s="24"/>
      <c r="T2850" s="24"/>
    </row>
    <row r="2851">
      <c r="A2851" s="12" t="s">
        <v>2938</v>
      </c>
      <c r="F2851" s="19">
        <f>IFERROR(__xludf.DUMMYFUNCTION("SPLIT(A2847, "" |"")"),2845.0)</f>
        <v>2845</v>
      </c>
      <c r="G2851" s="19">
        <f>IFERROR(__xludf.DUMMYFUNCTION("""COMPUTED_VALUE"""),0.00221)</f>
        <v>0.00221</v>
      </c>
      <c r="H2851" s="19" t="str">
        <f>IFERROR(__xludf.DUMMYFUNCTION("""COMPUTED_VALUE"""),"-")</f>
        <v>-</v>
      </c>
      <c r="I2851" s="19">
        <f>IFERROR(__xludf.DUMMYFUNCTION("""COMPUTED_VALUE"""),0.00208)</f>
        <v>0.00208</v>
      </c>
      <c r="J2851" s="19">
        <f>IFERROR(__xludf.DUMMYFUNCTION("""COMPUTED_VALUE"""),0.04726)</f>
        <v>0.04726</v>
      </c>
      <c r="K2851" s="19" t="str">
        <f>IFERROR(__xludf.DUMMYFUNCTION("""COMPUTED_VALUE"""),"-")</f>
        <v>-</v>
      </c>
      <c r="L2851" s="19" t="str">
        <f>IFERROR(__xludf.DUMMYFUNCTION("""COMPUTED_VALUE"""),"-")</f>
        <v>-</v>
      </c>
      <c r="O2851" s="24">
        <f t="shared" si="4"/>
        <v>0</v>
      </c>
      <c r="P2851" s="24"/>
      <c r="Q2851" s="24">
        <f t="shared" si="6"/>
        <v>0</v>
      </c>
      <c r="R2851" s="24">
        <f t="shared" si="7"/>
        <v>0</v>
      </c>
      <c r="S2851" s="24"/>
      <c r="T2851" s="24"/>
    </row>
    <row r="2852">
      <c r="A2852" s="12" t="s">
        <v>2939</v>
      </c>
      <c r="F2852" s="19">
        <f>IFERROR(__xludf.DUMMYFUNCTION("SPLIT(A2848, "" |"")"),2846.0)</f>
        <v>2846</v>
      </c>
      <c r="G2852" s="19">
        <f>IFERROR(__xludf.DUMMYFUNCTION("""COMPUTED_VALUE"""),0.00226)</f>
        <v>0.00226</v>
      </c>
      <c r="H2852" s="19" t="str">
        <f>IFERROR(__xludf.DUMMYFUNCTION("""COMPUTED_VALUE"""),"-")</f>
        <v>-</v>
      </c>
      <c r="I2852" s="19">
        <f>IFERROR(__xludf.DUMMYFUNCTION("""COMPUTED_VALUE"""),0.0021)</f>
        <v>0.0021</v>
      </c>
      <c r="J2852" s="19">
        <f>IFERROR(__xludf.DUMMYFUNCTION("""COMPUTED_VALUE"""),0.04731)</f>
        <v>0.04731</v>
      </c>
      <c r="K2852" s="19" t="str">
        <f>IFERROR(__xludf.DUMMYFUNCTION("""COMPUTED_VALUE"""),"-")</f>
        <v>-</v>
      </c>
      <c r="L2852" s="19" t="str">
        <f>IFERROR(__xludf.DUMMYFUNCTION("""COMPUTED_VALUE"""),"-")</f>
        <v>-</v>
      </c>
      <c r="O2852" s="24">
        <f t="shared" si="4"/>
        <v>0</v>
      </c>
      <c r="P2852" s="24"/>
      <c r="Q2852" s="24">
        <f t="shared" si="6"/>
        <v>0</v>
      </c>
      <c r="R2852" s="24">
        <f t="shared" si="7"/>
        <v>0</v>
      </c>
      <c r="S2852" s="24"/>
      <c r="T2852" s="24"/>
    </row>
    <row r="2853">
      <c r="A2853" s="12" t="s">
        <v>2940</v>
      </c>
      <c r="F2853" s="19">
        <f>IFERROR(__xludf.DUMMYFUNCTION("SPLIT(A2849, "" |"")"),2847.0)</f>
        <v>2847</v>
      </c>
      <c r="G2853" s="19">
        <f>IFERROR(__xludf.DUMMYFUNCTION("""COMPUTED_VALUE"""),0.00221)</f>
        <v>0.00221</v>
      </c>
      <c r="H2853" s="19" t="str">
        <f>IFERROR(__xludf.DUMMYFUNCTION("""COMPUTED_VALUE"""),"-")</f>
        <v>-</v>
      </c>
      <c r="I2853" s="19">
        <f>IFERROR(__xludf.DUMMYFUNCTION("""COMPUTED_VALUE"""),0.00204)</f>
        <v>0.00204</v>
      </c>
      <c r="J2853" s="19">
        <f>IFERROR(__xludf.DUMMYFUNCTION("""COMPUTED_VALUE"""),0.04456)</f>
        <v>0.04456</v>
      </c>
      <c r="K2853" s="19" t="str">
        <f>IFERROR(__xludf.DUMMYFUNCTION("""COMPUTED_VALUE"""),"-")</f>
        <v>-</v>
      </c>
      <c r="L2853" s="19" t="str">
        <f>IFERROR(__xludf.DUMMYFUNCTION("""COMPUTED_VALUE"""),"-")</f>
        <v>-</v>
      </c>
      <c r="O2853" s="24">
        <f t="shared" si="4"/>
        <v>0</v>
      </c>
      <c r="P2853" s="24"/>
      <c r="Q2853" s="24">
        <f t="shared" si="6"/>
        <v>0</v>
      </c>
      <c r="R2853" s="24">
        <f t="shared" si="7"/>
        <v>1</v>
      </c>
      <c r="S2853" s="24"/>
      <c r="T2853" s="24"/>
    </row>
    <row r="2854">
      <c r="A2854" s="12" t="s">
        <v>2941</v>
      </c>
      <c r="F2854" s="19">
        <f>IFERROR(__xludf.DUMMYFUNCTION("SPLIT(A2850, "" |"")"),2848.0)</f>
        <v>2848</v>
      </c>
      <c r="G2854" s="19">
        <f>IFERROR(__xludf.DUMMYFUNCTION("""COMPUTED_VALUE"""),0.00224)</f>
        <v>0.00224</v>
      </c>
      <c r="H2854" s="19" t="str">
        <f>IFERROR(__xludf.DUMMYFUNCTION("""COMPUTED_VALUE"""),"-")</f>
        <v>-</v>
      </c>
      <c r="I2854" s="19">
        <f>IFERROR(__xludf.DUMMYFUNCTION("""COMPUTED_VALUE"""),0.00209)</f>
        <v>0.00209</v>
      </c>
      <c r="J2854" s="19">
        <f>IFERROR(__xludf.DUMMYFUNCTION("""COMPUTED_VALUE"""),0.04726)</f>
        <v>0.04726</v>
      </c>
      <c r="K2854" s="19" t="str">
        <f>IFERROR(__xludf.DUMMYFUNCTION("""COMPUTED_VALUE"""),"-")</f>
        <v>-</v>
      </c>
      <c r="L2854" s="19" t="str">
        <f>IFERROR(__xludf.DUMMYFUNCTION("""COMPUTED_VALUE"""),"-")</f>
        <v>-</v>
      </c>
      <c r="O2854" s="24">
        <f t="shared" si="4"/>
        <v>0</v>
      </c>
      <c r="P2854" s="24"/>
      <c r="Q2854" s="24">
        <f t="shared" si="6"/>
        <v>0</v>
      </c>
      <c r="R2854" s="24">
        <f t="shared" si="7"/>
        <v>0</v>
      </c>
      <c r="S2854" s="24"/>
      <c r="T2854" s="24"/>
    </row>
    <row r="2855">
      <c r="A2855" s="12" t="s">
        <v>2942</v>
      </c>
      <c r="F2855" s="19">
        <f>IFERROR(__xludf.DUMMYFUNCTION("SPLIT(A2851, "" |"")"),2849.0)</f>
        <v>2849</v>
      </c>
      <c r="G2855" s="19">
        <f>IFERROR(__xludf.DUMMYFUNCTION("""COMPUTED_VALUE"""),0.00231)</f>
        <v>0.00231</v>
      </c>
      <c r="H2855" s="19" t="str">
        <f>IFERROR(__xludf.DUMMYFUNCTION("""COMPUTED_VALUE"""),"-")</f>
        <v>-</v>
      </c>
      <c r="I2855" s="19">
        <f>IFERROR(__xludf.DUMMYFUNCTION("""COMPUTED_VALUE"""),0.00206)</f>
        <v>0.00206</v>
      </c>
      <c r="J2855" s="19">
        <f>IFERROR(__xludf.DUMMYFUNCTION("""COMPUTED_VALUE"""),0.04727)</f>
        <v>0.04727</v>
      </c>
      <c r="K2855" s="19" t="str">
        <f>IFERROR(__xludf.DUMMYFUNCTION("""COMPUTED_VALUE"""),"-")</f>
        <v>-</v>
      </c>
      <c r="L2855" s="19" t="str">
        <f>IFERROR(__xludf.DUMMYFUNCTION("""COMPUTED_VALUE"""),"-")</f>
        <v>-</v>
      </c>
      <c r="O2855" s="24">
        <f t="shared" si="4"/>
        <v>0</v>
      </c>
      <c r="P2855" s="24"/>
      <c r="Q2855" s="24">
        <f t="shared" si="6"/>
        <v>0</v>
      </c>
      <c r="R2855" s="24">
        <f t="shared" si="7"/>
        <v>0</v>
      </c>
      <c r="S2855" s="24"/>
      <c r="T2855" s="24"/>
    </row>
    <row r="2856">
      <c r="A2856" s="12" t="s">
        <v>2943</v>
      </c>
      <c r="F2856" s="19">
        <f>IFERROR(__xludf.DUMMYFUNCTION("SPLIT(A2852, "" |"")"),2850.0)</f>
        <v>2850</v>
      </c>
      <c r="G2856" s="19">
        <f>IFERROR(__xludf.DUMMYFUNCTION("""COMPUTED_VALUE"""),0.00218)</f>
        <v>0.00218</v>
      </c>
      <c r="H2856" s="19" t="str">
        <f>IFERROR(__xludf.DUMMYFUNCTION("""COMPUTED_VALUE"""),"-")</f>
        <v>-</v>
      </c>
      <c r="I2856" s="19">
        <f>IFERROR(__xludf.DUMMYFUNCTION("""COMPUTED_VALUE"""),0.00208)</f>
        <v>0.00208</v>
      </c>
      <c r="J2856" s="19">
        <f>IFERROR(__xludf.DUMMYFUNCTION("""COMPUTED_VALUE"""),0.04729)</f>
        <v>0.04729</v>
      </c>
      <c r="K2856" s="19" t="str">
        <f>IFERROR(__xludf.DUMMYFUNCTION("""COMPUTED_VALUE"""),"-")</f>
        <v>-</v>
      </c>
      <c r="L2856" s="19" t="str">
        <f>IFERROR(__xludf.DUMMYFUNCTION("""COMPUTED_VALUE"""),"-")</f>
        <v>-</v>
      </c>
      <c r="O2856" s="24">
        <f t="shared" si="4"/>
        <v>0</v>
      </c>
      <c r="P2856" s="24"/>
      <c r="Q2856" s="24">
        <f t="shared" si="6"/>
        <v>0</v>
      </c>
      <c r="R2856" s="24">
        <f t="shared" si="7"/>
        <v>0</v>
      </c>
      <c r="S2856" s="24"/>
      <c r="T2856" s="24"/>
    </row>
    <row r="2857">
      <c r="A2857" s="12" t="s">
        <v>2944</v>
      </c>
      <c r="F2857" s="19">
        <f>IFERROR(__xludf.DUMMYFUNCTION("SPLIT(A2853, "" |"")"),2851.0)</f>
        <v>2851</v>
      </c>
      <c r="G2857" s="19">
        <f>IFERROR(__xludf.DUMMYFUNCTION("""COMPUTED_VALUE"""),0.00222)</f>
        <v>0.00222</v>
      </c>
      <c r="H2857" s="19" t="str">
        <f>IFERROR(__xludf.DUMMYFUNCTION("""COMPUTED_VALUE"""),"-")</f>
        <v>-</v>
      </c>
      <c r="I2857" s="19">
        <f>IFERROR(__xludf.DUMMYFUNCTION("""COMPUTED_VALUE"""),0.00207)</f>
        <v>0.00207</v>
      </c>
      <c r="J2857" s="19">
        <f>IFERROR(__xludf.DUMMYFUNCTION("""COMPUTED_VALUE"""),0.04434)</f>
        <v>0.04434</v>
      </c>
      <c r="K2857" s="19" t="str">
        <f>IFERROR(__xludf.DUMMYFUNCTION("""COMPUTED_VALUE"""),"-")</f>
        <v>-</v>
      </c>
      <c r="L2857" s="19" t="str">
        <f>IFERROR(__xludf.DUMMYFUNCTION("""COMPUTED_VALUE"""),"-")</f>
        <v>-</v>
      </c>
      <c r="O2857" s="24">
        <f t="shared" si="4"/>
        <v>0</v>
      </c>
      <c r="P2857" s="24"/>
      <c r="Q2857" s="24">
        <f t="shared" si="6"/>
        <v>0</v>
      </c>
      <c r="R2857" s="24">
        <f t="shared" si="7"/>
        <v>1</v>
      </c>
      <c r="S2857" s="24"/>
      <c r="T2857" s="24"/>
    </row>
    <row r="2858">
      <c r="A2858" s="12" t="s">
        <v>2945</v>
      </c>
      <c r="F2858" s="19">
        <f>IFERROR(__xludf.DUMMYFUNCTION("SPLIT(A2854, "" |"")"),2852.0)</f>
        <v>2852</v>
      </c>
      <c r="G2858" s="19">
        <f>IFERROR(__xludf.DUMMYFUNCTION("""COMPUTED_VALUE"""),0.00221)</f>
        <v>0.00221</v>
      </c>
      <c r="H2858" s="19" t="str">
        <f>IFERROR(__xludf.DUMMYFUNCTION("""COMPUTED_VALUE"""),"-")</f>
        <v>-</v>
      </c>
      <c r="I2858" s="19">
        <f>IFERROR(__xludf.DUMMYFUNCTION("""COMPUTED_VALUE"""),0.00205)</f>
        <v>0.00205</v>
      </c>
      <c r="J2858" s="19">
        <f>IFERROR(__xludf.DUMMYFUNCTION("""COMPUTED_VALUE"""),0.04722)</f>
        <v>0.04722</v>
      </c>
      <c r="K2858" s="19" t="str">
        <f>IFERROR(__xludf.DUMMYFUNCTION("""COMPUTED_VALUE"""),"-")</f>
        <v>-</v>
      </c>
      <c r="L2858" s="19" t="str">
        <f>IFERROR(__xludf.DUMMYFUNCTION("""COMPUTED_VALUE"""),"-")</f>
        <v>-</v>
      </c>
      <c r="O2858" s="24">
        <f t="shared" si="4"/>
        <v>0</v>
      </c>
      <c r="P2858" s="24"/>
      <c r="Q2858" s="24">
        <f t="shared" si="6"/>
        <v>0</v>
      </c>
      <c r="R2858" s="24">
        <f t="shared" si="7"/>
        <v>0</v>
      </c>
      <c r="S2858" s="24"/>
      <c r="T2858" s="24"/>
    </row>
    <row r="2859">
      <c r="A2859" s="12" t="s">
        <v>2946</v>
      </c>
      <c r="F2859" s="19">
        <f>IFERROR(__xludf.DUMMYFUNCTION("SPLIT(A2855, "" |"")"),2853.0)</f>
        <v>2853</v>
      </c>
      <c r="G2859" s="19">
        <f>IFERROR(__xludf.DUMMYFUNCTION("""COMPUTED_VALUE"""),0.00215)</f>
        <v>0.00215</v>
      </c>
      <c r="H2859" s="19" t="str">
        <f>IFERROR(__xludf.DUMMYFUNCTION("""COMPUTED_VALUE"""),"-")</f>
        <v>-</v>
      </c>
      <c r="I2859" s="19">
        <f>IFERROR(__xludf.DUMMYFUNCTION("""COMPUTED_VALUE"""),0.00205)</f>
        <v>0.00205</v>
      </c>
      <c r="J2859" s="19">
        <f>IFERROR(__xludf.DUMMYFUNCTION("""COMPUTED_VALUE"""),0.04726)</f>
        <v>0.04726</v>
      </c>
      <c r="K2859" s="19" t="str">
        <f>IFERROR(__xludf.DUMMYFUNCTION("""COMPUTED_VALUE"""),"-")</f>
        <v>-</v>
      </c>
      <c r="L2859" s="19" t="str">
        <f>IFERROR(__xludf.DUMMYFUNCTION("""COMPUTED_VALUE"""),"-")</f>
        <v>-</v>
      </c>
      <c r="O2859" s="24">
        <f t="shared" si="4"/>
        <v>0</v>
      </c>
      <c r="P2859" s="24"/>
      <c r="Q2859" s="24">
        <f t="shared" si="6"/>
        <v>0</v>
      </c>
      <c r="R2859" s="24">
        <f t="shared" si="7"/>
        <v>0</v>
      </c>
      <c r="S2859" s="24"/>
      <c r="T2859" s="24"/>
    </row>
    <row r="2860">
      <c r="A2860" s="12" t="s">
        <v>2947</v>
      </c>
      <c r="F2860" s="19">
        <f>IFERROR(__xludf.DUMMYFUNCTION("SPLIT(A2856, "" |"")"),2854.0)</f>
        <v>2854</v>
      </c>
      <c r="G2860" s="19">
        <f>IFERROR(__xludf.DUMMYFUNCTION("""COMPUTED_VALUE"""),0.00217)</f>
        <v>0.00217</v>
      </c>
      <c r="H2860" s="19" t="str">
        <f>IFERROR(__xludf.DUMMYFUNCTION("""COMPUTED_VALUE"""),"-")</f>
        <v>-</v>
      </c>
      <c r="I2860" s="19">
        <f>IFERROR(__xludf.DUMMYFUNCTION("""COMPUTED_VALUE"""),0.00206)</f>
        <v>0.00206</v>
      </c>
      <c r="J2860" s="19">
        <f>IFERROR(__xludf.DUMMYFUNCTION("""COMPUTED_VALUE"""),0.04671)</f>
        <v>0.04671</v>
      </c>
      <c r="K2860" s="19" t="str">
        <f>IFERROR(__xludf.DUMMYFUNCTION("""COMPUTED_VALUE"""),"-")</f>
        <v>-</v>
      </c>
      <c r="L2860" s="19" t="str">
        <f>IFERROR(__xludf.DUMMYFUNCTION("""COMPUTED_VALUE"""),"-")</f>
        <v>-</v>
      </c>
      <c r="O2860" s="24">
        <f t="shared" si="4"/>
        <v>0</v>
      </c>
      <c r="P2860" s="24"/>
      <c r="Q2860" s="24">
        <f t="shared" si="6"/>
        <v>0</v>
      </c>
      <c r="R2860" s="24">
        <f t="shared" si="7"/>
        <v>0</v>
      </c>
      <c r="S2860" s="24"/>
      <c r="T2860" s="24"/>
    </row>
    <row r="2861">
      <c r="A2861" s="12" t="s">
        <v>2948</v>
      </c>
      <c r="F2861" s="19">
        <f>IFERROR(__xludf.DUMMYFUNCTION("SPLIT(A2857, "" |"")"),2855.0)</f>
        <v>2855</v>
      </c>
      <c r="G2861" s="19">
        <f>IFERROR(__xludf.DUMMYFUNCTION("""COMPUTED_VALUE"""),0.00231)</f>
        <v>0.00231</v>
      </c>
      <c r="H2861" s="19" t="str">
        <f>IFERROR(__xludf.DUMMYFUNCTION("""COMPUTED_VALUE"""),"-")</f>
        <v>-</v>
      </c>
      <c r="I2861" s="19">
        <f>IFERROR(__xludf.DUMMYFUNCTION("""COMPUTED_VALUE"""),0.00209)</f>
        <v>0.00209</v>
      </c>
      <c r="J2861" s="19">
        <f>IFERROR(__xludf.DUMMYFUNCTION("""COMPUTED_VALUE"""),0.04731)</f>
        <v>0.04731</v>
      </c>
      <c r="K2861" s="19" t="str">
        <f>IFERROR(__xludf.DUMMYFUNCTION("""COMPUTED_VALUE"""),"-")</f>
        <v>-</v>
      </c>
      <c r="L2861" s="19" t="str">
        <f>IFERROR(__xludf.DUMMYFUNCTION("""COMPUTED_VALUE"""),"-")</f>
        <v>-</v>
      </c>
      <c r="O2861" s="24">
        <f t="shared" si="4"/>
        <v>0</v>
      </c>
      <c r="P2861" s="24"/>
      <c r="Q2861" s="24">
        <f t="shared" si="6"/>
        <v>0</v>
      </c>
      <c r="R2861" s="24">
        <f t="shared" si="7"/>
        <v>0</v>
      </c>
      <c r="S2861" s="24"/>
      <c r="T2861" s="24"/>
    </row>
    <row r="2862">
      <c r="A2862" s="12" t="s">
        <v>2949</v>
      </c>
      <c r="F2862" s="19">
        <f>IFERROR(__xludf.DUMMYFUNCTION("SPLIT(A2858, "" |"")"),2856.0)</f>
        <v>2856</v>
      </c>
      <c r="G2862" s="19">
        <f>IFERROR(__xludf.DUMMYFUNCTION("""COMPUTED_VALUE"""),0.00224)</f>
        <v>0.00224</v>
      </c>
      <c r="H2862" s="19" t="str">
        <f>IFERROR(__xludf.DUMMYFUNCTION("""COMPUTED_VALUE"""),"-")</f>
        <v>-</v>
      </c>
      <c r="I2862" s="19">
        <f>IFERROR(__xludf.DUMMYFUNCTION("""COMPUTED_VALUE"""),0.00208)</f>
        <v>0.00208</v>
      </c>
      <c r="J2862" s="19">
        <f>IFERROR(__xludf.DUMMYFUNCTION("""COMPUTED_VALUE"""),0.04585)</f>
        <v>0.04585</v>
      </c>
      <c r="K2862" s="19" t="str">
        <f>IFERROR(__xludf.DUMMYFUNCTION("""COMPUTED_VALUE"""),"-")</f>
        <v>-</v>
      </c>
      <c r="L2862" s="19" t="str">
        <f>IFERROR(__xludf.DUMMYFUNCTION("""COMPUTED_VALUE"""),"-")</f>
        <v>-</v>
      </c>
      <c r="O2862" s="24">
        <f t="shared" si="4"/>
        <v>0</v>
      </c>
      <c r="P2862" s="24"/>
      <c r="Q2862" s="24">
        <f t="shared" si="6"/>
        <v>0</v>
      </c>
      <c r="R2862" s="24">
        <f t="shared" si="7"/>
        <v>0</v>
      </c>
      <c r="S2862" s="24"/>
      <c r="T2862" s="24"/>
    </row>
    <row r="2863">
      <c r="A2863" s="12" t="s">
        <v>2950</v>
      </c>
      <c r="F2863" s="19">
        <f>IFERROR(__xludf.DUMMYFUNCTION("SPLIT(A2859, "" |"")"),2857.0)</f>
        <v>2857</v>
      </c>
      <c r="G2863" s="19">
        <f>IFERROR(__xludf.DUMMYFUNCTION("""COMPUTED_VALUE"""),0.00228)</f>
        <v>0.00228</v>
      </c>
      <c r="H2863" s="19" t="str">
        <f>IFERROR(__xludf.DUMMYFUNCTION("""COMPUTED_VALUE"""),"-")</f>
        <v>-</v>
      </c>
      <c r="I2863" s="19">
        <f>IFERROR(__xludf.DUMMYFUNCTION("""COMPUTED_VALUE"""),0.00207)</f>
        <v>0.00207</v>
      </c>
      <c r="J2863" s="19">
        <f>IFERROR(__xludf.DUMMYFUNCTION("""COMPUTED_VALUE"""),0.04416)</f>
        <v>0.04416</v>
      </c>
      <c r="K2863" s="19" t="str">
        <f>IFERROR(__xludf.DUMMYFUNCTION("""COMPUTED_VALUE"""),"-")</f>
        <v>-</v>
      </c>
      <c r="L2863" s="19" t="str">
        <f>IFERROR(__xludf.DUMMYFUNCTION("""COMPUTED_VALUE"""),"-")</f>
        <v>-</v>
      </c>
      <c r="O2863" s="24">
        <f t="shared" si="4"/>
        <v>0</v>
      </c>
      <c r="P2863" s="24"/>
      <c r="Q2863" s="24">
        <f t="shared" si="6"/>
        <v>0</v>
      </c>
      <c r="R2863" s="24">
        <f t="shared" si="7"/>
        <v>1</v>
      </c>
      <c r="S2863" s="24"/>
      <c r="T2863" s="24"/>
    </row>
    <row r="2864">
      <c r="A2864" s="12" t="s">
        <v>2951</v>
      </c>
      <c r="F2864" s="19">
        <f>IFERROR(__xludf.DUMMYFUNCTION("SPLIT(A2860, "" |"")"),2858.0)</f>
        <v>2858</v>
      </c>
      <c r="G2864" s="19">
        <f>IFERROR(__xludf.DUMMYFUNCTION("""COMPUTED_VALUE"""),0.00224)</f>
        <v>0.00224</v>
      </c>
      <c r="H2864" s="19" t="str">
        <f>IFERROR(__xludf.DUMMYFUNCTION("""COMPUTED_VALUE"""),"-")</f>
        <v>-</v>
      </c>
      <c r="I2864" s="19">
        <f>IFERROR(__xludf.DUMMYFUNCTION("""COMPUTED_VALUE"""),0.00208)</f>
        <v>0.00208</v>
      </c>
      <c r="J2864" s="19">
        <f>IFERROR(__xludf.DUMMYFUNCTION("""COMPUTED_VALUE"""),0.04346)</f>
        <v>0.04346</v>
      </c>
      <c r="K2864" s="19" t="str">
        <f>IFERROR(__xludf.DUMMYFUNCTION("""COMPUTED_VALUE"""),"-")</f>
        <v>-</v>
      </c>
      <c r="L2864" s="19" t="str">
        <f>IFERROR(__xludf.DUMMYFUNCTION("""COMPUTED_VALUE"""),"-")</f>
        <v>-</v>
      </c>
      <c r="O2864" s="24">
        <f t="shared" si="4"/>
        <v>0</v>
      </c>
      <c r="P2864" s="24"/>
      <c r="Q2864" s="24">
        <f t="shared" si="6"/>
        <v>0</v>
      </c>
      <c r="R2864" s="24">
        <f t="shared" si="7"/>
        <v>1</v>
      </c>
      <c r="S2864" s="24"/>
      <c r="T2864" s="24"/>
    </row>
    <row r="2865">
      <c r="A2865" s="12" t="s">
        <v>2952</v>
      </c>
      <c r="F2865" s="19">
        <f>IFERROR(__xludf.DUMMYFUNCTION("SPLIT(A2861, "" |"")"),2859.0)</f>
        <v>2859</v>
      </c>
      <c r="G2865" s="19">
        <f>IFERROR(__xludf.DUMMYFUNCTION("""COMPUTED_VALUE"""),0.00219)</f>
        <v>0.00219</v>
      </c>
      <c r="H2865" s="19" t="str">
        <f>IFERROR(__xludf.DUMMYFUNCTION("""COMPUTED_VALUE"""),"-")</f>
        <v>-</v>
      </c>
      <c r="I2865" s="19">
        <f>IFERROR(__xludf.DUMMYFUNCTION("""COMPUTED_VALUE"""),0.00207)</f>
        <v>0.00207</v>
      </c>
      <c r="J2865" s="19">
        <f>IFERROR(__xludf.DUMMYFUNCTION("""COMPUTED_VALUE"""),0.04402)</f>
        <v>0.04402</v>
      </c>
      <c r="K2865" s="19" t="str">
        <f>IFERROR(__xludf.DUMMYFUNCTION("""COMPUTED_VALUE"""),"-")</f>
        <v>-</v>
      </c>
      <c r="L2865" s="19" t="str">
        <f>IFERROR(__xludf.DUMMYFUNCTION("""COMPUTED_VALUE"""),"-")</f>
        <v>-</v>
      </c>
      <c r="O2865" s="24">
        <f t="shared" si="4"/>
        <v>0</v>
      </c>
      <c r="P2865" s="24"/>
      <c r="Q2865" s="24">
        <f t="shared" si="6"/>
        <v>0</v>
      </c>
      <c r="R2865" s="24">
        <f t="shared" si="7"/>
        <v>1</v>
      </c>
      <c r="S2865" s="24"/>
      <c r="T2865" s="24"/>
    </row>
    <row r="2866">
      <c r="A2866" s="12" t="s">
        <v>2953</v>
      </c>
      <c r="F2866" s="19">
        <f>IFERROR(__xludf.DUMMYFUNCTION("SPLIT(A2862, "" |"")"),2860.0)</f>
        <v>2860</v>
      </c>
      <c r="G2866" s="19">
        <f>IFERROR(__xludf.DUMMYFUNCTION("""COMPUTED_VALUE"""),0.00222)</f>
        <v>0.00222</v>
      </c>
      <c r="H2866" s="19" t="str">
        <f>IFERROR(__xludf.DUMMYFUNCTION("""COMPUTED_VALUE"""),"-")</f>
        <v>-</v>
      </c>
      <c r="I2866" s="19">
        <f>IFERROR(__xludf.DUMMYFUNCTION("""COMPUTED_VALUE"""),0.0021)</f>
        <v>0.0021</v>
      </c>
      <c r="J2866" s="19">
        <f>IFERROR(__xludf.DUMMYFUNCTION("""COMPUTED_VALUE"""),0.04727)</f>
        <v>0.04727</v>
      </c>
      <c r="K2866" s="19" t="str">
        <f>IFERROR(__xludf.DUMMYFUNCTION("""COMPUTED_VALUE"""),"-")</f>
        <v>-</v>
      </c>
      <c r="L2866" s="19" t="str">
        <f>IFERROR(__xludf.DUMMYFUNCTION("""COMPUTED_VALUE"""),"-")</f>
        <v>-</v>
      </c>
      <c r="O2866" s="24">
        <f t="shared" si="4"/>
        <v>0</v>
      </c>
      <c r="P2866" s="24"/>
      <c r="Q2866" s="24">
        <f t="shared" si="6"/>
        <v>0</v>
      </c>
      <c r="R2866" s="24">
        <f t="shared" si="7"/>
        <v>0</v>
      </c>
      <c r="S2866" s="24"/>
      <c r="T2866" s="24"/>
    </row>
    <row r="2867">
      <c r="A2867" s="12" t="s">
        <v>2954</v>
      </c>
      <c r="F2867" s="19">
        <f>IFERROR(__xludf.DUMMYFUNCTION("SPLIT(A2863, "" |"")"),2861.0)</f>
        <v>2861</v>
      </c>
      <c r="G2867" s="19">
        <f>IFERROR(__xludf.DUMMYFUNCTION("""COMPUTED_VALUE"""),0.0022)</f>
        <v>0.0022</v>
      </c>
      <c r="H2867" s="19" t="str">
        <f>IFERROR(__xludf.DUMMYFUNCTION("""COMPUTED_VALUE"""),"-")</f>
        <v>-</v>
      </c>
      <c r="I2867" s="19">
        <f>IFERROR(__xludf.DUMMYFUNCTION("""COMPUTED_VALUE"""),0.00208)</f>
        <v>0.00208</v>
      </c>
      <c r="J2867" s="19">
        <f>IFERROR(__xludf.DUMMYFUNCTION("""COMPUTED_VALUE"""),0.04362)</f>
        <v>0.04362</v>
      </c>
      <c r="K2867" s="19" t="str">
        <f>IFERROR(__xludf.DUMMYFUNCTION("""COMPUTED_VALUE"""),"-")</f>
        <v>-</v>
      </c>
      <c r="L2867" s="19" t="str">
        <f>IFERROR(__xludf.DUMMYFUNCTION("""COMPUTED_VALUE"""),"-")</f>
        <v>-</v>
      </c>
      <c r="O2867" s="24">
        <f t="shared" si="4"/>
        <v>0</v>
      </c>
      <c r="P2867" s="24"/>
      <c r="Q2867" s="24">
        <f t="shared" si="6"/>
        <v>0</v>
      </c>
      <c r="R2867" s="24">
        <f t="shared" si="7"/>
        <v>1</v>
      </c>
      <c r="S2867" s="24"/>
      <c r="T2867" s="24"/>
    </row>
    <row r="2868">
      <c r="A2868" s="12" t="s">
        <v>2955</v>
      </c>
      <c r="F2868" s="19">
        <f>IFERROR(__xludf.DUMMYFUNCTION("SPLIT(A2864, "" |"")"),2862.0)</f>
        <v>2862</v>
      </c>
      <c r="G2868" s="19">
        <f>IFERROR(__xludf.DUMMYFUNCTION("""COMPUTED_VALUE"""),0.00222)</f>
        <v>0.00222</v>
      </c>
      <c r="H2868" s="19" t="str">
        <f>IFERROR(__xludf.DUMMYFUNCTION("""COMPUTED_VALUE"""),"-")</f>
        <v>-</v>
      </c>
      <c r="I2868" s="19">
        <f>IFERROR(__xludf.DUMMYFUNCTION("""COMPUTED_VALUE"""),0.00209)</f>
        <v>0.00209</v>
      </c>
      <c r="J2868" s="19">
        <f>IFERROR(__xludf.DUMMYFUNCTION("""COMPUTED_VALUE"""),0.04728)</f>
        <v>0.04728</v>
      </c>
      <c r="K2868" s="19" t="str">
        <f>IFERROR(__xludf.DUMMYFUNCTION("""COMPUTED_VALUE"""),"-")</f>
        <v>-</v>
      </c>
      <c r="L2868" s="19" t="str">
        <f>IFERROR(__xludf.DUMMYFUNCTION("""COMPUTED_VALUE"""),"-")</f>
        <v>-</v>
      </c>
      <c r="O2868" s="24">
        <f t="shared" si="4"/>
        <v>0</v>
      </c>
      <c r="P2868" s="24"/>
      <c r="Q2868" s="24">
        <f t="shared" si="6"/>
        <v>0</v>
      </c>
      <c r="R2868" s="24">
        <f t="shared" si="7"/>
        <v>0</v>
      </c>
      <c r="S2868" s="24"/>
      <c r="T2868" s="24"/>
    </row>
    <row r="2869">
      <c r="A2869" s="12" t="s">
        <v>2956</v>
      </c>
      <c r="F2869" s="19">
        <f>IFERROR(__xludf.DUMMYFUNCTION("SPLIT(A2865, "" |"")"),2863.0)</f>
        <v>2863</v>
      </c>
      <c r="G2869" s="19">
        <f>IFERROR(__xludf.DUMMYFUNCTION("""COMPUTED_VALUE"""),0.0022)</f>
        <v>0.0022</v>
      </c>
      <c r="H2869" s="19" t="str">
        <f>IFERROR(__xludf.DUMMYFUNCTION("""COMPUTED_VALUE"""),"-")</f>
        <v>-</v>
      </c>
      <c r="I2869" s="19">
        <f>IFERROR(__xludf.DUMMYFUNCTION("""COMPUTED_VALUE"""),0.00207)</f>
        <v>0.00207</v>
      </c>
      <c r="J2869" s="19">
        <f>IFERROR(__xludf.DUMMYFUNCTION("""COMPUTED_VALUE"""),0.04727)</f>
        <v>0.04727</v>
      </c>
      <c r="K2869" s="19" t="str">
        <f>IFERROR(__xludf.DUMMYFUNCTION("""COMPUTED_VALUE"""),"-")</f>
        <v>-</v>
      </c>
      <c r="L2869" s="19" t="str">
        <f>IFERROR(__xludf.DUMMYFUNCTION("""COMPUTED_VALUE"""),"-")</f>
        <v>-</v>
      </c>
      <c r="O2869" s="24">
        <f t="shared" si="4"/>
        <v>0</v>
      </c>
      <c r="P2869" s="24"/>
      <c r="Q2869" s="24">
        <f t="shared" si="6"/>
        <v>0</v>
      </c>
      <c r="R2869" s="24">
        <f t="shared" si="7"/>
        <v>0</v>
      </c>
      <c r="S2869" s="24"/>
      <c r="T2869" s="24"/>
    </row>
    <row r="2870">
      <c r="A2870" s="12" t="s">
        <v>2957</v>
      </c>
      <c r="F2870" s="19">
        <f>IFERROR(__xludf.DUMMYFUNCTION("SPLIT(A2866, "" |"")"),2864.0)</f>
        <v>2864</v>
      </c>
      <c r="G2870" s="19">
        <f>IFERROR(__xludf.DUMMYFUNCTION("""COMPUTED_VALUE"""),0.00227)</f>
        <v>0.00227</v>
      </c>
      <c r="H2870" s="19" t="str">
        <f>IFERROR(__xludf.DUMMYFUNCTION("""COMPUTED_VALUE"""),"-")</f>
        <v>-</v>
      </c>
      <c r="I2870" s="19">
        <f>IFERROR(__xludf.DUMMYFUNCTION("""COMPUTED_VALUE"""),0.00208)</f>
        <v>0.00208</v>
      </c>
      <c r="J2870" s="19">
        <f>IFERROR(__xludf.DUMMYFUNCTION("""COMPUTED_VALUE"""),0.04727)</f>
        <v>0.04727</v>
      </c>
      <c r="K2870" s="19" t="str">
        <f>IFERROR(__xludf.DUMMYFUNCTION("""COMPUTED_VALUE"""),"-")</f>
        <v>-</v>
      </c>
      <c r="L2870" s="19" t="str">
        <f>IFERROR(__xludf.DUMMYFUNCTION("""COMPUTED_VALUE"""),"-")</f>
        <v>-</v>
      </c>
      <c r="O2870" s="24">
        <f t="shared" si="4"/>
        <v>0</v>
      </c>
      <c r="P2870" s="24"/>
      <c r="Q2870" s="24">
        <f t="shared" si="6"/>
        <v>0</v>
      </c>
      <c r="R2870" s="24">
        <f t="shared" si="7"/>
        <v>0</v>
      </c>
      <c r="S2870" s="24"/>
      <c r="T2870" s="24"/>
    </row>
    <row r="2871">
      <c r="A2871" s="12" t="s">
        <v>2958</v>
      </c>
      <c r="F2871" s="19">
        <f>IFERROR(__xludf.DUMMYFUNCTION("SPLIT(A2867, "" |"")"),2865.0)</f>
        <v>2865</v>
      </c>
      <c r="G2871" s="19">
        <f>IFERROR(__xludf.DUMMYFUNCTION("""COMPUTED_VALUE"""),0.0022)</f>
        <v>0.0022</v>
      </c>
      <c r="H2871" s="19" t="str">
        <f>IFERROR(__xludf.DUMMYFUNCTION("""COMPUTED_VALUE"""),"-")</f>
        <v>-</v>
      </c>
      <c r="I2871" s="19">
        <f>IFERROR(__xludf.DUMMYFUNCTION("""COMPUTED_VALUE"""),0.00208)</f>
        <v>0.00208</v>
      </c>
      <c r="J2871" s="19">
        <f>IFERROR(__xludf.DUMMYFUNCTION("""COMPUTED_VALUE"""),0.04728)</f>
        <v>0.04728</v>
      </c>
      <c r="K2871" s="19" t="str">
        <f>IFERROR(__xludf.DUMMYFUNCTION("""COMPUTED_VALUE"""),"-")</f>
        <v>-</v>
      </c>
      <c r="L2871" s="19" t="str">
        <f>IFERROR(__xludf.DUMMYFUNCTION("""COMPUTED_VALUE"""),"-")</f>
        <v>-</v>
      </c>
      <c r="O2871" s="24">
        <f t="shared" si="4"/>
        <v>0</v>
      </c>
      <c r="P2871" s="24"/>
      <c r="Q2871" s="24">
        <f t="shared" si="6"/>
        <v>0</v>
      </c>
      <c r="R2871" s="24">
        <f t="shared" si="7"/>
        <v>0</v>
      </c>
      <c r="S2871" s="24"/>
      <c r="T2871" s="24"/>
    </row>
    <row r="2872">
      <c r="A2872" s="12" t="s">
        <v>2959</v>
      </c>
      <c r="F2872" s="19">
        <f>IFERROR(__xludf.DUMMYFUNCTION("SPLIT(A2868, "" |"")"),2866.0)</f>
        <v>2866</v>
      </c>
      <c r="G2872" s="19">
        <f>IFERROR(__xludf.DUMMYFUNCTION("""COMPUTED_VALUE"""),0.00218)</f>
        <v>0.00218</v>
      </c>
      <c r="H2872" s="19" t="str">
        <f>IFERROR(__xludf.DUMMYFUNCTION("""COMPUTED_VALUE"""),"-")</f>
        <v>-</v>
      </c>
      <c r="I2872" s="19">
        <f>IFERROR(__xludf.DUMMYFUNCTION("""COMPUTED_VALUE"""),0.00207)</f>
        <v>0.00207</v>
      </c>
      <c r="J2872" s="19">
        <f>IFERROR(__xludf.DUMMYFUNCTION("""COMPUTED_VALUE"""),0.04729)</f>
        <v>0.04729</v>
      </c>
      <c r="K2872" s="19" t="str">
        <f>IFERROR(__xludf.DUMMYFUNCTION("""COMPUTED_VALUE"""),"-")</f>
        <v>-</v>
      </c>
      <c r="L2872" s="19" t="str">
        <f>IFERROR(__xludf.DUMMYFUNCTION("""COMPUTED_VALUE"""),"-")</f>
        <v>-</v>
      </c>
      <c r="O2872" s="24">
        <f t="shared" si="4"/>
        <v>0</v>
      </c>
      <c r="P2872" s="24"/>
      <c r="Q2872" s="24">
        <f t="shared" si="6"/>
        <v>0</v>
      </c>
      <c r="R2872" s="24">
        <f t="shared" si="7"/>
        <v>0</v>
      </c>
      <c r="S2872" s="24"/>
      <c r="T2872" s="24"/>
    </row>
    <row r="2873">
      <c r="A2873" s="12" t="s">
        <v>2960</v>
      </c>
      <c r="F2873" s="19">
        <f>IFERROR(__xludf.DUMMYFUNCTION("SPLIT(A2869, "" |"")"),2867.0)</f>
        <v>2867</v>
      </c>
      <c r="G2873" s="19">
        <f>IFERROR(__xludf.DUMMYFUNCTION("""COMPUTED_VALUE"""),0.00224)</f>
        <v>0.00224</v>
      </c>
      <c r="H2873" s="19" t="str">
        <f>IFERROR(__xludf.DUMMYFUNCTION("""COMPUTED_VALUE"""),"-")</f>
        <v>-</v>
      </c>
      <c r="I2873" s="19">
        <f>IFERROR(__xludf.DUMMYFUNCTION("""COMPUTED_VALUE"""),0.00208)</f>
        <v>0.00208</v>
      </c>
      <c r="J2873" s="19">
        <f>IFERROR(__xludf.DUMMYFUNCTION("""COMPUTED_VALUE"""),0.04256)</f>
        <v>0.04256</v>
      </c>
      <c r="K2873" s="19" t="str">
        <f>IFERROR(__xludf.DUMMYFUNCTION("""COMPUTED_VALUE"""),"-")</f>
        <v>-</v>
      </c>
      <c r="L2873" s="19" t="str">
        <f>IFERROR(__xludf.DUMMYFUNCTION("""COMPUTED_VALUE"""),"-")</f>
        <v>-</v>
      </c>
      <c r="O2873" s="24">
        <f t="shared" si="4"/>
        <v>0</v>
      </c>
      <c r="P2873" s="24"/>
      <c r="Q2873" s="24">
        <f t="shared" si="6"/>
        <v>0</v>
      </c>
      <c r="R2873" s="24">
        <f t="shared" si="7"/>
        <v>1</v>
      </c>
      <c r="S2873" s="24"/>
      <c r="T2873" s="24"/>
    </row>
    <row r="2874">
      <c r="A2874" s="12" t="s">
        <v>2961</v>
      </c>
      <c r="F2874" s="19">
        <f>IFERROR(__xludf.DUMMYFUNCTION("SPLIT(A2870, "" |"")"),2868.0)</f>
        <v>2868</v>
      </c>
      <c r="G2874" s="19">
        <f>IFERROR(__xludf.DUMMYFUNCTION("""COMPUTED_VALUE"""),0.00218)</f>
        <v>0.00218</v>
      </c>
      <c r="H2874" s="19" t="str">
        <f>IFERROR(__xludf.DUMMYFUNCTION("""COMPUTED_VALUE"""),"-")</f>
        <v>-</v>
      </c>
      <c r="I2874" s="19">
        <f>IFERROR(__xludf.DUMMYFUNCTION("""COMPUTED_VALUE"""),0.00208)</f>
        <v>0.00208</v>
      </c>
      <c r="J2874" s="19">
        <f>IFERROR(__xludf.DUMMYFUNCTION("""COMPUTED_VALUE"""),0.04722)</f>
        <v>0.04722</v>
      </c>
      <c r="K2874" s="19" t="str">
        <f>IFERROR(__xludf.DUMMYFUNCTION("""COMPUTED_VALUE"""),"-")</f>
        <v>-</v>
      </c>
      <c r="L2874" s="19" t="str">
        <f>IFERROR(__xludf.DUMMYFUNCTION("""COMPUTED_VALUE"""),"-")</f>
        <v>-</v>
      </c>
      <c r="O2874" s="24">
        <f t="shared" si="4"/>
        <v>0</v>
      </c>
      <c r="P2874" s="24"/>
      <c r="Q2874" s="24">
        <f t="shared" si="6"/>
        <v>0</v>
      </c>
      <c r="R2874" s="24">
        <f t="shared" si="7"/>
        <v>0</v>
      </c>
      <c r="S2874" s="24"/>
      <c r="T2874" s="24"/>
    </row>
    <row r="2875">
      <c r="A2875" s="12" t="s">
        <v>2962</v>
      </c>
      <c r="F2875" s="19">
        <f>IFERROR(__xludf.DUMMYFUNCTION("SPLIT(A2871, "" |"")"),2869.0)</f>
        <v>2869</v>
      </c>
      <c r="G2875" s="19">
        <f>IFERROR(__xludf.DUMMYFUNCTION("""COMPUTED_VALUE"""),0.00227)</f>
        <v>0.00227</v>
      </c>
      <c r="H2875" s="19" t="str">
        <f>IFERROR(__xludf.DUMMYFUNCTION("""COMPUTED_VALUE"""),"-")</f>
        <v>-</v>
      </c>
      <c r="I2875" s="19">
        <f>IFERROR(__xludf.DUMMYFUNCTION("""COMPUTED_VALUE"""),0.00208)</f>
        <v>0.00208</v>
      </c>
      <c r="J2875" s="19">
        <f>IFERROR(__xludf.DUMMYFUNCTION("""COMPUTED_VALUE"""),0.04728)</f>
        <v>0.04728</v>
      </c>
      <c r="K2875" s="19" t="str">
        <f>IFERROR(__xludf.DUMMYFUNCTION("""COMPUTED_VALUE"""),"-")</f>
        <v>-</v>
      </c>
      <c r="L2875" s="19" t="str">
        <f>IFERROR(__xludf.DUMMYFUNCTION("""COMPUTED_VALUE"""),"-")</f>
        <v>-</v>
      </c>
      <c r="O2875" s="24">
        <f t="shared" si="4"/>
        <v>0</v>
      </c>
      <c r="P2875" s="24"/>
      <c r="Q2875" s="24">
        <f t="shared" si="6"/>
        <v>0</v>
      </c>
      <c r="R2875" s="24">
        <f t="shared" si="7"/>
        <v>0</v>
      </c>
      <c r="S2875" s="24"/>
      <c r="T2875" s="24"/>
    </row>
    <row r="2876">
      <c r="A2876" s="12" t="s">
        <v>2963</v>
      </c>
      <c r="F2876" s="19">
        <f>IFERROR(__xludf.DUMMYFUNCTION("SPLIT(A2872, "" |"")"),2870.0)</f>
        <v>2870</v>
      </c>
      <c r="G2876" s="19">
        <f>IFERROR(__xludf.DUMMYFUNCTION("""COMPUTED_VALUE"""),0.00218)</f>
        <v>0.00218</v>
      </c>
      <c r="H2876" s="19" t="str">
        <f>IFERROR(__xludf.DUMMYFUNCTION("""COMPUTED_VALUE"""),"-")</f>
        <v>-</v>
      </c>
      <c r="I2876" s="19">
        <f>IFERROR(__xludf.DUMMYFUNCTION("""COMPUTED_VALUE"""),0.00208)</f>
        <v>0.00208</v>
      </c>
      <c r="J2876" s="19">
        <f>IFERROR(__xludf.DUMMYFUNCTION("""COMPUTED_VALUE"""),0.03993)</f>
        <v>0.03993</v>
      </c>
      <c r="K2876" s="19" t="str">
        <f>IFERROR(__xludf.DUMMYFUNCTION("""COMPUTED_VALUE"""),"-")</f>
        <v>-</v>
      </c>
      <c r="L2876" s="19" t="str">
        <f>IFERROR(__xludf.DUMMYFUNCTION("""COMPUTED_VALUE"""),"-")</f>
        <v>-</v>
      </c>
      <c r="O2876" s="24">
        <f t="shared" si="4"/>
        <v>0</v>
      </c>
      <c r="P2876" s="24"/>
      <c r="Q2876" s="24">
        <f t="shared" si="6"/>
        <v>0</v>
      </c>
      <c r="R2876" s="24">
        <f t="shared" si="7"/>
        <v>1</v>
      </c>
      <c r="S2876" s="24"/>
      <c r="T2876" s="24"/>
    </row>
    <row r="2877">
      <c r="A2877" s="12" t="s">
        <v>2964</v>
      </c>
      <c r="F2877" s="19">
        <f>IFERROR(__xludf.DUMMYFUNCTION("SPLIT(A2873, "" |"")"),2871.0)</f>
        <v>2871</v>
      </c>
      <c r="G2877" s="19">
        <f>IFERROR(__xludf.DUMMYFUNCTION("""COMPUTED_VALUE"""),0.00223)</f>
        <v>0.00223</v>
      </c>
      <c r="H2877" s="19" t="str">
        <f>IFERROR(__xludf.DUMMYFUNCTION("""COMPUTED_VALUE"""),"-")</f>
        <v>-</v>
      </c>
      <c r="I2877" s="19">
        <f>IFERROR(__xludf.DUMMYFUNCTION("""COMPUTED_VALUE"""),0.00209)</f>
        <v>0.00209</v>
      </c>
      <c r="J2877" s="19">
        <f>IFERROR(__xludf.DUMMYFUNCTION("""COMPUTED_VALUE"""),0.04729)</f>
        <v>0.04729</v>
      </c>
      <c r="K2877" s="19" t="str">
        <f>IFERROR(__xludf.DUMMYFUNCTION("""COMPUTED_VALUE"""),"-")</f>
        <v>-</v>
      </c>
      <c r="L2877" s="19" t="str">
        <f>IFERROR(__xludf.DUMMYFUNCTION("""COMPUTED_VALUE"""),"-")</f>
        <v>-</v>
      </c>
      <c r="O2877" s="24">
        <f t="shared" si="4"/>
        <v>0</v>
      </c>
      <c r="P2877" s="24"/>
      <c r="Q2877" s="24">
        <f t="shared" si="6"/>
        <v>0</v>
      </c>
      <c r="R2877" s="24">
        <f t="shared" si="7"/>
        <v>0</v>
      </c>
      <c r="S2877" s="24"/>
      <c r="T2877" s="24"/>
    </row>
    <row r="2878">
      <c r="A2878" s="12" t="s">
        <v>2965</v>
      </c>
      <c r="F2878" s="19">
        <f>IFERROR(__xludf.DUMMYFUNCTION("SPLIT(A2874, "" |"")"),2872.0)</f>
        <v>2872</v>
      </c>
      <c r="G2878" s="19">
        <f>IFERROR(__xludf.DUMMYFUNCTION("""COMPUTED_VALUE"""),0.00222)</f>
        <v>0.00222</v>
      </c>
      <c r="H2878" s="19" t="str">
        <f>IFERROR(__xludf.DUMMYFUNCTION("""COMPUTED_VALUE"""),"-")</f>
        <v>-</v>
      </c>
      <c r="I2878" s="19">
        <f>IFERROR(__xludf.DUMMYFUNCTION("""COMPUTED_VALUE"""),0.00207)</f>
        <v>0.00207</v>
      </c>
      <c r="J2878" s="19">
        <f>IFERROR(__xludf.DUMMYFUNCTION("""COMPUTED_VALUE"""),0.04652)</f>
        <v>0.04652</v>
      </c>
      <c r="K2878" s="19" t="str">
        <f>IFERROR(__xludf.DUMMYFUNCTION("""COMPUTED_VALUE"""),"-")</f>
        <v>-</v>
      </c>
      <c r="L2878" s="19" t="str">
        <f>IFERROR(__xludf.DUMMYFUNCTION("""COMPUTED_VALUE"""),"-")</f>
        <v>-</v>
      </c>
      <c r="O2878" s="24">
        <f t="shared" si="4"/>
        <v>0</v>
      </c>
      <c r="P2878" s="24"/>
      <c r="Q2878" s="24">
        <f t="shared" si="6"/>
        <v>0</v>
      </c>
      <c r="R2878" s="24">
        <f t="shared" si="7"/>
        <v>0</v>
      </c>
      <c r="S2878" s="24"/>
      <c r="T2878" s="24"/>
    </row>
    <row r="2879">
      <c r="A2879" s="12" t="s">
        <v>2966</v>
      </c>
      <c r="F2879" s="19">
        <f>IFERROR(__xludf.DUMMYFUNCTION("SPLIT(A2875, "" |"")"),2873.0)</f>
        <v>2873</v>
      </c>
      <c r="G2879" s="19">
        <f>IFERROR(__xludf.DUMMYFUNCTION("""COMPUTED_VALUE"""),0.00221)</f>
        <v>0.00221</v>
      </c>
      <c r="H2879" s="19" t="str">
        <f>IFERROR(__xludf.DUMMYFUNCTION("""COMPUTED_VALUE"""),"-")</f>
        <v>-</v>
      </c>
      <c r="I2879" s="19">
        <f>IFERROR(__xludf.DUMMYFUNCTION("""COMPUTED_VALUE"""),0.00208)</f>
        <v>0.00208</v>
      </c>
      <c r="J2879" s="19">
        <f>IFERROR(__xludf.DUMMYFUNCTION("""COMPUTED_VALUE"""),0.0472)</f>
        <v>0.0472</v>
      </c>
      <c r="K2879" s="19" t="str">
        <f>IFERROR(__xludf.DUMMYFUNCTION("""COMPUTED_VALUE"""),"-")</f>
        <v>-</v>
      </c>
      <c r="L2879" s="19" t="str">
        <f>IFERROR(__xludf.DUMMYFUNCTION("""COMPUTED_VALUE"""),"-")</f>
        <v>-</v>
      </c>
      <c r="O2879" s="24">
        <f t="shared" si="4"/>
        <v>0</v>
      </c>
      <c r="P2879" s="24"/>
      <c r="Q2879" s="24">
        <f t="shared" si="6"/>
        <v>0</v>
      </c>
      <c r="R2879" s="24">
        <f t="shared" si="7"/>
        <v>0</v>
      </c>
      <c r="S2879" s="24"/>
      <c r="T2879" s="24"/>
    </row>
    <row r="2880">
      <c r="A2880" s="12" t="s">
        <v>2967</v>
      </c>
      <c r="F2880" s="19">
        <f>IFERROR(__xludf.DUMMYFUNCTION("SPLIT(A2876, "" |"")"),2874.0)</f>
        <v>2874</v>
      </c>
      <c r="G2880" s="19">
        <f>IFERROR(__xludf.DUMMYFUNCTION("""COMPUTED_VALUE"""),0.00224)</f>
        <v>0.00224</v>
      </c>
      <c r="H2880" s="19" t="str">
        <f>IFERROR(__xludf.DUMMYFUNCTION("""COMPUTED_VALUE"""),"-")</f>
        <v>-</v>
      </c>
      <c r="I2880" s="19">
        <f>IFERROR(__xludf.DUMMYFUNCTION("""COMPUTED_VALUE"""),0.00209)</f>
        <v>0.00209</v>
      </c>
      <c r="J2880" s="19">
        <f>IFERROR(__xludf.DUMMYFUNCTION("""COMPUTED_VALUE"""),0.04725)</f>
        <v>0.04725</v>
      </c>
      <c r="K2880" s="19" t="str">
        <f>IFERROR(__xludf.DUMMYFUNCTION("""COMPUTED_VALUE"""),"-")</f>
        <v>-</v>
      </c>
      <c r="L2880" s="19" t="str">
        <f>IFERROR(__xludf.DUMMYFUNCTION("""COMPUTED_VALUE"""),"-")</f>
        <v>-</v>
      </c>
      <c r="O2880" s="24">
        <f t="shared" si="4"/>
        <v>0</v>
      </c>
      <c r="P2880" s="24"/>
      <c r="Q2880" s="24">
        <f t="shared" si="6"/>
        <v>0</v>
      </c>
      <c r="R2880" s="24">
        <f t="shared" si="7"/>
        <v>0</v>
      </c>
      <c r="S2880" s="24"/>
      <c r="T2880" s="24"/>
    </row>
    <row r="2881">
      <c r="A2881" s="12" t="s">
        <v>2968</v>
      </c>
      <c r="F2881" s="19">
        <f>IFERROR(__xludf.DUMMYFUNCTION("SPLIT(A2877, "" |"")"),2875.0)</f>
        <v>2875</v>
      </c>
      <c r="G2881" s="19">
        <f>IFERROR(__xludf.DUMMYFUNCTION("""COMPUTED_VALUE"""),0.00236)</f>
        <v>0.00236</v>
      </c>
      <c r="H2881" s="19" t="str">
        <f>IFERROR(__xludf.DUMMYFUNCTION("""COMPUTED_VALUE"""),"-")</f>
        <v>-</v>
      </c>
      <c r="I2881" s="19">
        <f>IFERROR(__xludf.DUMMYFUNCTION("""COMPUTED_VALUE"""),0.0023)</f>
        <v>0.0023</v>
      </c>
      <c r="J2881" s="19">
        <f>IFERROR(__xludf.DUMMYFUNCTION("""COMPUTED_VALUE"""),0.04738)</f>
        <v>0.04738</v>
      </c>
      <c r="K2881" s="19" t="str">
        <f>IFERROR(__xludf.DUMMYFUNCTION("""COMPUTED_VALUE"""),"-")</f>
        <v>-</v>
      </c>
      <c r="L2881" s="19" t="str">
        <f>IFERROR(__xludf.DUMMYFUNCTION("""COMPUTED_VALUE"""),"-")</f>
        <v>-</v>
      </c>
      <c r="O2881" s="24">
        <f t="shared" si="4"/>
        <v>0</v>
      </c>
      <c r="P2881" s="24"/>
      <c r="Q2881" s="24">
        <f t="shared" si="6"/>
        <v>0</v>
      </c>
      <c r="R2881" s="24">
        <f t="shared" si="7"/>
        <v>0</v>
      </c>
      <c r="S2881" s="24"/>
      <c r="T2881" s="24"/>
    </row>
    <row r="2882">
      <c r="A2882" s="12" t="s">
        <v>2969</v>
      </c>
      <c r="F2882" s="19">
        <f>IFERROR(__xludf.DUMMYFUNCTION("SPLIT(A2878, "" |"")"),2876.0)</f>
        <v>2876</v>
      </c>
      <c r="G2882" s="19">
        <f>IFERROR(__xludf.DUMMYFUNCTION("""COMPUTED_VALUE"""),0.00228)</f>
        <v>0.00228</v>
      </c>
      <c r="H2882" s="19" t="str">
        <f>IFERROR(__xludf.DUMMYFUNCTION("""COMPUTED_VALUE"""),"-")</f>
        <v>-</v>
      </c>
      <c r="I2882" s="19">
        <f>IFERROR(__xludf.DUMMYFUNCTION("""COMPUTED_VALUE"""),0.00214)</f>
        <v>0.00214</v>
      </c>
      <c r="J2882" s="19">
        <f>IFERROR(__xludf.DUMMYFUNCTION("""COMPUTED_VALUE"""),0.04731)</f>
        <v>0.04731</v>
      </c>
      <c r="K2882" s="19" t="str">
        <f>IFERROR(__xludf.DUMMYFUNCTION("""COMPUTED_VALUE"""),"-")</f>
        <v>-</v>
      </c>
      <c r="L2882" s="19" t="str">
        <f>IFERROR(__xludf.DUMMYFUNCTION("""COMPUTED_VALUE"""),"-")</f>
        <v>-</v>
      </c>
      <c r="O2882" s="24">
        <f t="shared" si="4"/>
        <v>0</v>
      </c>
      <c r="P2882" s="24"/>
      <c r="Q2882" s="24">
        <f t="shared" si="6"/>
        <v>0</v>
      </c>
      <c r="R2882" s="24">
        <f t="shared" si="7"/>
        <v>0</v>
      </c>
      <c r="S2882" s="24"/>
      <c r="T2882" s="24"/>
    </row>
    <row r="2883">
      <c r="A2883" s="12" t="s">
        <v>2970</v>
      </c>
      <c r="F2883" s="19">
        <f>IFERROR(__xludf.DUMMYFUNCTION("SPLIT(A2879, "" |"")"),2877.0)</f>
        <v>2877</v>
      </c>
      <c r="G2883" s="19">
        <f>IFERROR(__xludf.DUMMYFUNCTION("""COMPUTED_VALUE"""),0.00222)</f>
        <v>0.00222</v>
      </c>
      <c r="H2883" s="19" t="str">
        <f>IFERROR(__xludf.DUMMYFUNCTION("""COMPUTED_VALUE"""),"-")</f>
        <v>-</v>
      </c>
      <c r="I2883" s="19">
        <f>IFERROR(__xludf.DUMMYFUNCTION("""COMPUTED_VALUE"""),0.00209)</f>
        <v>0.00209</v>
      </c>
      <c r="J2883" s="19">
        <f>IFERROR(__xludf.DUMMYFUNCTION("""COMPUTED_VALUE"""),0.04726)</f>
        <v>0.04726</v>
      </c>
      <c r="K2883" s="19" t="str">
        <f>IFERROR(__xludf.DUMMYFUNCTION("""COMPUTED_VALUE"""),"-")</f>
        <v>-</v>
      </c>
      <c r="L2883" s="19" t="str">
        <f>IFERROR(__xludf.DUMMYFUNCTION("""COMPUTED_VALUE"""),"-")</f>
        <v>-</v>
      </c>
      <c r="O2883" s="24">
        <f t="shared" si="4"/>
        <v>0</v>
      </c>
      <c r="P2883" s="24"/>
      <c r="Q2883" s="24">
        <f t="shared" si="6"/>
        <v>0</v>
      </c>
      <c r="R2883" s="24">
        <f t="shared" si="7"/>
        <v>0</v>
      </c>
      <c r="S2883" s="24"/>
      <c r="T2883" s="24"/>
    </row>
    <row r="2884">
      <c r="A2884" s="12" t="s">
        <v>2971</v>
      </c>
      <c r="F2884" s="19">
        <f>IFERROR(__xludf.DUMMYFUNCTION("SPLIT(A2880, "" |"")"),2878.0)</f>
        <v>2878</v>
      </c>
      <c r="G2884" s="19">
        <f>IFERROR(__xludf.DUMMYFUNCTION("""COMPUTED_VALUE"""),0.00222)</f>
        <v>0.00222</v>
      </c>
      <c r="H2884" s="19" t="str">
        <f>IFERROR(__xludf.DUMMYFUNCTION("""COMPUTED_VALUE"""),"-")</f>
        <v>-</v>
      </c>
      <c r="I2884" s="19">
        <f>IFERROR(__xludf.DUMMYFUNCTION("""COMPUTED_VALUE"""),0.00208)</f>
        <v>0.00208</v>
      </c>
      <c r="J2884" s="19">
        <f>IFERROR(__xludf.DUMMYFUNCTION("""COMPUTED_VALUE"""),0.04347)</f>
        <v>0.04347</v>
      </c>
      <c r="K2884" s="19" t="str">
        <f>IFERROR(__xludf.DUMMYFUNCTION("""COMPUTED_VALUE"""),"-")</f>
        <v>-</v>
      </c>
      <c r="L2884" s="19" t="str">
        <f>IFERROR(__xludf.DUMMYFUNCTION("""COMPUTED_VALUE"""),"-")</f>
        <v>-</v>
      </c>
      <c r="O2884" s="24">
        <f t="shared" si="4"/>
        <v>0</v>
      </c>
      <c r="P2884" s="24"/>
      <c r="Q2884" s="24">
        <f t="shared" si="6"/>
        <v>0</v>
      </c>
      <c r="R2884" s="24">
        <f t="shared" si="7"/>
        <v>1</v>
      </c>
      <c r="S2884" s="24"/>
      <c r="T2884" s="24"/>
    </row>
    <row r="2885">
      <c r="A2885" s="12" t="s">
        <v>2972</v>
      </c>
      <c r="F2885" s="19">
        <f>IFERROR(__xludf.DUMMYFUNCTION("SPLIT(A2881, "" |"")"),2879.0)</f>
        <v>2879</v>
      </c>
      <c r="G2885" s="19">
        <f>IFERROR(__xludf.DUMMYFUNCTION("""COMPUTED_VALUE"""),0.00219)</f>
        <v>0.00219</v>
      </c>
      <c r="H2885" s="19" t="str">
        <f>IFERROR(__xludf.DUMMYFUNCTION("""COMPUTED_VALUE"""),"-")</f>
        <v>-</v>
      </c>
      <c r="I2885" s="19">
        <f>IFERROR(__xludf.DUMMYFUNCTION("""COMPUTED_VALUE"""),0.00207)</f>
        <v>0.00207</v>
      </c>
      <c r="J2885" s="19">
        <f>IFERROR(__xludf.DUMMYFUNCTION("""COMPUTED_VALUE"""),0.04727)</f>
        <v>0.04727</v>
      </c>
      <c r="K2885" s="19" t="str">
        <f>IFERROR(__xludf.DUMMYFUNCTION("""COMPUTED_VALUE"""),"-")</f>
        <v>-</v>
      </c>
      <c r="L2885" s="19" t="str">
        <f>IFERROR(__xludf.DUMMYFUNCTION("""COMPUTED_VALUE"""),"-")</f>
        <v>-</v>
      </c>
      <c r="O2885" s="24">
        <f t="shared" si="4"/>
        <v>0</v>
      </c>
      <c r="P2885" s="24"/>
      <c r="Q2885" s="24">
        <f t="shared" si="6"/>
        <v>0</v>
      </c>
      <c r="R2885" s="24">
        <f t="shared" si="7"/>
        <v>0</v>
      </c>
      <c r="S2885" s="24"/>
      <c r="T2885" s="24"/>
    </row>
    <row r="2886">
      <c r="A2886" s="12" t="s">
        <v>2973</v>
      </c>
      <c r="F2886" s="19">
        <f>IFERROR(__xludf.DUMMYFUNCTION("SPLIT(A2882, "" |"")"),2880.0)</f>
        <v>2880</v>
      </c>
      <c r="G2886" s="19">
        <f>IFERROR(__xludf.DUMMYFUNCTION("""COMPUTED_VALUE"""),0.0022)</f>
        <v>0.0022</v>
      </c>
      <c r="H2886" s="19" t="str">
        <f>IFERROR(__xludf.DUMMYFUNCTION("""COMPUTED_VALUE"""),"-")</f>
        <v>-</v>
      </c>
      <c r="I2886" s="19">
        <f>IFERROR(__xludf.DUMMYFUNCTION("""COMPUTED_VALUE"""),0.00207)</f>
        <v>0.00207</v>
      </c>
      <c r="J2886" s="19">
        <f>IFERROR(__xludf.DUMMYFUNCTION("""COMPUTED_VALUE"""),0.04413)</f>
        <v>0.04413</v>
      </c>
      <c r="K2886" s="19" t="str">
        <f>IFERROR(__xludf.DUMMYFUNCTION("""COMPUTED_VALUE"""),"-")</f>
        <v>-</v>
      </c>
      <c r="L2886" s="19" t="str">
        <f>IFERROR(__xludf.DUMMYFUNCTION("""COMPUTED_VALUE"""),"-")</f>
        <v>-</v>
      </c>
      <c r="O2886" s="24">
        <f t="shared" si="4"/>
        <v>0</v>
      </c>
      <c r="P2886" s="24"/>
      <c r="Q2886" s="24">
        <f t="shared" si="6"/>
        <v>0</v>
      </c>
      <c r="R2886" s="24">
        <f t="shared" si="7"/>
        <v>1</v>
      </c>
      <c r="S2886" s="24"/>
      <c r="T2886" s="24"/>
    </row>
    <row r="2887">
      <c r="A2887" s="12" t="s">
        <v>2974</v>
      </c>
      <c r="F2887" s="19">
        <f>IFERROR(__xludf.DUMMYFUNCTION("SPLIT(A2883, "" |"")"),2881.0)</f>
        <v>2881</v>
      </c>
      <c r="G2887" s="19">
        <f>IFERROR(__xludf.DUMMYFUNCTION("""COMPUTED_VALUE"""),0.00219)</f>
        <v>0.00219</v>
      </c>
      <c r="H2887" s="19" t="str">
        <f>IFERROR(__xludf.DUMMYFUNCTION("""COMPUTED_VALUE"""),"-")</f>
        <v>-</v>
      </c>
      <c r="I2887" s="19">
        <f>IFERROR(__xludf.DUMMYFUNCTION("""COMPUTED_VALUE"""),0.00207)</f>
        <v>0.00207</v>
      </c>
      <c r="J2887" s="19">
        <f>IFERROR(__xludf.DUMMYFUNCTION("""COMPUTED_VALUE"""),0.04728)</f>
        <v>0.04728</v>
      </c>
      <c r="K2887" s="19" t="str">
        <f>IFERROR(__xludf.DUMMYFUNCTION("""COMPUTED_VALUE"""),"-")</f>
        <v>-</v>
      </c>
      <c r="L2887" s="19" t="str">
        <f>IFERROR(__xludf.DUMMYFUNCTION("""COMPUTED_VALUE"""),"-")</f>
        <v>-</v>
      </c>
      <c r="O2887" s="24">
        <f t="shared" si="4"/>
        <v>0</v>
      </c>
      <c r="P2887" s="24"/>
      <c r="Q2887" s="24">
        <f t="shared" si="6"/>
        <v>0</v>
      </c>
      <c r="R2887" s="24">
        <f t="shared" si="7"/>
        <v>0</v>
      </c>
      <c r="S2887" s="24"/>
      <c r="T2887" s="24"/>
    </row>
    <row r="2888">
      <c r="A2888" s="12" t="s">
        <v>2975</v>
      </c>
      <c r="F2888" s="19">
        <f>IFERROR(__xludf.DUMMYFUNCTION("SPLIT(A2884, "" |"")"),2882.0)</f>
        <v>2882</v>
      </c>
      <c r="G2888" s="19">
        <f>IFERROR(__xludf.DUMMYFUNCTION("""COMPUTED_VALUE"""),0.00219)</f>
        <v>0.00219</v>
      </c>
      <c r="H2888" s="19" t="str">
        <f>IFERROR(__xludf.DUMMYFUNCTION("""COMPUTED_VALUE"""),"-")</f>
        <v>-</v>
      </c>
      <c r="I2888" s="19">
        <f>IFERROR(__xludf.DUMMYFUNCTION("""COMPUTED_VALUE"""),0.00209)</f>
        <v>0.00209</v>
      </c>
      <c r="J2888" s="19">
        <f>IFERROR(__xludf.DUMMYFUNCTION("""COMPUTED_VALUE"""),0.04596)</f>
        <v>0.04596</v>
      </c>
      <c r="K2888" s="19" t="str">
        <f>IFERROR(__xludf.DUMMYFUNCTION("""COMPUTED_VALUE"""),"-")</f>
        <v>-</v>
      </c>
      <c r="L2888" s="19" t="str">
        <f>IFERROR(__xludf.DUMMYFUNCTION("""COMPUTED_VALUE"""),"-")</f>
        <v>-</v>
      </c>
      <c r="O2888" s="24">
        <f t="shared" si="4"/>
        <v>0</v>
      </c>
      <c r="P2888" s="24"/>
      <c r="Q2888" s="24">
        <f t="shared" si="6"/>
        <v>0</v>
      </c>
      <c r="R2888" s="24">
        <f t="shared" si="7"/>
        <v>0</v>
      </c>
      <c r="S2888" s="24"/>
      <c r="T2888" s="24"/>
    </row>
    <row r="2889">
      <c r="A2889" s="12" t="s">
        <v>2976</v>
      </c>
      <c r="F2889" s="19">
        <f>IFERROR(__xludf.DUMMYFUNCTION("SPLIT(A2885, "" |"")"),2883.0)</f>
        <v>2883</v>
      </c>
      <c r="G2889" s="19">
        <f>IFERROR(__xludf.DUMMYFUNCTION("""COMPUTED_VALUE"""),0.0022)</f>
        <v>0.0022</v>
      </c>
      <c r="H2889" s="19" t="str">
        <f>IFERROR(__xludf.DUMMYFUNCTION("""COMPUTED_VALUE"""),"-")</f>
        <v>-</v>
      </c>
      <c r="I2889" s="19">
        <f>IFERROR(__xludf.DUMMYFUNCTION("""COMPUTED_VALUE"""),0.00229)</f>
        <v>0.00229</v>
      </c>
      <c r="J2889" s="19">
        <f>IFERROR(__xludf.DUMMYFUNCTION("""COMPUTED_VALUE"""),0.04739)</f>
        <v>0.04739</v>
      </c>
      <c r="K2889" s="19" t="str">
        <f>IFERROR(__xludf.DUMMYFUNCTION("""COMPUTED_VALUE"""),"-")</f>
        <v>-</v>
      </c>
      <c r="L2889" s="19" t="str">
        <f>IFERROR(__xludf.DUMMYFUNCTION("""COMPUTED_VALUE"""),"-")</f>
        <v>-</v>
      </c>
      <c r="O2889" s="24">
        <f t="shared" si="4"/>
        <v>0</v>
      </c>
      <c r="P2889" s="24"/>
      <c r="Q2889" s="24">
        <f t="shared" si="6"/>
        <v>0</v>
      </c>
      <c r="R2889" s="24">
        <f t="shared" si="7"/>
        <v>0</v>
      </c>
      <c r="S2889" s="24"/>
      <c r="T2889" s="24"/>
    </row>
    <row r="2890">
      <c r="A2890" s="12" t="s">
        <v>2977</v>
      </c>
      <c r="F2890" s="19">
        <f>IFERROR(__xludf.DUMMYFUNCTION("SPLIT(A2886, "" |"")"),2884.0)</f>
        <v>2884</v>
      </c>
      <c r="G2890" s="19">
        <f>IFERROR(__xludf.DUMMYFUNCTION("""COMPUTED_VALUE"""),0.00235)</f>
        <v>0.00235</v>
      </c>
      <c r="H2890" s="19" t="str">
        <f>IFERROR(__xludf.DUMMYFUNCTION("""COMPUTED_VALUE"""),"-")</f>
        <v>-</v>
      </c>
      <c r="I2890" s="19">
        <f>IFERROR(__xludf.DUMMYFUNCTION("""COMPUTED_VALUE"""),0.00212)</f>
        <v>0.00212</v>
      </c>
      <c r="J2890" s="19">
        <f>IFERROR(__xludf.DUMMYFUNCTION("""COMPUTED_VALUE"""),0.04555)</f>
        <v>0.04555</v>
      </c>
      <c r="K2890" s="19" t="str">
        <f>IFERROR(__xludf.DUMMYFUNCTION("""COMPUTED_VALUE"""),"-")</f>
        <v>-</v>
      </c>
      <c r="L2890" s="19" t="str">
        <f>IFERROR(__xludf.DUMMYFUNCTION("""COMPUTED_VALUE"""),"-")</f>
        <v>-</v>
      </c>
      <c r="O2890" s="24">
        <f t="shared" si="4"/>
        <v>0</v>
      </c>
      <c r="P2890" s="24"/>
      <c r="Q2890" s="24">
        <f t="shared" si="6"/>
        <v>0</v>
      </c>
      <c r="R2890" s="24">
        <f t="shared" si="7"/>
        <v>0</v>
      </c>
      <c r="S2890" s="24"/>
      <c r="T2890" s="24"/>
    </row>
    <row r="2891">
      <c r="A2891" s="12" t="s">
        <v>2978</v>
      </c>
      <c r="F2891" s="19">
        <f>IFERROR(__xludf.DUMMYFUNCTION("SPLIT(A2887, "" |"")"),2885.0)</f>
        <v>2885</v>
      </c>
      <c r="G2891" s="19">
        <f>IFERROR(__xludf.DUMMYFUNCTION("""COMPUTED_VALUE"""),0.00223)</f>
        <v>0.00223</v>
      </c>
      <c r="H2891" s="19" t="str">
        <f>IFERROR(__xludf.DUMMYFUNCTION("""COMPUTED_VALUE"""),"-")</f>
        <v>-</v>
      </c>
      <c r="I2891" s="19">
        <f>IFERROR(__xludf.DUMMYFUNCTION("""COMPUTED_VALUE"""),0.00208)</f>
        <v>0.00208</v>
      </c>
      <c r="J2891" s="19">
        <f>IFERROR(__xludf.DUMMYFUNCTION("""COMPUTED_VALUE"""),0.04727)</f>
        <v>0.04727</v>
      </c>
      <c r="K2891" s="19" t="str">
        <f>IFERROR(__xludf.DUMMYFUNCTION("""COMPUTED_VALUE"""),"-")</f>
        <v>-</v>
      </c>
      <c r="L2891" s="19" t="str">
        <f>IFERROR(__xludf.DUMMYFUNCTION("""COMPUTED_VALUE"""),"-")</f>
        <v>-</v>
      </c>
      <c r="O2891" s="24">
        <f t="shared" si="4"/>
        <v>0</v>
      </c>
      <c r="P2891" s="24"/>
      <c r="Q2891" s="24">
        <f t="shared" si="6"/>
        <v>0</v>
      </c>
      <c r="R2891" s="24">
        <f t="shared" si="7"/>
        <v>0</v>
      </c>
      <c r="S2891" s="24"/>
      <c r="T2891" s="24"/>
    </row>
    <row r="2892">
      <c r="A2892" s="12" t="s">
        <v>2979</v>
      </c>
      <c r="F2892" s="19">
        <f>IFERROR(__xludf.DUMMYFUNCTION("SPLIT(A2888, "" |"")"),2886.0)</f>
        <v>2886</v>
      </c>
      <c r="G2892" s="19">
        <f>IFERROR(__xludf.DUMMYFUNCTION("""COMPUTED_VALUE"""),0.00218)</f>
        <v>0.00218</v>
      </c>
      <c r="H2892" s="19" t="str">
        <f>IFERROR(__xludf.DUMMYFUNCTION("""COMPUTED_VALUE"""),"-")</f>
        <v>-</v>
      </c>
      <c r="I2892" s="19">
        <f>IFERROR(__xludf.DUMMYFUNCTION("""COMPUTED_VALUE"""),0.00208)</f>
        <v>0.00208</v>
      </c>
      <c r="J2892" s="19">
        <f>IFERROR(__xludf.DUMMYFUNCTION("""COMPUTED_VALUE"""),0.04729)</f>
        <v>0.04729</v>
      </c>
      <c r="K2892" s="19" t="str">
        <f>IFERROR(__xludf.DUMMYFUNCTION("""COMPUTED_VALUE"""),"-")</f>
        <v>-</v>
      </c>
      <c r="L2892" s="19" t="str">
        <f>IFERROR(__xludf.DUMMYFUNCTION("""COMPUTED_VALUE"""),"-")</f>
        <v>-</v>
      </c>
      <c r="O2892" s="24">
        <f t="shared" si="4"/>
        <v>0</v>
      </c>
      <c r="P2892" s="24"/>
      <c r="Q2892" s="24">
        <f t="shared" si="6"/>
        <v>0</v>
      </c>
      <c r="R2892" s="24">
        <f t="shared" si="7"/>
        <v>0</v>
      </c>
      <c r="S2892" s="24"/>
      <c r="T2892" s="24"/>
    </row>
    <row r="2893">
      <c r="A2893" s="12" t="s">
        <v>2980</v>
      </c>
      <c r="F2893" s="19">
        <f>IFERROR(__xludf.DUMMYFUNCTION("SPLIT(A2889, "" |"")"),2887.0)</f>
        <v>2887</v>
      </c>
      <c r="G2893" s="19">
        <f>IFERROR(__xludf.DUMMYFUNCTION("""COMPUTED_VALUE"""),0.0022)</f>
        <v>0.0022</v>
      </c>
      <c r="H2893" s="19" t="str">
        <f>IFERROR(__xludf.DUMMYFUNCTION("""COMPUTED_VALUE"""),"-")</f>
        <v>-</v>
      </c>
      <c r="I2893" s="19">
        <f>IFERROR(__xludf.DUMMYFUNCTION("""COMPUTED_VALUE"""),0.00209)</f>
        <v>0.00209</v>
      </c>
      <c r="J2893" s="19">
        <f>IFERROR(__xludf.DUMMYFUNCTION("""COMPUTED_VALUE"""),0.04729)</f>
        <v>0.04729</v>
      </c>
      <c r="K2893" s="19" t="str">
        <f>IFERROR(__xludf.DUMMYFUNCTION("""COMPUTED_VALUE"""),"-")</f>
        <v>-</v>
      </c>
      <c r="L2893" s="19" t="str">
        <f>IFERROR(__xludf.DUMMYFUNCTION("""COMPUTED_VALUE"""),"-")</f>
        <v>-</v>
      </c>
      <c r="O2893" s="24">
        <f t="shared" si="4"/>
        <v>0</v>
      </c>
      <c r="P2893" s="24"/>
      <c r="Q2893" s="24">
        <f t="shared" si="6"/>
        <v>0</v>
      </c>
      <c r="R2893" s="24">
        <f t="shared" si="7"/>
        <v>0</v>
      </c>
      <c r="S2893" s="24"/>
      <c r="T2893" s="24"/>
    </row>
    <row r="2894">
      <c r="A2894" s="12" t="s">
        <v>2981</v>
      </c>
      <c r="F2894" s="19">
        <f>IFERROR(__xludf.DUMMYFUNCTION("SPLIT(A2890, "" |"")"),2888.0)</f>
        <v>2888</v>
      </c>
      <c r="G2894" s="19">
        <f>IFERROR(__xludf.DUMMYFUNCTION("""COMPUTED_VALUE"""),0.0022)</f>
        <v>0.0022</v>
      </c>
      <c r="H2894" s="19" t="str">
        <f>IFERROR(__xludf.DUMMYFUNCTION("""COMPUTED_VALUE"""),"-")</f>
        <v>-</v>
      </c>
      <c r="I2894" s="19">
        <f>IFERROR(__xludf.DUMMYFUNCTION("""COMPUTED_VALUE"""),0.0021)</f>
        <v>0.0021</v>
      </c>
      <c r="J2894" s="19">
        <f>IFERROR(__xludf.DUMMYFUNCTION("""COMPUTED_VALUE"""),0.0473)</f>
        <v>0.0473</v>
      </c>
      <c r="K2894" s="19" t="str">
        <f>IFERROR(__xludf.DUMMYFUNCTION("""COMPUTED_VALUE"""),"-")</f>
        <v>-</v>
      </c>
      <c r="L2894" s="19" t="str">
        <f>IFERROR(__xludf.DUMMYFUNCTION("""COMPUTED_VALUE"""),"-")</f>
        <v>-</v>
      </c>
      <c r="O2894" s="24">
        <f t="shared" si="4"/>
        <v>0</v>
      </c>
      <c r="P2894" s="24"/>
      <c r="Q2894" s="24">
        <f t="shared" si="6"/>
        <v>0</v>
      </c>
      <c r="R2894" s="24">
        <f t="shared" si="7"/>
        <v>0</v>
      </c>
      <c r="S2894" s="24"/>
      <c r="T2894" s="24"/>
    </row>
    <row r="2895">
      <c r="A2895" s="12" t="s">
        <v>2982</v>
      </c>
      <c r="F2895" s="19">
        <f>IFERROR(__xludf.DUMMYFUNCTION("SPLIT(A2891, "" |"")"),2889.0)</f>
        <v>2889</v>
      </c>
      <c r="G2895" s="19">
        <f>IFERROR(__xludf.DUMMYFUNCTION("""COMPUTED_VALUE"""),0.00228)</f>
        <v>0.00228</v>
      </c>
      <c r="H2895" s="19" t="str">
        <f>IFERROR(__xludf.DUMMYFUNCTION("""COMPUTED_VALUE"""),"-")</f>
        <v>-</v>
      </c>
      <c r="I2895" s="19">
        <f>IFERROR(__xludf.DUMMYFUNCTION("""COMPUTED_VALUE"""),0.00208)</f>
        <v>0.00208</v>
      </c>
      <c r="J2895" s="19">
        <f>IFERROR(__xludf.DUMMYFUNCTION("""COMPUTED_VALUE"""),0.04727)</f>
        <v>0.04727</v>
      </c>
      <c r="K2895" s="19" t="str">
        <f>IFERROR(__xludf.DUMMYFUNCTION("""COMPUTED_VALUE"""),"-")</f>
        <v>-</v>
      </c>
      <c r="L2895" s="19" t="str">
        <f>IFERROR(__xludf.DUMMYFUNCTION("""COMPUTED_VALUE"""),"-")</f>
        <v>-</v>
      </c>
      <c r="O2895" s="24">
        <f t="shared" si="4"/>
        <v>0</v>
      </c>
      <c r="P2895" s="24"/>
      <c r="Q2895" s="24">
        <f t="shared" si="6"/>
        <v>0</v>
      </c>
      <c r="R2895" s="24">
        <f t="shared" si="7"/>
        <v>0</v>
      </c>
      <c r="S2895" s="24"/>
      <c r="T2895" s="24"/>
    </row>
    <row r="2896">
      <c r="A2896" s="12" t="s">
        <v>2983</v>
      </c>
      <c r="F2896" s="19">
        <f>IFERROR(__xludf.DUMMYFUNCTION("SPLIT(A2892, "" |"")"),2890.0)</f>
        <v>2890</v>
      </c>
      <c r="G2896" s="19">
        <f>IFERROR(__xludf.DUMMYFUNCTION("""COMPUTED_VALUE"""),0.00225)</f>
        <v>0.00225</v>
      </c>
      <c r="H2896" s="19" t="str">
        <f>IFERROR(__xludf.DUMMYFUNCTION("""COMPUTED_VALUE"""),"-")</f>
        <v>-</v>
      </c>
      <c r="I2896" s="19">
        <f>IFERROR(__xludf.DUMMYFUNCTION("""COMPUTED_VALUE"""),0.0021)</f>
        <v>0.0021</v>
      </c>
      <c r="J2896" s="19">
        <f>IFERROR(__xludf.DUMMYFUNCTION("""COMPUTED_VALUE"""),0.04727)</f>
        <v>0.04727</v>
      </c>
      <c r="K2896" s="19" t="str">
        <f>IFERROR(__xludf.DUMMYFUNCTION("""COMPUTED_VALUE"""),"-")</f>
        <v>-</v>
      </c>
      <c r="L2896" s="19" t="str">
        <f>IFERROR(__xludf.DUMMYFUNCTION("""COMPUTED_VALUE"""),"-")</f>
        <v>-</v>
      </c>
      <c r="O2896" s="24">
        <f t="shared" si="4"/>
        <v>0</v>
      </c>
      <c r="P2896" s="24"/>
      <c r="Q2896" s="24">
        <f t="shared" si="6"/>
        <v>0</v>
      </c>
      <c r="R2896" s="24">
        <f t="shared" si="7"/>
        <v>0</v>
      </c>
      <c r="S2896" s="24"/>
      <c r="T2896" s="24"/>
    </row>
    <row r="2897">
      <c r="A2897" s="12" t="s">
        <v>2984</v>
      </c>
      <c r="F2897" s="19">
        <f>IFERROR(__xludf.DUMMYFUNCTION("SPLIT(A2893, "" |"")"),2891.0)</f>
        <v>2891</v>
      </c>
      <c r="G2897" s="19">
        <f>IFERROR(__xludf.DUMMYFUNCTION("""COMPUTED_VALUE"""),0.00221)</f>
        <v>0.00221</v>
      </c>
      <c r="H2897" s="19" t="str">
        <f>IFERROR(__xludf.DUMMYFUNCTION("""COMPUTED_VALUE"""),"-")</f>
        <v>-</v>
      </c>
      <c r="I2897" s="19">
        <f>IFERROR(__xludf.DUMMYFUNCTION("""COMPUTED_VALUE"""),0.00209)</f>
        <v>0.00209</v>
      </c>
      <c r="J2897" s="19">
        <f>IFERROR(__xludf.DUMMYFUNCTION("""COMPUTED_VALUE"""),0.04729)</f>
        <v>0.04729</v>
      </c>
      <c r="K2897" s="19" t="str">
        <f>IFERROR(__xludf.DUMMYFUNCTION("""COMPUTED_VALUE"""),"-")</f>
        <v>-</v>
      </c>
      <c r="L2897" s="19" t="str">
        <f>IFERROR(__xludf.DUMMYFUNCTION("""COMPUTED_VALUE"""),"-")</f>
        <v>-</v>
      </c>
      <c r="O2897" s="24">
        <f t="shared" si="4"/>
        <v>0</v>
      </c>
      <c r="P2897" s="24"/>
      <c r="Q2897" s="24">
        <f t="shared" si="6"/>
        <v>0</v>
      </c>
      <c r="R2897" s="24">
        <f t="shared" si="7"/>
        <v>0</v>
      </c>
      <c r="S2897" s="24"/>
      <c r="T2897" s="24"/>
    </row>
    <row r="2898">
      <c r="A2898" s="12" t="s">
        <v>2985</v>
      </c>
      <c r="F2898" s="19">
        <f>IFERROR(__xludf.DUMMYFUNCTION("SPLIT(A2894, "" |"")"),2892.0)</f>
        <v>2892</v>
      </c>
      <c r="G2898" s="19">
        <f>IFERROR(__xludf.DUMMYFUNCTION("""COMPUTED_VALUE"""),0.00221)</f>
        <v>0.00221</v>
      </c>
      <c r="H2898" s="19" t="str">
        <f>IFERROR(__xludf.DUMMYFUNCTION("""COMPUTED_VALUE"""),"-")</f>
        <v>-</v>
      </c>
      <c r="I2898" s="19">
        <f>IFERROR(__xludf.DUMMYFUNCTION("""COMPUTED_VALUE"""),0.00208)</f>
        <v>0.00208</v>
      </c>
      <c r="J2898" s="19">
        <f>IFERROR(__xludf.DUMMYFUNCTION("""COMPUTED_VALUE"""),0.0473)</f>
        <v>0.0473</v>
      </c>
      <c r="K2898" s="19" t="str">
        <f>IFERROR(__xludf.DUMMYFUNCTION("""COMPUTED_VALUE"""),"-")</f>
        <v>-</v>
      </c>
      <c r="L2898" s="19" t="str">
        <f>IFERROR(__xludf.DUMMYFUNCTION("""COMPUTED_VALUE"""),"-")</f>
        <v>-</v>
      </c>
      <c r="O2898" s="24">
        <f t="shared" si="4"/>
        <v>0</v>
      </c>
      <c r="P2898" s="24"/>
      <c r="Q2898" s="24">
        <f t="shared" si="6"/>
        <v>0</v>
      </c>
      <c r="R2898" s="24">
        <f t="shared" si="7"/>
        <v>0</v>
      </c>
      <c r="S2898" s="24"/>
      <c r="T2898" s="24"/>
    </row>
    <row r="2899">
      <c r="A2899" s="12" t="s">
        <v>2986</v>
      </c>
      <c r="F2899" s="19">
        <f>IFERROR(__xludf.DUMMYFUNCTION("SPLIT(A2895, "" |"")"),2893.0)</f>
        <v>2893</v>
      </c>
      <c r="G2899" s="19">
        <f>IFERROR(__xludf.DUMMYFUNCTION("""COMPUTED_VALUE"""),0.00221)</f>
        <v>0.00221</v>
      </c>
      <c r="H2899" s="19" t="str">
        <f>IFERROR(__xludf.DUMMYFUNCTION("""COMPUTED_VALUE"""),"-")</f>
        <v>-</v>
      </c>
      <c r="I2899" s="19">
        <f>IFERROR(__xludf.DUMMYFUNCTION("""COMPUTED_VALUE"""),0.00207)</f>
        <v>0.00207</v>
      </c>
      <c r="J2899" s="19">
        <f>IFERROR(__xludf.DUMMYFUNCTION("""COMPUTED_VALUE"""),0.04728)</f>
        <v>0.04728</v>
      </c>
      <c r="K2899" s="19" t="str">
        <f>IFERROR(__xludf.DUMMYFUNCTION("""COMPUTED_VALUE"""),"-")</f>
        <v>-</v>
      </c>
      <c r="L2899" s="19" t="str">
        <f>IFERROR(__xludf.DUMMYFUNCTION("""COMPUTED_VALUE"""),"-")</f>
        <v>-</v>
      </c>
      <c r="O2899" s="24">
        <f t="shared" si="4"/>
        <v>0</v>
      </c>
      <c r="P2899" s="24"/>
      <c r="Q2899" s="24">
        <f t="shared" si="6"/>
        <v>0</v>
      </c>
      <c r="R2899" s="24">
        <f t="shared" si="7"/>
        <v>0</v>
      </c>
      <c r="S2899" s="24"/>
      <c r="T2899" s="24"/>
    </row>
    <row r="2900">
      <c r="A2900" s="12" t="s">
        <v>2987</v>
      </c>
      <c r="F2900" s="19">
        <f>IFERROR(__xludf.DUMMYFUNCTION("SPLIT(A2896, "" |"")"),2894.0)</f>
        <v>2894</v>
      </c>
      <c r="G2900" s="19">
        <f>IFERROR(__xludf.DUMMYFUNCTION("""COMPUTED_VALUE"""),0.00234)</f>
        <v>0.00234</v>
      </c>
      <c r="H2900" s="19" t="str">
        <f>IFERROR(__xludf.DUMMYFUNCTION("""COMPUTED_VALUE"""),"-")</f>
        <v>-</v>
      </c>
      <c r="I2900" s="19">
        <f>IFERROR(__xludf.DUMMYFUNCTION("""COMPUTED_VALUE"""),0.00214)</f>
        <v>0.00214</v>
      </c>
      <c r="J2900" s="19">
        <f>IFERROR(__xludf.DUMMYFUNCTION("""COMPUTED_VALUE"""),0.04732)</f>
        <v>0.04732</v>
      </c>
      <c r="K2900" s="19" t="str">
        <f>IFERROR(__xludf.DUMMYFUNCTION("""COMPUTED_VALUE"""),"-")</f>
        <v>-</v>
      </c>
      <c r="L2900" s="19" t="str">
        <f>IFERROR(__xludf.DUMMYFUNCTION("""COMPUTED_VALUE"""),"-")</f>
        <v>-</v>
      </c>
      <c r="O2900" s="24">
        <f t="shared" si="4"/>
        <v>0</v>
      </c>
      <c r="P2900" s="24"/>
      <c r="Q2900" s="24">
        <f t="shared" si="6"/>
        <v>0</v>
      </c>
      <c r="R2900" s="24">
        <f t="shared" si="7"/>
        <v>0</v>
      </c>
      <c r="S2900" s="24"/>
      <c r="T2900" s="24"/>
    </row>
    <row r="2901">
      <c r="A2901" s="12" t="s">
        <v>2988</v>
      </c>
      <c r="F2901" s="19">
        <f>IFERROR(__xludf.DUMMYFUNCTION("SPLIT(A2897, "" |"")"),2895.0)</f>
        <v>2895</v>
      </c>
      <c r="G2901" s="19">
        <f>IFERROR(__xludf.DUMMYFUNCTION("""COMPUTED_VALUE"""),0.00223)</f>
        <v>0.00223</v>
      </c>
      <c r="H2901" s="19" t="str">
        <f>IFERROR(__xludf.DUMMYFUNCTION("""COMPUTED_VALUE"""),"-")</f>
        <v>-</v>
      </c>
      <c r="I2901" s="19">
        <f>IFERROR(__xludf.DUMMYFUNCTION("""COMPUTED_VALUE"""),0.00209)</f>
        <v>0.00209</v>
      </c>
      <c r="J2901" s="19">
        <f>IFERROR(__xludf.DUMMYFUNCTION("""COMPUTED_VALUE"""),0.04729)</f>
        <v>0.04729</v>
      </c>
      <c r="K2901" s="19" t="str">
        <f>IFERROR(__xludf.DUMMYFUNCTION("""COMPUTED_VALUE"""),"-")</f>
        <v>-</v>
      </c>
      <c r="L2901" s="19" t="str">
        <f>IFERROR(__xludf.DUMMYFUNCTION("""COMPUTED_VALUE"""),"-")</f>
        <v>-</v>
      </c>
      <c r="O2901" s="24">
        <f t="shared" si="4"/>
        <v>0</v>
      </c>
      <c r="P2901" s="24"/>
      <c r="Q2901" s="24">
        <f t="shared" si="6"/>
        <v>0</v>
      </c>
      <c r="R2901" s="24">
        <f t="shared" si="7"/>
        <v>0</v>
      </c>
      <c r="S2901" s="24"/>
      <c r="T2901" s="24"/>
    </row>
    <row r="2902">
      <c r="A2902" s="12" t="s">
        <v>2989</v>
      </c>
      <c r="F2902" s="19">
        <f>IFERROR(__xludf.DUMMYFUNCTION("SPLIT(A2898, "" |"")"),2896.0)</f>
        <v>2896</v>
      </c>
      <c r="G2902" s="19">
        <f>IFERROR(__xludf.DUMMYFUNCTION("""COMPUTED_VALUE"""),0.00222)</f>
        <v>0.00222</v>
      </c>
      <c r="H2902" s="19" t="str">
        <f>IFERROR(__xludf.DUMMYFUNCTION("""COMPUTED_VALUE"""),"-")</f>
        <v>-</v>
      </c>
      <c r="I2902" s="19">
        <f>IFERROR(__xludf.DUMMYFUNCTION("""COMPUTED_VALUE"""),0.00208)</f>
        <v>0.00208</v>
      </c>
      <c r="J2902" s="19">
        <f>IFERROR(__xludf.DUMMYFUNCTION("""COMPUTED_VALUE"""),0.0473)</f>
        <v>0.0473</v>
      </c>
      <c r="K2902" s="19" t="str">
        <f>IFERROR(__xludf.DUMMYFUNCTION("""COMPUTED_VALUE"""),"-")</f>
        <v>-</v>
      </c>
      <c r="L2902" s="19" t="str">
        <f>IFERROR(__xludf.DUMMYFUNCTION("""COMPUTED_VALUE"""),"-")</f>
        <v>-</v>
      </c>
      <c r="O2902" s="24">
        <f t="shared" si="4"/>
        <v>0</v>
      </c>
      <c r="P2902" s="24"/>
      <c r="Q2902" s="24">
        <f t="shared" si="6"/>
        <v>0</v>
      </c>
      <c r="R2902" s="24">
        <f t="shared" si="7"/>
        <v>0</v>
      </c>
      <c r="S2902" s="24"/>
      <c r="T2902" s="24"/>
    </row>
    <row r="2903">
      <c r="A2903" s="12" t="s">
        <v>2990</v>
      </c>
      <c r="F2903" s="19">
        <f>IFERROR(__xludf.DUMMYFUNCTION("SPLIT(A2899, "" |"")"),2897.0)</f>
        <v>2897</v>
      </c>
      <c r="G2903" s="19">
        <f>IFERROR(__xludf.DUMMYFUNCTION("""COMPUTED_VALUE"""),0.00222)</f>
        <v>0.00222</v>
      </c>
      <c r="H2903" s="19" t="str">
        <f>IFERROR(__xludf.DUMMYFUNCTION("""COMPUTED_VALUE"""),"-")</f>
        <v>-</v>
      </c>
      <c r="I2903" s="19">
        <f>IFERROR(__xludf.DUMMYFUNCTION("""COMPUTED_VALUE"""),0.00208)</f>
        <v>0.00208</v>
      </c>
      <c r="J2903" s="19">
        <f>IFERROR(__xludf.DUMMYFUNCTION("""COMPUTED_VALUE"""),0.04724)</f>
        <v>0.04724</v>
      </c>
      <c r="K2903" s="19" t="str">
        <f>IFERROR(__xludf.DUMMYFUNCTION("""COMPUTED_VALUE"""),"-")</f>
        <v>-</v>
      </c>
      <c r="L2903" s="19" t="str">
        <f>IFERROR(__xludf.DUMMYFUNCTION("""COMPUTED_VALUE"""),"-")</f>
        <v>-</v>
      </c>
      <c r="O2903" s="24">
        <f t="shared" si="4"/>
        <v>0</v>
      </c>
      <c r="P2903" s="24"/>
      <c r="Q2903" s="24">
        <f t="shared" si="6"/>
        <v>0</v>
      </c>
      <c r="R2903" s="24">
        <f t="shared" si="7"/>
        <v>0</v>
      </c>
      <c r="S2903" s="24"/>
      <c r="T2903" s="24"/>
    </row>
    <row r="2904">
      <c r="A2904" s="12" t="s">
        <v>2991</v>
      </c>
      <c r="F2904" s="19">
        <f>IFERROR(__xludf.DUMMYFUNCTION("SPLIT(A2900, "" |"")"),2898.0)</f>
        <v>2898</v>
      </c>
      <c r="G2904" s="19">
        <f>IFERROR(__xludf.DUMMYFUNCTION("""COMPUTED_VALUE"""),0.00218)</f>
        <v>0.00218</v>
      </c>
      <c r="H2904" s="19" t="str">
        <f>IFERROR(__xludf.DUMMYFUNCTION("""COMPUTED_VALUE"""),"-")</f>
        <v>-</v>
      </c>
      <c r="I2904" s="19">
        <f>IFERROR(__xludf.DUMMYFUNCTION("""COMPUTED_VALUE"""),0.00206)</f>
        <v>0.00206</v>
      </c>
      <c r="J2904" s="19">
        <f>IFERROR(__xludf.DUMMYFUNCTION("""COMPUTED_VALUE"""),0.04728)</f>
        <v>0.04728</v>
      </c>
      <c r="K2904" s="19" t="str">
        <f>IFERROR(__xludf.DUMMYFUNCTION("""COMPUTED_VALUE"""),"-")</f>
        <v>-</v>
      </c>
      <c r="L2904" s="19" t="str">
        <f>IFERROR(__xludf.DUMMYFUNCTION("""COMPUTED_VALUE"""),"-")</f>
        <v>-</v>
      </c>
      <c r="O2904" s="24">
        <f t="shared" si="4"/>
        <v>0</v>
      </c>
      <c r="P2904" s="24"/>
      <c r="Q2904" s="24">
        <f t="shared" si="6"/>
        <v>0</v>
      </c>
      <c r="R2904" s="24">
        <f t="shared" si="7"/>
        <v>0</v>
      </c>
      <c r="S2904" s="24"/>
      <c r="T2904" s="24"/>
    </row>
    <row r="2905">
      <c r="A2905" s="12" t="s">
        <v>2992</v>
      </c>
      <c r="F2905" s="19">
        <f>IFERROR(__xludf.DUMMYFUNCTION("SPLIT(A2901, "" |"")"),2899.0)</f>
        <v>2899</v>
      </c>
      <c r="G2905" s="19">
        <f>IFERROR(__xludf.DUMMYFUNCTION("""COMPUTED_VALUE"""),0.00223)</f>
        <v>0.00223</v>
      </c>
      <c r="H2905" s="19" t="str">
        <f>IFERROR(__xludf.DUMMYFUNCTION("""COMPUTED_VALUE"""),"-")</f>
        <v>-</v>
      </c>
      <c r="I2905" s="19">
        <f>IFERROR(__xludf.DUMMYFUNCTION("""COMPUTED_VALUE"""),0.00208)</f>
        <v>0.00208</v>
      </c>
      <c r="J2905" s="19">
        <f>IFERROR(__xludf.DUMMYFUNCTION("""COMPUTED_VALUE"""),0.04726)</f>
        <v>0.04726</v>
      </c>
      <c r="K2905" s="19" t="str">
        <f>IFERROR(__xludf.DUMMYFUNCTION("""COMPUTED_VALUE"""),"-")</f>
        <v>-</v>
      </c>
      <c r="L2905" s="19" t="str">
        <f>IFERROR(__xludf.DUMMYFUNCTION("""COMPUTED_VALUE"""),"-")</f>
        <v>-</v>
      </c>
      <c r="O2905" s="24">
        <f t="shared" si="4"/>
        <v>0</v>
      </c>
      <c r="P2905" s="24"/>
      <c r="Q2905" s="24">
        <f t="shared" si="6"/>
        <v>0</v>
      </c>
      <c r="R2905" s="24">
        <f t="shared" si="7"/>
        <v>0</v>
      </c>
      <c r="S2905" s="24"/>
      <c r="T2905" s="24"/>
    </row>
    <row r="2906">
      <c r="A2906" s="12" t="s">
        <v>2993</v>
      </c>
      <c r="F2906" s="19">
        <f>IFERROR(__xludf.DUMMYFUNCTION("SPLIT(A2902, "" |"")"),2900.0)</f>
        <v>2900</v>
      </c>
      <c r="G2906" s="19">
        <f>IFERROR(__xludf.DUMMYFUNCTION("""COMPUTED_VALUE"""),0.00243)</f>
        <v>0.00243</v>
      </c>
      <c r="H2906" s="19" t="str">
        <f>IFERROR(__xludf.DUMMYFUNCTION("""COMPUTED_VALUE"""),"-")</f>
        <v>-</v>
      </c>
      <c r="I2906" s="19">
        <f>IFERROR(__xludf.DUMMYFUNCTION("""COMPUTED_VALUE"""),0.0022)</f>
        <v>0.0022</v>
      </c>
      <c r="J2906" s="19">
        <f>IFERROR(__xludf.DUMMYFUNCTION("""COMPUTED_VALUE"""),0.04727)</f>
        <v>0.04727</v>
      </c>
      <c r="K2906" s="19" t="str">
        <f>IFERROR(__xludf.DUMMYFUNCTION("""COMPUTED_VALUE"""),"-")</f>
        <v>-</v>
      </c>
      <c r="L2906" s="19" t="str">
        <f>IFERROR(__xludf.DUMMYFUNCTION("""COMPUTED_VALUE"""),"-")</f>
        <v>-</v>
      </c>
      <c r="O2906" s="24">
        <f t="shared" si="4"/>
        <v>0</v>
      </c>
      <c r="P2906" s="24"/>
      <c r="Q2906" s="24">
        <f t="shared" si="6"/>
        <v>0</v>
      </c>
      <c r="R2906" s="24">
        <f t="shared" si="7"/>
        <v>0</v>
      </c>
      <c r="S2906" s="24"/>
      <c r="T2906" s="24"/>
    </row>
    <row r="2907">
      <c r="A2907" s="12" t="s">
        <v>2994</v>
      </c>
      <c r="F2907" s="19">
        <f>IFERROR(__xludf.DUMMYFUNCTION("SPLIT(A2903, "" |"")"),2901.0)</f>
        <v>2901</v>
      </c>
      <c r="G2907" s="19">
        <f>IFERROR(__xludf.DUMMYFUNCTION("""COMPUTED_VALUE"""),0.0022)</f>
        <v>0.0022</v>
      </c>
      <c r="H2907" s="19" t="str">
        <f>IFERROR(__xludf.DUMMYFUNCTION("""COMPUTED_VALUE"""),"-")</f>
        <v>-</v>
      </c>
      <c r="I2907" s="19">
        <f>IFERROR(__xludf.DUMMYFUNCTION("""COMPUTED_VALUE"""),0.00209)</f>
        <v>0.00209</v>
      </c>
      <c r="J2907" s="19">
        <f>IFERROR(__xludf.DUMMYFUNCTION("""COMPUTED_VALUE"""),0.04728)</f>
        <v>0.04728</v>
      </c>
      <c r="K2907" s="19" t="str">
        <f>IFERROR(__xludf.DUMMYFUNCTION("""COMPUTED_VALUE"""),"-")</f>
        <v>-</v>
      </c>
      <c r="L2907" s="19" t="str">
        <f>IFERROR(__xludf.DUMMYFUNCTION("""COMPUTED_VALUE"""),"-")</f>
        <v>-</v>
      </c>
      <c r="O2907" s="24">
        <f t="shared" si="4"/>
        <v>0</v>
      </c>
      <c r="P2907" s="24"/>
      <c r="Q2907" s="24">
        <f t="shared" si="6"/>
        <v>0</v>
      </c>
      <c r="R2907" s="24">
        <f t="shared" si="7"/>
        <v>0</v>
      </c>
      <c r="S2907" s="24"/>
      <c r="T2907" s="24"/>
    </row>
    <row r="2908">
      <c r="A2908" s="12" t="s">
        <v>2995</v>
      </c>
      <c r="F2908" s="19">
        <f>IFERROR(__xludf.DUMMYFUNCTION("SPLIT(A2904, "" |"")"),2902.0)</f>
        <v>2902</v>
      </c>
      <c r="G2908" s="19">
        <f>IFERROR(__xludf.DUMMYFUNCTION("""COMPUTED_VALUE"""),0.00225)</f>
        <v>0.00225</v>
      </c>
      <c r="H2908" s="19" t="str">
        <f>IFERROR(__xludf.DUMMYFUNCTION("""COMPUTED_VALUE"""),"-")</f>
        <v>-</v>
      </c>
      <c r="I2908" s="19">
        <f>IFERROR(__xludf.DUMMYFUNCTION("""COMPUTED_VALUE"""),0.00209)</f>
        <v>0.00209</v>
      </c>
      <c r="J2908" s="19">
        <f>IFERROR(__xludf.DUMMYFUNCTION("""COMPUTED_VALUE"""),0.04726)</f>
        <v>0.04726</v>
      </c>
      <c r="K2908" s="19" t="str">
        <f>IFERROR(__xludf.DUMMYFUNCTION("""COMPUTED_VALUE"""),"-")</f>
        <v>-</v>
      </c>
      <c r="L2908" s="19" t="str">
        <f>IFERROR(__xludf.DUMMYFUNCTION("""COMPUTED_VALUE"""),"-")</f>
        <v>-</v>
      </c>
      <c r="O2908" s="24">
        <f t="shared" si="4"/>
        <v>0</v>
      </c>
      <c r="P2908" s="24"/>
      <c r="Q2908" s="24">
        <f t="shared" si="6"/>
        <v>0</v>
      </c>
      <c r="R2908" s="24">
        <f t="shared" si="7"/>
        <v>0</v>
      </c>
      <c r="S2908" s="24"/>
      <c r="T2908" s="24"/>
    </row>
    <row r="2909">
      <c r="A2909" s="12" t="s">
        <v>2996</v>
      </c>
      <c r="F2909" s="19">
        <f>IFERROR(__xludf.DUMMYFUNCTION("SPLIT(A2905, "" |"")"),2903.0)</f>
        <v>2903</v>
      </c>
      <c r="G2909" s="19">
        <f>IFERROR(__xludf.DUMMYFUNCTION("""COMPUTED_VALUE"""),0.00225)</f>
        <v>0.00225</v>
      </c>
      <c r="H2909" s="19" t="str">
        <f>IFERROR(__xludf.DUMMYFUNCTION("""COMPUTED_VALUE"""),"-")</f>
        <v>-</v>
      </c>
      <c r="I2909" s="19">
        <f>IFERROR(__xludf.DUMMYFUNCTION("""COMPUTED_VALUE"""),0.00208)</f>
        <v>0.00208</v>
      </c>
      <c r="J2909" s="19">
        <f>IFERROR(__xludf.DUMMYFUNCTION("""COMPUTED_VALUE"""),0.04725)</f>
        <v>0.04725</v>
      </c>
      <c r="K2909" s="19" t="str">
        <f>IFERROR(__xludf.DUMMYFUNCTION("""COMPUTED_VALUE"""),"-")</f>
        <v>-</v>
      </c>
      <c r="L2909" s="19" t="str">
        <f>IFERROR(__xludf.DUMMYFUNCTION("""COMPUTED_VALUE"""),"-")</f>
        <v>-</v>
      </c>
      <c r="O2909" s="24">
        <f t="shared" si="4"/>
        <v>0</v>
      </c>
      <c r="P2909" s="24"/>
      <c r="Q2909" s="24">
        <f t="shared" si="6"/>
        <v>0</v>
      </c>
      <c r="R2909" s="24">
        <f t="shared" si="7"/>
        <v>0</v>
      </c>
      <c r="S2909" s="24"/>
      <c r="T2909" s="24"/>
    </row>
    <row r="2910">
      <c r="A2910" s="12" t="s">
        <v>2997</v>
      </c>
      <c r="F2910" s="19">
        <f>IFERROR(__xludf.DUMMYFUNCTION("SPLIT(A2906, "" |"")"),2904.0)</f>
        <v>2904</v>
      </c>
      <c r="G2910" s="19">
        <f>IFERROR(__xludf.DUMMYFUNCTION("""COMPUTED_VALUE"""),0.00225)</f>
        <v>0.00225</v>
      </c>
      <c r="H2910" s="19" t="str">
        <f>IFERROR(__xludf.DUMMYFUNCTION("""COMPUTED_VALUE"""),"-")</f>
        <v>-</v>
      </c>
      <c r="I2910" s="19">
        <f>IFERROR(__xludf.DUMMYFUNCTION("""COMPUTED_VALUE"""),0.00208)</f>
        <v>0.00208</v>
      </c>
      <c r="J2910" s="19">
        <f>IFERROR(__xludf.DUMMYFUNCTION("""COMPUTED_VALUE"""),0.04393)</f>
        <v>0.04393</v>
      </c>
      <c r="K2910" s="19" t="str">
        <f>IFERROR(__xludf.DUMMYFUNCTION("""COMPUTED_VALUE"""),"-")</f>
        <v>-</v>
      </c>
      <c r="L2910" s="19" t="str">
        <f>IFERROR(__xludf.DUMMYFUNCTION("""COMPUTED_VALUE"""),"-")</f>
        <v>-</v>
      </c>
      <c r="O2910" s="24">
        <f t="shared" si="4"/>
        <v>0</v>
      </c>
      <c r="P2910" s="24"/>
      <c r="Q2910" s="24">
        <f t="shared" si="6"/>
        <v>0</v>
      </c>
      <c r="R2910" s="24">
        <f t="shared" si="7"/>
        <v>1</v>
      </c>
      <c r="S2910" s="24"/>
      <c r="T2910" s="24"/>
    </row>
    <row r="2911">
      <c r="A2911" s="12" t="s">
        <v>2998</v>
      </c>
      <c r="F2911" s="19">
        <f>IFERROR(__xludf.DUMMYFUNCTION("SPLIT(A2907, "" |"")"),2905.0)</f>
        <v>2905</v>
      </c>
      <c r="G2911" s="19">
        <f>IFERROR(__xludf.DUMMYFUNCTION("""COMPUTED_VALUE"""),0.00226)</f>
        <v>0.00226</v>
      </c>
      <c r="H2911" s="19" t="str">
        <f>IFERROR(__xludf.DUMMYFUNCTION("""COMPUTED_VALUE"""),"-")</f>
        <v>-</v>
      </c>
      <c r="I2911" s="19">
        <f>IFERROR(__xludf.DUMMYFUNCTION("""COMPUTED_VALUE"""),0.00211)</f>
        <v>0.00211</v>
      </c>
      <c r="J2911" s="19">
        <f>IFERROR(__xludf.DUMMYFUNCTION("""COMPUTED_VALUE"""),0.04351)</f>
        <v>0.04351</v>
      </c>
      <c r="K2911" s="19" t="str">
        <f>IFERROR(__xludf.DUMMYFUNCTION("""COMPUTED_VALUE"""),"-")</f>
        <v>-</v>
      </c>
      <c r="L2911" s="19" t="str">
        <f>IFERROR(__xludf.DUMMYFUNCTION("""COMPUTED_VALUE"""),"-")</f>
        <v>-</v>
      </c>
      <c r="O2911" s="24">
        <f t="shared" si="4"/>
        <v>0</v>
      </c>
      <c r="P2911" s="24"/>
      <c r="Q2911" s="24">
        <f t="shared" si="6"/>
        <v>0</v>
      </c>
      <c r="R2911" s="24">
        <f t="shared" si="7"/>
        <v>1</v>
      </c>
      <c r="S2911" s="24"/>
      <c r="T2911" s="24"/>
    </row>
    <row r="2912">
      <c r="A2912" s="12" t="s">
        <v>2999</v>
      </c>
      <c r="F2912" s="19">
        <f>IFERROR(__xludf.DUMMYFUNCTION("SPLIT(A2908, "" |"")"),2906.0)</f>
        <v>2906</v>
      </c>
      <c r="G2912" s="19">
        <f>IFERROR(__xludf.DUMMYFUNCTION("""COMPUTED_VALUE"""),0.00224)</f>
        <v>0.00224</v>
      </c>
      <c r="H2912" s="19" t="str">
        <f>IFERROR(__xludf.DUMMYFUNCTION("""COMPUTED_VALUE"""),"-")</f>
        <v>-</v>
      </c>
      <c r="I2912" s="19">
        <f>IFERROR(__xludf.DUMMYFUNCTION("""COMPUTED_VALUE"""),0.00208)</f>
        <v>0.00208</v>
      </c>
      <c r="J2912" s="19">
        <f>IFERROR(__xludf.DUMMYFUNCTION("""COMPUTED_VALUE"""),0.04725)</f>
        <v>0.04725</v>
      </c>
      <c r="K2912" s="19" t="str">
        <f>IFERROR(__xludf.DUMMYFUNCTION("""COMPUTED_VALUE"""),"-")</f>
        <v>-</v>
      </c>
      <c r="L2912" s="19" t="str">
        <f>IFERROR(__xludf.DUMMYFUNCTION("""COMPUTED_VALUE"""),"-")</f>
        <v>-</v>
      </c>
      <c r="O2912" s="24">
        <f t="shared" si="4"/>
        <v>0</v>
      </c>
      <c r="P2912" s="24"/>
      <c r="Q2912" s="24">
        <f t="shared" si="6"/>
        <v>0</v>
      </c>
      <c r="R2912" s="24">
        <f t="shared" si="7"/>
        <v>0</v>
      </c>
      <c r="S2912" s="24"/>
      <c r="T2912" s="24"/>
    </row>
    <row r="2913">
      <c r="A2913" s="12" t="s">
        <v>3000</v>
      </c>
      <c r="F2913" s="19">
        <f>IFERROR(__xludf.DUMMYFUNCTION("SPLIT(A2909, "" |"")"),2907.0)</f>
        <v>2907</v>
      </c>
      <c r="G2913" s="19">
        <f>IFERROR(__xludf.DUMMYFUNCTION("""COMPUTED_VALUE"""),0.00238)</f>
        <v>0.00238</v>
      </c>
      <c r="H2913" s="19" t="str">
        <f>IFERROR(__xludf.DUMMYFUNCTION("""COMPUTED_VALUE"""),"-")</f>
        <v>-</v>
      </c>
      <c r="I2913" s="19">
        <f>IFERROR(__xludf.DUMMYFUNCTION("""COMPUTED_VALUE"""),0.00218)</f>
        <v>0.00218</v>
      </c>
      <c r="J2913" s="19">
        <f>IFERROR(__xludf.DUMMYFUNCTION("""COMPUTED_VALUE"""),0.04728)</f>
        <v>0.04728</v>
      </c>
      <c r="K2913" s="19" t="str">
        <f>IFERROR(__xludf.DUMMYFUNCTION("""COMPUTED_VALUE"""),"-")</f>
        <v>-</v>
      </c>
      <c r="L2913" s="19" t="str">
        <f>IFERROR(__xludf.DUMMYFUNCTION("""COMPUTED_VALUE"""),"-")</f>
        <v>-</v>
      </c>
      <c r="O2913" s="24">
        <f t="shared" si="4"/>
        <v>0</v>
      </c>
      <c r="P2913" s="24"/>
      <c r="Q2913" s="24">
        <f t="shared" si="6"/>
        <v>0</v>
      </c>
      <c r="R2913" s="24">
        <f t="shared" si="7"/>
        <v>0</v>
      </c>
      <c r="S2913" s="24"/>
      <c r="T2913" s="24"/>
    </row>
    <row r="2914">
      <c r="A2914" s="12" t="s">
        <v>3001</v>
      </c>
      <c r="F2914" s="19">
        <f>IFERROR(__xludf.DUMMYFUNCTION("SPLIT(A2910, "" |"")"),2908.0)</f>
        <v>2908</v>
      </c>
      <c r="G2914" s="19">
        <f>IFERROR(__xludf.DUMMYFUNCTION("""COMPUTED_VALUE"""),0.00228)</f>
        <v>0.00228</v>
      </c>
      <c r="H2914" s="19" t="str">
        <f>IFERROR(__xludf.DUMMYFUNCTION("""COMPUTED_VALUE"""),"-")</f>
        <v>-</v>
      </c>
      <c r="I2914" s="19">
        <f>IFERROR(__xludf.DUMMYFUNCTION("""COMPUTED_VALUE"""),0.00206)</f>
        <v>0.00206</v>
      </c>
      <c r="J2914" s="19">
        <f>IFERROR(__xludf.DUMMYFUNCTION("""COMPUTED_VALUE"""),0.04385)</f>
        <v>0.04385</v>
      </c>
      <c r="K2914" s="19" t="str">
        <f>IFERROR(__xludf.DUMMYFUNCTION("""COMPUTED_VALUE"""),"-")</f>
        <v>-</v>
      </c>
      <c r="L2914" s="19" t="str">
        <f>IFERROR(__xludf.DUMMYFUNCTION("""COMPUTED_VALUE"""),"-")</f>
        <v>-</v>
      </c>
      <c r="O2914" s="24">
        <f t="shared" si="4"/>
        <v>0</v>
      </c>
      <c r="P2914" s="24"/>
      <c r="Q2914" s="24">
        <f t="shared" si="6"/>
        <v>0</v>
      </c>
      <c r="R2914" s="24">
        <f t="shared" si="7"/>
        <v>1</v>
      </c>
      <c r="S2914" s="24"/>
      <c r="T2914" s="24"/>
    </row>
    <row r="2915">
      <c r="A2915" s="12" t="s">
        <v>3002</v>
      </c>
      <c r="F2915" s="19">
        <f>IFERROR(__xludf.DUMMYFUNCTION("SPLIT(A2911, "" |"")"),2909.0)</f>
        <v>2909</v>
      </c>
      <c r="G2915" s="19">
        <f>IFERROR(__xludf.DUMMYFUNCTION("""COMPUTED_VALUE"""),0.00227)</f>
        <v>0.00227</v>
      </c>
      <c r="H2915" s="19" t="str">
        <f>IFERROR(__xludf.DUMMYFUNCTION("""COMPUTED_VALUE"""),"-")</f>
        <v>-</v>
      </c>
      <c r="I2915" s="19">
        <f>IFERROR(__xludf.DUMMYFUNCTION("""COMPUTED_VALUE"""),0.00208)</f>
        <v>0.00208</v>
      </c>
      <c r="J2915" s="19">
        <f>IFERROR(__xludf.DUMMYFUNCTION("""COMPUTED_VALUE"""),0.04727)</f>
        <v>0.04727</v>
      </c>
      <c r="K2915" s="19" t="str">
        <f>IFERROR(__xludf.DUMMYFUNCTION("""COMPUTED_VALUE"""),"-")</f>
        <v>-</v>
      </c>
      <c r="L2915" s="19" t="str">
        <f>IFERROR(__xludf.DUMMYFUNCTION("""COMPUTED_VALUE"""),"-")</f>
        <v>-</v>
      </c>
      <c r="O2915" s="24">
        <f t="shared" si="4"/>
        <v>0</v>
      </c>
      <c r="P2915" s="24"/>
      <c r="Q2915" s="24">
        <f t="shared" si="6"/>
        <v>0</v>
      </c>
      <c r="R2915" s="24">
        <f t="shared" si="7"/>
        <v>0</v>
      </c>
      <c r="S2915" s="24"/>
      <c r="T2915" s="24"/>
    </row>
    <row r="2916">
      <c r="A2916" s="12" t="s">
        <v>3003</v>
      </c>
      <c r="F2916" s="19">
        <f>IFERROR(__xludf.DUMMYFUNCTION("SPLIT(A2912, "" |"")"),2910.0)</f>
        <v>2910</v>
      </c>
      <c r="G2916" s="19">
        <f>IFERROR(__xludf.DUMMYFUNCTION("""COMPUTED_VALUE"""),0.00221)</f>
        <v>0.00221</v>
      </c>
      <c r="H2916" s="19" t="str">
        <f>IFERROR(__xludf.DUMMYFUNCTION("""COMPUTED_VALUE"""),"-")</f>
        <v>-</v>
      </c>
      <c r="I2916" s="19">
        <f>IFERROR(__xludf.DUMMYFUNCTION("""COMPUTED_VALUE"""),0.00208)</f>
        <v>0.00208</v>
      </c>
      <c r="J2916" s="19">
        <f>IFERROR(__xludf.DUMMYFUNCTION("""COMPUTED_VALUE"""),0.04725)</f>
        <v>0.04725</v>
      </c>
      <c r="K2916" s="19" t="str">
        <f>IFERROR(__xludf.DUMMYFUNCTION("""COMPUTED_VALUE"""),"-")</f>
        <v>-</v>
      </c>
      <c r="L2916" s="19" t="str">
        <f>IFERROR(__xludf.DUMMYFUNCTION("""COMPUTED_VALUE"""),"-")</f>
        <v>-</v>
      </c>
      <c r="O2916" s="24">
        <f t="shared" si="4"/>
        <v>0</v>
      </c>
      <c r="P2916" s="24"/>
      <c r="Q2916" s="24">
        <f t="shared" si="6"/>
        <v>0</v>
      </c>
      <c r="R2916" s="24">
        <f t="shared" si="7"/>
        <v>0</v>
      </c>
      <c r="S2916" s="24"/>
      <c r="T2916" s="24"/>
    </row>
    <row r="2917">
      <c r="A2917" s="12" t="s">
        <v>3004</v>
      </c>
      <c r="F2917" s="19">
        <f>IFERROR(__xludf.DUMMYFUNCTION("SPLIT(A2913, "" |"")"),2911.0)</f>
        <v>2911</v>
      </c>
      <c r="G2917" s="19">
        <f>IFERROR(__xludf.DUMMYFUNCTION("""COMPUTED_VALUE"""),0.00221)</f>
        <v>0.00221</v>
      </c>
      <c r="H2917" s="19" t="str">
        <f>IFERROR(__xludf.DUMMYFUNCTION("""COMPUTED_VALUE"""),"-")</f>
        <v>-</v>
      </c>
      <c r="I2917" s="19">
        <f>IFERROR(__xludf.DUMMYFUNCTION("""COMPUTED_VALUE"""),0.00209)</f>
        <v>0.00209</v>
      </c>
      <c r="J2917" s="19">
        <f>IFERROR(__xludf.DUMMYFUNCTION("""COMPUTED_VALUE"""),0.04009)</f>
        <v>0.04009</v>
      </c>
      <c r="K2917" s="19" t="str">
        <f>IFERROR(__xludf.DUMMYFUNCTION("""COMPUTED_VALUE"""),"-")</f>
        <v>-</v>
      </c>
      <c r="L2917" s="19" t="str">
        <f>IFERROR(__xludf.DUMMYFUNCTION("""COMPUTED_VALUE"""),"-")</f>
        <v>-</v>
      </c>
      <c r="O2917" s="24">
        <f t="shared" si="4"/>
        <v>0</v>
      </c>
      <c r="P2917" s="24"/>
      <c r="Q2917" s="24">
        <f t="shared" si="6"/>
        <v>0</v>
      </c>
      <c r="R2917" s="24">
        <f t="shared" si="7"/>
        <v>1</v>
      </c>
      <c r="S2917" s="24"/>
      <c r="T2917" s="24"/>
    </row>
    <row r="2918">
      <c r="A2918" s="12" t="s">
        <v>3005</v>
      </c>
      <c r="F2918" s="19">
        <f>IFERROR(__xludf.DUMMYFUNCTION("SPLIT(A2914, "" |"")"),2912.0)</f>
        <v>2912</v>
      </c>
      <c r="G2918" s="19">
        <f>IFERROR(__xludf.DUMMYFUNCTION("""COMPUTED_VALUE"""),0.00227)</f>
        <v>0.00227</v>
      </c>
      <c r="H2918" s="19" t="str">
        <f>IFERROR(__xludf.DUMMYFUNCTION("""COMPUTED_VALUE"""),"-")</f>
        <v>-</v>
      </c>
      <c r="I2918" s="19">
        <f>IFERROR(__xludf.DUMMYFUNCTION("""COMPUTED_VALUE"""),0.00211)</f>
        <v>0.00211</v>
      </c>
      <c r="J2918" s="19">
        <f>IFERROR(__xludf.DUMMYFUNCTION("""COMPUTED_VALUE"""),0.04522)</f>
        <v>0.04522</v>
      </c>
      <c r="K2918" s="19" t="str">
        <f>IFERROR(__xludf.DUMMYFUNCTION("""COMPUTED_VALUE"""),"-")</f>
        <v>-</v>
      </c>
      <c r="L2918" s="19" t="str">
        <f>IFERROR(__xludf.DUMMYFUNCTION("""COMPUTED_VALUE"""),"-")</f>
        <v>-</v>
      </c>
      <c r="O2918" s="24">
        <f t="shared" si="4"/>
        <v>0</v>
      </c>
      <c r="P2918" s="24"/>
      <c r="Q2918" s="24">
        <f t="shared" si="6"/>
        <v>0</v>
      </c>
      <c r="R2918" s="24">
        <f t="shared" si="7"/>
        <v>0</v>
      </c>
      <c r="S2918" s="24"/>
      <c r="T2918" s="24"/>
    </row>
    <row r="2919">
      <c r="A2919" s="12" t="s">
        <v>3006</v>
      </c>
      <c r="F2919" s="19">
        <f>IFERROR(__xludf.DUMMYFUNCTION("SPLIT(A2915, "" |"")"),2913.0)</f>
        <v>2913</v>
      </c>
      <c r="G2919" s="19">
        <f>IFERROR(__xludf.DUMMYFUNCTION("""COMPUTED_VALUE"""),0.00227)</f>
        <v>0.00227</v>
      </c>
      <c r="H2919" s="19" t="str">
        <f>IFERROR(__xludf.DUMMYFUNCTION("""COMPUTED_VALUE"""),"-")</f>
        <v>-</v>
      </c>
      <c r="I2919" s="19">
        <f>IFERROR(__xludf.DUMMYFUNCTION("""COMPUTED_VALUE"""),0.00209)</f>
        <v>0.00209</v>
      </c>
      <c r="J2919" s="19">
        <f>IFERROR(__xludf.DUMMYFUNCTION("""COMPUTED_VALUE"""),0.04728)</f>
        <v>0.04728</v>
      </c>
      <c r="K2919" s="19" t="str">
        <f>IFERROR(__xludf.DUMMYFUNCTION("""COMPUTED_VALUE"""),"-")</f>
        <v>-</v>
      </c>
      <c r="L2919" s="19" t="str">
        <f>IFERROR(__xludf.DUMMYFUNCTION("""COMPUTED_VALUE"""),"-")</f>
        <v>-</v>
      </c>
      <c r="O2919" s="24">
        <f t="shared" si="4"/>
        <v>0</v>
      </c>
      <c r="P2919" s="24"/>
      <c r="Q2919" s="24">
        <f t="shared" si="6"/>
        <v>0</v>
      </c>
      <c r="R2919" s="24">
        <f t="shared" si="7"/>
        <v>0</v>
      </c>
      <c r="S2919" s="24"/>
      <c r="T2919" s="24"/>
    </row>
    <row r="2920">
      <c r="A2920" s="12" t="s">
        <v>3007</v>
      </c>
      <c r="F2920" s="19">
        <f>IFERROR(__xludf.DUMMYFUNCTION("SPLIT(A2916, "" |"")"),2914.0)</f>
        <v>2914</v>
      </c>
      <c r="G2920" s="19">
        <f>IFERROR(__xludf.DUMMYFUNCTION("""COMPUTED_VALUE"""),0.0022)</f>
        <v>0.0022</v>
      </c>
      <c r="H2920" s="19" t="str">
        <f>IFERROR(__xludf.DUMMYFUNCTION("""COMPUTED_VALUE"""),"-")</f>
        <v>-</v>
      </c>
      <c r="I2920" s="19">
        <f>IFERROR(__xludf.DUMMYFUNCTION("""COMPUTED_VALUE"""),0.00208)</f>
        <v>0.00208</v>
      </c>
      <c r="J2920" s="19">
        <f>IFERROR(__xludf.DUMMYFUNCTION("""COMPUTED_VALUE"""),0.0456)</f>
        <v>0.0456</v>
      </c>
      <c r="K2920" s="19" t="str">
        <f>IFERROR(__xludf.DUMMYFUNCTION("""COMPUTED_VALUE"""),"-")</f>
        <v>-</v>
      </c>
      <c r="L2920" s="19" t="str">
        <f>IFERROR(__xludf.DUMMYFUNCTION("""COMPUTED_VALUE"""),"-")</f>
        <v>-</v>
      </c>
      <c r="O2920" s="24">
        <f t="shared" si="4"/>
        <v>0</v>
      </c>
      <c r="P2920" s="24"/>
      <c r="Q2920" s="24">
        <f t="shared" si="6"/>
        <v>0</v>
      </c>
      <c r="R2920" s="24">
        <f t="shared" si="7"/>
        <v>0</v>
      </c>
      <c r="S2920" s="24"/>
      <c r="T2920" s="24"/>
    </row>
    <row r="2921">
      <c r="A2921" s="12" t="s">
        <v>3008</v>
      </c>
      <c r="F2921" s="19">
        <f>IFERROR(__xludf.DUMMYFUNCTION("SPLIT(A2917, "" |"")"),2915.0)</f>
        <v>2915</v>
      </c>
      <c r="G2921" s="19">
        <f>IFERROR(__xludf.DUMMYFUNCTION("""COMPUTED_VALUE"""),0.00221)</f>
        <v>0.00221</v>
      </c>
      <c r="H2921" s="19" t="str">
        <f>IFERROR(__xludf.DUMMYFUNCTION("""COMPUTED_VALUE"""),"-")</f>
        <v>-</v>
      </c>
      <c r="I2921" s="19">
        <f>IFERROR(__xludf.DUMMYFUNCTION("""COMPUTED_VALUE"""),0.00207)</f>
        <v>0.00207</v>
      </c>
      <c r="J2921" s="19">
        <f>IFERROR(__xludf.DUMMYFUNCTION("""COMPUTED_VALUE"""),0.04098)</f>
        <v>0.04098</v>
      </c>
      <c r="K2921" s="19" t="str">
        <f>IFERROR(__xludf.DUMMYFUNCTION("""COMPUTED_VALUE"""),"-")</f>
        <v>-</v>
      </c>
      <c r="L2921" s="19" t="str">
        <f>IFERROR(__xludf.DUMMYFUNCTION("""COMPUTED_VALUE"""),"-")</f>
        <v>-</v>
      </c>
      <c r="O2921" s="24">
        <f t="shared" si="4"/>
        <v>0</v>
      </c>
      <c r="P2921" s="24"/>
      <c r="Q2921" s="24">
        <f t="shared" si="6"/>
        <v>0</v>
      </c>
      <c r="R2921" s="24">
        <f t="shared" si="7"/>
        <v>1</v>
      </c>
      <c r="S2921" s="24"/>
      <c r="T2921" s="24"/>
    </row>
    <row r="2922">
      <c r="A2922" s="12" t="s">
        <v>3009</v>
      </c>
      <c r="F2922" s="19">
        <f>IFERROR(__xludf.DUMMYFUNCTION("SPLIT(A2918, "" |"")"),2916.0)</f>
        <v>2916</v>
      </c>
      <c r="G2922" s="19">
        <f>IFERROR(__xludf.DUMMYFUNCTION("""COMPUTED_VALUE"""),0.00214)</f>
        <v>0.00214</v>
      </c>
      <c r="H2922" s="19" t="str">
        <f>IFERROR(__xludf.DUMMYFUNCTION("""COMPUTED_VALUE"""),"-")</f>
        <v>-</v>
      </c>
      <c r="I2922" s="19">
        <f>IFERROR(__xludf.DUMMYFUNCTION("""COMPUTED_VALUE"""),0.00203)</f>
        <v>0.00203</v>
      </c>
      <c r="J2922" s="19">
        <f>IFERROR(__xludf.DUMMYFUNCTION("""COMPUTED_VALUE"""),0.04721)</f>
        <v>0.04721</v>
      </c>
      <c r="K2922" s="19" t="str">
        <f>IFERROR(__xludf.DUMMYFUNCTION("""COMPUTED_VALUE"""),"-")</f>
        <v>-</v>
      </c>
      <c r="L2922" s="19" t="str">
        <f>IFERROR(__xludf.DUMMYFUNCTION("""COMPUTED_VALUE"""),"-")</f>
        <v>-</v>
      </c>
      <c r="O2922" s="24">
        <f t="shared" si="4"/>
        <v>0</v>
      </c>
      <c r="P2922" s="24"/>
      <c r="Q2922" s="24">
        <f t="shared" si="6"/>
        <v>0</v>
      </c>
      <c r="R2922" s="24">
        <f t="shared" si="7"/>
        <v>0</v>
      </c>
      <c r="S2922" s="24"/>
      <c r="T2922" s="24"/>
    </row>
    <row r="2923">
      <c r="A2923" s="12" t="s">
        <v>3010</v>
      </c>
      <c r="F2923" s="19">
        <f>IFERROR(__xludf.DUMMYFUNCTION("SPLIT(A2919, "" |"")"),2917.0)</f>
        <v>2917</v>
      </c>
      <c r="G2923" s="19">
        <f>IFERROR(__xludf.DUMMYFUNCTION("""COMPUTED_VALUE"""),0.00225)</f>
        <v>0.00225</v>
      </c>
      <c r="H2923" s="19" t="str">
        <f>IFERROR(__xludf.DUMMYFUNCTION("""COMPUTED_VALUE"""),"-")</f>
        <v>-</v>
      </c>
      <c r="I2923" s="19">
        <f>IFERROR(__xludf.DUMMYFUNCTION("""COMPUTED_VALUE"""),0.00209)</f>
        <v>0.00209</v>
      </c>
      <c r="J2923" s="19">
        <f>IFERROR(__xludf.DUMMYFUNCTION("""COMPUTED_VALUE"""),0.04727)</f>
        <v>0.04727</v>
      </c>
      <c r="K2923" s="19" t="str">
        <f>IFERROR(__xludf.DUMMYFUNCTION("""COMPUTED_VALUE"""),"-")</f>
        <v>-</v>
      </c>
      <c r="L2923" s="19" t="str">
        <f>IFERROR(__xludf.DUMMYFUNCTION("""COMPUTED_VALUE"""),"-")</f>
        <v>-</v>
      </c>
      <c r="O2923" s="24">
        <f t="shared" si="4"/>
        <v>0</v>
      </c>
      <c r="P2923" s="24"/>
      <c r="Q2923" s="24">
        <f t="shared" si="6"/>
        <v>0</v>
      </c>
      <c r="R2923" s="24">
        <f t="shared" si="7"/>
        <v>0</v>
      </c>
      <c r="S2923" s="24"/>
      <c r="T2923" s="24"/>
    </row>
    <row r="2924">
      <c r="A2924" s="12" t="s">
        <v>3011</v>
      </c>
      <c r="F2924" s="19">
        <f>IFERROR(__xludf.DUMMYFUNCTION("SPLIT(A2920, "" |"")"),2918.0)</f>
        <v>2918</v>
      </c>
      <c r="G2924" s="19">
        <f>IFERROR(__xludf.DUMMYFUNCTION("""COMPUTED_VALUE"""),0.00219)</f>
        <v>0.00219</v>
      </c>
      <c r="H2924" s="19" t="str">
        <f>IFERROR(__xludf.DUMMYFUNCTION("""COMPUTED_VALUE"""),"-")</f>
        <v>-</v>
      </c>
      <c r="I2924" s="19">
        <f>IFERROR(__xludf.DUMMYFUNCTION("""COMPUTED_VALUE"""),0.00209)</f>
        <v>0.00209</v>
      </c>
      <c r="J2924" s="19">
        <f>IFERROR(__xludf.DUMMYFUNCTION("""COMPUTED_VALUE"""),0.0455)</f>
        <v>0.0455</v>
      </c>
      <c r="K2924" s="19" t="str">
        <f>IFERROR(__xludf.DUMMYFUNCTION("""COMPUTED_VALUE"""),"-")</f>
        <v>-</v>
      </c>
      <c r="L2924" s="19" t="str">
        <f>IFERROR(__xludf.DUMMYFUNCTION("""COMPUTED_VALUE"""),"-")</f>
        <v>-</v>
      </c>
      <c r="O2924" s="24">
        <f t="shared" si="4"/>
        <v>0</v>
      </c>
      <c r="P2924" s="24"/>
      <c r="Q2924" s="24">
        <f t="shared" si="6"/>
        <v>0</v>
      </c>
      <c r="R2924" s="24">
        <f t="shared" si="7"/>
        <v>0</v>
      </c>
      <c r="S2924" s="24"/>
      <c r="T2924" s="24"/>
    </row>
    <row r="2925">
      <c r="A2925" s="12" t="s">
        <v>3012</v>
      </c>
      <c r="F2925" s="19">
        <f>IFERROR(__xludf.DUMMYFUNCTION("SPLIT(A2921, "" |"")"),2919.0)</f>
        <v>2919</v>
      </c>
      <c r="G2925" s="19">
        <f>IFERROR(__xludf.DUMMYFUNCTION("""COMPUTED_VALUE"""),0.0022)</f>
        <v>0.0022</v>
      </c>
      <c r="H2925" s="19" t="str">
        <f>IFERROR(__xludf.DUMMYFUNCTION("""COMPUTED_VALUE"""),"-")</f>
        <v>-</v>
      </c>
      <c r="I2925" s="19">
        <f>IFERROR(__xludf.DUMMYFUNCTION("""COMPUTED_VALUE"""),0.0021)</f>
        <v>0.0021</v>
      </c>
      <c r="J2925" s="19">
        <f>IFERROR(__xludf.DUMMYFUNCTION("""COMPUTED_VALUE"""),0.04726)</f>
        <v>0.04726</v>
      </c>
      <c r="K2925" s="19" t="str">
        <f>IFERROR(__xludf.DUMMYFUNCTION("""COMPUTED_VALUE"""),"-")</f>
        <v>-</v>
      </c>
      <c r="L2925" s="19" t="str">
        <f>IFERROR(__xludf.DUMMYFUNCTION("""COMPUTED_VALUE"""),"-")</f>
        <v>-</v>
      </c>
      <c r="O2925" s="24">
        <f t="shared" si="4"/>
        <v>0</v>
      </c>
      <c r="P2925" s="24"/>
      <c r="Q2925" s="24">
        <f t="shared" si="6"/>
        <v>0</v>
      </c>
      <c r="R2925" s="24">
        <f t="shared" si="7"/>
        <v>0</v>
      </c>
      <c r="S2925" s="24"/>
      <c r="T2925" s="24"/>
    </row>
    <row r="2926">
      <c r="A2926" s="12" t="s">
        <v>3013</v>
      </c>
      <c r="F2926" s="19">
        <f>IFERROR(__xludf.DUMMYFUNCTION("SPLIT(A2922, "" |"")"),2920.0)</f>
        <v>2920</v>
      </c>
      <c r="G2926" s="19">
        <f>IFERROR(__xludf.DUMMYFUNCTION("""COMPUTED_VALUE"""),0.00218)</f>
        <v>0.00218</v>
      </c>
      <c r="H2926" s="19" t="str">
        <f>IFERROR(__xludf.DUMMYFUNCTION("""COMPUTED_VALUE"""),"-")</f>
        <v>-</v>
      </c>
      <c r="I2926" s="19">
        <f>IFERROR(__xludf.DUMMYFUNCTION("""COMPUTED_VALUE"""),0.00207)</f>
        <v>0.00207</v>
      </c>
      <c r="J2926" s="19">
        <f>IFERROR(__xludf.DUMMYFUNCTION("""COMPUTED_VALUE"""),0.04718)</f>
        <v>0.04718</v>
      </c>
      <c r="K2926" s="19" t="str">
        <f>IFERROR(__xludf.DUMMYFUNCTION("""COMPUTED_VALUE"""),"-")</f>
        <v>-</v>
      </c>
      <c r="L2926" s="19" t="str">
        <f>IFERROR(__xludf.DUMMYFUNCTION("""COMPUTED_VALUE"""),"-")</f>
        <v>-</v>
      </c>
      <c r="O2926" s="24">
        <f t="shared" si="4"/>
        <v>0</v>
      </c>
      <c r="P2926" s="24"/>
      <c r="Q2926" s="24">
        <f t="shared" si="6"/>
        <v>0</v>
      </c>
      <c r="R2926" s="24">
        <f t="shared" si="7"/>
        <v>0</v>
      </c>
      <c r="S2926" s="24"/>
      <c r="T2926" s="24"/>
    </row>
    <row r="2927">
      <c r="A2927" s="12" t="s">
        <v>3014</v>
      </c>
      <c r="F2927" s="19">
        <f>IFERROR(__xludf.DUMMYFUNCTION("SPLIT(A2923, "" |"")"),2921.0)</f>
        <v>2921</v>
      </c>
      <c r="G2927" s="19">
        <f>IFERROR(__xludf.DUMMYFUNCTION("""COMPUTED_VALUE"""),0.00222)</f>
        <v>0.00222</v>
      </c>
      <c r="H2927" s="19" t="str">
        <f>IFERROR(__xludf.DUMMYFUNCTION("""COMPUTED_VALUE"""),"-")</f>
        <v>-</v>
      </c>
      <c r="I2927" s="19">
        <f>IFERROR(__xludf.DUMMYFUNCTION("""COMPUTED_VALUE"""),0.0021)</f>
        <v>0.0021</v>
      </c>
      <c r="J2927" s="19">
        <f>IFERROR(__xludf.DUMMYFUNCTION("""COMPUTED_VALUE"""),0.04579)</f>
        <v>0.04579</v>
      </c>
      <c r="K2927" s="19" t="str">
        <f>IFERROR(__xludf.DUMMYFUNCTION("""COMPUTED_VALUE"""),"-")</f>
        <v>-</v>
      </c>
      <c r="L2927" s="19" t="str">
        <f>IFERROR(__xludf.DUMMYFUNCTION("""COMPUTED_VALUE"""),"-")</f>
        <v>-</v>
      </c>
      <c r="O2927" s="24">
        <f t="shared" si="4"/>
        <v>0</v>
      </c>
      <c r="P2927" s="24"/>
      <c r="Q2927" s="24">
        <f t="shared" si="6"/>
        <v>0</v>
      </c>
      <c r="R2927" s="24">
        <f t="shared" si="7"/>
        <v>0</v>
      </c>
      <c r="S2927" s="24"/>
      <c r="T2927" s="24"/>
    </row>
    <row r="2928">
      <c r="A2928" s="12" t="s">
        <v>3015</v>
      </c>
      <c r="F2928" s="19">
        <f>IFERROR(__xludf.DUMMYFUNCTION("SPLIT(A2924, "" |"")"),2922.0)</f>
        <v>2922</v>
      </c>
      <c r="G2928" s="19">
        <f>IFERROR(__xludf.DUMMYFUNCTION("""COMPUTED_VALUE"""),0.00225)</f>
        <v>0.00225</v>
      </c>
      <c r="H2928" s="19" t="str">
        <f>IFERROR(__xludf.DUMMYFUNCTION("""COMPUTED_VALUE"""),"-")</f>
        <v>-</v>
      </c>
      <c r="I2928" s="19">
        <f>IFERROR(__xludf.DUMMYFUNCTION("""COMPUTED_VALUE"""),0.00208)</f>
        <v>0.00208</v>
      </c>
      <c r="J2928" s="19">
        <f>IFERROR(__xludf.DUMMYFUNCTION("""COMPUTED_VALUE"""),0.04732)</f>
        <v>0.04732</v>
      </c>
      <c r="K2928" s="19" t="str">
        <f>IFERROR(__xludf.DUMMYFUNCTION("""COMPUTED_VALUE"""),"-")</f>
        <v>-</v>
      </c>
      <c r="L2928" s="19" t="str">
        <f>IFERROR(__xludf.DUMMYFUNCTION("""COMPUTED_VALUE"""),"-")</f>
        <v>-</v>
      </c>
      <c r="O2928" s="24">
        <f t="shared" si="4"/>
        <v>0</v>
      </c>
      <c r="P2928" s="24"/>
      <c r="Q2928" s="24">
        <f t="shared" si="6"/>
        <v>0</v>
      </c>
      <c r="R2928" s="24">
        <f t="shared" si="7"/>
        <v>0</v>
      </c>
      <c r="S2928" s="24"/>
      <c r="T2928" s="24"/>
    </row>
    <row r="2929">
      <c r="A2929" s="12" t="s">
        <v>3016</v>
      </c>
      <c r="F2929" s="19">
        <f>IFERROR(__xludf.DUMMYFUNCTION("SPLIT(A2925, "" |"")"),2923.0)</f>
        <v>2923</v>
      </c>
      <c r="G2929" s="19">
        <f>IFERROR(__xludf.DUMMYFUNCTION("""COMPUTED_VALUE"""),0.00224)</f>
        <v>0.00224</v>
      </c>
      <c r="H2929" s="19" t="str">
        <f>IFERROR(__xludf.DUMMYFUNCTION("""COMPUTED_VALUE"""),"-")</f>
        <v>-</v>
      </c>
      <c r="I2929" s="19">
        <f>IFERROR(__xludf.DUMMYFUNCTION("""COMPUTED_VALUE"""),0.00209)</f>
        <v>0.00209</v>
      </c>
      <c r="J2929" s="19">
        <f>IFERROR(__xludf.DUMMYFUNCTION("""COMPUTED_VALUE"""),0.04465)</f>
        <v>0.04465</v>
      </c>
      <c r="K2929" s="19" t="str">
        <f>IFERROR(__xludf.DUMMYFUNCTION("""COMPUTED_VALUE"""),"-")</f>
        <v>-</v>
      </c>
      <c r="L2929" s="19" t="str">
        <f>IFERROR(__xludf.DUMMYFUNCTION("""COMPUTED_VALUE"""),"-")</f>
        <v>-</v>
      </c>
      <c r="O2929" s="24">
        <f t="shared" si="4"/>
        <v>0</v>
      </c>
      <c r="P2929" s="24"/>
      <c r="Q2929" s="24">
        <f t="shared" si="6"/>
        <v>0</v>
      </c>
      <c r="R2929" s="24">
        <f t="shared" si="7"/>
        <v>1</v>
      </c>
      <c r="S2929" s="24"/>
      <c r="T2929" s="24"/>
    </row>
    <row r="2930">
      <c r="A2930" s="12" t="s">
        <v>3017</v>
      </c>
      <c r="F2930" s="19">
        <f>IFERROR(__xludf.DUMMYFUNCTION("SPLIT(A2926, "" |"")"),2924.0)</f>
        <v>2924</v>
      </c>
      <c r="G2930" s="19">
        <f>IFERROR(__xludf.DUMMYFUNCTION("""COMPUTED_VALUE"""),0.00237)</f>
        <v>0.00237</v>
      </c>
      <c r="H2930" s="19" t="str">
        <f>IFERROR(__xludf.DUMMYFUNCTION("""COMPUTED_VALUE"""),"-")</f>
        <v>-</v>
      </c>
      <c r="I2930" s="19">
        <f>IFERROR(__xludf.DUMMYFUNCTION("""COMPUTED_VALUE"""),0.00211)</f>
        <v>0.00211</v>
      </c>
      <c r="J2930" s="19">
        <f>IFERROR(__xludf.DUMMYFUNCTION("""COMPUTED_VALUE"""),0.0473)</f>
        <v>0.0473</v>
      </c>
      <c r="K2930" s="19" t="str">
        <f>IFERROR(__xludf.DUMMYFUNCTION("""COMPUTED_VALUE"""),"-")</f>
        <v>-</v>
      </c>
      <c r="L2930" s="19" t="str">
        <f>IFERROR(__xludf.DUMMYFUNCTION("""COMPUTED_VALUE"""),"-")</f>
        <v>-</v>
      </c>
      <c r="O2930" s="24">
        <f t="shared" si="4"/>
        <v>0</v>
      </c>
      <c r="P2930" s="24"/>
      <c r="Q2930" s="24">
        <f t="shared" si="6"/>
        <v>0</v>
      </c>
      <c r="R2930" s="24">
        <f t="shared" si="7"/>
        <v>0</v>
      </c>
      <c r="S2930" s="24"/>
      <c r="T2930" s="24"/>
    </row>
    <row r="2931">
      <c r="A2931" s="12" t="s">
        <v>3018</v>
      </c>
      <c r="F2931" s="19">
        <f>IFERROR(__xludf.DUMMYFUNCTION("SPLIT(A2927, "" |"")"),2925.0)</f>
        <v>2925</v>
      </c>
      <c r="G2931" s="19">
        <f>IFERROR(__xludf.DUMMYFUNCTION("""COMPUTED_VALUE"""),0.00222)</f>
        <v>0.00222</v>
      </c>
      <c r="H2931" s="19" t="str">
        <f>IFERROR(__xludf.DUMMYFUNCTION("""COMPUTED_VALUE"""),"-")</f>
        <v>-</v>
      </c>
      <c r="I2931" s="19">
        <f>IFERROR(__xludf.DUMMYFUNCTION("""COMPUTED_VALUE"""),0.00209)</f>
        <v>0.00209</v>
      </c>
      <c r="J2931" s="19">
        <f>IFERROR(__xludf.DUMMYFUNCTION("""COMPUTED_VALUE"""),0.04731)</f>
        <v>0.04731</v>
      </c>
      <c r="K2931" s="19" t="str">
        <f>IFERROR(__xludf.DUMMYFUNCTION("""COMPUTED_VALUE"""),"-")</f>
        <v>-</v>
      </c>
      <c r="L2931" s="19" t="str">
        <f>IFERROR(__xludf.DUMMYFUNCTION("""COMPUTED_VALUE"""),"-")</f>
        <v>-</v>
      </c>
      <c r="O2931" s="24">
        <f t="shared" si="4"/>
        <v>0</v>
      </c>
      <c r="P2931" s="24"/>
      <c r="Q2931" s="24">
        <f t="shared" si="6"/>
        <v>0</v>
      </c>
      <c r="R2931" s="24">
        <f t="shared" si="7"/>
        <v>0</v>
      </c>
      <c r="S2931" s="24"/>
      <c r="T2931" s="24"/>
    </row>
    <row r="2932">
      <c r="A2932" s="12" t="s">
        <v>3019</v>
      </c>
      <c r="F2932" s="19">
        <f>IFERROR(__xludf.DUMMYFUNCTION("SPLIT(A2928, "" |"")"),2926.0)</f>
        <v>2926</v>
      </c>
      <c r="G2932" s="19">
        <f>IFERROR(__xludf.DUMMYFUNCTION("""COMPUTED_VALUE"""),0.00224)</f>
        <v>0.00224</v>
      </c>
      <c r="H2932" s="19" t="str">
        <f>IFERROR(__xludf.DUMMYFUNCTION("""COMPUTED_VALUE"""),"-")</f>
        <v>-</v>
      </c>
      <c r="I2932" s="19">
        <f>IFERROR(__xludf.DUMMYFUNCTION("""COMPUTED_VALUE"""),0.00212)</f>
        <v>0.00212</v>
      </c>
      <c r="J2932" s="19">
        <f>IFERROR(__xludf.DUMMYFUNCTION("""COMPUTED_VALUE"""),0.04726)</f>
        <v>0.04726</v>
      </c>
      <c r="K2932" s="19" t="str">
        <f>IFERROR(__xludf.DUMMYFUNCTION("""COMPUTED_VALUE"""),"-")</f>
        <v>-</v>
      </c>
      <c r="L2932" s="19" t="str">
        <f>IFERROR(__xludf.DUMMYFUNCTION("""COMPUTED_VALUE"""),"-")</f>
        <v>-</v>
      </c>
      <c r="O2932" s="24">
        <f t="shared" si="4"/>
        <v>0</v>
      </c>
      <c r="P2932" s="24"/>
      <c r="Q2932" s="24">
        <f t="shared" si="6"/>
        <v>0</v>
      </c>
      <c r="R2932" s="24">
        <f t="shared" si="7"/>
        <v>0</v>
      </c>
      <c r="S2932" s="24"/>
      <c r="T2932" s="24"/>
    </row>
    <row r="2933">
      <c r="A2933" s="12" t="s">
        <v>3020</v>
      </c>
      <c r="F2933" s="19">
        <f>IFERROR(__xludf.DUMMYFUNCTION("SPLIT(A2929, "" |"")"),2927.0)</f>
        <v>2927</v>
      </c>
      <c r="G2933" s="19">
        <f>IFERROR(__xludf.DUMMYFUNCTION("""COMPUTED_VALUE"""),0.00224)</f>
        <v>0.00224</v>
      </c>
      <c r="H2933" s="19" t="str">
        <f>IFERROR(__xludf.DUMMYFUNCTION("""COMPUTED_VALUE"""),"-")</f>
        <v>-</v>
      </c>
      <c r="I2933" s="19">
        <f>IFERROR(__xludf.DUMMYFUNCTION("""COMPUTED_VALUE"""),0.00211)</f>
        <v>0.00211</v>
      </c>
      <c r="J2933" s="19">
        <f>IFERROR(__xludf.DUMMYFUNCTION("""COMPUTED_VALUE"""),0.0462)</f>
        <v>0.0462</v>
      </c>
      <c r="K2933" s="19" t="str">
        <f>IFERROR(__xludf.DUMMYFUNCTION("""COMPUTED_VALUE"""),"-")</f>
        <v>-</v>
      </c>
      <c r="L2933" s="19" t="str">
        <f>IFERROR(__xludf.DUMMYFUNCTION("""COMPUTED_VALUE"""),"-")</f>
        <v>-</v>
      </c>
      <c r="O2933" s="24">
        <f t="shared" si="4"/>
        <v>0</v>
      </c>
      <c r="P2933" s="24"/>
      <c r="Q2933" s="24">
        <f t="shared" si="6"/>
        <v>0</v>
      </c>
      <c r="R2933" s="24">
        <f t="shared" si="7"/>
        <v>0</v>
      </c>
      <c r="S2933" s="24"/>
      <c r="T2933" s="24"/>
    </row>
    <row r="2934">
      <c r="A2934" s="12" t="s">
        <v>3021</v>
      </c>
      <c r="F2934" s="19">
        <f>IFERROR(__xludf.DUMMYFUNCTION("SPLIT(A2930, "" |"")"),2928.0)</f>
        <v>2928</v>
      </c>
      <c r="G2934" s="19">
        <f>IFERROR(__xludf.DUMMYFUNCTION("""COMPUTED_VALUE"""),0.00238)</f>
        <v>0.00238</v>
      </c>
      <c r="H2934" s="19" t="str">
        <f>IFERROR(__xludf.DUMMYFUNCTION("""COMPUTED_VALUE"""),"-")</f>
        <v>-</v>
      </c>
      <c r="I2934" s="19">
        <f>IFERROR(__xludf.DUMMYFUNCTION("""COMPUTED_VALUE"""),0.00218)</f>
        <v>0.00218</v>
      </c>
      <c r="J2934" s="19">
        <f>IFERROR(__xludf.DUMMYFUNCTION("""COMPUTED_VALUE"""),0.04734)</f>
        <v>0.04734</v>
      </c>
      <c r="K2934" s="19" t="str">
        <f>IFERROR(__xludf.DUMMYFUNCTION("""COMPUTED_VALUE"""),"-")</f>
        <v>-</v>
      </c>
      <c r="L2934" s="19" t="str">
        <f>IFERROR(__xludf.DUMMYFUNCTION("""COMPUTED_VALUE"""),"-")</f>
        <v>-</v>
      </c>
      <c r="O2934" s="24">
        <f t="shared" si="4"/>
        <v>0</v>
      </c>
      <c r="P2934" s="24"/>
      <c r="Q2934" s="24">
        <f t="shared" si="6"/>
        <v>0</v>
      </c>
      <c r="R2934" s="24">
        <f t="shared" si="7"/>
        <v>0</v>
      </c>
      <c r="S2934" s="24"/>
      <c r="T2934" s="24"/>
    </row>
    <row r="2935">
      <c r="A2935" s="12" t="s">
        <v>3022</v>
      </c>
      <c r="F2935" s="19">
        <f>IFERROR(__xludf.DUMMYFUNCTION("SPLIT(A2931, "" |"")"),2929.0)</f>
        <v>2929</v>
      </c>
      <c r="G2935" s="19">
        <f>IFERROR(__xludf.DUMMYFUNCTION("""COMPUTED_VALUE"""),0.00233)</f>
        <v>0.00233</v>
      </c>
      <c r="H2935" s="19" t="str">
        <f>IFERROR(__xludf.DUMMYFUNCTION("""COMPUTED_VALUE"""),"-")</f>
        <v>-</v>
      </c>
      <c r="I2935" s="19">
        <f>IFERROR(__xludf.DUMMYFUNCTION("""COMPUTED_VALUE"""),0.00214)</f>
        <v>0.00214</v>
      </c>
      <c r="J2935" s="19">
        <f>IFERROR(__xludf.DUMMYFUNCTION("""COMPUTED_VALUE"""),0.04721)</f>
        <v>0.04721</v>
      </c>
      <c r="K2935" s="19" t="str">
        <f>IFERROR(__xludf.DUMMYFUNCTION("""COMPUTED_VALUE"""),"-")</f>
        <v>-</v>
      </c>
      <c r="L2935" s="19" t="str">
        <f>IFERROR(__xludf.DUMMYFUNCTION("""COMPUTED_VALUE"""),"-")</f>
        <v>-</v>
      </c>
      <c r="O2935" s="24">
        <f t="shared" si="4"/>
        <v>0</v>
      </c>
      <c r="P2935" s="24"/>
      <c r="Q2935" s="24">
        <f t="shared" si="6"/>
        <v>0</v>
      </c>
      <c r="R2935" s="24">
        <f t="shared" si="7"/>
        <v>0</v>
      </c>
      <c r="S2935" s="24"/>
      <c r="T2935" s="24"/>
    </row>
    <row r="2936">
      <c r="A2936" s="12" t="s">
        <v>3023</v>
      </c>
      <c r="F2936" s="19">
        <f>IFERROR(__xludf.DUMMYFUNCTION("SPLIT(A2932, "" |"")"),2930.0)</f>
        <v>2930</v>
      </c>
      <c r="G2936" s="19">
        <f>IFERROR(__xludf.DUMMYFUNCTION("""COMPUTED_VALUE"""),0.00224)</f>
        <v>0.00224</v>
      </c>
      <c r="H2936" s="19" t="str">
        <f>IFERROR(__xludf.DUMMYFUNCTION("""COMPUTED_VALUE"""),"-")</f>
        <v>-</v>
      </c>
      <c r="I2936" s="19">
        <f>IFERROR(__xludf.DUMMYFUNCTION("""COMPUTED_VALUE"""),0.00206)</f>
        <v>0.00206</v>
      </c>
      <c r="J2936" s="19">
        <f>IFERROR(__xludf.DUMMYFUNCTION("""COMPUTED_VALUE"""),0.04121)</f>
        <v>0.04121</v>
      </c>
      <c r="K2936" s="19" t="str">
        <f>IFERROR(__xludf.DUMMYFUNCTION("""COMPUTED_VALUE"""),"-")</f>
        <v>-</v>
      </c>
      <c r="L2936" s="19" t="str">
        <f>IFERROR(__xludf.DUMMYFUNCTION("""COMPUTED_VALUE"""),"-")</f>
        <v>-</v>
      </c>
      <c r="O2936" s="24">
        <f t="shared" si="4"/>
        <v>0</v>
      </c>
      <c r="P2936" s="24"/>
      <c r="Q2936" s="24">
        <f t="shared" si="6"/>
        <v>0</v>
      </c>
      <c r="R2936" s="24">
        <f t="shared" si="7"/>
        <v>1</v>
      </c>
      <c r="S2936" s="24"/>
      <c r="T2936" s="24"/>
    </row>
    <row r="2937">
      <c r="A2937" s="12" t="s">
        <v>3024</v>
      </c>
      <c r="F2937" s="19">
        <f>IFERROR(__xludf.DUMMYFUNCTION("SPLIT(A2933, "" |"")"),2931.0)</f>
        <v>2931</v>
      </c>
      <c r="G2937" s="19">
        <f>IFERROR(__xludf.DUMMYFUNCTION("""COMPUTED_VALUE"""),0.00223)</f>
        <v>0.00223</v>
      </c>
      <c r="H2937" s="19" t="str">
        <f>IFERROR(__xludf.DUMMYFUNCTION("""COMPUTED_VALUE"""),"-")</f>
        <v>-</v>
      </c>
      <c r="I2937" s="19">
        <f>IFERROR(__xludf.DUMMYFUNCTION("""COMPUTED_VALUE"""),0.00211)</f>
        <v>0.00211</v>
      </c>
      <c r="J2937" s="19">
        <f>IFERROR(__xludf.DUMMYFUNCTION("""COMPUTED_VALUE"""),0.04727)</f>
        <v>0.04727</v>
      </c>
      <c r="K2937" s="19" t="str">
        <f>IFERROR(__xludf.DUMMYFUNCTION("""COMPUTED_VALUE"""),"-")</f>
        <v>-</v>
      </c>
      <c r="L2937" s="19" t="str">
        <f>IFERROR(__xludf.DUMMYFUNCTION("""COMPUTED_VALUE"""),"-")</f>
        <v>-</v>
      </c>
      <c r="O2937" s="24">
        <f t="shared" si="4"/>
        <v>0</v>
      </c>
      <c r="P2937" s="24"/>
      <c r="Q2937" s="24">
        <f t="shared" si="6"/>
        <v>0</v>
      </c>
      <c r="R2937" s="24">
        <f t="shared" si="7"/>
        <v>0</v>
      </c>
      <c r="S2937" s="24"/>
      <c r="T2937" s="24"/>
    </row>
    <row r="2938">
      <c r="A2938" s="12" t="s">
        <v>3025</v>
      </c>
      <c r="F2938" s="19">
        <f>IFERROR(__xludf.DUMMYFUNCTION("SPLIT(A2934, "" |"")"),2932.0)</f>
        <v>2932</v>
      </c>
      <c r="G2938" s="19">
        <f>IFERROR(__xludf.DUMMYFUNCTION("""COMPUTED_VALUE"""),0.0027)</f>
        <v>0.0027</v>
      </c>
      <c r="H2938" s="19" t="str">
        <f>IFERROR(__xludf.DUMMYFUNCTION("""COMPUTED_VALUE"""),"-")</f>
        <v>-</v>
      </c>
      <c r="I2938" s="19">
        <f>IFERROR(__xludf.DUMMYFUNCTION("""COMPUTED_VALUE"""),0.00248)</f>
        <v>0.00248</v>
      </c>
      <c r="J2938" s="19">
        <f>IFERROR(__xludf.DUMMYFUNCTION("""COMPUTED_VALUE"""),0.04598)</f>
        <v>0.04598</v>
      </c>
      <c r="K2938" s="19" t="str">
        <f>IFERROR(__xludf.DUMMYFUNCTION("""COMPUTED_VALUE"""),"-")</f>
        <v>-</v>
      </c>
      <c r="L2938" s="19" t="str">
        <f>IFERROR(__xludf.DUMMYFUNCTION("""COMPUTED_VALUE"""),"-")</f>
        <v>-</v>
      </c>
      <c r="O2938" s="24">
        <f t="shared" si="4"/>
        <v>0</v>
      </c>
      <c r="P2938" s="24"/>
      <c r="Q2938" s="24">
        <f t="shared" si="6"/>
        <v>0</v>
      </c>
      <c r="R2938" s="24">
        <f t="shared" si="7"/>
        <v>0</v>
      </c>
      <c r="S2938" s="24"/>
      <c r="T2938" s="24"/>
    </row>
    <row r="2939">
      <c r="A2939" s="12" t="s">
        <v>3026</v>
      </c>
      <c r="F2939" s="19">
        <f>IFERROR(__xludf.DUMMYFUNCTION("SPLIT(A2935, "" |"")"),2933.0)</f>
        <v>2933</v>
      </c>
      <c r="G2939" s="19">
        <f>IFERROR(__xludf.DUMMYFUNCTION("""COMPUTED_VALUE"""),0.00223)</f>
        <v>0.00223</v>
      </c>
      <c r="H2939" s="19" t="str">
        <f>IFERROR(__xludf.DUMMYFUNCTION("""COMPUTED_VALUE"""),"-")</f>
        <v>-</v>
      </c>
      <c r="I2939" s="19">
        <f>IFERROR(__xludf.DUMMYFUNCTION("""COMPUTED_VALUE"""),0.0021)</f>
        <v>0.0021</v>
      </c>
      <c r="J2939" s="19">
        <f>IFERROR(__xludf.DUMMYFUNCTION("""COMPUTED_VALUE"""),0.04723)</f>
        <v>0.04723</v>
      </c>
      <c r="K2939" s="19" t="str">
        <f>IFERROR(__xludf.DUMMYFUNCTION("""COMPUTED_VALUE"""),"-")</f>
        <v>-</v>
      </c>
      <c r="L2939" s="19" t="str">
        <f>IFERROR(__xludf.DUMMYFUNCTION("""COMPUTED_VALUE"""),"-")</f>
        <v>-</v>
      </c>
      <c r="O2939" s="24">
        <f t="shared" si="4"/>
        <v>0</v>
      </c>
      <c r="P2939" s="24"/>
      <c r="Q2939" s="24">
        <f t="shared" si="6"/>
        <v>0</v>
      </c>
      <c r="R2939" s="24">
        <f t="shared" si="7"/>
        <v>0</v>
      </c>
      <c r="S2939" s="24"/>
      <c r="T2939" s="24"/>
    </row>
    <row r="2940">
      <c r="A2940" s="12" t="s">
        <v>3027</v>
      </c>
      <c r="F2940" s="19">
        <f>IFERROR(__xludf.DUMMYFUNCTION("SPLIT(A2936, "" |"")"),2934.0)</f>
        <v>2934</v>
      </c>
      <c r="G2940" s="19">
        <f>IFERROR(__xludf.DUMMYFUNCTION("""COMPUTED_VALUE"""),0.00223)</f>
        <v>0.00223</v>
      </c>
      <c r="H2940" s="19" t="str">
        <f>IFERROR(__xludf.DUMMYFUNCTION("""COMPUTED_VALUE"""),"-")</f>
        <v>-</v>
      </c>
      <c r="I2940" s="19">
        <f>IFERROR(__xludf.DUMMYFUNCTION("""COMPUTED_VALUE"""),0.00208)</f>
        <v>0.00208</v>
      </c>
      <c r="J2940" s="19">
        <f>IFERROR(__xludf.DUMMYFUNCTION("""COMPUTED_VALUE"""),0.04727)</f>
        <v>0.04727</v>
      </c>
      <c r="K2940" s="19" t="str">
        <f>IFERROR(__xludf.DUMMYFUNCTION("""COMPUTED_VALUE"""),"-")</f>
        <v>-</v>
      </c>
      <c r="L2940" s="19" t="str">
        <f>IFERROR(__xludf.DUMMYFUNCTION("""COMPUTED_VALUE"""),"-")</f>
        <v>-</v>
      </c>
      <c r="O2940" s="24">
        <f t="shared" si="4"/>
        <v>0</v>
      </c>
      <c r="P2940" s="24"/>
      <c r="Q2940" s="24">
        <f t="shared" si="6"/>
        <v>0</v>
      </c>
      <c r="R2940" s="24">
        <f t="shared" si="7"/>
        <v>0</v>
      </c>
      <c r="S2940" s="24"/>
      <c r="T2940" s="24"/>
    </row>
    <row r="2941">
      <c r="A2941" s="12" t="s">
        <v>3028</v>
      </c>
      <c r="F2941" s="19">
        <f>IFERROR(__xludf.DUMMYFUNCTION("SPLIT(A2937, "" |"")"),2935.0)</f>
        <v>2935</v>
      </c>
      <c r="G2941" s="19">
        <f>IFERROR(__xludf.DUMMYFUNCTION("""COMPUTED_VALUE"""),0.0022)</f>
        <v>0.0022</v>
      </c>
      <c r="H2941" s="19" t="str">
        <f>IFERROR(__xludf.DUMMYFUNCTION("""COMPUTED_VALUE"""),"-")</f>
        <v>-</v>
      </c>
      <c r="I2941" s="19">
        <f>IFERROR(__xludf.DUMMYFUNCTION("""COMPUTED_VALUE"""),0.00209)</f>
        <v>0.00209</v>
      </c>
      <c r="J2941" s="19">
        <f>IFERROR(__xludf.DUMMYFUNCTION("""COMPUTED_VALUE"""),0.04725)</f>
        <v>0.04725</v>
      </c>
      <c r="K2941" s="19" t="str">
        <f>IFERROR(__xludf.DUMMYFUNCTION("""COMPUTED_VALUE"""),"-")</f>
        <v>-</v>
      </c>
      <c r="L2941" s="19" t="str">
        <f>IFERROR(__xludf.DUMMYFUNCTION("""COMPUTED_VALUE"""),"-")</f>
        <v>-</v>
      </c>
      <c r="O2941" s="24">
        <f t="shared" si="4"/>
        <v>0</v>
      </c>
      <c r="P2941" s="24"/>
      <c r="Q2941" s="24">
        <f t="shared" si="6"/>
        <v>0</v>
      </c>
      <c r="R2941" s="24">
        <f t="shared" si="7"/>
        <v>0</v>
      </c>
      <c r="S2941" s="24"/>
      <c r="T2941" s="24"/>
    </row>
    <row r="2942">
      <c r="A2942" s="12" t="s">
        <v>3029</v>
      </c>
      <c r="F2942" s="19">
        <f>IFERROR(__xludf.DUMMYFUNCTION("SPLIT(A2938, "" |"")"),2936.0)</f>
        <v>2936</v>
      </c>
      <c r="G2942" s="19">
        <f>IFERROR(__xludf.DUMMYFUNCTION("""COMPUTED_VALUE"""),0.00216)</f>
        <v>0.00216</v>
      </c>
      <c r="H2942" s="19" t="str">
        <f>IFERROR(__xludf.DUMMYFUNCTION("""COMPUTED_VALUE"""),"-")</f>
        <v>-</v>
      </c>
      <c r="I2942" s="19">
        <f>IFERROR(__xludf.DUMMYFUNCTION("""COMPUTED_VALUE"""),0.0021)</f>
        <v>0.0021</v>
      </c>
      <c r="J2942" s="19">
        <f>IFERROR(__xludf.DUMMYFUNCTION("""COMPUTED_VALUE"""),0.0478)</f>
        <v>0.0478</v>
      </c>
      <c r="K2942" s="19" t="str">
        <f>IFERROR(__xludf.DUMMYFUNCTION("""COMPUTED_VALUE"""),"-")</f>
        <v>-</v>
      </c>
      <c r="L2942" s="19" t="str">
        <f>IFERROR(__xludf.DUMMYFUNCTION("""COMPUTED_VALUE"""),"-")</f>
        <v>-</v>
      </c>
      <c r="O2942" s="24">
        <f t="shared" si="4"/>
        <v>0</v>
      </c>
      <c r="P2942" s="24"/>
      <c r="Q2942" s="24">
        <f t="shared" si="6"/>
        <v>0</v>
      </c>
      <c r="R2942" s="24">
        <f t="shared" si="7"/>
        <v>0</v>
      </c>
      <c r="S2942" s="24"/>
      <c r="T2942" s="24"/>
    </row>
    <row r="2943">
      <c r="A2943" s="12" t="s">
        <v>3030</v>
      </c>
      <c r="F2943" s="19">
        <f>IFERROR(__xludf.DUMMYFUNCTION("SPLIT(A2939, "" |"")"),2937.0)</f>
        <v>2937</v>
      </c>
      <c r="G2943" s="19">
        <f>IFERROR(__xludf.DUMMYFUNCTION("""COMPUTED_VALUE"""),0.00225)</f>
        <v>0.00225</v>
      </c>
      <c r="H2943" s="19" t="str">
        <f>IFERROR(__xludf.DUMMYFUNCTION("""COMPUTED_VALUE"""),"-")</f>
        <v>-</v>
      </c>
      <c r="I2943" s="19">
        <f>IFERROR(__xludf.DUMMYFUNCTION("""COMPUTED_VALUE"""),0.00211)</f>
        <v>0.00211</v>
      </c>
      <c r="J2943" s="19">
        <f>IFERROR(__xludf.DUMMYFUNCTION("""COMPUTED_VALUE"""),0.04727)</f>
        <v>0.04727</v>
      </c>
      <c r="K2943" s="19" t="str">
        <f>IFERROR(__xludf.DUMMYFUNCTION("""COMPUTED_VALUE"""),"-")</f>
        <v>-</v>
      </c>
      <c r="L2943" s="19" t="str">
        <f>IFERROR(__xludf.DUMMYFUNCTION("""COMPUTED_VALUE"""),"-")</f>
        <v>-</v>
      </c>
      <c r="O2943" s="24">
        <f t="shared" si="4"/>
        <v>0</v>
      </c>
      <c r="P2943" s="24"/>
      <c r="Q2943" s="24">
        <f t="shared" si="6"/>
        <v>0</v>
      </c>
      <c r="R2943" s="24">
        <f t="shared" si="7"/>
        <v>0</v>
      </c>
      <c r="S2943" s="24"/>
      <c r="T2943" s="24"/>
    </row>
    <row r="2944">
      <c r="A2944" s="12" t="s">
        <v>3031</v>
      </c>
      <c r="F2944" s="19">
        <f>IFERROR(__xludf.DUMMYFUNCTION("SPLIT(A2940, "" |"")"),2938.0)</f>
        <v>2938</v>
      </c>
      <c r="G2944" s="19">
        <f>IFERROR(__xludf.DUMMYFUNCTION("""COMPUTED_VALUE"""),0.00231)</f>
        <v>0.00231</v>
      </c>
      <c r="H2944" s="19" t="str">
        <f>IFERROR(__xludf.DUMMYFUNCTION("""COMPUTED_VALUE"""),"-")</f>
        <v>-</v>
      </c>
      <c r="I2944" s="19">
        <f>IFERROR(__xludf.DUMMYFUNCTION("""COMPUTED_VALUE"""),0.00212)</f>
        <v>0.00212</v>
      </c>
      <c r="J2944" s="19">
        <f>IFERROR(__xludf.DUMMYFUNCTION("""COMPUTED_VALUE"""),0.04726)</f>
        <v>0.04726</v>
      </c>
      <c r="K2944" s="19" t="str">
        <f>IFERROR(__xludf.DUMMYFUNCTION("""COMPUTED_VALUE"""),"-")</f>
        <v>-</v>
      </c>
      <c r="L2944" s="19" t="str">
        <f>IFERROR(__xludf.DUMMYFUNCTION("""COMPUTED_VALUE"""),"-")</f>
        <v>-</v>
      </c>
      <c r="O2944" s="24">
        <f t="shared" si="4"/>
        <v>0</v>
      </c>
      <c r="P2944" s="24"/>
      <c r="Q2944" s="24">
        <f t="shared" si="6"/>
        <v>0</v>
      </c>
      <c r="R2944" s="24">
        <f t="shared" si="7"/>
        <v>0</v>
      </c>
      <c r="S2944" s="24"/>
      <c r="T2944" s="24"/>
    </row>
    <row r="2945">
      <c r="A2945" s="12" t="s">
        <v>3032</v>
      </c>
      <c r="F2945" s="19">
        <f>IFERROR(__xludf.DUMMYFUNCTION("SPLIT(A2941, "" |"")"),2939.0)</f>
        <v>2939</v>
      </c>
      <c r="G2945" s="19">
        <f>IFERROR(__xludf.DUMMYFUNCTION("""COMPUTED_VALUE"""),0.00228)</f>
        <v>0.00228</v>
      </c>
      <c r="H2945" s="19" t="str">
        <f>IFERROR(__xludf.DUMMYFUNCTION("""COMPUTED_VALUE"""),"-")</f>
        <v>-</v>
      </c>
      <c r="I2945" s="19">
        <f>IFERROR(__xludf.DUMMYFUNCTION("""COMPUTED_VALUE"""),0.00212)</f>
        <v>0.00212</v>
      </c>
      <c r="J2945" s="19">
        <f>IFERROR(__xludf.DUMMYFUNCTION("""COMPUTED_VALUE"""),0.04728)</f>
        <v>0.04728</v>
      </c>
      <c r="K2945" s="19" t="str">
        <f>IFERROR(__xludf.DUMMYFUNCTION("""COMPUTED_VALUE"""),"-")</f>
        <v>-</v>
      </c>
      <c r="L2945" s="19" t="str">
        <f>IFERROR(__xludf.DUMMYFUNCTION("""COMPUTED_VALUE"""),"-")</f>
        <v>-</v>
      </c>
      <c r="O2945" s="24">
        <f t="shared" si="4"/>
        <v>0</v>
      </c>
      <c r="P2945" s="24"/>
      <c r="Q2945" s="24">
        <f t="shared" si="6"/>
        <v>0</v>
      </c>
      <c r="R2945" s="24">
        <f t="shared" si="7"/>
        <v>0</v>
      </c>
      <c r="S2945" s="24"/>
      <c r="T2945" s="24"/>
    </row>
    <row r="2946">
      <c r="A2946" s="12" t="s">
        <v>3033</v>
      </c>
      <c r="F2946" s="19">
        <f>IFERROR(__xludf.DUMMYFUNCTION("SPLIT(A2942, "" |"")"),2940.0)</f>
        <v>2940</v>
      </c>
      <c r="G2946" s="19">
        <f>IFERROR(__xludf.DUMMYFUNCTION("""COMPUTED_VALUE"""),0.00219)</f>
        <v>0.00219</v>
      </c>
      <c r="H2946" s="19" t="str">
        <f>IFERROR(__xludf.DUMMYFUNCTION("""COMPUTED_VALUE"""),"-")</f>
        <v>-</v>
      </c>
      <c r="I2946" s="19">
        <f>IFERROR(__xludf.DUMMYFUNCTION("""COMPUTED_VALUE"""),0.00207)</f>
        <v>0.00207</v>
      </c>
      <c r="J2946" s="19">
        <f>IFERROR(__xludf.DUMMYFUNCTION("""COMPUTED_VALUE"""),0.04693)</f>
        <v>0.04693</v>
      </c>
      <c r="K2946" s="19" t="str">
        <f>IFERROR(__xludf.DUMMYFUNCTION("""COMPUTED_VALUE"""),"-")</f>
        <v>-</v>
      </c>
      <c r="L2946" s="19" t="str">
        <f>IFERROR(__xludf.DUMMYFUNCTION("""COMPUTED_VALUE"""),"-")</f>
        <v>-</v>
      </c>
      <c r="O2946" s="24">
        <f t="shared" si="4"/>
        <v>0</v>
      </c>
      <c r="P2946" s="24"/>
      <c r="Q2946" s="24">
        <f t="shared" si="6"/>
        <v>0</v>
      </c>
      <c r="R2946" s="24">
        <f t="shared" si="7"/>
        <v>0</v>
      </c>
      <c r="S2946" s="24"/>
      <c r="T2946" s="24"/>
    </row>
    <row r="2947">
      <c r="A2947" s="12" t="s">
        <v>3034</v>
      </c>
      <c r="F2947" s="19">
        <f>IFERROR(__xludf.DUMMYFUNCTION("SPLIT(A2943, "" |"")"),2941.0)</f>
        <v>2941</v>
      </c>
      <c r="G2947" s="19">
        <f>IFERROR(__xludf.DUMMYFUNCTION("""COMPUTED_VALUE"""),0.00222)</f>
        <v>0.00222</v>
      </c>
      <c r="H2947" s="19" t="str">
        <f>IFERROR(__xludf.DUMMYFUNCTION("""COMPUTED_VALUE"""),"-")</f>
        <v>-</v>
      </c>
      <c r="I2947" s="19">
        <f>IFERROR(__xludf.DUMMYFUNCTION("""COMPUTED_VALUE"""),0.00209)</f>
        <v>0.00209</v>
      </c>
      <c r="J2947" s="19">
        <f>IFERROR(__xludf.DUMMYFUNCTION("""COMPUTED_VALUE"""),0.04731)</f>
        <v>0.04731</v>
      </c>
      <c r="K2947" s="19" t="str">
        <f>IFERROR(__xludf.DUMMYFUNCTION("""COMPUTED_VALUE"""),"-")</f>
        <v>-</v>
      </c>
      <c r="L2947" s="19" t="str">
        <f>IFERROR(__xludf.DUMMYFUNCTION("""COMPUTED_VALUE"""),"-")</f>
        <v>-</v>
      </c>
      <c r="O2947" s="24">
        <f t="shared" si="4"/>
        <v>0</v>
      </c>
      <c r="P2947" s="24"/>
      <c r="Q2947" s="24">
        <f t="shared" si="6"/>
        <v>0</v>
      </c>
      <c r="R2947" s="24">
        <f t="shared" si="7"/>
        <v>0</v>
      </c>
      <c r="S2947" s="24"/>
      <c r="T2947" s="24"/>
    </row>
    <row r="2948">
      <c r="A2948" s="12" t="s">
        <v>3035</v>
      </c>
      <c r="F2948" s="19">
        <f>IFERROR(__xludf.DUMMYFUNCTION("SPLIT(A2944, "" |"")"),2942.0)</f>
        <v>2942</v>
      </c>
      <c r="G2948" s="19">
        <f>IFERROR(__xludf.DUMMYFUNCTION("""COMPUTED_VALUE"""),0.00222)</f>
        <v>0.00222</v>
      </c>
      <c r="H2948" s="19" t="str">
        <f>IFERROR(__xludf.DUMMYFUNCTION("""COMPUTED_VALUE"""),"-")</f>
        <v>-</v>
      </c>
      <c r="I2948" s="19">
        <f>IFERROR(__xludf.DUMMYFUNCTION("""COMPUTED_VALUE"""),0.0021)</f>
        <v>0.0021</v>
      </c>
      <c r="J2948" s="19">
        <f>IFERROR(__xludf.DUMMYFUNCTION("""COMPUTED_VALUE"""),0.04431)</f>
        <v>0.04431</v>
      </c>
      <c r="K2948" s="19" t="str">
        <f>IFERROR(__xludf.DUMMYFUNCTION("""COMPUTED_VALUE"""),"-")</f>
        <v>-</v>
      </c>
      <c r="L2948" s="19" t="str">
        <f>IFERROR(__xludf.DUMMYFUNCTION("""COMPUTED_VALUE"""),"-")</f>
        <v>-</v>
      </c>
      <c r="O2948" s="24">
        <f t="shared" si="4"/>
        <v>0</v>
      </c>
      <c r="P2948" s="24"/>
      <c r="Q2948" s="24">
        <f t="shared" si="6"/>
        <v>0</v>
      </c>
      <c r="R2948" s="24">
        <f t="shared" si="7"/>
        <v>1</v>
      </c>
      <c r="S2948" s="24"/>
      <c r="T2948" s="24"/>
    </row>
    <row r="2949">
      <c r="A2949" s="12" t="s">
        <v>3036</v>
      </c>
      <c r="F2949" s="19">
        <f>IFERROR(__xludf.DUMMYFUNCTION("SPLIT(A2945, "" |"")"),2943.0)</f>
        <v>2943</v>
      </c>
      <c r="G2949" s="19">
        <f>IFERROR(__xludf.DUMMYFUNCTION("""COMPUTED_VALUE"""),0.00227)</f>
        <v>0.00227</v>
      </c>
      <c r="H2949" s="19" t="str">
        <f>IFERROR(__xludf.DUMMYFUNCTION("""COMPUTED_VALUE"""),"-")</f>
        <v>-</v>
      </c>
      <c r="I2949" s="19">
        <f>IFERROR(__xludf.DUMMYFUNCTION("""COMPUTED_VALUE"""),0.00212)</f>
        <v>0.00212</v>
      </c>
      <c r="J2949" s="19">
        <f>IFERROR(__xludf.DUMMYFUNCTION("""COMPUTED_VALUE"""),0.04728)</f>
        <v>0.04728</v>
      </c>
      <c r="K2949" s="19" t="str">
        <f>IFERROR(__xludf.DUMMYFUNCTION("""COMPUTED_VALUE"""),"-")</f>
        <v>-</v>
      </c>
      <c r="L2949" s="19" t="str">
        <f>IFERROR(__xludf.DUMMYFUNCTION("""COMPUTED_VALUE"""),"-")</f>
        <v>-</v>
      </c>
      <c r="O2949" s="24">
        <f t="shared" si="4"/>
        <v>0</v>
      </c>
      <c r="P2949" s="24"/>
      <c r="Q2949" s="24">
        <f t="shared" si="6"/>
        <v>0</v>
      </c>
      <c r="R2949" s="24">
        <f t="shared" si="7"/>
        <v>0</v>
      </c>
      <c r="S2949" s="24"/>
      <c r="T2949" s="24"/>
    </row>
    <row r="2950">
      <c r="A2950" s="12" t="s">
        <v>3037</v>
      </c>
      <c r="F2950" s="19">
        <f>IFERROR(__xludf.DUMMYFUNCTION("SPLIT(A2946, "" |"")"),2944.0)</f>
        <v>2944</v>
      </c>
      <c r="G2950" s="19">
        <f>IFERROR(__xludf.DUMMYFUNCTION("""COMPUTED_VALUE"""),0.00221)</f>
        <v>0.00221</v>
      </c>
      <c r="H2950" s="19" t="str">
        <f>IFERROR(__xludf.DUMMYFUNCTION("""COMPUTED_VALUE"""),"-")</f>
        <v>-</v>
      </c>
      <c r="I2950" s="19">
        <f>IFERROR(__xludf.DUMMYFUNCTION("""COMPUTED_VALUE"""),0.0021)</f>
        <v>0.0021</v>
      </c>
      <c r="J2950" s="19">
        <f>IFERROR(__xludf.DUMMYFUNCTION("""COMPUTED_VALUE"""),0.03926)</f>
        <v>0.03926</v>
      </c>
      <c r="K2950" s="19" t="str">
        <f>IFERROR(__xludf.DUMMYFUNCTION("""COMPUTED_VALUE"""),"-")</f>
        <v>-</v>
      </c>
      <c r="L2950" s="19" t="str">
        <f>IFERROR(__xludf.DUMMYFUNCTION("""COMPUTED_VALUE"""),"-")</f>
        <v>-</v>
      </c>
      <c r="O2950" s="24">
        <f t="shared" si="4"/>
        <v>0</v>
      </c>
      <c r="P2950" s="24"/>
      <c r="Q2950" s="24">
        <f t="shared" si="6"/>
        <v>0</v>
      </c>
      <c r="R2950" s="24">
        <f t="shared" si="7"/>
        <v>1</v>
      </c>
      <c r="S2950" s="24"/>
      <c r="T2950" s="24"/>
    </row>
    <row r="2951">
      <c r="A2951" s="12" t="s">
        <v>3038</v>
      </c>
      <c r="F2951" s="19">
        <f>IFERROR(__xludf.DUMMYFUNCTION("SPLIT(A2947, "" |"")"),2945.0)</f>
        <v>2945</v>
      </c>
      <c r="G2951" s="19">
        <f>IFERROR(__xludf.DUMMYFUNCTION("""COMPUTED_VALUE"""),0.00218)</f>
        <v>0.00218</v>
      </c>
      <c r="H2951" s="19" t="str">
        <f>IFERROR(__xludf.DUMMYFUNCTION("""COMPUTED_VALUE"""),"-")</f>
        <v>-</v>
      </c>
      <c r="I2951" s="19">
        <f>IFERROR(__xludf.DUMMYFUNCTION("""COMPUTED_VALUE"""),0.00206)</f>
        <v>0.00206</v>
      </c>
      <c r="J2951" s="19">
        <f>IFERROR(__xludf.DUMMYFUNCTION("""COMPUTED_VALUE"""),0.04727)</f>
        <v>0.04727</v>
      </c>
      <c r="K2951" s="19" t="str">
        <f>IFERROR(__xludf.DUMMYFUNCTION("""COMPUTED_VALUE"""),"-")</f>
        <v>-</v>
      </c>
      <c r="L2951" s="19" t="str">
        <f>IFERROR(__xludf.DUMMYFUNCTION("""COMPUTED_VALUE"""),"-")</f>
        <v>-</v>
      </c>
      <c r="O2951" s="24">
        <f t="shared" si="4"/>
        <v>0</v>
      </c>
      <c r="P2951" s="24"/>
      <c r="Q2951" s="24">
        <f t="shared" si="6"/>
        <v>0</v>
      </c>
      <c r="R2951" s="24">
        <f t="shared" si="7"/>
        <v>0</v>
      </c>
      <c r="S2951" s="24"/>
      <c r="T2951" s="24"/>
    </row>
    <row r="2952">
      <c r="A2952" s="12" t="s">
        <v>3039</v>
      </c>
      <c r="F2952" s="19">
        <f>IFERROR(__xludf.DUMMYFUNCTION("SPLIT(A2948, "" |"")"),2946.0)</f>
        <v>2946</v>
      </c>
      <c r="G2952" s="19">
        <f>IFERROR(__xludf.DUMMYFUNCTION("""COMPUTED_VALUE"""),0.00222)</f>
        <v>0.00222</v>
      </c>
      <c r="H2952" s="19" t="str">
        <f>IFERROR(__xludf.DUMMYFUNCTION("""COMPUTED_VALUE"""),"-")</f>
        <v>-</v>
      </c>
      <c r="I2952" s="19">
        <f>IFERROR(__xludf.DUMMYFUNCTION("""COMPUTED_VALUE"""),0.00211)</f>
        <v>0.00211</v>
      </c>
      <c r="J2952" s="19">
        <f>IFERROR(__xludf.DUMMYFUNCTION("""COMPUTED_VALUE"""),0.04725)</f>
        <v>0.04725</v>
      </c>
      <c r="K2952" s="19" t="str">
        <f>IFERROR(__xludf.DUMMYFUNCTION("""COMPUTED_VALUE"""),"-")</f>
        <v>-</v>
      </c>
      <c r="L2952" s="19" t="str">
        <f>IFERROR(__xludf.DUMMYFUNCTION("""COMPUTED_VALUE"""),"-")</f>
        <v>-</v>
      </c>
      <c r="O2952" s="24">
        <f t="shared" si="4"/>
        <v>0</v>
      </c>
      <c r="P2952" s="24"/>
      <c r="Q2952" s="24">
        <f t="shared" si="6"/>
        <v>0</v>
      </c>
      <c r="R2952" s="24">
        <f t="shared" si="7"/>
        <v>0</v>
      </c>
      <c r="S2952" s="24"/>
      <c r="T2952" s="24"/>
    </row>
    <row r="2953">
      <c r="A2953" s="12" t="s">
        <v>3040</v>
      </c>
      <c r="F2953" s="19">
        <f>IFERROR(__xludf.DUMMYFUNCTION("SPLIT(A2949, "" |"")"),2947.0)</f>
        <v>2947</v>
      </c>
      <c r="G2953" s="19">
        <f>IFERROR(__xludf.DUMMYFUNCTION("""COMPUTED_VALUE"""),0.00222)</f>
        <v>0.00222</v>
      </c>
      <c r="H2953" s="19" t="str">
        <f>IFERROR(__xludf.DUMMYFUNCTION("""COMPUTED_VALUE"""),"-")</f>
        <v>-</v>
      </c>
      <c r="I2953" s="19">
        <f>IFERROR(__xludf.DUMMYFUNCTION("""COMPUTED_VALUE"""),0.00211)</f>
        <v>0.00211</v>
      </c>
      <c r="J2953" s="19">
        <f>IFERROR(__xludf.DUMMYFUNCTION("""COMPUTED_VALUE"""),0.04736)</f>
        <v>0.04736</v>
      </c>
      <c r="K2953" s="19" t="str">
        <f>IFERROR(__xludf.DUMMYFUNCTION("""COMPUTED_VALUE"""),"-")</f>
        <v>-</v>
      </c>
      <c r="L2953" s="19" t="str">
        <f>IFERROR(__xludf.DUMMYFUNCTION("""COMPUTED_VALUE"""),"-")</f>
        <v>-</v>
      </c>
      <c r="O2953" s="24">
        <f t="shared" si="4"/>
        <v>0</v>
      </c>
      <c r="P2953" s="24"/>
      <c r="Q2953" s="24">
        <f t="shared" si="6"/>
        <v>0</v>
      </c>
      <c r="R2953" s="24">
        <f t="shared" si="7"/>
        <v>0</v>
      </c>
      <c r="S2953" s="24"/>
      <c r="T2953" s="24"/>
    </row>
    <row r="2954">
      <c r="A2954" s="12" t="s">
        <v>3041</v>
      </c>
      <c r="F2954" s="19">
        <f>IFERROR(__xludf.DUMMYFUNCTION("SPLIT(A2950, "" |"")"),2948.0)</f>
        <v>2948</v>
      </c>
      <c r="G2954" s="19">
        <f>IFERROR(__xludf.DUMMYFUNCTION("""COMPUTED_VALUE"""),0.0023)</f>
        <v>0.0023</v>
      </c>
      <c r="H2954" s="19" t="str">
        <f>IFERROR(__xludf.DUMMYFUNCTION("""COMPUTED_VALUE"""),"-")</f>
        <v>-</v>
      </c>
      <c r="I2954" s="19">
        <f>IFERROR(__xludf.DUMMYFUNCTION("""COMPUTED_VALUE"""),0.00231)</f>
        <v>0.00231</v>
      </c>
      <c r="J2954" s="19">
        <f>IFERROR(__xludf.DUMMYFUNCTION("""COMPUTED_VALUE"""),0.04682)</f>
        <v>0.04682</v>
      </c>
      <c r="K2954" s="19" t="str">
        <f>IFERROR(__xludf.DUMMYFUNCTION("""COMPUTED_VALUE"""),"-")</f>
        <v>-</v>
      </c>
      <c r="L2954" s="19" t="str">
        <f>IFERROR(__xludf.DUMMYFUNCTION("""COMPUTED_VALUE"""),"-")</f>
        <v>-</v>
      </c>
      <c r="O2954" s="24">
        <f t="shared" si="4"/>
        <v>0</v>
      </c>
      <c r="P2954" s="24"/>
      <c r="Q2954" s="24">
        <f t="shared" si="6"/>
        <v>0</v>
      </c>
      <c r="R2954" s="24">
        <f t="shared" si="7"/>
        <v>0</v>
      </c>
      <c r="S2954" s="24"/>
      <c r="T2954" s="24"/>
    </row>
    <row r="2955">
      <c r="A2955" s="12" t="s">
        <v>3042</v>
      </c>
      <c r="F2955" s="19">
        <f>IFERROR(__xludf.DUMMYFUNCTION("SPLIT(A2951, "" |"")"),2949.0)</f>
        <v>2949</v>
      </c>
      <c r="G2955" s="19">
        <f>IFERROR(__xludf.DUMMYFUNCTION("""COMPUTED_VALUE"""),0.00227)</f>
        <v>0.00227</v>
      </c>
      <c r="H2955" s="19" t="str">
        <f>IFERROR(__xludf.DUMMYFUNCTION("""COMPUTED_VALUE"""),"-")</f>
        <v>-</v>
      </c>
      <c r="I2955" s="19">
        <f>IFERROR(__xludf.DUMMYFUNCTION("""COMPUTED_VALUE"""),0.00211)</f>
        <v>0.00211</v>
      </c>
      <c r="J2955" s="19">
        <f>IFERROR(__xludf.DUMMYFUNCTION("""COMPUTED_VALUE"""),0.04734)</f>
        <v>0.04734</v>
      </c>
      <c r="K2955" s="19" t="str">
        <f>IFERROR(__xludf.DUMMYFUNCTION("""COMPUTED_VALUE"""),"-")</f>
        <v>-</v>
      </c>
      <c r="L2955" s="19" t="str">
        <f>IFERROR(__xludf.DUMMYFUNCTION("""COMPUTED_VALUE"""),"-")</f>
        <v>-</v>
      </c>
      <c r="O2955" s="24">
        <f t="shared" si="4"/>
        <v>0</v>
      </c>
      <c r="P2955" s="24"/>
      <c r="Q2955" s="24">
        <f t="shared" si="6"/>
        <v>0</v>
      </c>
      <c r="R2955" s="24">
        <f t="shared" si="7"/>
        <v>0</v>
      </c>
      <c r="S2955" s="24"/>
      <c r="T2955" s="24"/>
    </row>
    <row r="2956">
      <c r="A2956" s="12" t="s">
        <v>3043</v>
      </c>
      <c r="F2956" s="19">
        <f>IFERROR(__xludf.DUMMYFUNCTION("SPLIT(A2952, "" |"")"),2950.0)</f>
        <v>2950</v>
      </c>
      <c r="G2956" s="19">
        <f>IFERROR(__xludf.DUMMYFUNCTION("""COMPUTED_VALUE"""),0.00221)</f>
        <v>0.00221</v>
      </c>
      <c r="H2956" s="19" t="str">
        <f>IFERROR(__xludf.DUMMYFUNCTION("""COMPUTED_VALUE"""),"-")</f>
        <v>-</v>
      </c>
      <c r="I2956" s="19">
        <f>IFERROR(__xludf.DUMMYFUNCTION("""COMPUTED_VALUE"""),0.00211)</f>
        <v>0.00211</v>
      </c>
      <c r="J2956" s="19">
        <f>IFERROR(__xludf.DUMMYFUNCTION("""COMPUTED_VALUE"""),0.0473)</f>
        <v>0.0473</v>
      </c>
      <c r="K2956" s="19" t="str">
        <f>IFERROR(__xludf.DUMMYFUNCTION("""COMPUTED_VALUE"""),"-")</f>
        <v>-</v>
      </c>
      <c r="L2956" s="19" t="str">
        <f>IFERROR(__xludf.DUMMYFUNCTION("""COMPUTED_VALUE"""),"-")</f>
        <v>-</v>
      </c>
      <c r="O2956" s="24">
        <f t="shared" si="4"/>
        <v>0</v>
      </c>
      <c r="P2956" s="24"/>
      <c r="Q2956" s="24">
        <f t="shared" si="6"/>
        <v>0</v>
      </c>
      <c r="R2956" s="24">
        <f t="shared" si="7"/>
        <v>0</v>
      </c>
      <c r="S2956" s="24"/>
      <c r="T2956" s="24"/>
    </row>
    <row r="2957">
      <c r="A2957" s="12" t="s">
        <v>3044</v>
      </c>
      <c r="F2957" s="19">
        <f>IFERROR(__xludf.DUMMYFUNCTION("SPLIT(A2953, "" |"")"),2951.0)</f>
        <v>2951</v>
      </c>
      <c r="G2957" s="19">
        <f>IFERROR(__xludf.DUMMYFUNCTION("""COMPUTED_VALUE"""),0.00223)</f>
        <v>0.00223</v>
      </c>
      <c r="H2957" s="19" t="str">
        <f>IFERROR(__xludf.DUMMYFUNCTION("""COMPUTED_VALUE"""),"-")</f>
        <v>-</v>
      </c>
      <c r="I2957" s="19">
        <f>IFERROR(__xludf.DUMMYFUNCTION("""COMPUTED_VALUE"""),0.0021)</f>
        <v>0.0021</v>
      </c>
      <c r="J2957" s="19">
        <f>IFERROR(__xludf.DUMMYFUNCTION("""COMPUTED_VALUE"""),0.0473)</f>
        <v>0.0473</v>
      </c>
      <c r="K2957" s="19" t="str">
        <f>IFERROR(__xludf.DUMMYFUNCTION("""COMPUTED_VALUE"""),"-")</f>
        <v>-</v>
      </c>
      <c r="L2957" s="19" t="str">
        <f>IFERROR(__xludf.DUMMYFUNCTION("""COMPUTED_VALUE"""),"-")</f>
        <v>-</v>
      </c>
      <c r="O2957" s="24">
        <f t="shared" si="4"/>
        <v>0</v>
      </c>
      <c r="P2957" s="24"/>
      <c r="Q2957" s="24">
        <f t="shared" si="6"/>
        <v>0</v>
      </c>
      <c r="R2957" s="24">
        <f t="shared" si="7"/>
        <v>0</v>
      </c>
      <c r="S2957" s="24"/>
      <c r="T2957" s="24"/>
    </row>
    <row r="2958">
      <c r="A2958" s="12" t="s">
        <v>3045</v>
      </c>
      <c r="F2958" s="19">
        <f>IFERROR(__xludf.DUMMYFUNCTION("SPLIT(A2954, "" |"")"),2952.0)</f>
        <v>2952</v>
      </c>
      <c r="G2958" s="19">
        <f>IFERROR(__xludf.DUMMYFUNCTION("""COMPUTED_VALUE"""),0.00221)</f>
        <v>0.00221</v>
      </c>
      <c r="H2958" s="19" t="str">
        <f>IFERROR(__xludf.DUMMYFUNCTION("""COMPUTED_VALUE"""),"-")</f>
        <v>-</v>
      </c>
      <c r="I2958" s="19">
        <f>IFERROR(__xludf.DUMMYFUNCTION("""COMPUTED_VALUE"""),0.00213)</f>
        <v>0.00213</v>
      </c>
      <c r="J2958" s="19">
        <f>IFERROR(__xludf.DUMMYFUNCTION("""COMPUTED_VALUE"""),0.04021)</f>
        <v>0.04021</v>
      </c>
      <c r="K2958" s="19" t="str">
        <f>IFERROR(__xludf.DUMMYFUNCTION("""COMPUTED_VALUE"""),"-")</f>
        <v>-</v>
      </c>
      <c r="L2958" s="19" t="str">
        <f>IFERROR(__xludf.DUMMYFUNCTION("""COMPUTED_VALUE"""),"-")</f>
        <v>-</v>
      </c>
      <c r="O2958" s="24">
        <f t="shared" si="4"/>
        <v>0</v>
      </c>
      <c r="P2958" s="24"/>
      <c r="Q2958" s="24">
        <f t="shared" si="6"/>
        <v>0</v>
      </c>
      <c r="R2958" s="24">
        <f t="shared" si="7"/>
        <v>1</v>
      </c>
      <c r="S2958" s="24"/>
      <c r="T2958" s="24"/>
    </row>
    <row r="2959">
      <c r="A2959" s="12" t="s">
        <v>3046</v>
      </c>
      <c r="F2959" s="19">
        <f>IFERROR(__xludf.DUMMYFUNCTION("SPLIT(A2955, "" |"")"),2953.0)</f>
        <v>2953</v>
      </c>
      <c r="G2959" s="19">
        <f>IFERROR(__xludf.DUMMYFUNCTION("""COMPUTED_VALUE"""),0.0031)</f>
        <v>0.0031</v>
      </c>
      <c r="H2959" s="19" t="str">
        <f>IFERROR(__xludf.DUMMYFUNCTION("""COMPUTED_VALUE"""),"-")</f>
        <v>-</v>
      </c>
      <c r="I2959" s="19">
        <f>IFERROR(__xludf.DUMMYFUNCTION("""COMPUTED_VALUE"""),0.00221)</f>
        <v>0.00221</v>
      </c>
      <c r="J2959" s="19">
        <f>IFERROR(__xludf.DUMMYFUNCTION("""COMPUTED_VALUE"""),0.04547)</f>
        <v>0.04547</v>
      </c>
      <c r="K2959" s="19" t="str">
        <f>IFERROR(__xludf.DUMMYFUNCTION("""COMPUTED_VALUE"""),"-")</f>
        <v>-</v>
      </c>
      <c r="L2959" s="19" t="str">
        <f>IFERROR(__xludf.DUMMYFUNCTION("""COMPUTED_VALUE"""),"-")</f>
        <v>-</v>
      </c>
      <c r="O2959" s="24">
        <f t="shared" si="4"/>
        <v>0</v>
      </c>
      <c r="P2959" s="24"/>
      <c r="Q2959" s="24">
        <f t="shared" si="6"/>
        <v>0</v>
      </c>
      <c r="R2959" s="24">
        <f t="shared" si="7"/>
        <v>0</v>
      </c>
      <c r="S2959" s="24"/>
      <c r="T2959" s="24"/>
    </row>
    <row r="2960">
      <c r="A2960" s="12" t="s">
        <v>3047</v>
      </c>
      <c r="F2960" s="19">
        <f>IFERROR(__xludf.DUMMYFUNCTION("SPLIT(A2956, "" |"")"),2954.0)</f>
        <v>2954</v>
      </c>
      <c r="G2960" s="19">
        <f>IFERROR(__xludf.DUMMYFUNCTION("""COMPUTED_VALUE"""),0.0022)</f>
        <v>0.0022</v>
      </c>
      <c r="H2960" s="19" t="str">
        <f>IFERROR(__xludf.DUMMYFUNCTION("""COMPUTED_VALUE"""),"-")</f>
        <v>-</v>
      </c>
      <c r="I2960" s="19">
        <f>IFERROR(__xludf.DUMMYFUNCTION("""COMPUTED_VALUE"""),0.00208)</f>
        <v>0.00208</v>
      </c>
      <c r="J2960" s="19">
        <f>IFERROR(__xludf.DUMMYFUNCTION("""COMPUTED_VALUE"""),0.04731)</f>
        <v>0.04731</v>
      </c>
      <c r="K2960" s="19" t="str">
        <f>IFERROR(__xludf.DUMMYFUNCTION("""COMPUTED_VALUE"""),"-")</f>
        <v>-</v>
      </c>
      <c r="L2960" s="19" t="str">
        <f>IFERROR(__xludf.DUMMYFUNCTION("""COMPUTED_VALUE"""),"-")</f>
        <v>-</v>
      </c>
      <c r="O2960" s="24">
        <f t="shared" si="4"/>
        <v>0</v>
      </c>
      <c r="P2960" s="24"/>
      <c r="Q2960" s="24">
        <f t="shared" si="6"/>
        <v>0</v>
      </c>
      <c r="R2960" s="24">
        <f t="shared" si="7"/>
        <v>0</v>
      </c>
      <c r="S2960" s="24"/>
      <c r="T2960" s="24"/>
    </row>
    <row r="2961">
      <c r="A2961" s="12" t="s">
        <v>3048</v>
      </c>
      <c r="F2961" s="19">
        <f>IFERROR(__xludf.DUMMYFUNCTION("SPLIT(A2957, "" |"")"),2955.0)</f>
        <v>2955</v>
      </c>
      <c r="G2961" s="19">
        <f>IFERROR(__xludf.DUMMYFUNCTION("""COMPUTED_VALUE"""),0.0024)</f>
        <v>0.0024</v>
      </c>
      <c r="H2961" s="19" t="str">
        <f>IFERROR(__xludf.DUMMYFUNCTION("""COMPUTED_VALUE"""),"-")</f>
        <v>-</v>
      </c>
      <c r="I2961" s="19">
        <f>IFERROR(__xludf.DUMMYFUNCTION("""COMPUTED_VALUE"""),0.00225)</f>
        <v>0.00225</v>
      </c>
      <c r="J2961" s="19">
        <f>IFERROR(__xludf.DUMMYFUNCTION("""COMPUTED_VALUE"""),0.04744)</f>
        <v>0.04744</v>
      </c>
      <c r="K2961" s="19" t="str">
        <f>IFERROR(__xludf.DUMMYFUNCTION("""COMPUTED_VALUE"""),"-")</f>
        <v>-</v>
      </c>
      <c r="L2961" s="19" t="str">
        <f>IFERROR(__xludf.DUMMYFUNCTION("""COMPUTED_VALUE"""),"-")</f>
        <v>-</v>
      </c>
      <c r="O2961" s="24">
        <f t="shared" si="4"/>
        <v>0</v>
      </c>
      <c r="P2961" s="24"/>
      <c r="Q2961" s="24">
        <f t="shared" si="6"/>
        <v>0</v>
      </c>
      <c r="R2961" s="24">
        <f t="shared" si="7"/>
        <v>0</v>
      </c>
      <c r="S2961" s="24"/>
      <c r="T2961" s="24"/>
    </row>
    <row r="2962">
      <c r="A2962" s="12" t="s">
        <v>3049</v>
      </c>
      <c r="F2962" s="19">
        <f>IFERROR(__xludf.DUMMYFUNCTION("SPLIT(A2958, "" |"")"),2956.0)</f>
        <v>2956</v>
      </c>
      <c r="G2962" s="19">
        <f>IFERROR(__xludf.DUMMYFUNCTION("""COMPUTED_VALUE"""),0.00222)</f>
        <v>0.00222</v>
      </c>
      <c r="H2962" s="19" t="str">
        <f>IFERROR(__xludf.DUMMYFUNCTION("""COMPUTED_VALUE"""),"-")</f>
        <v>-</v>
      </c>
      <c r="I2962" s="19">
        <f>IFERROR(__xludf.DUMMYFUNCTION("""COMPUTED_VALUE"""),0.00212)</f>
        <v>0.00212</v>
      </c>
      <c r="J2962" s="19">
        <f>IFERROR(__xludf.DUMMYFUNCTION("""COMPUTED_VALUE"""),0.04724)</f>
        <v>0.04724</v>
      </c>
      <c r="K2962" s="19" t="str">
        <f>IFERROR(__xludf.DUMMYFUNCTION("""COMPUTED_VALUE"""),"-")</f>
        <v>-</v>
      </c>
      <c r="L2962" s="19" t="str">
        <f>IFERROR(__xludf.DUMMYFUNCTION("""COMPUTED_VALUE"""),"-")</f>
        <v>-</v>
      </c>
      <c r="O2962" s="24">
        <f t="shared" si="4"/>
        <v>0</v>
      </c>
      <c r="P2962" s="24"/>
      <c r="Q2962" s="24">
        <f t="shared" si="6"/>
        <v>0</v>
      </c>
      <c r="R2962" s="24">
        <f t="shared" si="7"/>
        <v>0</v>
      </c>
      <c r="S2962" s="24"/>
      <c r="T2962" s="24"/>
    </row>
    <row r="2963">
      <c r="A2963" s="12" t="s">
        <v>3050</v>
      </c>
      <c r="F2963" s="19">
        <f>IFERROR(__xludf.DUMMYFUNCTION("SPLIT(A2959, "" |"")"),2957.0)</f>
        <v>2957</v>
      </c>
      <c r="G2963" s="19">
        <f>IFERROR(__xludf.DUMMYFUNCTION("""COMPUTED_VALUE"""),0.00224)</f>
        <v>0.00224</v>
      </c>
      <c r="H2963" s="19" t="str">
        <f>IFERROR(__xludf.DUMMYFUNCTION("""COMPUTED_VALUE"""),"-")</f>
        <v>-</v>
      </c>
      <c r="I2963" s="19">
        <f>IFERROR(__xludf.DUMMYFUNCTION("""COMPUTED_VALUE"""),0.00208)</f>
        <v>0.00208</v>
      </c>
      <c r="J2963" s="19">
        <f>IFERROR(__xludf.DUMMYFUNCTION("""COMPUTED_VALUE"""),0.04722)</f>
        <v>0.04722</v>
      </c>
      <c r="K2963" s="19" t="str">
        <f>IFERROR(__xludf.DUMMYFUNCTION("""COMPUTED_VALUE"""),"-")</f>
        <v>-</v>
      </c>
      <c r="L2963" s="19" t="str">
        <f>IFERROR(__xludf.DUMMYFUNCTION("""COMPUTED_VALUE"""),"-")</f>
        <v>-</v>
      </c>
      <c r="O2963" s="24">
        <f t="shared" si="4"/>
        <v>0</v>
      </c>
      <c r="P2963" s="24"/>
      <c r="Q2963" s="24">
        <f t="shared" si="6"/>
        <v>0</v>
      </c>
      <c r="R2963" s="24">
        <f t="shared" si="7"/>
        <v>0</v>
      </c>
      <c r="S2963" s="24"/>
      <c r="T2963" s="24"/>
    </row>
    <row r="2964">
      <c r="A2964" s="12" t="s">
        <v>3051</v>
      </c>
      <c r="F2964" s="19">
        <f>IFERROR(__xludf.DUMMYFUNCTION("SPLIT(A2960, "" |"")"),2958.0)</f>
        <v>2958</v>
      </c>
      <c r="G2964" s="19">
        <f>IFERROR(__xludf.DUMMYFUNCTION("""COMPUTED_VALUE"""),0.00222)</f>
        <v>0.00222</v>
      </c>
      <c r="H2964" s="19" t="str">
        <f>IFERROR(__xludf.DUMMYFUNCTION("""COMPUTED_VALUE"""),"-")</f>
        <v>-</v>
      </c>
      <c r="I2964" s="19">
        <f>IFERROR(__xludf.DUMMYFUNCTION("""COMPUTED_VALUE"""),0.0021)</f>
        <v>0.0021</v>
      </c>
      <c r="J2964" s="19">
        <f>IFERROR(__xludf.DUMMYFUNCTION("""COMPUTED_VALUE"""),0.0473)</f>
        <v>0.0473</v>
      </c>
      <c r="K2964" s="19" t="str">
        <f>IFERROR(__xludf.DUMMYFUNCTION("""COMPUTED_VALUE"""),"-")</f>
        <v>-</v>
      </c>
      <c r="L2964" s="19" t="str">
        <f>IFERROR(__xludf.DUMMYFUNCTION("""COMPUTED_VALUE"""),"-")</f>
        <v>-</v>
      </c>
      <c r="O2964" s="24">
        <f t="shared" si="4"/>
        <v>0</v>
      </c>
      <c r="P2964" s="24"/>
      <c r="Q2964" s="24">
        <f t="shared" si="6"/>
        <v>0</v>
      </c>
      <c r="R2964" s="24">
        <f t="shared" si="7"/>
        <v>0</v>
      </c>
      <c r="S2964" s="24"/>
      <c r="T2964" s="24"/>
    </row>
    <row r="2965">
      <c r="A2965" s="12" t="s">
        <v>3052</v>
      </c>
      <c r="F2965" s="19">
        <f>IFERROR(__xludf.DUMMYFUNCTION("SPLIT(A2961, "" |"")"),2959.0)</f>
        <v>2959</v>
      </c>
      <c r="G2965" s="19">
        <f>IFERROR(__xludf.DUMMYFUNCTION("""COMPUTED_VALUE"""),0.0022)</f>
        <v>0.0022</v>
      </c>
      <c r="H2965" s="19" t="str">
        <f>IFERROR(__xludf.DUMMYFUNCTION("""COMPUTED_VALUE"""),"-")</f>
        <v>-</v>
      </c>
      <c r="I2965" s="19">
        <f>IFERROR(__xludf.DUMMYFUNCTION("""COMPUTED_VALUE"""),0.00209)</f>
        <v>0.00209</v>
      </c>
      <c r="J2965" s="19">
        <f>IFERROR(__xludf.DUMMYFUNCTION("""COMPUTED_VALUE"""),0.04091)</f>
        <v>0.04091</v>
      </c>
      <c r="K2965" s="19" t="str">
        <f>IFERROR(__xludf.DUMMYFUNCTION("""COMPUTED_VALUE"""),"-")</f>
        <v>-</v>
      </c>
      <c r="L2965" s="19" t="str">
        <f>IFERROR(__xludf.DUMMYFUNCTION("""COMPUTED_VALUE"""),"-")</f>
        <v>-</v>
      </c>
      <c r="O2965" s="24">
        <f t="shared" si="4"/>
        <v>0</v>
      </c>
      <c r="P2965" s="24"/>
      <c r="Q2965" s="24">
        <f t="shared" si="6"/>
        <v>0</v>
      </c>
      <c r="R2965" s="24">
        <f t="shared" si="7"/>
        <v>1</v>
      </c>
      <c r="S2965" s="24"/>
      <c r="T2965" s="24"/>
    </row>
    <row r="2966">
      <c r="A2966" s="12" t="s">
        <v>3053</v>
      </c>
      <c r="F2966" s="19">
        <f>IFERROR(__xludf.DUMMYFUNCTION("SPLIT(A2962, "" |"")"),2960.0)</f>
        <v>2960</v>
      </c>
      <c r="G2966" s="19">
        <f>IFERROR(__xludf.DUMMYFUNCTION("""COMPUTED_VALUE"""),0.00216)</f>
        <v>0.00216</v>
      </c>
      <c r="H2966" s="19" t="str">
        <f>IFERROR(__xludf.DUMMYFUNCTION("""COMPUTED_VALUE"""),"-")</f>
        <v>-</v>
      </c>
      <c r="I2966" s="19">
        <f>IFERROR(__xludf.DUMMYFUNCTION("""COMPUTED_VALUE"""),0.00206)</f>
        <v>0.00206</v>
      </c>
      <c r="J2966" s="19">
        <f>IFERROR(__xludf.DUMMYFUNCTION("""COMPUTED_VALUE"""),0.03987)</f>
        <v>0.03987</v>
      </c>
      <c r="K2966" s="19" t="str">
        <f>IFERROR(__xludf.DUMMYFUNCTION("""COMPUTED_VALUE"""),"-")</f>
        <v>-</v>
      </c>
      <c r="L2966" s="19" t="str">
        <f>IFERROR(__xludf.DUMMYFUNCTION("""COMPUTED_VALUE"""),"-")</f>
        <v>-</v>
      </c>
      <c r="O2966" s="24">
        <f t="shared" si="4"/>
        <v>0</v>
      </c>
      <c r="P2966" s="24"/>
      <c r="Q2966" s="24">
        <f t="shared" si="6"/>
        <v>0</v>
      </c>
      <c r="R2966" s="24">
        <f t="shared" si="7"/>
        <v>1</v>
      </c>
      <c r="S2966" s="24"/>
      <c r="T2966" s="24"/>
    </row>
    <row r="2967">
      <c r="A2967" s="12" t="s">
        <v>3054</v>
      </c>
      <c r="F2967" s="19">
        <f>IFERROR(__xludf.DUMMYFUNCTION("SPLIT(A2963, "" |"")"),2961.0)</f>
        <v>2961</v>
      </c>
      <c r="G2967" s="19">
        <f>IFERROR(__xludf.DUMMYFUNCTION("""COMPUTED_VALUE"""),0.00221)</f>
        <v>0.00221</v>
      </c>
      <c r="H2967" s="19" t="str">
        <f>IFERROR(__xludf.DUMMYFUNCTION("""COMPUTED_VALUE"""),"-")</f>
        <v>-</v>
      </c>
      <c r="I2967" s="19">
        <f>IFERROR(__xludf.DUMMYFUNCTION("""COMPUTED_VALUE"""),0.00209)</f>
        <v>0.00209</v>
      </c>
      <c r="J2967" s="19">
        <f>IFERROR(__xludf.DUMMYFUNCTION("""COMPUTED_VALUE"""),0.04725)</f>
        <v>0.04725</v>
      </c>
      <c r="K2967" s="19" t="str">
        <f>IFERROR(__xludf.DUMMYFUNCTION("""COMPUTED_VALUE"""),"-")</f>
        <v>-</v>
      </c>
      <c r="L2967" s="19" t="str">
        <f>IFERROR(__xludf.DUMMYFUNCTION("""COMPUTED_VALUE"""),"-")</f>
        <v>-</v>
      </c>
      <c r="O2967" s="24">
        <f t="shared" si="4"/>
        <v>0</v>
      </c>
      <c r="P2967" s="24"/>
      <c r="Q2967" s="24">
        <f t="shared" si="6"/>
        <v>0</v>
      </c>
      <c r="R2967" s="24">
        <f t="shared" si="7"/>
        <v>0</v>
      </c>
      <c r="S2967" s="24"/>
      <c r="T2967" s="24"/>
    </row>
    <row r="2968">
      <c r="A2968" s="12" t="s">
        <v>3055</v>
      </c>
      <c r="F2968" s="19">
        <f>IFERROR(__xludf.DUMMYFUNCTION("SPLIT(A2964, "" |"")"),2962.0)</f>
        <v>2962</v>
      </c>
      <c r="G2968" s="19">
        <f>IFERROR(__xludf.DUMMYFUNCTION("""COMPUTED_VALUE"""),0.00219)</f>
        <v>0.00219</v>
      </c>
      <c r="H2968" s="19" t="str">
        <f>IFERROR(__xludf.DUMMYFUNCTION("""COMPUTED_VALUE"""),"-")</f>
        <v>-</v>
      </c>
      <c r="I2968" s="19">
        <f>IFERROR(__xludf.DUMMYFUNCTION("""COMPUTED_VALUE"""),0.00208)</f>
        <v>0.00208</v>
      </c>
      <c r="J2968" s="19">
        <f>IFERROR(__xludf.DUMMYFUNCTION("""COMPUTED_VALUE"""),0.04727)</f>
        <v>0.04727</v>
      </c>
      <c r="K2968" s="19" t="str">
        <f>IFERROR(__xludf.DUMMYFUNCTION("""COMPUTED_VALUE"""),"-")</f>
        <v>-</v>
      </c>
      <c r="L2968" s="19" t="str">
        <f>IFERROR(__xludf.DUMMYFUNCTION("""COMPUTED_VALUE"""),"-")</f>
        <v>-</v>
      </c>
      <c r="O2968" s="24">
        <f t="shared" si="4"/>
        <v>0</v>
      </c>
      <c r="P2968" s="24"/>
      <c r="Q2968" s="24">
        <f t="shared" si="6"/>
        <v>0</v>
      </c>
      <c r="R2968" s="24">
        <f t="shared" si="7"/>
        <v>0</v>
      </c>
      <c r="S2968" s="24"/>
      <c r="T2968" s="24"/>
    </row>
    <row r="2969">
      <c r="A2969" s="12" t="s">
        <v>3056</v>
      </c>
      <c r="F2969" s="19">
        <f>IFERROR(__xludf.DUMMYFUNCTION("SPLIT(A2965, "" |"")"),2963.0)</f>
        <v>2963</v>
      </c>
      <c r="G2969" s="19">
        <f>IFERROR(__xludf.DUMMYFUNCTION("""COMPUTED_VALUE"""),0.00222)</f>
        <v>0.00222</v>
      </c>
      <c r="H2969" s="19" t="str">
        <f>IFERROR(__xludf.DUMMYFUNCTION("""COMPUTED_VALUE"""),"-")</f>
        <v>-</v>
      </c>
      <c r="I2969" s="19">
        <f>IFERROR(__xludf.DUMMYFUNCTION("""COMPUTED_VALUE"""),0.00209)</f>
        <v>0.00209</v>
      </c>
      <c r="J2969" s="19">
        <f>IFERROR(__xludf.DUMMYFUNCTION("""COMPUTED_VALUE"""),0.04728)</f>
        <v>0.04728</v>
      </c>
      <c r="K2969" s="19" t="str">
        <f>IFERROR(__xludf.DUMMYFUNCTION("""COMPUTED_VALUE"""),"-")</f>
        <v>-</v>
      </c>
      <c r="L2969" s="19" t="str">
        <f>IFERROR(__xludf.DUMMYFUNCTION("""COMPUTED_VALUE"""),"-")</f>
        <v>-</v>
      </c>
      <c r="O2969" s="24">
        <f t="shared" si="4"/>
        <v>0</v>
      </c>
      <c r="P2969" s="24"/>
      <c r="Q2969" s="24">
        <f t="shared" si="6"/>
        <v>0</v>
      </c>
      <c r="R2969" s="24">
        <f t="shared" si="7"/>
        <v>0</v>
      </c>
      <c r="S2969" s="24"/>
      <c r="T2969" s="24"/>
    </row>
    <row r="2970">
      <c r="A2970" s="12" t="s">
        <v>3057</v>
      </c>
      <c r="F2970" s="19">
        <f>IFERROR(__xludf.DUMMYFUNCTION("SPLIT(A2966, "" |"")"),2964.0)</f>
        <v>2964</v>
      </c>
      <c r="G2970" s="19">
        <f>IFERROR(__xludf.DUMMYFUNCTION("""COMPUTED_VALUE"""),0.00224)</f>
        <v>0.00224</v>
      </c>
      <c r="H2970" s="19" t="str">
        <f>IFERROR(__xludf.DUMMYFUNCTION("""COMPUTED_VALUE"""),"-")</f>
        <v>-</v>
      </c>
      <c r="I2970" s="19">
        <f>IFERROR(__xludf.DUMMYFUNCTION("""COMPUTED_VALUE"""),0.00212)</f>
        <v>0.00212</v>
      </c>
      <c r="J2970" s="19">
        <f>IFERROR(__xludf.DUMMYFUNCTION("""COMPUTED_VALUE"""),0.04283)</f>
        <v>0.04283</v>
      </c>
      <c r="K2970" s="19" t="str">
        <f>IFERROR(__xludf.DUMMYFUNCTION("""COMPUTED_VALUE"""),"-")</f>
        <v>-</v>
      </c>
      <c r="L2970" s="19" t="str">
        <f>IFERROR(__xludf.DUMMYFUNCTION("""COMPUTED_VALUE"""),"-")</f>
        <v>-</v>
      </c>
      <c r="O2970" s="24">
        <f t="shared" si="4"/>
        <v>0</v>
      </c>
      <c r="P2970" s="24"/>
      <c r="Q2970" s="24">
        <f t="shared" si="6"/>
        <v>0</v>
      </c>
      <c r="R2970" s="24">
        <f t="shared" si="7"/>
        <v>1</v>
      </c>
      <c r="S2970" s="24"/>
      <c r="T2970" s="24"/>
    </row>
    <row r="2971">
      <c r="A2971" s="12" t="s">
        <v>3058</v>
      </c>
      <c r="F2971" s="19">
        <f>IFERROR(__xludf.DUMMYFUNCTION("SPLIT(A2967, "" |"")"),2965.0)</f>
        <v>2965</v>
      </c>
      <c r="G2971" s="19">
        <f>IFERROR(__xludf.DUMMYFUNCTION("""COMPUTED_VALUE"""),0.00214)</f>
        <v>0.00214</v>
      </c>
      <c r="H2971" s="19" t="str">
        <f>IFERROR(__xludf.DUMMYFUNCTION("""COMPUTED_VALUE"""),"-")</f>
        <v>-</v>
      </c>
      <c r="I2971" s="19">
        <f>IFERROR(__xludf.DUMMYFUNCTION("""COMPUTED_VALUE"""),0.00211)</f>
        <v>0.00211</v>
      </c>
      <c r="J2971" s="19">
        <f>IFERROR(__xludf.DUMMYFUNCTION("""COMPUTED_VALUE"""),0.04732)</f>
        <v>0.04732</v>
      </c>
      <c r="K2971" s="19" t="str">
        <f>IFERROR(__xludf.DUMMYFUNCTION("""COMPUTED_VALUE"""),"-")</f>
        <v>-</v>
      </c>
      <c r="L2971" s="19" t="str">
        <f>IFERROR(__xludf.DUMMYFUNCTION("""COMPUTED_VALUE"""),"-")</f>
        <v>-</v>
      </c>
      <c r="O2971" s="24">
        <f t="shared" si="4"/>
        <v>0</v>
      </c>
      <c r="P2971" s="24"/>
      <c r="Q2971" s="24">
        <f t="shared" si="6"/>
        <v>0</v>
      </c>
      <c r="R2971" s="24">
        <f t="shared" si="7"/>
        <v>0</v>
      </c>
      <c r="S2971" s="24"/>
      <c r="T2971" s="24"/>
    </row>
    <row r="2972">
      <c r="A2972" s="12" t="s">
        <v>3059</v>
      </c>
      <c r="F2972" s="19">
        <f>IFERROR(__xludf.DUMMYFUNCTION("SPLIT(A2968, "" |"")"),2966.0)</f>
        <v>2966</v>
      </c>
      <c r="G2972" s="19">
        <f>IFERROR(__xludf.DUMMYFUNCTION("""COMPUTED_VALUE"""),0.00223)</f>
        <v>0.00223</v>
      </c>
      <c r="H2972" s="19" t="str">
        <f>IFERROR(__xludf.DUMMYFUNCTION("""COMPUTED_VALUE"""),"-")</f>
        <v>-</v>
      </c>
      <c r="I2972" s="19">
        <f>IFERROR(__xludf.DUMMYFUNCTION("""COMPUTED_VALUE"""),0.0021)</f>
        <v>0.0021</v>
      </c>
      <c r="J2972" s="19">
        <f>IFERROR(__xludf.DUMMYFUNCTION("""COMPUTED_VALUE"""),0.04729)</f>
        <v>0.04729</v>
      </c>
      <c r="K2972" s="19" t="str">
        <f>IFERROR(__xludf.DUMMYFUNCTION("""COMPUTED_VALUE"""),"-")</f>
        <v>-</v>
      </c>
      <c r="L2972" s="19" t="str">
        <f>IFERROR(__xludf.DUMMYFUNCTION("""COMPUTED_VALUE"""),"-")</f>
        <v>-</v>
      </c>
      <c r="O2972" s="24">
        <f t="shared" si="4"/>
        <v>0</v>
      </c>
      <c r="P2972" s="24"/>
      <c r="Q2972" s="24">
        <f t="shared" si="6"/>
        <v>0</v>
      </c>
      <c r="R2972" s="24">
        <f t="shared" si="7"/>
        <v>0</v>
      </c>
      <c r="S2972" s="24"/>
      <c r="T2972" s="24"/>
    </row>
    <row r="2973">
      <c r="A2973" s="12" t="s">
        <v>3060</v>
      </c>
      <c r="F2973" s="19">
        <f>IFERROR(__xludf.DUMMYFUNCTION("SPLIT(A2969, "" |"")"),2967.0)</f>
        <v>2967</v>
      </c>
      <c r="G2973" s="19">
        <f>IFERROR(__xludf.DUMMYFUNCTION("""COMPUTED_VALUE"""),0.00222)</f>
        <v>0.00222</v>
      </c>
      <c r="H2973" s="19" t="str">
        <f>IFERROR(__xludf.DUMMYFUNCTION("""COMPUTED_VALUE"""),"-")</f>
        <v>-</v>
      </c>
      <c r="I2973" s="19">
        <f>IFERROR(__xludf.DUMMYFUNCTION("""COMPUTED_VALUE"""),0.0021)</f>
        <v>0.0021</v>
      </c>
      <c r="J2973" s="19">
        <f>IFERROR(__xludf.DUMMYFUNCTION("""COMPUTED_VALUE"""),0.04731)</f>
        <v>0.04731</v>
      </c>
      <c r="K2973" s="19" t="str">
        <f>IFERROR(__xludf.DUMMYFUNCTION("""COMPUTED_VALUE"""),"-")</f>
        <v>-</v>
      </c>
      <c r="L2973" s="19" t="str">
        <f>IFERROR(__xludf.DUMMYFUNCTION("""COMPUTED_VALUE"""),"-")</f>
        <v>-</v>
      </c>
      <c r="O2973" s="24">
        <f t="shared" si="4"/>
        <v>0</v>
      </c>
      <c r="P2973" s="24"/>
      <c r="Q2973" s="24">
        <f t="shared" si="6"/>
        <v>0</v>
      </c>
      <c r="R2973" s="24">
        <f t="shared" si="7"/>
        <v>0</v>
      </c>
      <c r="S2973" s="24"/>
      <c r="T2973" s="24"/>
    </row>
    <row r="2974">
      <c r="A2974" s="12" t="s">
        <v>3061</v>
      </c>
      <c r="F2974" s="19">
        <f>IFERROR(__xludf.DUMMYFUNCTION("SPLIT(A2970, "" |"")"),2968.0)</f>
        <v>2968</v>
      </c>
      <c r="G2974" s="19">
        <f>IFERROR(__xludf.DUMMYFUNCTION("""COMPUTED_VALUE"""),0.00226)</f>
        <v>0.00226</v>
      </c>
      <c r="H2974" s="19" t="str">
        <f>IFERROR(__xludf.DUMMYFUNCTION("""COMPUTED_VALUE"""),"-")</f>
        <v>-</v>
      </c>
      <c r="I2974" s="19">
        <f>IFERROR(__xludf.DUMMYFUNCTION("""COMPUTED_VALUE"""),0.00208)</f>
        <v>0.00208</v>
      </c>
      <c r="J2974" s="19">
        <f>IFERROR(__xludf.DUMMYFUNCTION("""COMPUTED_VALUE"""),0.0449)</f>
        <v>0.0449</v>
      </c>
      <c r="K2974" s="19" t="str">
        <f>IFERROR(__xludf.DUMMYFUNCTION("""COMPUTED_VALUE"""),"-")</f>
        <v>-</v>
      </c>
      <c r="L2974" s="19" t="str">
        <f>IFERROR(__xludf.DUMMYFUNCTION("""COMPUTED_VALUE"""),"-")</f>
        <v>-</v>
      </c>
      <c r="O2974" s="24">
        <f t="shared" si="4"/>
        <v>0</v>
      </c>
      <c r="P2974" s="24"/>
      <c r="Q2974" s="24">
        <f t="shared" si="6"/>
        <v>0</v>
      </c>
      <c r="R2974" s="24">
        <f t="shared" si="7"/>
        <v>1</v>
      </c>
      <c r="S2974" s="24"/>
      <c r="T2974" s="24"/>
    </row>
    <row r="2975">
      <c r="A2975" s="12" t="s">
        <v>3062</v>
      </c>
      <c r="F2975" s="19">
        <f>IFERROR(__xludf.DUMMYFUNCTION("SPLIT(A2971, "" |"")"),2969.0)</f>
        <v>2969</v>
      </c>
      <c r="G2975" s="19">
        <f>IFERROR(__xludf.DUMMYFUNCTION("""COMPUTED_VALUE"""),0.00224)</f>
        <v>0.00224</v>
      </c>
      <c r="H2975" s="19" t="str">
        <f>IFERROR(__xludf.DUMMYFUNCTION("""COMPUTED_VALUE"""),"-")</f>
        <v>-</v>
      </c>
      <c r="I2975" s="19">
        <f>IFERROR(__xludf.DUMMYFUNCTION("""COMPUTED_VALUE"""),0.00208)</f>
        <v>0.00208</v>
      </c>
      <c r="J2975" s="19">
        <f>IFERROR(__xludf.DUMMYFUNCTION("""COMPUTED_VALUE"""),0.04727)</f>
        <v>0.04727</v>
      </c>
      <c r="K2975" s="19" t="str">
        <f>IFERROR(__xludf.DUMMYFUNCTION("""COMPUTED_VALUE"""),"-")</f>
        <v>-</v>
      </c>
      <c r="L2975" s="19" t="str">
        <f>IFERROR(__xludf.DUMMYFUNCTION("""COMPUTED_VALUE"""),"-")</f>
        <v>-</v>
      </c>
      <c r="O2975" s="24">
        <f t="shared" si="4"/>
        <v>0</v>
      </c>
      <c r="P2975" s="24"/>
      <c r="Q2975" s="24">
        <f t="shared" si="6"/>
        <v>0</v>
      </c>
      <c r="R2975" s="24">
        <f t="shared" si="7"/>
        <v>0</v>
      </c>
      <c r="S2975" s="24"/>
      <c r="T2975" s="24"/>
    </row>
    <row r="2976">
      <c r="A2976" s="12" t="s">
        <v>3063</v>
      </c>
      <c r="F2976" s="19">
        <f>IFERROR(__xludf.DUMMYFUNCTION("SPLIT(A2972, "" |"")"),2970.0)</f>
        <v>2970</v>
      </c>
      <c r="G2976" s="19">
        <f>IFERROR(__xludf.DUMMYFUNCTION("""COMPUTED_VALUE"""),0.00218)</f>
        <v>0.00218</v>
      </c>
      <c r="H2976" s="19" t="str">
        <f>IFERROR(__xludf.DUMMYFUNCTION("""COMPUTED_VALUE"""),"-")</f>
        <v>-</v>
      </c>
      <c r="I2976" s="19">
        <f>IFERROR(__xludf.DUMMYFUNCTION("""COMPUTED_VALUE"""),0.00207)</f>
        <v>0.00207</v>
      </c>
      <c r="J2976" s="19">
        <f>IFERROR(__xludf.DUMMYFUNCTION("""COMPUTED_VALUE"""),0.04725)</f>
        <v>0.04725</v>
      </c>
      <c r="K2976" s="19" t="str">
        <f>IFERROR(__xludf.DUMMYFUNCTION("""COMPUTED_VALUE"""),"-")</f>
        <v>-</v>
      </c>
      <c r="L2976" s="19" t="str">
        <f>IFERROR(__xludf.DUMMYFUNCTION("""COMPUTED_VALUE"""),"-")</f>
        <v>-</v>
      </c>
      <c r="O2976" s="24">
        <f t="shared" si="4"/>
        <v>0</v>
      </c>
      <c r="P2976" s="24"/>
      <c r="Q2976" s="24">
        <f t="shared" si="6"/>
        <v>0</v>
      </c>
      <c r="R2976" s="24">
        <f t="shared" si="7"/>
        <v>0</v>
      </c>
      <c r="S2976" s="24"/>
      <c r="T2976" s="24"/>
    </row>
    <row r="2977">
      <c r="A2977" s="12" t="s">
        <v>3064</v>
      </c>
      <c r="F2977" s="19">
        <f>IFERROR(__xludf.DUMMYFUNCTION("SPLIT(A2973, "" |"")"),2971.0)</f>
        <v>2971</v>
      </c>
      <c r="G2977" s="19">
        <f>IFERROR(__xludf.DUMMYFUNCTION("""COMPUTED_VALUE"""),0.00236)</f>
        <v>0.00236</v>
      </c>
      <c r="H2977" s="19" t="str">
        <f>IFERROR(__xludf.DUMMYFUNCTION("""COMPUTED_VALUE"""),"-")</f>
        <v>-</v>
      </c>
      <c r="I2977" s="19">
        <f>IFERROR(__xludf.DUMMYFUNCTION("""COMPUTED_VALUE"""),0.00206)</f>
        <v>0.00206</v>
      </c>
      <c r="J2977" s="19">
        <f>IFERROR(__xludf.DUMMYFUNCTION("""COMPUTED_VALUE"""),0.04722)</f>
        <v>0.04722</v>
      </c>
      <c r="K2977" s="19" t="str">
        <f>IFERROR(__xludf.DUMMYFUNCTION("""COMPUTED_VALUE"""),"-")</f>
        <v>-</v>
      </c>
      <c r="L2977" s="19" t="str">
        <f>IFERROR(__xludf.DUMMYFUNCTION("""COMPUTED_VALUE"""),"-")</f>
        <v>-</v>
      </c>
      <c r="O2977" s="24">
        <f t="shared" si="4"/>
        <v>0</v>
      </c>
      <c r="P2977" s="24"/>
      <c r="Q2977" s="24">
        <f t="shared" si="6"/>
        <v>0</v>
      </c>
      <c r="R2977" s="24">
        <f t="shared" si="7"/>
        <v>0</v>
      </c>
      <c r="S2977" s="24"/>
      <c r="T2977" s="24"/>
    </row>
    <row r="2978">
      <c r="A2978" s="12" t="s">
        <v>3065</v>
      </c>
      <c r="F2978" s="19">
        <f>IFERROR(__xludf.DUMMYFUNCTION("SPLIT(A2974, "" |"")"),2972.0)</f>
        <v>2972</v>
      </c>
      <c r="G2978" s="19">
        <f>IFERROR(__xludf.DUMMYFUNCTION("""COMPUTED_VALUE"""),0.00216)</f>
        <v>0.00216</v>
      </c>
      <c r="H2978" s="19" t="str">
        <f>IFERROR(__xludf.DUMMYFUNCTION("""COMPUTED_VALUE"""),"-")</f>
        <v>-</v>
      </c>
      <c r="I2978" s="19">
        <f>IFERROR(__xludf.DUMMYFUNCTION("""COMPUTED_VALUE"""),0.00206)</f>
        <v>0.00206</v>
      </c>
      <c r="J2978" s="19">
        <f>IFERROR(__xludf.DUMMYFUNCTION("""COMPUTED_VALUE"""),0.04724)</f>
        <v>0.04724</v>
      </c>
      <c r="K2978" s="19" t="str">
        <f>IFERROR(__xludf.DUMMYFUNCTION("""COMPUTED_VALUE"""),"-")</f>
        <v>-</v>
      </c>
      <c r="L2978" s="19" t="str">
        <f>IFERROR(__xludf.DUMMYFUNCTION("""COMPUTED_VALUE"""),"-")</f>
        <v>-</v>
      </c>
      <c r="O2978" s="24">
        <f t="shared" si="4"/>
        <v>0</v>
      </c>
      <c r="P2978" s="24"/>
      <c r="Q2978" s="24">
        <f t="shared" si="6"/>
        <v>0</v>
      </c>
      <c r="R2978" s="24">
        <f t="shared" si="7"/>
        <v>0</v>
      </c>
      <c r="S2978" s="24"/>
      <c r="T2978" s="24"/>
    </row>
    <row r="2979">
      <c r="A2979" s="12" t="s">
        <v>3066</v>
      </c>
      <c r="F2979" s="19">
        <f>IFERROR(__xludf.DUMMYFUNCTION("SPLIT(A2975, "" |"")"),2973.0)</f>
        <v>2973</v>
      </c>
      <c r="G2979" s="19">
        <f>IFERROR(__xludf.DUMMYFUNCTION("""COMPUTED_VALUE"""),0.00222)</f>
        <v>0.00222</v>
      </c>
      <c r="H2979" s="19" t="str">
        <f>IFERROR(__xludf.DUMMYFUNCTION("""COMPUTED_VALUE"""),"-")</f>
        <v>-</v>
      </c>
      <c r="I2979" s="19">
        <f>IFERROR(__xludf.DUMMYFUNCTION("""COMPUTED_VALUE"""),0.00209)</f>
        <v>0.00209</v>
      </c>
      <c r="J2979" s="19">
        <f>IFERROR(__xludf.DUMMYFUNCTION("""COMPUTED_VALUE"""),0.03994)</f>
        <v>0.03994</v>
      </c>
      <c r="K2979" s="19" t="str">
        <f>IFERROR(__xludf.DUMMYFUNCTION("""COMPUTED_VALUE"""),"-")</f>
        <v>-</v>
      </c>
      <c r="L2979" s="19" t="str">
        <f>IFERROR(__xludf.DUMMYFUNCTION("""COMPUTED_VALUE"""),"-")</f>
        <v>-</v>
      </c>
      <c r="O2979" s="24">
        <f t="shared" si="4"/>
        <v>0</v>
      </c>
      <c r="P2979" s="24"/>
      <c r="Q2979" s="24">
        <f t="shared" si="6"/>
        <v>0</v>
      </c>
      <c r="R2979" s="24">
        <f t="shared" si="7"/>
        <v>1</v>
      </c>
      <c r="S2979" s="24"/>
      <c r="T2979" s="24"/>
    </row>
    <row r="2980">
      <c r="A2980" s="12" t="s">
        <v>3067</v>
      </c>
      <c r="F2980" s="19">
        <f>IFERROR(__xludf.DUMMYFUNCTION("SPLIT(A2976, "" |"")"),2974.0)</f>
        <v>2974</v>
      </c>
      <c r="G2980" s="19">
        <f>IFERROR(__xludf.DUMMYFUNCTION("""COMPUTED_VALUE"""),0.00219)</f>
        <v>0.00219</v>
      </c>
      <c r="H2980" s="19" t="str">
        <f>IFERROR(__xludf.DUMMYFUNCTION("""COMPUTED_VALUE"""),"-")</f>
        <v>-</v>
      </c>
      <c r="I2980" s="19">
        <f>IFERROR(__xludf.DUMMYFUNCTION("""COMPUTED_VALUE"""),0.00206)</f>
        <v>0.00206</v>
      </c>
      <c r="J2980" s="19">
        <f>IFERROR(__xludf.DUMMYFUNCTION("""COMPUTED_VALUE"""),0.0473)</f>
        <v>0.0473</v>
      </c>
      <c r="K2980" s="19" t="str">
        <f>IFERROR(__xludf.DUMMYFUNCTION("""COMPUTED_VALUE"""),"-")</f>
        <v>-</v>
      </c>
      <c r="L2980" s="19" t="str">
        <f>IFERROR(__xludf.DUMMYFUNCTION("""COMPUTED_VALUE"""),"-")</f>
        <v>-</v>
      </c>
      <c r="O2980" s="24">
        <f t="shared" si="4"/>
        <v>0</v>
      </c>
      <c r="P2980" s="24"/>
      <c r="Q2980" s="24">
        <f t="shared" si="6"/>
        <v>0</v>
      </c>
      <c r="R2980" s="24">
        <f t="shared" si="7"/>
        <v>0</v>
      </c>
      <c r="S2980" s="24"/>
      <c r="T2980" s="24"/>
    </row>
    <row r="2981">
      <c r="A2981" s="12" t="s">
        <v>3068</v>
      </c>
      <c r="F2981" s="19">
        <f>IFERROR(__xludf.DUMMYFUNCTION("SPLIT(A2977, "" |"")"),2975.0)</f>
        <v>2975</v>
      </c>
      <c r="G2981" s="19">
        <f>IFERROR(__xludf.DUMMYFUNCTION("""COMPUTED_VALUE"""),0.00235)</f>
        <v>0.00235</v>
      </c>
      <c r="H2981" s="19" t="str">
        <f>IFERROR(__xludf.DUMMYFUNCTION("""COMPUTED_VALUE"""),"-")</f>
        <v>-</v>
      </c>
      <c r="I2981" s="19">
        <f>IFERROR(__xludf.DUMMYFUNCTION("""COMPUTED_VALUE"""),0.00217)</f>
        <v>0.00217</v>
      </c>
      <c r="J2981" s="19">
        <f>IFERROR(__xludf.DUMMYFUNCTION("""COMPUTED_VALUE"""),0.04742)</f>
        <v>0.04742</v>
      </c>
      <c r="K2981" s="19" t="str">
        <f>IFERROR(__xludf.DUMMYFUNCTION("""COMPUTED_VALUE"""),"-")</f>
        <v>-</v>
      </c>
      <c r="L2981" s="19" t="str">
        <f>IFERROR(__xludf.DUMMYFUNCTION("""COMPUTED_VALUE"""),"-")</f>
        <v>-</v>
      </c>
      <c r="O2981" s="24">
        <f t="shared" si="4"/>
        <v>0</v>
      </c>
      <c r="P2981" s="24"/>
      <c r="Q2981" s="24">
        <f t="shared" si="6"/>
        <v>0</v>
      </c>
      <c r="R2981" s="24">
        <f t="shared" si="7"/>
        <v>0</v>
      </c>
      <c r="S2981" s="24"/>
      <c r="T2981" s="24"/>
    </row>
    <row r="2982">
      <c r="A2982" s="12" t="s">
        <v>3069</v>
      </c>
      <c r="F2982" s="19">
        <f>IFERROR(__xludf.DUMMYFUNCTION("SPLIT(A2978, "" |"")"),2976.0)</f>
        <v>2976</v>
      </c>
      <c r="G2982" s="19">
        <f>IFERROR(__xludf.DUMMYFUNCTION("""COMPUTED_VALUE"""),0.00218)</f>
        <v>0.00218</v>
      </c>
      <c r="H2982" s="19" t="str">
        <f>IFERROR(__xludf.DUMMYFUNCTION("""COMPUTED_VALUE"""),"-")</f>
        <v>-</v>
      </c>
      <c r="I2982" s="19">
        <f>IFERROR(__xludf.DUMMYFUNCTION("""COMPUTED_VALUE"""),0.00208)</f>
        <v>0.00208</v>
      </c>
      <c r="J2982" s="19">
        <f>IFERROR(__xludf.DUMMYFUNCTION("""COMPUTED_VALUE"""),0.04734)</f>
        <v>0.04734</v>
      </c>
      <c r="K2982" s="19" t="str">
        <f>IFERROR(__xludf.DUMMYFUNCTION("""COMPUTED_VALUE"""),"-")</f>
        <v>-</v>
      </c>
      <c r="L2982" s="19" t="str">
        <f>IFERROR(__xludf.DUMMYFUNCTION("""COMPUTED_VALUE"""),"-")</f>
        <v>-</v>
      </c>
      <c r="O2982" s="24">
        <f t="shared" si="4"/>
        <v>0</v>
      </c>
      <c r="P2982" s="24"/>
      <c r="Q2982" s="24">
        <f t="shared" si="6"/>
        <v>0</v>
      </c>
      <c r="R2982" s="24">
        <f t="shared" si="7"/>
        <v>0</v>
      </c>
      <c r="S2982" s="24"/>
      <c r="T2982" s="24"/>
    </row>
    <row r="2983">
      <c r="A2983" s="12" t="s">
        <v>3070</v>
      </c>
      <c r="F2983" s="19">
        <f>IFERROR(__xludf.DUMMYFUNCTION("SPLIT(A2979, "" |"")"),2977.0)</f>
        <v>2977</v>
      </c>
      <c r="G2983" s="19">
        <f>IFERROR(__xludf.DUMMYFUNCTION("""COMPUTED_VALUE"""),0.00239)</f>
        <v>0.00239</v>
      </c>
      <c r="H2983" s="19" t="str">
        <f>IFERROR(__xludf.DUMMYFUNCTION("""COMPUTED_VALUE"""),"-")</f>
        <v>-</v>
      </c>
      <c r="I2983" s="19">
        <f>IFERROR(__xludf.DUMMYFUNCTION("""COMPUTED_VALUE"""),0.00222)</f>
        <v>0.00222</v>
      </c>
      <c r="J2983" s="19">
        <f>IFERROR(__xludf.DUMMYFUNCTION("""COMPUTED_VALUE"""),0.04742)</f>
        <v>0.04742</v>
      </c>
      <c r="K2983" s="19" t="str">
        <f>IFERROR(__xludf.DUMMYFUNCTION("""COMPUTED_VALUE"""),"-")</f>
        <v>-</v>
      </c>
      <c r="L2983" s="19" t="str">
        <f>IFERROR(__xludf.DUMMYFUNCTION("""COMPUTED_VALUE"""),"-")</f>
        <v>-</v>
      </c>
      <c r="O2983" s="24">
        <f t="shared" si="4"/>
        <v>0</v>
      </c>
      <c r="P2983" s="24"/>
      <c r="Q2983" s="24">
        <f t="shared" si="6"/>
        <v>0</v>
      </c>
      <c r="R2983" s="24">
        <f t="shared" si="7"/>
        <v>0</v>
      </c>
      <c r="S2983" s="24"/>
      <c r="T2983" s="24"/>
    </row>
    <row r="2984">
      <c r="A2984" s="12" t="s">
        <v>3071</v>
      </c>
      <c r="F2984" s="19">
        <f>IFERROR(__xludf.DUMMYFUNCTION("SPLIT(A2980, "" |"")"),2978.0)</f>
        <v>2978</v>
      </c>
      <c r="G2984" s="19">
        <f>IFERROR(__xludf.DUMMYFUNCTION("""COMPUTED_VALUE"""),0.00233)</f>
        <v>0.00233</v>
      </c>
      <c r="H2984" s="19" t="str">
        <f>IFERROR(__xludf.DUMMYFUNCTION("""COMPUTED_VALUE"""),"-")</f>
        <v>-</v>
      </c>
      <c r="I2984" s="19">
        <f>IFERROR(__xludf.DUMMYFUNCTION("""COMPUTED_VALUE"""),0.00222)</f>
        <v>0.00222</v>
      </c>
      <c r="J2984" s="19">
        <f>IFERROR(__xludf.DUMMYFUNCTION("""COMPUTED_VALUE"""),0.04737)</f>
        <v>0.04737</v>
      </c>
      <c r="K2984" s="19" t="str">
        <f>IFERROR(__xludf.DUMMYFUNCTION("""COMPUTED_VALUE"""),"-")</f>
        <v>-</v>
      </c>
      <c r="L2984" s="19" t="str">
        <f>IFERROR(__xludf.DUMMYFUNCTION("""COMPUTED_VALUE"""),"-")</f>
        <v>-</v>
      </c>
      <c r="O2984" s="24">
        <f t="shared" si="4"/>
        <v>0</v>
      </c>
      <c r="P2984" s="24"/>
      <c r="Q2984" s="24">
        <f t="shared" si="6"/>
        <v>0</v>
      </c>
      <c r="R2984" s="24">
        <f t="shared" si="7"/>
        <v>0</v>
      </c>
      <c r="S2984" s="24"/>
      <c r="T2984" s="24"/>
    </row>
    <row r="2985">
      <c r="A2985" s="12" t="s">
        <v>3072</v>
      </c>
      <c r="F2985" s="19">
        <f>IFERROR(__xludf.DUMMYFUNCTION("SPLIT(A2981, "" |"")"),2979.0)</f>
        <v>2979</v>
      </c>
      <c r="G2985" s="19">
        <f>IFERROR(__xludf.DUMMYFUNCTION("""COMPUTED_VALUE"""),0.00225)</f>
        <v>0.00225</v>
      </c>
      <c r="H2985" s="19" t="str">
        <f>IFERROR(__xludf.DUMMYFUNCTION("""COMPUTED_VALUE"""),"-")</f>
        <v>-</v>
      </c>
      <c r="I2985" s="19">
        <f>IFERROR(__xludf.DUMMYFUNCTION("""COMPUTED_VALUE"""),0.0021)</f>
        <v>0.0021</v>
      </c>
      <c r="J2985" s="19">
        <f>IFERROR(__xludf.DUMMYFUNCTION("""COMPUTED_VALUE"""),0.04729)</f>
        <v>0.04729</v>
      </c>
      <c r="K2985" s="19" t="str">
        <f>IFERROR(__xludf.DUMMYFUNCTION("""COMPUTED_VALUE"""),"-")</f>
        <v>-</v>
      </c>
      <c r="L2985" s="19" t="str">
        <f>IFERROR(__xludf.DUMMYFUNCTION("""COMPUTED_VALUE"""),"-")</f>
        <v>-</v>
      </c>
      <c r="O2985" s="24">
        <f t="shared" si="4"/>
        <v>0</v>
      </c>
      <c r="P2985" s="24"/>
      <c r="Q2985" s="24">
        <f t="shared" si="6"/>
        <v>0</v>
      </c>
      <c r="R2985" s="24">
        <f t="shared" si="7"/>
        <v>0</v>
      </c>
      <c r="S2985" s="24"/>
      <c r="T2985" s="24"/>
    </row>
    <row r="2986">
      <c r="A2986" s="12" t="s">
        <v>3073</v>
      </c>
      <c r="F2986" s="19">
        <f>IFERROR(__xludf.DUMMYFUNCTION("SPLIT(A2982, "" |"")"),2980.0)</f>
        <v>2980</v>
      </c>
      <c r="G2986" s="19">
        <f>IFERROR(__xludf.DUMMYFUNCTION("""COMPUTED_VALUE"""),0.00227)</f>
        <v>0.00227</v>
      </c>
      <c r="H2986" s="19" t="str">
        <f>IFERROR(__xludf.DUMMYFUNCTION("""COMPUTED_VALUE"""),"-")</f>
        <v>-</v>
      </c>
      <c r="I2986" s="19">
        <f>IFERROR(__xludf.DUMMYFUNCTION("""COMPUTED_VALUE"""),0.00208)</f>
        <v>0.00208</v>
      </c>
      <c r="J2986" s="19">
        <f>IFERROR(__xludf.DUMMYFUNCTION("""COMPUTED_VALUE"""),0.04734)</f>
        <v>0.04734</v>
      </c>
      <c r="K2986" s="19" t="str">
        <f>IFERROR(__xludf.DUMMYFUNCTION("""COMPUTED_VALUE"""),"-")</f>
        <v>-</v>
      </c>
      <c r="L2986" s="19" t="str">
        <f>IFERROR(__xludf.DUMMYFUNCTION("""COMPUTED_VALUE"""),"-")</f>
        <v>-</v>
      </c>
      <c r="O2986" s="24">
        <f t="shared" si="4"/>
        <v>0</v>
      </c>
      <c r="P2986" s="24"/>
      <c r="Q2986" s="24">
        <f t="shared" si="6"/>
        <v>0</v>
      </c>
      <c r="R2986" s="24">
        <f t="shared" si="7"/>
        <v>0</v>
      </c>
      <c r="S2986" s="24"/>
      <c r="T2986" s="24"/>
    </row>
    <row r="2987">
      <c r="A2987" s="12" t="s">
        <v>3074</v>
      </c>
      <c r="F2987" s="19">
        <f>IFERROR(__xludf.DUMMYFUNCTION("SPLIT(A2983, "" |"")"),2981.0)</f>
        <v>2981</v>
      </c>
      <c r="G2987" s="19">
        <f>IFERROR(__xludf.DUMMYFUNCTION("""COMPUTED_VALUE"""),0.00238)</f>
        <v>0.00238</v>
      </c>
      <c r="H2987" s="19" t="str">
        <f>IFERROR(__xludf.DUMMYFUNCTION("""COMPUTED_VALUE"""),"-")</f>
        <v>-</v>
      </c>
      <c r="I2987" s="19">
        <f>IFERROR(__xludf.DUMMYFUNCTION("""COMPUTED_VALUE"""),0.0023)</f>
        <v>0.0023</v>
      </c>
      <c r="J2987" s="19">
        <f>IFERROR(__xludf.DUMMYFUNCTION("""COMPUTED_VALUE"""),0.04408)</f>
        <v>0.04408</v>
      </c>
      <c r="K2987" s="19" t="str">
        <f>IFERROR(__xludf.DUMMYFUNCTION("""COMPUTED_VALUE"""),"-")</f>
        <v>-</v>
      </c>
      <c r="L2987" s="19" t="str">
        <f>IFERROR(__xludf.DUMMYFUNCTION("""COMPUTED_VALUE"""),"-")</f>
        <v>-</v>
      </c>
      <c r="O2987" s="24">
        <f t="shared" si="4"/>
        <v>0</v>
      </c>
      <c r="P2987" s="24"/>
      <c r="Q2987" s="24">
        <f t="shared" si="6"/>
        <v>0</v>
      </c>
      <c r="R2987" s="24">
        <f t="shared" si="7"/>
        <v>1</v>
      </c>
      <c r="S2987" s="24"/>
      <c r="T2987" s="24"/>
    </row>
    <row r="2988">
      <c r="A2988" s="12" t="s">
        <v>3075</v>
      </c>
      <c r="F2988" s="19">
        <f>IFERROR(__xludf.DUMMYFUNCTION("SPLIT(A2984, "" |"")"),2982.0)</f>
        <v>2982</v>
      </c>
      <c r="G2988" s="19">
        <f>IFERROR(__xludf.DUMMYFUNCTION("""COMPUTED_VALUE"""),0.00236)</f>
        <v>0.00236</v>
      </c>
      <c r="H2988" s="19" t="str">
        <f>IFERROR(__xludf.DUMMYFUNCTION("""COMPUTED_VALUE"""),"-")</f>
        <v>-</v>
      </c>
      <c r="I2988" s="19">
        <f>IFERROR(__xludf.DUMMYFUNCTION("""COMPUTED_VALUE"""),0.00217)</f>
        <v>0.00217</v>
      </c>
      <c r="J2988" s="19">
        <f>IFERROR(__xludf.DUMMYFUNCTION("""COMPUTED_VALUE"""),0.04748)</f>
        <v>0.04748</v>
      </c>
      <c r="K2988" s="19" t="str">
        <f>IFERROR(__xludf.DUMMYFUNCTION("""COMPUTED_VALUE"""),"-")</f>
        <v>-</v>
      </c>
      <c r="L2988" s="19" t="str">
        <f>IFERROR(__xludf.DUMMYFUNCTION("""COMPUTED_VALUE"""),"-")</f>
        <v>-</v>
      </c>
      <c r="O2988" s="24">
        <f t="shared" si="4"/>
        <v>0</v>
      </c>
      <c r="P2988" s="24"/>
      <c r="Q2988" s="24">
        <f t="shared" si="6"/>
        <v>0</v>
      </c>
      <c r="R2988" s="24">
        <f t="shared" si="7"/>
        <v>0</v>
      </c>
      <c r="S2988" s="24"/>
      <c r="T2988" s="24"/>
    </row>
    <row r="2989">
      <c r="A2989" s="12" t="s">
        <v>3076</v>
      </c>
      <c r="F2989" s="19">
        <f>IFERROR(__xludf.DUMMYFUNCTION("SPLIT(A2985, "" |"")"),2983.0)</f>
        <v>2983</v>
      </c>
      <c r="G2989" s="19">
        <f>IFERROR(__xludf.DUMMYFUNCTION("""COMPUTED_VALUE"""),0.00232)</f>
        <v>0.00232</v>
      </c>
      <c r="H2989" s="19" t="str">
        <f>IFERROR(__xludf.DUMMYFUNCTION("""COMPUTED_VALUE"""),"-")</f>
        <v>-</v>
      </c>
      <c r="I2989" s="19">
        <f>IFERROR(__xludf.DUMMYFUNCTION("""COMPUTED_VALUE"""),0.00215)</f>
        <v>0.00215</v>
      </c>
      <c r="J2989" s="19">
        <f>IFERROR(__xludf.DUMMYFUNCTION("""COMPUTED_VALUE"""),0.04436)</f>
        <v>0.04436</v>
      </c>
      <c r="K2989" s="19" t="str">
        <f>IFERROR(__xludf.DUMMYFUNCTION("""COMPUTED_VALUE"""),"-")</f>
        <v>-</v>
      </c>
      <c r="L2989" s="19" t="str">
        <f>IFERROR(__xludf.DUMMYFUNCTION("""COMPUTED_VALUE"""),"-")</f>
        <v>-</v>
      </c>
      <c r="O2989" s="24">
        <f t="shared" si="4"/>
        <v>0</v>
      </c>
      <c r="P2989" s="24"/>
      <c r="Q2989" s="24">
        <f t="shared" si="6"/>
        <v>0</v>
      </c>
      <c r="R2989" s="24">
        <f t="shared" si="7"/>
        <v>1</v>
      </c>
      <c r="S2989" s="24"/>
      <c r="T2989" s="24"/>
    </row>
    <row r="2990">
      <c r="A2990" s="12" t="s">
        <v>3077</v>
      </c>
      <c r="F2990" s="19">
        <f>IFERROR(__xludf.DUMMYFUNCTION("SPLIT(A2986, "" |"")"),2984.0)</f>
        <v>2984</v>
      </c>
      <c r="G2990" s="19">
        <f>IFERROR(__xludf.DUMMYFUNCTION("""COMPUTED_VALUE"""),0.00233)</f>
        <v>0.00233</v>
      </c>
      <c r="H2990" s="19" t="str">
        <f>IFERROR(__xludf.DUMMYFUNCTION("""COMPUTED_VALUE"""),"-")</f>
        <v>-</v>
      </c>
      <c r="I2990" s="19">
        <f>IFERROR(__xludf.DUMMYFUNCTION("""COMPUTED_VALUE"""),0.00219)</f>
        <v>0.00219</v>
      </c>
      <c r="J2990" s="19">
        <f>IFERROR(__xludf.DUMMYFUNCTION("""COMPUTED_VALUE"""),0.04743)</f>
        <v>0.04743</v>
      </c>
      <c r="K2990" s="19" t="str">
        <f>IFERROR(__xludf.DUMMYFUNCTION("""COMPUTED_VALUE"""),"-")</f>
        <v>-</v>
      </c>
      <c r="L2990" s="19" t="str">
        <f>IFERROR(__xludf.DUMMYFUNCTION("""COMPUTED_VALUE"""),"-")</f>
        <v>-</v>
      </c>
      <c r="O2990" s="24">
        <f t="shared" si="4"/>
        <v>0</v>
      </c>
      <c r="P2990" s="24"/>
      <c r="Q2990" s="24">
        <f t="shared" si="6"/>
        <v>0</v>
      </c>
      <c r="R2990" s="24">
        <f t="shared" si="7"/>
        <v>0</v>
      </c>
      <c r="S2990" s="24"/>
      <c r="T2990" s="24"/>
    </row>
    <row r="2991">
      <c r="A2991" s="12" t="s">
        <v>3078</v>
      </c>
      <c r="F2991" s="19">
        <f>IFERROR(__xludf.DUMMYFUNCTION("SPLIT(A2987, "" |"")"),2985.0)</f>
        <v>2985</v>
      </c>
      <c r="G2991" s="19">
        <f>IFERROR(__xludf.DUMMYFUNCTION("""COMPUTED_VALUE"""),0.00231)</f>
        <v>0.00231</v>
      </c>
      <c r="H2991" s="19" t="str">
        <f>IFERROR(__xludf.DUMMYFUNCTION("""COMPUTED_VALUE"""),"-")</f>
        <v>-</v>
      </c>
      <c r="I2991" s="19">
        <f>IFERROR(__xludf.DUMMYFUNCTION("""COMPUTED_VALUE"""),0.00222)</f>
        <v>0.00222</v>
      </c>
      <c r="J2991" s="19">
        <f>IFERROR(__xludf.DUMMYFUNCTION("""COMPUTED_VALUE"""),0.04738)</f>
        <v>0.04738</v>
      </c>
      <c r="K2991" s="19" t="str">
        <f>IFERROR(__xludf.DUMMYFUNCTION("""COMPUTED_VALUE"""),"-")</f>
        <v>-</v>
      </c>
      <c r="L2991" s="19" t="str">
        <f>IFERROR(__xludf.DUMMYFUNCTION("""COMPUTED_VALUE"""),"-")</f>
        <v>-</v>
      </c>
      <c r="O2991" s="24">
        <f t="shared" si="4"/>
        <v>0</v>
      </c>
      <c r="P2991" s="24"/>
      <c r="Q2991" s="24">
        <f t="shared" si="6"/>
        <v>0</v>
      </c>
      <c r="R2991" s="24">
        <f t="shared" si="7"/>
        <v>0</v>
      </c>
      <c r="S2991" s="24"/>
      <c r="T2991" s="24"/>
    </row>
    <row r="2992">
      <c r="A2992" s="12" t="s">
        <v>3079</v>
      </c>
      <c r="F2992" s="19">
        <f>IFERROR(__xludf.DUMMYFUNCTION("SPLIT(A2988, "" |"")"),2986.0)</f>
        <v>2986</v>
      </c>
      <c r="G2992" s="19">
        <f>IFERROR(__xludf.DUMMYFUNCTION("""COMPUTED_VALUE"""),0.00226)</f>
        <v>0.00226</v>
      </c>
      <c r="H2992" s="19" t="str">
        <f>IFERROR(__xludf.DUMMYFUNCTION("""COMPUTED_VALUE"""),"-")</f>
        <v>-</v>
      </c>
      <c r="I2992" s="19">
        <f>IFERROR(__xludf.DUMMYFUNCTION("""COMPUTED_VALUE"""),0.00221)</f>
        <v>0.00221</v>
      </c>
      <c r="J2992" s="19">
        <f>IFERROR(__xludf.DUMMYFUNCTION("""COMPUTED_VALUE"""),0.04738)</f>
        <v>0.04738</v>
      </c>
      <c r="K2992" s="19" t="str">
        <f>IFERROR(__xludf.DUMMYFUNCTION("""COMPUTED_VALUE"""),"-")</f>
        <v>-</v>
      </c>
      <c r="L2992" s="19" t="str">
        <f>IFERROR(__xludf.DUMMYFUNCTION("""COMPUTED_VALUE"""),"-")</f>
        <v>-</v>
      </c>
      <c r="O2992" s="24">
        <f t="shared" si="4"/>
        <v>0</v>
      </c>
      <c r="P2992" s="24"/>
      <c r="Q2992" s="24">
        <f t="shared" si="6"/>
        <v>0</v>
      </c>
      <c r="R2992" s="24">
        <f t="shared" si="7"/>
        <v>0</v>
      </c>
      <c r="S2992" s="24"/>
      <c r="T2992" s="24"/>
    </row>
    <row r="2993">
      <c r="A2993" s="12" t="s">
        <v>3080</v>
      </c>
      <c r="F2993" s="19">
        <f>IFERROR(__xludf.DUMMYFUNCTION("SPLIT(A2989, "" |"")"),2987.0)</f>
        <v>2987</v>
      </c>
      <c r="G2993" s="19">
        <f>IFERROR(__xludf.DUMMYFUNCTION("""COMPUTED_VALUE"""),0.00235)</f>
        <v>0.00235</v>
      </c>
      <c r="H2993" s="19" t="str">
        <f>IFERROR(__xludf.DUMMYFUNCTION("""COMPUTED_VALUE"""),"-")</f>
        <v>-</v>
      </c>
      <c r="I2993" s="19">
        <f>IFERROR(__xludf.DUMMYFUNCTION("""COMPUTED_VALUE"""),0.00228)</f>
        <v>0.00228</v>
      </c>
      <c r="J2993" s="19">
        <f>IFERROR(__xludf.DUMMYFUNCTION("""COMPUTED_VALUE"""),0.04387)</f>
        <v>0.04387</v>
      </c>
      <c r="K2993" s="19" t="str">
        <f>IFERROR(__xludf.DUMMYFUNCTION("""COMPUTED_VALUE"""),"-")</f>
        <v>-</v>
      </c>
      <c r="L2993" s="19" t="str">
        <f>IFERROR(__xludf.DUMMYFUNCTION("""COMPUTED_VALUE"""),"-")</f>
        <v>-</v>
      </c>
      <c r="O2993" s="24">
        <f t="shared" si="4"/>
        <v>0</v>
      </c>
      <c r="P2993" s="24"/>
      <c r="Q2993" s="24">
        <f t="shared" si="6"/>
        <v>0</v>
      </c>
      <c r="R2993" s="24">
        <f t="shared" si="7"/>
        <v>1</v>
      </c>
      <c r="S2993" s="24"/>
      <c r="T2993" s="24"/>
    </row>
    <row r="2994">
      <c r="A2994" s="12" t="s">
        <v>3081</v>
      </c>
      <c r="F2994" s="19">
        <f>IFERROR(__xludf.DUMMYFUNCTION("SPLIT(A2990, "" |"")"),2988.0)</f>
        <v>2988</v>
      </c>
      <c r="G2994" s="19">
        <f>IFERROR(__xludf.DUMMYFUNCTION("""COMPUTED_VALUE"""),0.00238)</f>
        <v>0.00238</v>
      </c>
      <c r="H2994" s="19" t="str">
        <f>IFERROR(__xludf.DUMMYFUNCTION("""COMPUTED_VALUE"""),"-")</f>
        <v>-</v>
      </c>
      <c r="I2994" s="19">
        <f>IFERROR(__xludf.DUMMYFUNCTION("""COMPUTED_VALUE"""),0.00228)</f>
        <v>0.00228</v>
      </c>
      <c r="J2994" s="19">
        <f>IFERROR(__xludf.DUMMYFUNCTION("""COMPUTED_VALUE"""),0.04742)</f>
        <v>0.04742</v>
      </c>
      <c r="K2994" s="19" t="str">
        <f>IFERROR(__xludf.DUMMYFUNCTION("""COMPUTED_VALUE"""),"-")</f>
        <v>-</v>
      </c>
      <c r="L2994" s="19" t="str">
        <f>IFERROR(__xludf.DUMMYFUNCTION("""COMPUTED_VALUE"""),"-")</f>
        <v>-</v>
      </c>
      <c r="O2994" s="24">
        <f t="shared" si="4"/>
        <v>0</v>
      </c>
      <c r="P2994" s="24"/>
      <c r="Q2994" s="24">
        <f t="shared" si="6"/>
        <v>0</v>
      </c>
      <c r="R2994" s="24">
        <f t="shared" si="7"/>
        <v>0</v>
      </c>
      <c r="S2994" s="24"/>
      <c r="T2994" s="24"/>
    </row>
    <row r="2995">
      <c r="A2995" s="12" t="s">
        <v>3082</v>
      </c>
      <c r="F2995" s="19">
        <f>IFERROR(__xludf.DUMMYFUNCTION("SPLIT(A2991, "" |"")"),2989.0)</f>
        <v>2989</v>
      </c>
      <c r="G2995" s="19">
        <f>IFERROR(__xludf.DUMMYFUNCTION("""COMPUTED_VALUE"""),0.00231)</f>
        <v>0.00231</v>
      </c>
      <c r="H2995" s="19" t="str">
        <f>IFERROR(__xludf.DUMMYFUNCTION("""COMPUTED_VALUE"""),"-")</f>
        <v>-</v>
      </c>
      <c r="I2995" s="19">
        <f>IFERROR(__xludf.DUMMYFUNCTION("""COMPUTED_VALUE"""),0.00213)</f>
        <v>0.00213</v>
      </c>
      <c r="J2995" s="19">
        <f>IFERROR(__xludf.DUMMYFUNCTION("""COMPUTED_VALUE"""),0.04747)</f>
        <v>0.04747</v>
      </c>
      <c r="K2995" s="19" t="str">
        <f>IFERROR(__xludf.DUMMYFUNCTION("""COMPUTED_VALUE"""),"-")</f>
        <v>-</v>
      </c>
      <c r="L2995" s="19" t="str">
        <f>IFERROR(__xludf.DUMMYFUNCTION("""COMPUTED_VALUE"""),"-")</f>
        <v>-</v>
      </c>
      <c r="O2995" s="24">
        <f t="shared" si="4"/>
        <v>0</v>
      </c>
      <c r="P2995" s="24"/>
      <c r="Q2995" s="24">
        <f t="shared" si="6"/>
        <v>0</v>
      </c>
      <c r="R2995" s="24">
        <f t="shared" si="7"/>
        <v>0</v>
      </c>
      <c r="S2995" s="24"/>
      <c r="T2995" s="24"/>
    </row>
    <row r="2996">
      <c r="A2996" s="12" t="s">
        <v>3083</v>
      </c>
      <c r="F2996" s="19">
        <f>IFERROR(__xludf.DUMMYFUNCTION("SPLIT(A2992, "" |"")"),2990.0)</f>
        <v>2990</v>
      </c>
      <c r="G2996" s="19">
        <f>IFERROR(__xludf.DUMMYFUNCTION("""COMPUTED_VALUE"""),0.00233)</f>
        <v>0.00233</v>
      </c>
      <c r="H2996" s="19" t="str">
        <f>IFERROR(__xludf.DUMMYFUNCTION("""COMPUTED_VALUE"""),"-")</f>
        <v>-</v>
      </c>
      <c r="I2996" s="19">
        <f>IFERROR(__xludf.DUMMYFUNCTION("""COMPUTED_VALUE"""),0.0022)</f>
        <v>0.0022</v>
      </c>
      <c r="J2996" s="19">
        <f>IFERROR(__xludf.DUMMYFUNCTION("""COMPUTED_VALUE"""),0.04744)</f>
        <v>0.04744</v>
      </c>
      <c r="K2996" s="19" t="str">
        <f>IFERROR(__xludf.DUMMYFUNCTION("""COMPUTED_VALUE"""),"-")</f>
        <v>-</v>
      </c>
      <c r="L2996" s="19" t="str">
        <f>IFERROR(__xludf.DUMMYFUNCTION("""COMPUTED_VALUE"""),"-")</f>
        <v>-</v>
      </c>
      <c r="O2996" s="24">
        <f t="shared" si="4"/>
        <v>0</v>
      </c>
      <c r="P2996" s="24"/>
      <c r="Q2996" s="24">
        <f t="shared" si="6"/>
        <v>0</v>
      </c>
      <c r="R2996" s="24">
        <f t="shared" si="7"/>
        <v>0</v>
      </c>
      <c r="S2996" s="24"/>
      <c r="T2996" s="24"/>
    </row>
    <row r="2997">
      <c r="A2997" s="12" t="s">
        <v>3084</v>
      </c>
      <c r="F2997" s="19">
        <f>IFERROR(__xludf.DUMMYFUNCTION("SPLIT(A2993, "" |"")"),2991.0)</f>
        <v>2991</v>
      </c>
      <c r="G2997" s="19">
        <f>IFERROR(__xludf.DUMMYFUNCTION("""COMPUTED_VALUE"""),0.00237)</f>
        <v>0.00237</v>
      </c>
      <c r="H2997" s="19" t="str">
        <f>IFERROR(__xludf.DUMMYFUNCTION("""COMPUTED_VALUE"""),"-")</f>
        <v>-</v>
      </c>
      <c r="I2997" s="19">
        <f>IFERROR(__xludf.DUMMYFUNCTION("""COMPUTED_VALUE"""),0.00222)</f>
        <v>0.00222</v>
      </c>
      <c r="J2997" s="19">
        <f>IFERROR(__xludf.DUMMYFUNCTION("""COMPUTED_VALUE"""),0.04743)</f>
        <v>0.04743</v>
      </c>
      <c r="K2997" s="19" t="str">
        <f>IFERROR(__xludf.DUMMYFUNCTION("""COMPUTED_VALUE"""),"-")</f>
        <v>-</v>
      </c>
      <c r="L2997" s="19" t="str">
        <f>IFERROR(__xludf.DUMMYFUNCTION("""COMPUTED_VALUE"""),"-")</f>
        <v>-</v>
      </c>
      <c r="O2997" s="24">
        <f t="shared" si="4"/>
        <v>0</v>
      </c>
      <c r="P2997" s="24"/>
      <c r="Q2997" s="24">
        <f t="shared" si="6"/>
        <v>0</v>
      </c>
      <c r="R2997" s="24">
        <f t="shared" si="7"/>
        <v>0</v>
      </c>
      <c r="S2997" s="24"/>
      <c r="T2997" s="24"/>
    </row>
    <row r="2998">
      <c r="A2998" s="12" t="s">
        <v>3085</v>
      </c>
      <c r="F2998" s="19">
        <f>IFERROR(__xludf.DUMMYFUNCTION("SPLIT(A2994, "" |"")"),2992.0)</f>
        <v>2992</v>
      </c>
      <c r="G2998" s="19">
        <f>IFERROR(__xludf.DUMMYFUNCTION("""COMPUTED_VALUE"""),0.00237)</f>
        <v>0.00237</v>
      </c>
      <c r="H2998" s="19" t="str">
        <f>IFERROR(__xludf.DUMMYFUNCTION("""COMPUTED_VALUE"""),"-")</f>
        <v>-</v>
      </c>
      <c r="I2998" s="19">
        <f>IFERROR(__xludf.DUMMYFUNCTION("""COMPUTED_VALUE"""),0.00219)</f>
        <v>0.00219</v>
      </c>
      <c r="J2998" s="19">
        <f>IFERROR(__xludf.DUMMYFUNCTION("""COMPUTED_VALUE"""),0.04341)</f>
        <v>0.04341</v>
      </c>
      <c r="K2998" s="19" t="str">
        <f>IFERROR(__xludf.DUMMYFUNCTION("""COMPUTED_VALUE"""),"-")</f>
        <v>-</v>
      </c>
      <c r="L2998" s="19" t="str">
        <f>IFERROR(__xludf.DUMMYFUNCTION("""COMPUTED_VALUE"""),"-")</f>
        <v>-</v>
      </c>
      <c r="O2998" s="24">
        <f t="shared" si="4"/>
        <v>0</v>
      </c>
      <c r="P2998" s="24"/>
      <c r="Q2998" s="24">
        <f t="shared" si="6"/>
        <v>0</v>
      </c>
      <c r="R2998" s="24">
        <f t="shared" si="7"/>
        <v>1</v>
      </c>
      <c r="S2998" s="24"/>
      <c r="T2998" s="24"/>
    </row>
    <row r="2999">
      <c r="A2999" s="12" t="s">
        <v>3086</v>
      </c>
      <c r="F2999" s="19">
        <f>IFERROR(__xludf.DUMMYFUNCTION("SPLIT(A2995, "" |"")"),2993.0)</f>
        <v>2993</v>
      </c>
      <c r="G2999" s="19">
        <f>IFERROR(__xludf.DUMMYFUNCTION("""COMPUTED_VALUE"""),0.00235)</f>
        <v>0.00235</v>
      </c>
      <c r="H2999" s="19" t="str">
        <f>IFERROR(__xludf.DUMMYFUNCTION("""COMPUTED_VALUE"""),"-")</f>
        <v>-</v>
      </c>
      <c r="I2999" s="19">
        <f>IFERROR(__xludf.DUMMYFUNCTION("""COMPUTED_VALUE"""),0.00216)</f>
        <v>0.00216</v>
      </c>
      <c r="J2999" s="19">
        <f>IFERROR(__xludf.DUMMYFUNCTION("""COMPUTED_VALUE"""),0.04653)</f>
        <v>0.04653</v>
      </c>
      <c r="K2999" s="19" t="str">
        <f>IFERROR(__xludf.DUMMYFUNCTION("""COMPUTED_VALUE"""),"-")</f>
        <v>-</v>
      </c>
      <c r="L2999" s="19" t="str">
        <f>IFERROR(__xludf.DUMMYFUNCTION("""COMPUTED_VALUE"""),"-")</f>
        <v>-</v>
      </c>
      <c r="O2999" s="24">
        <f t="shared" si="4"/>
        <v>0</v>
      </c>
      <c r="P2999" s="24"/>
      <c r="Q2999" s="24">
        <f t="shared" si="6"/>
        <v>0</v>
      </c>
      <c r="R2999" s="24">
        <f t="shared" si="7"/>
        <v>0</v>
      </c>
      <c r="S2999" s="24"/>
      <c r="T2999" s="24"/>
    </row>
    <row r="3000">
      <c r="A3000" s="12" t="s">
        <v>3087</v>
      </c>
      <c r="F3000" s="19">
        <f>IFERROR(__xludf.DUMMYFUNCTION("SPLIT(A2996, "" |"")"),2994.0)</f>
        <v>2994</v>
      </c>
      <c r="G3000" s="19">
        <f>IFERROR(__xludf.DUMMYFUNCTION("""COMPUTED_VALUE"""),0.00236)</f>
        <v>0.00236</v>
      </c>
      <c r="H3000" s="19" t="str">
        <f>IFERROR(__xludf.DUMMYFUNCTION("""COMPUTED_VALUE"""),"-")</f>
        <v>-</v>
      </c>
      <c r="I3000" s="19">
        <f>IFERROR(__xludf.DUMMYFUNCTION("""COMPUTED_VALUE"""),0.00219)</f>
        <v>0.00219</v>
      </c>
      <c r="J3000" s="19">
        <f>IFERROR(__xludf.DUMMYFUNCTION("""COMPUTED_VALUE"""),0.04726)</f>
        <v>0.04726</v>
      </c>
      <c r="K3000" s="19" t="str">
        <f>IFERROR(__xludf.DUMMYFUNCTION("""COMPUTED_VALUE"""),"-")</f>
        <v>-</v>
      </c>
      <c r="L3000" s="19" t="str">
        <f>IFERROR(__xludf.DUMMYFUNCTION("""COMPUTED_VALUE"""),"-")</f>
        <v>-</v>
      </c>
      <c r="O3000" s="24">
        <f t="shared" si="4"/>
        <v>0</v>
      </c>
      <c r="P3000" s="24"/>
      <c r="Q3000" s="24">
        <f t="shared" si="6"/>
        <v>0</v>
      </c>
      <c r="R3000" s="24">
        <f t="shared" si="7"/>
        <v>0</v>
      </c>
      <c r="S3000" s="24"/>
      <c r="T3000" s="24"/>
    </row>
    <row r="3001">
      <c r="A3001" s="12" t="s">
        <v>3088</v>
      </c>
      <c r="F3001" s="19">
        <f>IFERROR(__xludf.DUMMYFUNCTION("SPLIT(A2997, "" |"")"),2995.0)</f>
        <v>2995</v>
      </c>
      <c r="G3001" s="19">
        <f>IFERROR(__xludf.DUMMYFUNCTION("""COMPUTED_VALUE"""),0.0022)</f>
        <v>0.0022</v>
      </c>
      <c r="H3001" s="19" t="str">
        <f>IFERROR(__xludf.DUMMYFUNCTION("""COMPUTED_VALUE"""),"-")</f>
        <v>-</v>
      </c>
      <c r="I3001" s="19">
        <f>IFERROR(__xludf.DUMMYFUNCTION("""COMPUTED_VALUE"""),0.00207)</f>
        <v>0.00207</v>
      </c>
      <c r="J3001" s="19">
        <f>IFERROR(__xludf.DUMMYFUNCTION("""COMPUTED_VALUE"""),0.04728)</f>
        <v>0.04728</v>
      </c>
      <c r="K3001" s="19" t="str">
        <f>IFERROR(__xludf.DUMMYFUNCTION("""COMPUTED_VALUE"""),"-")</f>
        <v>-</v>
      </c>
      <c r="L3001" s="19" t="str">
        <f>IFERROR(__xludf.DUMMYFUNCTION("""COMPUTED_VALUE"""),"-")</f>
        <v>-</v>
      </c>
      <c r="O3001" s="24">
        <f t="shared" si="4"/>
        <v>0</v>
      </c>
      <c r="P3001" s="24"/>
      <c r="Q3001" s="24">
        <f t="shared" si="6"/>
        <v>0</v>
      </c>
      <c r="R3001" s="24">
        <f t="shared" si="7"/>
        <v>0</v>
      </c>
      <c r="S3001" s="24"/>
      <c r="T3001" s="24"/>
    </row>
    <row r="3002">
      <c r="A3002" s="12" t="s">
        <v>3089</v>
      </c>
      <c r="F3002" s="19">
        <f>IFERROR(__xludf.DUMMYFUNCTION("SPLIT(A2998, "" |"")"),2996.0)</f>
        <v>2996</v>
      </c>
      <c r="G3002" s="19">
        <f>IFERROR(__xludf.DUMMYFUNCTION("""COMPUTED_VALUE"""),0.00222)</f>
        <v>0.00222</v>
      </c>
      <c r="H3002" s="19" t="str">
        <f>IFERROR(__xludf.DUMMYFUNCTION("""COMPUTED_VALUE"""),"-")</f>
        <v>-</v>
      </c>
      <c r="I3002" s="19">
        <f>IFERROR(__xludf.DUMMYFUNCTION("""COMPUTED_VALUE"""),0.00209)</f>
        <v>0.00209</v>
      </c>
      <c r="J3002" s="19">
        <f>IFERROR(__xludf.DUMMYFUNCTION("""COMPUTED_VALUE"""),0.0473)</f>
        <v>0.0473</v>
      </c>
      <c r="K3002" s="19" t="str">
        <f>IFERROR(__xludf.DUMMYFUNCTION("""COMPUTED_VALUE"""),"-")</f>
        <v>-</v>
      </c>
      <c r="L3002" s="19" t="str">
        <f>IFERROR(__xludf.DUMMYFUNCTION("""COMPUTED_VALUE"""),"-")</f>
        <v>-</v>
      </c>
      <c r="O3002" s="24">
        <f t="shared" si="4"/>
        <v>0</v>
      </c>
      <c r="P3002" s="24"/>
      <c r="Q3002" s="24">
        <f t="shared" si="6"/>
        <v>0</v>
      </c>
      <c r="R3002" s="24">
        <f t="shared" si="7"/>
        <v>0</v>
      </c>
      <c r="S3002" s="24"/>
      <c r="T3002" s="24"/>
    </row>
    <row r="3003">
      <c r="A3003" s="12" t="s">
        <v>3090</v>
      </c>
      <c r="F3003" s="19">
        <f>IFERROR(__xludf.DUMMYFUNCTION("SPLIT(A2999, "" |"")"),2997.0)</f>
        <v>2997</v>
      </c>
      <c r="G3003" s="19">
        <f>IFERROR(__xludf.DUMMYFUNCTION("""COMPUTED_VALUE"""),0.00219)</f>
        <v>0.00219</v>
      </c>
      <c r="H3003" s="19" t="str">
        <f>IFERROR(__xludf.DUMMYFUNCTION("""COMPUTED_VALUE"""),"-")</f>
        <v>-</v>
      </c>
      <c r="I3003" s="19">
        <f>IFERROR(__xludf.DUMMYFUNCTION("""COMPUTED_VALUE"""),0.00209)</f>
        <v>0.00209</v>
      </c>
      <c r="J3003" s="19">
        <f>IFERROR(__xludf.DUMMYFUNCTION("""COMPUTED_VALUE"""),0.04731)</f>
        <v>0.04731</v>
      </c>
      <c r="K3003" s="19" t="str">
        <f>IFERROR(__xludf.DUMMYFUNCTION("""COMPUTED_VALUE"""),"-")</f>
        <v>-</v>
      </c>
      <c r="L3003" s="19" t="str">
        <f>IFERROR(__xludf.DUMMYFUNCTION("""COMPUTED_VALUE"""),"-")</f>
        <v>-</v>
      </c>
      <c r="O3003" s="24">
        <f t="shared" si="4"/>
        <v>0</v>
      </c>
      <c r="P3003" s="24"/>
      <c r="Q3003" s="24">
        <f t="shared" si="6"/>
        <v>0</v>
      </c>
      <c r="R3003" s="24">
        <f t="shared" si="7"/>
        <v>0</v>
      </c>
      <c r="S3003" s="24"/>
      <c r="T3003" s="24"/>
    </row>
    <row r="3004">
      <c r="A3004" s="12" t="s">
        <v>3091</v>
      </c>
      <c r="F3004" s="19">
        <f>IFERROR(__xludf.DUMMYFUNCTION("SPLIT(A3000, "" |"")"),2998.0)</f>
        <v>2998</v>
      </c>
      <c r="G3004" s="19">
        <f>IFERROR(__xludf.DUMMYFUNCTION("""COMPUTED_VALUE"""),0.0022)</f>
        <v>0.0022</v>
      </c>
      <c r="H3004" s="19" t="str">
        <f>IFERROR(__xludf.DUMMYFUNCTION("""COMPUTED_VALUE"""),"-")</f>
        <v>-</v>
      </c>
      <c r="I3004" s="19">
        <f>IFERROR(__xludf.DUMMYFUNCTION("""COMPUTED_VALUE"""),0.00206)</f>
        <v>0.00206</v>
      </c>
      <c r="J3004" s="19">
        <f>IFERROR(__xludf.DUMMYFUNCTION("""COMPUTED_VALUE"""),0.04727)</f>
        <v>0.04727</v>
      </c>
      <c r="K3004" s="19" t="str">
        <f>IFERROR(__xludf.DUMMYFUNCTION("""COMPUTED_VALUE"""),"-")</f>
        <v>-</v>
      </c>
      <c r="L3004" s="19" t="str">
        <f>IFERROR(__xludf.DUMMYFUNCTION("""COMPUTED_VALUE"""),"-")</f>
        <v>-</v>
      </c>
      <c r="O3004" s="24">
        <f t="shared" si="4"/>
        <v>0</v>
      </c>
      <c r="P3004" s="24"/>
      <c r="Q3004" s="24">
        <f t="shared" si="6"/>
        <v>0</v>
      </c>
      <c r="R3004" s="24">
        <f t="shared" si="7"/>
        <v>0</v>
      </c>
      <c r="S3004" s="24"/>
      <c r="T3004" s="24"/>
    </row>
    <row r="3005">
      <c r="A3005" s="12" t="s">
        <v>3092</v>
      </c>
      <c r="F3005" s="19">
        <f>IFERROR(__xludf.DUMMYFUNCTION("SPLIT(A3001, "" |"")"),2999.0)</f>
        <v>2999</v>
      </c>
      <c r="G3005" s="19">
        <f>IFERROR(__xludf.DUMMYFUNCTION("""COMPUTED_VALUE"""),0.0022)</f>
        <v>0.0022</v>
      </c>
      <c r="H3005" s="19" t="str">
        <f>IFERROR(__xludf.DUMMYFUNCTION("""COMPUTED_VALUE"""),"-")</f>
        <v>-</v>
      </c>
      <c r="I3005" s="19">
        <f>IFERROR(__xludf.DUMMYFUNCTION("""COMPUTED_VALUE"""),0.00209)</f>
        <v>0.00209</v>
      </c>
      <c r="J3005" s="19">
        <f>IFERROR(__xludf.DUMMYFUNCTION("""COMPUTED_VALUE"""),0.04732)</f>
        <v>0.04732</v>
      </c>
      <c r="K3005" s="19" t="str">
        <f>IFERROR(__xludf.DUMMYFUNCTION("""COMPUTED_VALUE"""),"-")</f>
        <v>-</v>
      </c>
      <c r="L3005" s="19" t="str">
        <f>IFERROR(__xludf.DUMMYFUNCTION("""COMPUTED_VALUE"""),"-")</f>
        <v>-</v>
      </c>
      <c r="O3005" s="24">
        <f t="shared" si="4"/>
        <v>0</v>
      </c>
      <c r="P3005" s="24"/>
      <c r="Q3005" s="24">
        <f t="shared" si="6"/>
        <v>0</v>
      </c>
      <c r="R3005" s="24">
        <f t="shared" si="7"/>
        <v>0</v>
      </c>
      <c r="S3005" s="24"/>
      <c r="T3005" s="24"/>
    </row>
    <row r="3006">
      <c r="A3006" s="12" t="s">
        <v>3093</v>
      </c>
      <c r="F3006" s="19">
        <f>IFERROR(__xludf.DUMMYFUNCTION("SPLIT(A3002, "" |"")"),3000.0)</f>
        <v>3000</v>
      </c>
      <c r="G3006" s="19">
        <f>IFERROR(__xludf.DUMMYFUNCTION("""COMPUTED_VALUE"""),0.00218)</f>
        <v>0.00218</v>
      </c>
      <c r="H3006" s="19" t="str">
        <f>IFERROR(__xludf.DUMMYFUNCTION("""COMPUTED_VALUE"""),"-")</f>
        <v>-</v>
      </c>
      <c r="I3006" s="19">
        <f>IFERROR(__xludf.DUMMYFUNCTION("""COMPUTED_VALUE"""),0.00206)</f>
        <v>0.00206</v>
      </c>
      <c r="J3006" s="19">
        <f>IFERROR(__xludf.DUMMYFUNCTION("""COMPUTED_VALUE"""),0.04728)</f>
        <v>0.04728</v>
      </c>
      <c r="K3006" s="19" t="str">
        <f>IFERROR(__xludf.DUMMYFUNCTION("""COMPUTED_VALUE"""),"-")</f>
        <v>-</v>
      </c>
      <c r="L3006" s="19" t="str">
        <f>IFERROR(__xludf.DUMMYFUNCTION("""COMPUTED_VALUE"""),"-")</f>
        <v>-</v>
      </c>
      <c r="O3006" s="24">
        <f t="shared" si="4"/>
        <v>0</v>
      </c>
      <c r="P3006" s="24"/>
      <c r="Q3006" s="24">
        <f t="shared" si="6"/>
        <v>0</v>
      </c>
      <c r="R3006" s="24">
        <f t="shared" si="7"/>
        <v>0</v>
      </c>
      <c r="S3006" s="24"/>
      <c r="T3006" s="24"/>
    </row>
    <row r="3007">
      <c r="A3007" s="12" t="s">
        <v>3094</v>
      </c>
      <c r="F3007" s="19">
        <f>IFERROR(__xludf.DUMMYFUNCTION("SPLIT(A3003, "" |"")"),3001.0)</f>
        <v>3001</v>
      </c>
      <c r="G3007" s="19">
        <f>IFERROR(__xludf.DUMMYFUNCTION("""COMPUTED_VALUE"""),0.0022)</f>
        <v>0.0022</v>
      </c>
      <c r="H3007" s="19" t="str">
        <f>IFERROR(__xludf.DUMMYFUNCTION("""COMPUTED_VALUE"""),"-")</f>
        <v>-</v>
      </c>
      <c r="I3007" s="19">
        <f>IFERROR(__xludf.DUMMYFUNCTION("""COMPUTED_VALUE"""),0.00208)</f>
        <v>0.00208</v>
      </c>
      <c r="J3007" s="19">
        <f>IFERROR(__xludf.DUMMYFUNCTION("""COMPUTED_VALUE"""),0.04721)</f>
        <v>0.04721</v>
      </c>
      <c r="K3007" s="19" t="str">
        <f>IFERROR(__xludf.DUMMYFUNCTION("""COMPUTED_VALUE"""),"-")</f>
        <v>-</v>
      </c>
      <c r="L3007" s="19" t="str">
        <f>IFERROR(__xludf.DUMMYFUNCTION("""COMPUTED_VALUE"""),"-")</f>
        <v>-</v>
      </c>
      <c r="O3007" s="24">
        <f t="shared" si="4"/>
        <v>0</v>
      </c>
      <c r="P3007" s="24"/>
      <c r="Q3007" s="24">
        <f t="shared" si="6"/>
        <v>0</v>
      </c>
      <c r="R3007" s="24">
        <f t="shared" si="7"/>
        <v>0</v>
      </c>
      <c r="S3007" s="24"/>
      <c r="T3007" s="24"/>
    </row>
    <row r="3008">
      <c r="A3008" s="12" t="s">
        <v>3095</v>
      </c>
      <c r="F3008" s="19">
        <f>IFERROR(__xludf.DUMMYFUNCTION("SPLIT(A3004, "" |"")"),3002.0)</f>
        <v>3002</v>
      </c>
      <c r="G3008" s="19">
        <f>IFERROR(__xludf.DUMMYFUNCTION("""COMPUTED_VALUE"""),0.00218)</f>
        <v>0.00218</v>
      </c>
      <c r="H3008" s="19" t="str">
        <f>IFERROR(__xludf.DUMMYFUNCTION("""COMPUTED_VALUE"""),"-")</f>
        <v>-</v>
      </c>
      <c r="I3008" s="19">
        <f>IFERROR(__xludf.DUMMYFUNCTION("""COMPUTED_VALUE"""),0.00208)</f>
        <v>0.00208</v>
      </c>
      <c r="J3008" s="19">
        <f>IFERROR(__xludf.DUMMYFUNCTION("""COMPUTED_VALUE"""),0.0473)</f>
        <v>0.0473</v>
      </c>
      <c r="K3008" s="19" t="str">
        <f>IFERROR(__xludf.DUMMYFUNCTION("""COMPUTED_VALUE"""),"-")</f>
        <v>-</v>
      </c>
      <c r="L3008" s="19" t="str">
        <f>IFERROR(__xludf.DUMMYFUNCTION("""COMPUTED_VALUE"""),"-")</f>
        <v>-</v>
      </c>
      <c r="O3008" s="24">
        <f t="shared" si="4"/>
        <v>0</v>
      </c>
      <c r="P3008" s="24"/>
      <c r="Q3008" s="24">
        <f t="shared" si="6"/>
        <v>0</v>
      </c>
      <c r="R3008" s="24">
        <f t="shared" si="7"/>
        <v>0</v>
      </c>
      <c r="S3008" s="24"/>
      <c r="T3008" s="24"/>
    </row>
    <row r="3009">
      <c r="A3009" s="12" t="s">
        <v>3096</v>
      </c>
      <c r="F3009" s="19">
        <f>IFERROR(__xludf.DUMMYFUNCTION("SPLIT(A3005, "" |"")"),3003.0)</f>
        <v>3003</v>
      </c>
      <c r="G3009" s="19">
        <f>IFERROR(__xludf.DUMMYFUNCTION("""COMPUTED_VALUE"""),0.00219)</f>
        <v>0.00219</v>
      </c>
      <c r="H3009" s="19" t="str">
        <f>IFERROR(__xludf.DUMMYFUNCTION("""COMPUTED_VALUE"""),"-")</f>
        <v>-</v>
      </c>
      <c r="I3009" s="19">
        <f>IFERROR(__xludf.DUMMYFUNCTION("""COMPUTED_VALUE"""),0.00208)</f>
        <v>0.00208</v>
      </c>
      <c r="J3009" s="19">
        <f>IFERROR(__xludf.DUMMYFUNCTION("""COMPUTED_VALUE"""),0.04724)</f>
        <v>0.04724</v>
      </c>
      <c r="K3009" s="19" t="str">
        <f>IFERROR(__xludf.DUMMYFUNCTION("""COMPUTED_VALUE"""),"-")</f>
        <v>-</v>
      </c>
      <c r="L3009" s="19" t="str">
        <f>IFERROR(__xludf.DUMMYFUNCTION("""COMPUTED_VALUE"""),"-")</f>
        <v>-</v>
      </c>
      <c r="O3009" s="24">
        <f t="shared" si="4"/>
        <v>0</v>
      </c>
      <c r="P3009" s="24"/>
      <c r="Q3009" s="24">
        <f t="shared" si="6"/>
        <v>0</v>
      </c>
      <c r="R3009" s="24">
        <f t="shared" si="7"/>
        <v>0</v>
      </c>
      <c r="S3009" s="24"/>
      <c r="T3009" s="24"/>
    </row>
    <row r="3010">
      <c r="A3010" s="12" t="s">
        <v>3097</v>
      </c>
      <c r="F3010" s="19">
        <f>IFERROR(__xludf.DUMMYFUNCTION("SPLIT(A3006, "" |"")"),3004.0)</f>
        <v>3004</v>
      </c>
      <c r="G3010" s="19">
        <f>IFERROR(__xludf.DUMMYFUNCTION("""COMPUTED_VALUE"""),0.00216)</f>
        <v>0.00216</v>
      </c>
      <c r="H3010" s="19" t="str">
        <f>IFERROR(__xludf.DUMMYFUNCTION("""COMPUTED_VALUE"""),"-")</f>
        <v>-</v>
      </c>
      <c r="I3010" s="19">
        <f>IFERROR(__xludf.DUMMYFUNCTION("""COMPUTED_VALUE"""),0.00205)</f>
        <v>0.00205</v>
      </c>
      <c r="J3010" s="19">
        <f>IFERROR(__xludf.DUMMYFUNCTION("""COMPUTED_VALUE"""),0.04723)</f>
        <v>0.04723</v>
      </c>
      <c r="K3010" s="19" t="str">
        <f>IFERROR(__xludf.DUMMYFUNCTION("""COMPUTED_VALUE"""),"-")</f>
        <v>-</v>
      </c>
      <c r="L3010" s="19" t="str">
        <f>IFERROR(__xludf.DUMMYFUNCTION("""COMPUTED_VALUE"""),"-")</f>
        <v>-</v>
      </c>
      <c r="O3010" s="24">
        <f t="shared" si="4"/>
        <v>0</v>
      </c>
      <c r="P3010" s="24"/>
      <c r="Q3010" s="24">
        <f t="shared" si="6"/>
        <v>0</v>
      </c>
      <c r="R3010" s="24">
        <f t="shared" si="7"/>
        <v>0</v>
      </c>
      <c r="S3010" s="24"/>
      <c r="T3010" s="24"/>
    </row>
    <row r="3011">
      <c r="A3011" s="12" t="s">
        <v>3098</v>
      </c>
      <c r="F3011" s="19">
        <f>IFERROR(__xludf.DUMMYFUNCTION("SPLIT(A3007, "" |"")"),3005.0)</f>
        <v>3005</v>
      </c>
      <c r="G3011" s="19">
        <f>IFERROR(__xludf.DUMMYFUNCTION("""COMPUTED_VALUE"""),0.00228)</f>
        <v>0.00228</v>
      </c>
      <c r="H3011" s="19" t="str">
        <f>IFERROR(__xludf.DUMMYFUNCTION("""COMPUTED_VALUE"""),"-")</f>
        <v>-</v>
      </c>
      <c r="I3011" s="19">
        <f>IFERROR(__xludf.DUMMYFUNCTION("""COMPUTED_VALUE"""),0.00209)</f>
        <v>0.00209</v>
      </c>
      <c r="J3011" s="19">
        <f>IFERROR(__xludf.DUMMYFUNCTION("""COMPUTED_VALUE"""),0.04734)</f>
        <v>0.04734</v>
      </c>
      <c r="K3011" s="19" t="str">
        <f>IFERROR(__xludf.DUMMYFUNCTION("""COMPUTED_VALUE"""),"-")</f>
        <v>-</v>
      </c>
      <c r="L3011" s="19" t="str">
        <f>IFERROR(__xludf.DUMMYFUNCTION("""COMPUTED_VALUE"""),"-")</f>
        <v>-</v>
      </c>
      <c r="O3011" s="24">
        <f t="shared" si="4"/>
        <v>0</v>
      </c>
      <c r="P3011" s="24"/>
      <c r="Q3011" s="24">
        <f t="shared" si="6"/>
        <v>0</v>
      </c>
      <c r="R3011" s="24">
        <f t="shared" si="7"/>
        <v>0</v>
      </c>
      <c r="S3011" s="24"/>
      <c r="T3011" s="24"/>
    </row>
    <row r="3012">
      <c r="A3012" s="12" t="s">
        <v>3099</v>
      </c>
      <c r="F3012" s="19">
        <f>IFERROR(__xludf.DUMMYFUNCTION("SPLIT(A3008, "" |"")"),3006.0)</f>
        <v>3006</v>
      </c>
      <c r="G3012" s="19">
        <f>IFERROR(__xludf.DUMMYFUNCTION("""COMPUTED_VALUE"""),0.00234)</f>
        <v>0.00234</v>
      </c>
      <c r="H3012" s="19" t="str">
        <f>IFERROR(__xludf.DUMMYFUNCTION("""COMPUTED_VALUE"""),"-")</f>
        <v>-</v>
      </c>
      <c r="I3012" s="19">
        <f>IFERROR(__xludf.DUMMYFUNCTION("""COMPUTED_VALUE"""),0.00217)</f>
        <v>0.00217</v>
      </c>
      <c r="J3012" s="19">
        <f>IFERROR(__xludf.DUMMYFUNCTION("""COMPUTED_VALUE"""),0.04735)</f>
        <v>0.04735</v>
      </c>
      <c r="K3012" s="19" t="str">
        <f>IFERROR(__xludf.DUMMYFUNCTION("""COMPUTED_VALUE"""),"-")</f>
        <v>-</v>
      </c>
      <c r="L3012" s="19" t="str">
        <f>IFERROR(__xludf.DUMMYFUNCTION("""COMPUTED_VALUE"""),"-")</f>
        <v>-</v>
      </c>
      <c r="O3012" s="24">
        <f t="shared" si="4"/>
        <v>0</v>
      </c>
      <c r="P3012" s="24"/>
      <c r="Q3012" s="24">
        <f t="shared" si="6"/>
        <v>0</v>
      </c>
      <c r="R3012" s="24">
        <f t="shared" si="7"/>
        <v>0</v>
      </c>
      <c r="S3012" s="24"/>
      <c r="T3012" s="24"/>
    </row>
    <row r="3013">
      <c r="A3013" s="12" t="s">
        <v>3100</v>
      </c>
      <c r="F3013" s="19">
        <f>IFERROR(__xludf.DUMMYFUNCTION("SPLIT(A3009, "" |"")"),3007.0)</f>
        <v>3007</v>
      </c>
      <c r="G3013" s="19">
        <f>IFERROR(__xludf.DUMMYFUNCTION("""COMPUTED_VALUE"""),0.00239)</f>
        <v>0.00239</v>
      </c>
      <c r="H3013" s="19" t="str">
        <f>IFERROR(__xludf.DUMMYFUNCTION("""COMPUTED_VALUE"""),"-")</f>
        <v>-</v>
      </c>
      <c r="I3013" s="19">
        <f>IFERROR(__xludf.DUMMYFUNCTION("""COMPUTED_VALUE"""),0.00228)</f>
        <v>0.00228</v>
      </c>
      <c r="J3013" s="19">
        <f>IFERROR(__xludf.DUMMYFUNCTION("""COMPUTED_VALUE"""),0.04367)</f>
        <v>0.04367</v>
      </c>
      <c r="K3013" s="19" t="str">
        <f>IFERROR(__xludf.DUMMYFUNCTION("""COMPUTED_VALUE"""),"-")</f>
        <v>-</v>
      </c>
      <c r="L3013" s="19" t="str">
        <f>IFERROR(__xludf.DUMMYFUNCTION("""COMPUTED_VALUE"""),"-")</f>
        <v>-</v>
      </c>
      <c r="O3013" s="24">
        <f t="shared" si="4"/>
        <v>0</v>
      </c>
      <c r="P3013" s="24"/>
      <c r="Q3013" s="24">
        <f t="shared" si="6"/>
        <v>0</v>
      </c>
      <c r="R3013" s="24">
        <f t="shared" si="7"/>
        <v>1</v>
      </c>
      <c r="S3013" s="24"/>
      <c r="T3013" s="24"/>
    </row>
    <row r="3014">
      <c r="A3014" s="12" t="s">
        <v>3101</v>
      </c>
      <c r="F3014" s="19">
        <f>IFERROR(__xludf.DUMMYFUNCTION("SPLIT(A3010, "" |"")"),3008.0)</f>
        <v>3008</v>
      </c>
      <c r="G3014" s="19">
        <f>IFERROR(__xludf.DUMMYFUNCTION("""COMPUTED_VALUE"""),0.00237)</f>
        <v>0.00237</v>
      </c>
      <c r="H3014" s="19" t="str">
        <f>IFERROR(__xludf.DUMMYFUNCTION("""COMPUTED_VALUE"""),"-")</f>
        <v>-</v>
      </c>
      <c r="I3014" s="19">
        <f>IFERROR(__xludf.DUMMYFUNCTION("""COMPUTED_VALUE"""),0.00224)</f>
        <v>0.00224</v>
      </c>
      <c r="J3014" s="19">
        <f>IFERROR(__xludf.DUMMYFUNCTION("""COMPUTED_VALUE"""),0.04666)</f>
        <v>0.04666</v>
      </c>
      <c r="K3014" s="19" t="str">
        <f>IFERROR(__xludf.DUMMYFUNCTION("""COMPUTED_VALUE"""),"-")</f>
        <v>-</v>
      </c>
      <c r="L3014" s="19" t="str">
        <f>IFERROR(__xludf.DUMMYFUNCTION("""COMPUTED_VALUE"""),"-")</f>
        <v>-</v>
      </c>
      <c r="O3014" s="24">
        <f t="shared" si="4"/>
        <v>0</v>
      </c>
      <c r="P3014" s="24"/>
      <c r="Q3014" s="24">
        <f t="shared" si="6"/>
        <v>0</v>
      </c>
      <c r="R3014" s="24">
        <f t="shared" si="7"/>
        <v>0</v>
      </c>
      <c r="S3014" s="24"/>
      <c r="T3014" s="24"/>
    </row>
    <row r="3015">
      <c r="A3015" s="12" t="s">
        <v>3102</v>
      </c>
      <c r="F3015" s="19">
        <f>IFERROR(__xludf.DUMMYFUNCTION("SPLIT(A3011, "" |"")"),3009.0)</f>
        <v>3009</v>
      </c>
      <c r="G3015" s="19">
        <f>IFERROR(__xludf.DUMMYFUNCTION("""COMPUTED_VALUE"""),0.00228)</f>
        <v>0.00228</v>
      </c>
      <c r="H3015" s="19" t="str">
        <f>IFERROR(__xludf.DUMMYFUNCTION("""COMPUTED_VALUE"""),"-")</f>
        <v>-</v>
      </c>
      <c r="I3015" s="19">
        <f>IFERROR(__xludf.DUMMYFUNCTION("""COMPUTED_VALUE"""),0.00223)</f>
        <v>0.00223</v>
      </c>
      <c r="J3015" s="19">
        <f>IFERROR(__xludf.DUMMYFUNCTION("""COMPUTED_VALUE"""),0.04269)</f>
        <v>0.04269</v>
      </c>
      <c r="K3015" s="19" t="str">
        <f>IFERROR(__xludf.DUMMYFUNCTION("""COMPUTED_VALUE"""),"-")</f>
        <v>-</v>
      </c>
      <c r="L3015" s="19" t="str">
        <f>IFERROR(__xludf.DUMMYFUNCTION("""COMPUTED_VALUE"""),"-")</f>
        <v>-</v>
      </c>
      <c r="O3015" s="24">
        <f t="shared" si="4"/>
        <v>0</v>
      </c>
      <c r="P3015" s="24"/>
      <c r="Q3015" s="24">
        <f t="shared" si="6"/>
        <v>0</v>
      </c>
      <c r="R3015" s="24">
        <f t="shared" si="7"/>
        <v>1</v>
      </c>
      <c r="S3015" s="24"/>
      <c r="T3015" s="24"/>
    </row>
    <row r="3016">
      <c r="A3016" s="12" t="s">
        <v>3103</v>
      </c>
      <c r="F3016" s="19">
        <f>IFERROR(__xludf.DUMMYFUNCTION("SPLIT(A3012, "" |"")"),3010.0)</f>
        <v>3010</v>
      </c>
      <c r="G3016" s="19">
        <f>IFERROR(__xludf.DUMMYFUNCTION("""COMPUTED_VALUE"""),0.00234)</f>
        <v>0.00234</v>
      </c>
      <c r="H3016" s="19" t="str">
        <f>IFERROR(__xludf.DUMMYFUNCTION("""COMPUTED_VALUE"""),"-")</f>
        <v>-</v>
      </c>
      <c r="I3016" s="19">
        <f>IFERROR(__xludf.DUMMYFUNCTION("""COMPUTED_VALUE"""),0.0022)</f>
        <v>0.0022</v>
      </c>
      <c r="J3016" s="19">
        <f>IFERROR(__xludf.DUMMYFUNCTION("""COMPUTED_VALUE"""),0.04747)</f>
        <v>0.04747</v>
      </c>
      <c r="K3016" s="19" t="str">
        <f>IFERROR(__xludf.DUMMYFUNCTION("""COMPUTED_VALUE"""),"-")</f>
        <v>-</v>
      </c>
      <c r="L3016" s="19" t="str">
        <f>IFERROR(__xludf.DUMMYFUNCTION("""COMPUTED_VALUE"""),"-")</f>
        <v>-</v>
      </c>
      <c r="O3016" s="24">
        <f t="shared" si="4"/>
        <v>0</v>
      </c>
      <c r="P3016" s="24"/>
      <c r="Q3016" s="24">
        <f t="shared" si="6"/>
        <v>0</v>
      </c>
      <c r="R3016" s="24">
        <f t="shared" si="7"/>
        <v>0</v>
      </c>
      <c r="S3016" s="24"/>
      <c r="T3016" s="24"/>
    </row>
    <row r="3017">
      <c r="A3017" s="12" t="s">
        <v>3104</v>
      </c>
      <c r="F3017" s="19">
        <f>IFERROR(__xludf.DUMMYFUNCTION("SPLIT(A3013, "" |"")"),3011.0)</f>
        <v>3011</v>
      </c>
      <c r="G3017" s="19">
        <f>IFERROR(__xludf.DUMMYFUNCTION("""COMPUTED_VALUE"""),0.00232)</f>
        <v>0.00232</v>
      </c>
      <c r="H3017" s="19" t="str">
        <f>IFERROR(__xludf.DUMMYFUNCTION("""COMPUTED_VALUE"""),"-")</f>
        <v>-</v>
      </c>
      <c r="I3017" s="19">
        <f>IFERROR(__xludf.DUMMYFUNCTION("""COMPUTED_VALUE"""),0.00221)</f>
        <v>0.00221</v>
      </c>
      <c r="J3017" s="19">
        <f>IFERROR(__xludf.DUMMYFUNCTION("""COMPUTED_VALUE"""),0.04745)</f>
        <v>0.04745</v>
      </c>
      <c r="K3017" s="19" t="str">
        <f>IFERROR(__xludf.DUMMYFUNCTION("""COMPUTED_VALUE"""),"-")</f>
        <v>-</v>
      </c>
      <c r="L3017" s="19" t="str">
        <f>IFERROR(__xludf.DUMMYFUNCTION("""COMPUTED_VALUE"""),"-")</f>
        <v>-</v>
      </c>
      <c r="O3017" s="24">
        <f t="shared" si="4"/>
        <v>0</v>
      </c>
      <c r="P3017" s="24"/>
      <c r="Q3017" s="24">
        <f t="shared" si="6"/>
        <v>0</v>
      </c>
      <c r="R3017" s="24">
        <f t="shared" si="7"/>
        <v>0</v>
      </c>
      <c r="S3017" s="24"/>
      <c r="T3017" s="24"/>
    </row>
    <row r="3018">
      <c r="A3018" s="12" t="s">
        <v>3105</v>
      </c>
      <c r="F3018" s="19">
        <f>IFERROR(__xludf.DUMMYFUNCTION("SPLIT(A3014, "" |"")"),3012.0)</f>
        <v>3012</v>
      </c>
      <c r="G3018" s="19">
        <f>IFERROR(__xludf.DUMMYFUNCTION("""COMPUTED_VALUE"""),0.0024)</f>
        <v>0.0024</v>
      </c>
      <c r="H3018" s="19" t="str">
        <f>IFERROR(__xludf.DUMMYFUNCTION("""COMPUTED_VALUE"""),"-")</f>
        <v>-</v>
      </c>
      <c r="I3018" s="19">
        <f>IFERROR(__xludf.DUMMYFUNCTION("""COMPUTED_VALUE"""),0.00219)</f>
        <v>0.00219</v>
      </c>
      <c r="J3018" s="19">
        <f>IFERROR(__xludf.DUMMYFUNCTION("""COMPUTED_VALUE"""),0.0411)</f>
        <v>0.0411</v>
      </c>
      <c r="K3018" s="19" t="str">
        <f>IFERROR(__xludf.DUMMYFUNCTION("""COMPUTED_VALUE"""),"-")</f>
        <v>-</v>
      </c>
      <c r="L3018" s="19" t="str">
        <f>IFERROR(__xludf.DUMMYFUNCTION("""COMPUTED_VALUE"""),"-")</f>
        <v>-</v>
      </c>
      <c r="O3018" s="24">
        <f t="shared" si="4"/>
        <v>0</v>
      </c>
      <c r="P3018" s="24"/>
      <c r="Q3018" s="24">
        <f t="shared" si="6"/>
        <v>0</v>
      </c>
      <c r="R3018" s="24">
        <f t="shared" si="7"/>
        <v>1</v>
      </c>
      <c r="S3018" s="24"/>
      <c r="T3018" s="24"/>
    </row>
    <row r="3019">
      <c r="A3019" s="12" t="s">
        <v>3106</v>
      </c>
      <c r="F3019" s="19">
        <f>IFERROR(__xludf.DUMMYFUNCTION("SPLIT(A3015, "" |"")"),3013.0)</f>
        <v>3013</v>
      </c>
      <c r="G3019" s="19">
        <f>IFERROR(__xludf.DUMMYFUNCTION("""COMPUTED_VALUE"""),0.0023)</f>
        <v>0.0023</v>
      </c>
      <c r="H3019" s="19" t="str">
        <f>IFERROR(__xludf.DUMMYFUNCTION("""COMPUTED_VALUE"""),"-")</f>
        <v>-</v>
      </c>
      <c r="I3019" s="19">
        <f>IFERROR(__xludf.DUMMYFUNCTION("""COMPUTED_VALUE"""),0.00218)</f>
        <v>0.00218</v>
      </c>
      <c r="J3019" s="19">
        <f>IFERROR(__xludf.DUMMYFUNCTION("""COMPUTED_VALUE"""),0.04488)</f>
        <v>0.04488</v>
      </c>
      <c r="K3019" s="19" t="str">
        <f>IFERROR(__xludf.DUMMYFUNCTION("""COMPUTED_VALUE"""),"-")</f>
        <v>-</v>
      </c>
      <c r="L3019" s="19" t="str">
        <f>IFERROR(__xludf.DUMMYFUNCTION("""COMPUTED_VALUE"""),"-")</f>
        <v>-</v>
      </c>
      <c r="O3019" s="24">
        <f t="shared" si="4"/>
        <v>0</v>
      </c>
      <c r="P3019" s="24"/>
      <c r="Q3019" s="24">
        <f t="shared" si="6"/>
        <v>0</v>
      </c>
      <c r="R3019" s="24">
        <f t="shared" si="7"/>
        <v>1</v>
      </c>
      <c r="S3019" s="24"/>
      <c r="T3019" s="24"/>
    </row>
    <row r="3020">
      <c r="A3020" s="12" t="s">
        <v>3107</v>
      </c>
      <c r="F3020" s="19">
        <f>IFERROR(__xludf.DUMMYFUNCTION("SPLIT(A3016, "" |"")"),3014.0)</f>
        <v>3014</v>
      </c>
      <c r="G3020" s="19">
        <f>IFERROR(__xludf.DUMMYFUNCTION("""COMPUTED_VALUE"""),0.00239)</f>
        <v>0.00239</v>
      </c>
      <c r="H3020" s="19" t="str">
        <f>IFERROR(__xludf.DUMMYFUNCTION("""COMPUTED_VALUE"""),"-")</f>
        <v>-</v>
      </c>
      <c r="I3020" s="19">
        <f>IFERROR(__xludf.DUMMYFUNCTION("""COMPUTED_VALUE"""),0.00224)</f>
        <v>0.00224</v>
      </c>
      <c r="J3020" s="19">
        <f>IFERROR(__xludf.DUMMYFUNCTION("""COMPUTED_VALUE"""),0.04745)</f>
        <v>0.04745</v>
      </c>
      <c r="K3020" s="19" t="str">
        <f>IFERROR(__xludf.DUMMYFUNCTION("""COMPUTED_VALUE"""),"-")</f>
        <v>-</v>
      </c>
      <c r="L3020" s="19" t="str">
        <f>IFERROR(__xludf.DUMMYFUNCTION("""COMPUTED_VALUE"""),"-")</f>
        <v>-</v>
      </c>
      <c r="O3020" s="24">
        <f t="shared" si="4"/>
        <v>0</v>
      </c>
      <c r="P3020" s="24"/>
      <c r="Q3020" s="24">
        <f t="shared" si="6"/>
        <v>0</v>
      </c>
      <c r="R3020" s="24">
        <f t="shared" si="7"/>
        <v>0</v>
      </c>
      <c r="S3020" s="24"/>
      <c r="T3020" s="24"/>
    </row>
    <row r="3021">
      <c r="A3021" s="12" t="s">
        <v>3108</v>
      </c>
      <c r="F3021" s="19">
        <f>IFERROR(__xludf.DUMMYFUNCTION("SPLIT(A3017, "" |"")"),3015.0)</f>
        <v>3015</v>
      </c>
      <c r="G3021" s="19">
        <f>IFERROR(__xludf.DUMMYFUNCTION("""COMPUTED_VALUE"""),0.00221)</f>
        <v>0.00221</v>
      </c>
      <c r="H3021" s="19" t="str">
        <f>IFERROR(__xludf.DUMMYFUNCTION("""COMPUTED_VALUE"""),"-")</f>
        <v>-</v>
      </c>
      <c r="I3021" s="19">
        <f>IFERROR(__xludf.DUMMYFUNCTION("""COMPUTED_VALUE"""),0.0021)</f>
        <v>0.0021</v>
      </c>
      <c r="J3021" s="19">
        <f>IFERROR(__xludf.DUMMYFUNCTION("""COMPUTED_VALUE"""),0.04738)</f>
        <v>0.04738</v>
      </c>
      <c r="K3021" s="19" t="str">
        <f>IFERROR(__xludf.DUMMYFUNCTION("""COMPUTED_VALUE"""),"-")</f>
        <v>-</v>
      </c>
      <c r="L3021" s="19" t="str">
        <f>IFERROR(__xludf.DUMMYFUNCTION("""COMPUTED_VALUE"""),"-")</f>
        <v>-</v>
      </c>
      <c r="O3021" s="24">
        <f t="shared" si="4"/>
        <v>0</v>
      </c>
      <c r="P3021" s="24"/>
      <c r="Q3021" s="24">
        <f t="shared" si="6"/>
        <v>0</v>
      </c>
      <c r="R3021" s="24">
        <f t="shared" si="7"/>
        <v>0</v>
      </c>
      <c r="S3021" s="24"/>
      <c r="T3021" s="24"/>
    </row>
    <row r="3022">
      <c r="A3022" s="12" t="s">
        <v>3109</v>
      </c>
      <c r="F3022" s="19">
        <f>IFERROR(__xludf.DUMMYFUNCTION("SPLIT(A3018, "" |"")"),3016.0)</f>
        <v>3016</v>
      </c>
      <c r="G3022" s="19">
        <f>IFERROR(__xludf.DUMMYFUNCTION("""COMPUTED_VALUE"""),0.00232)</f>
        <v>0.00232</v>
      </c>
      <c r="H3022" s="19" t="str">
        <f>IFERROR(__xludf.DUMMYFUNCTION("""COMPUTED_VALUE"""),"-")</f>
        <v>-</v>
      </c>
      <c r="I3022" s="19">
        <f>IFERROR(__xludf.DUMMYFUNCTION("""COMPUTED_VALUE"""),0.00221)</f>
        <v>0.00221</v>
      </c>
      <c r="J3022" s="19">
        <f>IFERROR(__xludf.DUMMYFUNCTION("""COMPUTED_VALUE"""),0.04746)</f>
        <v>0.04746</v>
      </c>
      <c r="K3022" s="19" t="str">
        <f>IFERROR(__xludf.DUMMYFUNCTION("""COMPUTED_VALUE"""),"-")</f>
        <v>-</v>
      </c>
      <c r="L3022" s="19" t="str">
        <f>IFERROR(__xludf.DUMMYFUNCTION("""COMPUTED_VALUE"""),"-")</f>
        <v>-</v>
      </c>
      <c r="O3022" s="24">
        <f t="shared" si="4"/>
        <v>0</v>
      </c>
      <c r="P3022" s="24"/>
      <c r="Q3022" s="24">
        <f t="shared" si="6"/>
        <v>0</v>
      </c>
      <c r="R3022" s="24">
        <f t="shared" si="7"/>
        <v>0</v>
      </c>
      <c r="S3022" s="24"/>
      <c r="T3022" s="24"/>
    </row>
    <row r="3023">
      <c r="A3023" s="12" t="s">
        <v>3110</v>
      </c>
      <c r="F3023" s="19">
        <f>IFERROR(__xludf.DUMMYFUNCTION("SPLIT(A3019, "" |"")"),3017.0)</f>
        <v>3017</v>
      </c>
      <c r="G3023" s="19">
        <f>IFERROR(__xludf.DUMMYFUNCTION("""COMPUTED_VALUE"""),0.00233)</f>
        <v>0.00233</v>
      </c>
      <c r="H3023" s="19" t="str">
        <f>IFERROR(__xludf.DUMMYFUNCTION("""COMPUTED_VALUE"""),"-")</f>
        <v>-</v>
      </c>
      <c r="I3023" s="19">
        <f>IFERROR(__xludf.DUMMYFUNCTION("""COMPUTED_VALUE"""),0.00221)</f>
        <v>0.00221</v>
      </c>
      <c r="J3023" s="19">
        <f>IFERROR(__xludf.DUMMYFUNCTION("""COMPUTED_VALUE"""),0.04742)</f>
        <v>0.04742</v>
      </c>
      <c r="K3023" s="19" t="str">
        <f>IFERROR(__xludf.DUMMYFUNCTION("""COMPUTED_VALUE"""),"-")</f>
        <v>-</v>
      </c>
      <c r="L3023" s="19" t="str">
        <f>IFERROR(__xludf.DUMMYFUNCTION("""COMPUTED_VALUE"""),"-")</f>
        <v>-</v>
      </c>
      <c r="O3023" s="24">
        <f t="shared" si="4"/>
        <v>0</v>
      </c>
      <c r="P3023" s="24"/>
      <c r="Q3023" s="24">
        <f t="shared" si="6"/>
        <v>0</v>
      </c>
      <c r="R3023" s="24">
        <f t="shared" si="7"/>
        <v>0</v>
      </c>
      <c r="S3023" s="24"/>
      <c r="T3023" s="24"/>
    </row>
    <row r="3024">
      <c r="A3024" s="12" t="s">
        <v>3111</v>
      </c>
      <c r="F3024" s="19">
        <f>IFERROR(__xludf.DUMMYFUNCTION("SPLIT(A3020, "" |"")"),3018.0)</f>
        <v>3018</v>
      </c>
      <c r="G3024" s="19">
        <f>IFERROR(__xludf.DUMMYFUNCTION("""COMPUTED_VALUE"""),0.00231)</f>
        <v>0.00231</v>
      </c>
      <c r="H3024" s="19" t="str">
        <f>IFERROR(__xludf.DUMMYFUNCTION("""COMPUTED_VALUE"""),"-")</f>
        <v>-</v>
      </c>
      <c r="I3024" s="19">
        <f>IFERROR(__xludf.DUMMYFUNCTION("""COMPUTED_VALUE"""),0.00221)</f>
        <v>0.00221</v>
      </c>
      <c r="J3024" s="19">
        <f>IFERROR(__xludf.DUMMYFUNCTION("""COMPUTED_VALUE"""),0.04741)</f>
        <v>0.04741</v>
      </c>
      <c r="K3024" s="19" t="str">
        <f>IFERROR(__xludf.DUMMYFUNCTION("""COMPUTED_VALUE"""),"-")</f>
        <v>-</v>
      </c>
      <c r="L3024" s="19" t="str">
        <f>IFERROR(__xludf.DUMMYFUNCTION("""COMPUTED_VALUE"""),"-")</f>
        <v>-</v>
      </c>
      <c r="O3024" s="24">
        <f t="shared" si="4"/>
        <v>0</v>
      </c>
      <c r="P3024" s="24"/>
      <c r="Q3024" s="24">
        <f t="shared" si="6"/>
        <v>0</v>
      </c>
      <c r="R3024" s="24">
        <f t="shared" si="7"/>
        <v>0</v>
      </c>
      <c r="S3024" s="24"/>
      <c r="T3024" s="24"/>
    </row>
    <row r="3025">
      <c r="A3025" s="12" t="s">
        <v>3112</v>
      </c>
      <c r="F3025" s="19">
        <f>IFERROR(__xludf.DUMMYFUNCTION("SPLIT(A3021, "" |"")"),3019.0)</f>
        <v>3019</v>
      </c>
      <c r="G3025" s="19">
        <f>IFERROR(__xludf.DUMMYFUNCTION("""COMPUTED_VALUE"""),0.00234)</f>
        <v>0.00234</v>
      </c>
      <c r="H3025" s="19" t="str">
        <f>IFERROR(__xludf.DUMMYFUNCTION("""COMPUTED_VALUE"""),"-")</f>
        <v>-</v>
      </c>
      <c r="I3025" s="19">
        <f>IFERROR(__xludf.DUMMYFUNCTION("""COMPUTED_VALUE"""),0.00224)</f>
        <v>0.00224</v>
      </c>
      <c r="J3025" s="19">
        <f>IFERROR(__xludf.DUMMYFUNCTION("""COMPUTED_VALUE"""),0.04746)</f>
        <v>0.04746</v>
      </c>
      <c r="K3025" s="19" t="str">
        <f>IFERROR(__xludf.DUMMYFUNCTION("""COMPUTED_VALUE"""),"-")</f>
        <v>-</v>
      </c>
      <c r="L3025" s="19" t="str">
        <f>IFERROR(__xludf.DUMMYFUNCTION("""COMPUTED_VALUE"""),"-")</f>
        <v>-</v>
      </c>
      <c r="O3025" s="24">
        <f t="shared" si="4"/>
        <v>0</v>
      </c>
      <c r="P3025" s="24"/>
      <c r="Q3025" s="24">
        <f t="shared" si="6"/>
        <v>0</v>
      </c>
      <c r="R3025" s="24">
        <f t="shared" si="7"/>
        <v>0</v>
      </c>
      <c r="S3025" s="24"/>
      <c r="T3025" s="24"/>
    </row>
    <row r="3026">
      <c r="A3026" s="12" t="s">
        <v>3113</v>
      </c>
      <c r="F3026" s="19">
        <f>IFERROR(__xludf.DUMMYFUNCTION("SPLIT(A3022, "" |"")"),3020.0)</f>
        <v>3020</v>
      </c>
      <c r="G3026" s="19">
        <f>IFERROR(__xludf.DUMMYFUNCTION("""COMPUTED_VALUE"""),0.00238)</f>
        <v>0.00238</v>
      </c>
      <c r="H3026" s="19" t="str">
        <f>IFERROR(__xludf.DUMMYFUNCTION("""COMPUTED_VALUE"""),"-")</f>
        <v>-</v>
      </c>
      <c r="I3026" s="19">
        <f>IFERROR(__xludf.DUMMYFUNCTION("""COMPUTED_VALUE"""),0.00217)</f>
        <v>0.00217</v>
      </c>
      <c r="J3026" s="19">
        <f>IFERROR(__xludf.DUMMYFUNCTION("""COMPUTED_VALUE"""),0.04739)</f>
        <v>0.04739</v>
      </c>
      <c r="K3026" s="19" t="str">
        <f>IFERROR(__xludf.DUMMYFUNCTION("""COMPUTED_VALUE"""),"-")</f>
        <v>-</v>
      </c>
      <c r="L3026" s="19" t="str">
        <f>IFERROR(__xludf.DUMMYFUNCTION("""COMPUTED_VALUE"""),"-")</f>
        <v>-</v>
      </c>
      <c r="O3026" s="24">
        <f t="shared" si="4"/>
        <v>0</v>
      </c>
      <c r="P3026" s="24"/>
      <c r="Q3026" s="24">
        <f t="shared" si="6"/>
        <v>0</v>
      </c>
      <c r="R3026" s="24">
        <f t="shared" si="7"/>
        <v>0</v>
      </c>
      <c r="S3026" s="24"/>
      <c r="T3026" s="24"/>
    </row>
    <row r="3027">
      <c r="A3027" s="12" t="s">
        <v>3114</v>
      </c>
      <c r="F3027" s="19">
        <f>IFERROR(__xludf.DUMMYFUNCTION("SPLIT(A3023, "" |"")"),3021.0)</f>
        <v>3021</v>
      </c>
      <c r="G3027" s="19">
        <f>IFERROR(__xludf.DUMMYFUNCTION("""COMPUTED_VALUE"""),0.00236)</f>
        <v>0.00236</v>
      </c>
      <c r="H3027" s="19" t="str">
        <f>IFERROR(__xludf.DUMMYFUNCTION("""COMPUTED_VALUE"""),"-")</f>
        <v>-</v>
      </c>
      <c r="I3027" s="19">
        <f>IFERROR(__xludf.DUMMYFUNCTION("""COMPUTED_VALUE"""),0.00225)</f>
        <v>0.00225</v>
      </c>
      <c r="J3027" s="19">
        <f>IFERROR(__xludf.DUMMYFUNCTION("""COMPUTED_VALUE"""),0.0474)</f>
        <v>0.0474</v>
      </c>
      <c r="K3027" s="19" t="str">
        <f>IFERROR(__xludf.DUMMYFUNCTION("""COMPUTED_VALUE"""),"-")</f>
        <v>-</v>
      </c>
      <c r="L3027" s="19" t="str">
        <f>IFERROR(__xludf.DUMMYFUNCTION("""COMPUTED_VALUE"""),"-")</f>
        <v>-</v>
      </c>
      <c r="O3027" s="24">
        <f t="shared" si="4"/>
        <v>0</v>
      </c>
      <c r="P3027" s="24"/>
      <c r="Q3027" s="24">
        <f t="shared" si="6"/>
        <v>0</v>
      </c>
      <c r="R3027" s="24">
        <f t="shared" si="7"/>
        <v>0</v>
      </c>
      <c r="S3027" s="24"/>
      <c r="T3027" s="24"/>
    </row>
    <row r="3028">
      <c r="A3028" s="12" t="s">
        <v>3115</v>
      </c>
      <c r="F3028" s="19">
        <f>IFERROR(__xludf.DUMMYFUNCTION("SPLIT(A3024, "" |"")"),3022.0)</f>
        <v>3022</v>
      </c>
      <c r="G3028" s="19">
        <f>IFERROR(__xludf.DUMMYFUNCTION("""COMPUTED_VALUE"""),0.00235)</f>
        <v>0.00235</v>
      </c>
      <c r="H3028" s="19" t="str">
        <f>IFERROR(__xludf.DUMMYFUNCTION("""COMPUTED_VALUE"""),"-")</f>
        <v>-</v>
      </c>
      <c r="I3028" s="19">
        <f>IFERROR(__xludf.DUMMYFUNCTION("""COMPUTED_VALUE"""),0.00221)</f>
        <v>0.00221</v>
      </c>
      <c r="J3028" s="19">
        <f>IFERROR(__xludf.DUMMYFUNCTION("""COMPUTED_VALUE"""),0.04726)</f>
        <v>0.04726</v>
      </c>
      <c r="K3028" s="19" t="str">
        <f>IFERROR(__xludf.DUMMYFUNCTION("""COMPUTED_VALUE"""),"-")</f>
        <v>-</v>
      </c>
      <c r="L3028" s="19" t="str">
        <f>IFERROR(__xludf.DUMMYFUNCTION("""COMPUTED_VALUE"""),"-")</f>
        <v>-</v>
      </c>
      <c r="O3028" s="24">
        <f t="shared" si="4"/>
        <v>0</v>
      </c>
      <c r="P3028" s="24"/>
      <c r="Q3028" s="24">
        <f t="shared" si="6"/>
        <v>0</v>
      </c>
      <c r="R3028" s="24">
        <f t="shared" si="7"/>
        <v>0</v>
      </c>
      <c r="S3028" s="24"/>
      <c r="T3028" s="24"/>
    </row>
    <row r="3029">
      <c r="A3029" s="12" t="s">
        <v>3116</v>
      </c>
      <c r="F3029" s="19">
        <f>IFERROR(__xludf.DUMMYFUNCTION("SPLIT(A3025, "" |"")"),3023.0)</f>
        <v>3023</v>
      </c>
      <c r="G3029" s="19">
        <f>IFERROR(__xludf.DUMMYFUNCTION("""COMPUTED_VALUE"""),0.0023)</f>
        <v>0.0023</v>
      </c>
      <c r="H3029" s="19" t="str">
        <f>IFERROR(__xludf.DUMMYFUNCTION("""COMPUTED_VALUE"""),"-")</f>
        <v>-</v>
      </c>
      <c r="I3029" s="19">
        <f>IFERROR(__xludf.DUMMYFUNCTION("""COMPUTED_VALUE"""),0.00211)</f>
        <v>0.00211</v>
      </c>
      <c r="J3029" s="19">
        <f>IFERROR(__xludf.DUMMYFUNCTION("""COMPUTED_VALUE"""),0.04746)</f>
        <v>0.04746</v>
      </c>
      <c r="K3029" s="19" t="str">
        <f>IFERROR(__xludf.DUMMYFUNCTION("""COMPUTED_VALUE"""),"-")</f>
        <v>-</v>
      </c>
      <c r="L3029" s="19" t="str">
        <f>IFERROR(__xludf.DUMMYFUNCTION("""COMPUTED_VALUE"""),"-")</f>
        <v>-</v>
      </c>
      <c r="O3029" s="24">
        <f t="shared" si="4"/>
        <v>0</v>
      </c>
      <c r="P3029" s="24"/>
      <c r="Q3029" s="24">
        <f t="shared" si="6"/>
        <v>0</v>
      </c>
      <c r="R3029" s="24">
        <f t="shared" si="7"/>
        <v>0</v>
      </c>
      <c r="S3029" s="24"/>
      <c r="T3029" s="24"/>
    </row>
    <row r="3030">
      <c r="A3030" s="12" t="s">
        <v>3117</v>
      </c>
      <c r="F3030" s="19">
        <f>IFERROR(__xludf.DUMMYFUNCTION("SPLIT(A3026, "" |"")"),3024.0)</f>
        <v>3024</v>
      </c>
      <c r="G3030" s="19">
        <f>IFERROR(__xludf.DUMMYFUNCTION("""COMPUTED_VALUE"""),0.00233)</f>
        <v>0.00233</v>
      </c>
      <c r="H3030" s="19" t="str">
        <f>IFERROR(__xludf.DUMMYFUNCTION("""COMPUTED_VALUE"""),"-")</f>
        <v>-</v>
      </c>
      <c r="I3030" s="19">
        <f>IFERROR(__xludf.DUMMYFUNCTION("""COMPUTED_VALUE"""),0.00222)</f>
        <v>0.00222</v>
      </c>
      <c r="J3030" s="19">
        <f>IFERROR(__xludf.DUMMYFUNCTION("""COMPUTED_VALUE"""),0.04741)</f>
        <v>0.04741</v>
      </c>
      <c r="K3030" s="19" t="str">
        <f>IFERROR(__xludf.DUMMYFUNCTION("""COMPUTED_VALUE"""),"-")</f>
        <v>-</v>
      </c>
      <c r="L3030" s="19" t="str">
        <f>IFERROR(__xludf.DUMMYFUNCTION("""COMPUTED_VALUE"""),"-")</f>
        <v>-</v>
      </c>
      <c r="O3030" s="24">
        <f t="shared" si="4"/>
        <v>0</v>
      </c>
      <c r="P3030" s="24"/>
      <c r="Q3030" s="24">
        <f t="shared" si="6"/>
        <v>0</v>
      </c>
      <c r="R3030" s="24">
        <f t="shared" si="7"/>
        <v>0</v>
      </c>
      <c r="S3030" s="24"/>
      <c r="T3030" s="24"/>
    </row>
    <row r="3031">
      <c r="A3031" s="12" t="s">
        <v>3118</v>
      </c>
      <c r="F3031" s="19">
        <f>IFERROR(__xludf.DUMMYFUNCTION("SPLIT(A3027, "" |"")"),3025.0)</f>
        <v>3025</v>
      </c>
      <c r="G3031" s="19">
        <f>IFERROR(__xludf.DUMMYFUNCTION("""COMPUTED_VALUE"""),0.00231)</f>
        <v>0.00231</v>
      </c>
      <c r="H3031" s="19" t="str">
        <f>IFERROR(__xludf.DUMMYFUNCTION("""COMPUTED_VALUE"""),"-")</f>
        <v>-</v>
      </c>
      <c r="I3031" s="19">
        <f>IFERROR(__xludf.DUMMYFUNCTION("""COMPUTED_VALUE"""),0.00222)</f>
        <v>0.00222</v>
      </c>
      <c r="J3031" s="19">
        <f>IFERROR(__xludf.DUMMYFUNCTION("""COMPUTED_VALUE"""),0.04119)</f>
        <v>0.04119</v>
      </c>
      <c r="K3031" s="19" t="str">
        <f>IFERROR(__xludf.DUMMYFUNCTION("""COMPUTED_VALUE"""),"-")</f>
        <v>-</v>
      </c>
      <c r="L3031" s="19" t="str">
        <f>IFERROR(__xludf.DUMMYFUNCTION("""COMPUTED_VALUE"""),"-")</f>
        <v>-</v>
      </c>
      <c r="O3031" s="24">
        <f t="shared" si="4"/>
        <v>0</v>
      </c>
      <c r="P3031" s="24"/>
      <c r="Q3031" s="24">
        <f t="shared" si="6"/>
        <v>0</v>
      </c>
      <c r="R3031" s="24">
        <f t="shared" si="7"/>
        <v>1</v>
      </c>
      <c r="S3031" s="24"/>
      <c r="T3031" s="24"/>
    </row>
    <row r="3032">
      <c r="A3032" s="12" t="s">
        <v>3119</v>
      </c>
      <c r="F3032" s="19">
        <f>IFERROR(__xludf.DUMMYFUNCTION("SPLIT(A3028, "" |"")"),3026.0)</f>
        <v>3026</v>
      </c>
      <c r="G3032" s="19">
        <f>IFERROR(__xludf.DUMMYFUNCTION("""COMPUTED_VALUE"""),0.00235)</f>
        <v>0.00235</v>
      </c>
      <c r="H3032" s="19" t="str">
        <f>IFERROR(__xludf.DUMMYFUNCTION("""COMPUTED_VALUE"""),"-")</f>
        <v>-</v>
      </c>
      <c r="I3032" s="19">
        <f>IFERROR(__xludf.DUMMYFUNCTION("""COMPUTED_VALUE"""),0.00225)</f>
        <v>0.00225</v>
      </c>
      <c r="J3032" s="19">
        <f>IFERROR(__xludf.DUMMYFUNCTION("""COMPUTED_VALUE"""),0.04744)</f>
        <v>0.04744</v>
      </c>
      <c r="K3032" s="19" t="str">
        <f>IFERROR(__xludf.DUMMYFUNCTION("""COMPUTED_VALUE"""),"-")</f>
        <v>-</v>
      </c>
      <c r="L3032" s="19" t="str">
        <f>IFERROR(__xludf.DUMMYFUNCTION("""COMPUTED_VALUE"""),"-")</f>
        <v>-</v>
      </c>
      <c r="O3032" s="24">
        <f t="shared" si="4"/>
        <v>0</v>
      </c>
      <c r="P3032" s="24"/>
      <c r="Q3032" s="24">
        <f t="shared" si="6"/>
        <v>0</v>
      </c>
      <c r="R3032" s="24">
        <f t="shared" si="7"/>
        <v>0</v>
      </c>
      <c r="S3032" s="24"/>
      <c r="T3032" s="24"/>
    </row>
    <row r="3033">
      <c r="A3033" s="12" t="s">
        <v>3120</v>
      </c>
      <c r="F3033" s="19">
        <f>IFERROR(__xludf.DUMMYFUNCTION("SPLIT(A3029, "" |"")"),3027.0)</f>
        <v>3027</v>
      </c>
      <c r="G3033" s="19">
        <f>IFERROR(__xludf.DUMMYFUNCTION("""COMPUTED_VALUE"""),0.00245)</f>
        <v>0.00245</v>
      </c>
      <c r="H3033" s="19" t="str">
        <f>IFERROR(__xludf.DUMMYFUNCTION("""COMPUTED_VALUE"""),"-")</f>
        <v>-</v>
      </c>
      <c r="I3033" s="19">
        <f>IFERROR(__xludf.DUMMYFUNCTION("""COMPUTED_VALUE"""),0.0023)</f>
        <v>0.0023</v>
      </c>
      <c r="J3033" s="19">
        <f>IFERROR(__xludf.DUMMYFUNCTION("""COMPUTED_VALUE"""),0.04754)</f>
        <v>0.04754</v>
      </c>
      <c r="K3033" s="19" t="str">
        <f>IFERROR(__xludf.DUMMYFUNCTION("""COMPUTED_VALUE"""),"-")</f>
        <v>-</v>
      </c>
      <c r="L3033" s="19" t="str">
        <f>IFERROR(__xludf.DUMMYFUNCTION("""COMPUTED_VALUE"""),"-")</f>
        <v>-</v>
      </c>
      <c r="O3033" s="24">
        <f t="shared" si="4"/>
        <v>0</v>
      </c>
      <c r="P3033" s="24"/>
      <c r="Q3033" s="24">
        <f t="shared" si="6"/>
        <v>0</v>
      </c>
      <c r="R3033" s="24">
        <f t="shared" si="7"/>
        <v>0</v>
      </c>
      <c r="S3033" s="24"/>
      <c r="T3033" s="24"/>
    </row>
    <row r="3034">
      <c r="A3034" s="12" t="s">
        <v>3121</v>
      </c>
      <c r="F3034" s="19">
        <f>IFERROR(__xludf.DUMMYFUNCTION("SPLIT(A3030, "" |"")"),3028.0)</f>
        <v>3028</v>
      </c>
      <c r="G3034" s="19">
        <f>IFERROR(__xludf.DUMMYFUNCTION("""COMPUTED_VALUE"""),0.00235)</f>
        <v>0.00235</v>
      </c>
      <c r="H3034" s="19" t="str">
        <f>IFERROR(__xludf.DUMMYFUNCTION("""COMPUTED_VALUE"""),"-")</f>
        <v>-</v>
      </c>
      <c r="I3034" s="19">
        <f>IFERROR(__xludf.DUMMYFUNCTION("""COMPUTED_VALUE"""),0.0022)</f>
        <v>0.0022</v>
      </c>
      <c r="J3034" s="19">
        <f>IFERROR(__xludf.DUMMYFUNCTION("""COMPUTED_VALUE"""),0.04737)</f>
        <v>0.04737</v>
      </c>
      <c r="K3034" s="19" t="str">
        <f>IFERROR(__xludf.DUMMYFUNCTION("""COMPUTED_VALUE"""),"-")</f>
        <v>-</v>
      </c>
      <c r="L3034" s="19" t="str">
        <f>IFERROR(__xludf.DUMMYFUNCTION("""COMPUTED_VALUE"""),"-")</f>
        <v>-</v>
      </c>
      <c r="O3034" s="24">
        <f t="shared" si="4"/>
        <v>0</v>
      </c>
      <c r="P3034" s="24"/>
      <c r="Q3034" s="24">
        <f t="shared" si="6"/>
        <v>0</v>
      </c>
      <c r="R3034" s="24">
        <f t="shared" si="7"/>
        <v>0</v>
      </c>
      <c r="S3034" s="24"/>
      <c r="T3034" s="24"/>
    </row>
    <row r="3035">
      <c r="A3035" s="12" t="s">
        <v>3122</v>
      </c>
      <c r="F3035" s="19">
        <f>IFERROR(__xludf.DUMMYFUNCTION("SPLIT(A3031, "" |"")"),3029.0)</f>
        <v>3029</v>
      </c>
      <c r="G3035" s="19">
        <f>IFERROR(__xludf.DUMMYFUNCTION("""COMPUTED_VALUE"""),0.00221)</f>
        <v>0.00221</v>
      </c>
      <c r="H3035" s="19" t="str">
        <f>IFERROR(__xludf.DUMMYFUNCTION("""COMPUTED_VALUE"""),"-")</f>
        <v>-</v>
      </c>
      <c r="I3035" s="19">
        <f>IFERROR(__xludf.DUMMYFUNCTION("""COMPUTED_VALUE"""),0.00212)</f>
        <v>0.00212</v>
      </c>
      <c r="J3035" s="19">
        <f>IFERROR(__xludf.DUMMYFUNCTION("""COMPUTED_VALUE"""),0.04747)</f>
        <v>0.04747</v>
      </c>
      <c r="K3035" s="19" t="str">
        <f>IFERROR(__xludf.DUMMYFUNCTION("""COMPUTED_VALUE"""),"-")</f>
        <v>-</v>
      </c>
      <c r="L3035" s="19" t="str">
        <f>IFERROR(__xludf.DUMMYFUNCTION("""COMPUTED_VALUE"""),"-")</f>
        <v>-</v>
      </c>
      <c r="O3035" s="24">
        <f t="shared" si="4"/>
        <v>0</v>
      </c>
      <c r="P3035" s="24"/>
      <c r="Q3035" s="24">
        <f t="shared" si="6"/>
        <v>0</v>
      </c>
      <c r="R3035" s="24">
        <f t="shared" si="7"/>
        <v>0</v>
      </c>
      <c r="S3035" s="24"/>
      <c r="T3035" s="24"/>
    </row>
    <row r="3036">
      <c r="A3036" s="12" t="s">
        <v>3123</v>
      </c>
      <c r="F3036" s="19">
        <f>IFERROR(__xludf.DUMMYFUNCTION("SPLIT(A3032, "" |"")"),3030.0)</f>
        <v>3030</v>
      </c>
      <c r="G3036" s="19">
        <f>IFERROR(__xludf.DUMMYFUNCTION("""COMPUTED_VALUE"""),0.00234)</f>
        <v>0.00234</v>
      </c>
      <c r="H3036" s="19" t="str">
        <f>IFERROR(__xludf.DUMMYFUNCTION("""COMPUTED_VALUE"""),"-")</f>
        <v>-</v>
      </c>
      <c r="I3036" s="19">
        <f>IFERROR(__xludf.DUMMYFUNCTION("""COMPUTED_VALUE"""),0.00224)</f>
        <v>0.00224</v>
      </c>
      <c r="J3036" s="19">
        <f>IFERROR(__xludf.DUMMYFUNCTION("""COMPUTED_VALUE"""),0.04745)</f>
        <v>0.04745</v>
      </c>
      <c r="K3036" s="19" t="str">
        <f>IFERROR(__xludf.DUMMYFUNCTION("""COMPUTED_VALUE"""),"-")</f>
        <v>-</v>
      </c>
      <c r="L3036" s="19" t="str">
        <f>IFERROR(__xludf.DUMMYFUNCTION("""COMPUTED_VALUE"""),"-")</f>
        <v>-</v>
      </c>
      <c r="O3036" s="24">
        <f t="shared" si="4"/>
        <v>0</v>
      </c>
      <c r="P3036" s="24"/>
      <c r="Q3036" s="24">
        <f t="shared" si="6"/>
        <v>0</v>
      </c>
      <c r="R3036" s="24">
        <f t="shared" si="7"/>
        <v>0</v>
      </c>
      <c r="S3036" s="24"/>
      <c r="T3036" s="24"/>
    </row>
    <row r="3037">
      <c r="A3037" s="12" t="s">
        <v>3124</v>
      </c>
      <c r="F3037" s="19">
        <f>IFERROR(__xludf.DUMMYFUNCTION("SPLIT(A3033, "" |"")"),3031.0)</f>
        <v>3031</v>
      </c>
      <c r="G3037" s="19">
        <f>IFERROR(__xludf.DUMMYFUNCTION("""COMPUTED_VALUE"""),0.00234)</f>
        <v>0.00234</v>
      </c>
      <c r="H3037" s="19" t="str">
        <f>IFERROR(__xludf.DUMMYFUNCTION("""COMPUTED_VALUE"""),"-")</f>
        <v>-</v>
      </c>
      <c r="I3037" s="19">
        <f>IFERROR(__xludf.DUMMYFUNCTION("""COMPUTED_VALUE"""),0.00223)</f>
        <v>0.00223</v>
      </c>
      <c r="J3037" s="19">
        <f>IFERROR(__xludf.DUMMYFUNCTION("""COMPUTED_VALUE"""),0.04746)</f>
        <v>0.04746</v>
      </c>
      <c r="K3037" s="19" t="str">
        <f>IFERROR(__xludf.DUMMYFUNCTION("""COMPUTED_VALUE"""),"-")</f>
        <v>-</v>
      </c>
      <c r="L3037" s="19" t="str">
        <f>IFERROR(__xludf.DUMMYFUNCTION("""COMPUTED_VALUE"""),"-")</f>
        <v>-</v>
      </c>
      <c r="O3037" s="24">
        <f t="shared" si="4"/>
        <v>0</v>
      </c>
      <c r="P3037" s="24"/>
      <c r="Q3037" s="24">
        <f t="shared" si="6"/>
        <v>0</v>
      </c>
      <c r="R3037" s="24">
        <f t="shared" si="7"/>
        <v>0</v>
      </c>
      <c r="S3037" s="24"/>
      <c r="T3037" s="24"/>
    </row>
    <row r="3038">
      <c r="A3038" s="12" t="s">
        <v>3125</v>
      </c>
      <c r="F3038" s="19">
        <f>IFERROR(__xludf.DUMMYFUNCTION("SPLIT(A3034, "" |"")"),3032.0)</f>
        <v>3032</v>
      </c>
      <c r="G3038" s="19">
        <f>IFERROR(__xludf.DUMMYFUNCTION("""COMPUTED_VALUE"""),0.00234)</f>
        <v>0.00234</v>
      </c>
      <c r="H3038" s="19" t="str">
        <f>IFERROR(__xludf.DUMMYFUNCTION("""COMPUTED_VALUE"""),"-")</f>
        <v>-</v>
      </c>
      <c r="I3038" s="19">
        <f>IFERROR(__xludf.DUMMYFUNCTION("""COMPUTED_VALUE"""),0.00226)</f>
        <v>0.00226</v>
      </c>
      <c r="J3038" s="19">
        <f>IFERROR(__xludf.DUMMYFUNCTION("""COMPUTED_VALUE"""),0.04741)</f>
        <v>0.04741</v>
      </c>
      <c r="K3038" s="19" t="str">
        <f>IFERROR(__xludf.DUMMYFUNCTION("""COMPUTED_VALUE"""),"-")</f>
        <v>-</v>
      </c>
      <c r="L3038" s="19" t="str">
        <f>IFERROR(__xludf.DUMMYFUNCTION("""COMPUTED_VALUE"""),"-")</f>
        <v>-</v>
      </c>
      <c r="O3038" s="24">
        <f t="shared" si="4"/>
        <v>0</v>
      </c>
      <c r="P3038" s="24"/>
      <c r="Q3038" s="24">
        <f t="shared" si="6"/>
        <v>0</v>
      </c>
      <c r="R3038" s="24">
        <f t="shared" si="7"/>
        <v>0</v>
      </c>
      <c r="S3038" s="24"/>
      <c r="T3038" s="24"/>
    </row>
    <row r="3039">
      <c r="A3039" s="12" t="s">
        <v>3126</v>
      </c>
      <c r="F3039" s="19">
        <f>IFERROR(__xludf.DUMMYFUNCTION("SPLIT(A3035, "" |"")"),3033.0)</f>
        <v>3033</v>
      </c>
      <c r="G3039" s="19">
        <f>IFERROR(__xludf.DUMMYFUNCTION("""COMPUTED_VALUE"""),0.00233)</f>
        <v>0.00233</v>
      </c>
      <c r="H3039" s="19" t="str">
        <f>IFERROR(__xludf.DUMMYFUNCTION("""COMPUTED_VALUE"""),"-")</f>
        <v>-</v>
      </c>
      <c r="I3039" s="19">
        <f>IFERROR(__xludf.DUMMYFUNCTION("""COMPUTED_VALUE"""),0.00222)</f>
        <v>0.00222</v>
      </c>
      <c r="J3039" s="19">
        <f>IFERROR(__xludf.DUMMYFUNCTION("""COMPUTED_VALUE"""),0.04746)</f>
        <v>0.04746</v>
      </c>
      <c r="K3039" s="19" t="str">
        <f>IFERROR(__xludf.DUMMYFUNCTION("""COMPUTED_VALUE"""),"-")</f>
        <v>-</v>
      </c>
      <c r="L3039" s="19" t="str">
        <f>IFERROR(__xludf.DUMMYFUNCTION("""COMPUTED_VALUE"""),"-")</f>
        <v>-</v>
      </c>
      <c r="O3039" s="24">
        <f t="shared" si="4"/>
        <v>0</v>
      </c>
      <c r="P3039" s="24"/>
      <c r="Q3039" s="24">
        <f t="shared" si="6"/>
        <v>0</v>
      </c>
      <c r="R3039" s="24">
        <f t="shared" si="7"/>
        <v>0</v>
      </c>
      <c r="S3039" s="24"/>
      <c r="T3039" s="24"/>
    </row>
    <row r="3040">
      <c r="A3040" s="12" t="s">
        <v>3127</v>
      </c>
      <c r="F3040" s="19">
        <f>IFERROR(__xludf.DUMMYFUNCTION("SPLIT(A3036, "" |"")"),3034.0)</f>
        <v>3034</v>
      </c>
      <c r="G3040" s="19">
        <f>IFERROR(__xludf.DUMMYFUNCTION("""COMPUTED_VALUE"""),0.00231)</f>
        <v>0.00231</v>
      </c>
      <c r="H3040" s="19" t="str">
        <f>IFERROR(__xludf.DUMMYFUNCTION("""COMPUTED_VALUE"""),"-")</f>
        <v>-</v>
      </c>
      <c r="I3040" s="19">
        <f>IFERROR(__xludf.DUMMYFUNCTION("""COMPUTED_VALUE"""),0.00219)</f>
        <v>0.00219</v>
      </c>
      <c r="J3040" s="19">
        <f>IFERROR(__xludf.DUMMYFUNCTION("""COMPUTED_VALUE"""),0.04748)</f>
        <v>0.04748</v>
      </c>
      <c r="K3040" s="19" t="str">
        <f>IFERROR(__xludf.DUMMYFUNCTION("""COMPUTED_VALUE"""),"-")</f>
        <v>-</v>
      </c>
      <c r="L3040" s="19" t="str">
        <f>IFERROR(__xludf.DUMMYFUNCTION("""COMPUTED_VALUE"""),"-")</f>
        <v>-</v>
      </c>
      <c r="O3040" s="24">
        <f t="shared" si="4"/>
        <v>0</v>
      </c>
      <c r="P3040" s="24"/>
      <c r="Q3040" s="24">
        <f t="shared" si="6"/>
        <v>0</v>
      </c>
      <c r="R3040" s="24">
        <f t="shared" si="7"/>
        <v>0</v>
      </c>
      <c r="S3040" s="24"/>
      <c r="T3040" s="24"/>
    </row>
    <row r="3041">
      <c r="A3041" s="12" t="s">
        <v>3128</v>
      </c>
      <c r="F3041" s="19">
        <f>IFERROR(__xludf.DUMMYFUNCTION("SPLIT(A3037, "" |"")"),3035.0)</f>
        <v>3035</v>
      </c>
      <c r="G3041" s="19">
        <f>IFERROR(__xludf.DUMMYFUNCTION("""COMPUTED_VALUE"""),0.00239)</f>
        <v>0.00239</v>
      </c>
      <c r="H3041" s="19" t="str">
        <f>IFERROR(__xludf.DUMMYFUNCTION("""COMPUTED_VALUE"""),"-")</f>
        <v>-</v>
      </c>
      <c r="I3041" s="19">
        <f>IFERROR(__xludf.DUMMYFUNCTION("""COMPUTED_VALUE"""),0.00222)</f>
        <v>0.00222</v>
      </c>
      <c r="J3041" s="19">
        <f>IFERROR(__xludf.DUMMYFUNCTION("""COMPUTED_VALUE"""),0.0474)</f>
        <v>0.0474</v>
      </c>
      <c r="K3041" s="19" t="str">
        <f>IFERROR(__xludf.DUMMYFUNCTION("""COMPUTED_VALUE"""),"-")</f>
        <v>-</v>
      </c>
      <c r="L3041" s="19" t="str">
        <f>IFERROR(__xludf.DUMMYFUNCTION("""COMPUTED_VALUE"""),"-")</f>
        <v>-</v>
      </c>
      <c r="O3041" s="24">
        <f t="shared" si="4"/>
        <v>0</v>
      </c>
      <c r="P3041" s="24"/>
      <c r="Q3041" s="24">
        <f t="shared" si="6"/>
        <v>0</v>
      </c>
      <c r="R3041" s="24">
        <f t="shared" si="7"/>
        <v>0</v>
      </c>
      <c r="S3041" s="24"/>
      <c r="T3041" s="24"/>
    </row>
    <row r="3042">
      <c r="A3042" s="12" t="s">
        <v>3129</v>
      </c>
      <c r="F3042" s="19">
        <f>IFERROR(__xludf.DUMMYFUNCTION("SPLIT(A3038, "" |"")"),3036.0)</f>
        <v>3036</v>
      </c>
      <c r="G3042" s="19">
        <f>IFERROR(__xludf.DUMMYFUNCTION("""COMPUTED_VALUE"""),0.00236)</f>
        <v>0.00236</v>
      </c>
      <c r="H3042" s="19" t="str">
        <f>IFERROR(__xludf.DUMMYFUNCTION("""COMPUTED_VALUE"""),"-")</f>
        <v>-</v>
      </c>
      <c r="I3042" s="19">
        <f>IFERROR(__xludf.DUMMYFUNCTION("""COMPUTED_VALUE"""),0.00221)</f>
        <v>0.00221</v>
      </c>
      <c r="J3042" s="19">
        <f>IFERROR(__xludf.DUMMYFUNCTION("""COMPUTED_VALUE"""),0.04738)</f>
        <v>0.04738</v>
      </c>
      <c r="K3042" s="19" t="str">
        <f>IFERROR(__xludf.DUMMYFUNCTION("""COMPUTED_VALUE"""),"-")</f>
        <v>-</v>
      </c>
      <c r="L3042" s="19" t="str">
        <f>IFERROR(__xludf.DUMMYFUNCTION("""COMPUTED_VALUE"""),"-")</f>
        <v>-</v>
      </c>
      <c r="O3042" s="24">
        <f t="shared" si="4"/>
        <v>0</v>
      </c>
      <c r="P3042" s="24"/>
      <c r="Q3042" s="24">
        <f t="shared" si="6"/>
        <v>0</v>
      </c>
      <c r="R3042" s="24">
        <f t="shared" si="7"/>
        <v>0</v>
      </c>
      <c r="S3042" s="24"/>
      <c r="T3042" s="24"/>
    </row>
    <row r="3043">
      <c r="A3043" s="12" t="s">
        <v>3130</v>
      </c>
      <c r="F3043" s="19">
        <f>IFERROR(__xludf.DUMMYFUNCTION("SPLIT(A3039, "" |"")"),3037.0)</f>
        <v>3037</v>
      </c>
      <c r="G3043" s="19">
        <f>IFERROR(__xludf.DUMMYFUNCTION("""COMPUTED_VALUE"""),0.00238)</f>
        <v>0.00238</v>
      </c>
      <c r="H3043" s="19" t="str">
        <f>IFERROR(__xludf.DUMMYFUNCTION("""COMPUTED_VALUE"""),"-")</f>
        <v>-</v>
      </c>
      <c r="I3043" s="19">
        <f>IFERROR(__xludf.DUMMYFUNCTION("""COMPUTED_VALUE"""),0.00219)</f>
        <v>0.00219</v>
      </c>
      <c r="J3043" s="19">
        <f>IFERROR(__xludf.DUMMYFUNCTION("""COMPUTED_VALUE"""),0.04739)</f>
        <v>0.04739</v>
      </c>
      <c r="K3043" s="19" t="str">
        <f>IFERROR(__xludf.DUMMYFUNCTION("""COMPUTED_VALUE"""),"-")</f>
        <v>-</v>
      </c>
      <c r="L3043" s="19" t="str">
        <f>IFERROR(__xludf.DUMMYFUNCTION("""COMPUTED_VALUE"""),"-")</f>
        <v>-</v>
      </c>
      <c r="O3043" s="24">
        <f t="shared" si="4"/>
        <v>0</v>
      </c>
      <c r="P3043" s="24"/>
      <c r="Q3043" s="24">
        <f t="shared" si="6"/>
        <v>0</v>
      </c>
      <c r="R3043" s="24">
        <f t="shared" si="7"/>
        <v>0</v>
      </c>
      <c r="S3043" s="24"/>
      <c r="T3043" s="24"/>
    </row>
    <row r="3044">
      <c r="A3044" s="12" t="s">
        <v>3131</v>
      </c>
      <c r="F3044" s="19">
        <f>IFERROR(__xludf.DUMMYFUNCTION("SPLIT(A3040, "" |"")"),3038.0)</f>
        <v>3038</v>
      </c>
      <c r="G3044" s="19">
        <f>IFERROR(__xludf.DUMMYFUNCTION("""COMPUTED_VALUE"""),0.00217)</f>
        <v>0.00217</v>
      </c>
      <c r="H3044" s="19" t="str">
        <f>IFERROR(__xludf.DUMMYFUNCTION("""COMPUTED_VALUE"""),"-")</f>
        <v>-</v>
      </c>
      <c r="I3044" s="19">
        <f>IFERROR(__xludf.DUMMYFUNCTION("""COMPUTED_VALUE"""),0.00211)</f>
        <v>0.00211</v>
      </c>
      <c r="J3044" s="19">
        <f>IFERROR(__xludf.DUMMYFUNCTION("""COMPUTED_VALUE"""),0.04729)</f>
        <v>0.04729</v>
      </c>
      <c r="K3044" s="19" t="str">
        <f>IFERROR(__xludf.DUMMYFUNCTION("""COMPUTED_VALUE"""),"-")</f>
        <v>-</v>
      </c>
      <c r="L3044" s="19" t="str">
        <f>IFERROR(__xludf.DUMMYFUNCTION("""COMPUTED_VALUE"""),"-")</f>
        <v>-</v>
      </c>
      <c r="O3044" s="24">
        <f t="shared" si="4"/>
        <v>0</v>
      </c>
      <c r="P3044" s="24"/>
      <c r="Q3044" s="24">
        <f t="shared" si="6"/>
        <v>0</v>
      </c>
      <c r="R3044" s="24">
        <f t="shared" si="7"/>
        <v>0</v>
      </c>
      <c r="S3044" s="24"/>
      <c r="T3044" s="24"/>
    </row>
    <row r="3045">
      <c r="A3045" s="12" t="s">
        <v>3132</v>
      </c>
      <c r="F3045" s="19">
        <f>IFERROR(__xludf.DUMMYFUNCTION("SPLIT(A3041, "" |"")"),3039.0)</f>
        <v>3039</v>
      </c>
      <c r="G3045" s="19">
        <f>IFERROR(__xludf.DUMMYFUNCTION("""COMPUTED_VALUE"""),0.00223)</f>
        <v>0.00223</v>
      </c>
      <c r="H3045" s="19" t="str">
        <f>IFERROR(__xludf.DUMMYFUNCTION("""COMPUTED_VALUE"""),"-")</f>
        <v>-</v>
      </c>
      <c r="I3045" s="19">
        <f>IFERROR(__xludf.DUMMYFUNCTION("""COMPUTED_VALUE"""),0.0021)</f>
        <v>0.0021</v>
      </c>
      <c r="J3045" s="19">
        <f>IFERROR(__xludf.DUMMYFUNCTION("""COMPUTED_VALUE"""),0.04724)</f>
        <v>0.04724</v>
      </c>
      <c r="K3045" s="19" t="str">
        <f>IFERROR(__xludf.DUMMYFUNCTION("""COMPUTED_VALUE"""),"-")</f>
        <v>-</v>
      </c>
      <c r="L3045" s="19" t="str">
        <f>IFERROR(__xludf.DUMMYFUNCTION("""COMPUTED_VALUE"""),"-")</f>
        <v>-</v>
      </c>
      <c r="O3045" s="24">
        <f t="shared" si="4"/>
        <v>0</v>
      </c>
      <c r="P3045" s="24"/>
      <c r="Q3045" s="24">
        <f t="shared" si="6"/>
        <v>0</v>
      </c>
      <c r="R3045" s="24">
        <f t="shared" si="7"/>
        <v>0</v>
      </c>
      <c r="S3045" s="24"/>
      <c r="T3045" s="24"/>
    </row>
    <row r="3046">
      <c r="A3046" s="12" t="s">
        <v>3133</v>
      </c>
      <c r="F3046" s="19">
        <f>IFERROR(__xludf.DUMMYFUNCTION("SPLIT(A3042, "" |"")"),3040.0)</f>
        <v>3040</v>
      </c>
      <c r="G3046" s="19">
        <f>IFERROR(__xludf.DUMMYFUNCTION("""COMPUTED_VALUE"""),0.00217)</f>
        <v>0.00217</v>
      </c>
      <c r="H3046" s="19" t="str">
        <f>IFERROR(__xludf.DUMMYFUNCTION("""COMPUTED_VALUE"""),"-")</f>
        <v>-</v>
      </c>
      <c r="I3046" s="19">
        <f>IFERROR(__xludf.DUMMYFUNCTION("""COMPUTED_VALUE"""),0.00207)</f>
        <v>0.00207</v>
      </c>
      <c r="J3046" s="19">
        <f>IFERROR(__xludf.DUMMYFUNCTION("""COMPUTED_VALUE"""),0.04307)</f>
        <v>0.04307</v>
      </c>
      <c r="K3046" s="19" t="str">
        <f>IFERROR(__xludf.DUMMYFUNCTION("""COMPUTED_VALUE"""),"-")</f>
        <v>-</v>
      </c>
      <c r="L3046" s="19" t="str">
        <f>IFERROR(__xludf.DUMMYFUNCTION("""COMPUTED_VALUE"""),"-")</f>
        <v>-</v>
      </c>
      <c r="O3046" s="24">
        <f t="shared" si="4"/>
        <v>0</v>
      </c>
      <c r="P3046" s="24"/>
      <c r="Q3046" s="24">
        <f t="shared" si="6"/>
        <v>0</v>
      </c>
      <c r="R3046" s="24">
        <f t="shared" si="7"/>
        <v>1</v>
      </c>
      <c r="S3046" s="24"/>
      <c r="T3046" s="24"/>
    </row>
    <row r="3047">
      <c r="A3047" s="12" t="s">
        <v>3134</v>
      </c>
      <c r="F3047" s="19">
        <f>IFERROR(__xludf.DUMMYFUNCTION("SPLIT(A3043, "" |"")"),3041.0)</f>
        <v>3041</v>
      </c>
      <c r="G3047" s="19">
        <f>IFERROR(__xludf.DUMMYFUNCTION("""COMPUTED_VALUE"""),0.00235)</f>
        <v>0.00235</v>
      </c>
      <c r="H3047" s="19" t="str">
        <f>IFERROR(__xludf.DUMMYFUNCTION("""COMPUTED_VALUE"""),"-")</f>
        <v>-</v>
      </c>
      <c r="I3047" s="19">
        <f>IFERROR(__xludf.DUMMYFUNCTION("""COMPUTED_VALUE"""),0.00224)</f>
        <v>0.00224</v>
      </c>
      <c r="J3047" s="19">
        <f>IFERROR(__xludf.DUMMYFUNCTION("""COMPUTED_VALUE"""),0.04746)</f>
        <v>0.04746</v>
      </c>
      <c r="K3047" s="19" t="str">
        <f>IFERROR(__xludf.DUMMYFUNCTION("""COMPUTED_VALUE"""),"-")</f>
        <v>-</v>
      </c>
      <c r="L3047" s="19" t="str">
        <f>IFERROR(__xludf.DUMMYFUNCTION("""COMPUTED_VALUE"""),"-")</f>
        <v>-</v>
      </c>
      <c r="O3047" s="24">
        <f t="shared" si="4"/>
        <v>0</v>
      </c>
      <c r="P3047" s="24"/>
      <c r="Q3047" s="24">
        <f t="shared" si="6"/>
        <v>0</v>
      </c>
      <c r="R3047" s="24">
        <f t="shared" si="7"/>
        <v>0</v>
      </c>
      <c r="S3047" s="24"/>
      <c r="T3047" s="24"/>
    </row>
    <row r="3048">
      <c r="A3048" s="12" t="s">
        <v>3135</v>
      </c>
      <c r="F3048" s="19">
        <f>IFERROR(__xludf.DUMMYFUNCTION("SPLIT(A3044, "" |"")"),3042.0)</f>
        <v>3042</v>
      </c>
      <c r="G3048" s="19">
        <f>IFERROR(__xludf.DUMMYFUNCTION("""COMPUTED_VALUE"""),0.00236)</f>
        <v>0.00236</v>
      </c>
      <c r="H3048" s="19" t="str">
        <f>IFERROR(__xludf.DUMMYFUNCTION("""COMPUTED_VALUE"""),"-")</f>
        <v>-</v>
      </c>
      <c r="I3048" s="19">
        <f>IFERROR(__xludf.DUMMYFUNCTION("""COMPUTED_VALUE"""),0.00221)</f>
        <v>0.00221</v>
      </c>
      <c r="J3048" s="19">
        <f>IFERROR(__xludf.DUMMYFUNCTION("""COMPUTED_VALUE"""),0.04737)</f>
        <v>0.04737</v>
      </c>
      <c r="K3048" s="19" t="str">
        <f>IFERROR(__xludf.DUMMYFUNCTION("""COMPUTED_VALUE"""),"-")</f>
        <v>-</v>
      </c>
      <c r="L3048" s="19" t="str">
        <f>IFERROR(__xludf.DUMMYFUNCTION("""COMPUTED_VALUE"""),"-")</f>
        <v>-</v>
      </c>
      <c r="O3048" s="24">
        <f t="shared" si="4"/>
        <v>0</v>
      </c>
      <c r="P3048" s="24"/>
      <c r="Q3048" s="24">
        <f t="shared" si="6"/>
        <v>0</v>
      </c>
      <c r="R3048" s="24">
        <f t="shared" si="7"/>
        <v>0</v>
      </c>
      <c r="S3048" s="24"/>
      <c r="T3048" s="24"/>
    </row>
    <row r="3049">
      <c r="A3049" s="12" t="s">
        <v>3136</v>
      </c>
      <c r="F3049" s="19">
        <f>IFERROR(__xludf.DUMMYFUNCTION("SPLIT(A3045, "" |"")"),3043.0)</f>
        <v>3043</v>
      </c>
      <c r="G3049" s="19">
        <f>IFERROR(__xludf.DUMMYFUNCTION("""COMPUTED_VALUE"""),0.00225)</f>
        <v>0.00225</v>
      </c>
      <c r="H3049" s="19" t="str">
        <f>IFERROR(__xludf.DUMMYFUNCTION("""COMPUTED_VALUE"""),"-")</f>
        <v>-</v>
      </c>
      <c r="I3049" s="19">
        <f>IFERROR(__xludf.DUMMYFUNCTION("""COMPUTED_VALUE"""),0.00219)</f>
        <v>0.00219</v>
      </c>
      <c r="J3049" s="19">
        <f>IFERROR(__xludf.DUMMYFUNCTION("""COMPUTED_VALUE"""),0.04746)</f>
        <v>0.04746</v>
      </c>
      <c r="K3049" s="19" t="str">
        <f>IFERROR(__xludf.DUMMYFUNCTION("""COMPUTED_VALUE"""),"-")</f>
        <v>-</v>
      </c>
      <c r="L3049" s="19" t="str">
        <f>IFERROR(__xludf.DUMMYFUNCTION("""COMPUTED_VALUE"""),"-")</f>
        <v>-</v>
      </c>
      <c r="O3049" s="24">
        <f t="shared" si="4"/>
        <v>0</v>
      </c>
      <c r="P3049" s="24"/>
      <c r="Q3049" s="24">
        <f t="shared" si="6"/>
        <v>0</v>
      </c>
      <c r="R3049" s="24">
        <f t="shared" si="7"/>
        <v>0</v>
      </c>
      <c r="S3049" s="24"/>
      <c r="T3049" s="24"/>
    </row>
    <row r="3050">
      <c r="A3050" s="12" t="s">
        <v>3137</v>
      </c>
      <c r="F3050" s="19">
        <f>IFERROR(__xludf.DUMMYFUNCTION("SPLIT(A3046, "" |"")"),3044.0)</f>
        <v>3044</v>
      </c>
      <c r="G3050" s="19">
        <f>IFERROR(__xludf.DUMMYFUNCTION("""COMPUTED_VALUE"""),0.00234)</f>
        <v>0.00234</v>
      </c>
      <c r="H3050" s="19" t="str">
        <f>IFERROR(__xludf.DUMMYFUNCTION("""COMPUTED_VALUE"""),"-")</f>
        <v>-</v>
      </c>
      <c r="I3050" s="19">
        <f>IFERROR(__xludf.DUMMYFUNCTION("""COMPUTED_VALUE"""),0.00219)</f>
        <v>0.00219</v>
      </c>
      <c r="J3050" s="19">
        <f>IFERROR(__xludf.DUMMYFUNCTION("""COMPUTED_VALUE"""),0.04744)</f>
        <v>0.04744</v>
      </c>
      <c r="K3050" s="19" t="str">
        <f>IFERROR(__xludf.DUMMYFUNCTION("""COMPUTED_VALUE"""),"-")</f>
        <v>-</v>
      </c>
      <c r="L3050" s="19" t="str">
        <f>IFERROR(__xludf.DUMMYFUNCTION("""COMPUTED_VALUE"""),"-")</f>
        <v>-</v>
      </c>
      <c r="O3050" s="24">
        <f t="shared" si="4"/>
        <v>0</v>
      </c>
      <c r="P3050" s="24"/>
      <c r="Q3050" s="24">
        <f t="shared" si="6"/>
        <v>0</v>
      </c>
      <c r="R3050" s="24">
        <f t="shared" si="7"/>
        <v>0</v>
      </c>
      <c r="S3050" s="24"/>
      <c r="T3050" s="24"/>
    </row>
    <row r="3051">
      <c r="A3051" s="12" t="s">
        <v>3138</v>
      </c>
      <c r="F3051" s="19">
        <f>IFERROR(__xludf.DUMMYFUNCTION("SPLIT(A3047, "" |"")"),3045.0)</f>
        <v>3045</v>
      </c>
      <c r="G3051" s="19">
        <f>IFERROR(__xludf.DUMMYFUNCTION("""COMPUTED_VALUE"""),0.00232)</f>
        <v>0.00232</v>
      </c>
      <c r="H3051" s="19" t="str">
        <f>IFERROR(__xludf.DUMMYFUNCTION("""COMPUTED_VALUE"""),"-")</f>
        <v>-</v>
      </c>
      <c r="I3051" s="19">
        <f>IFERROR(__xludf.DUMMYFUNCTION("""COMPUTED_VALUE"""),0.00221)</f>
        <v>0.00221</v>
      </c>
      <c r="J3051" s="19">
        <f>IFERROR(__xludf.DUMMYFUNCTION("""COMPUTED_VALUE"""),0.04744)</f>
        <v>0.04744</v>
      </c>
      <c r="K3051" s="19" t="str">
        <f>IFERROR(__xludf.DUMMYFUNCTION("""COMPUTED_VALUE"""),"-")</f>
        <v>-</v>
      </c>
      <c r="L3051" s="19" t="str">
        <f>IFERROR(__xludf.DUMMYFUNCTION("""COMPUTED_VALUE"""),"-")</f>
        <v>-</v>
      </c>
      <c r="O3051" s="24">
        <f t="shared" si="4"/>
        <v>0</v>
      </c>
      <c r="P3051" s="24"/>
      <c r="Q3051" s="24">
        <f t="shared" si="6"/>
        <v>0</v>
      </c>
      <c r="R3051" s="24">
        <f t="shared" si="7"/>
        <v>0</v>
      </c>
      <c r="S3051" s="24"/>
      <c r="T3051" s="24"/>
    </row>
    <row r="3052">
      <c r="A3052" s="12" t="s">
        <v>3139</v>
      </c>
      <c r="F3052" s="19">
        <f>IFERROR(__xludf.DUMMYFUNCTION("SPLIT(A3048, "" |"")"),3046.0)</f>
        <v>3046</v>
      </c>
      <c r="G3052" s="19">
        <f>IFERROR(__xludf.DUMMYFUNCTION("""COMPUTED_VALUE"""),0.00238)</f>
        <v>0.00238</v>
      </c>
      <c r="H3052" s="19" t="str">
        <f>IFERROR(__xludf.DUMMYFUNCTION("""COMPUTED_VALUE"""),"-")</f>
        <v>-</v>
      </c>
      <c r="I3052" s="19">
        <f>IFERROR(__xludf.DUMMYFUNCTION("""COMPUTED_VALUE"""),0.00219)</f>
        <v>0.00219</v>
      </c>
      <c r="J3052" s="19">
        <f>IFERROR(__xludf.DUMMYFUNCTION("""COMPUTED_VALUE"""),0.04747)</f>
        <v>0.04747</v>
      </c>
      <c r="K3052" s="19" t="str">
        <f>IFERROR(__xludf.DUMMYFUNCTION("""COMPUTED_VALUE"""),"-")</f>
        <v>-</v>
      </c>
      <c r="L3052" s="19" t="str">
        <f>IFERROR(__xludf.DUMMYFUNCTION("""COMPUTED_VALUE"""),"-")</f>
        <v>-</v>
      </c>
      <c r="O3052" s="24">
        <f t="shared" si="4"/>
        <v>0</v>
      </c>
      <c r="P3052" s="24"/>
      <c r="Q3052" s="24">
        <f t="shared" si="6"/>
        <v>0</v>
      </c>
      <c r="R3052" s="24">
        <f t="shared" si="7"/>
        <v>0</v>
      </c>
      <c r="S3052" s="24"/>
      <c r="T3052" s="24"/>
    </row>
    <row r="3053">
      <c r="A3053" s="12" t="s">
        <v>3140</v>
      </c>
      <c r="F3053" s="19">
        <f>IFERROR(__xludf.DUMMYFUNCTION("SPLIT(A3049, "" |"")"),3047.0)</f>
        <v>3047</v>
      </c>
      <c r="G3053" s="19">
        <f>IFERROR(__xludf.DUMMYFUNCTION("""COMPUTED_VALUE"""),0.00229)</f>
        <v>0.00229</v>
      </c>
      <c r="H3053" s="19" t="str">
        <f>IFERROR(__xludf.DUMMYFUNCTION("""COMPUTED_VALUE"""),"-")</f>
        <v>-</v>
      </c>
      <c r="I3053" s="19">
        <f>IFERROR(__xludf.DUMMYFUNCTION("""COMPUTED_VALUE"""),0.00221)</f>
        <v>0.00221</v>
      </c>
      <c r="J3053" s="19">
        <f>IFERROR(__xludf.DUMMYFUNCTION("""COMPUTED_VALUE"""),0.04739)</f>
        <v>0.04739</v>
      </c>
      <c r="K3053" s="19" t="str">
        <f>IFERROR(__xludf.DUMMYFUNCTION("""COMPUTED_VALUE"""),"-")</f>
        <v>-</v>
      </c>
      <c r="L3053" s="19" t="str">
        <f>IFERROR(__xludf.DUMMYFUNCTION("""COMPUTED_VALUE"""),"-")</f>
        <v>-</v>
      </c>
      <c r="O3053" s="24">
        <f t="shared" si="4"/>
        <v>0</v>
      </c>
      <c r="P3053" s="24"/>
      <c r="Q3053" s="24">
        <f t="shared" si="6"/>
        <v>0</v>
      </c>
      <c r="R3053" s="24">
        <f t="shared" si="7"/>
        <v>0</v>
      </c>
      <c r="S3053" s="24"/>
      <c r="T3053" s="24"/>
    </row>
    <row r="3054">
      <c r="A3054" s="12" t="s">
        <v>3141</v>
      </c>
      <c r="F3054" s="19">
        <f>IFERROR(__xludf.DUMMYFUNCTION("SPLIT(A3050, "" |"")"),3048.0)</f>
        <v>3048</v>
      </c>
      <c r="G3054" s="19">
        <f>IFERROR(__xludf.DUMMYFUNCTION("""COMPUTED_VALUE"""),0.00237)</f>
        <v>0.00237</v>
      </c>
      <c r="H3054" s="19" t="str">
        <f>IFERROR(__xludf.DUMMYFUNCTION("""COMPUTED_VALUE"""),"-")</f>
        <v>-</v>
      </c>
      <c r="I3054" s="19">
        <f>IFERROR(__xludf.DUMMYFUNCTION("""COMPUTED_VALUE"""),0.00227)</f>
        <v>0.00227</v>
      </c>
      <c r="J3054" s="19">
        <f>IFERROR(__xludf.DUMMYFUNCTION("""COMPUTED_VALUE"""),0.04743)</f>
        <v>0.04743</v>
      </c>
      <c r="K3054" s="19" t="str">
        <f>IFERROR(__xludf.DUMMYFUNCTION("""COMPUTED_VALUE"""),"-")</f>
        <v>-</v>
      </c>
      <c r="L3054" s="19" t="str">
        <f>IFERROR(__xludf.DUMMYFUNCTION("""COMPUTED_VALUE"""),"-")</f>
        <v>-</v>
      </c>
      <c r="O3054" s="24">
        <f t="shared" si="4"/>
        <v>0</v>
      </c>
      <c r="P3054" s="24"/>
      <c r="Q3054" s="24">
        <f t="shared" si="6"/>
        <v>0</v>
      </c>
      <c r="R3054" s="24">
        <f t="shared" si="7"/>
        <v>0</v>
      </c>
      <c r="S3054" s="24"/>
      <c r="T3054" s="24"/>
    </row>
    <row r="3055">
      <c r="A3055" s="12" t="s">
        <v>3142</v>
      </c>
      <c r="F3055" s="19">
        <f>IFERROR(__xludf.DUMMYFUNCTION("SPLIT(A3051, "" |"")"),3049.0)</f>
        <v>3049</v>
      </c>
      <c r="G3055" s="19">
        <f>IFERROR(__xludf.DUMMYFUNCTION("""COMPUTED_VALUE"""),0.00235)</f>
        <v>0.00235</v>
      </c>
      <c r="H3055" s="19" t="str">
        <f>IFERROR(__xludf.DUMMYFUNCTION("""COMPUTED_VALUE"""),"-")</f>
        <v>-</v>
      </c>
      <c r="I3055" s="19">
        <f>IFERROR(__xludf.DUMMYFUNCTION("""COMPUTED_VALUE"""),0.00222)</f>
        <v>0.00222</v>
      </c>
      <c r="J3055" s="19">
        <f>IFERROR(__xludf.DUMMYFUNCTION("""COMPUTED_VALUE"""),0.04747)</f>
        <v>0.04747</v>
      </c>
      <c r="K3055" s="19" t="str">
        <f>IFERROR(__xludf.DUMMYFUNCTION("""COMPUTED_VALUE"""),"-")</f>
        <v>-</v>
      </c>
      <c r="L3055" s="19" t="str">
        <f>IFERROR(__xludf.DUMMYFUNCTION("""COMPUTED_VALUE"""),"-")</f>
        <v>-</v>
      </c>
      <c r="O3055" s="24">
        <f t="shared" si="4"/>
        <v>0</v>
      </c>
      <c r="P3055" s="24"/>
      <c r="Q3055" s="24">
        <f t="shared" si="6"/>
        <v>0</v>
      </c>
      <c r="R3055" s="24">
        <f t="shared" si="7"/>
        <v>0</v>
      </c>
      <c r="S3055" s="24"/>
      <c r="T3055" s="24"/>
    </row>
    <row r="3056">
      <c r="A3056" s="12" t="s">
        <v>3143</v>
      </c>
      <c r="F3056" s="19">
        <f>IFERROR(__xludf.DUMMYFUNCTION("SPLIT(A3052, "" |"")"),3050.0)</f>
        <v>3050</v>
      </c>
      <c r="G3056" s="19">
        <f>IFERROR(__xludf.DUMMYFUNCTION("""COMPUTED_VALUE"""),0.00238)</f>
        <v>0.00238</v>
      </c>
      <c r="H3056" s="19" t="str">
        <f>IFERROR(__xludf.DUMMYFUNCTION("""COMPUTED_VALUE"""),"-")</f>
        <v>-</v>
      </c>
      <c r="I3056" s="19">
        <f>IFERROR(__xludf.DUMMYFUNCTION("""COMPUTED_VALUE"""),0.00221)</f>
        <v>0.00221</v>
      </c>
      <c r="J3056" s="19">
        <f>IFERROR(__xludf.DUMMYFUNCTION("""COMPUTED_VALUE"""),0.04738)</f>
        <v>0.04738</v>
      </c>
      <c r="K3056" s="19" t="str">
        <f>IFERROR(__xludf.DUMMYFUNCTION("""COMPUTED_VALUE"""),"-")</f>
        <v>-</v>
      </c>
      <c r="L3056" s="19" t="str">
        <f>IFERROR(__xludf.DUMMYFUNCTION("""COMPUTED_VALUE"""),"-")</f>
        <v>-</v>
      </c>
      <c r="O3056" s="24">
        <f t="shared" si="4"/>
        <v>0</v>
      </c>
      <c r="P3056" s="24"/>
      <c r="Q3056" s="24">
        <f t="shared" si="6"/>
        <v>0</v>
      </c>
      <c r="R3056" s="24">
        <f t="shared" si="7"/>
        <v>0</v>
      </c>
      <c r="S3056" s="24"/>
      <c r="T3056" s="24"/>
    </row>
    <row r="3057">
      <c r="A3057" s="12" t="s">
        <v>3144</v>
      </c>
      <c r="F3057" s="19">
        <f>IFERROR(__xludf.DUMMYFUNCTION("SPLIT(A3053, "" |"")"),3051.0)</f>
        <v>3051</v>
      </c>
      <c r="G3057" s="19">
        <f>IFERROR(__xludf.DUMMYFUNCTION("""COMPUTED_VALUE"""),0.00236)</f>
        <v>0.00236</v>
      </c>
      <c r="H3057" s="19" t="str">
        <f>IFERROR(__xludf.DUMMYFUNCTION("""COMPUTED_VALUE"""),"-")</f>
        <v>-</v>
      </c>
      <c r="I3057" s="19">
        <f>IFERROR(__xludf.DUMMYFUNCTION("""COMPUTED_VALUE"""),0.00223)</f>
        <v>0.00223</v>
      </c>
      <c r="J3057" s="19">
        <f>IFERROR(__xludf.DUMMYFUNCTION("""COMPUTED_VALUE"""),0.04747)</f>
        <v>0.04747</v>
      </c>
      <c r="K3057" s="19" t="str">
        <f>IFERROR(__xludf.DUMMYFUNCTION("""COMPUTED_VALUE"""),"-")</f>
        <v>-</v>
      </c>
      <c r="L3057" s="19" t="str">
        <f>IFERROR(__xludf.DUMMYFUNCTION("""COMPUTED_VALUE"""),"-")</f>
        <v>-</v>
      </c>
      <c r="O3057" s="24">
        <f t="shared" si="4"/>
        <v>0</v>
      </c>
      <c r="P3057" s="24"/>
      <c r="Q3057" s="24">
        <f t="shared" si="6"/>
        <v>0</v>
      </c>
      <c r="R3057" s="24">
        <f t="shared" si="7"/>
        <v>0</v>
      </c>
      <c r="S3057" s="24"/>
      <c r="T3057" s="24"/>
    </row>
    <row r="3058">
      <c r="A3058" s="12" t="s">
        <v>3145</v>
      </c>
      <c r="F3058" s="19">
        <f>IFERROR(__xludf.DUMMYFUNCTION("SPLIT(A3054, "" |"")"),3052.0)</f>
        <v>3052</v>
      </c>
      <c r="G3058" s="19">
        <f>IFERROR(__xludf.DUMMYFUNCTION("""COMPUTED_VALUE"""),0.00233)</f>
        <v>0.00233</v>
      </c>
      <c r="H3058" s="19" t="str">
        <f>IFERROR(__xludf.DUMMYFUNCTION("""COMPUTED_VALUE"""),"-")</f>
        <v>-</v>
      </c>
      <c r="I3058" s="19">
        <f>IFERROR(__xludf.DUMMYFUNCTION("""COMPUTED_VALUE"""),0.0022)</f>
        <v>0.0022</v>
      </c>
      <c r="J3058" s="19">
        <f>IFERROR(__xludf.DUMMYFUNCTION("""COMPUTED_VALUE"""),0.04742)</f>
        <v>0.04742</v>
      </c>
      <c r="K3058" s="19" t="str">
        <f>IFERROR(__xludf.DUMMYFUNCTION("""COMPUTED_VALUE"""),"-")</f>
        <v>-</v>
      </c>
      <c r="L3058" s="19" t="str">
        <f>IFERROR(__xludf.DUMMYFUNCTION("""COMPUTED_VALUE"""),"-")</f>
        <v>-</v>
      </c>
      <c r="O3058" s="24">
        <f t="shared" si="4"/>
        <v>0</v>
      </c>
      <c r="P3058" s="24"/>
      <c r="Q3058" s="24">
        <f t="shared" si="6"/>
        <v>0</v>
      </c>
      <c r="R3058" s="24">
        <f t="shared" si="7"/>
        <v>0</v>
      </c>
      <c r="S3058" s="24"/>
      <c r="T3058" s="24"/>
    </row>
    <row r="3059">
      <c r="A3059" s="12" t="s">
        <v>3146</v>
      </c>
      <c r="F3059" s="19">
        <f>IFERROR(__xludf.DUMMYFUNCTION("SPLIT(A3055, "" |"")"),3053.0)</f>
        <v>3053</v>
      </c>
      <c r="G3059" s="19">
        <f>IFERROR(__xludf.DUMMYFUNCTION("""COMPUTED_VALUE"""),0.00231)</f>
        <v>0.00231</v>
      </c>
      <c r="H3059" s="19" t="str">
        <f>IFERROR(__xludf.DUMMYFUNCTION("""COMPUTED_VALUE"""),"-")</f>
        <v>-</v>
      </c>
      <c r="I3059" s="19">
        <f>IFERROR(__xludf.DUMMYFUNCTION("""COMPUTED_VALUE"""),0.00224)</f>
        <v>0.00224</v>
      </c>
      <c r="J3059" s="19">
        <f>IFERROR(__xludf.DUMMYFUNCTION("""COMPUTED_VALUE"""),0.04749)</f>
        <v>0.04749</v>
      </c>
      <c r="K3059" s="19" t="str">
        <f>IFERROR(__xludf.DUMMYFUNCTION("""COMPUTED_VALUE"""),"-")</f>
        <v>-</v>
      </c>
      <c r="L3059" s="19" t="str">
        <f>IFERROR(__xludf.DUMMYFUNCTION("""COMPUTED_VALUE"""),"-")</f>
        <v>-</v>
      </c>
      <c r="O3059" s="24">
        <f t="shared" si="4"/>
        <v>0</v>
      </c>
      <c r="P3059" s="24"/>
      <c r="Q3059" s="24">
        <f t="shared" si="6"/>
        <v>0</v>
      </c>
      <c r="R3059" s="24">
        <f t="shared" si="7"/>
        <v>0</v>
      </c>
      <c r="S3059" s="24"/>
      <c r="T3059" s="24"/>
    </row>
    <row r="3060">
      <c r="A3060" s="12" t="s">
        <v>3147</v>
      </c>
      <c r="F3060" s="19">
        <f>IFERROR(__xludf.DUMMYFUNCTION("SPLIT(A3056, "" |"")"),3054.0)</f>
        <v>3054</v>
      </c>
      <c r="G3060" s="19">
        <f>IFERROR(__xludf.DUMMYFUNCTION("""COMPUTED_VALUE"""),0.00239)</f>
        <v>0.00239</v>
      </c>
      <c r="H3060" s="19" t="str">
        <f>IFERROR(__xludf.DUMMYFUNCTION("""COMPUTED_VALUE"""),"-")</f>
        <v>-</v>
      </c>
      <c r="I3060" s="19">
        <f>IFERROR(__xludf.DUMMYFUNCTION("""COMPUTED_VALUE"""),0.00221)</f>
        <v>0.00221</v>
      </c>
      <c r="J3060" s="19">
        <f>IFERROR(__xludf.DUMMYFUNCTION("""COMPUTED_VALUE"""),0.04743)</f>
        <v>0.04743</v>
      </c>
      <c r="K3060" s="19" t="str">
        <f>IFERROR(__xludf.DUMMYFUNCTION("""COMPUTED_VALUE"""),"-")</f>
        <v>-</v>
      </c>
      <c r="L3060" s="19" t="str">
        <f>IFERROR(__xludf.DUMMYFUNCTION("""COMPUTED_VALUE"""),"-")</f>
        <v>-</v>
      </c>
      <c r="O3060" s="24">
        <f t="shared" si="4"/>
        <v>0</v>
      </c>
      <c r="P3060" s="24"/>
      <c r="Q3060" s="24">
        <f t="shared" si="6"/>
        <v>0</v>
      </c>
      <c r="R3060" s="24">
        <f t="shared" si="7"/>
        <v>0</v>
      </c>
      <c r="S3060" s="24"/>
      <c r="T3060" s="24"/>
    </row>
    <row r="3061">
      <c r="A3061" s="12" t="s">
        <v>3148</v>
      </c>
      <c r="F3061" s="19">
        <f>IFERROR(__xludf.DUMMYFUNCTION("SPLIT(A3057, "" |"")"),3055.0)</f>
        <v>3055</v>
      </c>
      <c r="G3061" s="19">
        <f>IFERROR(__xludf.DUMMYFUNCTION("""COMPUTED_VALUE"""),0.00235)</f>
        <v>0.00235</v>
      </c>
      <c r="H3061" s="19" t="str">
        <f>IFERROR(__xludf.DUMMYFUNCTION("""COMPUTED_VALUE"""),"-")</f>
        <v>-</v>
      </c>
      <c r="I3061" s="19">
        <f>IFERROR(__xludf.DUMMYFUNCTION("""COMPUTED_VALUE"""),0.00222)</f>
        <v>0.00222</v>
      </c>
      <c r="J3061" s="19">
        <f>IFERROR(__xludf.DUMMYFUNCTION("""COMPUTED_VALUE"""),0.04745)</f>
        <v>0.04745</v>
      </c>
      <c r="K3061" s="19" t="str">
        <f>IFERROR(__xludf.DUMMYFUNCTION("""COMPUTED_VALUE"""),"-")</f>
        <v>-</v>
      </c>
      <c r="L3061" s="19" t="str">
        <f>IFERROR(__xludf.DUMMYFUNCTION("""COMPUTED_VALUE"""),"-")</f>
        <v>-</v>
      </c>
      <c r="O3061" s="24">
        <f t="shared" si="4"/>
        <v>0</v>
      </c>
      <c r="P3061" s="24"/>
      <c r="Q3061" s="24">
        <f t="shared" si="6"/>
        <v>0</v>
      </c>
      <c r="R3061" s="24">
        <f t="shared" si="7"/>
        <v>0</v>
      </c>
      <c r="S3061" s="24"/>
      <c r="T3061" s="24"/>
    </row>
    <row r="3062">
      <c r="A3062" s="12" t="s">
        <v>3149</v>
      </c>
      <c r="F3062" s="19">
        <f>IFERROR(__xludf.DUMMYFUNCTION("SPLIT(A3058, "" |"")"),3056.0)</f>
        <v>3056</v>
      </c>
      <c r="G3062" s="19">
        <f>IFERROR(__xludf.DUMMYFUNCTION("""COMPUTED_VALUE"""),0.00242)</f>
        <v>0.00242</v>
      </c>
      <c r="H3062" s="19" t="str">
        <f>IFERROR(__xludf.DUMMYFUNCTION("""COMPUTED_VALUE"""),"-")</f>
        <v>-</v>
      </c>
      <c r="I3062" s="19">
        <f>IFERROR(__xludf.DUMMYFUNCTION("""COMPUTED_VALUE"""),0.00218)</f>
        <v>0.00218</v>
      </c>
      <c r="J3062" s="19">
        <f>IFERROR(__xludf.DUMMYFUNCTION("""COMPUTED_VALUE"""),0.04102)</f>
        <v>0.04102</v>
      </c>
      <c r="K3062" s="19" t="str">
        <f>IFERROR(__xludf.DUMMYFUNCTION("""COMPUTED_VALUE"""),"-")</f>
        <v>-</v>
      </c>
      <c r="L3062" s="19" t="str">
        <f>IFERROR(__xludf.DUMMYFUNCTION("""COMPUTED_VALUE"""),"-")</f>
        <v>-</v>
      </c>
      <c r="O3062" s="24">
        <f t="shared" si="4"/>
        <v>0</v>
      </c>
      <c r="P3062" s="24"/>
      <c r="Q3062" s="24">
        <f t="shared" si="6"/>
        <v>0</v>
      </c>
      <c r="R3062" s="24">
        <f t="shared" si="7"/>
        <v>1</v>
      </c>
      <c r="S3062" s="24"/>
      <c r="T3062" s="24"/>
    </row>
    <row r="3063">
      <c r="A3063" s="12" t="s">
        <v>3150</v>
      </c>
      <c r="F3063" s="19">
        <f>IFERROR(__xludf.DUMMYFUNCTION("SPLIT(A3059, "" |"")"),3057.0)</f>
        <v>3057</v>
      </c>
      <c r="G3063" s="19">
        <f>IFERROR(__xludf.DUMMYFUNCTION("""COMPUTED_VALUE"""),0.0023)</f>
        <v>0.0023</v>
      </c>
      <c r="H3063" s="19" t="str">
        <f>IFERROR(__xludf.DUMMYFUNCTION("""COMPUTED_VALUE"""),"-")</f>
        <v>-</v>
      </c>
      <c r="I3063" s="19">
        <f>IFERROR(__xludf.DUMMYFUNCTION("""COMPUTED_VALUE"""),0.0022)</f>
        <v>0.0022</v>
      </c>
      <c r="J3063" s="19">
        <f>IFERROR(__xludf.DUMMYFUNCTION("""COMPUTED_VALUE"""),0.04741)</f>
        <v>0.04741</v>
      </c>
      <c r="K3063" s="19" t="str">
        <f>IFERROR(__xludf.DUMMYFUNCTION("""COMPUTED_VALUE"""),"-")</f>
        <v>-</v>
      </c>
      <c r="L3063" s="19" t="str">
        <f>IFERROR(__xludf.DUMMYFUNCTION("""COMPUTED_VALUE"""),"-")</f>
        <v>-</v>
      </c>
      <c r="O3063" s="24">
        <f t="shared" si="4"/>
        <v>0</v>
      </c>
      <c r="P3063" s="24"/>
      <c r="Q3063" s="24">
        <f t="shared" si="6"/>
        <v>0</v>
      </c>
      <c r="R3063" s="24">
        <f t="shared" si="7"/>
        <v>0</v>
      </c>
      <c r="S3063" s="24"/>
      <c r="T3063" s="24"/>
    </row>
    <row r="3064">
      <c r="A3064" s="12" t="s">
        <v>3151</v>
      </c>
      <c r="F3064" s="19">
        <f>IFERROR(__xludf.DUMMYFUNCTION("SPLIT(A3060, "" |"")"),3058.0)</f>
        <v>3058</v>
      </c>
      <c r="G3064" s="19">
        <f>IFERROR(__xludf.DUMMYFUNCTION("""COMPUTED_VALUE"""),0.00238)</f>
        <v>0.00238</v>
      </c>
      <c r="H3064" s="19" t="str">
        <f>IFERROR(__xludf.DUMMYFUNCTION("""COMPUTED_VALUE"""),"-")</f>
        <v>-</v>
      </c>
      <c r="I3064" s="19">
        <f>IFERROR(__xludf.DUMMYFUNCTION("""COMPUTED_VALUE"""),0.00224)</f>
        <v>0.00224</v>
      </c>
      <c r="J3064" s="19">
        <f>IFERROR(__xludf.DUMMYFUNCTION("""COMPUTED_VALUE"""),0.04739)</f>
        <v>0.04739</v>
      </c>
      <c r="K3064" s="19" t="str">
        <f>IFERROR(__xludf.DUMMYFUNCTION("""COMPUTED_VALUE"""),"-")</f>
        <v>-</v>
      </c>
      <c r="L3064" s="19" t="str">
        <f>IFERROR(__xludf.DUMMYFUNCTION("""COMPUTED_VALUE"""),"-")</f>
        <v>-</v>
      </c>
      <c r="O3064" s="24">
        <f t="shared" si="4"/>
        <v>0</v>
      </c>
      <c r="P3064" s="24"/>
      <c r="Q3064" s="24">
        <f t="shared" si="6"/>
        <v>0</v>
      </c>
      <c r="R3064" s="24">
        <f t="shared" si="7"/>
        <v>0</v>
      </c>
      <c r="S3064" s="24"/>
      <c r="T3064" s="24"/>
    </row>
    <row r="3065">
      <c r="A3065" s="12" t="s">
        <v>3152</v>
      </c>
      <c r="F3065" s="19">
        <f>IFERROR(__xludf.DUMMYFUNCTION("SPLIT(A3061, "" |"")"),3059.0)</f>
        <v>3059</v>
      </c>
      <c r="G3065" s="19">
        <f>IFERROR(__xludf.DUMMYFUNCTION("""COMPUTED_VALUE"""),0.00238)</f>
        <v>0.00238</v>
      </c>
      <c r="H3065" s="19" t="str">
        <f>IFERROR(__xludf.DUMMYFUNCTION("""COMPUTED_VALUE"""),"-")</f>
        <v>-</v>
      </c>
      <c r="I3065" s="19">
        <f>IFERROR(__xludf.DUMMYFUNCTION("""COMPUTED_VALUE"""),0.00224)</f>
        <v>0.00224</v>
      </c>
      <c r="J3065" s="19">
        <f>IFERROR(__xludf.DUMMYFUNCTION("""COMPUTED_VALUE"""),0.04746)</f>
        <v>0.04746</v>
      </c>
      <c r="K3065" s="19" t="str">
        <f>IFERROR(__xludf.DUMMYFUNCTION("""COMPUTED_VALUE"""),"-")</f>
        <v>-</v>
      </c>
      <c r="L3065" s="19" t="str">
        <f>IFERROR(__xludf.DUMMYFUNCTION("""COMPUTED_VALUE"""),"-")</f>
        <v>-</v>
      </c>
      <c r="O3065" s="24">
        <f t="shared" si="4"/>
        <v>0</v>
      </c>
      <c r="P3065" s="24"/>
      <c r="Q3065" s="24">
        <f t="shared" si="6"/>
        <v>0</v>
      </c>
      <c r="R3065" s="24">
        <f t="shared" si="7"/>
        <v>0</v>
      </c>
      <c r="S3065" s="24"/>
      <c r="T3065" s="24"/>
    </row>
    <row r="3066">
      <c r="A3066" s="12" t="s">
        <v>3153</v>
      </c>
      <c r="F3066" s="19">
        <f>IFERROR(__xludf.DUMMYFUNCTION("SPLIT(A3062, "" |"")"),3060.0)</f>
        <v>3060</v>
      </c>
      <c r="G3066" s="19">
        <f>IFERROR(__xludf.DUMMYFUNCTION("""COMPUTED_VALUE"""),0.00239)</f>
        <v>0.00239</v>
      </c>
      <c r="H3066" s="19" t="str">
        <f>IFERROR(__xludf.DUMMYFUNCTION("""COMPUTED_VALUE"""),"-")</f>
        <v>-</v>
      </c>
      <c r="I3066" s="19">
        <f>IFERROR(__xludf.DUMMYFUNCTION("""COMPUTED_VALUE"""),0.0022)</f>
        <v>0.0022</v>
      </c>
      <c r="J3066" s="19">
        <f>IFERROR(__xludf.DUMMYFUNCTION("""COMPUTED_VALUE"""),0.04741)</f>
        <v>0.04741</v>
      </c>
      <c r="K3066" s="19" t="str">
        <f>IFERROR(__xludf.DUMMYFUNCTION("""COMPUTED_VALUE"""),"-")</f>
        <v>-</v>
      </c>
      <c r="L3066" s="19" t="str">
        <f>IFERROR(__xludf.DUMMYFUNCTION("""COMPUTED_VALUE"""),"-")</f>
        <v>-</v>
      </c>
      <c r="O3066" s="24">
        <f t="shared" si="4"/>
        <v>0</v>
      </c>
      <c r="P3066" s="24"/>
      <c r="Q3066" s="24">
        <f t="shared" si="6"/>
        <v>0</v>
      </c>
      <c r="R3066" s="24">
        <f t="shared" si="7"/>
        <v>0</v>
      </c>
      <c r="S3066" s="24"/>
      <c r="T3066" s="24"/>
    </row>
    <row r="3067">
      <c r="A3067" s="12" t="s">
        <v>3154</v>
      </c>
      <c r="F3067" s="19">
        <f>IFERROR(__xludf.DUMMYFUNCTION("SPLIT(A3063, "" |"")"),3061.0)</f>
        <v>3061</v>
      </c>
      <c r="G3067" s="19">
        <f>IFERROR(__xludf.DUMMYFUNCTION("""COMPUTED_VALUE"""),0.00226)</f>
        <v>0.00226</v>
      </c>
      <c r="H3067" s="19" t="str">
        <f>IFERROR(__xludf.DUMMYFUNCTION("""COMPUTED_VALUE"""),"-")</f>
        <v>-</v>
      </c>
      <c r="I3067" s="19">
        <f>IFERROR(__xludf.DUMMYFUNCTION("""COMPUTED_VALUE"""),0.00223)</f>
        <v>0.00223</v>
      </c>
      <c r="J3067" s="19">
        <f>IFERROR(__xludf.DUMMYFUNCTION("""COMPUTED_VALUE"""),0.04741)</f>
        <v>0.04741</v>
      </c>
      <c r="K3067" s="19" t="str">
        <f>IFERROR(__xludf.DUMMYFUNCTION("""COMPUTED_VALUE"""),"-")</f>
        <v>-</v>
      </c>
      <c r="L3067" s="19" t="str">
        <f>IFERROR(__xludf.DUMMYFUNCTION("""COMPUTED_VALUE"""),"-")</f>
        <v>-</v>
      </c>
      <c r="O3067" s="24">
        <f t="shared" si="4"/>
        <v>0</v>
      </c>
      <c r="P3067" s="24"/>
      <c r="Q3067" s="24">
        <f t="shared" si="6"/>
        <v>0</v>
      </c>
      <c r="R3067" s="24">
        <f t="shared" si="7"/>
        <v>0</v>
      </c>
      <c r="S3067" s="24"/>
      <c r="T3067" s="24"/>
    </row>
    <row r="3068">
      <c r="A3068" s="12" t="s">
        <v>3155</v>
      </c>
      <c r="F3068" s="19">
        <f>IFERROR(__xludf.DUMMYFUNCTION("SPLIT(A3064, "" |"")"),3062.0)</f>
        <v>3062</v>
      </c>
      <c r="G3068" s="19">
        <f>IFERROR(__xludf.DUMMYFUNCTION("""COMPUTED_VALUE"""),0.00233)</f>
        <v>0.00233</v>
      </c>
      <c r="H3068" s="19" t="str">
        <f>IFERROR(__xludf.DUMMYFUNCTION("""COMPUTED_VALUE"""),"-")</f>
        <v>-</v>
      </c>
      <c r="I3068" s="19">
        <f>IFERROR(__xludf.DUMMYFUNCTION("""COMPUTED_VALUE"""),0.00217)</f>
        <v>0.00217</v>
      </c>
      <c r="J3068" s="19">
        <f>IFERROR(__xludf.DUMMYFUNCTION("""COMPUTED_VALUE"""),0.04745)</f>
        <v>0.04745</v>
      </c>
      <c r="K3068" s="19" t="str">
        <f>IFERROR(__xludf.DUMMYFUNCTION("""COMPUTED_VALUE"""),"-")</f>
        <v>-</v>
      </c>
      <c r="L3068" s="19" t="str">
        <f>IFERROR(__xludf.DUMMYFUNCTION("""COMPUTED_VALUE"""),"-")</f>
        <v>-</v>
      </c>
      <c r="O3068" s="24">
        <f t="shared" si="4"/>
        <v>0</v>
      </c>
      <c r="P3068" s="24"/>
      <c r="Q3068" s="24">
        <f t="shared" si="6"/>
        <v>0</v>
      </c>
      <c r="R3068" s="24">
        <f t="shared" si="7"/>
        <v>0</v>
      </c>
      <c r="S3068" s="24"/>
      <c r="T3068" s="24"/>
    </row>
    <row r="3069">
      <c r="A3069" s="12" t="s">
        <v>3156</v>
      </c>
      <c r="F3069" s="19">
        <f>IFERROR(__xludf.DUMMYFUNCTION("SPLIT(A3065, "" |"")"),3063.0)</f>
        <v>3063</v>
      </c>
      <c r="G3069" s="19">
        <f>IFERROR(__xludf.DUMMYFUNCTION("""COMPUTED_VALUE"""),0.00233)</f>
        <v>0.00233</v>
      </c>
      <c r="H3069" s="19" t="str">
        <f>IFERROR(__xludf.DUMMYFUNCTION("""COMPUTED_VALUE"""),"-")</f>
        <v>-</v>
      </c>
      <c r="I3069" s="19">
        <f>IFERROR(__xludf.DUMMYFUNCTION("""COMPUTED_VALUE"""),0.00221)</f>
        <v>0.00221</v>
      </c>
      <c r="J3069" s="19">
        <f>IFERROR(__xludf.DUMMYFUNCTION("""COMPUTED_VALUE"""),0.04738)</f>
        <v>0.04738</v>
      </c>
      <c r="K3069" s="19" t="str">
        <f>IFERROR(__xludf.DUMMYFUNCTION("""COMPUTED_VALUE"""),"-")</f>
        <v>-</v>
      </c>
      <c r="L3069" s="19" t="str">
        <f>IFERROR(__xludf.DUMMYFUNCTION("""COMPUTED_VALUE"""),"-")</f>
        <v>-</v>
      </c>
      <c r="O3069" s="24">
        <f t="shared" si="4"/>
        <v>0</v>
      </c>
      <c r="P3069" s="24"/>
      <c r="Q3069" s="24">
        <f t="shared" si="6"/>
        <v>0</v>
      </c>
      <c r="R3069" s="24">
        <f t="shared" si="7"/>
        <v>0</v>
      </c>
      <c r="S3069" s="24"/>
      <c r="T3069" s="24"/>
    </row>
    <row r="3070">
      <c r="A3070" s="12" t="s">
        <v>3157</v>
      </c>
      <c r="F3070" s="19">
        <f>IFERROR(__xludf.DUMMYFUNCTION("SPLIT(A3066, "" |"")"),3064.0)</f>
        <v>3064</v>
      </c>
      <c r="G3070" s="19">
        <f>IFERROR(__xludf.DUMMYFUNCTION("""COMPUTED_VALUE"""),0.00233)</f>
        <v>0.00233</v>
      </c>
      <c r="H3070" s="19" t="str">
        <f>IFERROR(__xludf.DUMMYFUNCTION("""COMPUTED_VALUE"""),"-")</f>
        <v>-</v>
      </c>
      <c r="I3070" s="19">
        <f>IFERROR(__xludf.DUMMYFUNCTION("""COMPUTED_VALUE"""),0.00223)</f>
        <v>0.00223</v>
      </c>
      <c r="J3070" s="19">
        <f>IFERROR(__xludf.DUMMYFUNCTION("""COMPUTED_VALUE"""),0.04746)</f>
        <v>0.04746</v>
      </c>
      <c r="K3070" s="19" t="str">
        <f>IFERROR(__xludf.DUMMYFUNCTION("""COMPUTED_VALUE"""),"-")</f>
        <v>-</v>
      </c>
      <c r="L3070" s="19" t="str">
        <f>IFERROR(__xludf.DUMMYFUNCTION("""COMPUTED_VALUE"""),"-")</f>
        <v>-</v>
      </c>
      <c r="O3070" s="24">
        <f t="shared" si="4"/>
        <v>0</v>
      </c>
      <c r="P3070" s="24"/>
      <c r="Q3070" s="24">
        <f t="shared" si="6"/>
        <v>0</v>
      </c>
      <c r="R3070" s="24">
        <f t="shared" si="7"/>
        <v>0</v>
      </c>
      <c r="S3070" s="24"/>
      <c r="T3070" s="24"/>
    </row>
    <row r="3071">
      <c r="A3071" s="12" t="s">
        <v>3158</v>
      </c>
      <c r="F3071" s="19">
        <f>IFERROR(__xludf.DUMMYFUNCTION("SPLIT(A3067, "" |"")"),3065.0)</f>
        <v>3065</v>
      </c>
      <c r="G3071" s="19">
        <f>IFERROR(__xludf.DUMMYFUNCTION("""COMPUTED_VALUE"""),0.00242)</f>
        <v>0.00242</v>
      </c>
      <c r="H3071" s="19" t="str">
        <f>IFERROR(__xludf.DUMMYFUNCTION("""COMPUTED_VALUE"""),"-")</f>
        <v>-</v>
      </c>
      <c r="I3071" s="19">
        <f>IFERROR(__xludf.DUMMYFUNCTION("""COMPUTED_VALUE"""),0.00218)</f>
        <v>0.00218</v>
      </c>
      <c r="J3071" s="19">
        <f>IFERROR(__xludf.DUMMYFUNCTION("""COMPUTED_VALUE"""),0.03881)</f>
        <v>0.03881</v>
      </c>
      <c r="K3071" s="19" t="str">
        <f>IFERROR(__xludf.DUMMYFUNCTION("""COMPUTED_VALUE"""),"-")</f>
        <v>-</v>
      </c>
      <c r="L3071" s="19" t="str">
        <f>IFERROR(__xludf.DUMMYFUNCTION("""COMPUTED_VALUE"""),"-")</f>
        <v>-</v>
      </c>
      <c r="O3071" s="24">
        <f t="shared" si="4"/>
        <v>0</v>
      </c>
      <c r="P3071" s="24"/>
      <c r="Q3071" s="24">
        <f t="shared" si="6"/>
        <v>0</v>
      </c>
      <c r="R3071" s="24">
        <f t="shared" si="7"/>
        <v>1</v>
      </c>
      <c r="S3071" s="24"/>
      <c r="T3071" s="24"/>
    </row>
    <row r="3072">
      <c r="A3072" s="12" t="s">
        <v>3159</v>
      </c>
      <c r="F3072" s="19">
        <f>IFERROR(__xludf.DUMMYFUNCTION("SPLIT(A3068, "" |"")"),3066.0)</f>
        <v>3066</v>
      </c>
      <c r="G3072" s="19">
        <f>IFERROR(__xludf.DUMMYFUNCTION("""COMPUTED_VALUE"""),0.00235)</f>
        <v>0.00235</v>
      </c>
      <c r="H3072" s="19" t="str">
        <f>IFERROR(__xludf.DUMMYFUNCTION("""COMPUTED_VALUE"""),"-")</f>
        <v>-</v>
      </c>
      <c r="I3072" s="19">
        <f>IFERROR(__xludf.DUMMYFUNCTION("""COMPUTED_VALUE"""),0.00219)</f>
        <v>0.00219</v>
      </c>
      <c r="J3072" s="19">
        <f>IFERROR(__xludf.DUMMYFUNCTION("""COMPUTED_VALUE"""),0.04744)</f>
        <v>0.04744</v>
      </c>
      <c r="K3072" s="19" t="str">
        <f>IFERROR(__xludf.DUMMYFUNCTION("""COMPUTED_VALUE"""),"-")</f>
        <v>-</v>
      </c>
      <c r="L3072" s="19" t="str">
        <f>IFERROR(__xludf.DUMMYFUNCTION("""COMPUTED_VALUE"""),"-")</f>
        <v>-</v>
      </c>
      <c r="O3072" s="24">
        <f t="shared" si="4"/>
        <v>0</v>
      </c>
      <c r="P3072" s="24"/>
      <c r="Q3072" s="24">
        <f t="shared" si="6"/>
        <v>0</v>
      </c>
      <c r="R3072" s="24">
        <f t="shared" si="7"/>
        <v>0</v>
      </c>
      <c r="S3072" s="24"/>
      <c r="T3072" s="24"/>
    </row>
    <row r="3073">
      <c r="A3073" s="12" t="s">
        <v>3160</v>
      </c>
      <c r="F3073" s="19">
        <f>IFERROR(__xludf.DUMMYFUNCTION("SPLIT(A3069, "" |"")"),3067.0)</f>
        <v>3067</v>
      </c>
      <c r="G3073" s="19">
        <f>IFERROR(__xludf.DUMMYFUNCTION("""COMPUTED_VALUE"""),0.00231)</f>
        <v>0.00231</v>
      </c>
      <c r="H3073" s="19" t="str">
        <f>IFERROR(__xludf.DUMMYFUNCTION("""COMPUTED_VALUE"""),"-")</f>
        <v>-</v>
      </c>
      <c r="I3073" s="19">
        <f>IFERROR(__xludf.DUMMYFUNCTION("""COMPUTED_VALUE"""),0.00222)</f>
        <v>0.00222</v>
      </c>
      <c r="J3073" s="19">
        <f>IFERROR(__xludf.DUMMYFUNCTION("""COMPUTED_VALUE"""),0.04747)</f>
        <v>0.04747</v>
      </c>
      <c r="K3073" s="19" t="str">
        <f>IFERROR(__xludf.DUMMYFUNCTION("""COMPUTED_VALUE"""),"-")</f>
        <v>-</v>
      </c>
      <c r="L3073" s="19" t="str">
        <f>IFERROR(__xludf.DUMMYFUNCTION("""COMPUTED_VALUE"""),"-")</f>
        <v>-</v>
      </c>
      <c r="O3073" s="24">
        <f t="shared" si="4"/>
        <v>0</v>
      </c>
      <c r="P3073" s="24"/>
      <c r="Q3073" s="24">
        <f t="shared" si="6"/>
        <v>0</v>
      </c>
      <c r="R3073" s="24">
        <f t="shared" si="7"/>
        <v>0</v>
      </c>
      <c r="S3073" s="24"/>
      <c r="T3073" s="24"/>
    </row>
    <row r="3074">
      <c r="A3074" s="12" t="s">
        <v>3161</v>
      </c>
      <c r="F3074" s="19">
        <f>IFERROR(__xludf.DUMMYFUNCTION("SPLIT(A3070, "" |"")"),3068.0)</f>
        <v>3068</v>
      </c>
      <c r="G3074" s="19">
        <f>IFERROR(__xludf.DUMMYFUNCTION("""COMPUTED_VALUE"""),0.00242)</f>
        <v>0.00242</v>
      </c>
      <c r="H3074" s="19" t="str">
        <f>IFERROR(__xludf.DUMMYFUNCTION("""COMPUTED_VALUE"""),"-")</f>
        <v>-</v>
      </c>
      <c r="I3074" s="19">
        <f>IFERROR(__xludf.DUMMYFUNCTION("""COMPUTED_VALUE"""),0.00212)</f>
        <v>0.00212</v>
      </c>
      <c r="J3074" s="19">
        <f>IFERROR(__xludf.DUMMYFUNCTION("""COMPUTED_VALUE"""),0.04742)</f>
        <v>0.04742</v>
      </c>
      <c r="K3074" s="19" t="str">
        <f>IFERROR(__xludf.DUMMYFUNCTION("""COMPUTED_VALUE"""),"-")</f>
        <v>-</v>
      </c>
      <c r="L3074" s="19" t="str">
        <f>IFERROR(__xludf.DUMMYFUNCTION("""COMPUTED_VALUE"""),"-")</f>
        <v>-</v>
      </c>
      <c r="O3074" s="24">
        <f t="shared" si="4"/>
        <v>0</v>
      </c>
      <c r="P3074" s="24"/>
      <c r="Q3074" s="24">
        <f t="shared" si="6"/>
        <v>0</v>
      </c>
      <c r="R3074" s="24">
        <f t="shared" si="7"/>
        <v>0</v>
      </c>
      <c r="S3074" s="24"/>
      <c r="T3074" s="24"/>
    </row>
    <row r="3075">
      <c r="A3075" s="12" t="s">
        <v>3162</v>
      </c>
      <c r="F3075" s="19">
        <f>IFERROR(__xludf.DUMMYFUNCTION("SPLIT(A3071, "" |"")"),3069.0)</f>
        <v>3069</v>
      </c>
      <c r="G3075" s="19">
        <f>IFERROR(__xludf.DUMMYFUNCTION("""COMPUTED_VALUE"""),0.0022)</f>
        <v>0.0022</v>
      </c>
      <c r="H3075" s="19" t="str">
        <f>IFERROR(__xludf.DUMMYFUNCTION("""COMPUTED_VALUE"""),"-")</f>
        <v>-</v>
      </c>
      <c r="I3075" s="19">
        <f>IFERROR(__xludf.DUMMYFUNCTION("""COMPUTED_VALUE"""),0.00209)</f>
        <v>0.00209</v>
      </c>
      <c r="J3075" s="19">
        <f>IFERROR(__xludf.DUMMYFUNCTION("""COMPUTED_VALUE"""),0.0473)</f>
        <v>0.0473</v>
      </c>
      <c r="K3075" s="19" t="str">
        <f>IFERROR(__xludf.DUMMYFUNCTION("""COMPUTED_VALUE"""),"-")</f>
        <v>-</v>
      </c>
      <c r="L3075" s="19" t="str">
        <f>IFERROR(__xludf.DUMMYFUNCTION("""COMPUTED_VALUE"""),"-")</f>
        <v>-</v>
      </c>
      <c r="O3075" s="24">
        <f t="shared" si="4"/>
        <v>0</v>
      </c>
      <c r="P3075" s="24"/>
      <c r="Q3075" s="24">
        <f t="shared" si="6"/>
        <v>0</v>
      </c>
      <c r="R3075" s="24">
        <f t="shared" si="7"/>
        <v>0</v>
      </c>
      <c r="S3075" s="24"/>
      <c r="T3075" s="24"/>
    </row>
    <row r="3076">
      <c r="A3076" s="12" t="s">
        <v>3163</v>
      </c>
      <c r="F3076" s="19">
        <f>IFERROR(__xludf.DUMMYFUNCTION("SPLIT(A3072, "" |"")"),3070.0)</f>
        <v>3070</v>
      </c>
      <c r="G3076" s="19">
        <f>IFERROR(__xludf.DUMMYFUNCTION("""COMPUTED_VALUE"""),0.00224)</f>
        <v>0.00224</v>
      </c>
      <c r="H3076" s="19" t="str">
        <f>IFERROR(__xludf.DUMMYFUNCTION("""COMPUTED_VALUE"""),"-")</f>
        <v>-</v>
      </c>
      <c r="I3076" s="19">
        <f>IFERROR(__xludf.DUMMYFUNCTION("""COMPUTED_VALUE"""),0.00209)</f>
        <v>0.00209</v>
      </c>
      <c r="J3076" s="19">
        <f>IFERROR(__xludf.DUMMYFUNCTION("""COMPUTED_VALUE"""),0.04732)</f>
        <v>0.04732</v>
      </c>
      <c r="K3076" s="19" t="str">
        <f>IFERROR(__xludf.DUMMYFUNCTION("""COMPUTED_VALUE"""),"-")</f>
        <v>-</v>
      </c>
      <c r="L3076" s="19" t="str">
        <f>IFERROR(__xludf.DUMMYFUNCTION("""COMPUTED_VALUE"""),"-")</f>
        <v>-</v>
      </c>
      <c r="O3076" s="24">
        <f t="shared" si="4"/>
        <v>0</v>
      </c>
      <c r="P3076" s="24"/>
      <c r="Q3076" s="24">
        <f t="shared" si="6"/>
        <v>0</v>
      </c>
      <c r="R3076" s="24">
        <f t="shared" si="7"/>
        <v>0</v>
      </c>
      <c r="S3076" s="24"/>
      <c r="T3076" s="24"/>
    </row>
    <row r="3077">
      <c r="A3077" s="12" t="s">
        <v>3164</v>
      </c>
      <c r="F3077" s="19">
        <f>IFERROR(__xludf.DUMMYFUNCTION("SPLIT(A3073, "" |"")"),3071.0)</f>
        <v>3071</v>
      </c>
      <c r="G3077" s="19">
        <f>IFERROR(__xludf.DUMMYFUNCTION("""COMPUTED_VALUE"""),0.00232)</f>
        <v>0.00232</v>
      </c>
      <c r="H3077" s="19" t="str">
        <f>IFERROR(__xludf.DUMMYFUNCTION("""COMPUTED_VALUE"""),"-")</f>
        <v>-</v>
      </c>
      <c r="I3077" s="19">
        <f>IFERROR(__xludf.DUMMYFUNCTION("""COMPUTED_VALUE"""),0.00219)</f>
        <v>0.00219</v>
      </c>
      <c r="J3077" s="19">
        <f>IFERROR(__xludf.DUMMYFUNCTION("""COMPUTED_VALUE"""),0.04752)</f>
        <v>0.04752</v>
      </c>
      <c r="K3077" s="19" t="str">
        <f>IFERROR(__xludf.DUMMYFUNCTION("""COMPUTED_VALUE"""),"-")</f>
        <v>-</v>
      </c>
      <c r="L3077" s="19" t="str">
        <f>IFERROR(__xludf.DUMMYFUNCTION("""COMPUTED_VALUE"""),"-")</f>
        <v>-</v>
      </c>
      <c r="O3077" s="24">
        <f t="shared" si="4"/>
        <v>0</v>
      </c>
      <c r="P3077" s="24"/>
      <c r="Q3077" s="24">
        <f t="shared" si="6"/>
        <v>0</v>
      </c>
      <c r="R3077" s="24">
        <f t="shared" si="7"/>
        <v>0</v>
      </c>
      <c r="S3077" s="24"/>
      <c r="T3077" s="24"/>
    </row>
    <row r="3078">
      <c r="A3078" s="12" t="s">
        <v>3165</v>
      </c>
      <c r="F3078" s="19">
        <f>IFERROR(__xludf.DUMMYFUNCTION("SPLIT(A3074, "" |"")"),3072.0)</f>
        <v>3072</v>
      </c>
      <c r="G3078" s="19">
        <f>IFERROR(__xludf.DUMMYFUNCTION("""COMPUTED_VALUE"""),0.00242)</f>
        <v>0.00242</v>
      </c>
      <c r="H3078" s="19" t="str">
        <f>IFERROR(__xludf.DUMMYFUNCTION("""COMPUTED_VALUE"""),"-")</f>
        <v>-</v>
      </c>
      <c r="I3078" s="19">
        <f>IFERROR(__xludf.DUMMYFUNCTION("""COMPUTED_VALUE"""),0.00226)</f>
        <v>0.00226</v>
      </c>
      <c r="J3078" s="19">
        <f>IFERROR(__xludf.DUMMYFUNCTION("""COMPUTED_VALUE"""),0.04738)</f>
        <v>0.04738</v>
      </c>
      <c r="K3078" s="19" t="str">
        <f>IFERROR(__xludf.DUMMYFUNCTION("""COMPUTED_VALUE"""),"-")</f>
        <v>-</v>
      </c>
      <c r="L3078" s="19" t="str">
        <f>IFERROR(__xludf.DUMMYFUNCTION("""COMPUTED_VALUE"""),"-")</f>
        <v>-</v>
      </c>
      <c r="O3078" s="24">
        <f t="shared" si="4"/>
        <v>0</v>
      </c>
      <c r="P3078" s="24"/>
      <c r="Q3078" s="24">
        <f t="shared" si="6"/>
        <v>0</v>
      </c>
      <c r="R3078" s="24">
        <f t="shared" si="7"/>
        <v>0</v>
      </c>
      <c r="S3078" s="24"/>
      <c r="T3078" s="24"/>
    </row>
    <row r="3079">
      <c r="A3079" s="12" t="s">
        <v>3166</v>
      </c>
      <c r="F3079" s="19">
        <f>IFERROR(__xludf.DUMMYFUNCTION("SPLIT(A3075, "" |"")"),3073.0)</f>
        <v>3073</v>
      </c>
      <c r="G3079" s="19">
        <f>IFERROR(__xludf.DUMMYFUNCTION("""COMPUTED_VALUE"""),0.00223)</f>
        <v>0.00223</v>
      </c>
      <c r="H3079" s="19" t="str">
        <f>IFERROR(__xludf.DUMMYFUNCTION("""COMPUTED_VALUE"""),"-")</f>
        <v>-</v>
      </c>
      <c r="I3079" s="19">
        <f>IFERROR(__xludf.DUMMYFUNCTION("""COMPUTED_VALUE"""),0.00212)</f>
        <v>0.00212</v>
      </c>
      <c r="J3079" s="19">
        <f>IFERROR(__xludf.DUMMYFUNCTION("""COMPUTED_VALUE"""),0.0474)</f>
        <v>0.0474</v>
      </c>
      <c r="K3079" s="19" t="str">
        <f>IFERROR(__xludf.DUMMYFUNCTION("""COMPUTED_VALUE"""),"-")</f>
        <v>-</v>
      </c>
      <c r="L3079" s="19" t="str">
        <f>IFERROR(__xludf.DUMMYFUNCTION("""COMPUTED_VALUE"""),"-")</f>
        <v>-</v>
      </c>
      <c r="O3079" s="24">
        <f t="shared" si="4"/>
        <v>0</v>
      </c>
      <c r="P3079" s="24"/>
      <c r="Q3079" s="24">
        <f t="shared" si="6"/>
        <v>0</v>
      </c>
      <c r="R3079" s="24">
        <f t="shared" si="7"/>
        <v>0</v>
      </c>
      <c r="S3079" s="24"/>
      <c r="T3079" s="24"/>
    </row>
    <row r="3080">
      <c r="A3080" s="12" t="s">
        <v>3167</v>
      </c>
      <c r="F3080" s="19">
        <f>IFERROR(__xludf.DUMMYFUNCTION("SPLIT(A3076, "" |"")"),3074.0)</f>
        <v>3074</v>
      </c>
      <c r="G3080" s="19">
        <f>IFERROR(__xludf.DUMMYFUNCTION("""COMPUTED_VALUE"""),0.00234)</f>
        <v>0.00234</v>
      </c>
      <c r="H3080" s="19" t="str">
        <f>IFERROR(__xludf.DUMMYFUNCTION("""COMPUTED_VALUE"""),"-")</f>
        <v>-</v>
      </c>
      <c r="I3080" s="19">
        <f>IFERROR(__xludf.DUMMYFUNCTION("""COMPUTED_VALUE"""),0.00219)</f>
        <v>0.00219</v>
      </c>
      <c r="J3080" s="19">
        <f>IFERROR(__xludf.DUMMYFUNCTION("""COMPUTED_VALUE"""),0.04746)</f>
        <v>0.04746</v>
      </c>
      <c r="K3080" s="19" t="str">
        <f>IFERROR(__xludf.DUMMYFUNCTION("""COMPUTED_VALUE"""),"-")</f>
        <v>-</v>
      </c>
      <c r="L3080" s="19" t="str">
        <f>IFERROR(__xludf.DUMMYFUNCTION("""COMPUTED_VALUE"""),"-")</f>
        <v>-</v>
      </c>
      <c r="O3080" s="24">
        <f t="shared" si="4"/>
        <v>0</v>
      </c>
      <c r="P3080" s="24"/>
      <c r="Q3080" s="24">
        <f t="shared" si="6"/>
        <v>0</v>
      </c>
      <c r="R3080" s="24">
        <f t="shared" si="7"/>
        <v>0</v>
      </c>
      <c r="S3080" s="24"/>
      <c r="T3080" s="24"/>
    </row>
    <row r="3081">
      <c r="A3081" s="12" t="s">
        <v>3168</v>
      </c>
      <c r="F3081" s="19">
        <f>IFERROR(__xludf.DUMMYFUNCTION("SPLIT(A3077, "" |"")"),3075.0)</f>
        <v>3075</v>
      </c>
      <c r="G3081" s="19">
        <f>IFERROR(__xludf.DUMMYFUNCTION("""COMPUTED_VALUE"""),0.00233)</f>
        <v>0.00233</v>
      </c>
      <c r="H3081" s="19" t="str">
        <f>IFERROR(__xludf.DUMMYFUNCTION("""COMPUTED_VALUE"""),"-")</f>
        <v>-</v>
      </c>
      <c r="I3081" s="19">
        <f>IFERROR(__xludf.DUMMYFUNCTION("""COMPUTED_VALUE"""),0.00218)</f>
        <v>0.00218</v>
      </c>
      <c r="J3081" s="19">
        <f>IFERROR(__xludf.DUMMYFUNCTION("""COMPUTED_VALUE"""),0.04739)</f>
        <v>0.04739</v>
      </c>
      <c r="K3081" s="19" t="str">
        <f>IFERROR(__xludf.DUMMYFUNCTION("""COMPUTED_VALUE"""),"-")</f>
        <v>-</v>
      </c>
      <c r="L3081" s="19" t="str">
        <f>IFERROR(__xludf.DUMMYFUNCTION("""COMPUTED_VALUE"""),"-")</f>
        <v>-</v>
      </c>
      <c r="O3081" s="24">
        <f t="shared" si="4"/>
        <v>0</v>
      </c>
      <c r="P3081" s="24"/>
      <c r="Q3081" s="24">
        <f t="shared" si="6"/>
        <v>0</v>
      </c>
      <c r="R3081" s="24">
        <f t="shared" si="7"/>
        <v>0</v>
      </c>
      <c r="S3081" s="24"/>
      <c r="T3081" s="24"/>
    </row>
    <row r="3082">
      <c r="A3082" s="12" t="s">
        <v>3169</v>
      </c>
      <c r="F3082" s="19">
        <f>IFERROR(__xludf.DUMMYFUNCTION("SPLIT(A3078, "" |"")"),3076.0)</f>
        <v>3076</v>
      </c>
      <c r="G3082" s="19">
        <f>IFERROR(__xludf.DUMMYFUNCTION("""COMPUTED_VALUE"""),0.00247)</f>
        <v>0.00247</v>
      </c>
      <c r="H3082" s="19" t="str">
        <f>IFERROR(__xludf.DUMMYFUNCTION("""COMPUTED_VALUE"""),"-")</f>
        <v>-</v>
      </c>
      <c r="I3082" s="19">
        <f>IFERROR(__xludf.DUMMYFUNCTION("""COMPUTED_VALUE"""),0.00216)</f>
        <v>0.00216</v>
      </c>
      <c r="J3082" s="19">
        <f>IFERROR(__xludf.DUMMYFUNCTION("""COMPUTED_VALUE"""),0.04749)</f>
        <v>0.04749</v>
      </c>
      <c r="K3082" s="19" t="str">
        <f>IFERROR(__xludf.DUMMYFUNCTION("""COMPUTED_VALUE"""),"-")</f>
        <v>-</v>
      </c>
      <c r="L3082" s="19" t="str">
        <f>IFERROR(__xludf.DUMMYFUNCTION("""COMPUTED_VALUE"""),"-")</f>
        <v>-</v>
      </c>
      <c r="O3082" s="24">
        <f t="shared" si="4"/>
        <v>0</v>
      </c>
      <c r="P3082" s="24"/>
      <c r="Q3082" s="24">
        <f t="shared" si="6"/>
        <v>0</v>
      </c>
      <c r="R3082" s="24">
        <f t="shared" si="7"/>
        <v>0</v>
      </c>
      <c r="S3082" s="24"/>
      <c r="T3082" s="24"/>
    </row>
    <row r="3083">
      <c r="A3083" s="12" t="s">
        <v>3170</v>
      </c>
      <c r="F3083" s="19">
        <f>IFERROR(__xludf.DUMMYFUNCTION("SPLIT(A3079, "" |"")"),3077.0)</f>
        <v>3077</v>
      </c>
      <c r="G3083" s="19">
        <f>IFERROR(__xludf.DUMMYFUNCTION("""COMPUTED_VALUE"""),0.00233)</f>
        <v>0.00233</v>
      </c>
      <c r="H3083" s="19" t="str">
        <f>IFERROR(__xludf.DUMMYFUNCTION("""COMPUTED_VALUE"""),"-")</f>
        <v>-</v>
      </c>
      <c r="I3083" s="19">
        <f>IFERROR(__xludf.DUMMYFUNCTION("""COMPUTED_VALUE"""),0.00219)</f>
        <v>0.00219</v>
      </c>
      <c r="J3083" s="19">
        <f>IFERROR(__xludf.DUMMYFUNCTION("""COMPUTED_VALUE"""),0.04738)</f>
        <v>0.04738</v>
      </c>
      <c r="K3083" s="19" t="str">
        <f>IFERROR(__xludf.DUMMYFUNCTION("""COMPUTED_VALUE"""),"-")</f>
        <v>-</v>
      </c>
      <c r="L3083" s="19" t="str">
        <f>IFERROR(__xludf.DUMMYFUNCTION("""COMPUTED_VALUE"""),"-")</f>
        <v>-</v>
      </c>
      <c r="O3083" s="24">
        <f t="shared" si="4"/>
        <v>0</v>
      </c>
      <c r="P3083" s="24"/>
      <c r="Q3083" s="24">
        <f t="shared" si="6"/>
        <v>0</v>
      </c>
      <c r="R3083" s="24">
        <f t="shared" si="7"/>
        <v>0</v>
      </c>
      <c r="S3083" s="24"/>
      <c r="T3083" s="24"/>
    </row>
    <row r="3084">
      <c r="A3084" s="12" t="s">
        <v>3171</v>
      </c>
      <c r="F3084" s="19">
        <f>IFERROR(__xludf.DUMMYFUNCTION("SPLIT(A3080, "" |"")"),3078.0)</f>
        <v>3078</v>
      </c>
      <c r="G3084" s="19">
        <f>IFERROR(__xludf.DUMMYFUNCTION("""COMPUTED_VALUE"""),0.00232)</f>
        <v>0.00232</v>
      </c>
      <c r="H3084" s="19" t="str">
        <f>IFERROR(__xludf.DUMMYFUNCTION("""COMPUTED_VALUE"""),"-")</f>
        <v>-</v>
      </c>
      <c r="I3084" s="19">
        <f>IFERROR(__xludf.DUMMYFUNCTION("""COMPUTED_VALUE"""),0.00226)</f>
        <v>0.00226</v>
      </c>
      <c r="J3084" s="19">
        <f>IFERROR(__xludf.DUMMYFUNCTION("""COMPUTED_VALUE"""),0.04746)</f>
        <v>0.04746</v>
      </c>
      <c r="K3084" s="19" t="str">
        <f>IFERROR(__xludf.DUMMYFUNCTION("""COMPUTED_VALUE"""),"-")</f>
        <v>-</v>
      </c>
      <c r="L3084" s="19" t="str">
        <f>IFERROR(__xludf.DUMMYFUNCTION("""COMPUTED_VALUE"""),"-")</f>
        <v>-</v>
      </c>
      <c r="O3084" s="24">
        <f t="shared" si="4"/>
        <v>0</v>
      </c>
      <c r="P3084" s="24"/>
      <c r="Q3084" s="24">
        <f t="shared" si="6"/>
        <v>0</v>
      </c>
      <c r="R3084" s="24">
        <f t="shared" si="7"/>
        <v>0</v>
      </c>
      <c r="S3084" s="24"/>
      <c r="T3084" s="24"/>
    </row>
    <row r="3085">
      <c r="A3085" s="12" t="s">
        <v>3172</v>
      </c>
      <c r="F3085" s="19">
        <f>IFERROR(__xludf.DUMMYFUNCTION("SPLIT(A3081, "" |"")"),3079.0)</f>
        <v>3079</v>
      </c>
      <c r="G3085" s="19">
        <f>IFERROR(__xludf.DUMMYFUNCTION("""COMPUTED_VALUE"""),0.00232)</f>
        <v>0.00232</v>
      </c>
      <c r="H3085" s="19" t="str">
        <f>IFERROR(__xludf.DUMMYFUNCTION("""COMPUTED_VALUE"""),"-")</f>
        <v>-</v>
      </c>
      <c r="I3085" s="19">
        <f>IFERROR(__xludf.DUMMYFUNCTION("""COMPUTED_VALUE"""),0.00222)</f>
        <v>0.00222</v>
      </c>
      <c r="J3085" s="19">
        <f>IFERROR(__xludf.DUMMYFUNCTION("""COMPUTED_VALUE"""),0.04736)</f>
        <v>0.04736</v>
      </c>
      <c r="K3085" s="19" t="str">
        <f>IFERROR(__xludf.DUMMYFUNCTION("""COMPUTED_VALUE"""),"-")</f>
        <v>-</v>
      </c>
      <c r="L3085" s="19" t="str">
        <f>IFERROR(__xludf.DUMMYFUNCTION("""COMPUTED_VALUE"""),"-")</f>
        <v>-</v>
      </c>
      <c r="O3085" s="24">
        <f t="shared" si="4"/>
        <v>0</v>
      </c>
      <c r="P3085" s="24"/>
      <c r="Q3085" s="24">
        <f t="shared" si="6"/>
        <v>0</v>
      </c>
      <c r="R3085" s="24">
        <f t="shared" si="7"/>
        <v>0</v>
      </c>
      <c r="S3085" s="24"/>
      <c r="T3085" s="24"/>
    </row>
    <row r="3086">
      <c r="A3086" s="12" t="s">
        <v>3173</v>
      </c>
      <c r="F3086" s="19">
        <f>IFERROR(__xludf.DUMMYFUNCTION("SPLIT(A3082, "" |"")"),3080.0)</f>
        <v>3080</v>
      </c>
      <c r="G3086" s="19">
        <f>IFERROR(__xludf.DUMMYFUNCTION("""COMPUTED_VALUE"""),0.00237)</f>
        <v>0.00237</v>
      </c>
      <c r="H3086" s="19" t="str">
        <f>IFERROR(__xludf.DUMMYFUNCTION("""COMPUTED_VALUE"""),"-")</f>
        <v>-</v>
      </c>
      <c r="I3086" s="19">
        <f>IFERROR(__xludf.DUMMYFUNCTION("""COMPUTED_VALUE"""),0.00219)</f>
        <v>0.00219</v>
      </c>
      <c r="J3086" s="19">
        <f>IFERROR(__xludf.DUMMYFUNCTION("""COMPUTED_VALUE"""),0.04383)</f>
        <v>0.04383</v>
      </c>
      <c r="K3086" s="19" t="str">
        <f>IFERROR(__xludf.DUMMYFUNCTION("""COMPUTED_VALUE"""),"-")</f>
        <v>-</v>
      </c>
      <c r="L3086" s="19" t="str">
        <f>IFERROR(__xludf.DUMMYFUNCTION("""COMPUTED_VALUE"""),"-")</f>
        <v>-</v>
      </c>
      <c r="O3086" s="24">
        <f t="shared" si="4"/>
        <v>0</v>
      </c>
      <c r="P3086" s="24"/>
      <c r="Q3086" s="24">
        <f t="shared" si="6"/>
        <v>0</v>
      </c>
      <c r="R3086" s="24">
        <f t="shared" si="7"/>
        <v>1</v>
      </c>
      <c r="S3086" s="24"/>
      <c r="T3086" s="24"/>
    </row>
    <row r="3087">
      <c r="A3087" s="12" t="s">
        <v>3174</v>
      </c>
      <c r="F3087" s="19">
        <f>IFERROR(__xludf.DUMMYFUNCTION("SPLIT(A3083, "" |"")"),3081.0)</f>
        <v>3081</v>
      </c>
      <c r="G3087" s="19">
        <f>IFERROR(__xludf.DUMMYFUNCTION("""COMPUTED_VALUE"""),0.00244)</f>
        <v>0.00244</v>
      </c>
      <c r="H3087" s="19" t="str">
        <f>IFERROR(__xludf.DUMMYFUNCTION("""COMPUTED_VALUE"""),"-")</f>
        <v>-</v>
      </c>
      <c r="I3087" s="19">
        <f>IFERROR(__xludf.DUMMYFUNCTION("""COMPUTED_VALUE"""),0.00229)</f>
        <v>0.00229</v>
      </c>
      <c r="J3087" s="19">
        <f>IFERROR(__xludf.DUMMYFUNCTION("""COMPUTED_VALUE"""),0.04754)</f>
        <v>0.04754</v>
      </c>
      <c r="K3087" s="19" t="str">
        <f>IFERROR(__xludf.DUMMYFUNCTION("""COMPUTED_VALUE"""),"-")</f>
        <v>-</v>
      </c>
      <c r="L3087" s="19" t="str">
        <f>IFERROR(__xludf.DUMMYFUNCTION("""COMPUTED_VALUE"""),"-")</f>
        <v>-</v>
      </c>
      <c r="O3087" s="24">
        <f t="shared" si="4"/>
        <v>0</v>
      </c>
      <c r="P3087" s="24"/>
      <c r="Q3087" s="24">
        <f t="shared" si="6"/>
        <v>0</v>
      </c>
      <c r="R3087" s="24">
        <f t="shared" si="7"/>
        <v>0</v>
      </c>
      <c r="S3087" s="24"/>
      <c r="T3087" s="24"/>
    </row>
    <row r="3088">
      <c r="A3088" s="12" t="s">
        <v>3175</v>
      </c>
      <c r="F3088" s="19">
        <f>IFERROR(__xludf.DUMMYFUNCTION("SPLIT(A3084, "" |"")"),3082.0)</f>
        <v>3082</v>
      </c>
      <c r="G3088" s="19">
        <f>IFERROR(__xludf.DUMMYFUNCTION("""COMPUTED_VALUE"""),0.00233)</f>
        <v>0.00233</v>
      </c>
      <c r="H3088" s="19" t="str">
        <f>IFERROR(__xludf.DUMMYFUNCTION("""COMPUTED_VALUE"""),"-")</f>
        <v>-</v>
      </c>
      <c r="I3088" s="19">
        <f>IFERROR(__xludf.DUMMYFUNCTION("""COMPUTED_VALUE"""),0.00223)</f>
        <v>0.00223</v>
      </c>
      <c r="J3088" s="19">
        <f>IFERROR(__xludf.DUMMYFUNCTION("""COMPUTED_VALUE"""),0.04742)</f>
        <v>0.04742</v>
      </c>
      <c r="K3088" s="19" t="str">
        <f>IFERROR(__xludf.DUMMYFUNCTION("""COMPUTED_VALUE"""),"-")</f>
        <v>-</v>
      </c>
      <c r="L3088" s="19" t="str">
        <f>IFERROR(__xludf.DUMMYFUNCTION("""COMPUTED_VALUE"""),"-")</f>
        <v>-</v>
      </c>
      <c r="O3088" s="24">
        <f t="shared" si="4"/>
        <v>0</v>
      </c>
      <c r="P3088" s="24"/>
      <c r="Q3088" s="24">
        <f t="shared" si="6"/>
        <v>0</v>
      </c>
      <c r="R3088" s="24">
        <f t="shared" si="7"/>
        <v>0</v>
      </c>
      <c r="S3088" s="24"/>
      <c r="T3088" s="24"/>
    </row>
    <row r="3089">
      <c r="A3089" s="12" t="s">
        <v>3176</v>
      </c>
      <c r="F3089" s="19">
        <f>IFERROR(__xludf.DUMMYFUNCTION("SPLIT(A3085, "" |"")"),3083.0)</f>
        <v>3083</v>
      </c>
      <c r="G3089" s="19">
        <f>IFERROR(__xludf.DUMMYFUNCTION("""COMPUTED_VALUE"""),0.00231)</f>
        <v>0.00231</v>
      </c>
      <c r="H3089" s="19" t="str">
        <f>IFERROR(__xludf.DUMMYFUNCTION("""COMPUTED_VALUE"""),"-")</f>
        <v>-</v>
      </c>
      <c r="I3089" s="19">
        <f>IFERROR(__xludf.DUMMYFUNCTION("""COMPUTED_VALUE"""),0.00224)</f>
        <v>0.00224</v>
      </c>
      <c r="J3089" s="19">
        <f>IFERROR(__xludf.DUMMYFUNCTION("""COMPUTED_VALUE"""),0.04743)</f>
        <v>0.04743</v>
      </c>
      <c r="K3089" s="19" t="str">
        <f>IFERROR(__xludf.DUMMYFUNCTION("""COMPUTED_VALUE"""),"-")</f>
        <v>-</v>
      </c>
      <c r="L3089" s="19" t="str">
        <f>IFERROR(__xludf.DUMMYFUNCTION("""COMPUTED_VALUE"""),"-")</f>
        <v>-</v>
      </c>
      <c r="O3089" s="24">
        <f t="shared" si="4"/>
        <v>0</v>
      </c>
      <c r="P3089" s="24"/>
      <c r="Q3089" s="24">
        <f t="shared" si="6"/>
        <v>0</v>
      </c>
      <c r="R3089" s="24">
        <f t="shared" si="7"/>
        <v>0</v>
      </c>
      <c r="S3089" s="24"/>
      <c r="T3089" s="24"/>
    </row>
    <row r="3090">
      <c r="A3090" s="12" t="s">
        <v>3177</v>
      </c>
      <c r="F3090" s="19">
        <f>IFERROR(__xludf.DUMMYFUNCTION("SPLIT(A3086, "" |"")"),3084.0)</f>
        <v>3084</v>
      </c>
      <c r="G3090" s="19">
        <f>IFERROR(__xludf.DUMMYFUNCTION("""COMPUTED_VALUE"""),0.00223)</f>
        <v>0.00223</v>
      </c>
      <c r="H3090" s="19" t="str">
        <f>IFERROR(__xludf.DUMMYFUNCTION("""COMPUTED_VALUE"""),"-")</f>
        <v>-</v>
      </c>
      <c r="I3090" s="19">
        <f>IFERROR(__xludf.DUMMYFUNCTION("""COMPUTED_VALUE"""),0.00215)</f>
        <v>0.00215</v>
      </c>
      <c r="J3090" s="19">
        <f>IFERROR(__xludf.DUMMYFUNCTION("""COMPUTED_VALUE"""),0.04736)</f>
        <v>0.04736</v>
      </c>
      <c r="K3090" s="19" t="str">
        <f>IFERROR(__xludf.DUMMYFUNCTION("""COMPUTED_VALUE"""),"-")</f>
        <v>-</v>
      </c>
      <c r="L3090" s="19" t="str">
        <f>IFERROR(__xludf.DUMMYFUNCTION("""COMPUTED_VALUE"""),"-")</f>
        <v>-</v>
      </c>
      <c r="O3090" s="24">
        <f t="shared" si="4"/>
        <v>0</v>
      </c>
      <c r="P3090" s="24"/>
      <c r="Q3090" s="24">
        <f t="shared" si="6"/>
        <v>0</v>
      </c>
      <c r="R3090" s="24">
        <f t="shared" si="7"/>
        <v>0</v>
      </c>
      <c r="S3090" s="24"/>
      <c r="T3090" s="24"/>
    </row>
    <row r="3091">
      <c r="A3091" s="12" t="s">
        <v>3178</v>
      </c>
      <c r="F3091" s="19">
        <f>IFERROR(__xludf.DUMMYFUNCTION("SPLIT(A3087, "" |"")"),3085.0)</f>
        <v>3085</v>
      </c>
      <c r="G3091" s="19">
        <f>IFERROR(__xludf.DUMMYFUNCTION("""COMPUTED_VALUE"""),0.00234)</f>
        <v>0.00234</v>
      </c>
      <c r="H3091" s="19" t="str">
        <f>IFERROR(__xludf.DUMMYFUNCTION("""COMPUTED_VALUE"""),"-")</f>
        <v>-</v>
      </c>
      <c r="I3091" s="19">
        <f>IFERROR(__xludf.DUMMYFUNCTION("""COMPUTED_VALUE"""),0.00225)</f>
        <v>0.00225</v>
      </c>
      <c r="J3091" s="19">
        <f>IFERROR(__xludf.DUMMYFUNCTION("""COMPUTED_VALUE"""),0.04736)</f>
        <v>0.04736</v>
      </c>
      <c r="K3091" s="19" t="str">
        <f>IFERROR(__xludf.DUMMYFUNCTION("""COMPUTED_VALUE"""),"-")</f>
        <v>-</v>
      </c>
      <c r="L3091" s="19" t="str">
        <f>IFERROR(__xludf.DUMMYFUNCTION("""COMPUTED_VALUE"""),"-")</f>
        <v>-</v>
      </c>
      <c r="O3091" s="24">
        <f t="shared" si="4"/>
        <v>0</v>
      </c>
      <c r="P3091" s="24"/>
      <c r="Q3091" s="24">
        <f t="shared" si="6"/>
        <v>0</v>
      </c>
      <c r="R3091" s="24">
        <f t="shared" si="7"/>
        <v>0</v>
      </c>
      <c r="S3091" s="24"/>
      <c r="T3091" s="24"/>
    </row>
    <row r="3092">
      <c r="A3092" s="12" t="s">
        <v>3179</v>
      </c>
      <c r="F3092" s="19">
        <f>IFERROR(__xludf.DUMMYFUNCTION("SPLIT(A3088, "" |"")"),3086.0)</f>
        <v>3086</v>
      </c>
      <c r="G3092" s="19">
        <f>IFERROR(__xludf.DUMMYFUNCTION("""COMPUTED_VALUE"""),0.00233)</f>
        <v>0.00233</v>
      </c>
      <c r="H3092" s="19" t="str">
        <f>IFERROR(__xludf.DUMMYFUNCTION("""COMPUTED_VALUE"""),"-")</f>
        <v>-</v>
      </c>
      <c r="I3092" s="19">
        <f>IFERROR(__xludf.DUMMYFUNCTION("""COMPUTED_VALUE"""),0.00222)</f>
        <v>0.00222</v>
      </c>
      <c r="J3092" s="19">
        <f>IFERROR(__xludf.DUMMYFUNCTION("""COMPUTED_VALUE"""),0.04741)</f>
        <v>0.04741</v>
      </c>
      <c r="K3092" s="19" t="str">
        <f>IFERROR(__xludf.DUMMYFUNCTION("""COMPUTED_VALUE"""),"-")</f>
        <v>-</v>
      </c>
      <c r="L3092" s="19" t="str">
        <f>IFERROR(__xludf.DUMMYFUNCTION("""COMPUTED_VALUE"""),"-")</f>
        <v>-</v>
      </c>
      <c r="O3092" s="24">
        <f t="shared" si="4"/>
        <v>0</v>
      </c>
      <c r="P3092" s="24"/>
      <c r="Q3092" s="24">
        <f t="shared" si="6"/>
        <v>0</v>
      </c>
      <c r="R3092" s="24">
        <f t="shared" si="7"/>
        <v>0</v>
      </c>
      <c r="S3092" s="24"/>
      <c r="T3092" s="24"/>
    </row>
    <row r="3093">
      <c r="A3093" s="12" t="s">
        <v>3180</v>
      </c>
      <c r="F3093" s="19">
        <f>IFERROR(__xludf.DUMMYFUNCTION("SPLIT(A3089, "" |"")"),3087.0)</f>
        <v>3087</v>
      </c>
      <c r="G3093" s="19">
        <f>IFERROR(__xludf.DUMMYFUNCTION("""COMPUTED_VALUE"""),0.0024)</f>
        <v>0.0024</v>
      </c>
      <c r="H3093" s="19" t="str">
        <f>IFERROR(__xludf.DUMMYFUNCTION("""COMPUTED_VALUE"""),"-")</f>
        <v>-</v>
      </c>
      <c r="I3093" s="19">
        <f>IFERROR(__xludf.DUMMYFUNCTION("""COMPUTED_VALUE"""),0.00227)</f>
        <v>0.00227</v>
      </c>
      <c r="J3093" s="19">
        <f>IFERROR(__xludf.DUMMYFUNCTION("""COMPUTED_VALUE"""),0.04748)</f>
        <v>0.04748</v>
      </c>
      <c r="K3093" s="19" t="str">
        <f>IFERROR(__xludf.DUMMYFUNCTION("""COMPUTED_VALUE"""),"-")</f>
        <v>-</v>
      </c>
      <c r="L3093" s="19" t="str">
        <f>IFERROR(__xludf.DUMMYFUNCTION("""COMPUTED_VALUE"""),"-")</f>
        <v>-</v>
      </c>
      <c r="O3093" s="24">
        <f t="shared" si="4"/>
        <v>0</v>
      </c>
      <c r="P3093" s="24"/>
      <c r="Q3093" s="24">
        <f t="shared" si="6"/>
        <v>0</v>
      </c>
      <c r="R3093" s="24">
        <f t="shared" si="7"/>
        <v>0</v>
      </c>
      <c r="S3093" s="24"/>
      <c r="T3093" s="24"/>
    </row>
    <row r="3094">
      <c r="A3094" s="12" t="s">
        <v>3181</v>
      </c>
      <c r="F3094" s="19">
        <f>IFERROR(__xludf.DUMMYFUNCTION("SPLIT(A3090, "" |"")"),3088.0)</f>
        <v>3088</v>
      </c>
      <c r="G3094" s="19">
        <f>IFERROR(__xludf.DUMMYFUNCTION("""COMPUTED_VALUE"""),0.00236)</f>
        <v>0.00236</v>
      </c>
      <c r="H3094" s="19" t="str">
        <f>IFERROR(__xludf.DUMMYFUNCTION("""COMPUTED_VALUE"""),"-")</f>
        <v>-</v>
      </c>
      <c r="I3094" s="19">
        <f>IFERROR(__xludf.DUMMYFUNCTION("""COMPUTED_VALUE"""),0.00221)</f>
        <v>0.00221</v>
      </c>
      <c r="J3094" s="19">
        <f>IFERROR(__xludf.DUMMYFUNCTION("""COMPUTED_VALUE"""),0.04747)</f>
        <v>0.04747</v>
      </c>
      <c r="K3094" s="19" t="str">
        <f>IFERROR(__xludf.DUMMYFUNCTION("""COMPUTED_VALUE"""),"-")</f>
        <v>-</v>
      </c>
      <c r="L3094" s="19" t="str">
        <f>IFERROR(__xludf.DUMMYFUNCTION("""COMPUTED_VALUE"""),"-")</f>
        <v>-</v>
      </c>
      <c r="O3094" s="24">
        <f t="shared" si="4"/>
        <v>0</v>
      </c>
      <c r="P3094" s="24"/>
      <c r="Q3094" s="24">
        <f t="shared" si="6"/>
        <v>0</v>
      </c>
      <c r="R3094" s="24">
        <f t="shared" si="7"/>
        <v>0</v>
      </c>
      <c r="S3094" s="24"/>
      <c r="T3094" s="24"/>
    </row>
    <row r="3095">
      <c r="A3095" s="12" t="s">
        <v>3182</v>
      </c>
      <c r="F3095" s="19">
        <f>IFERROR(__xludf.DUMMYFUNCTION("SPLIT(A3091, "" |"")"),3089.0)</f>
        <v>3089</v>
      </c>
      <c r="G3095" s="19">
        <f>IFERROR(__xludf.DUMMYFUNCTION("""COMPUTED_VALUE"""),0.00235)</f>
        <v>0.00235</v>
      </c>
      <c r="H3095" s="19" t="str">
        <f>IFERROR(__xludf.DUMMYFUNCTION("""COMPUTED_VALUE"""),"-")</f>
        <v>-</v>
      </c>
      <c r="I3095" s="19">
        <f>IFERROR(__xludf.DUMMYFUNCTION("""COMPUTED_VALUE"""),0.00221)</f>
        <v>0.00221</v>
      </c>
      <c r="J3095" s="19">
        <f>IFERROR(__xludf.DUMMYFUNCTION("""COMPUTED_VALUE"""),0.04696)</f>
        <v>0.04696</v>
      </c>
      <c r="K3095" s="19" t="str">
        <f>IFERROR(__xludf.DUMMYFUNCTION("""COMPUTED_VALUE"""),"-")</f>
        <v>-</v>
      </c>
      <c r="L3095" s="19" t="str">
        <f>IFERROR(__xludf.DUMMYFUNCTION("""COMPUTED_VALUE"""),"-")</f>
        <v>-</v>
      </c>
      <c r="O3095" s="24">
        <f t="shared" si="4"/>
        <v>0</v>
      </c>
      <c r="P3095" s="24"/>
      <c r="Q3095" s="24">
        <f t="shared" si="6"/>
        <v>0</v>
      </c>
      <c r="R3095" s="24">
        <f t="shared" si="7"/>
        <v>0</v>
      </c>
      <c r="S3095" s="24"/>
      <c r="T3095" s="24"/>
    </row>
    <row r="3096">
      <c r="A3096" s="12" t="s">
        <v>3183</v>
      </c>
      <c r="F3096" s="19">
        <f>IFERROR(__xludf.DUMMYFUNCTION("SPLIT(A3092, "" |"")"),3090.0)</f>
        <v>3090</v>
      </c>
      <c r="G3096" s="19">
        <f>IFERROR(__xludf.DUMMYFUNCTION("""COMPUTED_VALUE"""),0.00249)</f>
        <v>0.00249</v>
      </c>
      <c r="H3096" s="19" t="str">
        <f>IFERROR(__xludf.DUMMYFUNCTION("""COMPUTED_VALUE"""),"-")</f>
        <v>-</v>
      </c>
      <c r="I3096" s="19">
        <f>IFERROR(__xludf.DUMMYFUNCTION("""COMPUTED_VALUE"""),0.00229)</f>
        <v>0.00229</v>
      </c>
      <c r="J3096" s="19">
        <f>IFERROR(__xludf.DUMMYFUNCTION("""COMPUTED_VALUE"""),0.04755)</f>
        <v>0.04755</v>
      </c>
      <c r="K3096" s="19" t="str">
        <f>IFERROR(__xludf.DUMMYFUNCTION("""COMPUTED_VALUE"""),"-")</f>
        <v>-</v>
      </c>
      <c r="L3096" s="19" t="str">
        <f>IFERROR(__xludf.DUMMYFUNCTION("""COMPUTED_VALUE"""),"-")</f>
        <v>-</v>
      </c>
      <c r="O3096" s="24">
        <f t="shared" si="4"/>
        <v>0</v>
      </c>
      <c r="P3096" s="24"/>
      <c r="Q3096" s="24">
        <f t="shared" si="6"/>
        <v>0</v>
      </c>
      <c r="R3096" s="24">
        <f t="shared" si="7"/>
        <v>0</v>
      </c>
      <c r="S3096" s="24"/>
      <c r="T3096" s="24"/>
    </row>
    <row r="3097">
      <c r="A3097" s="12" t="s">
        <v>3184</v>
      </c>
      <c r="F3097" s="19">
        <f>IFERROR(__xludf.DUMMYFUNCTION("SPLIT(A3093, "" |"")"),3091.0)</f>
        <v>3091</v>
      </c>
      <c r="G3097" s="19">
        <f>IFERROR(__xludf.DUMMYFUNCTION("""COMPUTED_VALUE"""),0.00231)</f>
        <v>0.00231</v>
      </c>
      <c r="H3097" s="19" t="str">
        <f>IFERROR(__xludf.DUMMYFUNCTION("""COMPUTED_VALUE"""),"-")</f>
        <v>-</v>
      </c>
      <c r="I3097" s="19">
        <f>IFERROR(__xludf.DUMMYFUNCTION("""COMPUTED_VALUE"""),0.0022)</f>
        <v>0.0022</v>
      </c>
      <c r="J3097" s="19">
        <f>IFERROR(__xludf.DUMMYFUNCTION("""COMPUTED_VALUE"""),0.04061)</f>
        <v>0.04061</v>
      </c>
      <c r="K3097" s="19" t="str">
        <f>IFERROR(__xludf.DUMMYFUNCTION("""COMPUTED_VALUE"""),"-")</f>
        <v>-</v>
      </c>
      <c r="L3097" s="19" t="str">
        <f>IFERROR(__xludf.DUMMYFUNCTION("""COMPUTED_VALUE"""),"-")</f>
        <v>-</v>
      </c>
      <c r="O3097" s="24">
        <f t="shared" si="4"/>
        <v>0</v>
      </c>
      <c r="P3097" s="24"/>
      <c r="Q3097" s="24">
        <f t="shared" si="6"/>
        <v>0</v>
      </c>
      <c r="R3097" s="24">
        <f t="shared" si="7"/>
        <v>1</v>
      </c>
      <c r="S3097" s="24"/>
      <c r="T3097" s="24"/>
    </row>
    <row r="3098">
      <c r="A3098" s="12" t="s">
        <v>3185</v>
      </c>
      <c r="F3098" s="19">
        <f>IFERROR(__xludf.DUMMYFUNCTION("SPLIT(A3094, "" |"")"),3092.0)</f>
        <v>3092</v>
      </c>
      <c r="G3098" s="19">
        <f>IFERROR(__xludf.DUMMYFUNCTION("""COMPUTED_VALUE"""),0.00253)</f>
        <v>0.00253</v>
      </c>
      <c r="H3098" s="19" t="str">
        <f>IFERROR(__xludf.DUMMYFUNCTION("""COMPUTED_VALUE"""),"-")</f>
        <v>-</v>
      </c>
      <c r="I3098" s="19">
        <f>IFERROR(__xludf.DUMMYFUNCTION("""COMPUTED_VALUE"""),0.00236)</f>
        <v>0.00236</v>
      </c>
      <c r="J3098" s="19">
        <f>IFERROR(__xludf.DUMMYFUNCTION("""COMPUTED_VALUE"""),0.04744)</f>
        <v>0.04744</v>
      </c>
      <c r="K3098" s="19" t="str">
        <f>IFERROR(__xludf.DUMMYFUNCTION("""COMPUTED_VALUE"""),"-")</f>
        <v>-</v>
      </c>
      <c r="L3098" s="19" t="str">
        <f>IFERROR(__xludf.DUMMYFUNCTION("""COMPUTED_VALUE"""),"-")</f>
        <v>-</v>
      </c>
      <c r="O3098" s="24">
        <f t="shared" si="4"/>
        <v>0</v>
      </c>
      <c r="P3098" s="24"/>
      <c r="Q3098" s="24">
        <f t="shared" si="6"/>
        <v>0</v>
      </c>
      <c r="R3098" s="24">
        <f t="shared" si="7"/>
        <v>0</v>
      </c>
      <c r="S3098" s="24"/>
      <c r="T3098" s="24"/>
    </row>
    <row r="3099">
      <c r="A3099" s="12" t="s">
        <v>3186</v>
      </c>
      <c r="F3099" s="19">
        <f>IFERROR(__xludf.DUMMYFUNCTION("SPLIT(A3095, "" |"")"),3093.0)</f>
        <v>3093</v>
      </c>
      <c r="G3099" s="19">
        <f>IFERROR(__xludf.DUMMYFUNCTION("""COMPUTED_VALUE"""),0.00238)</f>
        <v>0.00238</v>
      </c>
      <c r="H3099" s="19" t="str">
        <f>IFERROR(__xludf.DUMMYFUNCTION("""COMPUTED_VALUE"""),"-")</f>
        <v>-</v>
      </c>
      <c r="I3099" s="19">
        <f>IFERROR(__xludf.DUMMYFUNCTION("""COMPUTED_VALUE"""),0.00222)</f>
        <v>0.00222</v>
      </c>
      <c r="J3099" s="19">
        <f>IFERROR(__xludf.DUMMYFUNCTION("""COMPUTED_VALUE"""),0.04747)</f>
        <v>0.04747</v>
      </c>
      <c r="K3099" s="19" t="str">
        <f>IFERROR(__xludf.DUMMYFUNCTION("""COMPUTED_VALUE"""),"-")</f>
        <v>-</v>
      </c>
      <c r="L3099" s="19" t="str">
        <f>IFERROR(__xludf.DUMMYFUNCTION("""COMPUTED_VALUE"""),"-")</f>
        <v>-</v>
      </c>
      <c r="O3099" s="24">
        <f t="shared" si="4"/>
        <v>0</v>
      </c>
      <c r="P3099" s="24"/>
      <c r="Q3099" s="24">
        <f t="shared" si="6"/>
        <v>0</v>
      </c>
      <c r="R3099" s="24">
        <f t="shared" si="7"/>
        <v>0</v>
      </c>
      <c r="S3099" s="24"/>
      <c r="T3099" s="24"/>
    </row>
    <row r="3100">
      <c r="A3100" s="12" t="s">
        <v>3187</v>
      </c>
      <c r="F3100" s="19">
        <f>IFERROR(__xludf.DUMMYFUNCTION("SPLIT(A3096, "" |"")"),3094.0)</f>
        <v>3094</v>
      </c>
      <c r="G3100" s="19">
        <f>IFERROR(__xludf.DUMMYFUNCTION("""COMPUTED_VALUE"""),0.00239)</f>
        <v>0.00239</v>
      </c>
      <c r="H3100" s="19" t="str">
        <f>IFERROR(__xludf.DUMMYFUNCTION("""COMPUTED_VALUE"""),"-")</f>
        <v>-</v>
      </c>
      <c r="I3100" s="19">
        <f>IFERROR(__xludf.DUMMYFUNCTION("""COMPUTED_VALUE"""),0.0022)</f>
        <v>0.0022</v>
      </c>
      <c r="J3100" s="19">
        <f>IFERROR(__xludf.DUMMYFUNCTION("""COMPUTED_VALUE"""),0.04749)</f>
        <v>0.04749</v>
      </c>
      <c r="K3100" s="19" t="str">
        <f>IFERROR(__xludf.DUMMYFUNCTION("""COMPUTED_VALUE"""),"-")</f>
        <v>-</v>
      </c>
      <c r="L3100" s="19" t="str">
        <f>IFERROR(__xludf.DUMMYFUNCTION("""COMPUTED_VALUE"""),"-")</f>
        <v>-</v>
      </c>
      <c r="O3100" s="24">
        <f t="shared" si="4"/>
        <v>0</v>
      </c>
      <c r="P3100" s="24"/>
      <c r="Q3100" s="24">
        <f t="shared" si="6"/>
        <v>0</v>
      </c>
      <c r="R3100" s="24">
        <f t="shared" si="7"/>
        <v>0</v>
      </c>
      <c r="S3100" s="24"/>
      <c r="T3100" s="24"/>
    </row>
    <row r="3101">
      <c r="A3101" s="12" t="s">
        <v>3188</v>
      </c>
      <c r="F3101" s="19">
        <f>IFERROR(__xludf.DUMMYFUNCTION("SPLIT(A3097, "" |"")"),3095.0)</f>
        <v>3095</v>
      </c>
      <c r="G3101" s="19">
        <f>IFERROR(__xludf.DUMMYFUNCTION("""COMPUTED_VALUE"""),0.00236)</f>
        <v>0.00236</v>
      </c>
      <c r="H3101" s="19" t="str">
        <f>IFERROR(__xludf.DUMMYFUNCTION("""COMPUTED_VALUE"""),"-")</f>
        <v>-</v>
      </c>
      <c r="I3101" s="19">
        <f>IFERROR(__xludf.DUMMYFUNCTION("""COMPUTED_VALUE"""),0.00223)</f>
        <v>0.00223</v>
      </c>
      <c r="J3101" s="19">
        <f>IFERROR(__xludf.DUMMYFUNCTION("""COMPUTED_VALUE"""),0.04746)</f>
        <v>0.04746</v>
      </c>
      <c r="K3101" s="19" t="str">
        <f>IFERROR(__xludf.DUMMYFUNCTION("""COMPUTED_VALUE"""),"-")</f>
        <v>-</v>
      </c>
      <c r="L3101" s="19" t="str">
        <f>IFERROR(__xludf.DUMMYFUNCTION("""COMPUTED_VALUE"""),"-")</f>
        <v>-</v>
      </c>
      <c r="O3101" s="24">
        <f t="shared" si="4"/>
        <v>0</v>
      </c>
      <c r="P3101" s="24"/>
      <c r="Q3101" s="24">
        <f t="shared" si="6"/>
        <v>0</v>
      </c>
      <c r="R3101" s="24">
        <f t="shared" si="7"/>
        <v>0</v>
      </c>
      <c r="S3101" s="24"/>
      <c r="T3101" s="24"/>
    </row>
    <row r="3102">
      <c r="A3102" s="12" t="s">
        <v>3189</v>
      </c>
      <c r="F3102" s="19">
        <f>IFERROR(__xludf.DUMMYFUNCTION("SPLIT(A3098, "" |"")"),3096.0)</f>
        <v>3096</v>
      </c>
      <c r="G3102" s="19">
        <f>IFERROR(__xludf.DUMMYFUNCTION("""COMPUTED_VALUE"""),0.00242)</f>
        <v>0.00242</v>
      </c>
      <c r="H3102" s="19" t="str">
        <f>IFERROR(__xludf.DUMMYFUNCTION("""COMPUTED_VALUE"""),"-")</f>
        <v>-</v>
      </c>
      <c r="I3102" s="19">
        <f>IFERROR(__xludf.DUMMYFUNCTION("""COMPUTED_VALUE"""),0.00225)</f>
        <v>0.00225</v>
      </c>
      <c r="J3102" s="19">
        <f>IFERROR(__xludf.DUMMYFUNCTION("""COMPUTED_VALUE"""),0.04746)</f>
        <v>0.04746</v>
      </c>
      <c r="K3102" s="19" t="str">
        <f>IFERROR(__xludf.DUMMYFUNCTION("""COMPUTED_VALUE"""),"-")</f>
        <v>-</v>
      </c>
      <c r="L3102" s="19" t="str">
        <f>IFERROR(__xludf.DUMMYFUNCTION("""COMPUTED_VALUE"""),"-")</f>
        <v>-</v>
      </c>
      <c r="O3102" s="24">
        <f t="shared" si="4"/>
        <v>0</v>
      </c>
      <c r="P3102" s="24"/>
      <c r="Q3102" s="24">
        <f t="shared" si="6"/>
        <v>0</v>
      </c>
      <c r="R3102" s="24">
        <f t="shared" si="7"/>
        <v>0</v>
      </c>
      <c r="S3102" s="24"/>
      <c r="T3102" s="24"/>
    </row>
    <row r="3103">
      <c r="A3103" s="12" t="s">
        <v>3190</v>
      </c>
      <c r="F3103" s="19">
        <f>IFERROR(__xludf.DUMMYFUNCTION("SPLIT(A3099, "" |"")"),3097.0)</f>
        <v>3097</v>
      </c>
      <c r="G3103" s="19">
        <f>IFERROR(__xludf.DUMMYFUNCTION("""COMPUTED_VALUE"""),0.00235)</f>
        <v>0.00235</v>
      </c>
      <c r="H3103" s="19" t="str">
        <f>IFERROR(__xludf.DUMMYFUNCTION("""COMPUTED_VALUE"""),"-")</f>
        <v>-</v>
      </c>
      <c r="I3103" s="19">
        <f>IFERROR(__xludf.DUMMYFUNCTION("""COMPUTED_VALUE"""),0.00219)</f>
        <v>0.00219</v>
      </c>
      <c r="J3103" s="19">
        <f>IFERROR(__xludf.DUMMYFUNCTION("""COMPUTED_VALUE"""),0.04745)</f>
        <v>0.04745</v>
      </c>
      <c r="K3103" s="19" t="str">
        <f>IFERROR(__xludf.DUMMYFUNCTION("""COMPUTED_VALUE"""),"-")</f>
        <v>-</v>
      </c>
      <c r="L3103" s="19" t="str">
        <f>IFERROR(__xludf.DUMMYFUNCTION("""COMPUTED_VALUE"""),"-")</f>
        <v>-</v>
      </c>
      <c r="O3103" s="24">
        <f t="shared" si="4"/>
        <v>0</v>
      </c>
      <c r="P3103" s="24"/>
      <c r="Q3103" s="24">
        <f t="shared" si="6"/>
        <v>0</v>
      </c>
      <c r="R3103" s="24">
        <f t="shared" si="7"/>
        <v>0</v>
      </c>
      <c r="S3103" s="24"/>
      <c r="T3103" s="24"/>
    </row>
    <row r="3104">
      <c r="A3104" s="12" t="s">
        <v>3191</v>
      </c>
      <c r="F3104" s="19">
        <f>IFERROR(__xludf.DUMMYFUNCTION("SPLIT(A3100, "" |"")"),3098.0)</f>
        <v>3098</v>
      </c>
      <c r="G3104" s="19">
        <f>IFERROR(__xludf.DUMMYFUNCTION("""COMPUTED_VALUE"""),0.0023)</f>
        <v>0.0023</v>
      </c>
      <c r="H3104" s="19" t="str">
        <f>IFERROR(__xludf.DUMMYFUNCTION("""COMPUTED_VALUE"""),"-")</f>
        <v>-</v>
      </c>
      <c r="I3104" s="19">
        <f>IFERROR(__xludf.DUMMYFUNCTION("""COMPUTED_VALUE"""),0.00223)</f>
        <v>0.00223</v>
      </c>
      <c r="J3104" s="19">
        <f>IFERROR(__xludf.DUMMYFUNCTION("""COMPUTED_VALUE"""),0.0475)</f>
        <v>0.0475</v>
      </c>
      <c r="K3104" s="19" t="str">
        <f>IFERROR(__xludf.DUMMYFUNCTION("""COMPUTED_VALUE"""),"-")</f>
        <v>-</v>
      </c>
      <c r="L3104" s="19" t="str">
        <f>IFERROR(__xludf.DUMMYFUNCTION("""COMPUTED_VALUE"""),"-")</f>
        <v>-</v>
      </c>
      <c r="O3104" s="24">
        <f t="shared" si="4"/>
        <v>0</v>
      </c>
      <c r="P3104" s="24"/>
      <c r="Q3104" s="24">
        <f t="shared" si="6"/>
        <v>0</v>
      </c>
      <c r="R3104" s="24">
        <f t="shared" si="7"/>
        <v>0</v>
      </c>
      <c r="S3104" s="24"/>
      <c r="T3104" s="24"/>
    </row>
    <row r="3105">
      <c r="A3105" s="12" t="s">
        <v>3192</v>
      </c>
      <c r="F3105" s="19">
        <f>IFERROR(__xludf.DUMMYFUNCTION("SPLIT(A3101, "" |"")"),3099.0)</f>
        <v>3099</v>
      </c>
      <c r="G3105" s="19">
        <f>IFERROR(__xludf.DUMMYFUNCTION("""COMPUTED_VALUE"""),0.00235)</f>
        <v>0.00235</v>
      </c>
      <c r="H3105" s="19" t="str">
        <f>IFERROR(__xludf.DUMMYFUNCTION("""COMPUTED_VALUE"""),"-")</f>
        <v>-</v>
      </c>
      <c r="I3105" s="19">
        <f>IFERROR(__xludf.DUMMYFUNCTION("""COMPUTED_VALUE"""),0.00221)</f>
        <v>0.00221</v>
      </c>
      <c r="J3105" s="19">
        <f>IFERROR(__xludf.DUMMYFUNCTION("""COMPUTED_VALUE"""),0.04747)</f>
        <v>0.04747</v>
      </c>
      <c r="K3105" s="19" t="str">
        <f>IFERROR(__xludf.DUMMYFUNCTION("""COMPUTED_VALUE"""),"-")</f>
        <v>-</v>
      </c>
      <c r="L3105" s="19" t="str">
        <f>IFERROR(__xludf.DUMMYFUNCTION("""COMPUTED_VALUE"""),"-")</f>
        <v>-</v>
      </c>
      <c r="O3105" s="24">
        <f t="shared" si="4"/>
        <v>0</v>
      </c>
      <c r="P3105" s="24"/>
      <c r="Q3105" s="24">
        <f t="shared" si="6"/>
        <v>0</v>
      </c>
      <c r="R3105" s="24">
        <f t="shared" si="7"/>
        <v>0</v>
      </c>
      <c r="S3105" s="24"/>
      <c r="T3105" s="24"/>
    </row>
    <row r="3106">
      <c r="A3106" s="12" t="s">
        <v>3193</v>
      </c>
      <c r="F3106" s="19">
        <f>IFERROR(__xludf.DUMMYFUNCTION("SPLIT(A3102, "" |"")"),3100.0)</f>
        <v>3100</v>
      </c>
      <c r="G3106" s="19">
        <f>IFERROR(__xludf.DUMMYFUNCTION("""COMPUTED_VALUE"""),0.00232)</f>
        <v>0.00232</v>
      </c>
      <c r="H3106" s="19" t="str">
        <f>IFERROR(__xludf.DUMMYFUNCTION("""COMPUTED_VALUE"""),"-")</f>
        <v>-</v>
      </c>
      <c r="I3106" s="19">
        <f>IFERROR(__xludf.DUMMYFUNCTION("""COMPUTED_VALUE"""),0.00224)</f>
        <v>0.00224</v>
      </c>
      <c r="J3106" s="19">
        <f>IFERROR(__xludf.DUMMYFUNCTION("""COMPUTED_VALUE"""),0.04745)</f>
        <v>0.04745</v>
      </c>
      <c r="K3106" s="19" t="str">
        <f>IFERROR(__xludf.DUMMYFUNCTION("""COMPUTED_VALUE"""),"-")</f>
        <v>-</v>
      </c>
      <c r="L3106" s="19" t="str">
        <f>IFERROR(__xludf.DUMMYFUNCTION("""COMPUTED_VALUE"""),"-")</f>
        <v>-</v>
      </c>
      <c r="O3106" s="24">
        <f t="shared" si="4"/>
        <v>0</v>
      </c>
      <c r="P3106" s="24"/>
      <c r="Q3106" s="24">
        <f t="shared" si="6"/>
        <v>0</v>
      </c>
      <c r="R3106" s="24">
        <f t="shared" si="7"/>
        <v>0</v>
      </c>
      <c r="S3106" s="24"/>
      <c r="T3106" s="24"/>
    </row>
    <row r="3107">
      <c r="A3107" s="12" t="s">
        <v>3194</v>
      </c>
      <c r="F3107" s="19">
        <f>IFERROR(__xludf.DUMMYFUNCTION("SPLIT(A3103, "" |"")"),3101.0)</f>
        <v>3101</v>
      </c>
      <c r="G3107" s="19">
        <f>IFERROR(__xludf.DUMMYFUNCTION("""COMPUTED_VALUE"""),0.0024)</f>
        <v>0.0024</v>
      </c>
      <c r="H3107" s="19" t="str">
        <f>IFERROR(__xludf.DUMMYFUNCTION("""COMPUTED_VALUE"""),"-")</f>
        <v>-</v>
      </c>
      <c r="I3107" s="19">
        <f>IFERROR(__xludf.DUMMYFUNCTION("""COMPUTED_VALUE"""),0.00218)</f>
        <v>0.00218</v>
      </c>
      <c r="J3107" s="19">
        <f>IFERROR(__xludf.DUMMYFUNCTION("""COMPUTED_VALUE"""),0.04743)</f>
        <v>0.04743</v>
      </c>
      <c r="K3107" s="19" t="str">
        <f>IFERROR(__xludf.DUMMYFUNCTION("""COMPUTED_VALUE"""),"-")</f>
        <v>-</v>
      </c>
      <c r="L3107" s="19" t="str">
        <f>IFERROR(__xludf.DUMMYFUNCTION("""COMPUTED_VALUE"""),"-")</f>
        <v>-</v>
      </c>
      <c r="O3107" s="24">
        <f t="shared" si="4"/>
        <v>0</v>
      </c>
      <c r="P3107" s="24"/>
      <c r="Q3107" s="24">
        <f t="shared" si="6"/>
        <v>0</v>
      </c>
      <c r="R3107" s="24">
        <f t="shared" si="7"/>
        <v>0</v>
      </c>
      <c r="S3107" s="24"/>
      <c r="T3107" s="24"/>
    </row>
    <row r="3108">
      <c r="A3108" s="12" t="s">
        <v>3195</v>
      </c>
      <c r="F3108" s="19">
        <f>IFERROR(__xludf.DUMMYFUNCTION("SPLIT(A3104, "" |"")"),3102.0)</f>
        <v>3102</v>
      </c>
      <c r="G3108" s="19">
        <f>IFERROR(__xludf.DUMMYFUNCTION("""COMPUTED_VALUE"""),0.0024)</f>
        <v>0.0024</v>
      </c>
      <c r="H3108" s="19" t="str">
        <f>IFERROR(__xludf.DUMMYFUNCTION("""COMPUTED_VALUE"""),"-")</f>
        <v>-</v>
      </c>
      <c r="I3108" s="19">
        <f>IFERROR(__xludf.DUMMYFUNCTION("""COMPUTED_VALUE"""),0.00227)</f>
        <v>0.00227</v>
      </c>
      <c r="J3108" s="19">
        <f>IFERROR(__xludf.DUMMYFUNCTION("""COMPUTED_VALUE"""),0.04473)</f>
        <v>0.04473</v>
      </c>
      <c r="K3108" s="19" t="str">
        <f>IFERROR(__xludf.DUMMYFUNCTION("""COMPUTED_VALUE"""),"-")</f>
        <v>-</v>
      </c>
      <c r="L3108" s="19" t="str">
        <f>IFERROR(__xludf.DUMMYFUNCTION("""COMPUTED_VALUE"""),"-")</f>
        <v>-</v>
      </c>
      <c r="O3108" s="24">
        <f t="shared" si="4"/>
        <v>0</v>
      </c>
      <c r="P3108" s="24"/>
      <c r="Q3108" s="24">
        <f t="shared" si="6"/>
        <v>0</v>
      </c>
      <c r="R3108" s="24">
        <f t="shared" si="7"/>
        <v>1</v>
      </c>
      <c r="S3108" s="24"/>
      <c r="T3108" s="24"/>
    </row>
    <row r="3109">
      <c r="A3109" s="12" t="s">
        <v>3196</v>
      </c>
      <c r="F3109" s="19">
        <f>IFERROR(__xludf.DUMMYFUNCTION("SPLIT(A3105, "" |"")"),3103.0)</f>
        <v>3103</v>
      </c>
      <c r="G3109" s="19">
        <f>IFERROR(__xludf.DUMMYFUNCTION("""COMPUTED_VALUE"""),0.00236)</f>
        <v>0.00236</v>
      </c>
      <c r="H3109" s="19" t="str">
        <f>IFERROR(__xludf.DUMMYFUNCTION("""COMPUTED_VALUE"""),"-")</f>
        <v>-</v>
      </c>
      <c r="I3109" s="19">
        <f>IFERROR(__xludf.DUMMYFUNCTION("""COMPUTED_VALUE"""),0.00223)</f>
        <v>0.00223</v>
      </c>
      <c r="J3109" s="19">
        <f>IFERROR(__xludf.DUMMYFUNCTION("""COMPUTED_VALUE"""),0.04747)</f>
        <v>0.04747</v>
      </c>
      <c r="K3109" s="19" t="str">
        <f>IFERROR(__xludf.DUMMYFUNCTION("""COMPUTED_VALUE"""),"-")</f>
        <v>-</v>
      </c>
      <c r="L3109" s="19" t="str">
        <f>IFERROR(__xludf.DUMMYFUNCTION("""COMPUTED_VALUE"""),"-")</f>
        <v>-</v>
      </c>
      <c r="O3109" s="24">
        <f t="shared" si="4"/>
        <v>0</v>
      </c>
      <c r="P3109" s="24"/>
      <c r="Q3109" s="24">
        <f t="shared" si="6"/>
        <v>0</v>
      </c>
      <c r="R3109" s="24">
        <f t="shared" si="7"/>
        <v>0</v>
      </c>
      <c r="S3109" s="24"/>
      <c r="T3109" s="24"/>
    </row>
    <row r="3110">
      <c r="A3110" s="12" t="s">
        <v>3197</v>
      </c>
      <c r="F3110" s="19">
        <f>IFERROR(__xludf.DUMMYFUNCTION("SPLIT(A3106, "" |"")"),3104.0)</f>
        <v>3104</v>
      </c>
      <c r="G3110" s="19">
        <f>IFERROR(__xludf.DUMMYFUNCTION("""COMPUTED_VALUE"""),0.00257)</f>
        <v>0.00257</v>
      </c>
      <c r="H3110" s="19" t="str">
        <f>IFERROR(__xludf.DUMMYFUNCTION("""COMPUTED_VALUE"""),"-")</f>
        <v>-</v>
      </c>
      <c r="I3110" s="19">
        <f>IFERROR(__xludf.DUMMYFUNCTION("""COMPUTED_VALUE"""),0.00219)</f>
        <v>0.00219</v>
      </c>
      <c r="J3110" s="19">
        <f>IFERROR(__xludf.DUMMYFUNCTION("""COMPUTED_VALUE"""),0.04282)</f>
        <v>0.04282</v>
      </c>
      <c r="K3110" s="19" t="str">
        <f>IFERROR(__xludf.DUMMYFUNCTION("""COMPUTED_VALUE"""),"-")</f>
        <v>-</v>
      </c>
      <c r="L3110" s="19" t="str">
        <f>IFERROR(__xludf.DUMMYFUNCTION("""COMPUTED_VALUE"""),"-")</f>
        <v>-</v>
      </c>
      <c r="O3110" s="24">
        <f t="shared" si="4"/>
        <v>0</v>
      </c>
      <c r="P3110" s="24"/>
      <c r="Q3110" s="24">
        <f t="shared" si="6"/>
        <v>0</v>
      </c>
      <c r="R3110" s="24">
        <f t="shared" si="7"/>
        <v>1</v>
      </c>
      <c r="S3110" s="24"/>
      <c r="T3110" s="24"/>
    </row>
    <row r="3111">
      <c r="A3111" s="12" t="s">
        <v>3198</v>
      </c>
      <c r="F3111" s="19">
        <f>IFERROR(__xludf.DUMMYFUNCTION("SPLIT(A3107, "" |"")"),3105.0)</f>
        <v>3105</v>
      </c>
      <c r="G3111" s="19">
        <f>IFERROR(__xludf.DUMMYFUNCTION("""COMPUTED_VALUE"""),0.00242)</f>
        <v>0.00242</v>
      </c>
      <c r="H3111" s="19" t="str">
        <f>IFERROR(__xludf.DUMMYFUNCTION("""COMPUTED_VALUE"""),"-")</f>
        <v>-</v>
      </c>
      <c r="I3111" s="19">
        <f>IFERROR(__xludf.DUMMYFUNCTION("""COMPUTED_VALUE"""),0.00224)</f>
        <v>0.00224</v>
      </c>
      <c r="J3111" s="19">
        <f>IFERROR(__xludf.DUMMYFUNCTION("""COMPUTED_VALUE"""),0.04418)</f>
        <v>0.04418</v>
      </c>
      <c r="K3111" s="19" t="str">
        <f>IFERROR(__xludf.DUMMYFUNCTION("""COMPUTED_VALUE"""),"-")</f>
        <v>-</v>
      </c>
      <c r="L3111" s="19" t="str">
        <f>IFERROR(__xludf.DUMMYFUNCTION("""COMPUTED_VALUE"""),"-")</f>
        <v>-</v>
      </c>
      <c r="O3111" s="24">
        <f t="shared" si="4"/>
        <v>0</v>
      </c>
      <c r="P3111" s="24"/>
      <c r="Q3111" s="24">
        <f t="shared" si="6"/>
        <v>0</v>
      </c>
      <c r="R3111" s="24">
        <f t="shared" si="7"/>
        <v>1</v>
      </c>
      <c r="S3111" s="24"/>
      <c r="T3111" s="24"/>
    </row>
    <row r="3112">
      <c r="A3112" s="12" t="s">
        <v>3199</v>
      </c>
      <c r="F3112" s="19">
        <f>IFERROR(__xludf.DUMMYFUNCTION("SPLIT(A3108, "" |"")"),3106.0)</f>
        <v>3106</v>
      </c>
      <c r="G3112" s="19">
        <f>IFERROR(__xludf.DUMMYFUNCTION("""COMPUTED_VALUE"""),0.00231)</f>
        <v>0.00231</v>
      </c>
      <c r="H3112" s="19" t="str">
        <f>IFERROR(__xludf.DUMMYFUNCTION("""COMPUTED_VALUE"""),"-")</f>
        <v>-</v>
      </c>
      <c r="I3112" s="19">
        <f>IFERROR(__xludf.DUMMYFUNCTION("""COMPUTED_VALUE"""),0.00221)</f>
        <v>0.00221</v>
      </c>
      <c r="J3112" s="19">
        <f>IFERROR(__xludf.DUMMYFUNCTION("""COMPUTED_VALUE"""),0.04744)</f>
        <v>0.04744</v>
      </c>
      <c r="K3112" s="19" t="str">
        <f>IFERROR(__xludf.DUMMYFUNCTION("""COMPUTED_VALUE"""),"-")</f>
        <v>-</v>
      </c>
      <c r="L3112" s="19" t="str">
        <f>IFERROR(__xludf.DUMMYFUNCTION("""COMPUTED_VALUE"""),"-")</f>
        <v>-</v>
      </c>
      <c r="O3112" s="24">
        <f t="shared" si="4"/>
        <v>0</v>
      </c>
      <c r="P3112" s="24"/>
      <c r="Q3112" s="24">
        <f t="shared" si="6"/>
        <v>0</v>
      </c>
      <c r="R3112" s="24">
        <f t="shared" si="7"/>
        <v>0</v>
      </c>
      <c r="S3112" s="24"/>
      <c r="T3112" s="24"/>
    </row>
    <row r="3113">
      <c r="A3113" s="12" t="s">
        <v>3200</v>
      </c>
      <c r="F3113" s="19">
        <f>IFERROR(__xludf.DUMMYFUNCTION("SPLIT(A3109, "" |"")"),3107.0)</f>
        <v>3107</v>
      </c>
      <c r="G3113" s="19">
        <f>IFERROR(__xludf.DUMMYFUNCTION("""COMPUTED_VALUE"""),0.00232)</f>
        <v>0.00232</v>
      </c>
      <c r="H3113" s="19" t="str">
        <f>IFERROR(__xludf.DUMMYFUNCTION("""COMPUTED_VALUE"""),"-")</f>
        <v>-</v>
      </c>
      <c r="I3113" s="19">
        <f>IFERROR(__xludf.DUMMYFUNCTION("""COMPUTED_VALUE"""),0.00226)</f>
        <v>0.00226</v>
      </c>
      <c r="J3113" s="19">
        <f>IFERROR(__xludf.DUMMYFUNCTION("""COMPUTED_VALUE"""),0.04743)</f>
        <v>0.04743</v>
      </c>
      <c r="K3113" s="19" t="str">
        <f>IFERROR(__xludf.DUMMYFUNCTION("""COMPUTED_VALUE"""),"-")</f>
        <v>-</v>
      </c>
      <c r="L3113" s="19" t="str">
        <f>IFERROR(__xludf.DUMMYFUNCTION("""COMPUTED_VALUE"""),"-")</f>
        <v>-</v>
      </c>
      <c r="O3113" s="24">
        <f t="shared" si="4"/>
        <v>0</v>
      </c>
      <c r="P3113" s="24"/>
      <c r="Q3113" s="24">
        <f t="shared" si="6"/>
        <v>0</v>
      </c>
      <c r="R3113" s="24">
        <f t="shared" si="7"/>
        <v>0</v>
      </c>
      <c r="S3113" s="24"/>
      <c r="T3113" s="24"/>
    </row>
    <row r="3114">
      <c r="A3114" s="12" t="s">
        <v>3201</v>
      </c>
      <c r="F3114" s="19">
        <f>IFERROR(__xludf.DUMMYFUNCTION("SPLIT(A3110, "" |"")"),3108.0)</f>
        <v>3108</v>
      </c>
      <c r="G3114" s="19">
        <f>IFERROR(__xludf.DUMMYFUNCTION("""COMPUTED_VALUE"""),0.00226)</f>
        <v>0.00226</v>
      </c>
      <c r="H3114" s="19" t="str">
        <f>IFERROR(__xludf.DUMMYFUNCTION("""COMPUTED_VALUE"""),"-")</f>
        <v>-</v>
      </c>
      <c r="I3114" s="19">
        <f>IFERROR(__xludf.DUMMYFUNCTION("""COMPUTED_VALUE"""),0.00225)</f>
        <v>0.00225</v>
      </c>
      <c r="J3114" s="19">
        <f>IFERROR(__xludf.DUMMYFUNCTION("""COMPUTED_VALUE"""),0.04139)</f>
        <v>0.04139</v>
      </c>
      <c r="K3114" s="19" t="str">
        <f>IFERROR(__xludf.DUMMYFUNCTION("""COMPUTED_VALUE"""),"-")</f>
        <v>-</v>
      </c>
      <c r="L3114" s="19" t="str">
        <f>IFERROR(__xludf.DUMMYFUNCTION("""COMPUTED_VALUE"""),"-")</f>
        <v>-</v>
      </c>
      <c r="O3114" s="24">
        <f t="shared" si="4"/>
        <v>0</v>
      </c>
      <c r="P3114" s="24"/>
      <c r="Q3114" s="24">
        <f t="shared" si="6"/>
        <v>0</v>
      </c>
      <c r="R3114" s="24">
        <f t="shared" si="7"/>
        <v>1</v>
      </c>
      <c r="S3114" s="24"/>
      <c r="T3114" s="24"/>
    </row>
    <row r="3115">
      <c r="A3115" s="12" t="s">
        <v>3202</v>
      </c>
      <c r="F3115" s="19">
        <f>IFERROR(__xludf.DUMMYFUNCTION("SPLIT(A3111, "" |"")"),3109.0)</f>
        <v>3109</v>
      </c>
      <c r="G3115" s="19">
        <f>IFERROR(__xludf.DUMMYFUNCTION("""COMPUTED_VALUE"""),0.00274)</f>
        <v>0.00274</v>
      </c>
      <c r="H3115" s="19" t="str">
        <f>IFERROR(__xludf.DUMMYFUNCTION("""COMPUTED_VALUE"""),"-")</f>
        <v>-</v>
      </c>
      <c r="I3115" s="19">
        <f>IFERROR(__xludf.DUMMYFUNCTION("""COMPUTED_VALUE"""),0.00228)</f>
        <v>0.00228</v>
      </c>
      <c r="J3115" s="19">
        <f>IFERROR(__xludf.DUMMYFUNCTION("""COMPUTED_VALUE"""),0.04134)</f>
        <v>0.04134</v>
      </c>
      <c r="K3115" s="19" t="str">
        <f>IFERROR(__xludf.DUMMYFUNCTION("""COMPUTED_VALUE"""),"-")</f>
        <v>-</v>
      </c>
      <c r="L3115" s="19" t="str">
        <f>IFERROR(__xludf.DUMMYFUNCTION("""COMPUTED_VALUE"""),"-")</f>
        <v>-</v>
      </c>
      <c r="O3115" s="24">
        <f t="shared" si="4"/>
        <v>0</v>
      </c>
      <c r="P3115" s="24"/>
      <c r="Q3115" s="24">
        <f t="shared" si="6"/>
        <v>0</v>
      </c>
      <c r="R3115" s="24">
        <f t="shared" si="7"/>
        <v>1</v>
      </c>
      <c r="S3115" s="24"/>
      <c r="T3115" s="24"/>
    </row>
    <row r="3116">
      <c r="A3116" s="12" t="s">
        <v>3203</v>
      </c>
      <c r="F3116" s="19">
        <f>IFERROR(__xludf.DUMMYFUNCTION("SPLIT(A3112, "" |"")"),3110.0)</f>
        <v>3110</v>
      </c>
      <c r="G3116" s="19">
        <f>IFERROR(__xludf.DUMMYFUNCTION("""COMPUTED_VALUE"""),0.0024)</f>
        <v>0.0024</v>
      </c>
      <c r="H3116" s="19" t="str">
        <f>IFERROR(__xludf.DUMMYFUNCTION("""COMPUTED_VALUE"""),"-")</f>
        <v>-</v>
      </c>
      <c r="I3116" s="19">
        <f>IFERROR(__xludf.DUMMYFUNCTION("""COMPUTED_VALUE"""),0.00222)</f>
        <v>0.00222</v>
      </c>
      <c r="J3116" s="19">
        <f>IFERROR(__xludf.DUMMYFUNCTION("""COMPUTED_VALUE"""),0.04742)</f>
        <v>0.04742</v>
      </c>
      <c r="K3116" s="19" t="str">
        <f>IFERROR(__xludf.DUMMYFUNCTION("""COMPUTED_VALUE"""),"-")</f>
        <v>-</v>
      </c>
      <c r="L3116" s="19" t="str">
        <f>IFERROR(__xludf.DUMMYFUNCTION("""COMPUTED_VALUE"""),"-")</f>
        <v>-</v>
      </c>
      <c r="O3116" s="24">
        <f t="shared" si="4"/>
        <v>0</v>
      </c>
      <c r="P3116" s="24"/>
      <c r="Q3116" s="24">
        <f t="shared" si="6"/>
        <v>0</v>
      </c>
      <c r="R3116" s="24">
        <f t="shared" si="7"/>
        <v>0</v>
      </c>
      <c r="S3116" s="24"/>
      <c r="T3116" s="24"/>
    </row>
    <row r="3117">
      <c r="A3117" s="12" t="s">
        <v>3204</v>
      </c>
      <c r="F3117" s="19">
        <f>IFERROR(__xludf.DUMMYFUNCTION("SPLIT(A3113, "" |"")"),3111.0)</f>
        <v>3111</v>
      </c>
      <c r="G3117" s="19">
        <f>IFERROR(__xludf.DUMMYFUNCTION("""COMPUTED_VALUE"""),0.00236)</f>
        <v>0.00236</v>
      </c>
      <c r="H3117" s="19" t="str">
        <f>IFERROR(__xludf.DUMMYFUNCTION("""COMPUTED_VALUE"""),"-")</f>
        <v>-</v>
      </c>
      <c r="I3117" s="19">
        <f>IFERROR(__xludf.DUMMYFUNCTION("""COMPUTED_VALUE"""),0.00224)</f>
        <v>0.00224</v>
      </c>
      <c r="J3117" s="19">
        <f>IFERROR(__xludf.DUMMYFUNCTION("""COMPUTED_VALUE"""),0.04635)</f>
        <v>0.04635</v>
      </c>
      <c r="K3117" s="19" t="str">
        <f>IFERROR(__xludf.DUMMYFUNCTION("""COMPUTED_VALUE"""),"-")</f>
        <v>-</v>
      </c>
      <c r="L3117" s="19" t="str">
        <f>IFERROR(__xludf.DUMMYFUNCTION("""COMPUTED_VALUE"""),"-")</f>
        <v>-</v>
      </c>
      <c r="O3117" s="24">
        <f t="shared" si="4"/>
        <v>0</v>
      </c>
      <c r="P3117" s="24"/>
      <c r="Q3117" s="24">
        <f t="shared" si="6"/>
        <v>0</v>
      </c>
      <c r="R3117" s="24">
        <f t="shared" si="7"/>
        <v>0</v>
      </c>
      <c r="S3117" s="24"/>
      <c r="T3117" s="24"/>
    </row>
    <row r="3118">
      <c r="A3118" s="12" t="s">
        <v>3205</v>
      </c>
      <c r="F3118" s="19">
        <f>IFERROR(__xludf.DUMMYFUNCTION("SPLIT(A3114, "" |"")"),3112.0)</f>
        <v>3112</v>
      </c>
      <c r="G3118" s="19">
        <f>IFERROR(__xludf.DUMMYFUNCTION("""COMPUTED_VALUE"""),0.00219)</f>
        <v>0.00219</v>
      </c>
      <c r="H3118" s="19" t="str">
        <f>IFERROR(__xludf.DUMMYFUNCTION("""COMPUTED_VALUE"""),"-")</f>
        <v>-</v>
      </c>
      <c r="I3118" s="19">
        <f>IFERROR(__xludf.DUMMYFUNCTION("""COMPUTED_VALUE"""),0.00208)</f>
        <v>0.00208</v>
      </c>
      <c r="J3118" s="19">
        <f>IFERROR(__xludf.DUMMYFUNCTION("""COMPUTED_VALUE"""),0.0473)</f>
        <v>0.0473</v>
      </c>
      <c r="K3118" s="19" t="str">
        <f>IFERROR(__xludf.DUMMYFUNCTION("""COMPUTED_VALUE"""),"-")</f>
        <v>-</v>
      </c>
      <c r="L3118" s="19" t="str">
        <f>IFERROR(__xludf.DUMMYFUNCTION("""COMPUTED_VALUE"""),"-")</f>
        <v>-</v>
      </c>
      <c r="O3118" s="24">
        <f t="shared" si="4"/>
        <v>0</v>
      </c>
      <c r="P3118" s="24"/>
      <c r="Q3118" s="24">
        <f t="shared" si="6"/>
        <v>0</v>
      </c>
      <c r="R3118" s="24">
        <f t="shared" si="7"/>
        <v>0</v>
      </c>
      <c r="S3118" s="24"/>
      <c r="T3118" s="24"/>
    </row>
    <row r="3119">
      <c r="A3119" s="12" t="s">
        <v>3206</v>
      </c>
      <c r="F3119" s="19">
        <f>IFERROR(__xludf.DUMMYFUNCTION("SPLIT(A3115, "" |"")"),3113.0)</f>
        <v>3113</v>
      </c>
      <c r="G3119" s="19">
        <f>IFERROR(__xludf.DUMMYFUNCTION("""COMPUTED_VALUE"""),0.00226)</f>
        <v>0.00226</v>
      </c>
      <c r="H3119" s="19" t="str">
        <f>IFERROR(__xludf.DUMMYFUNCTION("""COMPUTED_VALUE"""),"-")</f>
        <v>-</v>
      </c>
      <c r="I3119" s="19">
        <f>IFERROR(__xludf.DUMMYFUNCTION("""COMPUTED_VALUE"""),0.0023)</f>
        <v>0.0023</v>
      </c>
      <c r="J3119" s="19">
        <f>IFERROR(__xludf.DUMMYFUNCTION("""COMPUTED_VALUE"""),0.04751)</f>
        <v>0.04751</v>
      </c>
      <c r="K3119" s="19" t="str">
        <f>IFERROR(__xludf.DUMMYFUNCTION("""COMPUTED_VALUE"""),"-")</f>
        <v>-</v>
      </c>
      <c r="L3119" s="19" t="str">
        <f>IFERROR(__xludf.DUMMYFUNCTION("""COMPUTED_VALUE"""),"-")</f>
        <v>-</v>
      </c>
      <c r="O3119" s="24">
        <f t="shared" si="4"/>
        <v>0</v>
      </c>
      <c r="P3119" s="24"/>
      <c r="Q3119" s="24">
        <f t="shared" si="6"/>
        <v>0</v>
      </c>
      <c r="R3119" s="24">
        <f t="shared" si="7"/>
        <v>0</v>
      </c>
      <c r="S3119" s="24"/>
      <c r="T3119" s="24"/>
    </row>
    <row r="3120">
      <c r="A3120" s="12" t="s">
        <v>3207</v>
      </c>
      <c r="F3120" s="19">
        <f>IFERROR(__xludf.DUMMYFUNCTION("SPLIT(A3116, "" |"")"),3114.0)</f>
        <v>3114</v>
      </c>
      <c r="G3120" s="19">
        <f>IFERROR(__xludf.DUMMYFUNCTION("""COMPUTED_VALUE"""),0.00234)</f>
        <v>0.00234</v>
      </c>
      <c r="H3120" s="19" t="str">
        <f>IFERROR(__xludf.DUMMYFUNCTION("""COMPUTED_VALUE"""),"-")</f>
        <v>-</v>
      </c>
      <c r="I3120" s="19">
        <f>IFERROR(__xludf.DUMMYFUNCTION("""COMPUTED_VALUE"""),0.00221)</f>
        <v>0.00221</v>
      </c>
      <c r="J3120" s="19">
        <f>IFERROR(__xludf.DUMMYFUNCTION("""COMPUTED_VALUE"""),0.04742)</f>
        <v>0.04742</v>
      </c>
      <c r="K3120" s="19" t="str">
        <f>IFERROR(__xludf.DUMMYFUNCTION("""COMPUTED_VALUE"""),"-")</f>
        <v>-</v>
      </c>
      <c r="L3120" s="19" t="str">
        <f>IFERROR(__xludf.DUMMYFUNCTION("""COMPUTED_VALUE"""),"-")</f>
        <v>-</v>
      </c>
      <c r="O3120" s="24">
        <f t="shared" si="4"/>
        <v>0</v>
      </c>
      <c r="P3120" s="24"/>
      <c r="Q3120" s="24">
        <f t="shared" si="6"/>
        <v>0</v>
      </c>
      <c r="R3120" s="24">
        <f t="shared" si="7"/>
        <v>0</v>
      </c>
      <c r="S3120" s="24"/>
      <c r="T3120" s="24"/>
    </row>
    <row r="3121">
      <c r="A3121" s="12" t="s">
        <v>3208</v>
      </c>
      <c r="F3121" s="19">
        <f>IFERROR(__xludf.DUMMYFUNCTION("SPLIT(A3117, "" |"")"),3115.0)</f>
        <v>3115</v>
      </c>
      <c r="G3121" s="19">
        <f>IFERROR(__xludf.DUMMYFUNCTION("""COMPUTED_VALUE"""),0.00222)</f>
        <v>0.00222</v>
      </c>
      <c r="H3121" s="19" t="str">
        <f>IFERROR(__xludf.DUMMYFUNCTION("""COMPUTED_VALUE"""),"-")</f>
        <v>-</v>
      </c>
      <c r="I3121" s="19">
        <f>IFERROR(__xludf.DUMMYFUNCTION("""COMPUTED_VALUE"""),0.00228)</f>
        <v>0.00228</v>
      </c>
      <c r="J3121" s="19">
        <f>IFERROR(__xludf.DUMMYFUNCTION("""COMPUTED_VALUE"""),0.0475)</f>
        <v>0.0475</v>
      </c>
      <c r="K3121" s="19" t="str">
        <f>IFERROR(__xludf.DUMMYFUNCTION("""COMPUTED_VALUE"""),"-")</f>
        <v>-</v>
      </c>
      <c r="L3121" s="19" t="str">
        <f>IFERROR(__xludf.DUMMYFUNCTION("""COMPUTED_VALUE"""),"-")</f>
        <v>-</v>
      </c>
      <c r="O3121" s="24">
        <f t="shared" si="4"/>
        <v>0</v>
      </c>
      <c r="P3121" s="24"/>
      <c r="Q3121" s="24">
        <f t="shared" si="6"/>
        <v>0</v>
      </c>
      <c r="R3121" s="24">
        <f t="shared" si="7"/>
        <v>0</v>
      </c>
      <c r="S3121" s="24"/>
      <c r="T3121" s="24"/>
    </row>
    <row r="3122">
      <c r="A3122" s="12" t="s">
        <v>3209</v>
      </c>
      <c r="F3122" s="19">
        <f>IFERROR(__xludf.DUMMYFUNCTION("SPLIT(A3118, "" |"")"),3116.0)</f>
        <v>3116</v>
      </c>
      <c r="G3122" s="19">
        <f>IFERROR(__xludf.DUMMYFUNCTION("""COMPUTED_VALUE"""),0.00237)</f>
        <v>0.00237</v>
      </c>
      <c r="H3122" s="19" t="str">
        <f>IFERROR(__xludf.DUMMYFUNCTION("""COMPUTED_VALUE"""),"-")</f>
        <v>-</v>
      </c>
      <c r="I3122" s="19">
        <f>IFERROR(__xludf.DUMMYFUNCTION("""COMPUTED_VALUE"""),0.00219)</f>
        <v>0.00219</v>
      </c>
      <c r="J3122" s="19">
        <f>IFERROR(__xludf.DUMMYFUNCTION("""COMPUTED_VALUE"""),0.04742)</f>
        <v>0.04742</v>
      </c>
      <c r="K3122" s="19" t="str">
        <f>IFERROR(__xludf.DUMMYFUNCTION("""COMPUTED_VALUE"""),"-")</f>
        <v>-</v>
      </c>
      <c r="L3122" s="19" t="str">
        <f>IFERROR(__xludf.DUMMYFUNCTION("""COMPUTED_VALUE"""),"-")</f>
        <v>-</v>
      </c>
      <c r="O3122" s="24">
        <f t="shared" si="4"/>
        <v>0</v>
      </c>
      <c r="P3122" s="24"/>
      <c r="Q3122" s="24">
        <f t="shared" si="6"/>
        <v>0</v>
      </c>
      <c r="R3122" s="24">
        <f t="shared" si="7"/>
        <v>0</v>
      </c>
      <c r="S3122" s="24"/>
      <c r="T3122" s="24"/>
    </row>
    <row r="3123">
      <c r="A3123" s="12" t="s">
        <v>3210</v>
      </c>
      <c r="F3123" s="19">
        <f>IFERROR(__xludf.DUMMYFUNCTION("SPLIT(A3119, "" |"")"),3117.0)</f>
        <v>3117</v>
      </c>
      <c r="G3123" s="19">
        <f>IFERROR(__xludf.DUMMYFUNCTION("""COMPUTED_VALUE"""),0.00237)</f>
        <v>0.00237</v>
      </c>
      <c r="H3123" s="19" t="str">
        <f>IFERROR(__xludf.DUMMYFUNCTION("""COMPUTED_VALUE"""),"-")</f>
        <v>-</v>
      </c>
      <c r="I3123" s="19">
        <f>IFERROR(__xludf.DUMMYFUNCTION("""COMPUTED_VALUE"""),0.00221)</f>
        <v>0.00221</v>
      </c>
      <c r="J3123" s="19">
        <f>IFERROR(__xludf.DUMMYFUNCTION("""COMPUTED_VALUE"""),0.04745)</f>
        <v>0.04745</v>
      </c>
      <c r="K3123" s="19" t="str">
        <f>IFERROR(__xludf.DUMMYFUNCTION("""COMPUTED_VALUE"""),"-")</f>
        <v>-</v>
      </c>
      <c r="L3123" s="19" t="str">
        <f>IFERROR(__xludf.DUMMYFUNCTION("""COMPUTED_VALUE"""),"-")</f>
        <v>-</v>
      </c>
      <c r="O3123" s="24">
        <f t="shared" si="4"/>
        <v>0</v>
      </c>
      <c r="P3123" s="24"/>
      <c r="Q3123" s="24">
        <f t="shared" si="6"/>
        <v>0</v>
      </c>
      <c r="R3123" s="24">
        <f t="shared" si="7"/>
        <v>0</v>
      </c>
      <c r="S3123" s="24"/>
      <c r="T3123" s="24"/>
    </row>
    <row r="3124">
      <c r="A3124" s="12" t="s">
        <v>3211</v>
      </c>
      <c r="F3124" s="19">
        <f>IFERROR(__xludf.DUMMYFUNCTION("SPLIT(A3120, "" |"")"),3118.0)</f>
        <v>3118</v>
      </c>
      <c r="G3124" s="19">
        <f>IFERROR(__xludf.DUMMYFUNCTION("""COMPUTED_VALUE"""),0.00233)</f>
        <v>0.00233</v>
      </c>
      <c r="H3124" s="19" t="str">
        <f>IFERROR(__xludf.DUMMYFUNCTION("""COMPUTED_VALUE"""),"-")</f>
        <v>-</v>
      </c>
      <c r="I3124" s="19">
        <f>IFERROR(__xludf.DUMMYFUNCTION("""COMPUTED_VALUE"""),0.00226)</f>
        <v>0.00226</v>
      </c>
      <c r="J3124" s="19">
        <f>IFERROR(__xludf.DUMMYFUNCTION("""COMPUTED_VALUE"""),0.04741)</f>
        <v>0.04741</v>
      </c>
      <c r="K3124" s="19" t="str">
        <f>IFERROR(__xludf.DUMMYFUNCTION("""COMPUTED_VALUE"""),"-")</f>
        <v>-</v>
      </c>
      <c r="L3124" s="19" t="str">
        <f>IFERROR(__xludf.DUMMYFUNCTION("""COMPUTED_VALUE"""),"-")</f>
        <v>-</v>
      </c>
      <c r="O3124" s="24">
        <f t="shared" si="4"/>
        <v>0</v>
      </c>
      <c r="P3124" s="24"/>
      <c r="Q3124" s="24">
        <f t="shared" si="6"/>
        <v>0</v>
      </c>
      <c r="R3124" s="24">
        <f t="shared" si="7"/>
        <v>0</v>
      </c>
      <c r="S3124" s="24"/>
      <c r="T3124" s="24"/>
    </row>
    <row r="3125">
      <c r="A3125" s="12" t="s">
        <v>3212</v>
      </c>
      <c r="F3125" s="19">
        <f>IFERROR(__xludf.DUMMYFUNCTION("SPLIT(A3121, "" |"")"),3119.0)</f>
        <v>3119</v>
      </c>
      <c r="G3125" s="19">
        <f>IFERROR(__xludf.DUMMYFUNCTION("""COMPUTED_VALUE"""),0.00234)</f>
        <v>0.00234</v>
      </c>
      <c r="H3125" s="19" t="str">
        <f>IFERROR(__xludf.DUMMYFUNCTION("""COMPUTED_VALUE"""),"-")</f>
        <v>-</v>
      </c>
      <c r="I3125" s="19">
        <f>IFERROR(__xludf.DUMMYFUNCTION("""COMPUTED_VALUE"""),0.00221)</f>
        <v>0.00221</v>
      </c>
      <c r="J3125" s="19">
        <f>IFERROR(__xludf.DUMMYFUNCTION("""COMPUTED_VALUE"""),0.04049)</f>
        <v>0.04049</v>
      </c>
      <c r="K3125" s="19" t="str">
        <f>IFERROR(__xludf.DUMMYFUNCTION("""COMPUTED_VALUE"""),"-")</f>
        <v>-</v>
      </c>
      <c r="L3125" s="19" t="str">
        <f>IFERROR(__xludf.DUMMYFUNCTION("""COMPUTED_VALUE"""),"-")</f>
        <v>-</v>
      </c>
      <c r="O3125" s="24">
        <f t="shared" si="4"/>
        <v>0</v>
      </c>
      <c r="P3125" s="24"/>
      <c r="Q3125" s="24">
        <f t="shared" si="6"/>
        <v>0</v>
      </c>
      <c r="R3125" s="24">
        <f t="shared" si="7"/>
        <v>1</v>
      </c>
      <c r="S3125" s="24"/>
      <c r="T3125" s="24"/>
    </row>
    <row r="3126">
      <c r="A3126" s="12" t="s">
        <v>3213</v>
      </c>
      <c r="F3126" s="19">
        <f>IFERROR(__xludf.DUMMYFUNCTION("SPLIT(A3122, "" |"")"),3120.0)</f>
        <v>3120</v>
      </c>
      <c r="G3126" s="19">
        <f>IFERROR(__xludf.DUMMYFUNCTION("""COMPUTED_VALUE"""),0.00234)</f>
        <v>0.00234</v>
      </c>
      <c r="H3126" s="19" t="str">
        <f>IFERROR(__xludf.DUMMYFUNCTION("""COMPUTED_VALUE"""),"-")</f>
        <v>-</v>
      </c>
      <c r="I3126" s="19">
        <f>IFERROR(__xludf.DUMMYFUNCTION("""COMPUTED_VALUE"""),0.00218)</f>
        <v>0.00218</v>
      </c>
      <c r="J3126" s="19">
        <f>IFERROR(__xludf.DUMMYFUNCTION("""COMPUTED_VALUE"""),0.04734)</f>
        <v>0.04734</v>
      </c>
      <c r="K3126" s="19" t="str">
        <f>IFERROR(__xludf.DUMMYFUNCTION("""COMPUTED_VALUE"""),"-")</f>
        <v>-</v>
      </c>
      <c r="L3126" s="19" t="str">
        <f>IFERROR(__xludf.DUMMYFUNCTION("""COMPUTED_VALUE"""),"-")</f>
        <v>-</v>
      </c>
      <c r="O3126" s="24">
        <f t="shared" si="4"/>
        <v>0</v>
      </c>
      <c r="P3126" s="24"/>
      <c r="Q3126" s="24">
        <f t="shared" si="6"/>
        <v>0</v>
      </c>
      <c r="R3126" s="24">
        <f t="shared" si="7"/>
        <v>0</v>
      </c>
      <c r="S3126" s="24"/>
      <c r="T3126" s="24"/>
    </row>
    <row r="3127">
      <c r="A3127" s="12" t="s">
        <v>3214</v>
      </c>
      <c r="F3127" s="19">
        <f>IFERROR(__xludf.DUMMYFUNCTION("SPLIT(A3123, "" |"")"),3121.0)</f>
        <v>3121</v>
      </c>
      <c r="G3127" s="19">
        <f>IFERROR(__xludf.DUMMYFUNCTION("""COMPUTED_VALUE"""),0.00237)</f>
        <v>0.00237</v>
      </c>
      <c r="H3127" s="19" t="str">
        <f>IFERROR(__xludf.DUMMYFUNCTION("""COMPUTED_VALUE"""),"-")</f>
        <v>-</v>
      </c>
      <c r="I3127" s="19">
        <f>IFERROR(__xludf.DUMMYFUNCTION("""COMPUTED_VALUE"""),0.00223)</f>
        <v>0.00223</v>
      </c>
      <c r="J3127" s="19">
        <f>IFERROR(__xludf.DUMMYFUNCTION("""COMPUTED_VALUE"""),0.04747)</f>
        <v>0.04747</v>
      </c>
      <c r="K3127" s="19" t="str">
        <f>IFERROR(__xludf.DUMMYFUNCTION("""COMPUTED_VALUE"""),"-")</f>
        <v>-</v>
      </c>
      <c r="L3127" s="19" t="str">
        <f>IFERROR(__xludf.DUMMYFUNCTION("""COMPUTED_VALUE"""),"-")</f>
        <v>-</v>
      </c>
      <c r="O3127" s="24">
        <f t="shared" si="4"/>
        <v>0</v>
      </c>
      <c r="P3127" s="24"/>
      <c r="Q3127" s="24">
        <f t="shared" si="6"/>
        <v>0</v>
      </c>
      <c r="R3127" s="24">
        <f t="shared" si="7"/>
        <v>0</v>
      </c>
      <c r="S3127" s="24"/>
      <c r="T3127" s="24"/>
    </row>
    <row r="3128">
      <c r="A3128" s="12" t="s">
        <v>3215</v>
      </c>
      <c r="F3128" s="19">
        <f>IFERROR(__xludf.DUMMYFUNCTION("SPLIT(A3124, "" |"")"),3122.0)</f>
        <v>3122</v>
      </c>
      <c r="G3128" s="19">
        <f>IFERROR(__xludf.DUMMYFUNCTION("""COMPUTED_VALUE"""),0.00233)</f>
        <v>0.00233</v>
      </c>
      <c r="H3128" s="19" t="str">
        <f>IFERROR(__xludf.DUMMYFUNCTION("""COMPUTED_VALUE"""),"-")</f>
        <v>-</v>
      </c>
      <c r="I3128" s="19">
        <f>IFERROR(__xludf.DUMMYFUNCTION("""COMPUTED_VALUE"""),0.00224)</f>
        <v>0.00224</v>
      </c>
      <c r="J3128" s="19">
        <f>IFERROR(__xludf.DUMMYFUNCTION("""COMPUTED_VALUE"""),0.04742)</f>
        <v>0.04742</v>
      </c>
      <c r="K3128" s="19" t="str">
        <f>IFERROR(__xludf.DUMMYFUNCTION("""COMPUTED_VALUE"""),"-")</f>
        <v>-</v>
      </c>
      <c r="L3128" s="19" t="str">
        <f>IFERROR(__xludf.DUMMYFUNCTION("""COMPUTED_VALUE"""),"-")</f>
        <v>-</v>
      </c>
      <c r="O3128" s="24">
        <f t="shared" si="4"/>
        <v>0</v>
      </c>
      <c r="P3128" s="24"/>
      <c r="Q3128" s="24">
        <f t="shared" si="6"/>
        <v>0</v>
      </c>
      <c r="R3128" s="24">
        <f t="shared" si="7"/>
        <v>0</v>
      </c>
      <c r="S3128" s="24"/>
      <c r="T3128" s="24"/>
    </row>
    <row r="3129">
      <c r="A3129" s="12" t="s">
        <v>3216</v>
      </c>
      <c r="F3129" s="19">
        <f>IFERROR(__xludf.DUMMYFUNCTION("SPLIT(A3125, "" |"")"),3123.0)</f>
        <v>3123</v>
      </c>
      <c r="G3129" s="19">
        <f>IFERROR(__xludf.DUMMYFUNCTION("""COMPUTED_VALUE"""),0.00235)</f>
        <v>0.00235</v>
      </c>
      <c r="H3129" s="19" t="str">
        <f>IFERROR(__xludf.DUMMYFUNCTION("""COMPUTED_VALUE"""),"-")</f>
        <v>-</v>
      </c>
      <c r="I3129" s="19">
        <f>IFERROR(__xludf.DUMMYFUNCTION("""COMPUTED_VALUE"""),0.00223)</f>
        <v>0.00223</v>
      </c>
      <c r="J3129" s="19">
        <f>IFERROR(__xludf.DUMMYFUNCTION("""COMPUTED_VALUE"""),0.04748)</f>
        <v>0.04748</v>
      </c>
      <c r="K3129" s="19" t="str">
        <f>IFERROR(__xludf.DUMMYFUNCTION("""COMPUTED_VALUE"""),"-")</f>
        <v>-</v>
      </c>
      <c r="L3129" s="19" t="str">
        <f>IFERROR(__xludf.DUMMYFUNCTION("""COMPUTED_VALUE"""),"-")</f>
        <v>-</v>
      </c>
      <c r="O3129" s="24">
        <f t="shared" si="4"/>
        <v>0</v>
      </c>
      <c r="P3129" s="24"/>
      <c r="Q3129" s="24">
        <f t="shared" si="6"/>
        <v>0</v>
      </c>
      <c r="R3129" s="24">
        <f t="shared" si="7"/>
        <v>0</v>
      </c>
      <c r="S3129" s="24"/>
      <c r="T3129" s="24"/>
    </row>
    <row r="3130">
      <c r="A3130" s="12" t="s">
        <v>3217</v>
      </c>
      <c r="F3130" s="19">
        <f>IFERROR(__xludf.DUMMYFUNCTION("SPLIT(A3126, "" |"")"),3124.0)</f>
        <v>3124</v>
      </c>
      <c r="G3130" s="19">
        <f>IFERROR(__xludf.DUMMYFUNCTION("""COMPUTED_VALUE"""),0.00243)</f>
        <v>0.00243</v>
      </c>
      <c r="H3130" s="19" t="str">
        <f>IFERROR(__xludf.DUMMYFUNCTION("""COMPUTED_VALUE"""),"-")</f>
        <v>-</v>
      </c>
      <c r="I3130" s="19">
        <f>IFERROR(__xludf.DUMMYFUNCTION("""COMPUTED_VALUE"""),0.00228)</f>
        <v>0.00228</v>
      </c>
      <c r="J3130" s="19">
        <f>IFERROR(__xludf.DUMMYFUNCTION("""COMPUTED_VALUE"""),0.0475)</f>
        <v>0.0475</v>
      </c>
      <c r="K3130" s="19" t="str">
        <f>IFERROR(__xludf.DUMMYFUNCTION("""COMPUTED_VALUE"""),"-")</f>
        <v>-</v>
      </c>
      <c r="L3130" s="19" t="str">
        <f>IFERROR(__xludf.DUMMYFUNCTION("""COMPUTED_VALUE"""),"-")</f>
        <v>-</v>
      </c>
      <c r="O3130" s="24">
        <f t="shared" si="4"/>
        <v>0</v>
      </c>
      <c r="P3130" s="24"/>
      <c r="Q3130" s="24">
        <f t="shared" si="6"/>
        <v>0</v>
      </c>
      <c r="R3130" s="24">
        <f t="shared" si="7"/>
        <v>0</v>
      </c>
      <c r="S3130" s="24"/>
      <c r="T3130" s="24"/>
    </row>
    <row r="3131">
      <c r="A3131" s="12" t="s">
        <v>3218</v>
      </c>
      <c r="F3131" s="19">
        <f>IFERROR(__xludf.DUMMYFUNCTION("SPLIT(A3127, "" |"")"),3125.0)</f>
        <v>3125</v>
      </c>
      <c r="G3131" s="19">
        <f>IFERROR(__xludf.DUMMYFUNCTION("""COMPUTED_VALUE"""),0.00237)</f>
        <v>0.00237</v>
      </c>
      <c r="H3131" s="19" t="str">
        <f>IFERROR(__xludf.DUMMYFUNCTION("""COMPUTED_VALUE"""),"-")</f>
        <v>-</v>
      </c>
      <c r="I3131" s="19">
        <f>IFERROR(__xludf.DUMMYFUNCTION("""COMPUTED_VALUE"""),0.00218)</f>
        <v>0.00218</v>
      </c>
      <c r="J3131" s="19">
        <f>IFERROR(__xludf.DUMMYFUNCTION("""COMPUTED_VALUE"""),0.04745)</f>
        <v>0.04745</v>
      </c>
      <c r="K3131" s="19" t="str">
        <f>IFERROR(__xludf.DUMMYFUNCTION("""COMPUTED_VALUE"""),"-")</f>
        <v>-</v>
      </c>
      <c r="L3131" s="19" t="str">
        <f>IFERROR(__xludf.DUMMYFUNCTION("""COMPUTED_VALUE"""),"-")</f>
        <v>-</v>
      </c>
      <c r="O3131" s="24">
        <f t="shared" si="4"/>
        <v>0</v>
      </c>
      <c r="P3131" s="24"/>
      <c r="Q3131" s="24">
        <f t="shared" si="6"/>
        <v>0</v>
      </c>
      <c r="R3131" s="24">
        <f t="shared" si="7"/>
        <v>0</v>
      </c>
      <c r="S3131" s="24"/>
      <c r="T3131" s="24"/>
    </row>
    <row r="3132">
      <c r="A3132" s="12" t="s">
        <v>3219</v>
      </c>
      <c r="F3132" s="19">
        <f>IFERROR(__xludf.DUMMYFUNCTION("SPLIT(A3128, "" |"")"),3126.0)</f>
        <v>3126</v>
      </c>
      <c r="G3132" s="19">
        <f>IFERROR(__xludf.DUMMYFUNCTION("""COMPUTED_VALUE"""),0.00231)</f>
        <v>0.00231</v>
      </c>
      <c r="H3132" s="19" t="str">
        <f>IFERROR(__xludf.DUMMYFUNCTION("""COMPUTED_VALUE"""),"-")</f>
        <v>-</v>
      </c>
      <c r="I3132" s="19">
        <f>IFERROR(__xludf.DUMMYFUNCTION("""COMPUTED_VALUE"""),0.0022)</f>
        <v>0.0022</v>
      </c>
      <c r="J3132" s="19">
        <f>IFERROR(__xludf.DUMMYFUNCTION("""COMPUTED_VALUE"""),0.04748)</f>
        <v>0.04748</v>
      </c>
      <c r="K3132" s="19" t="str">
        <f>IFERROR(__xludf.DUMMYFUNCTION("""COMPUTED_VALUE"""),"-")</f>
        <v>-</v>
      </c>
      <c r="L3132" s="19" t="str">
        <f>IFERROR(__xludf.DUMMYFUNCTION("""COMPUTED_VALUE"""),"-")</f>
        <v>-</v>
      </c>
      <c r="O3132" s="24">
        <f t="shared" si="4"/>
        <v>0</v>
      </c>
      <c r="P3132" s="24"/>
      <c r="Q3132" s="24">
        <f t="shared" si="6"/>
        <v>0</v>
      </c>
      <c r="R3132" s="24">
        <f t="shared" si="7"/>
        <v>0</v>
      </c>
      <c r="S3132" s="24"/>
      <c r="T3132" s="24"/>
    </row>
    <row r="3133">
      <c r="A3133" s="12" t="s">
        <v>3220</v>
      </c>
      <c r="F3133" s="19">
        <f>IFERROR(__xludf.DUMMYFUNCTION("SPLIT(A3129, "" |"")"),3127.0)</f>
        <v>3127</v>
      </c>
      <c r="G3133" s="19">
        <f>IFERROR(__xludf.DUMMYFUNCTION("""COMPUTED_VALUE"""),0.00237)</f>
        <v>0.00237</v>
      </c>
      <c r="H3133" s="19" t="str">
        <f>IFERROR(__xludf.DUMMYFUNCTION("""COMPUTED_VALUE"""),"-")</f>
        <v>-</v>
      </c>
      <c r="I3133" s="19">
        <f>IFERROR(__xludf.DUMMYFUNCTION("""COMPUTED_VALUE"""),0.00223)</f>
        <v>0.00223</v>
      </c>
      <c r="J3133" s="19">
        <f>IFERROR(__xludf.DUMMYFUNCTION("""COMPUTED_VALUE"""),0.04733)</f>
        <v>0.04733</v>
      </c>
      <c r="K3133" s="19" t="str">
        <f>IFERROR(__xludf.DUMMYFUNCTION("""COMPUTED_VALUE"""),"-")</f>
        <v>-</v>
      </c>
      <c r="L3133" s="19" t="str">
        <f>IFERROR(__xludf.DUMMYFUNCTION("""COMPUTED_VALUE"""),"-")</f>
        <v>-</v>
      </c>
      <c r="O3133" s="24">
        <f t="shared" si="4"/>
        <v>0</v>
      </c>
      <c r="P3133" s="24"/>
      <c r="Q3133" s="24">
        <f t="shared" si="6"/>
        <v>0</v>
      </c>
      <c r="R3133" s="24">
        <f t="shared" si="7"/>
        <v>0</v>
      </c>
      <c r="S3133" s="24"/>
      <c r="T3133" s="24"/>
    </row>
    <row r="3134">
      <c r="A3134" s="12" t="s">
        <v>3221</v>
      </c>
      <c r="F3134" s="19">
        <f>IFERROR(__xludf.DUMMYFUNCTION("SPLIT(A3130, "" |"")"),3128.0)</f>
        <v>3128</v>
      </c>
      <c r="G3134" s="19">
        <f>IFERROR(__xludf.DUMMYFUNCTION("""COMPUTED_VALUE"""),0.00235)</f>
        <v>0.00235</v>
      </c>
      <c r="H3134" s="19" t="str">
        <f>IFERROR(__xludf.DUMMYFUNCTION("""COMPUTED_VALUE"""),"-")</f>
        <v>-</v>
      </c>
      <c r="I3134" s="19">
        <f>IFERROR(__xludf.DUMMYFUNCTION("""COMPUTED_VALUE"""),0.00222)</f>
        <v>0.00222</v>
      </c>
      <c r="J3134" s="19">
        <f>IFERROR(__xludf.DUMMYFUNCTION("""COMPUTED_VALUE"""),0.04746)</f>
        <v>0.04746</v>
      </c>
      <c r="K3134" s="19" t="str">
        <f>IFERROR(__xludf.DUMMYFUNCTION("""COMPUTED_VALUE"""),"-")</f>
        <v>-</v>
      </c>
      <c r="L3134" s="19" t="str">
        <f>IFERROR(__xludf.DUMMYFUNCTION("""COMPUTED_VALUE"""),"-")</f>
        <v>-</v>
      </c>
      <c r="O3134" s="24">
        <f t="shared" si="4"/>
        <v>0</v>
      </c>
      <c r="P3134" s="24"/>
      <c r="Q3134" s="24">
        <f t="shared" si="6"/>
        <v>0</v>
      </c>
      <c r="R3134" s="24">
        <f t="shared" si="7"/>
        <v>0</v>
      </c>
      <c r="S3134" s="24"/>
      <c r="T3134" s="24"/>
    </row>
    <row r="3135">
      <c r="A3135" s="12" t="s">
        <v>3222</v>
      </c>
      <c r="F3135" s="19">
        <f>IFERROR(__xludf.DUMMYFUNCTION("SPLIT(A3131, "" |"")"),3129.0)</f>
        <v>3129</v>
      </c>
      <c r="G3135" s="19">
        <f>IFERROR(__xludf.DUMMYFUNCTION("""COMPUTED_VALUE"""),0.0024)</f>
        <v>0.0024</v>
      </c>
      <c r="H3135" s="19" t="str">
        <f>IFERROR(__xludf.DUMMYFUNCTION("""COMPUTED_VALUE"""),"-")</f>
        <v>-</v>
      </c>
      <c r="I3135" s="19">
        <f>IFERROR(__xludf.DUMMYFUNCTION("""COMPUTED_VALUE"""),0.00221)</f>
        <v>0.00221</v>
      </c>
      <c r="J3135" s="19">
        <f>IFERROR(__xludf.DUMMYFUNCTION("""COMPUTED_VALUE"""),0.04744)</f>
        <v>0.04744</v>
      </c>
      <c r="K3135" s="19" t="str">
        <f>IFERROR(__xludf.DUMMYFUNCTION("""COMPUTED_VALUE"""),"-")</f>
        <v>-</v>
      </c>
      <c r="L3135" s="19" t="str">
        <f>IFERROR(__xludf.DUMMYFUNCTION("""COMPUTED_VALUE"""),"-")</f>
        <v>-</v>
      </c>
      <c r="O3135" s="24">
        <f t="shared" si="4"/>
        <v>0</v>
      </c>
      <c r="P3135" s="24"/>
      <c r="Q3135" s="24">
        <f t="shared" si="6"/>
        <v>0</v>
      </c>
      <c r="R3135" s="24">
        <f t="shared" si="7"/>
        <v>0</v>
      </c>
      <c r="S3135" s="24"/>
      <c r="T3135" s="24"/>
    </row>
    <row r="3136">
      <c r="A3136" s="12" t="s">
        <v>3223</v>
      </c>
      <c r="F3136" s="19">
        <f>IFERROR(__xludf.DUMMYFUNCTION("SPLIT(A3132, "" |"")"),3130.0)</f>
        <v>3130</v>
      </c>
      <c r="G3136" s="19">
        <f>IFERROR(__xludf.DUMMYFUNCTION("""COMPUTED_VALUE"""),0.00231)</f>
        <v>0.00231</v>
      </c>
      <c r="H3136" s="19" t="str">
        <f>IFERROR(__xludf.DUMMYFUNCTION("""COMPUTED_VALUE"""),"-")</f>
        <v>-</v>
      </c>
      <c r="I3136" s="19">
        <f>IFERROR(__xludf.DUMMYFUNCTION("""COMPUTED_VALUE"""),0.00222)</f>
        <v>0.00222</v>
      </c>
      <c r="J3136" s="19">
        <f>IFERROR(__xludf.DUMMYFUNCTION("""COMPUTED_VALUE"""),0.04702)</f>
        <v>0.04702</v>
      </c>
      <c r="K3136" s="19" t="str">
        <f>IFERROR(__xludf.DUMMYFUNCTION("""COMPUTED_VALUE"""),"-")</f>
        <v>-</v>
      </c>
      <c r="L3136" s="19" t="str">
        <f>IFERROR(__xludf.DUMMYFUNCTION("""COMPUTED_VALUE"""),"-")</f>
        <v>-</v>
      </c>
      <c r="O3136" s="24">
        <f t="shared" si="4"/>
        <v>0</v>
      </c>
      <c r="P3136" s="24"/>
      <c r="Q3136" s="24">
        <f t="shared" si="6"/>
        <v>0</v>
      </c>
      <c r="R3136" s="24">
        <f t="shared" si="7"/>
        <v>0</v>
      </c>
      <c r="S3136" s="24"/>
      <c r="T3136" s="24"/>
    </row>
    <row r="3137">
      <c r="A3137" s="12" t="s">
        <v>3224</v>
      </c>
      <c r="F3137" s="19">
        <f>IFERROR(__xludf.DUMMYFUNCTION("SPLIT(A3133, "" |"")"),3131.0)</f>
        <v>3131</v>
      </c>
      <c r="G3137" s="19">
        <f>IFERROR(__xludf.DUMMYFUNCTION("""COMPUTED_VALUE"""),0.00233)</f>
        <v>0.00233</v>
      </c>
      <c r="H3137" s="19" t="str">
        <f>IFERROR(__xludf.DUMMYFUNCTION("""COMPUTED_VALUE"""),"-")</f>
        <v>-</v>
      </c>
      <c r="I3137" s="19">
        <f>IFERROR(__xludf.DUMMYFUNCTION("""COMPUTED_VALUE"""),0.00219)</f>
        <v>0.00219</v>
      </c>
      <c r="J3137" s="19">
        <f>IFERROR(__xludf.DUMMYFUNCTION("""COMPUTED_VALUE"""),0.04744)</f>
        <v>0.04744</v>
      </c>
      <c r="K3137" s="19" t="str">
        <f>IFERROR(__xludf.DUMMYFUNCTION("""COMPUTED_VALUE"""),"-")</f>
        <v>-</v>
      </c>
      <c r="L3137" s="19" t="str">
        <f>IFERROR(__xludf.DUMMYFUNCTION("""COMPUTED_VALUE"""),"-")</f>
        <v>-</v>
      </c>
      <c r="O3137" s="24">
        <f t="shared" si="4"/>
        <v>0</v>
      </c>
      <c r="P3137" s="24"/>
      <c r="Q3137" s="24">
        <f t="shared" si="6"/>
        <v>0</v>
      </c>
      <c r="R3137" s="24">
        <f t="shared" si="7"/>
        <v>0</v>
      </c>
      <c r="S3137" s="24"/>
      <c r="T3137" s="24"/>
    </row>
    <row r="3138">
      <c r="A3138" s="12" t="s">
        <v>3225</v>
      </c>
      <c r="F3138" s="19">
        <f>IFERROR(__xludf.DUMMYFUNCTION("SPLIT(A3134, "" |"")"),3132.0)</f>
        <v>3132</v>
      </c>
      <c r="G3138" s="19">
        <f>IFERROR(__xludf.DUMMYFUNCTION("""COMPUTED_VALUE"""),0.00241)</f>
        <v>0.00241</v>
      </c>
      <c r="H3138" s="19" t="str">
        <f>IFERROR(__xludf.DUMMYFUNCTION("""COMPUTED_VALUE"""),"-")</f>
        <v>-</v>
      </c>
      <c r="I3138" s="19">
        <f>IFERROR(__xludf.DUMMYFUNCTION("""COMPUTED_VALUE"""),0.0022)</f>
        <v>0.0022</v>
      </c>
      <c r="J3138" s="19">
        <f>IFERROR(__xludf.DUMMYFUNCTION("""COMPUTED_VALUE"""),0.04745)</f>
        <v>0.04745</v>
      </c>
      <c r="K3138" s="19" t="str">
        <f>IFERROR(__xludf.DUMMYFUNCTION("""COMPUTED_VALUE"""),"-")</f>
        <v>-</v>
      </c>
      <c r="L3138" s="19" t="str">
        <f>IFERROR(__xludf.DUMMYFUNCTION("""COMPUTED_VALUE"""),"-")</f>
        <v>-</v>
      </c>
      <c r="O3138" s="24">
        <f t="shared" si="4"/>
        <v>0</v>
      </c>
      <c r="P3138" s="24"/>
      <c r="Q3138" s="24">
        <f t="shared" si="6"/>
        <v>0</v>
      </c>
      <c r="R3138" s="24">
        <f t="shared" si="7"/>
        <v>0</v>
      </c>
      <c r="S3138" s="24"/>
      <c r="T3138" s="24"/>
    </row>
    <row r="3139">
      <c r="A3139" s="12" t="s">
        <v>3226</v>
      </c>
      <c r="F3139" s="19">
        <f>IFERROR(__xludf.DUMMYFUNCTION("SPLIT(A3135, "" |"")"),3133.0)</f>
        <v>3133</v>
      </c>
      <c r="G3139" s="19">
        <f>IFERROR(__xludf.DUMMYFUNCTION("""COMPUTED_VALUE"""),0.00234)</f>
        <v>0.00234</v>
      </c>
      <c r="H3139" s="19" t="str">
        <f>IFERROR(__xludf.DUMMYFUNCTION("""COMPUTED_VALUE"""),"-")</f>
        <v>-</v>
      </c>
      <c r="I3139" s="19">
        <f>IFERROR(__xludf.DUMMYFUNCTION("""COMPUTED_VALUE"""),0.0022)</f>
        <v>0.0022</v>
      </c>
      <c r="J3139" s="19">
        <f>IFERROR(__xludf.DUMMYFUNCTION("""COMPUTED_VALUE"""),0.04743)</f>
        <v>0.04743</v>
      </c>
      <c r="K3139" s="19" t="str">
        <f>IFERROR(__xludf.DUMMYFUNCTION("""COMPUTED_VALUE"""),"-")</f>
        <v>-</v>
      </c>
      <c r="L3139" s="19" t="str">
        <f>IFERROR(__xludf.DUMMYFUNCTION("""COMPUTED_VALUE"""),"-")</f>
        <v>-</v>
      </c>
      <c r="O3139" s="24">
        <f t="shared" si="4"/>
        <v>0</v>
      </c>
      <c r="P3139" s="24"/>
      <c r="Q3139" s="24">
        <f t="shared" si="6"/>
        <v>0</v>
      </c>
      <c r="R3139" s="24">
        <f t="shared" si="7"/>
        <v>0</v>
      </c>
      <c r="S3139" s="24"/>
      <c r="T3139" s="24"/>
    </row>
    <row r="3140">
      <c r="A3140" s="12" t="s">
        <v>3227</v>
      </c>
      <c r="F3140" s="19">
        <f>IFERROR(__xludf.DUMMYFUNCTION("SPLIT(A3136, "" |"")"),3134.0)</f>
        <v>3134</v>
      </c>
      <c r="G3140" s="19">
        <f>IFERROR(__xludf.DUMMYFUNCTION("""COMPUTED_VALUE"""),0.00235)</f>
        <v>0.00235</v>
      </c>
      <c r="H3140" s="19" t="str">
        <f>IFERROR(__xludf.DUMMYFUNCTION("""COMPUTED_VALUE"""),"-")</f>
        <v>-</v>
      </c>
      <c r="I3140" s="19">
        <f>IFERROR(__xludf.DUMMYFUNCTION("""COMPUTED_VALUE"""),0.00219)</f>
        <v>0.00219</v>
      </c>
      <c r="J3140" s="19">
        <f>IFERROR(__xludf.DUMMYFUNCTION("""COMPUTED_VALUE"""),0.04648)</f>
        <v>0.04648</v>
      </c>
      <c r="K3140" s="19" t="str">
        <f>IFERROR(__xludf.DUMMYFUNCTION("""COMPUTED_VALUE"""),"-")</f>
        <v>-</v>
      </c>
      <c r="L3140" s="19" t="str">
        <f>IFERROR(__xludf.DUMMYFUNCTION("""COMPUTED_VALUE"""),"-")</f>
        <v>-</v>
      </c>
      <c r="O3140" s="24">
        <f t="shared" si="4"/>
        <v>0</v>
      </c>
      <c r="P3140" s="24"/>
      <c r="Q3140" s="24">
        <f t="shared" si="6"/>
        <v>0</v>
      </c>
      <c r="R3140" s="24">
        <f t="shared" si="7"/>
        <v>0</v>
      </c>
      <c r="S3140" s="24"/>
      <c r="T3140" s="24"/>
    </row>
    <row r="3141">
      <c r="A3141" s="12" t="s">
        <v>3228</v>
      </c>
      <c r="F3141" s="19">
        <f>IFERROR(__xludf.DUMMYFUNCTION("SPLIT(A3137, "" |"")"),3135.0)</f>
        <v>3135</v>
      </c>
      <c r="G3141" s="19">
        <f>IFERROR(__xludf.DUMMYFUNCTION("""COMPUTED_VALUE"""),0.00231)</f>
        <v>0.00231</v>
      </c>
      <c r="H3141" s="19" t="str">
        <f>IFERROR(__xludf.DUMMYFUNCTION("""COMPUTED_VALUE"""),"-")</f>
        <v>-</v>
      </c>
      <c r="I3141" s="19">
        <f>IFERROR(__xludf.DUMMYFUNCTION("""COMPUTED_VALUE"""),0.00226)</f>
        <v>0.00226</v>
      </c>
      <c r="J3141" s="19">
        <f>IFERROR(__xludf.DUMMYFUNCTION("""COMPUTED_VALUE"""),0.0474)</f>
        <v>0.0474</v>
      </c>
      <c r="K3141" s="19" t="str">
        <f>IFERROR(__xludf.DUMMYFUNCTION("""COMPUTED_VALUE"""),"-")</f>
        <v>-</v>
      </c>
      <c r="L3141" s="19" t="str">
        <f>IFERROR(__xludf.DUMMYFUNCTION("""COMPUTED_VALUE"""),"-")</f>
        <v>-</v>
      </c>
      <c r="O3141" s="24">
        <f t="shared" si="4"/>
        <v>0</v>
      </c>
      <c r="P3141" s="24"/>
      <c r="Q3141" s="24">
        <f t="shared" si="6"/>
        <v>0</v>
      </c>
      <c r="R3141" s="24">
        <f t="shared" si="7"/>
        <v>0</v>
      </c>
      <c r="S3141" s="24"/>
      <c r="T3141" s="24"/>
    </row>
    <row r="3142">
      <c r="A3142" s="12" t="s">
        <v>3229</v>
      </c>
      <c r="F3142" s="19">
        <f>IFERROR(__xludf.DUMMYFUNCTION("SPLIT(A3138, "" |"")"),3136.0)</f>
        <v>3136</v>
      </c>
      <c r="G3142" s="19">
        <f>IFERROR(__xludf.DUMMYFUNCTION("""COMPUTED_VALUE"""),0.00237)</f>
        <v>0.00237</v>
      </c>
      <c r="H3142" s="19" t="str">
        <f>IFERROR(__xludf.DUMMYFUNCTION("""COMPUTED_VALUE"""),"-")</f>
        <v>-</v>
      </c>
      <c r="I3142" s="19">
        <f>IFERROR(__xludf.DUMMYFUNCTION("""COMPUTED_VALUE"""),0.00222)</f>
        <v>0.00222</v>
      </c>
      <c r="J3142" s="19">
        <f>IFERROR(__xludf.DUMMYFUNCTION("""COMPUTED_VALUE"""),0.04741)</f>
        <v>0.04741</v>
      </c>
      <c r="K3142" s="19" t="str">
        <f>IFERROR(__xludf.DUMMYFUNCTION("""COMPUTED_VALUE"""),"-")</f>
        <v>-</v>
      </c>
      <c r="L3142" s="19" t="str">
        <f>IFERROR(__xludf.DUMMYFUNCTION("""COMPUTED_VALUE"""),"-")</f>
        <v>-</v>
      </c>
      <c r="O3142" s="24">
        <f t="shared" si="4"/>
        <v>0</v>
      </c>
      <c r="P3142" s="24"/>
      <c r="Q3142" s="24">
        <f t="shared" si="6"/>
        <v>0</v>
      </c>
      <c r="R3142" s="24">
        <f t="shared" si="7"/>
        <v>0</v>
      </c>
      <c r="S3142" s="24"/>
      <c r="T3142" s="24"/>
    </row>
    <row r="3143">
      <c r="A3143" s="12" t="s">
        <v>3230</v>
      </c>
      <c r="F3143" s="19">
        <f>IFERROR(__xludf.DUMMYFUNCTION("SPLIT(A3139, "" |"")"),3137.0)</f>
        <v>3137</v>
      </c>
      <c r="G3143" s="19">
        <f>IFERROR(__xludf.DUMMYFUNCTION("""COMPUTED_VALUE"""),0.00233)</f>
        <v>0.00233</v>
      </c>
      <c r="H3143" s="19" t="str">
        <f>IFERROR(__xludf.DUMMYFUNCTION("""COMPUTED_VALUE"""),"-")</f>
        <v>-</v>
      </c>
      <c r="I3143" s="19">
        <f>IFERROR(__xludf.DUMMYFUNCTION("""COMPUTED_VALUE"""),0.00225)</f>
        <v>0.00225</v>
      </c>
      <c r="J3143" s="19">
        <f>IFERROR(__xludf.DUMMYFUNCTION("""COMPUTED_VALUE"""),0.04555)</f>
        <v>0.04555</v>
      </c>
      <c r="K3143" s="19" t="str">
        <f>IFERROR(__xludf.DUMMYFUNCTION("""COMPUTED_VALUE"""),"-")</f>
        <v>-</v>
      </c>
      <c r="L3143" s="19" t="str">
        <f>IFERROR(__xludf.DUMMYFUNCTION("""COMPUTED_VALUE"""),"-")</f>
        <v>-</v>
      </c>
      <c r="O3143" s="24">
        <f t="shared" si="4"/>
        <v>0</v>
      </c>
      <c r="P3143" s="24"/>
      <c r="Q3143" s="24">
        <f t="shared" si="6"/>
        <v>0</v>
      </c>
      <c r="R3143" s="24">
        <f t="shared" si="7"/>
        <v>0</v>
      </c>
      <c r="S3143" s="24"/>
      <c r="T3143" s="24"/>
    </row>
    <row r="3144">
      <c r="A3144" s="12" t="s">
        <v>3231</v>
      </c>
      <c r="F3144" s="19">
        <f>IFERROR(__xludf.DUMMYFUNCTION("SPLIT(A3140, "" |"")"),3138.0)</f>
        <v>3138</v>
      </c>
      <c r="G3144" s="19">
        <f>IFERROR(__xludf.DUMMYFUNCTION("""COMPUTED_VALUE"""),0.00238)</f>
        <v>0.00238</v>
      </c>
      <c r="H3144" s="19" t="str">
        <f>IFERROR(__xludf.DUMMYFUNCTION("""COMPUTED_VALUE"""),"-")</f>
        <v>-</v>
      </c>
      <c r="I3144" s="19">
        <f>IFERROR(__xludf.DUMMYFUNCTION("""COMPUTED_VALUE"""),0.00225)</f>
        <v>0.00225</v>
      </c>
      <c r="J3144" s="19">
        <f>IFERROR(__xludf.DUMMYFUNCTION("""COMPUTED_VALUE"""),0.04747)</f>
        <v>0.04747</v>
      </c>
      <c r="K3144" s="19" t="str">
        <f>IFERROR(__xludf.DUMMYFUNCTION("""COMPUTED_VALUE"""),"-")</f>
        <v>-</v>
      </c>
      <c r="L3144" s="19" t="str">
        <f>IFERROR(__xludf.DUMMYFUNCTION("""COMPUTED_VALUE"""),"-")</f>
        <v>-</v>
      </c>
      <c r="O3144" s="24">
        <f t="shared" si="4"/>
        <v>0</v>
      </c>
      <c r="P3144" s="24"/>
      <c r="Q3144" s="24">
        <f t="shared" si="6"/>
        <v>0</v>
      </c>
      <c r="R3144" s="24">
        <f t="shared" si="7"/>
        <v>0</v>
      </c>
      <c r="S3144" s="24"/>
      <c r="T3144" s="24"/>
    </row>
    <row r="3145">
      <c r="A3145" s="12" t="s">
        <v>3232</v>
      </c>
      <c r="F3145" s="19">
        <f>IFERROR(__xludf.DUMMYFUNCTION("SPLIT(A3141, "" |"")"),3139.0)</f>
        <v>3139</v>
      </c>
      <c r="G3145" s="19">
        <f>IFERROR(__xludf.DUMMYFUNCTION("""COMPUTED_VALUE"""),0.00234)</f>
        <v>0.00234</v>
      </c>
      <c r="H3145" s="19" t="str">
        <f>IFERROR(__xludf.DUMMYFUNCTION("""COMPUTED_VALUE"""),"-")</f>
        <v>-</v>
      </c>
      <c r="I3145" s="19">
        <f>IFERROR(__xludf.DUMMYFUNCTION("""COMPUTED_VALUE"""),0.00223)</f>
        <v>0.00223</v>
      </c>
      <c r="J3145" s="19">
        <f>IFERROR(__xludf.DUMMYFUNCTION("""COMPUTED_VALUE"""),0.04745)</f>
        <v>0.04745</v>
      </c>
      <c r="K3145" s="19" t="str">
        <f>IFERROR(__xludf.DUMMYFUNCTION("""COMPUTED_VALUE"""),"-")</f>
        <v>-</v>
      </c>
      <c r="L3145" s="19" t="str">
        <f>IFERROR(__xludf.DUMMYFUNCTION("""COMPUTED_VALUE"""),"-")</f>
        <v>-</v>
      </c>
      <c r="O3145" s="24">
        <f t="shared" si="4"/>
        <v>0</v>
      </c>
      <c r="P3145" s="24"/>
      <c r="Q3145" s="24">
        <f t="shared" si="6"/>
        <v>0</v>
      </c>
      <c r="R3145" s="24">
        <f t="shared" si="7"/>
        <v>0</v>
      </c>
      <c r="S3145" s="24"/>
      <c r="T3145" s="24"/>
    </row>
    <row r="3146">
      <c r="A3146" s="12" t="s">
        <v>3233</v>
      </c>
      <c r="F3146" s="19">
        <f>IFERROR(__xludf.DUMMYFUNCTION("SPLIT(A3142, "" |"")"),3140.0)</f>
        <v>3140</v>
      </c>
      <c r="G3146" s="19">
        <f>IFERROR(__xludf.DUMMYFUNCTION("""COMPUTED_VALUE"""),0.00239)</f>
        <v>0.00239</v>
      </c>
      <c r="H3146" s="19" t="str">
        <f>IFERROR(__xludf.DUMMYFUNCTION("""COMPUTED_VALUE"""),"-")</f>
        <v>-</v>
      </c>
      <c r="I3146" s="19">
        <f>IFERROR(__xludf.DUMMYFUNCTION("""COMPUTED_VALUE"""),0.00219)</f>
        <v>0.00219</v>
      </c>
      <c r="J3146" s="19">
        <f>IFERROR(__xludf.DUMMYFUNCTION("""COMPUTED_VALUE"""),0.04739)</f>
        <v>0.04739</v>
      </c>
      <c r="K3146" s="19" t="str">
        <f>IFERROR(__xludf.DUMMYFUNCTION("""COMPUTED_VALUE"""),"-")</f>
        <v>-</v>
      </c>
      <c r="L3146" s="19" t="str">
        <f>IFERROR(__xludf.DUMMYFUNCTION("""COMPUTED_VALUE"""),"-")</f>
        <v>-</v>
      </c>
      <c r="O3146" s="24">
        <f t="shared" si="4"/>
        <v>0</v>
      </c>
      <c r="P3146" s="24"/>
      <c r="Q3146" s="24">
        <f t="shared" si="6"/>
        <v>0</v>
      </c>
      <c r="R3146" s="24">
        <f t="shared" si="7"/>
        <v>0</v>
      </c>
      <c r="S3146" s="24"/>
      <c r="T3146" s="24"/>
    </row>
    <row r="3147">
      <c r="A3147" s="12" t="s">
        <v>3234</v>
      </c>
      <c r="F3147" s="19">
        <f>IFERROR(__xludf.DUMMYFUNCTION("SPLIT(A3143, "" |"")"),3141.0)</f>
        <v>3141</v>
      </c>
      <c r="G3147" s="19">
        <f>IFERROR(__xludf.DUMMYFUNCTION("""COMPUTED_VALUE"""),0.00236)</f>
        <v>0.00236</v>
      </c>
      <c r="H3147" s="19" t="str">
        <f>IFERROR(__xludf.DUMMYFUNCTION("""COMPUTED_VALUE"""),"-")</f>
        <v>-</v>
      </c>
      <c r="I3147" s="19">
        <f>IFERROR(__xludf.DUMMYFUNCTION("""COMPUTED_VALUE"""),0.00222)</f>
        <v>0.00222</v>
      </c>
      <c r="J3147" s="19">
        <f>IFERROR(__xludf.DUMMYFUNCTION("""COMPUTED_VALUE"""),0.04738)</f>
        <v>0.04738</v>
      </c>
      <c r="K3147" s="19" t="str">
        <f>IFERROR(__xludf.DUMMYFUNCTION("""COMPUTED_VALUE"""),"-")</f>
        <v>-</v>
      </c>
      <c r="L3147" s="19" t="str">
        <f>IFERROR(__xludf.DUMMYFUNCTION("""COMPUTED_VALUE"""),"-")</f>
        <v>-</v>
      </c>
      <c r="O3147" s="24">
        <f t="shared" si="4"/>
        <v>0</v>
      </c>
      <c r="P3147" s="24"/>
      <c r="Q3147" s="24">
        <f t="shared" si="6"/>
        <v>0</v>
      </c>
      <c r="R3147" s="24">
        <f t="shared" si="7"/>
        <v>0</v>
      </c>
      <c r="S3147" s="24"/>
      <c r="T3147" s="24"/>
    </row>
    <row r="3148">
      <c r="A3148" s="12" t="s">
        <v>3235</v>
      </c>
      <c r="F3148" s="19">
        <f>IFERROR(__xludf.DUMMYFUNCTION("SPLIT(A3144, "" |"")"),3142.0)</f>
        <v>3142</v>
      </c>
      <c r="G3148" s="19">
        <f>IFERROR(__xludf.DUMMYFUNCTION("""COMPUTED_VALUE"""),0.00236)</f>
        <v>0.00236</v>
      </c>
      <c r="H3148" s="19" t="str">
        <f>IFERROR(__xludf.DUMMYFUNCTION("""COMPUTED_VALUE"""),"-")</f>
        <v>-</v>
      </c>
      <c r="I3148" s="19">
        <f>IFERROR(__xludf.DUMMYFUNCTION("""COMPUTED_VALUE"""),0.00225)</f>
        <v>0.00225</v>
      </c>
      <c r="J3148" s="19">
        <f>IFERROR(__xludf.DUMMYFUNCTION("""COMPUTED_VALUE"""),0.04739)</f>
        <v>0.04739</v>
      </c>
      <c r="K3148" s="19" t="str">
        <f>IFERROR(__xludf.DUMMYFUNCTION("""COMPUTED_VALUE"""),"-")</f>
        <v>-</v>
      </c>
      <c r="L3148" s="19" t="str">
        <f>IFERROR(__xludf.DUMMYFUNCTION("""COMPUTED_VALUE"""),"-")</f>
        <v>-</v>
      </c>
      <c r="O3148" s="24">
        <f t="shared" si="4"/>
        <v>0</v>
      </c>
      <c r="P3148" s="24"/>
      <c r="Q3148" s="24">
        <f t="shared" si="6"/>
        <v>0</v>
      </c>
      <c r="R3148" s="24">
        <f t="shared" si="7"/>
        <v>0</v>
      </c>
      <c r="S3148" s="24"/>
      <c r="T3148" s="24"/>
    </row>
    <row r="3149">
      <c r="A3149" s="12" t="s">
        <v>3236</v>
      </c>
      <c r="F3149" s="19">
        <f>IFERROR(__xludf.DUMMYFUNCTION("SPLIT(A3145, "" |"")"),3143.0)</f>
        <v>3143</v>
      </c>
      <c r="G3149" s="19">
        <f>IFERROR(__xludf.DUMMYFUNCTION("""COMPUTED_VALUE"""),0.00236)</f>
        <v>0.00236</v>
      </c>
      <c r="H3149" s="19" t="str">
        <f>IFERROR(__xludf.DUMMYFUNCTION("""COMPUTED_VALUE"""),"-")</f>
        <v>-</v>
      </c>
      <c r="I3149" s="19">
        <f>IFERROR(__xludf.DUMMYFUNCTION("""COMPUTED_VALUE"""),0.00231)</f>
        <v>0.00231</v>
      </c>
      <c r="J3149" s="19">
        <f>IFERROR(__xludf.DUMMYFUNCTION("""COMPUTED_VALUE"""),0.04749)</f>
        <v>0.04749</v>
      </c>
      <c r="K3149" s="19" t="str">
        <f>IFERROR(__xludf.DUMMYFUNCTION("""COMPUTED_VALUE"""),"-")</f>
        <v>-</v>
      </c>
      <c r="L3149" s="19" t="str">
        <f>IFERROR(__xludf.DUMMYFUNCTION("""COMPUTED_VALUE"""),"-")</f>
        <v>-</v>
      </c>
      <c r="O3149" s="24">
        <f t="shared" si="4"/>
        <v>0</v>
      </c>
      <c r="P3149" s="24"/>
      <c r="Q3149" s="24">
        <f t="shared" si="6"/>
        <v>0</v>
      </c>
      <c r="R3149" s="24">
        <f t="shared" si="7"/>
        <v>0</v>
      </c>
      <c r="S3149" s="24"/>
      <c r="T3149" s="24"/>
    </row>
    <row r="3150">
      <c r="A3150" s="12" t="s">
        <v>3237</v>
      </c>
      <c r="F3150" s="19">
        <f>IFERROR(__xludf.DUMMYFUNCTION("SPLIT(A3146, "" |"")"),3144.0)</f>
        <v>3144</v>
      </c>
      <c r="G3150" s="19">
        <f>IFERROR(__xludf.DUMMYFUNCTION("""COMPUTED_VALUE"""),0.00237)</f>
        <v>0.00237</v>
      </c>
      <c r="H3150" s="19" t="str">
        <f>IFERROR(__xludf.DUMMYFUNCTION("""COMPUTED_VALUE"""),"-")</f>
        <v>-</v>
      </c>
      <c r="I3150" s="19">
        <f>IFERROR(__xludf.DUMMYFUNCTION("""COMPUTED_VALUE"""),0.00221)</f>
        <v>0.00221</v>
      </c>
      <c r="J3150" s="19">
        <f>IFERROR(__xludf.DUMMYFUNCTION("""COMPUTED_VALUE"""),0.0378)</f>
        <v>0.0378</v>
      </c>
      <c r="K3150" s="19" t="str">
        <f>IFERROR(__xludf.DUMMYFUNCTION("""COMPUTED_VALUE"""),"-")</f>
        <v>-</v>
      </c>
      <c r="L3150" s="19" t="str">
        <f>IFERROR(__xludf.DUMMYFUNCTION("""COMPUTED_VALUE"""),"-")</f>
        <v>-</v>
      </c>
      <c r="O3150" s="24">
        <f t="shared" si="4"/>
        <v>0</v>
      </c>
      <c r="P3150" s="24"/>
      <c r="Q3150" s="24">
        <f t="shared" si="6"/>
        <v>0</v>
      </c>
      <c r="R3150" s="24">
        <f t="shared" si="7"/>
        <v>1</v>
      </c>
      <c r="S3150" s="24"/>
      <c r="T3150" s="24"/>
    </row>
    <row r="3151">
      <c r="A3151" s="12" t="s">
        <v>3238</v>
      </c>
      <c r="F3151" s="19">
        <f>IFERROR(__xludf.DUMMYFUNCTION("SPLIT(A3147, "" |"")"),3145.0)</f>
        <v>3145</v>
      </c>
      <c r="G3151" s="19">
        <f>IFERROR(__xludf.DUMMYFUNCTION("""COMPUTED_VALUE"""),0.00236)</f>
        <v>0.00236</v>
      </c>
      <c r="H3151" s="19" t="str">
        <f>IFERROR(__xludf.DUMMYFUNCTION("""COMPUTED_VALUE"""),"-")</f>
        <v>-</v>
      </c>
      <c r="I3151" s="19">
        <f>IFERROR(__xludf.DUMMYFUNCTION("""COMPUTED_VALUE"""),0.0022)</f>
        <v>0.0022</v>
      </c>
      <c r="J3151" s="19">
        <f>IFERROR(__xludf.DUMMYFUNCTION("""COMPUTED_VALUE"""),0.04483)</f>
        <v>0.04483</v>
      </c>
      <c r="K3151" s="19" t="str">
        <f>IFERROR(__xludf.DUMMYFUNCTION("""COMPUTED_VALUE"""),"-")</f>
        <v>-</v>
      </c>
      <c r="L3151" s="19" t="str">
        <f>IFERROR(__xludf.DUMMYFUNCTION("""COMPUTED_VALUE"""),"-")</f>
        <v>-</v>
      </c>
      <c r="O3151" s="24">
        <f t="shared" si="4"/>
        <v>0</v>
      </c>
      <c r="P3151" s="24"/>
      <c r="Q3151" s="24">
        <f t="shared" si="6"/>
        <v>0</v>
      </c>
      <c r="R3151" s="24">
        <f t="shared" si="7"/>
        <v>1</v>
      </c>
      <c r="S3151" s="24"/>
      <c r="T3151" s="24"/>
    </row>
    <row r="3152">
      <c r="A3152" s="12" t="s">
        <v>3239</v>
      </c>
      <c r="F3152" s="19">
        <f>IFERROR(__xludf.DUMMYFUNCTION("SPLIT(A3148, "" |"")"),3146.0)</f>
        <v>3146</v>
      </c>
      <c r="G3152" s="19">
        <f>IFERROR(__xludf.DUMMYFUNCTION("""COMPUTED_VALUE"""),0.00227)</f>
        <v>0.00227</v>
      </c>
      <c r="H3152" s="19" t="str">
        <f>IFERROR(__xludf.DUMMYFUNCTION("""COMPUTED_VALUE"""),"-")</f>
        <v>-</v>
      </c>
      <c r="I3152" s="19">
        <f>IFERROR(__xludf.DUMMYFUNCTION("""COMPUTED_VALUE"""),0.0022)</f>
        <v>0.0022</v>
      </c>
      <c r="J3152" s="19">
        <f>IFERROR(__xludf.DUMMYFUNCTION("""COMPUTED_VALUE"""),0.04736)</f>
        <v>0.04736</v>
      </c>
      <c r="K3152" s="19" t="str">
        <f>IFERROR(__xludf.DUMMYFUNCTION("""COMPUTED_VALUE"""),"-")</f>
        <v>-</v>
      </c>
      <c r="L3152" s="19" t="str">
        <f>IFERROR(__xludf.DUMMYFUNCTION("""COMPUTED_VALUE"""),"-")</f>
        <v>-</v>
      </c>
      <c r="O3152" s="24">
        <f t="shared" si="4"/>
        <v>0</v>
      </c>
      <c r="P3152" s="24"/>
      <c r="Q3152" s="24">
        <f t="shared" si="6"/>
        <v>0</v>
      </c>
      <c r="R3152" s="24">
        <f t="shared" si="7"/>
        <v>0</v>
      </c>
      <c r="S3152" s="24"/>
      <c r="T3152" s="24"/>
    </row>
    <row r="3153">
      <c r="A3153" s="12" t="s">
        <v>3240</v>
      </c>
      <c r="F3153" s="19">
        <f>IFERROR(__xludf.DUMMYFUNCTION("SPLIT(A3149, "" |"")"),3147.0)</f>
        <v>3147</v>
      </c>
      <c r="G3153" s="19">
        <f>IFERROR(__xludf.DUMMYFUNCTION("""COMPUTED_VALUE"""),0.00226)</f>
        <v>0.00226</v>
      </c>
      <c r="H3153" s="19" t="str">
        <f>IFERROR(__xludf.DUMMYFUNCTION("""COMPUTED_VALUE"""),"-")</f>
        <v>-</v>
      </c>
      <c r="I3153" s="19">
        <f>IFERROR(__xludf.DUMMYFUNCTION("""COMPUTED_VALUE"""),0.0022)</f>
        <v>0.0022</v>
      </c>
      <c r="J3153" s="19">
        <f>IFERROR(__xludf.DUMMYFUNCTION("""COMPUTED_VALUE"""),0.04743)</f>
        <v>0.04743</v>
      </c>
      <c r="K3153" s="19" t="str">
        <f>IFERROR(__xludf.DUMMYFUNCTION("""COMPUTED_VALUE"""),"-")</f>
        <v>-</v>
      </c>
      <c r="L3153" s="19" t="str">
        <f>IFERROR(__xludf.DUMMYFUNCTION("""COMPUTED_VALUE"""),"-")</f>
        <v>-</v>
      </c>
      <c r="O3153" s="24">
        <f t="shared" si="4"/>
        <v>0</v>
      </c>
      <c r="P3153" s="24"/>
      <c r="Q3153" s="24">
        <f t="shared" si="6"/>
        <v>0</v>
      </c>
      <c r="R3153" s="24">
        <f t="shared" si="7"/>
        <v>0</v>
      </c>
      <c r="S3153" s="24"/>
      <c r="T3153" s="24"/>
    </row>
    <row r="3154">
      <c r="A3154" s="12" t="s">
        <v>3241</v>
      </c>
      <c r="F3154" s="19">
        <f>IFERROR(__xludf.DUMMYFUNCTION("SPLIT(A3150, "" |"")"),3148.0)</f>
        <v>3148</v>
      </c>
      <c r="G3154" s="19">
        <f>IFERROR(__xludf.DUMMYFUNCTION("""COMPUTED_VALUE"""),0.00231)</f>
        <v>0.00231</v>
      </c>
      <c r="H3154" s="19" t="str">
        <f>IFERROR(__xludf.DUMMYFUNCTION("""COMPUTED_VALUE"""),"-")</f>
        <v>-</v>
      </c>
      <c r="I3154" s="19">
        <f>IFERROR(__xludf.DUMMYFUNCTION("""COMPUTED_VALUE"""),0.00221)</f>
        <v>0.00221</v>
      </c>
      <c r="J3154" s="19">
        <f>IFERROR(__xludf.DUMMYFUNCTION("""COMPUTED_VALUE"""),0.04745)</f>
        <v>0.04745</v>
      </c>
      <c r="K3154" s="19" t="str">
        <f>IFERROR(__xludf.DUMMYFUNCTION("""COMPUTED_VALUE"""),"-")</f>
        <v>-</v>
      </c>
      <c r="L3154" s="19" t="str">
        <f>IFERROR(__xludf.DUMMYFUNCTION("""COMPUTED_VALUE"""),"-")</f>
        <v>-</v>
      </c>
      <c r="O3154" s="24">
        <f t="shared" si="4"/>
        <v>0</v>
      </c>
      <c r="P3154" s="24"/>
      <c r="Q3154" s="24">
        <f t="shared" si="6"/>
        <v>0</v>
      </c>
      <c r="R3154" s="24">
        <f t="shared" si="7"/>
        <v>0</v>
      </c>
      <c r="S3154" s="24"/>
      <c r="T3154" s="24"/>
    </row>
    <row r="3155">
      <c r="A3155" s="12" t="s">
        <v>3242</v>
      </c>
      <c r="F3155" s="19">
        <f>IFERROR(__xludf.DUMMYFUNCTION("SPLIT(A3151, "" |"")"),3149.0)</f>
        <v>3149</v>
      </c>
      <c r="G3155" s="19">
        <f>IFERROR(__xludf.DUMMYFUNCTION("""COMPUTED_VALUE"""),0.00226)</f>
        <v>0.00226</v>
      </c>
      <c r="H3155" s="19" t="str">
        <f>IFERROR(__xludf.DUMMYFUNCTION("""COMPUTED_VALUE"""),"-")</f>
        <v>-</v>
      </c>
      <c r="I3155" s="19">
        <f>IFERROR(__xludf.DUMMYFUNCTION("""COMPUTED_VALUE"""),0.00225)</f>
        <v>0.00225</v>
      </c>
      <c r="J3155" s="19">
        <f>IFERROR(__xludf.DUMMYFUNCTION("""COMPUTED_VALUE"""),0.04737)</f>
        <v>0.04737</v>
      </c>
      <c r="K3155" s="19" t="str">
        <f>IFERROR(__xludf.DUMMYFUNCTION("""COMPUTED_VALUE"""),"-")</f>
        <v>-</v>
      </c>
      <c r="L3155" s="19" t="str">
        <f>IFERROR(__xludf.DUMMYFUNCTION("""COMPUTED_VALUE"""),"-")</f>
        <v>-</v>
      </c>
      <c r="O3155" s="24">
        <f t="shared" si="4"/>
        <v>0</v>
      </c>
      <c r="P3155" s="24"/>
      <c r="Q3155" s="24">
        <f t="shared" si="6"/>
        <v>0</v>
      </c>
      <c r="R3155" s="24">
        <f t="shared" si="7"/>
        <v>0</v>
      </c>
      <c r="S3155" s="24"/>
      <c r="T3155" s="24"/>
    </row>
    <row r="3156">
      <c r="A3156" s="12" t="s">
        <v>3243</v>
      </c>
      <c r="F3156" s="19">
        <f>IFERROR(__xludf.DUMMYFUNCTION("SPLIT(A3152, "" |"")"),3150.0)</f>
        <v>3150</v>
      </c>
      <c r="G3156" s="19">
        <f>IFERROR(__xludf.DUMMYFUNCTION("""COMPUTED_VALUE"""),0.00238)</f>
        <v>0.00238</v>
      </c>
      <c r="H3156" s="19" t="str">
        <f>IFERROR(__xludf.DUMMYFUNCTION("""COMPUTED_VALUE"""),"-")</f>
        <v>-</v>
      </c>
      <c r="I3156" s="19">
        <f>IFERROR(__xludf.DUMMYFUNCTION("""COMPUTED_VALUE"""),0.00227)</f>
        <v>0.00227</v>
      </c>
      <c r="J3156" s="19">
        <f>IFERROR(__xludf.DUMMYFUNCTION("""COMPUTED_VALUE"""),0.04752)</f>
        <v>0.04752</v>
      </c>
      <c r="K3156" s="19" t="str">
        <f>IFERROR(__xludf.DUMMYFUNCTION("""COMPUTED_VALUE"""),"-")</f>
        <v>-</v>
      </c>
      <c r="L3156" s="19" t="str">
        <f>IFERROR(__xludf.DUMMYFUNCTION("""COMPUTED_VALUE"""),"-")</f>
        <v>-</v>
      </c>
      <c r="O3156" s="24">
        <f t="shared" si="4"/>
        <v>0</v>
      </c>
      <c r="P3156" s="24"/>
      <c r="Q3156" s="24">
        <f t="shared" si="6"/>
        <v>0</v>
      </c>
      <c r="R3156" s="24">
        <f t="shared" si="7"/>
        <v>0</v>
      </c>
      <c r="S3156" s="24"/>
      <c r="T3156" s="24"/>
    </row>
    <row r="3157">
      <c r="A3157" s="12" t="s">
        <v>3244</v>
      </c>
      <c r="F3157" s="19">
        <f>IFERROR(__xludf.DUMMYFUNCTION("SPLIT(A3153, "" |"")"),3151.0)</f>
        <v>3151</v>
      </c>
      <c r="G3157" s="19">
        <f>IFERROR(__xludf.DUMMYFUNCTION("""COMPUTED_VALUE"""),0.00234)</f>
        <v>0.00234</v>
      </c>
      <c r="H3157" s="19" t="str">
        <f>IFERROR(__xludf.DUMMYFUNCTION("""COMPUTED_VALUE"""),"-")</f>
        <v>-</v>
      </c>
      <c r="I3157" s="19">
        <f>IFERROR(__xludf.DUMMYFUNCTION("""COMPUTED_VALUE"""),0.0022)</f>
        <v>0.0022</v>
      </c>
      <c r="J3157" s="19">
        <f>IFERROR(__xludf.DUMMYFUNCTION("""COMPUTED_VALUE"""),0.04774)</f>
        <v>0.04774</v>
      </c>
      <c r="K3157" s="19" t="str">
        <f>IFERROR(__xludf.DUMMYFUNCTION("""COMPUTED_VALUE"""),"-")</f>
        <v>-</v>
      </c>
      <c r="L3157" s="19" t="str">
        <f>IFERROR(__xludf.DUMMYFUNCTION("""COMPUTED_VALUE"""),"-")</f>
        <v>-</v>
      </c>
      <c r="O3157" s="24">
        <f t="shared" si="4"/>
        <v>0</v>
      </c>
      <c r="P3157" s="24"/>
      <c r="Q3157" s="24">
        <f t="shared" si="6"/>
        <v>0</v>
      </c>
      <c r="R3157" s="24">
        <f t="shared" si="7"/>
        <v>0</v>
      </c>
      <c r="S3157" s="24"/>
      <c r="T3157" s="24"/>
    </row>
    <row r="3158">
      <c r="A3158" s="12" t="s">
        <v>3245</v>
      </c>
      <c r="F3158" s="19">
        <f>IFERROR(__xludf.DUMMYFUNCTION("SPLIT(A3154, "" |"")"),3152.0)</f>
        <v>3152</v>
      </c>
      <c r="G3158" s="19">
        <f>IFERROR(__xludf.DUMMYFUNCTION("""COMPUTED_VALUE"""),0.00255)</f>
        <v>0.00255</v>
      </c>
      <c r="H3158" s="19" t="str">
        <f>IFERROR(__xludf.DUMMYFUNCTION("""COMPUTED_VALUE"""),"-")</f>
        <v>-</v>
      </c>
      <c r="I3158" s="19">
        <f>IFERROR(__xludf.DUMMYFUNCTION("""COMPUTED_VALUE"""),0.00219)</f>
        <v>0.00219</v>
      </c>
      <c r="J3158" s="19">
        <f>IFERROR(__xludf.DUMMYFUNCTION("""COMPUTED_VALUE"""),0.04745)</f>
        <v>0.04745</v>
      </c>
      <c r="K3158" s="19" t="str">
        <f>IFERROR(__xludf.DUMMYFUNCTION("""COMPUTED_VALUE"""),"-")</f>
        <v>-</v>
      </c>
      <c r="L3158" s="19" t="str">
        <f>IFERROR(__xludf.DUMMYFUNCTION("""COMPUTED_VALUE"""),"-")</f>
        <v>-</v>
      </c>
      <c r="O3158" s="24">
        <f t="shared" si="4"/>
        <v>0</v>
      </c>
      <c r="P3158" s="24"/>
      <c r="Q3158" s="24">
        <f t="shared" si="6"/>
        <v>0</v>
      </c>
      <c r="R3158" s="24">
        <f t="shared" si="7"/>
        <v>0</v>
      </c>
      <c r="S3158" s="24"/>
      <c r="T3158" s="24"/>
    </row>
    <row r="3159">
      <c r="A3159" s="12" t="s">
        <v>3246</v>
      </c>
      <c r="F3159" s="19">
        <f>IFERROR(__xludf.DUMMYFUNCTION("SPLIT(A3155, "" |"")"),3153.0)</f>
        <v>3153</v>
      </c>
      <c r="G3159" s="19">
        <f>IFERROR(__xludf.DUMMYFUNCTION("""COMPUTED_VALUE"""),0.00235)</f>
        <v>0.00235</v>
      </c>
      <c r="H3159" s="19" t="str">
        <f>IFERROR(__xludf.DUMMYFUNCTION("""COMPUTED_VALUE"""),"-")</f>
        <v>-</v>
      </c>
      <c r="I3159" s="19">
        <f>IFERROR(__xludf.DUMMYFUNCTION("""COMPUTED_VALUE"""),0.00218)</f>
        <v>0.00218</v>
      </c>
      <c r="J3159" s="19">
        <f>IFERROR(__xludf.DUMMYFUNCTION("""COMPUTED_VALUE"""),0.04746)</f>
        <v>0.04746</v>
      </c>
      <c r="K3159" s="19" t="str">
        <f>IFERROR(__xludf.DUMMYFUNCTION("""COMPUTED_VALUE"""),"-")</f>
        <v>-</v>
      </c>
      <c r="L3159" s="19" t="str">
        <f>IFERROR(__xludf.DUMMYFUNCTION("""COMPUTED_VALUE"""),"-")</f>
        <v>-</v>
      </c>
      <c r="O3159" s="24">
        <f t="shared" si="4"/>
        <v>0</v>
      </c>
      <c r="P3159" s="24"/>
      <c r="Q3159" s="24">
        <f t="shared" si="6"/>
        <v>0</v>
      </c>
      <c r="R3159" s="24">
        <f t="shared" si="7"/>
        <v>0</v>
      </c>
      <c r="S3159" s="24"/>
      <c r="T3159" s="24"/>
    </row>
    <row r="3160">
      <c r="A3160" s="12" t="s">
        <v>3247</v>
      </c>
      <c r="F3160" s="19">
        <f>IFERROR(__xludf.DUMMYFUNCTION("SPLIT(A3156, "" |"")"),3154.0)</f>
        <v>3154</v>
      </c>
      <c r="G3160" s="19">
        <f>IFERROR(__xludf.DUMMYFUNCTION("""COMPUTED_VALUE"""),0.00231)</f>
        <v>0.00231</v>
      </c>
      <c r="H3160" s="19" t="str">
        <f>IFERROR(__xludf.DUMMYFUNCTION("""COMPUTED_VALUE"""),"-")</f>
        <v>-</v>
      </c>
      <c r="I3160" s="19">
        <f>IFERROR(__xludf.DUMMYFUNCTION("""COMPUTED_VALUE"""),0.00219)</f>
        <v>0.00219</v>
      </c>
      <c r="J3160" s="19">
        <f>IFERROR(__xludf.DUMMYFUNCTION("""COMPUTED_VALUE"""),0.04379)</f>
        <v>0.04379</v>
      </c>
      <c r="K3160" s="19" t="str">
        <f>IFERROR(__xludf.DUMMYFUNCTION("""COMPUTED_VALUE"""),"-")</f>
        <v>-</v>
      </c>
      <c r="L3160" s="19" t="str">
        <f>IFERROR(__xludf.DUMMYFUNCTION("""COMPUTED_VALUE"""),"-")</f>
        <v>-</v>
      </c>
      <c r="O3160" s="24">
        <f t="shared" si="4"/>
        <v>0</v>
      </c>
      <c r="P3160" s="24"/>
      <c r="Q3160" s="24">
        <f t="shared" si="6"/>
        <v>0</v>
      </c>
      <c r="R3160" s="24">
        <f t="shared" si="7"/>
        <v>1</v>
      </c>
      <c r="S3160" s="24"/>
      <c r="T3160" s="24"/>
    </row>
    <row r="3161">
      <c r="A3161" s="12" t="s">
        <v>3248</v>
      </c>
      <c r="F3161" s="19">
        <f>IFERROR(__xludf.DUMMYFUNCTION("SPLIT(A3157, "" |"")"),3155.0)</f>
        <v>3155</v>
      </c>
      <c r="G3161" s="19">
        <f>IFERROR(__xludf.DUMMYFUNCTION("""COMPUTED_VALUE"""),0.00232)</f>
        <v>0.00232</v>
      </c>
      <c r="H3161" s="19" t="str">
        <f>IFERROR(__xludf.DUMMYFUNCTION("""COMPUTED_VALUE"""),"-")</f>
        <v>-</v>
      </c>
      <c r="I3161" s="19">
        <f>IFERROR(__xludf.DUMMYFUNCTION("""COMPUTED_VALUE"""),0.00214)</f>
        <v>0.00214</v>
      </c>
      <c r="J3161" s="19">
        <f>IFERROR(__xludf.DUMMYFUNCTION("""COMPUTED_VALUE"""),0.04181)</f>
        <v>0.04181</v>
      </c>
      <c r="K3161" s="19" t="str">
        <f>IFERROR(__xludf.DUMMYFUNCTION("""COMPUTED_VALUE"""),"-")</f>
        <v>-</v>
      </c>
      <c r="L3161" s="19" t="str">
        <f>IFERROR(__xludf.DUMMYFUNCTION("""COMPUTED_VALUE"""),"-")</f>
        <v>-</v>
      </c>
      <c r="O3161" s="24">
        <f t="shared" si="4"/>
        <v>0</v>
      </c>
      <c r="P3161" s="24"/>
      <c r="Q3161" s="24">
        <f t="shared" si="6"/>
        <v>0</v>
      </c>
      <c r="R3161" s="24">
        <f t="shared" si="7"/>
        <v>1</v>
      </c>
      <c r="S3161" s="24"/>
      <c r="T3161" s="24"/>
    </row>
    <row r="3162">
      <c r="A3162" s="12" t="s">
        <v>3249</v>
      </c>
      <c r="F3162" s="19">
        <f>IFERROR(__xludf.DUMMYFUNCTION("SPLIT(A3158, "" |"")"),3156.0)</f>
        <v>3156</v>
      </c>
      <c r="G3162" s="19">
        <f>IFERROR(__xludf.DUMMYFUNCTION("""COMPUTED_VALUE"""),0.00233)</f>
        <v>0.00233</v>
      </c>
      <c r="H3162" s="19" t="str">
        <f>IFERROR(__xludf.DUMMYFUNCTION("""COMPUTED_VALUE"""),"-")</f>
        <v>-</v>
      </c>
      <c r="I3162" s="19">
        <f>IFERROR(__xludf.DUMMYFUNCTION("""COMPUTED_VALUE"""),0.00218)</f>
        <v>0.00218</v>
      </c>
      <c r="J3162" s="19">
        <f>IFERROR(__xludf.DUMMYFUNCTION("""COMPUTED_VALUE"""),0.04747)</f>
        <v>0.04747</v>
      </c>
      <c r="K3162" s="19" t="str">
        <f>IFERROR(__xludf.DUMMYFUNCTION("""COMPUTED_VALUE"""),"-")</f>
        <v>-</v>
      </c>
      <c r="L3162" s="19" t="str">
        <f>IFERROR(__xludf.DUMMYFUNCTION("""COMPUTED_VALUE"""),"-")</f>
        <v>-</v>
      </c>
      <c r="O3162" s="24">
        <f t="shared" si="4"/>
        <v>0</v>
      </c>
      <c r="P3162" s="24"/>
      <c r="Q3162" s="24">
        <f t="shared" si="6"/>
        <v>0</v>
      </c>
      <c r="R3162" s="24">
        <f t="shared" si="7"/>
        <v>0</v>
      </c>
      <c r="S3162" s="24"/>
      <c r="T3162" s="24"/>
    </row>
    <row r="3163">
      <c r="A3163" s="12" t="s">
        <v>3250</v>
      </c>
      <c r="F3163" s="19">
        <f>IFERROR(__xludf.DUMMYFUNCTION("SPLIT(A3159, "" |"")"),3157.0)</f>
        <v>3157</v>
      </c>
      <c r="G3163" s="19">
        <f>IFERROR(__xludf.DUMMYFUNCTION("""COMPUTED_VALUE"""),0.0023)</f>
        <v>0.0023</v>
      </c>
      <c r="H3163" s="19" t="str">
        <f>IFERROR(__xludf.DUMMYFUNCTION("""COMPUTED_VALUE"""),"-")</f>
        <v>-</v>
      </c>
      <c r="I3163" s="19">
        <f>IFERROR(__xludf.DUMMYFUNCTION("""COMPUTED_VALUE"""),0.00216)</f>
        <v>0.00216</v>
      </c>
      <c r="J3163" s="19">
        <f>IFERROR(__xludf.DUMMYFUNCTION("""COMPUTED_VALUE"""),0.04745)</f>
        <v>0.04745</v>
      </c>
      <c r="K3163" s="19" t="str">
        <f>IFERROR(__xludf.DUMMYFUNCTION("""COMPUTED_VALUE"""),"-")</f>
        <v>-</v>
      </c>
      <c r="L3163" s="19" t="str">
        <f>IFERROR(__xludf.DUMMYFUNCTION("""COMPUTED_VALUE"""),"-")</f>
        <v>-</v>
      </c>
      <c r="O3163" s="24">
        <f t="shared" si="4"/>
        <v>0</v>
      </c>
      <c r="P3163" s="24"/>
      <c r="Q3163" s="24">
        <f t="shared" si="6"/>
        <v>0</v>
      </c>
      <c r="R3163" s="24">
        <f t="shared" si="7"/>
        <v>0</v>
      </c>
      <c r="S3163" s="24"/>
      <c r="T3163" s="24"/>
    </row>
    <row r="3164">
      <c r="A3164" s="12" t="s">
        <v>3251</v>
      </c>
      <c r="F3164" s="19">
        <f>IFERROR(__xludf.DUMMYFUNCTION("SPLIT(A3160, "" |"")"),3158.0)</f>
        <v>3158</v>
      </c>
      <c r="G3164" s="19">
        <f>IFERROR(__xludf.DUMMYFUNCTION("""COMPUTED_VALUE"""),0.00235)</f>
        <v>0.00235</v>
      </c>
      <c r="H3164" s="19" t="str">
        <f>IFERROR(__xludf.DUMMYFUNCTION("""COMPUTED_VALUE"""),"-")</f>
        <v>-</v>
      </c>
      <c r="I3164" s="19">
        <f>IFERROR(__xludf.DUMMYFUNCTION("""COMPUTED_VALUE"""),0.0022)</f>
        <v>0.0022</v>
      </c>
      <c r="J3164" s="19">
        <f>IFERROR(__xludf.DUMMYFUNCTION("""COMPUTED_VALUE"""),0.04735)</f>
        <v>0.04735</v>
      </c>
      <c r="K3164" s="19" t="str">
        <f>IFERROR(__xludf.DUMMYFUNCTION("""COMPUTED_VALUE"""),"-")</f>
        <v>-</v>
      </c>
      <c r="L3164" s="19" t="str">
        <f>IFERROR(__xludf.DUMMYFUNCTION("""COMPUTED_VALUE"""),"-")</f>
        <v>-</v>
      </c>
      <c r="O3164" s="24">
        <f t="shared" si="4"/>
        <v>0</v>
      </c>
      <c r="P3164" s="24"/>
      <c r="Q3164" s="24">
        <f t="shared" si="6"/>
        <v>0</v>
      </c>
      <c r="R3164" s="24">
        <f t="shared" si="7"/>
        <v>0</v>
      </c>
      <c r="S3164" s="24"/>
      <c r="T3164" s="24"/>
    </row>
    <row r="3165">
      <c r="A3165" s="12" t="s">
        <v>3252</v>
      </c>
      <c r="F3165" s="19">
        <f>IFERROR(__xludf.DUMMYFUNCTION("SPLIT(A3161, "" |"")"),3159.0)</f>
        <v>3159</v>
      </c>
      <c r="G3165" s="19">
        <f>IFERROR(__xludf.DUMMYFUNCTION("""COMPUTED_VALUE"""),0.00231)</f>
        <v>0.00231</v>
      </c>
      <c r="H3165" s="19" t="str">
        <f>IFERROR(__xludf.DUMMYFUNCTION("""COMPUTED_VALUE"""),"-")</f>
        <v>-</v>
      </c>
      <c r="I3165" s="19">
        <f>IFERROR(__xludf.DUMMYFUNCTION("""COMPUTED_VALUE"""),0.00219)</f>
        <v>0.00219</v>
      </c>
      <c r="J3165" s="19">
        <f>IFERROR(__xludf.DUMMYFUNCTION("""COMPUTED_VALUE"""),0.04743)</f>
        <v>0.04743</v>
      </c>
      <c r="K3165" s="19" t="str">
        <f>IFERROR(__xludf.DUMMYFUNCTION("""COMPUTED_VALUE"""),"-")</f>
        <v>-</v>
      </c>
      <c r="L3165" s="19" t="str">
        <f>IFERROR(__xludf.DUMMYFUNCTION("""COMPUTED_VALUE"""),"-")</f>
        <v>-</v>
      </c>
      <c r="O3165" s="24">
        <f t="shared" si="4"/>
        <v>0</v>
      </c>
      <c r="P3165" s="24"/>
      <c r="Q3165" s="24">
        <f t="shared" si="6"/>
        <v>0</v>
      </c>
      <c r="R3165" s="24">
        <f t="shared" si="7"/>
        <v>0</v>
      </c>
      <c r="S3165" s="24"/>
      <c r="T3165" s="24"/>
    </row>
    <row r="3166">
      <c r="A3166" s="12" t="s">
        <v>3253</v>
      </c>
      <c r="F3166" s="19">
        <f>IFERROR(__xludf.DUMMYFUNCTION("SPLIT(A3162, "" |"")"),3160.0)</f>
        <v>3160</v>
      </c>
      <c r="G3166" s="19">
        <f>IFERROR(__xludf.DUMMYFUNCTION("""COMPUTED_VALUE"""),0.00237)</f>
        <v>0.00237</v>
      </c>
      <c r="H3166" s="19" t="str">
        <f>IFERROR(__xludf.DUMMYFUNCTION("""COMPUTED_VALUE"""),"-")</f>
        <v>-</v>
      </c>
      <c r="I3166" s="19">
        <f>IFERROR(__xludf.DUMMYFUNCTION("""COMPUTED_VALUE"""),0.00214)</f>
        <v>0.00214</v>
      </c>
      <c r="J3166" s="19">
        <f>IFERROR(__xludf.DUMMYFUNCTION("""COMPUTED_VALUE"""),0.04748)</f>
        <v>0.04748</v>
      </c>
      <c r="K3166" s="19" t="str">
        <f>IFERROR(__xludf.DUMMYFUNCTION("""COMPUTED_VALUE"""),"-")</f>
        <v>-</v>
      </c>
      <c r="L3166" s="19" t="str">
        <f>IFERROR(__xludf.DUMMYFUNCTION("""COMPUTED_VALUE"""),"-")</f>
        <v>-</v>
      </c>
      <c r="O3166" s="24">
        <f t="shared" si="4"/>
        <v>0</v>
      </c>
      <c r="P3166" s="24"/>
      <c r="Q3166" s="24">
        <f t="shared" si="6"/>
        <v>0</v>
      </c>
      <c r="R3166" s="24">
        <f t="shared" si="7"/>
        <v>0</v>
      </c>
      <c r="S3166" s="24"/>
      <c r="T3166" s="24"/>
    </row>
    <row r="3167">
      <c r="A3167" s="12" t="s">
        <v>3254</v>
      </c>
      <c r="F3167" s="19">
        <f>IFERROR(__xludf.DUMMYFUNCTION("SPLIT(A3163, "" |"")"),3161.0)</f>
        <v>3161</v>
      </c>
      <c r="G3167" s="19">
        <f>IFERROR(__xludf.DUMMYFUNCTION("""COMPUTED_VALUE"""),0.00237)</f>
        <v>0.00237</v>
      </c>
      <c r="H3167" s="19" t="str">
        <f>IFERROR(__xludf.DUMMYFUNCTION("""COMPUTED_VALUE"""),"-")</f>
        <v>-</v>
      </c>
      <c r="I3167" s="19">
        <f>IFERROR(__xludf.DUMMYFUNCTION("""COMPUTED_VALUE"""),0.00215)</f>
        <v>0.00215</v>
      </c>
      <c r="J3167" s="19">
        <f>IFERROR(__xludf.DUMMYFUNCTION("""COMPUTED_VALUE"""),0.04629)</f>
        <v>0.04629</v>
      </c>
      <c r="K3167" s="19" t="str">
        <f>IFERROR(__xludf.DUMMYFUNCTION("""COMPUTED_VALUE"""),"-")</f>
        <v>-</v>
      </c>
      <c r="L3167" s="19" t="str">
        <f>IFERROR(__xludf.DUMMYFUNCTION("""COMPUTED_VALUE"""),"-")</f>
        <v>-</v>
      </c>
      <c r="O3167" s="24">
        <f t="shared" si="4"/>
        <v>0</v>
      </c>
      <c r="P3167" s="24"/>
      <c r="Q3167" s="24">
        <f t="shared" si="6"/>
        <v>0</v>
      </c>
      <c r="R3167" s="24">
        <f t="shared" si="7"/>
        <v>0</v>
      </c>
      <c r="S3167" s="24"/>
      <c r="T3167" s="24"/>
    </row>
    <row r="3168">
      <c r="A3168" s="12" t="s">
        <v>3255</v>
      </c>
      <c r="F3168" s="19">
        <f>IFERROR(__xludf.DUMMYFUNCTION("SPLIT(A3164, "" |"")"),3162.0)</f>
        <v>3162</v>
      </c>
      <c r="G3168" s="19">
        <f>IFERROR(__xludf.DUMMYFUNCTION("""COMPUTED_VALUE"""),0.00233)</f>
        <v>0.00233</v>
      </c>
      <c r="H3168" s="19" t="str">
        <f>IFERROR(__xludf.DUMMYFUNCTION("""COMPUTED_VALUE"""),"-")</f>
        <v>-</v>
      </c>
      <c r="I3168" s="19">
        <f>IFERROR(__xludf.DUMMYFUNCTION("""COMPUTED_VALUE"""),0.00224)</f>
        <v>0.00224</v>
      </c>
      <c r="J3168" s="19">
        <f>IFERROR(__xludf.DUMMYFUNCTION("""COMPUTED_VALUE"""),0.0474)</f>
        <v>0.0474</v>
      </c>
      <c r="K3168" s="19" t="str">
        <f>IFERROR(__xludf.DUMMYFUNCTION("""COMPUTED_VALUE"""),"-")</f>
        <v>-</v>
      </c>
      <c r="L3168" s="19" t="str">
        <f>IFERROR(__xludf.DUMMYFUNCTION("""COMPUTED_VALUE"""),"-")</f>
        <v>-</v>
      </c>
      <c r="O3168" s="24">
        <f t="shared" si="4"/>
        <v>0</v>
      </c>
      <c r="P3168" s="24"/>
      <c r="Q3168" s="24">
        <f t="shared" si="6"/>
        <v>0</v>
      </c>
      <c r="R3168" s="24">
        <f t="shared" si="7"/>
        <v>0</v>
      </c>
      <c r="S3168" s="24"/>
      <c r="T3168" s="24"/>
    </row>
    <row r="3169">
      <c r="A3169" s="12" t="s">
        <v>3256</v>
      </c>
      <c r="F3169" s="19">
        <f>IFERROR(__xludf.DUMMYFUNCTION("SPLIT(A3165, "" |"")"),3163.0)</f>
        <v>3163</v>
      </c>
      <c r="G3169" s="19">
        <f>IFERROR(__xludf.DUMMYFUNCTION("""COMPUTED_VALUE"""),0.00242)</f>
        <v>0.00242</v>
      </c>
      <c r="H3169" s="19" t="str">
        <f>IFERROR(__xludf.DUMMYFUNCTION("""COMPUTED_VALUE"""),"-")</f>
        <v>-</v>
      </c>
      <c r="I3169" s="19">
        <f>IFERROR(__xludf.DUMMYFUNCTION("""COMPUTED_VALUE"""),0.00227)</f>
        <v>0.00227</v>
      </c>
      <c r="J3169" s="19">
        <f>IFERROR(__xludf.DUMMYFUNCTION("""COMPUTED_VALUE"""),0.04428)</f>
        <v>0.04428</v>
      </c>
      <c r="K3169" s="19" t="str">
        <f>IFERROR(__xludf.DUMMYFUNCTION("""COMPUTED_VALUE"""),"-")</f>
        <v>-</v>
      </c>
      <c r="L3169" s="19" t="str">
        <f>IFERROR(__xludf.DUMMYFUNCTION("""COMPUTED_VALUE"""),"-")</f>
        <v>-</v>
      </c>
      <c r="O3169" s="24">
        <f t="shared" si="4"/>
        <v>0</v>
      </c>
      <c r="P3169" s="24"/>
      <c r="Q3169" s="24">
        <f t="shared" si="6"/>
        <v>0</v>
      </c>
      <c r="R3169" s="24">
        <f t="shared" si="7"/>
        <v>1</v>
      </c>
      <c r="S3169" s="24"/>
      <c r="T3169" s="24"/>
    </row>
    <row r="3170">
      <c r="A3170" s="12" t="s">
        <v>3257</v>
      </c>
      <c r="F3170" s="19">
        <f>IFERROR(__xludf.DUMMYFUNCTION("SPLIT(A3166, "" |"")"),3164.0)</f>
        <v>3164</v>
      </c>
      <c r="G3170" s="19">
        <f>IFERROR(__xludf.DUMMYFUNCTION("""COMPUTED_VALUE"""),0.00235)</f>
        <v>0.00235</v>
      </c>
      <c r="H3170" s="19" t="str">
        <f>IFERROR(__xludf.DUMMYFUNCTION("""COMPUTED_VALUE"""),"-")</f>
        <v>-</v>
      </c>
      <c r="I3170" s="19">
        <f>IFERROR(__xludf.DUMMYFUNCTION("""COMPUTED_VALUE"""),0.00221)</f>
        <v>0.00221</v>
      </c>
      <c r="J3170" s="19">
        <f>IFERROR(__xludf.DUMMYFUNCTION("""COMPUTED_VALUE"""),0.04745)</f>
        <v>0.04745</v>
      </c>
      <c r="K3170" s="19" t="str">
        <f>IFERROR(__xludf.DUMMYFUNCTION("""COMPUTED_VALUE"""),"-")</f>
        <v>-</v>
      </c>
      <c r="L3170" s="19" t="str">
        <f>IFERROR(__xludf.DUMMYFUNCTION("""COMPUTED_VALUE"""),"-")</f>
        <v>-</v>
      </c>
      <c r="O3170" s="24">
        <f t="shared" si="4"/>
        <v>0</v>
      </c>
      <c r="P3170" s="24"/>
      <c r="Q3170" s="24">
        <f t="shared" si="6"/>
        <v>0</v>
      </c>
      <c r="R3170" s="24">
        <f t="shared" si="7"/>
        <v>0</v>
      </c>
      <c r="S3170" s="24"/>
      <c r="T3170" s="24"/>
    </row>
    <row r="3171">
      <c r="A3171" s="12" t="s">
        <v>3258</v>
      </c>
      <c r="F3171" s="19">
        <f>IFERROR(__xludf.DUMMYFUNCTION("SPLIT(A3167, "" |"")"),3165.0)</f>
        <v>3165</v>
      </c>
      <c r="G3171" s="19">
        <f>IFERROR(__xludf.DUMMYFUNCTION("""COMPUTED_VALUE"""),0.00231)</f>
        <v>0.00231</v>
      </c>
      <c r="H3171" s="19" t="str">
        <f>IFERROR(__xludf.DUMMYFUNCTION("""COMPUTED_VALUE"""),"-")</f>
        <v>-</v>
      </c>
      <c r="I3171" s="19">
        <f>IFERROR(__xludf.DUMMYFUNCTION("""COMPUTED_VALUE"""),0.00219)</f>
        <v>0.00219</v>
      </c>
      <c r="J3171" s="19">
        <f>IFERROR(__xludf.DUMMYFUNCTION("""COMPUTED_VALUE"""),0.0475)</f>
        <v>0.0475</v>
      </c>
      <c r="K3171" s="19" t="str">
        <f>IFERROR(__xludf.DUMMYFUNCTION("""COMPUTED_VALUE"""),"-")</f>
        <v>-</v>
      </c>
      <c r="L3171" s="19" t="str">
        <f>IFERROR(__xludf.DUMMYFUNCTION("""COMPUTED_VALUE"""),"-")</f>
        <v>-</v>
      </c>
      <c r="O3171" s="24">
        <f t="shared" si="4"/>
        <v>0</v>
      </c>
      <c r="P3171" s="24"/>
      <c r="Q3171" s="24">
        <f t="shared" si="6"/>
        <v>0</v>
      </c>
      <c r="R3171" s="24">
        <f t="shared" si="7"/>
        <v>0</v>
      </c>
      <c r="S3171" s="24"/>
      <c r="T3171" s="24"/>
    </row>
    <row r="3172">
      <c r="A3172" s="12" t="s">
        <v>3259</v>
      </c>
      <c r="F3172" s="19">
        <f>IFERROR(__xludf.DUMMYFUNCTION("SPLIT(A3168, "" |"")"),3166.0)</f>
        <v>3166</v>
      </c>
      <c r="G3172" s="19">
        <f>IFERROR(__xludf.DUMMYFUNCTION("""COMPUTED_VALUE"""),0.00234)</f>
        <v>0.00234</v>
      </c>
      <c r="H3172" s="19" t="str">
        <f>IFERROR(__xludf.DUMMYFUNCTION("""COMPUTED_VALUE"""),"-")</f>
        <v>-</v>
      </c>
      <c r="I3172" s="19">
        <f>IFERROR(__xludf.DUMMYFUNCTION("""COMPUTED_VALUE"""),0.00218)</f>
        <v>0.00218</v>
      </c>
      <c r="J3172" s="19">
        <f>IFERROR(__xludf.DUMMYFUNCTION("""COMPUTED_VALUE"""),0.04738)</f>
        <v>0.04738</v>
      </c>
      <c r="K3172" s="19" t="str">
        <f>IFERROR(__xludf.DUMMYFUNCTION("""COMPUTED_VALUE"""),"-")</f>
        <v>-</v>
      </c>
      <c r="L3172" s="19" t="str">
        <f>IFERROR(__xludf.DUMMYFUNCTION("""COMPUTED_VALUE"""),"-")</f>
        <v>-</v>
      </c>
      <c r="O3172" s="24">
        <f t="shared" si="4"/>
        <v>0</v>
      </c>
      <c r="P3172" s="24"/>
      <c r="Q3172" s="24">
        <f t="shared" si="6"/>
        <v>0</v>
      </c>
      <c r="R3172" s="24">
        <f t="shared" si="7"/>
        <v>0</v>
      </c>
      <c r="S3172" s="24"/>
      <c r="T3172" s="24"/>
    </row>
    <row r="3173">
      <c r="A3173" s="12" t="s">
        <v>3260</v>
      </c>
      <c r="F3173" s="19">
        <f>IFERROR(__xludf.DUMMYFUNCTION("SPLIT(A3169, "" |"")"),3167.0)</f>
        <v>3167</v>
      </c>
      <c r="G3173" s="19">
        <f>IFERROR(__xludf.DUMMYFUNCTION("""COMPUTED_VALUE"""),0.00236)</f>
        <v>0.00236</v>
      </c>
      <c r="H3173" s="19" t="str">
        <f>IFERROR(__xludf.DUMMYFUNCTION("""COMPUTED_VALUE"""),"-")</f>
        <v>-</v>
      </c>
      <c r="I3173" s="19">
        <f>IFERROR(__xludf.DUMMYFUNCTION("""COMPUTED_VALUE"""),0.00223)</f>
        <v>0.00223</v>
      </c>
      <c r="J3173" s="19">
        <f>IFERROR(__xludf.DUMMYFUNCTION("""COMPUTED_VALUE"""),0.04739)</f>
        <v>0.04739</v>
      </c>
      <c r="K3173" s="19" t="str">
        <f>IFERROR(__xludf.DUMMYFUNCTION("""COMPUTED_VALUE"""),"-")</f>
        <v>-</v>
      </c>
      <c r="L3173" s="19" t="str">
        <f>IFERROR(__xludf.DUMMYFUNCTION("""COMPUTED_VALUE"""),"-")</f>
        <v>-</v>
      </c>
      <c r="O3173" s="24">
        <f t="shared" si="4"/>
        <v>0</v>
      </c>
      <c r="P3173" s="24"/>
      <c r="Q3173" s="24">
        <f t="shared" si="6"/>
        <v>0</v>
      </c>
      <c r="R3173" s="24">
        <f t="shared" si="7"/>
        <v>0</v>
      </c>
      <c r="S3173" s="24"/>
      <c r="T3173" s="24"/>
    </row>
    <row r="3174">
      <c r="A3174" s="12" t="s">
        <v>3261</v>
      </c>
      <c r="F3174" s="19">
        <f>IFERROR(__xludf.DUMMYFUNCTION("SPLIT(A3170, "" |"")"),3168.0)</f>
        <v>3168</v>
      </c>
      <c r="G3174" s="19">
        <f>IFERROR(__xludf.DUMMYFUNCTION("""COMPUTED_VALUE"""),0.0024)</f>
        <v>0.0024</v>
      </c>
      <c r="H3174" s="19" t="str">
        <f>IFERROR(__xludf.DUMMYFUNCTION("""COMPUTED_VALUE"""),"-")</f>
        <v>-</v>
      </c>
      <c r="I3174" s="19">
        <f>IFERROR(__xludf.DUMMYFUNCTION("""COMPUTED_VALUE"""),0.00222)</f>
        <v>0.00222</v>
      </c>
      <c r="J3174" s="19">
        <f>IFERROR(__xludf.DUMMYFUNCTION("""COMPUTED_VALUE"""),0.04746)</f>
        <v>0.04746</v>
      </c>
      <c r="K3174" s="19" t="str">
        <f>IFERROR(__xludf.DUMMYFUNCTION("""COMPUTED_VALUE"""),"-")</f>
        <v>-</v>
      </c>
      <c r="L3174" s="19" t="str">
        <f>IFERROR(__xludf.DUMMYFUNCTION("""COMPUTED_VALUE"""),"-")</f>
        <v>-</v>
      </c>
      <c r="O3174" s="24">
        <f t="shared" si="4"/>
        <v>0</v>
      </c>
      <c r="P3174" s="24"/>
      <c r="Q3174" s="24">
        <f t="shared" si="6"/>
        <v>0</v>
      </c>
      <c r="R3174" s="24">
        <f t="shared" si="7"/>
        <v>0</v>
      </c>
      <c r="S3174" s="24"/>
      <c r="T3174" s="24"/>
    </row>
    <row r="3175">
      <c r="A3175" s="12" t="s">
        <v>3262</v>
      </c>
      <c r="F3175" s="19">
        <f>IFERROR(__xludf.DUMMYFUNCTION("SPLIT(A3171, "" |"")"),3169.0)</f>
        <v>3169</v>
      </c>
      <c r="G3175" s="19">
        <f>IFERROR(__xludf.DUMMYFUNCTION("""COMPUTED_VALUE"""),0.00236)</f>
        <v>0.00236</v>
      </c>
      <c r="H3175" s="19" t="str">
        <f>IFERROR(__xludf.DUMMYFUNCTION("""COMPUTED_VALUE"""),"-")</f>
        <v>-</v>
      </c>
      <c r="I3175" s="19">
        <f>IFERROR(__xludf.DUMMYFUNCTION("""COMPUTED_VALUE"""),0.00218)</f>
        <v>0.00218</v>
      </c>
      <c r="J3175" s="19">
        <f>IFERROR(__xludf.DUMMYFUNCTION("""COMPUTED_VALUE"""),0.04497)</f>
        <v>0.04497</v>
      </c>
      <c r="K3175" s="19" t="str">
        <f>IFERROR(__xludf.DUMMYFUNCTION("""COMPUTED_VALUE"""),"-")</f>
        <v>-</v>
      </c>
      <c r="L3175" s="19" t="str">
        <f>IFERROR(__xludf.DUMMYFUNCTION("""COMPUTED_VALUE"""),"-")</f>
        <v>-</v>
      </c>
      <c r="O3175" s="24">
        <f t="shared" si="4"/>
        <v>0</v>
      </c>
      <c r="P3175" s="24"/>
      <c r="Q3175" s="24">
        <f t="shared" si="6"/>
        <v>0</v>
      </c>
      <c r="R3175" s="24">
        <f t="shared" si="7"/>
        <v>0</v>
      </c>
      <c r="S3175" s="24"/>
      <c r="T3175" s="24"/>
    </row>
    <row r="3176">
      <c r="A3176" s="12" t="s">
        <v>3263</v>
      </c>
      <c r="F3176" s="19">
        <f>IFERROR(__xludf.DUMMYFUNCTION("SPLIT(A3172, "" |"")"),3170.0)</f>
        <v>3170</v>
      </c>
      <c r="G3176" s="19">
        <f>IFERROR(__xludf.DUMMYFUNCTION("""COMPUTED_VALUE"""),0.00239)</f>
        <v>0.00239</v>
      </c>
      <c r="H3176" s="19" t="str">
        <f>IFERROR(__xludf.DUMMYFUNCTION("""COMPUTED_VALUE"""),"-")</f>
        <v>-</v>
      </c>
      <c r="I3176" s="19">
        <f>IFERROR(__xludf.DUMMYFUNCTION("""COMPUTED_VALUE"""),0.0022)</f>
        <v>0.0022</v>
      </c>
      <c r="J3176" s="19">
        <f>IFERROR(__xludf.DUMMYFUNCTION("""COMPUTED_VALUE"""),0.04647)</f>
        <v>0.04647</v>
      </c>
      <c r="K3176" s="19" t="str">
        <f>IFERROR(__xludf.DUMMYFUNCTION("""COMPUTED_VALUE"""),"-")</f>
        <v>-</v>
      </c>
      <c r="L3176" s="19" t="str">
        <f>IFERROR(__xludf.DUMMYFUNCTION("""COMPUTED_VALUE"""),"-")</f>
        <v>-</v>
      </c>
      <c r="O3176" s="24">
        <f t="shared" si="4"/>
        <v>0</v>
      </c>
      <c r="P3176" s="24"/>
      <c r="Q3176" s="24">
        <f t="shared" si="6"/>
        <v>0</v>
      </c>
      <c r="R3176" s="24">
        <f t="shared" si="7"/>
        <v>0</v>
      </c>
      <c r="S3176" s="24"/>
      <c r="T3176" s="24"/>
    </row>
    <row r="3177">
      <c r="A3177" s="12" t="s">
        <v>3264</v>
      </c>
      <c r="F3177" s="19">
        <f>IFERROR(__xludf.DUMMYFUNCTION("SPLIT(A3173, "" |"")"),3171.0)</f>
        <v>3171</v>
      </c>
      <c r="G3177" s="19">
        <f>IFERROR(__xludf.DUMMYFUNCTION("""COMPUTED_VALUE"""),0.00235)</f>
        <v>0.00235</v>
      </c>
      <c r="H3177" s="19" t="str">
        <f>IFERROR(__xludf.DUMMYFUNCTION("""COMPUTED_VALUE"""),"-")</f>
        <v>-</v>
      </c>
      <c r="I3177" s="19">
        <f>IFERROR(__xludf.DUMMYFUNCTION("""COMPUTED_VALUE"""),0.00221)</f>
        <v>0.00221</v>
      </c>
      <c r="J3177" s="19">
        <f>IFERROR(__xludf.DUMMYFUNCTION("""COMPUTED_VALUE"""),0.04266)</f>
        <v>0.04266</v>
      </c>
      <c r="K3177" s="19" t="str">
        <f>IFERROR(__xludf.DUMMYFUNCTION("""COMPUTED_VALUE"""),"-")</f>
        <v>-</v>
      </c>
      <c r="L3177" s="19" t="str">
        <f>IFERROR(__xludf.DUMMYFUNCTION("""COMPUTED_VALUE"""),"-")</f>
        <v>-</v>
      </c>
      <c r="O3177" s="24">
        <f t="shared" si="4"/>
        <v>0</v>
      </c>
      <c r="P3177" s="24"/>
      <c r="Q3177" s="24">
        <f t="shared" si="6"/>
        <v>0</v>
      </c>
      <c r="R3177" s="24">
        <f t="shared" si="7"/>
        <v>1</v>
      </c>
      <c r="S3177" s="24"/>
      <c r="T3177" s="24"/>
    </row>
    <row r="3178">
      <c r="A3178" s="12" t="s">
        <v>3265</v>
      </c>
      <c r="F3178" s="19">
        <f>IFERROR(__xludf.DUMMYFUNCTION("SPLIT(A3174, "" |"")"),3172.0)</f>
        <v>3172</v>
      </c>
      <c r="G3178" s="19">
        <f>IFERROR(__xludf.DUMMYFUNCTION("""COMPUTED_VALUE"""),0.00233)</f>
        <v>0.00233</v>
      </c>
      <c r="H3178" s="19" t="str">
        <f>IFERROR(__xludf.DUMMYFUNCTION("""COMPUTED_VALUE"""),"-")</f>
        <v>-</v>
      </c>
      <c r="I3178" s="19">
        <f>IFERROR(__xludf.DUMMYFUNCTION("""COMPUTED_VALUE"""),0.00219)</f>
        <v>0.00219</v>
      </c>
      <c r="J3178" s="19">
        <f>IFERROR(__xludf.DUMMYFUNCTION("""COMPUTED_VALUE"""),0.04744)</f>
        <v>0.04744</v>
      </c>
      <c r="K3178" s="19" t="str">
        <f>IFERROR(__xludf.DUMMYFUNCTION("""COMPUTED_VALUE"""),"-")</f>
        <v>-</v>
      </c>
      <c r="L3178" s="19" t="str">
        <f>IFERROR(__xludf.DUMMYFUNCTION("""COMPUTED_VALUE"""),"-")</f>
        <v>-</v>
      </c>
      <c r="O3178" s="24">
        <f t="shared" si="4"/>
        <v>0</v>
      </c>
      <c r="P3178" s="24"/>
      <c r="Q3178" s="24">
        <f t="shared" si="6"/>
        <v>0</v>
      </c>
      <c r="R3178" s="24">
        <f t="shared" si="7"/>
        <v>0</v>
      </c>
      <c r="S3178" s="24"/>
      <c r="T3178" s="24"/>
    </row>
    <row r="3179">
      <c r="A3179" s="12" t="s">
        <v>3266</v>
      </c>
      <c r="F3179" s="19">
        <f>IFERROR(__xludf.DUMMYFUNCTION("SPLIT(A3175, "" |"")"),3173.0)</f>
        <v>3173</v>
      </c>
      <c r="G3179" s="19">
        <f>IFERROR(__xludf.DUMMYFUNCTION("""COMPUTED_VALUE"""),0.00229)</f>
        <v>0.00229</v>
      </c>
      <c r="H3179" s="19" t="str">
        <f>IFERROR(__xludf.DUMMYFUNCTION("""COMPUTED_VALUE"""),"-")</f>
        <v>-</v>
      </c>
      <c r="I3179" s="19">
        <f>IFERROR(__xludf.DUMMYFUNCTION("""COMPUTED_VALUE"""),0.00227)</f>
        <v>0.00227</v>
      </c>
      <c r="J3179" s="19">
        <f>IFERROR(__xludf.DUMMYFUNCTION("""COMPUTED_VALUE"""),0.04749)</f>
        <v>0.04749</v>
      </c>
      <c r="K3179" s="19" t="str">
        <f>IFERROR(__xludf.DUMMYFUNCTION("""COMPUTED_VALUE"""),"-")</f>
        <v>-</v>
      </c>
      <c r="L3179" s="19" t="str">
        <f>IFERROR(__xludf.DUMMYFUNCTION("""COMPUTED_VALUE"""),"-")</f>
        <v>-</v>
      </c>
      <c r="O3179" s="24">
        <f t="shared" si="4"/>
        <v>0</v>
      </c>
      <c r="P3179" s="24"/>
      <c r="Q3179" s="24">
        <f t="shared" si="6"/>
        <v>0</v>
      </c>
      <c r="R3179" s="24">
        <f t="shared" si="7"/>
        <v>0</v>
      </c>
      <c r="S3179" s="24"/>
      <c r="T3179" s="24"/>
    </row>
    <row r="3180">
      <c r="A3180" s="12" t="s">
        <v>3267</v>
      </c>
      <c r="F3180" s="19">
        <f>IFERROR(__xludf.DUMMYFUNCTION("SPLIT(A3176, "" |"")"),3174.0)</f>
        <v>3174</v>
      </c>
      <c r="G3180" s="19">
        <f>IFERROR(__xludf.DUMMYFUNCTION("""COMPUTED_VALUE"""),0.00237)</f>
        <v>0.00237</v>
      </c>
      <c r="H3180" s="19" t="str">
        <f>IFERROR(__xludf.DUMMYFUNCTION("""COMPUTED_VALUE"""),"-")</f>
        <v>-</v>
      </c>
      <c r="I3180" s="19">
        <f>IFERROR(__xludf.DUMMYFUNCTION("""COMPUTED_VALUE"""),0.00221)</f>
        <v>0.00221</v>
      </c>
      <c r="J3180" s="19">
        <f>IFERROR(__xludf.DUMMYFUNCTION("""COMPUTED_VALUE"""),0.04743)</f>
        <v>0.04743</v>
      </c>
      <c r="K3180" s="19" t="str">
        <f>IFERROR(__xludf.DUMMYFUNCTION("""COMPUTED_VALUE"""),"-")</f>
        <v>-</v>
      </c>
      <c r="L3180" s="19" t="str">
        <f>IFERROR(__xludf.DUMMYFUNCTION("""COMPUTED_VALUE"""),"-")</f>
        <v>-</v>
      </c>
      <c r="O3180" s="24">
        <f t="shared" si="4"/>
        <v>0</v>
      </c>
      <c r="P3180" s="24"/>
      <c r="Q3180" s="24">
        <f t="shared" si="6"/>
        <v>0</v>
      </c>
      <c r="R3180" s="24">
        <f t="shared" si="7"/>
        <v>0</v>
      </c>
      <c r="S3180" s="24"/>
      <c r="T3180" s="24"/>
    </row>
    <row r="3181">
      <c r="A3181" s="12" t="s">
        <v>3268</v>
      </c>
      <c r="F3181" s="19">
        <f>IFERROR(__xludf.DUMMYFUNCTION("SPLIT(A3177, "" |"")"),3175.0)</f>
        <v>3175</v>
      </c>
      <c r="G3181" s="19">
        <f>IFERROR(__xludf.DUMMYFUNCTION("""COMPUTED_VALUE"""),0.00222)</f>
        <v>0.00222</v>
      </c>
      <c r="H3181" s="19" t="str">
        <f>IFERROR(__xludf.DUMMYFUNCTION("""COMPUTED_VALUE"""),"-")</f>
        <v>-</v>
      </c>
      <c r="I3181" s="19">
        <f>IFERROR(__xludf.DUMMYFUNCTION("""COMPUTED_VALUE"""),0.0021)</f>
        <v>0.0021</v>
      </c>
      <c r="J3181" s="19">
        <f>IFERROR(__xludf.DUMMYFUNCTION("""COMPUTED_VALUE"""),0.04725)</f>
        <v>0.04725</v>
      </c>
      <c r="K3181" s="19" t="str">
        <f>IFERROR(__xludf.DUMMYFUNCTION("""COMPUTED_VALUE"""),"-")</f>
        <v>-</v>
      </c>
      <c r="L3181" s="19" t="str">
        <f>IFERROR(__xludf.DUMMYFUNCTION("""COMPUTED_VALUE"""),"-")</f>
        <v>-</v>
      </c>
      <c r="O3181" s="24">
        <f t="shared" si="4"/>
        <v>0</v>
      </c>
      <c r="P3181" s="24"/>
      <c r="Q3181" s="24">
        <f t="shared" si="6"/>
        <v>0</v>
      </c>
      <c r="R3181" s="24">
        <f t="shared" si="7"/>
        <v>0</v>
      </c>
      <c r="S3181" s="24"/>
      <c r="T3181" s="24"/>
    </row>
    <row r="3182">
      <c r="A3182" s="12" t="s">
        <v>3269</v>
      </c>
      <c r="F3182" s="19">
        <f>IFERROR(__xludf.DUMMYFUNCTION("SPLIT(A3178, "" |"")"),3176.0)</f>
        <v>3176</v>
      </c>
      <c r="G3182" s="19">
        <f>IFERROR(__xludf.DUMMYFUNCTION("""COMPUTED_VALUE"""),0.00222)</f>
        <v>0.00222</v>
      </c>
      <c r="H3182" s="19" t="str">
        <f>IFERROR(__xludf.DUMMYFUNCTION("""COMPUTED_VALUE"""),"-")</f>
        <v>-</v>
      </c>
      <c r="I3182" s="19">
        <f>IFERROR(__xludf.DUMMYFUNCTION("""COMPUTED_VALUE"""),0.00209)</f>
        <v>0.00209</v>
      </c>
      <c r="J3182" s="19">
        <f>IFERROR(__xludf.DUMMYFUNCTION("""COMPUTED_VALUE"""),0.0473)</f>
        <v>0.0473</v>
      </c>
      <c r="K3182" s="19" t="str">
        <f>IFERROR(__xludf.DUMMYFUNCTION("""COMPUTED_VALUE"""),"-")</f>
        <v>-</v>
      </c>
      <c r="L3182" s="19" t="str">
        <f>IFERROR(__xludf.DUMMYFUNCTION("""COMPUTED_VALUE"""),"-")</f>
        <v>-</v>
      </c>
      <c r="O3182" s="24">
        <f t="shared" si="4"/>
        <v>0</v>
      </c>
      <c r="P3182" s="24"/>
      <c r="Q3182" s="24">
        <f t="shared" si="6"/>
        <v>0</v>
      </c>
      <c r="R3182" s="24">
        <f t="shared" si="7"/>
        <v>0</v>
      </c>
      <c r="S3182" s="24"/>
      <c r="T3182" s="24"/>
    </row>
    <row r="3183">
      <c r="A3183" s="12" t="s">
        <v>3270</v>
      </c>
      <c r="F3183" s="19">
        <f>IFERROR(__xludf.DUMMYFUNCTION("SPLIT(A3179, "" |"")"),3177.0)</f>
        <v>3177</v>
      </c>
      <c r="G3183" s="19">
        <f>IFERROR(__xludf.DUMMYFUNCTION("""COMPUTED_VALUE"""),0.00234)</f>
        <v>0.00234</v>
      </c>
      <c r="H3183" s="19" t="str">
        <f>IFERROR(__xludf.DUMMYFUNCTION("""COMPUTED_VALUE"""),"-")</f>
        <v>-</v>
      </c>
      <c r="I3183" s="19">
        <f>IFERROR(__xludf.DUMMYFUNCTION("""COMPUTED_VALUE"""),0.00221)</f>
        <v>0.00221</v>
      </c>
      <c r="J3183" s="19">
        <f>IFERROR(__xludf.DUMMYFUNCTION("""COMPUTED_VALUE"""),0.04641)</f>
        <v>0.04641</v>
      </c>
      <c r="K3183" s="19" t="str">
        <f>IFERROR(__xludf.DUMMYFUNCTION("""COMPUTED_VALUE"""),"-")</f>
        <v>-</v>
      </c>
      <c r="L3183" s="19" t="str">
        <f>IFERROR(__xludf.DUMMYFUNCTION("""COMPUTED_VALUE"""),"-")</f>
        <v>-</v>
      </c>
      <c r="O3183" s="24">
        <f t="shared" si="4"/>
        <v>0</v>
      </c>
      <c r="P3183" s="24"/>
      <c r="Q3183" s="24">
        <f t="shared" si="6"/>
        <v>0</v>
      </c>
      <c r="R3183" s="24">
        <f t="shared" si="7"/>
        <v>0</v>
      </c>
      <c r="S3183" s="24"/>
      <c r="T3183" s="24"/>
    </row>
    <row r="3184">
      <c r="A3184" s="12" t="s">
        <v>3271</v>
      </c>
      <c r="F3184" s="19">
        <f>IFERROR(__xludf.DUMMYFUNCTION("SPLIT(A3180, "" |"")"),3178.0)</f>
        <v>3178</v>
      </c>
      <c r="G3184" s="19">
        <f>IFERROR(__xludf.DUMMYFUNCTION("""COMPUTED_VALUE"""),0.0023)</f>
        <v>0.0023</v>
      </c>
      <c r="H3184" s="19" t="str">
        <f>IFERROR(__xludf.DUMMYFUNCTION("""COMPUTED_VALUE"""),"-")</f>
        <v>-</v>
      </c>
      <c r="I3184" s="19">
        <f>IFERROR(__xludf.DUMMYFUNCTION("""COMPUTED_VALUE"""),0.00216)</f>
        <v>0.00216</v>
      </c>
      <c r="J3184" s="19">
        <f>IFERROR(__xludf.DUMMYFUNCTION("""COMPUTED_VALUE"""),0.04743)</f>
        <v>0.04743</v>
      </c>
      <c r="K3184" s="19" t="str">
        <f>IFERROR(__xludf.DUMMYFUNCTION("""COMPUTED_VALUE"""),"-")</f>
        <v>-</v>
      </c>
      <c r="L3184" s="19" t="str">
        <f>IFERROR(__xludf.DUMMYFUNCTION("""COMPUTED_VALUE"""),"-")</f>
        <v>-</v>
      </c>
      <c r="O3184" s="24">
        <f t="shared" si="4"/>
        <v>0</v>
      </c>
      <c r="P3184" s="24"/>
      <c r="Q3184" s="24">
        <f t="shared" si="6"/>
        <v>0</v>
      </c>
      <c r="R3184" s="24">
        <f t="shared" si="7"/>
        <v>0</v>
      </c>
      <c r="S3184" s="24"/>
      <c r="T3184" s="24"/>
    </row>
    <row r="3185">
      <c r="A3185" s="12" t="s">
        <v>3272</v>
      </c>
      <c r="F3185" s="19">
        <f>IFERROR(__xludf.DUMMYFUNCTION("SPLIT(A3181, "" |"")"),3179.0)</f>
        <v>3179</v>
      </c>
      <c r="G3185" s="19">
        <f>IFERROR(__xludf.DUMMYFUNCTION("""COMPUTED_VALUE"""),0.00236)</f>
        <v>0.00236</v>
      </c>
      <c r="H3185" s="19" t="str">
        <f>IFERROR(__xludf.DUMMYFUNCTION("""COMPUTED_VALUE"""),"-")</f>
        <v>-</v>
      </c>
      <c r="I3185" s="19">
        <f>IFERROR(__xludf.DUMMYFUNCTION("""COMPUTED_VALUE"""),0.00221)</f>
        <v>0.00221</v>
      </c>
      <c r="J3185" s="19">
        <f>IFERROR(__xludf.DUMMYFUNCTION("""COMPUTED_VALUE"""),0.04741)</f>
        <v>0.04741</v>
      </c>
      <c r="K3185" s="19" t="str">
        <f>IFERROR(__xludf.DUMMYFUNCTION("""COMPUTED_VALUE"""),"-")</f>
        <v>-</v>
      </c>
      <c r="L3185" s="19" t="str">
        <f>IFERROR(__xludf.DUMMYFUNCTION("""COMPUTED_VALUE"""),"-")</f>
        <v>-</v>
      </c>
      <c r="O3185" s="24">
        <f t="shared" si="4"/>
        <v>0</v>
      </c>
      <c r="P3185" s="24"/>
      <c r="Q3185" s="24">
        <f t="shared" si="6"/>
        <v>0</v>
      </c>
      <c r="R3185" s="24">
        <f t="shared" si="7"/>
        <v>0</v>
      </c>
      <c r="S3185" s="24"/>
      <c r="T3185" s="24"/>
    </row>
    <row r="3186">
      <c r="A3186" s="12" t="s">
        <v>3273</v>
      </c>
      <c r="F3186" s="19">
        <f>IFERROR(__xludf.DUMMYFUNCTION("SPLIT(A3182, "" |"")"),3180.0)</f>
        <v>3180</v>
      </c>
      <c r="G3186" s="19">
        <f>IFERROR(__xludf.DUMMYFUNCTION("""COMPUTED_VALUE"""),0.00236)</f>
        <v>0.00236</v>
      </c>
      <c r="H3186" s="19" t="str">
        <f>IFERROR(__xludf.DUMMYFUNCTION("""COMPUTED_VALUE"""),"-")</f>
        <v>-</v>
      </c>
      <c r="I3186" s="19">
        <f>IFERROR(__xludf.DUMMYFUNCTION("""COMPUTED_VALUE"""),0.00219)</f>
        <v>0.00219</v>
      </c>
      <c r="J3186" s="19">
        <f>IFERROR(__xludf.DUMMYFUNCTION("""COMPUTED_VALUE"""),0.04741)</f>
        <v>0.04741</v>
      </c>
      <c r="K3186" s="19" t="str">
        <f>IFERROR(__xludf.DUMMYFUNCTION("""COMPUTED_VALUE"""),"-")</f>
        <v>-</v>
      </c>
      <c r="L3186" s="19" t="str">
        <f>IFERROR(__xludf.DUMMYFUNCTION("""COMPUTED_VALUE"""),"-")</f>
        <v>-</v>
      </c>
      <c r="O3186" s="24">
        <f t="shared" si="4"/>
        <v>0</v>
      </c>
      <c r="P3186" s="24"/>
      <c r="Q3186" s="24">
        <f t="shared" si="6"/>
        <v>0</v>
      </c>
      <c r="R3186" s="24">
        <f t="shared" si="7"/>
        <v>0</v>
      </c>
      <c r="S3186" s="24"/>
      <c r="T3186" s="24"/>
    </row>
    <row r="3187">
      <c r="A3187" s="12" t="s">
        <v>3274</v>
      </c>
      <c r="F3187" s="19">
        <f>IFERROR(__xludf.DUMMYFUNCTION("SPLIT(A3183, "" |"")"),3181.0)</f>
        <v>3181</v>
      </c>
      <c r="G3187" s="19">
        <f>IFERROR(__xludf.DUMMYFUNCTION("""COMPUTED_VALUE"""),0.00238)</f>
        <v>0.00238</v>
      </c>
      <c r="H3187" s="19" t="str">
        <f>IFERROR(__xludf.DUMMYFUNCTION("""COMPUTED_VALUE"""),"-")</f>
        <v>-</v>
      </c>
      <c r="I3187" s="19">
        <f>IFERROR(__xludf.DUMMYFUNCTION("""COMPUTED_VALUE"""),0.0022)</f>
        <v>0.0022</v>
      </c>
      <c r="J3187" s="19">
        <f>IFERROR(__xludf.DUMMYFUNCTION("""COMPUTED_VALUE"""),0.04746)</f>
        <v>0.04746</v>
      </c>
      <c r="K3187" s="19" t="str">
        <f>IFERROR(__xludf.DUMMYFUNCTION("""COMPUTED_VALUE"""),"-")</f>
        <v>-</v>
      </c>
      <c r="L3187" s="19" t="str">
        <f>IFERROR(__xludf.DUMMYFUNCTION("""COMPUTED_VALUE"""),"-")</f>
        <v>-</v>
      </c>
      <c r="O3187" s="24">
        <f t="shared" si="4"/>
        <v>0</v>
      </c>
      <c r="P3187" s="24"/>
      <c r="Q3187" s="24">
        <f t="shared" si="6"/>
        <v>0</v>
      </c>
      <c r="R3187" s="24">
        <f t="shared" si="7"/>
        <v>0</v>
      </c>
      <c r="S3187" s="24"/>
      <c r="T3187" s="24"/>
    </row>
    <row r="3188">
      <c r="A3188" s="12" t="s">
        <v>3275</v>
      </c>
      <c r="F3188" s="19">
        <f>IFERROR(__xludf.DUMMYFUNCTION("SPLIT(A3184, "" |"")"),3182.0)</f>
        <v>3182</v>
      </c>
      <c r="G3188" s="19">
        <f>IFERROR(__xludf.DUMMYFUNCTION("""COMPUTED_VALUE"""),0.00239)</f>
        <v>0.00239</v>
      </c>
      <c r="H3188" s="19" t="str">
        <f>IFERROR(__xludf.DUMMYFUNCTION("""COMPUTED_VALUE"""),"-")</f>
        <v>-</v>
      </c>
      <c r="I3188" s="19">
        <f>IFERROR(__xludf.DUMMYFUNCTION("""COMPUTED_VALUE"""),0.0022)</f>
        <v>0.0022</v>
      </c>
      <c r="J3188" s="19">
        <f>IFERROR(__xludf.DUMMYFUNCTION("""COMPUTED_VALUE"""),0.04589)</f>
        <v>0.04589</v>
      </c>
      <c r="K3188" s="19" t="str">
        <f>IFERROR(__xludf.DUMMYFUNCTION("""COMPUTED_VALUE"""),"-")</f>
        <v>-</v>
      </c>
      <c r="L3188" s="19" t="str">
        <f>IFERROR(__xludf.DUMMYFUNCTION("""COMPUTED_VALUE"""),"-")</f>
        <v>-</v>
      </c>
      <c r="O3188" s="24">
        <f t="shared" si="4"/>
        <v>0</v>
      </c>
      <c r="P3188" s="24"/>
      <c r="Q3188" s="24">
        <f t="shared" si="6"/>
        <v>0</v>
      </c>
      <c r="R3188" s="24">
        <f t="shared" si="7"/>
        <v>0</v>
      </c>
      <c r="S3188" s="24"/>
      <c r="T3188" s="24"/>
    </row>
    <row r="3189">
      <c r="A3189" s="12" t="s">
        <v>3276</v>
      </c>
      <c r="F3189" s="19">
        <f>IFERROR(__xludf.DUMMYFUNCTION("SPLIT(A3185, "" |"")"),3183.0)</f>
        <v>3183</v>
      </c>
      <c r="G3189" s="19">
        <f>IFERROR(__xludf.DUMMYFUNCTION("""COMPUTED_VALUE"""),0.00232)</f>
        <v>0.00232</v>
      </c>
      <c r="H3189" s="19" t="str">
        <f>IFERROR(__xludf.DUMMYFUNCTION("""COMPUTED_VALUE"""),"-")</f>
        <v>-</v>
      </c>
      <c r="I3189" s="19">
        <f>IFERROR(__xludf.DUMMYFUNCTION("""COMPUTED_VALUE"""),0.00227)</f>
        <v>0.00227</v>
      </c>
      <c r="J3189" s="19">
        <f>IFERROR(__xludf.DUMMYFUNCTION("""COMPUTED_VALUE"""),0.04744)</f>
        <v>0.04744</v>
      </c>
      <c r="K3189" s="19" t="str">
        <f>IFERROR(__xludf.DUMMYFUNCTION("""COMPUTED_VALUE"""),"-")</f>
        <v>-</v>
      </c>
      <c r="L3189" s="19" t="str">
        <f>IFERROR(__xludf.DUMMYFUNCTION("""COMPUTED_VALUE"""),"-")</f>
        <v>-</v>
      </c>
      <c r="O3189" s="24">
        <f t="shared" si="4"/>
        <v>0</v>
      </c>
      <c r="P3189" s="24"/>
      <c r="Q3189" s="24">
        <f t="shared" si="6"/>
        <v>0</v>
      </c>
      <c r="R3189" s="24">
        <f t="shared" si="7"/>
        <v>0</v>
      </c>
      <c r="S3189" s="24"/>
      <c r="T3189" s="24"/>
    </row>
    <row r="3190">
      <c r="A3190" s="12" t="s">
        <v>3277</v>
      </c>
      <c r="F3190" s="19">
        <f>IFERROR(__xludf.DUMMYFUNCTION("SPLIT(A3186, "" |"")"),3184.0)</f>
        <v>3184</v>
      </c>
      <c r="G3190" s="19">
        <f>IFERROR(__xludf.DUMMYFUNCTION("""COMPUTED_VALUE"""),0.00242)</f>
        <v>0.00242</v>
      </c>
      <c r="H3190" s="19" t="str">
        <f>IFERROR(__xludf.DUMMYFUNCTION("""COMPUTED_VALUE"""),"-")</f>
        <v>-</v>
      </c>
      <c r="I3190" s="19">
        <f>IFERROR(__xludf.DUMMYFUNCTION("""COMPUTED_VALUE"""),0.00212)</f>
        <v>0.00212</v>
      </c>
      <c r="J3190" s="19">
        <f>IFERROR(__xludf.DUMMYFUNCTION("""COMPUTED_VALUE"""),0.04749)</f>
        <v>0.04749</v>
      </c>
      <c r="K3190" s="19" t="str">
        <f>IFERROR(__xludf.DUMMYFUNCTION("""COMPUTED_VALUE"""),"-")</f>
        <v>-</v>
      </c>
      <c r="L3190" s="19" t="str">
        <f>IFERROR(__xludf.DUMMYFUNCTION("""COMPUTED_VALUE"""),"-")</f>
        <v>-</v>
      </c>
      <c r="O3190" s="24">
        <f t="shared" si="4"/>
        <v>0</v>
      </c>
      <c r="P3190" s="24"/>
      <c r="Q3190" s="24">
        <f t="shared" si="6"/>
        <v>0</v>
      </c>
      <c r="R3190" s="24">
        <f t="shared" si="7"/>
        <v>0</v>
      </c>
      <c r="S3190" s="24"/>
      <c r="T3190" s="24"/>
    </row>
    <row r="3191">
      <c r="A3191" s="12" t="s">
        <v>3278</v>
      </c>
      <c r="F3191" s="19">
        <f>IFERROR(__xludf.DUMMYFUNCTION("SPLIT(A3187, "" |"")"),3185.0)</f>
        <v>3185</v>
      </c>
      <c r="G3191" s="19">
        <f>IFERROR(__xludf.DUMMYFUNCTION("""COMPUTED_VALUE"""),0.0024)</f>
        <v>0.0024</v>
      </c>
      <c r="H3191" s="19" t="str">
        <f>IFERROR(__xludf.DUMMYFUNCTION("""COMPUTED_VALUE"""),"-")</f>
        <v>-</v>
      </c>
      <c r="I3191" s="19">
        <f>IFERROR(__xludf.DUMMYFUNCTION("""COMPUTED_VALUE"""),0.00222)</f>
        <v>0.00222</v>
      </c>
      <c r="J3191" s="19">
        <f>IFERROR(__xludf.DUMMYFUNCTION("""COMPUTED_VALUE"""),0.04743)</f>
        <v>0.04743</v>
      </c>
      <c r="K3191" s="19" t="str">
        <f>IFERROR(__xludf.DUMMYFUNCTION("""COMPUTED_VALUE"""),"-")</f>
        <v>-</v>
      </c>
      <c r="L3191" s="19" t="str">
        <f>IFERROR(__xludf.DUMMYFUNCTION("""COMPUTED_VALUE"""),"-")</f>
        <v>-</v>
      </c>
      <c r="O3191" s="24">
        <f t="shared" si="4"/>
        <v>0</v>
      </c>
      <c r="P3191" s="24"/>
      <c r="Q3191" s="24">
        <f t="shared" si="6"/>
        <v>0</v>
      </c>
      <c r="R3191" s="24">
        <f t="shared" si="7"/>
        <v>0</v>
      </c>
      <c r="S3191" s="24"/>
      <c r="T3191" s="24"/>
    </row>
    <row r="3192">
      <c r="A3192" s="12" t="s">
        <v>3279</v>
      </c>
      <c r="F3192" s="19">
        <f>IFERROR(__xludf.DUMMYFUNCTION("SPLIT(A3188, "" |"")"),3186.0)</f>
        <v>3186</v>
      </c>
      <c r="G3192" s="19">
        <f>IFERROR(__xludf.DUMMYFUNCTION("""COMPUTED_VALUE"""),0.00235)</f>
        <v>0.00235</v>
      </c>
      <c r="H3192" s="19" t="str">
        <f>IFERROR(__xludf.DUMMYFUNCTION("""COMPUTED_VALUE"""),"-")</f>
        <v>-</v>
      </c>
      <c r="I3192" s="19">
        <f>IFERROR(__xludf.DUMMYFUNCTION("""COMPUTED_VALUE"""),0.00219)</f>
        <v>0.00219</v>
      </c>
      <c r="J3192" s="19">
        <f>IFERROR(__xludf.DUMMYFUNCTION("""COMPUTED_VALUE"""),0.04744)</f>
        <v>0.04744</v>
      </c>
      <c r="K3192" s="19" t="str">
        <f>IFERROR(__xludf.DUMMYFUNCTION("""COMPUTED_VALUE"""),"-")</f>
        <v>-</v>
      </c>
      <c r="L3192" s="19" t="str">
        <f>IFERROR(__xludf.DUMMYFUNCTION("""COMPUTED_VALUE"""),"-")</f>
        <v>-</v>
      </c>
      <c r="O3192" s="24">
        <f t="shared" si="4"/>
        <v>0</v>
      </c>
      <c r="P3192" s="24"/>
      <c r="Q3192" s="24">
        <f t="shared" si="6"/>
        <v>0</v>
      </c>
      <c r="R3192" s="24">
        <f t="shared" si="7"/>
        <v>0</v>
      </c>
      <c r="S3192" s="24"/>
      <c r="T3192" s="24"/>
    </row>
    <row r="3193">
      <c r="A3193" s="12" t="s">
        <v>3280</v>
      </c>
      <c r="F3193" s="19">
        <f>IFERROR(__xludf.DUMMYFUNCTION("SPLIT(A3189, "" |"")"),3187.0)</f>
        <v>3187</v>
      </c>
      <c r="G3193" s="19">
        <f>IFERROR(__xludf.DUMMYFUNCTION("""COMPUTED_VALUE"""),0.00234)</f>
        <v>0.00234</v>
      </c>
      <c r="H3193" s="19" t="str">
        <f>IFERROR(__xludf.DUMMYFUNCTION("""COMPUTED_VALUE"""),"-")</f>
        <v>-</v>
      </c>
      <c r="I3193" s="19">
        <f>IFERROR(__xludf.DUMMYFUNCTION("""COMPUTED_VALUE"""),0.00224)</f>
        <v>0.00224</v>
      </c>
      <c r="J3193" s="19">
        <f>IFERROR(__xludf.DUMMYFUNCTION("""COMPUTED_VALUE"""),0.04746)</f>
        <v>0.04746</v>
      </c>
      <c r="K3193" s="19" t="str">
        <f>IFERROR(__xludf.DUMMYFUNCTION("""COMPUTED_VALUE"""),"-")</f>
        <v>-</v>
      </c>
      <c r="L3193" s="19" t="str">
        <f>IFERROR(__xludf.DUMMYFUNCTION("""COMPUTED_VALUE"""),"-")</f>
        <v>-</v>
      </c>
      <c r="O3193" s="24">
        <f t="shared" si="4"/>
        <v>0</v>
      </c>
      <c r="P3193" s="24"/>
      <c r="Q3193" s="24">
        <f t="shared" si="6"/>
        <v>0</v>
      </c>
      <c r="R3193" s="24">
        <f t="shared" si="7"/>
        <v>0</v>
      </c>
      <c r="S3193" s="24"/>
      <c r="T3193" s="24"/>
    </row>
    <row r="3194">
      <c r="A3194" s="12" t="s">
        <v>3281</v>
      </c>
      <c r="F3194" s="19">
        <f>IFERROR(__xludf.DUMMYFUNCTION("SPLIT(A3190, "" |"")"),3188.0)</f>
        <v>3188</v>
      </c>
      <c r="G3194" s="19">
        <f>IFERROR(__xludf.DUMMYFUNCTION("""COMPUTED_VALUE"""),0.00245)</f>
        <v>0.00245</v>
      </c>
      <c r="H3194" s="19" t="str">
        <f>IFERROR(__xludf.DUMMYFUNCTION("""COMPUTED_VALUE"""),"-")</f>
        <v>-</v>
      </c>
      <c r="I3194" s="19">
        <f>IFERROR(__xludf.DUMMYFUNCTION("""COMPUTED_VALUE"""),0.00227)</f>
        <v>0.00227</v>
      </c>
      <c r="J3194" s="19">
        <f>IFERROR(__xludf.DUMMYFUNCTION("""COMPUTED_VALUE"""),0.04742)</f>
        <v>0.04742</v>
      </c>
      <c r="K3194" s="19" t="str">
        <f>IFERROR(__xludf.DUMMYFUNCTION("""COMPUTED_VALUE"""),"-")</f>
        <v>-</v>
      </c>
      <c r="L3194" s="19" t="str">
        <f>IFERROR(__xludf.DUMMYFUNCTION("""COMPUTED_VALUE"""),"-")</f>
        <v>-</v>
      </c>
      <c r="O3194" s="24">
        <f t="shared" si="4"/>
        <v>0</v>
      </c>
      <c r="P3194" s="24"/>
      <c r="Q3194" s="24">
        <f t="shared" si="6"/>
        <v>0</v>
      </c>
      <c r="R3194" s="24">
        <f t="shared" si="7"/>
        <v>0</v>
      </c>
      <c r="S3194" s="24"/>
      <c r="T3194" s="24"/>
    </row>
    <row r="3195">
      <c r="A3195" s="12" t="s">
        <v>3282</v>
      </c>
      <c r="F3195" s="19">
        <f>IFERROR(__xludf.DUMMYFUNCTION("SPLIT(A3191, "" |"")"),3189.0)</f>
        <v>3189</v>
      </c>
      <c r="G3195" s="19">
        <f>IFERROR(__xludf.DUMMYFUNCTION("""COMPUTED_VALUE"""),0.0024)</f>
        <v>0.0024</v>
      </c>
      <c r="H3195" s="19" t="str">
        <f>IFERROR(__xludf.DUMMYFUNCTION("""COMPUTED_VALUE"""),"-")</f>
        <v>-</v>
      </c>
      <c r="I3195" s="19">
        <f>IFERROR(__xludf.DUMMYFUNCTION("""COMPUTED_VALUE"""),0.00223)</f>
        <v>0.00223</v>
      </c>
      <c r="J3195" s="19">
        <f>IFERROR(__xludf.DUMMYFUNCTION("""COMPUTED_VALUE"""),0.04753)</f>
        <v>0.04753</v>
      </c>
      <c r="K3195" s="19" t="str">
        <f>IFERROR(__xludf.DUMMYFUNCTION("""COMPUTED_VALUE"""),"-")</f>
        <v>-</v>
      </c>
      <c r="L3195" s="19" t="str">
        <f>IFERROR(__xludf.DUMMYFUNCTION("""COMPUTED_VALUE"""),"-")</f>
        <v>-</v>
      </c>
      <c r="O3195" s="24">
        <f t="shared" si="4"/>
        <v>0</v>
      </c>
      <c r="P3195" s="24"/>
      <c r="Q3195" s="24">
        <f t="shared" si="6"/>
        <v>0</v>
      </c>
      <c r="R3195" s="24">
        <f t="shared" si="7"/>
        <v>0</v>
      </c>
      <c r="S3195" s="24"/>
      <c r="T3195" s="24"/>
    </row>
    <row r="3196">
      <c r="A3196" s="12" t="s">
        <v>3283</v>
      </c>
      <c r="F3196" s="19">
        <f>IFERROR(__xludf.DUMMYFUNCTION("SPLIT(A3192, "" |"")"),3190.0)</f>
        <v>3190</v>
      </c>
      <c r="G3196" s="19">
        <f>IFERROR(__xludf.DUMMYFUNCTION("""COMPUTED_VALUE"""),0.00229)</f>
        <v>0.00229</v>
      </c>
      <c r="H3196" s="19" t="str">
        <f>IFERROR(__xludf.DUMMYFUNCTION("""COMPUTED_VALUE"""),"-")</f>
        <v>-</v>
      </c>
      <c r="I3196" s="19">
        <f>IFERROR(__xludf.DUMMYFUNCTION("""COMPUTED_VALUE"""),0.00219)</f>
        <v>0.00219</v>
      </c>
      <c r="J3196" s="19">
        <f>IFERROR(__xludf.DUMMYFUNCTION("""COMPUTED_VALUE"""),0.04745)</f>
        <v>0.04745</v>
      </c>
      <c r="K3196" s="19" t="str">
        <f>IFERROR(__xludf.DUMMYFUNCTION("""COMPUTED_VALUE"""),"-")</f>
        <v>-</v>
      </c>
      <c r="L3196" s="19" t="str">
        <f>IFERROR(__xludf.DUMMYFUNCTION("""COMPUTED_VALUE"""),"-")</f>
        <v>-</v>
      </c>
      <c r="O3196" s="24">
        <f t="shared" si="4"/>
        <v>0</v>
      </c>
      <c r="P3196" s="24"/>
      <c r="Q3196" s="24">
        <f t="shared" si="6"/>
        <v>0</v>
      </c>
      <c r="R3196" s="24">
        <f t="shared" si="7"/>
        <v>0</v>
      </c>
      <c r="S3196" s="24"/>
      <c r="T3196" s="24"/>
    </row>
    <row r="3197">
      <c r="A3197" s="12" t="s">
        <v>3284</v>
      </c>
      <c r="F3197" s="19">
        <f>IFERROR(__xludf.DUMMYFUNCTION("SPLIT(A3193, "" |"")"),3191.0)</f>
        <v>3191</v>
      </c>
      <c r="G3197" s="19">
        <f>IFERROR(__xludf.DUMMYFUNCTION("""COMPUTED_VALUE"""),0.00233)</f>
        <v>0.00233</v>
      </c>
      <c r="H3197" s="19" t="str">
        <f>IFERROR(__xludf.DUMMYFUNCTION("""COMPUTED_VALUE"""),"-")</f>
        <v>-</v>
      </c>
      <c r="I3197" s="19">
        <f>IFERROR(__xludf.DUMMYFUNCTION("""COMPUTED_VALUE"""),0.00221)</f>
        <v>0.00221</v>
      </c>
      <c r="J3197" s="19">
        <f>IFERROR(__xludf.DUMMYFUNCTION("""COMPUTED_VALUE"""),0.04749)</f>
        <v>0.04749</v>
      </c>
      <c r="K3197" s="19" t="str">
        <f>IFERROR(__xludf.DUMMYFUNCTION("""COMPUTED_VALUE"""),"-")</f>
        <v>-</v>
      </c>
      <c r="L3197" s="19" t="str">
        <f>IFERROR(__xludf.DUMMYFUNCTION("""COMPUTED_VALUE"""),"-")</f>
        <v>-</v>
      </c>
      <c r="O3197" s="24">
        <f t="shared" si="4"/>
        <v>0</v>
      </c>
      <c r="P3197" s="24"/>
      <c r="Q3197" s="24">
        <f t="shared" si="6"/>
        <v>0</v>
      </c>
      <c r="R3197" s="24">
        <f t="shared" si="7"/>
        <v>0</v>
      </c>
      <c r="S3197" s="24"/>
      <c r="T3197" s="24"/>
    </row>
    <row r="3198">
      <c r="A3198" s="12" t="s">
        <v>3285</v>
      </c>
      <c r="F3198" s="19">
        <f>IFERROR(__xludf.DUMMYFUNCTION("SPLIT(A3194, "" |"")"),3192.0)</f>
        <v>3192</v>
      </c>
      <c r="G3198" s="19">
        <f>IFERROR(__xludf.DUMMYFUNCTION("""COMPUTED_VALUE"""),0.00238)</f>
        <v>0.00238</v>
      </c>
      <c r="H3198" s="19" t="str">
        <f>IFERROR(__xludf.DUMMYFUNCTION("""COMPUTED_VALUE"""),"-")</f>
        <v>-</v>
      </c>
      <c r="I3198" s="19">
        <f>IFERROR(__xludf.DUMMYFUNCTION("""COMPUTED_VALUE"""),0.00219)</f>
        <v>0.00219</v>
      </c>
      <c r="J3198" s="19">
        <f>IFERROR(__xludf.DUMMYFUNCTION("""COMPUTED_VALUE"""),0.04737)</f>
        <v>0.04737</v>
      </c>
      <c r="K3198" s="19" t="str">
        <f>IFERROR(__xludf.DUMMYFUNCTION("""COMPUTED_VALUE"""),"-")</f>
        <v>-</v>
      </c>
      <c r="L3198" s="19" t="str">
        <f>IFERROR(__xludf.DUMMYFUNCTION("""COMPUTED_VALUE"""),"-")</f>
        <v>-</v>
      </c>
      <c r="O3198" s="24">
        <f t="shared" si="4"/>
        <v>0</v>
      </c>
      <c r="P3198" s="24"/>
      <c r="Q3198" s="24">
        <f t="shared" si="6"/>
        <v>0</v>
      </c>
      <c r="R3198" s="24">
        <f t="shared" si="7"/>
        <v>0</v>
      </c>
      <c r="S3198" s="24"/>
      <c r="T3198" s="24"/>
    </row>
    <row r="3199">
      <c r="A3199" s="12" t="s">
        <v>3286</v>
      </c>
      <c r="F3199" s="19">
        <f>IFERROR(__xludf.DUMMYFUNCTION("SPLIT(A3195, "" |"")"),3193.0)</f>
        <v>3193</v>
      </c>
      <c r="G3199" s="19">
        <f>IFERROR(__xludf.DUMMYFUNCTION("""COMPUTED_VALUE"""),0.00234)</f>
        <v>0.00234</v>
      </c>
      <c r="H3199" s="19" t="str">
        <f>IFERROR(__xludf.DUMMYFUNCTION("""COMPUTED_VALUE"""),"-")</f>
        <v>-</v>
      </c>
      <c r="I3199" s="19">
        <f>IFERROR(__xludf.DUMMYFUNCTION("""COMPUTED_VALUE"""),0.00224)</f>
        <v>0.00224</v>
      </c>
      <c r="J3199" s="19">
        <f>IFERROR(__xludf.DUMMYFUNCTION("""COMPUTED_VALUE"""),0.04751)</f>
        <v>0.04751</v>
      </c>
      <c r="K3199" s="19" t="str">
        <f>IFERROR(__xludf.DUMMYFUNCTION("""COMPUTED_VALUE"""),"-")</f>
        <v>-</v>
      </c>
      <c r="L3199" s="19" t="str">
        <f>IFERROR(__xludf.DUMMYFUNCTION("""COMPUTED_VALUE"""),"-")</f>
        <v>-</v>
      </c>
      <c r="O3199" s="24">
        <f t="shared" si="4"/>
        <v>0</v>
      </c>
      <c r="P3199" s="24"/>
      <c r="Q3199" s="24">
        <f t="shared" si="6"/>
        <v>0</v>
      </c>
      <c r="R3199" s="24">
        <f t="shared" si="7"/>
        <v>0</v>
      </c>
      <c r="S3199" s="24"/>
      <c r="T3199" s="24"/>
    </row>
    <row r="3200">
      <c r="A3200" s="12" t="s">
        <v>3287</v>
      </c>
      <c r="F3200" s="19">
        <f>IFERROR(__xludf.DUMMYFUNCTION("SPLIT(A3196, "" |"")"),3194.0)</f>
        <v>3194</v>
      </c>
      <c r="G3200" s="19">
        <f>IFERROR(__xludf.DUMMYFUNCTION("""COMPUTED_VALUE"""),0.00233)</f>
        <v>0.00233</v>
      </c>
      <c r="H3200" s="19" t="str">
        <f>IFERROR(__xludf.DUMMYFUNCTION("""COMPUTED_VALUE"""),"-")</f>
        <v>-</v>
      </c>
      <c r="I3200" s="19">
        <f>IFERROR(__xludf.DUMMYFUNCTION("""COMPUTED_VALUE"""),0.00214)</f>
        <v>0.00214</v>
      </c>
      <c r="J3200" s="19">
        <f>IFERROR(__xludf.DUMMYFUNCTION("""COMPUTED_VALUE"""),0.04748)</f>
        <v>0.04748</v>
      </c>
      <c r="K3200" s="19" t="str">
        <f>IFERROR(__xludf.DUMMYFUNCTION("""COMPUTED_VALUE"""),"-")</f>
        <v>-</v>
      </c>
      <c r="L3200" s="19" t="str">
        <f>IFERROR(__xludf.DUMMYFUNCTION("""COMPUTED_VALUE"""),"-")</f>
        <v>-</v>
      </c>
      <c r="O3200" s="24">
        <f t="shared" si="4"/>
        <v>0</v>
      </c>
      <c r="P3200" s="24"/>
      <c r="Q3200" s="24">
        <f t="shared" si="6"/>
        <v>0</v>
      </c>
      <c r="R3200" s="24">
        <f t="shared" si="7"/>
        <v>0</v>
      </c>
      <c r="S3200" s="24"/>
      <c r="T3200" s="24"/>
    </row>
    <row r="3201">
      <c r="A3201" s="12" t="s">
        <v>3288</v>
      </c>
      <c r="F3201" s="19">
        <f>IFERROR(__xludf.DUMMYFUNCTION("SPLIT(A3197, "" |"")"),3195.0)</f>
        <v>3195</v>
      </c>
      <c r="G3201" s="19">
        <f>IFERROR(__xludf.DUMMYFUNCTION("""COMPUTED_VALUE"""),0.00237)</f>
        <v>0.00237</v>
      </c>
      <c r="H3201" s="19" t="str">
        <f>IFERROR(__xludf.DUMMYFUNCTION("""COMPUTED_VALUE"""),"-")</f>
        <v>-</v>
      </c>
      <c r="I3201" s="19">
        <f>IFERROR(__xludf.DUMMYFUNCTION("""COMPUTED_VALUE"""),0.00222)</f>
        <v>0.00222</v>
      </c>
      <c r="J3201" s="19">
        <f>IFERROR(__xludf.DUMMYFUNCTION("""COMPUTED_VALUE"""),0.04744)</f>
        <v>0.04744</v>
      </c>
      <c r="K3201" s="19" t="str">
        <f>IFERROR(__xludf.DUMMYFUNCTION("""COMPUTED_VALUE"""),"-")</f>
        <v>-</v>
      </c>
      <c r="L3201" s="19" t="str">
        <f>IFERROR(__xludf.DUMMYFUNCTION("""COMPUTED_VALUE"""),"-")</f>
        <v>-</v>
      </c>
      <c r="O3201" s="24">
        <f t="shared" si="4"/>
        <v>0</v>
      </c>
      <c r="P3201" s="24"/>
      <c r="Q3201" s="24">
        <f t="shared" si="6"/>
        <v>0</v>
      </c>
      <c r="R3201" s="24">
        <f t="shared" si="7"/>
        <v>0</v>
      </c>
      <c r="S3201" s="24"/>
      <c r="T3201" s="24"/>
    </row>
    <row r="3202">
      <c r="A3202" s="12" t="s">
        <v>3289</v>
      </c>
      <c r="F3202" s="19">
        <f>IFERROR(__xludf.DUMMYFUNCTION("SPLIT(A3198, "" |"")"),3196.0)</f>
        <v>3196</v>
      </c>
      <c r="G3202" s="19">
        <f>IFERROR(__xludf.DUMMYFUNCTION("""COMPUTED_VALUE"""),0.00239)</f>
        <v>0.00239</v>
      </c>
      <c r="H3202" s="19" t="str">
        <f>IFERROR(__xludf.DUMMYFUNCTION("""COMPUTED_VALUE"""),"-")</f>
        <v>-</v>
      </c>
      <c r="I3202" s="19">
        <f>IFERROR(__xludf.DUMMYFUNCTION("""COMPUTED_VALUE"""),0.00222)</f>
        <v>0.00222</v>
      </c>
      <c r="J3202" s="19">
        <f>IFERROR(__xludf.DUMMYFUNCTION("""COMPUTED_VALUE"""),0.04743)</f>
        <v>0.04743</v>
      </c>
      <c r="K3202" s="19" t="str">
        <f>IFERROR(__xludf.DUMMYFUNCTION("""COMPUTED_VALUE"""),"-")</f>
        <v>-</v>
      </c>
      <c r="L3202" s="19" t="str">
        <f>IFERROR(__xludf.DUMMYFUNCTION("""COMPUTED_VALUE"""),"-")</f>
        <v>-</v>
      </c>
      <c r="O3202" s="24">
        <f t="shared" si="4"/>
        <v>0</v>
      </c>
      <c r="P3202" s="24"/>
      <c r="Q3202" s="24">
        <f t="shared" si="6"/>
        <v>0</v>
      </c>
      <c r="R3202" s="24">
        <f t="shared" si="7"/>
        <v>0</v>
      </c>
      <c r="S3202" s="24"/>
      <c r="T3202" s="24"/>
    </row>
    <row r="3203">
      <c r="A3203" s="12" t="s">
        <v>3290</v>
      </c>
      <c r="F3203" s="19">
        <f>IFERROR(__xludf.DUMMYFUNCTION("SPLIT(A3199, "" |"")"),3197.0)</f>
        <v>3197</v>
      </c>
      <c r="G3203" s="19">
        <f>IFERROR(__xludf.DUMMYFUNCTION("""COMPUTED_VALUE"""),0.00232)</f>
        <v>0.00232</v>
      </c>
      <c r="H3203" s="19" t="str">
        <f>IFERROR(__xludf.DUMMYFUNCTION("""COMPUTED_VALUE"""),"-")</f>
        <v>-</v>
      </c>
      <c r="I3203" s="19">
        <f>IFERROR(__xludf.DUMMYFUNCTION("""COMPUTED_VALUE"""),0.00222)</f>
        <v>0.00222</v>
      </c>
      <c r="J3203" s="19">
        <f>IFERROR(__xludf.DUMMYFUNCTION("""COMPUTED_VALUE"""),0.04745)</f>
        <v>0.04745</v>
      </c>
      <c r="K3203" s="19" t="str">
        <f>IFERROR(__xludf.DUMMYFUNCTION("""COMPUTED_VALUE"""),"-")</f>
        <v>-</v>
      </c>
      <c r="L3203" s="19" t="str">
        <f>IFERROR(__xludf.DUMMYFUNCTION("""COMPUTED_VALUE"""),"-")</f>
        <v>-</v>
      </c>
      <c r="O3203" s="24">
        <f t="shared" si="4"/>
        <v>0</v>
      </c>
      <c r="P3203" s="24"/>
      <c r="Q3203" s="24">
        <f t="shared" si="6"/>
        <v>0</v>
      </c>
      <c r="R3203" s="24">
        <f t="shared" si="7"/>
        <v>0</v>
      </c>
      <c r="S3203" s="24"/>
      <c r="T3203" s="24"/>
    </row>
    <row r="3204">
      <c r="A3204" s="12" t="s">
        <v>3291</v>
      </c>
      <c r="F3204" s="19">
        <f>IFERROR(__xludf.DUMMYFUNCTION("SPLIT(A3200, "" |"")"),3198.0)</f>
        <v>3198</v>
      </c>
      <c r="G3204" s="19">
        <f>IFERROR(__xludf.DUMMYFUNCTION("""COMPUTED_VALUE"""),0.00234)</f>
        <v>0.00234</v>
      </c>
      <c r="H3204" s="19" t="str">
        <f>IFERROR(__xludf.DUMMYFUNCTION("""COMPUTED_VALUE"""),"-")</f>
        <v>-</v>
      </c>
      <c r="I3204" s="19">
        <f>IFERROR(__xludf.DUMMYFUNCTION("""COMPUTED_VALUE"""),0.00223)</f>
        <v>0.00223</v>
      </c>
      <c r="J3204" s="19">
        <f>IFERROR(__xludf.DUMMYFUNCTION("""COMPUTED_VALUE"""),0.04745)</f>
        <v>0.04745</v>
      </c>
      <c r="K3204" s="19" t="str">
        <f>IFERROR(__xludf.DUMMYFUNCTION("""COMPUTED_VALUE"""),"-")</f>
        <v>-</v>
      </c>
      <c r="L3204" s="19" t="str">
        <f>IFERROR(__xludf.DUMMYFUNCTION("""COMPUTED_VALUE"""),"-")</f>
        <v>-</v>
      </c>
      <c r="O3204" s="24">
        <f t="shared" si="4"/>
        <v>0</v>
      </c>
      <c r="P3204" s="24"/>
      <c r="Q3204" s="24">
        <f t="shared" si="6"/>
        <v>0</v>
      </c>
      <c r="R3204" s="24">
        <f t="shared" si="7"/>
        <v>0</v>
      </c>
      <c r="S3204" s="24"/>
      <c r="T3204" s="24"/>
    </row>
    <row r="3205">
      <c r="A3205" s="12" t="s">
        <v>3292</v>
      </c>
      <c r="F3205" s="19">
        <f>IFERROR(__xludf.DUMMYFUNCTION("SPLIT(A3201, "" |"")"),3199.0)</f>
        <v>3199</v>
      </c>
      <c r="G3205" s="19">
        <f>IFERROR(__xludf.DUMMYFUNCTION("""COMPUTED_VALUE"""),0.00234)</f>
        <v>0.00234</v>
      </c>
      <c r="H3205" s="19" t="str">
        <f>IFERROR(__xludf.DUMMYFUNCTION("""COMPUTED_VALUE"""),"-")</f>
        <v>-</v>
      </c>
      <c r="I3205" s="19">
        <f>IFERROR(__xludf.DUMMYFUNCTION("""COMPUTED_VALUE"""),0.00222)</f>
        <v>0.00222</v>
      </c>
      <c r="J3205" s="19">
        <f>IFERROR(__xludf.DUMMYFUNCTION("""COMPUTED_VALUE"""),0.0474)</f>
        <v>0.0474</v>
      </c>
      <c r="K3205" s="19" t="str">
        <f>IFERROR(__xludf.DUMMYFUNCTION("""COMPUTED_VALUE"""),"-")</f>
        <v>-</v>
      </c>
      <c r="L3205" s="19" t="str">
        <f>IFERROR(__xludf.DUMMYFUNCTION("""COMPUTED_VALUE"""),"-")</f>
        <v>-</v>
      </c>
      <c r="O3205" s="24">
        <f t="shared" si="4"/>
        <v>0</v>
      </c>
      <c r="P3205" s="24"/>
      <c r="Q3205" s="24">
        <f t="shared" si="6"/>
        <v>0</v>
      </c>
      <c r="R3205" s="24">
        <f t="shared" si="7"/>
        <v>0</v>
      </c>
      <c r="S3205" s="24"/>
      <c r="T3205" s="24"/>
    </row>
    <row r="3206">
      <c r="A3206" s="12" t="s">
        <v>3293</v>
      </c>
      <c r="F3206" s="19">
        <f>IFERROR(__xludf.DUMMYFUNCTION("SPLIT(A3202, "" |"")"),3200.0)</f>
        <v>3200</v>
      </c>
      <c r="G3206" s="19">
        <f>IFERROR(__xludf.DUMMYFUNCTION("""COMPUTED_VALUE"""),0.00229)</f>
        <v>0.00229</v>
      </c>
      <c r="H3206" s="19" t="str">
        <f>IFERROR(__xludf.DUMMYFUNCTION("""COMPUTED_VALUE"""),"-")</f>
        <v>-</v>
      </c>
      <c r="I3206" s="19">
        <f>IFERROR(__xludf.DUMMYFUNCTION("""COMPUTED_VALUE"""),0.0022)</f>
        <v>0.0022</v>
      </c>
      <c r="J3206" s="19">
        <f>IFERROR(__xludf.DUMMYFUNCTION("""COMPUTED_VALUE"""),0.04744)</f>
        <v>0.04744</v>
      </c>
      <c r="K3206" s="19" t="str">
        <f>IFERROR(__xludf.DUMMYFUNCTION("""COMPUTED_VALUE"""),"-")</f>
        <v>-</v>
      </c>
      <c r="L3206" s="19" t="str">
        <f>IFERROR(__xludf.DUMMYFUNCTION("""COMPUTED_VALUE"""),"-")</f>
        <v>-</v>
      </c>
      <c r="O3206" s="24">
        <f t="shared" si="4"/>
        <v>0</v>
      </c>
      <c r="P3206" s="24"/>
      <c r="Q3206" s="24">
        <f t="shared" si="6"/>
        <v>0</v>
      </c>
      <c r="R3206" s="24">
        <f t="shared" si="7"/>
        <v>0</v>
      </c>
      <c r="S3206" s="24"/>
      <c r="T3206" s="24"/>
    </row>
    <row r="3207">
      <c r="A3207" s="12" t="s">
        <v>3294</v>
      </c>
      <c r="F3207" s="19">
        <f>IFERROR(__xludf.DUMMYFUNCTION("SPLIT(A3203, "" |"")"),3201.0)</f>
        <v>3201</v>
      </c>
      <c r="G3207" s="19">
        <f>IFERROR(__xludf.DUMMYFUNCTION("""COMPUTED_VALUE"""),0.00246)</f>
        <v>0.00246</v>
      </c>
      <c r="H3207" s="19" t="str">
        <f>IFERROR(__xludf.DUMMYFUNCTION("""COMPUTED_VALUE"""),"-")</f>
        <v>-</v>
      </c>
      <c r="I3207" s="19">
        <f>IFERROR(__xludf.DUMMYFUNCTION("""COMPUTED_VALUE"""),0.00226)</f>
        <v>0.00226</v>
      </c>
      <c r="J3207" s="19">
        <f>IFERROR(__xludf.DUMMYFUNCTION("""COMPUTED_VALUE"""),0.04747)</f>
        <v>0.04747</v>
      </c>
      <c r="K3207" s="19" t="str">
        <f>IFERROR(__xludf.DUMMYFUNCTION("""COMPUTED_VALUE"""),"-")</f>
        <v>-</v>
      </c>
      <c r="L3207" s="19" t="str">
        <f>IFERROR(__xludf.DUMMYFUNCTION("""COMPUTED_VALUE"""),"-")</f>
        <v>-</v>
      </c>
      <c r="O3207" s="24">
        <f t="shared" si="4"/>
        <v>0</v>
      </c>
      <c r="P3207" s="24"/>
      <c r="Q3207" s="24">
        <f t="shared" si="6"/>
        <v>0</v>
      </c>
      <c r="R3207" s="24">
        <f t="shared" si="7"/>
        <v>0</v>
      </c>
      <c r="S3207" s="24"/>
      <c r="T3207" s="24"/>
    </row>
    <row r="3208">
      <c r="A3208" s="12" t="s">
        <v>3295</v>
      </c>
      <c r="F3208" s="19">
        <f>IFERROR(__xludf.DUMMYFUNCTION("SPLIT(A3204, "" |"")"),3202.0)</f>
        <v>3202</v>
      </c>
      <c r="G3208" s="19">
        <f>IFERROR(__xludf.DUMMYFUNCTION("""COMPUTED_VALUE"""),0.00245)</f>
        <v>0.00245</v>
      </c>
      <c r="H3208" s="19" t="str">
        <f>IFERROR(__xludf.DUMMYFUNCTION("""COMPUTED_VALUE"""),"-")</f>
        <v>-</v>
      </c>
      <c r="I3208" s="19">
        <f>IFERROR(__xludf.DUMMYFUNCTION("""COMPUTED_VALUE"""),0.00225)</f>
        <v>0.00225</v>
      </c>
      <c r="J3208" s="19">
        <f>IFERROR(__xludf.DUMMYFUNCTION("""COMPUTED_VALUE"""),0.04587)</f>
        <v>0.04587</v>
      </c>
      <c r="K3208" s="19" t="str">
        <f>IFERROR(__xludf.DUMMYFUNCTION("""COMPUTED_VALUE"""),"-")</f>
        <v>-</v>
      </c>
      <c r="L3208" s="19" t="str">
        <f>IFERROR(__xludf.DUMMYFUNCTION("""COMPUTED_VALUE"""),"-")</f>
        <v>-</v>
      </c>
      <c r="O3208" s="24">
        <f t="shared" si="4"/>
        <v>0</v>
      </c>
      <c r="P3208" s="24"/>
      <c r="Q3208" s="24">
        <f t="shared" si="6"/>
        <v>0</v>
      </c>
      <c r="R3208" s="24">
        <f t="shared" si="7"/>
        <v>0</v>
      </c>
      <c r="S3208" s="24"/>
      <c r="T3208" s="24"/>
    </row>
    <row r="3209">
      <c r="A3209" s="12" t="s">
        <v>3296</v>
      </c>
      <c r="F3209" s="19">
        <f>IFERROR(__xludf.DUMMYFUNCTION("SPLIT(A3205, "" |"")"),3203.0)</f>
        <v>3203</v>
      </c>
      <c r="G3209" s="19">
        <f>IFERROR(__xludf.DUMMYFUNCTION("""COMPUTED_VALUE"""),0.00231)</f>
        <v>0.00231</v>
      </c>
      <c r="H3209" s="19" t="str">
        <f>IFERROR(__xludf.DUMMYFUNCTION("""COMPUTED_VALUE"""),"-")</f>
        <v>-</v>
      </c>
      <c r="I3209" s="19">
        <f>IFERROR(__xludf.DUMMYFUNCTION("""COMPUTED_VALUE"""),0.00214)</f>
        <v>0.00214</v>
      </c>
      <c r="J3209" s="19">
        <f>IFERROR(__xludf.DUMMYFUNCTION("""COMPUTED_VALUE"""),0.04745)</f>
        <v>0.04745</v>
      </c>
      <c r="K3209" s="19" t="str">
        <f>IFERROR(__xludf.DUMMYFUNCTION("""COMPUTED_VALUE"""),"-")</f>
        <v>-</v>
      </c>
      <c r="L3209" s="19" t="str">
        <f>IFERROR(__xludf.DUMMYFUNCTION("""COMPUTED_VALUE"""),"-")</f>
        <v>-</v>
      </c>
      <c r="O3209" s="24">
        <f t="shared" si="4"/>
        <v>0</v>
      </c>
      <c r="P3209" s="24"/>
      <c r="Q3209" s="24">
        <f t="shared" si="6"/>
        <v>0</v>
      </c>
      <c r="R3209" s="24">
        <f t="shared" si="7"/>
        <v>0</v>
      </c>
      <c r="S3209" s="24"/>
      <c r="T3209" s="24"/>
    </row>
    <row r="3210">
      <c r="A3210" s="12" t="s">
        <v>3297</v>
      </c>
      <c r="F3210" s="19">
        <f>IFERROR(__xludf.DUMMYFUNCTION("SPLIT(A3206, "" |"")"),3204.0)</f>
        <v>3204</v>
      </c>
      <c r="G3210" s="19">
        <f>IFERROR(__xludf.DUMMYFUNCTION("""COMPUTED_VALUE"""),0.00242)</f>
        <v>0.00242</v>
      </c>
      <c r="H3210" s="19" t="str">
        <f>IFERROR(__xludf.DUMMYFUNCTION("""COMPUTED_VALUE"""),"-")</f>
        <v>-</v>
      </c>
      <c r="I3210" s="19">
        <f>IFERROR(__xludf.DUMMYFUNCTION("""COMPUTED_VALUE"""),0.00222)</f>
        <v>0.00222</v>
      </c>
      <c r="J3210" s="19">
        <f>IFERROR(__xludf.DUMMYFUNCTION("""COMPUTED_VALUE"""),0.04427)</f>
        <v>0.04427</v>
      </c>
      <c r="K3210" s="19" t="str">
        <f>IFERROR(__xludf.DUMMYFUNCTION("""COMPUTED_VALUE"""),"-")</f>
        <v>-</v>
      </c>
      <c r="L3210" s="19" t="str">
        <f>IFERROR(__xludf.DUMMYFUNCTION("""COMPUTED_VALUE"""),"-")</f>
        <v>-</v>
      </c>
      <c r="O3210" s="24">
        <f t="shared" si="4"/>
        <v>0</v>
      </c>
      <c r="P3210" s="24"/>
      <c r="Q3210" s="24">
        <f t="shared" si="6"/>
        <v>0</v>
      </c>
      <c r="R3210" s="24">
        <f t="shared" si="7"/>
        <v>1</v>
      </c>
      <c r="S3210" s="24"/>
      <c r="T3210" s="24"/>
    </row>
    <row r="3211">
      <c r="A3211" s="12" t="s">
        <v>3298</v>
      </c>
      <c r="F3211" s="19">
        <f>IFERROR(__xludf.DUMMYFUNCTION("SPLIT(A3207, "" |"")"),3205.0)</f>
        <v>3205</v>
      </c>
      <c r="G3211" s="19">
        <f>IFERROR(__xludf.DUMMYFUNCTION("""COMPUTED_VALUE"""),0.0024)</f>
        <v>0.0024</v>
      </c>
      <c r="H3211" s="19" t="str">
        <f>IFERROR(__xludf.DUMMYFUNCTION("""COMPUTED_VALUE"""),"-")</f>
        <v>-</v>
      </c>
      <c r="I3211" s="19">
        <f>IFERROR(__xludf.DUMMYFUNCTION("""COMPUTED_VALUE"""),0.00222)</f>
        <v>0.00222</v>
      </c>
      <c r="J3211" s="19">
        <f>IFERROR(__xludf.DUMMYFUNCTION("""COMPUTED_VALUE"""),0.04746)</f>
        <v>0.04746</v>
      </c>
      <c r="K3211" s="19" t="str">
        <f>IFERROR(__xludf.DUMMYFUNCTION("""COMPUTED_VALUE"""),"-")</f>
        <v>-</v>
      </c>
      <c r="L3211" s="19" t="str">
        <f>IFERROR(__xludf.DUMMYFUNCTION("""COMPUTED_VALUE"""),"-")</f>
        <v>-</v>
      </c>
      <c r="O3211" s="24">
        <f t="shared" si="4"/>
        <v>0</v>
      </c>
      <c r="P3211" s="24"/>
      <c r="Q3211" s="24">
        <f t="shared" si="6"/>
        <v>0</v>
      </c>
      <c r="R3211" s="24">
        <f t="shared" si="7"/>
        <v>0</v>
      </c>
      <c r="S3211" s="24"/>
      <c r="T3211" s="24"/>
    </row>
    <row r="3212">
      <c r="A3212" s="12" t="s">
        <v>3299</v>
      </c>
      <c r="F3212" s="19">
        <f>IFERROR(__xludf.DUMMYFUNCTION("SPLIT(A3208, "" |"")"),3206.0)</f>
        <v>3206</v>
      </c>
      <c r="G3212" s="19">
        <f>IFERROR(__xludf.DUMMYFUNCTION("""COMPUTED_VALUE"""),0.00232)</f>
        <v>0.00232</v>
      </c>
      <c r="H3212" s="19" t="str">
        <f>IFERROR(__xludf.DUMMYFUNCTION("""COMPUTED_VALUE"""),"-")</f>
        <v>-</v>
      </c>
      <c r="I3212" s="19">
        <f>IFERROR(__xludf.DUMMYFUNCTION("""COMPUTED_VALUE"""),0.00221)</f>
        <v>0.00221</v>
      </c>
      <c r="J3212" s="19">
        <f>IFERROR(__xludf.DUMMYFUNCTION("""COMPUTED_VALUE"""),0.04512)</f>
        <v>0.04512</v>
      </c>
      <c r="K3212" s="19" t="str">
        <f>IFERROR(__xludf.DUMMYFUNCTION("""COMPUTED_VALUE"""),"-")</f>
        <v>-</v>
      </c>
      <c r="L3212" s="19" t="str">
        <f>IFERROR(__xludf.DUMMYFUNCTION("""COMPUTED_VALUE"""),"-")</f>
        <v>-</v>
      </c>
      <c r="O3212" s="24">
        <f t="shared" si="4"/>
        <v>0</v>
      </c>
      <c r="P3212" s="24"/>
      <c r="Q3212" s="24">
        <f t="shared" si="6"/>
        <v>0</v>
      </c>
      <c r="R3212" s="24">
        <f t="shared" si="7"/>
        <v>0</v>
      </c>
      <c r="S3212" s="24"/>
      <c r="T3212" s="24"/>
    </row>
    <row r="3213">
      <c r="A3213" s="12" t="s">
        <v>3300</v>
      </c>
      <c r="F3213" s="19">
        <f>IFERROR(__xludf.DUMMYFUNCTION("SPLIT(A3209, "" |"")"),3207.0)</f>
        <v>3207</v>
      </c>
      <c r="G3213" s="19">
        <f>IFERROR(__xludf.DUMMYFUNCTION("""COMPUTED_VALUE"""),0.00235)</f>
        <v>0.00235</v>
      </c>
      <c r="H3213" s="19" t="str">
        <f>IFERROR(__xludf.DUMMYFUNCTION("""COMPUTED_VALUE"""),"-")</f>
        <v>-</v>
      </c>
      <c r="I3213" s="19">
        <f>IFERROR(__xludf.DUMMYFUNCTION("""COMPUTED_VALUE"""),0.00223)</f>
        <v>0.00223</v>
      </c>
      <c r="J3213" s="19">
        <f>IFERROR(__xludf.DUMMYFUNCTION("""COMPUTED_VALUE"""),0.04747)</f>
        <v>0.04747</v>
      </c>
      <c r="K3213" s="19" t="str">
        <f>IFERROR(__xludf.DUMMYFUNCTION("""COMPUTED_VALUE"""),"-")</f>
        <v>-</v>
      </c>
      <c r="L3213" s="19" t="str">
        <f>IFERROR(__xludf.DUMMYFUNCTION("""COMPUTED_VALUE"""),"-")</f>
        <v>-</v>
      </c>
      <c r="O3213" s="24">
        <f t="shared" si="4"/>
        <v>0</v>
      </c>
      <c r="P3213" s="24"/>
      <c r="Q3213" s="24">
        <f t="shared" si="6"/>
        <v>0</v>
      </c>
      <c r="R3213" s="24">
        <f t="shared" si="7"/>
        <v>0</v>
      </c>
      <c r="S3213" s="24"/>
      <c r="T3213" s="24"/>
    </row>
    <row r="3214">
      <c r="A3214" s="12" t="s">
        <v>3301</v>
      </c>
      <c r="F3214" s="19">
        <f>IFERROR(__xludf.DUMMYFUNCTION("SPLIT(A3210, "" |"")"),3208.0)</f>
        <v>3208</v>
      </c>
      <c r="G3214" s="19">
        <f>IFERROR(__xludf.DUMMYFUNCTION("""COMPUTED_VALUE"""),0.00247)</f>
        <v>0.00247</v>
      </c>
      <c r="H3214" s="19" t="str">
        <f>IFERROR(__xludf.DUMMYFUNCTION("""COMPUTED_VALUE"""),"-")</f>
        <v>-</v>
      </c>
      <c r="I3214" s="19">
        <f>IFERROR(__xludf.DUMMYFUNCTION("""COMPUTED_VALUE"""),0.0023)</f>
        <v>0.0023</v>
      </c>
      <c r="J3214" s="19">
        <f>IFERROR(__xludf.DUMMYFUNCTION("""COMPUTED_VALUE"""),0.04725)</f>
        <v>0.04725</v>
      </c>
      <c r="K3214" s="19" t="str">
        <f>IFERROR(__xludf.DUMMYFUNCTION("""COMPUTED_VALUE"""),"-")</f>
        <v>-</v>
      </c>
      <c r="L3214" s="19" t="str">
        <f>IFERROR(__xludf.DUMMYFUNCTION("""COMPUTED_VALUE"""),"-")</f>
        <v>-</v>
      </c>
      <c r="O3214" s="24">
        <f t="shared" si="4"/>
        <v>0</v>
      </c>
      <c r="P3214" s="24"/>
      <c r="Q3214" s="24">
        <f t="shared" si="6"/>
        <v>0</v>
      </c>
      <c r="R3214" s="24">
        <f t="shared" si="7"/>
        <v>0</v>
      </c>
      <c r="S3214" s="24"/>
      <c r="T3214" s="24"/>
    </row>
    <row r="3215">
      <c r="A3215" s="12" t="s">
        <v>3302</v>
      </c>
      <c r="F3215" s="19">
        <f>IFERROR(__xludf.DUMMYFUNCTION("SPLIT(A3211, "" |"")"),3209.0)</f>
        <v>3209</v>
      </c>
      <c r="G3215" s="19">
        <f>IFERROR(__xludf.DUMMYFUNCTION("""COMPUTED_VALUE"""),0.00223)</f>
        <v>0.00223</v>
      </c>
      <c r="H3215" s="19" t="str">
        <f>IFERROR(__xludf.DUMMYFUNCTION("""COMPUTED_VALUE"""),"-")</f>
        <v>-</v>
      </c>
      <c r="I3215" s="19">
        <f>IFERROR(__xludf.DUMMYFUNCTION("""COMPUTED_VALUE"""),0.00211)</f>
        <v>0.00211</v>
      </c>
      <c r="J3215" s="19">
        <f>IFERROR(__xludf.DUMMYFUNCTION("""COMPUTED_VALUE"""),0.04729)</f>
        <v>0.04729</v>
      </c>
      <c r="K3215" s="19" t="str">
        <f>IFERROR(__xludf.DUMMYFUNCTION("""COMPUTED_VALUE"""),"-")</f>
        <v>-</v>
      </c>
      <c r="L3215" s="19" t="str">
        <f>IFERROR(__xludf.DUMMYFUNCTION("""COMPUTED_VALUE"""),"-")</f>
        <v>-</v>
      </c>
      <c r="O3215" s="24">
        <f t="shared" si="4"/>
        <v>0</v>
      </c>
      <c r="P3215" s="24"/>
      <c r="Q3215" s="24">
        <f t="shared" si="6"/>
        <v>0</v>
      </c>
      <c r="R3215" s="24">
        <f t="shared" si="7"/>
        <v>0</v>
      </c>
      <c r="S3215" s="24"/>
      <c r="T3215" s="24"/>
    </row>
    <row r="3216">
      <c r="A3216" s="12" t="s">
        <v>3303</v>
      </c>
      <c r="F3216" s="19">
        <f>IFERROR(__xludf.DUMMYFUNCTION("SPLIT(A3212, "" |"")"),3210.0)</f>
        <v>3210</v>
      </c>
      <c r="G3216" s="19">
        <f>IFERROR(__xludf.DUMMYFUNCTION("""COMPUTED_VALUE"""),0.00226)</f>
        <v>0.00226</v>
      </c>
      <c r="H3216" s="19" t="str">
        <f>IFERROR(__xludf.DUMMYFUNCTION("""COMPUTED_VALUE"""),"-")</f>
        <v>-</v>
      </c>
      <c r="I3216" s="19">
        <f>IFERROR(__xludf.DUMMYFUNCTION("""COMPUTED_VALUE"""),0.00207)</f>
        <v>0.00207</v>
      </c>
      <c r="J3216" s="19">
        <f>IFERROR(__xludf.DUMMYFUNCTION("""COMPUTED_VALUE"""),0.04729)</f>
        <v>0.04729</v>
      </c>
      <c r="K3216" s="19" t="str">
        <f>IFERROR(__xludf.DUMMYFUNCTION("""COMPUTED_VALUE"""),"-")</f>
        <v>-</v>
      </c>
      <c r="L3216" s="19" t="str">
        <f>IFERROR(__xludf.DUMMYFUNCTION("""COMPUTED_VALUE"""),"-")</f>
        <v>-</v>
      </c>
      <c r="O3216" s="24">
        <f t="shared" si="4"/>
        <v>0</v>
      </c>
      <c r="P3216" s="24"/>
      <c r="Q3216" s="24">
        <f t="shared" si="6"/>
        <v>0</v>
      </c>
      <c r="R3216" s="24">
        <f t="shared" si="7"/>
        <v>0</v>
      </c>
      <c r="S3216" s="24"/>
      <c r="T3216" s="24"/>
    </row>
    <row r="3217">
      <c r="A3217" s="12" t="s">
        <v>3304</v>
      </c>
      <c r="F3217" s="19">
        <f>IFERROR(__xludf.DUMMYFUNCTION("SPLIT(A3213, "" |"")"),3211.0)</f>
        <v>3211</v>
      </c>
      <c r="G3217" s="19">
        <f>IFERROR(__xludf.DUMMYFUNCTION("""COMPUTED_VALUE"""),0.00225)</f>
        <v>0.00225</v>
      </c>
      <c r="H3217" s="19" t="str">
        <f>IFERROR(__xludf.DUMMYFUNCTION("""COMPUTED_VALUE"""),"-")</f>
        <v>-</v>
      </c>
      <c r="I3217" s="19">
        <f>IFERROR(__xludf.DUMMYFUNCTION("""COMPUTED_VALUE"""),0.00209)</f>
        <v>0.00209</v>
      </c>
      <c r="J3217" s="19">
        <f>IFERROR(__xludf.DUMMYFUNCTION("""COMPUTED_VALUE"""),0.04728)</f>
        <v>0.04728</v>
      </c>
      <c r="K3217" s="19" t="str">
        <f>IFERROR(__xludf.DUMMYFUNCTION("""COMPUTED_VALUE"""),"-")</f>
        <v>-</v>
      </c>
      <c r="L3217" s="19" t="str">
        <f>IFERROR(__xludf.DUMMYFUNCTION("""COMPUTED_VALUE"""),"-")</f>
        <v>-</v>
      </c>
      <c r="O3217" s="24">
        <f t="shared" si="4"/>
        <v>0</v>
      </c>
      <c r="P3217" s="24"/>
      <c r="Q3217" s="24">
        <f t="shared" si="6"/>
        <v>0</v>
      </c>
      <c r="R3217" s="24">
        <f t="shared" si="7"/>
        <v>0</v>
      </c>
      <c r="S3217" s="24"/>
      <c r="T3217" s="24"/>
    </row>
    <row r="3218">
      <c r="A3218" s="12" t="s">
        <v>3305</v>
      </c>
      <c r="F3218" s="19">
        <f>IFERROR(__xludf.DUMMYFUNCTION("SPLIT(A3214, "" |"")"),3212.0)</f>
        <v>3212</v>
      </c>
      <c r="G3218" s="19">
        <f>IFERROR(__xludf.DUMMYFUNCTION("""COMPUTED_VALUE"""),0.00222)</f>
        <v>0.00222</v>
      </c>
      <c r="H3218" s="19" t="str">
        <f>IFERROR(__xludf.DUMMYFUNCTION("""COMPUTED_VALUE"""),"-")</f>
        <v>-</v>
      </c>
      <c r="I3218" s="19">
        <f>IFERROR(__xludf.DUMMYFUNCTION("""COMPUTED_VALUE"""),0.0021)</f>
        <v>0.0021</v>
      </c>
      <c r="J3218" s="19">
        <f>IFERROR(__xludf.DUMMYFUNCTION("""COMPUTED_VALUE"""),0.04727)</f>
        <v>0.04727</v>
      </c>
      <c r="K3218" s="19" t="str">
        <f>IFERROR(__xludf.DUMMYFUNCTION("""COMPUTED_VALUE"""),"-")</f>
        <v>-</v>
      </c>
      <c r="L3218" s="19" t="str">
        <f>IFERROR(__xludf.DUMMYFUNCTION("""COMPUTED_VALUE"""),"-")</f>
        <v>-</v>
      </c>
      <c r="O3218" s="24">
        <f t="shared" si="4"/>
        <v>0</v>
      </c>
      <c r="P3218" s="24"/>
      <c r="Q3218" s="24">
        <f t="shared" si="6"/>
        <v>0</v>
      </c>
      <c r="R3218" s="24">
        <f t="shared" si="7"/>
        <v>0</v>
      </c>
      <c r="S3218" s="24"/>
      <c r="T3218" s="24"/>
    </row>
    <row r="3219">
      <c r="A3219" s="12" t="s">
        <v>3306</v>
      </c>
      <c r="F3219" s="19">
        <f>IFERROR(__xludf.DUMMYFUNCTION("SPLIT(A3215, "" |"")"),3213.0)</f>
        <v>3213</v>
      </c>
      <c r="G3219" s="19">
        <f>IFERROR(__xludf.DUMMYFUNCTION("""COMPUTED_VALUE"""),0.00225)</f>
        <v>0.00225</v>
      </c>
      <c r="H3219" s="19" t="str">
        <f>IFERROR(__xludf.DUMMYFUNCTION("""COMPUTED_VALUE"""),"-")</f>
        <v>-</v>
      </c>
      <c r="I3219" s="19">
        <f>IFERROR(__xludf.DUMMYFUNCTION("""COMPUTED_VALUE"""),0.00208)</f>
        <v>0.00208</v>
      </c>
      <c r="J3219" s="19">
        <f>IFERROR(__xludf.DUMMYFUNCTION("""COMPUTED_VALUE"""),0.04728)</f>
        <v>0.04728</v>
      </c>
      <c r="K3219" s="19" t="str">
        <f>IFERROR(__xludf.DUMMYFUNCTION("""COMPUTED_VALUE"""),"-")</f>
        <v>-</v>
      </c>
      <c r="L3219" s="19" t="str">
        <f>IFERROR(__xludf.DUMMYFUNCTION("""COMPUTED_VALUE"""),"-")</f>
        <v>-</v>
      </c>
      <c r="O3219" s="24">
        <f t="shared" si="4"/>
        <v>0</v>
      </c>
      <c r="P3219" s="24"/>
      <c r="Q3219" s="24">
        <f t="shared" si="6"/>
        <v>0</v>
      </c>
      <c r="R3219" s="24">
        <f t="shared" si="7"/>
        <v>0</v>
      </c>
      <c r="S3219" s="24"/>
      <c r="T3219" s="24"/>
    </row>
    <row r="3220">
      <c r="A3220" s="12" t="s">
        <v>3307</v>
      </c>
      <c r="F3220" s="19">
        <f>IFERROR(__xludf.DUMMYFUNCTION("SPLIT(A3216, "" |"")"),3214.0)</f>
        <v>3214</v>
      </c>
      <c r="G3220" s="19">
        <f>IFERROR(__xludf.DUMMYFUNCTION("""COMPUTED_VALUE"""),0.00223)</f>
        <v>0.00223</v>
      </c>
      <c r="H3220" s="19" t="str">
        <f>IFERROR(__xludf.DUMMYFUNCTION("""COMPUTED_VALUE"""),"-")</f>
        <v>-</v>
      </c>
      <c r="I3220" s="19">
        <f>IFERROR(__xludf.DUMMYFUNCTION("""COMPUTED_VALUE"""),0.00207)</f>
        <v>0.00207</v>
      </c>
      <c r="J3220" s="19">
        <f>IFERROR(__xludf.DUMMYFUNCTION("""COMPUTED_VALUE"""),0.04723)</f>
        <v>0.04723</v>
      </c>
      <c r="K3220" s="19" t="str">
        <f>IFERROR(__xludf.DUMMYFUNCTION("""COMPUTED_VALUE"""),"-")</f>
        <v>-</v>
      </c>
      <c r="L3220" s="19" t="str">
        <f>IFERROR(__xludf.DUMMYFUNCTION("""COMPUTED_VALUE"""),"-")</f>
        <v>-</v>
      </c>
      <c r="O3220" s="24">
        <f t="shared" si="4"/>
        <v>0</v>
      </c>
      <c r="P3220" s="24"/>
      <c r="Q3220" s="24">
        <f t="shared" si="6"/>
        <v>0</v>
      </c>
      <c r="R3220" s="24">
        <f t="shared" si="7"/>
        <v>0</v>
      </c>
      <c r="S3220" s="24"/>
      <c r="T3220" s="24"/>
    </row>
    <row r="3221">
      <c r="A3221" s="12" t="s">
        <v>3308</v>
      </c>
      <c r="F3221" s="19">
        <f>IFERROR(__xludf.DUMMYFUNCTION("SPLIT(A3217, "" |"")"),3215.0)</f>
        <v>3215</v>
      </c>
      <c r="G3221" s="19">
        <f>IFERROR(__xludf.DUMMYFUNCTION("""COMPUTED_VALUE"""),0.00225)</f>
        <v>0.00225</v>
      </c>
      <c r="H3221" s="19" t="str">
        <f>IFERROR(__xludf.DUMMYFUNCTION("""COMPUTED_VALUE"""),"-")</f>
        <v>-</v>
      </c>
      <c r="I3221" s="19">
        <f>IFERROR(__xludf.DUMMYFUNCTION("""COMPUTED_VALUE"""),0.00207)</f>
        <v>0.00207</v>
      </c>
      <c r="J3221" s="19">
        <f>IFERROR(__xludf.DUMMYFUNCTION("""COMPUTED_VALUE"""),0.04727)</f>
        <v>0.04727</v>
      </c>
      <c r="K3221" s="19" t="str">
        <f>IFERROR(__xludf.DUMMYFUNCTION("""COMPUTED_VALUE"""),"-")</f>
        <v>-</v>
      </c>
      <c r="L3221" s="19" t="str">
        <f>IFERROR(__xludf.DUMMYFUNCTION("""COMPUTED_VALUE"""),"-")</f>
        <v>-</v>
      </c>
      <c r="O3221" s="24">
        <f t="shared" si="4"/>
        <v>0</v>
      </c>
      <c r="P3221" s="24"/>
      <c r="Q3221" s="24">
        <f t="shared" si="6"/>
        <v>0</v>
      </c>
      <c r="R3221" s="24">
        <f t="shared" si="7"/>
        <v>0</v>
      </c>
      <c r="S3221" s="24"/>
      <c r="T3221" s="24"/>
    </row>
    <row r="3222">
      <c r="A3222" s="12" t="s">
        <v>3309</v>
      </c>
      <c r="F3222" s="19">
        <f>IFERROR(__xludf.DUMMYFUNCTION("SPLIT(A3218, "" |"")"),3216.0)</f>
        <v>3216</v>
      </c>
      <c r="G3222" s="19">
        <f>IFERROR(__xludf.DUMMYFUNCTION("""COMPUTED_VALUE"""),0.00223)</f>
        <v>0.00223</v>
      </c>
      <c r="H3222" s="19" t="str">
        <f>IFERROR(__xludf.DUMMYFUNCTION("""COMPUTED_VALUE"""),"-")</f>
        <v>-</v>
      </c>
      <c r="I3222" s="19">
        <f>IFERROR(__xludf.DUMMYFUNCTION("""COMPUTED_VALUE"""),0.00207)</f>
        <v>0.00207</v>
      </c>
      <c r="J3222" s="19">
        <f>IFERROR(__xludf.DUMMYFUNCTION("""COMPUTED_VALUE"""),0.04722)</f>
        <v>0.04722</v>
      </c>
      <c r="K3222" s="19" t="str">
        <f>IFERROR(__xludf.DUMMYFUNCTION("""COMPUTED_VALUE"""),"-")</f>
        <v>-</v>
      </c>
      <c r="L3222" s="19" t="str">
        <f>IFERROR(__xludf.DUMMYFUNCTION("""COMPUTED_VALUE"""),"-")</f>
        <v>-</v>
      </c>
      <c r="O3222" s="24">
        <f t="shared" si="4"/>
        <v>0</v>
      </c>
      <c r="P3222" s="24"/>
      <c r="Q3222" s="24">
        <f t="shared" si="6"/>
        <v>0</v>
      </c>
      <c r="R3222" s="24">
        <f t="shared" si="7"/>
        <v>0</v>
      </c>
      <c r="S3222" s="24"/>
      <c r="T3222" s="24"/>
    </row>
    <row r="3223">
      <c r="A3223" s="12" t="s">
        <v>3310</v>
      </c>
      <c r="F3223" s="19">
        <f>IFERROR(__xludf.DUMMYFUNCTION("SPLIT(A3219, "" |"")"),3217.0)</f>
        <v>3217</v>
      </c>
      <c r="G3223" s="19">
        <f>IFERROR(__xludf.DUMMYFUNCTION("""COMPUTED_VALUE"""),0.00221)</f>
        <v>0.00221</v>
      </c>
      <c r="H3223" s="19" t="str">
        <f>IFERROR(__xludf.DUMMYFUNCTION("""COMPUTED_VALUE"""),"-")</f>
        <v>-</v>
      </c>
      <c r="I3223" s="19">
        <f>IFERROR(__xludf.DUMMYFUNCTION("""COMPUTED_VALUE"""),0.00206)</f>
        <v>0.00206</v>
      </c>
      <c r="J3223" s="19">
        <f>IFERROR(__xludf.DUMMYFUNCTION("""COMPUTED_VALUE"""),0.0473)</f>
        <v>0.0473</v>
      </c>
      <c r="K3223" s="19" t="str">
        <f>IFERROR(__xludf.DUMMYFUNCTION("""COMPUTED_VALUE"""),"-")</f>
        <v>-</v>
      </c>
      <c r="L3223" s="19" t="str">
        <f>IFERROR(__xludf.DUMMYFUNCTION("""COMPUTED_VALUE"""),"-")</f>
        <v>-</v>
      </c>
      <c r="O3223" s="24">
        <f t="shared" si="4"/>
        <v>0</v>
      </c>
      <c r="P3223" s="24"/>
      <c r="Q3223" s="24">
        <f t="shared" si="6"/>
        <v>0</v>
      </c>
      <c r="R3223" s="24">
        <f t="shared" si="7"/>
        <v>0</v>
      </c>
      <c r="S3223" s="24"/>
      <c r="T3223" s="24"/>
    </row>
    <row r="3224">
      <c r="A3224" s="12" t="s">
        <v>3311</v>
      </c>
      <c r="F3224" s="19">
        <f>IFERROR(__xludf.DUMMYFUNCTION("SPLIT(A3220, "" |"")"),3218.0)</f>
        <v>3218</v>
      </c>
      <c r="G3224" s="19">
        <f>IFERROR(__xludf.DUMMYFUNCTION("""COMPUTED_VALUE"""),0.00223)</f>
        <v>0.00223</v>
      </c>
      <c r="H3224" s="19" t="str">
        <f>IFERROR(__xludf.DUMMYFUNCTION("""COMPUTED_VALUE"""),"-")</f>
        <v>-</v>
      </c>
      <c r="I3224" s="19">
        <f>IFERROR(__xludf.DUMMYFUNCTION("""COMPUTED_VALUE"""),0.00207)</f>
        <v>0.00207</v>
      </c>
      <c r="J3224" s="19">
        <f>IFERROR(__xludf.DUMMYFUNCTION("""COMPUTED_VALUE"""),0.04727)</f>
        <v>0.04727</v>
      </c>
      <c r="K3224" s="19" t="str">
        <f>IFERROR(__xludf.DUMMYFUNCTION("""COMPUTED_VALUE"""),"-")</f>
        <v>-</v>
      </c>
      <c r="L3224" s="19" t="str">
        <f>IFERROR(__xludf.DUMMYFUNCTION("""COMPUTED_VALUE"""),"-")</f>
        <v>-</v>
      </c>
      <c r="O3224" s="24">
        <f t="shared" si="4"/>
        <v>0</v>
      </c>
      <c r="P3224" s="24"/>
      <c r="Q3224" s="24">
        <f t="shared" si="6"/>
        <v>0</v>
      </c>
      <c r="R3224" s="24">
        <f t="shared" si="7"/>
        <v>0</v>
      </c>
      <c r="S3224" s="24"/>
      <c r="T3224" s="24"/>
    </row>
    <row r="3225">
      <c r="A3225" s="12" t="s">
        <v>3312</v>
      </c>
      <c r="F3225" s="19">
        <f>IFERROR(__xludf.DUMMYFUNCTION("SPLIT(A3221, "" |"")"),3219.0)</f>
        <v>3219</v>
      </c>
      <c r="G3225" s="19">
        <f>IFERROR(__xludf.DUMMYFUNCTION("""COMPUTED_VALUE"""),0.00221)</f>
        <v>0.00221</v>
      </c>
      <c r="H3225" s="19" t="str">
        <f>IFERROR(__xludf.DUMMYFUNCTION("""COMPUTED_VALUE"""),"-")</f>
        <v>-</v>
      </c>
      <c r="I3225" s="19">
        <f>IFERROR(__xludf.DUMMYFUNCTION("""COMPUTED_VALUE"""),0.00207)</f>
        <v>0.00207</v>
      </c>
      <c r="J3225" s="19">
        <f>IFERROR(__xludf.DUMMYFUNCTION("""COMPUTED_VALUE"""),0.04727)</f>
        <v>0.04727</v>
      </c>
      <c r="K3225" s="19" t="str">
        <f>IFERROR(__xludf.DUMMYFUNCTION("""COMPUTED_VALUE"""),"-")</f>
        <v>-</v>
      </c>
      <c r="L3225" s="19" t="str">
        <f>IFERROR(__xludf.DUMMYFUNCTION("""COMPUTED_VALUE"""),"-")</f>
        <v>-</v>
      </c>
      <c r="O3225" s="24">
        <f t="shared" si="4"/>
        <v>0</v>
      </c>
      <c r="P3225" s="24"/>
      <c r="Q3225" s="24">
        <f t="shared" si="6"/>
        <v>0</v>
      </c>
      <c r="R3225" s="24">
        <f t="shared" si="7"/>
        <v>0</v>
      </c>
      <c r="S3225" s="24"/>
      <c r="T3225" s="24"/>
    </row>
    <row r="3226">
      <c r="A3226" s="12" t="s">
        <v>3313</v>
      </c>
      <c r="F3226" s="19">
        <f>IFERROR(__xludf.DUMMYFUNCTION("SPLIT(A3222, "" |"")"),3220.0)</f>
        <v>3220</v>
      </c>
      <c r="G3226" s="19">
        <f>IFERROR(__xludf.DUMMYFUNCTION("""COMPUTED_VALUE"""),0.00222)</f>
        <v>0.00222</v>
      </c>
      <c r="H3226" s="19" t="str">
        <f>IFERROR(__xludf.DUMMYFUNCTION("""COMPUTED_VALUE"""),"-")</f>
        <v>-</v>
      </c>
      <c r="I3226" s="19">
        <f>IFERROR(__xludf.DUMMYFUNCTION("""COMPUTED_VALUE"""),0.00209)</f>
        <v>0.00209</v>
      </c>
      <c r="J3226" s="19">
        <f>IFERROR(__xludf.DUMMYFUNCTION("""COMPUTED_VALUE"""),0.04723)</f>
        <v>0.04723</v>
      </c>
      <c r="K3226" s="19" t="str">
        <f>IFERROR(__xludf.DUMMYFUNCTION("""COMPUTED_VALUE"""),"-")</f>
        <v>-</v>
      </c>
      <c r="L3226" s="19" t="str">
        <f>IFERROR(__xludf.DUMMYFUNCTION("""COMPUTED_VALUE"""),"-")</f>
        <v>-</v>
      </c>
      <c r="O3226" s="24">
        <f t="shared" si="4"/>
        <v>0</v>
      </c>
      <c r="P3226" s="24"/>
      <c r="Q3226" s="24">
        <f t="shared" si="6"/>
        <v>0</v>
      </c>
      <c r="R3226" s="24">
        <f t="shared" si="7"/>
        <v>0</v>
      </c>
      <c r="S3226" s="24"/>
      <c r="T3226" s="24"/>
    </row>
    <row r="3227">
      <c r="A3227" s="12" t="s">
        <v>3314</v>
      </c>
      <c r="F3227" s="19">
        <f>IFERROR(__xludf.DUMMYFUNCTION("SPLIT(A3223, "" |"")"),3221.0)</f>
        <v>3221</v>
      </c>
      <c r="G3227" s="19">
        <f>IFERROR(__xludf.DUMMYFUNCTION("""COMPUTED_VALUE"""),0.00229)</f>
        <v>0.00229</v>
      </c>
      <c r="H3227" s="19" t="str">
        <f>IFERROR(__xludf.DUMMYFUNCTION("""COMPUTED_VALUE"""),"-")</f>
        <v>-</v>
      </c>
      <c r="I3227" s="19">
        <f>IFERROR(__xludf.DUMMYFUNCTION("""COMPUTED_VALUE"""),0.00212)</f>
        <v>0.00212</v>
      </c>
      <c r="J3227" s="19">
        <f>IFERROR(__xludf.DUMMYFUNCTION("""COMPUTED_VALUE"""),0.04726)</f>
        <v>0.04726</v>
      </c>
      <c r="K3227" s="19" t="str">
        <f>IFERROR(__xludf.DUMMYFUNCTION("""COMPUTED_VALUE"""),"-")</f>
        <v>-</v>
      </c>
      <c r="L3227" s="19" t="str">
        <f>IFERROR(__xludf.DUMMYFUNCTION("""COMPUTED_VALUE"""),"-")</f>
        <v>-</v>
      </c>
      <c r="O3227" s="24">
        <f t="shared" si="4"/>
        <v>0</v>
      </c>
      <c r="P3227" s="24"/>
      <c r="Q3227" s="24">
        <f t="shared" si="6"/>
        <v>0</v>
      </c>
      <c r="R3227" s="24">
        <f t="shared" si="7"/>
        <v>0</v>
      </c>
      <c r="S3227" s="24"/>
      <c r="T3227" s="24"/>
    </row>
    <row r="3228">
      <c r="A3228" s="12" t="s">
        <v>3315</v>
      </c>
      <c r="F3228" s="19">
        <f>IFERROR(__xludf.DUMMYFUNCTION("SPLIT(A3224, "" |"")"),3222.0)</f>
        <v>3222</v>
      </c>
      <c r="G3228" s="19">
        <f>IFERROR(__xludf.DUMMYFUNCTION("""COMPUTED_VALUE"""),0.00221)</f>
        <v>0.00221</v>
      </c>
      <c r="H3228" s="19" t="str">
        <f>IFERROR(__xludf.DUMMYFUNCTION("""COMPUTED_VALUE"""),"-")</f>
        <v>-</v>
      </c>
      <c r="I3228" s="19">
        <f>IFERROR(__xludf.DUMMYFUNCTION("""COMPUTED_VALUE"""),0.00207)</f>
        <v>0.00207</v>
      </c>
      <c r="J3228" s="19">
        <f>IFERROR(__xludf.DUMMYFUNCTION("""COMPUTED_VALUE"""),0.04728)</f>
        <v>0.04728</v>
      </c>
      <c r="K3228" s="19" t="str">
        <f>IFERROR(__xludf.DUMMYFUNCTION("""COMPUTED_VALUE"""),"-")</f>
        <v>-</v>
      </c>
      <c r="L3228" s="19" t="str">
        <f>IFERROR(__xludf.DUMMYFUNCTION("""COMPUTED_VALUE"""),"-")</f>
        <v>-</v>
      </c>
      <c r="O3228" s="24">
        <f t="shared" si="4"/>
        <v>0</v>
      </c>
      <c r="P3228" s="24"/>
      <c r="Q3228" s="24">
        <f t="shared" si="6"/>
        <v>0</v>
      </c>
      <c r="R3228" s="24">
        <f t="shared" si="7"/>
        <v>0</v>
      </c>
      <c r="S3228" s="24"/>
      <c r="T3228" s="24"/>
    </row>
    <row r="3229">
      <c r="A3229" s="12" t="s">
        <v>3316</v>
      </c>
      <c r="F3229" s="19">
        <f>IFERROR(__xludf.DUMMYFUNCTION("SPLIT(A3225, "" |"")"),3223.0)</f>
        <v>3223</v>
      </c>
      <c r="G3229" s="19">
        <f>IFERROR(__xludf.DUMMYFUNCTION("""COMPUTED_VALUE"""),0.00224)</f>
        <v>0.00224</v>
      </c>
      <c r="H3229" s="19" t="str">
        <f>IFERROR(__xludf.DUMMYFUNCTION("""COMPUTED_VALUE"""),"-")</f>
        <v>-</v>
      </c>
      <c r="I3229" s="19">
        <f>IFERROR(__xludf.DUMMYFUNCTION("""COMPUTED_VALUE"""),0.00208)</f>
        <v>0.00208</v>
      </c>
      <c r="J3229" s="19">
        <f>IFERROR(__xludf.DUMMYFUNCTION("""COMPUTED_VALUE"""),0.04723)</f>
        <v>0.04723</v>
      </c>
      <c r="K3229" s="19" t="str">
        <f>IFERROR(__xludf.DUMMYFUNCTION("""COMPUTED_VALUE"""),"-")</f>
        <v>-</v>
      </c>
      <c r="L3229" s="19" t="str">
        <f>IFERROR(__xludf.DUMMYFUNCTION("""COMPUTED_VALUE"""),"-")</f>
        <v>-</v>
      </c>
      <c r="O3229" s="24">
        <f t="shared" si="4"/>
        <v>0</v>
      </c>
      <c r="P3229" s="24"/>
      <c r="Q3229" s="24">
        <f t="shared" si="6"/>
        <v>0</v>
      </c>
      <c r="R3229" s="24">
        <f t="shared" si="7"/>
        <v>0</v>
      </c>
      <c r="S3229" s="24"/>
      <c r="T3229" s="24"/>
    </row>
    <row r="3230">
      <c r="A3230" s="12" t="s">
        <v>3317</v>
      </c>
      <c r="F3230" s="19">
        <f>IFERROR(__xludf.DUMMYFUNCTION("SPLIT(A3226, "" |"")"),3224.0)</f>
        <v>3224</v>
      </c>
      <c r="G3230" s="19">
        <f>IFERROR(__xludf.DUMMYFUNCTION("""COMPUTED_VALUE"""),0.00221)</f>
        <v>0.00221</v>
      </c>
      <c r="H3230" s="19" t="str">
        <f>IFERROR(__xludf.DUMMYFUNCTION("""COMPUTED_VALUE"""),"-")</f>
        <v>-</v>
      </c>
      <c r="I3230" s="19">
        <f>IFERROR(__xludf.DUMMYFUNCTION("""COMPUTED_VALUE"""),0.00207)</f>
        <v>0.00207</v>
      </c>
      <c r="J3230" s="19">
        <f>IFERROR(__xludf.DUMMYFUNCTION("""COMPUTED_VALUE"""),0.04727)</f>
        <v>0.04727</v>
      </c>
      <c r="K3230" s="19" t="str">
        <f>IFERROR(__xludf.DUMMYFUNCTION("""COMPUTED_VALUE"""),"-")</f>
        <v>-</v>
      </c>
      <c r="L3230" s="19" t="str">
        <f>IFERROR(__xludf.DUMMYFUNCTION("""COMPUTED_VALUE"""),"-")</f>
        <v>-</v>
      </c>
      <c r="O3230" s="24">
        <f t="shared" si="4"/>
        <v>0</v>
      </c>
      <c r="P3230" s="24"/>
      <c r="Q3230" s="24">
        <f t="shared" si="6"/>
        <v>0</v>
      </c>
      <c r="R3230" s="24">
        <f t="shared" si="7"/>
        <v>0</v>
      </c>
      <c r="S3230" s="24"/>
      <c r="T3230" s="24"/>
    </row>
    <row r="3231">
      <c r="A3231" s="12" t="s">
        <v>3318</v>
      </c>
      <c r="F3231" s="19">
        <f>IFERROR(__xludf.DUMMYFUNCTION("SPLIT(A3227, "" |"")"),3225.0)</f>
        <v>3225</v>
      </c>
      <c r="G3231" s="19">
        <f>IFERROR(__xludf.DUMMYFUNCTION("""COMPUTED_VALUE"""),0.00224)</f>
        <v>0.00224</v>
      </c>
      <c r="H3231" s="19" t="str">
        <f>IFERROR(__xludf.DUMMYFUNCTION("""COMPUTED_VALUE"""),"-")</f>
        <v>-</v>
      </c>
      <c r="I3231" s="19">
        <f>IFERROR(__xludf.DUMMYFUNCTION("""COMPUTED_VALUE"""),0.00207)</f>
        <v>0.00207</v>
      </c>
      <c r="J3231" s="19">
        <f>IFERROR(__xludf.DUMMYFUNCTION("""COMPUTED_VALUE"""),0.04738)</f>
        <v>0.04738</v>
      </c>
      <c r="K3231" s="19" t="str">
        <f>IFERROR(__xludf.DUMMYFUNCTION("""COMPUTED_VALUE"""),"-")</f>
        <v>-</v>
      </c>
      <c r="L3231" s="19" t="str">
        <f>IFERROR(__xludf.DUMMYFUNCTION("""COMPUTED_VALUE"""),"-")</f>
        <v>-</v>
      </c>
      <c r="O3231" s="24">
        <f t="shared" si="4"/>
        <v>0</v>
      </c>
      <c r="P3231" s="24"/>
      <c r="Q3231" s="24">
        <f t="shared" si="6"/>
        <v>0</v>
      </c>
      <c r="R3231" s="24">
        <f t="shared" si="7"/>
        <v>0</v>
      </c>
      <c r="S3231" s="24"/>
      <c r="T3231" s="24"/>
    </row>
    <row r="3232">
      <c r="A3232" s="12" t="s">
        <v>3319</v>
      </c>
      <c r="F3232" s="19">
        <f>IFERROR(__xludf.DUMMYFUNCTION("SPLIT(A3228, "" |"")"),3226.0)</f>
        <v>3226</v>
      </c>
      <c r="G3232" s="19">
        <f>IFERROR(__xludf.DUMMYFUNCTION("""COMPUTED_VALUE"""),0.00227)</f>
        <v>0.00227</v>
      </c>
      <c r="H3232" s="19" t="str">
        <f>IFERROR(__xludf.DUMMYFUNCTION("""COMPUTED_VALUE"""),"-")</f>
        <v>-</v>
      </c>
      <c r="I3232" s="19">
        <f>IFERROR(__xludf.DUMMYFUNCTION("""COMPUTED_VALUE"""),0.00209)</f>
        <v>0.00209</v>
      </c>
      <c r="J3232" s="19">
        <f>IFERROR(__xludf.DUMMYFUNCTION("""COMPUTED_VALUE"""),0.04516)</f>
        <v>0.04516</v>
      </c>
      <c r="K3232" s="19" t="str">
        <f>IFERROR(__xludf.DUMMYFUNCTION("""COMPUTED_VALUE"""),"-")</f>
        <v>-</v>
      </c>
      <c r="L3232" s="19" t="str">
        <f>IFERROR(__xludf.DUMMYFUNCTION("""COMPUTED_VALUE"""),"-")</f>
        <v>-</v>
      </c>
      <c r="O3232" s="24">
        <f t="shared" si="4"/>
        <v>0</v>
      </c>
      <c r="P3232" s="24"/>
      <c r="Q3232" s="24">
        <f t="shared" si="6"/>
        <v>0</v>
      </c>
      <c r="R3232" s="24">
        <f t="shared" si="7"/>
        <v>0</v>
      </c>
      <c r="S3232" s="24"/>
      <c r="T3232" s="24"/>
    </row>
    <row r="3233">
      <c r="A3233" s="12" t="s">
        <v>3320</v>
      </c>
      <c r="F3233" s="19">
        <f>IFERROR(__xludf.DUMMYFUNCTION("SPLIT(A3229, "" |"")"),3227.0)</f>
        <v>3227</v>
      </c>
      <c r="G3233" s="19">
        <f>IFERROR(__xludf.DUMMYFUNCTION("""COMPUTED_VALUE"""),0.00224)</f>
        <v>0.00224</v>
      </c>
      <c r="H3233" s="19" t="str">
        <f>IFERROR(__xludf.DUMMYFUNCTION("""COMPUTED_VALUE"""),"-")</f>
        <v>-</v>
      </c>
      <c r="I3233" s="19">
        <f>IFERROR(__xludf.DUMMYFUNCTION("""COMPUTED_VALUE"""),0.00207)</f>
        <v>0.00207</v>
      </c>
      <c r="J3233" s="19">
        <f>IFERROR(__xludf.DUMMYFUNCTION("""COMPUTED_VALUE"""),0.04394)</f>
        <v>0.04394</v>
      </c>
      <c r="K3233" s="19" t="str">
        <f>IFERROR(__xludf.DUMMYFUNCTION("""COMPUTED_VALUE"""),"-")</f>
        <v>-</v>
      </c>
      <c r="L3233" s="19" t="str">
        <f>IFERROR(__xludf.DUMMYFUNCTION("""COMPUTED_VALUE"""),"-")</f>
        <v>-</v>
      </c>
      <c r="O3233" s="24">
        <f t="shared" si="4"/>
        <v>0</v>
      </c>
      <c r="P3233" s="24"/>
      <c r="Q3233" s="24">
        <f t="shared" si="6"/>
        <v>0</v>
      </c>
      <c r="R3233" s="24">
        <f t="shared" si="7"/>
        <v>1</v>
      </c>
      <c r="S3233" s="24"/>
      <c r="T3233" s="24"/>
    </row>
    <row r="3234">
      <c r="A3234" s="12" t="s">
        <v>3321</v>
      </c>
      <c r="F3234" s="19">
        <f>IFERROR(__xludf.DUMMYFUNCTION("SPLIT(A3230, "" |"")"),3228.0)</f>
        <v>3228</v>
      </c>
      <c r="G3234" s="19">
        <f>IFERROR(__xludf.DUMMYFUNCTION("""COMPUTED_VALUE"""),0.00229)</f>
        <v>0.00229</v>
      </c>
      <c r="H3234" s="19" t="str">
        <f>IFERROR(__xludf.DUMMYFUNCTION("""COMPUTED_VALUE"""),"-")</f>
        <v>-</v>
      </c>
      <c r="I3234" s="19">
        <f>IFERROR(__xludf.DUMMYFUNCTION("""COMPUTED_VALUE"""),0.00212)</f>
        <v>0.00212</v>
      </c>
      <c r="J3234" s="19">
        <f>IFERROR(__xludf.DUMMYFUNCTION("""COMPUTED_VALUE"""),0.04731)</f>
        <v>0.04731</v>
      </c>
      <c r="K3234" s="19" t="str">
        <f>IFERROR(__xludf.DUMMYFUNCTION("""COMPUTED_VALUE"""),"-")</f>
        <v>-</v>
      </c>
      <c r="L3234" s="19" t="str">
        <f>IFERROR(__xludf.DUMMYFUNCTION("""COMPUTED_VALUE"""),"-")</f>
        <v>-</v>
      </c>
      <c r="O3234" s="24">
        <f t="shared" si="4"/>
        <v>0</v>
      </c>
      <c r="P3234" s="24"/>
      <c r="Q3234" s="24">
        <f t="shared" si="6"/>
        <v>0</v>
      </c>
      <c r="R3234" s="24">
        <f t="shared" si="7"/>
        <v>0</v>
      </c>
      <c r="S3234" s="24"/>
      <c r="T3234" s="24"/>
    </row>
    <row r="3235">
      <c r="A3235" s="12" t="s">
        <v>3322</v>
      </c>
      <c r="F3235" s="19">
        <f>IFERROR(__xludf.DUMMYFUNCTION("SPLIT(A3231, "" |"")"),3229.0)</f>
        <v>3229</v>
      </c>
      <c r="G3235" s="19">
        <f>IFERROR(__xludf.DUMMYFUNCTION("""COMPUTED_VALUE"""),0.00228)</f>
        <v>0.00228</v>
      </c>
      <c r="H3235" s="19" t="str">
        <f>IFERROR(__xludf.DUMMYFUNCTION("""COMPUTED_VALUE"""),"-")</f>
        <v>-</v>
      </c>
      <c r="I3235" s="19">
        <f>IFERROR(__xludf.DUMMYFUNCTION("""COMPUTED_VALUE"""),0.0021)</f>
        <v>0.0021</v>
      </c>
      <c r="J3235" s="19">
        <f>IFERROR(__xludf.DUMMYFUNCTION("""COMPUTED_VALUE"""),0.04732)</f>
        <v>0.04732</v>
      </c>
      <c r="K3235" s="19" t="str">
        <f>IFERROR(__xludf.DUMMYFUNCTION("""COMPUTED_VALUE"""),"-")</f>
        <v>-</v>
      </c>
      <c r="L3235" s="19" t="str">
        <f>IFERROR(__xludf.DUMMYFUNCTION("""COMPUTED_VALUE"""),"-")</f>
        <v>-</v>
      </c>
      <c r="O3235" s="24">
        <f t="shared" si="4"/>
        <v>0</v>
      </c>
      <c r="P3235" s="24"/>
      <c r="Q3235" s="24">
        <f t="shared" si="6"/>
        <v>0</v>
      </c>
      <c r="R3235" s="24">
        <f t="shared" si="7"/>
        <v>0</v>
      </c>
      <c r="S3235" s="24"/>
      <c r="T3235" s="24"/>
    </row>
    <row r="3236">
      <c r="A3236" s="12" t="s">
        <v>3323</v>
      </c>
      <c r="F3236" s="19">
        <f>IFERROR(__xludf.DUMMYFUNCTION("SPLIT(A3232, "" |"")"),3230.0)</f>
        <v>3230</v>
      </c>
      <c r="G3236" s="19">
        <f>IFERROR(__xludf.DUMMYFUNCTION("""COMPUTED_VALUE"""),0.00225)</f>
        <v>0.00225</v>
      </c>
      <c r="H3236" s="19" t="str">
        <f>IFERROR(__xludf.DUMMYFUNCTION("""COMPUTED_VALUE"""),"-")</f>
        <v>-</v>
      </c>
      <c r="I3236" s="19">
        <f>IFERROR(__xludf.DUMMYFUNCTION("""COMPUTED_VALUE"""),0.00211)</f>
        <v>0.00211</v>
      </c>
      <c r="J3236" s="19">
        <f>IFERROR(__xludf.DUMMYFUNCTION("""COMPUTED_VALUE"""),0.04735)</f>
        <v>0.04735</v>
      </c>
      <c r="K3236" s="19" t="str">
        <f>IFERROR(__xludf.DUMMYFUNCTION("""COMPUTED_VALUE"""),"-")</f>
        <v>-</v>
      </c>
      <c r="L3236" s="19" t="str">
        <f>IFERROR(__xludf.DUMMYFUNCTION("""COMPUTED_VALUE"""),"-")</f>
        <v>-</v>
      </c>
      <c r="O3236" s="24">
        <f t="shared" si="4"/>
        <v>0</v>
      </c>
      <c r="P3236" s="24"/>
      <c r="Q3236" s="24">
        <f t="shared" si="6"/>
        <v>0</v>
      </c>
      <c r="R3236" s="24">
        <f t="shared" si="7"/>
        <v>0</v>
      </c>
      <c r="S3236" s="24"/>
      <c r="T3236" s="24"/>
    </row>
    <row r="3237">
      <c r="A3237" s="12" t="s">
        <v>3324</v>
      </c>
      <c r="F3237" s="19">
        <f>IFERROR(__xludf.DUMMYFUNCTION("SPLIT(A3233, "" |"")"),3231.0)</f>
        <v>3231</v>
      </c>
      <c r="G3237" s="19">
        <f>IFERROR(__xludf.DUMMYFUNCTION("""COMPUTED_VALUE"""),0.00227)</f>
        <v>0.00227</v>
      </c>
      <c r="H3237" s="19" t="str">
        <f>IFERROR(__xludf.DUMMYFUNCTION("""COMPUTED_VALUE"""),"-")</f>
        <v>-</v>
      </c>
      <c r="I3237" s="19">
        <f>IFERROR(__xludf.DUMMYFUNCTION("""COMPUTED_VALUE"""),0.0021)</f>
        <v>0.0021</v>
      </c>
      <c r="J3237" s="19">
        <f>IFERROR(__xludf.DUMMYFUNCTION("""COMPUTED_VALUE"""),0.04727)</f>
        <v>0.04727</v>
      </c>
      <c r="K3237" s="19" t="str">
        <f>IFERROR(__xludf.DUMMYFUNCTION("""COMPUTED_VALUE"""),"-")</f>
        <v>-</v>
      </c>
      <c r="L3237" s="19" t="str">
        <f>IFERROR(__xludf.DUMMYFUNCTION("""COMPUTED_VALUE"""),"-")</f>
        <v>-</v>
      </c>
      <c r="O3237" s="24">
        <f t="shared" si="4"/>
        <v>0</v>
      </c>
      <c r="P3237" s="24"/>
      <c r="Q3237" s="24">
        <f t="shared" si="6"/>
        <v>0</v>
      </c>
      <c r="R3237" s="24">
        <f t="shared" si="7"/>
        <v>0</v>
      </c>
      <c r="S3237" s="24"/>
      <c r="T3237" s="24"/>
    </row>
    <row r="3238">
      <c r="A3238" s="12" t="s">
        <v>3325</v>
      </c>
      <c r="F3238" s="19">
        <f>IFERROR(__xludf.DUMMYFUNCTION("SPLIT(A3234, "" |"")"),3232.0)</f>
        <v>3232</v>
      </c>
      <c r="G3238" s="19">
        <f>IFERROR(__xludf.DUMMYFUNCTION("""COMPUTED_VALUE"""),0.00245)</f>
        <v>0.00245</v>
      </c>
      <c r="H3238" s="19" t="str">
        <f>IFERROR(__xludf.DUMMYFUNCTION("""COMPUTED_VALUE"""),"-")</f>
        <v>-</v>
      </c>
      <c r="I3238" s="19">
        <f>IFERROR(__xludf.DUMMYFUNCTION("""COMPUTED_VALUE"""),0.00223)</f>
        <v>0.00223</v>
      </c>
      <c r="J3238" s="19">
        <f>IFERROR(__xludf.DUMMYFUNCTION("""COMPUTED_VALUE"""),0.04746)</f>
        <v>0.04746</v>
      </c>
      <c r="K3238" s="19" t="str">
        <f>IFERROR(__xludf.DUMMYFUNCTION("""COMPUTED_VALUE"""),"-")</f>
        <v>-</v>
      </c>
      <c r="L3238" s="19" t="str">
        <f>IFERROR(__xludf.DUMMYFUNCTION("""COMPUTED_VALUE"""),"-")</f>
        <v>-</v>
      </c>
      <c r="O3238" s="24">
        <f t="shared" si="4"/>
        <v>0</v>
      </c>
      <c r="P3238" s="24"/>
      <c r="Q3238" s="24">
        <f t="shared" si="6"/>
        <v>0</v>
      </c>
      <c r="R3238" s="24">
        <f t="shared" si="7"/>
        <v>0</v>
      </c>
      <c r="S3238" s="24"/>
      <c r="T3238" s="24"/>
    </row>
    <row r="3239">
      <c r="A3239" s="12" t="s">
        <v>3326</v>
      </c>
      <c r="F3239" s="19">
        <f>IFERROR(__xludf.DUMMYFUNCTION("SPLIT(A3235, "" |"")"),3233.0)</f>
        <v>3233</v>
      </c>
      <c r="G3239" s="19">
        <f>IFERROR(__xludf.DUMMYFUNCTION("""COMPUTED_VALUE"""),0.00236)</f>
        <v>0.00236</v>
      </c>
      <c r="H3239" s="19" t="str">
        <f>IFERROR(__xludf.DUMMYFUNCTION("""COMPUTED_VALUE"""),"-")</f>
        <v>-</v>
      </c>
      <c r="I3239" s="19">
        <f>IFERROR(__xludf.DUMMYFUNCTION("""COMPUTED_VALUE"""),0.0022)</f>
        <v>0.0022</v>
      </c>
      <c r="J3239" s="19">
        <f>IFERROR(__xludf.DUMMYFUNCTION("""COMPUTED_VALUE"""),0.04748)</f>
        <v>0.04748</v>
      </c>
      <c r="K3239" s="19" t="str">
        <f>IFERROR(__xludf.DUMMYFUNCTION("""COMPUTED_VALUE"""),"-")</f>
        <v>-</v>
      </c>
      <c r="L3239" s="19" t="str">
        <f>IFERROR(__xludf.DUMMYFUNCTION("""COMPUTED_VALUE"""),"-")</f>
        <v>-</v>
      </c>
      <c r="O3239" s="24">
        <f t="shared" si="4"/>
        <v>0</v>
      </c>
      <c r="P3239" s="24"/>
      <c r="Q3239" s="24">
        <f t="shared" si="6"/>
        <v>0</v>
      </c>
      <c r="R3239" s="24">
        <f t="shared" si="7"/>
        <v>0</v>
      </c>
      <c r="S3239" s="24"/>
      <c r="T3239" s="24"/>
    </row>
    <row r="3240">
      <c r="A3240" s="12" t="s">
        <v>3327</v>
      </c>
      <c r="F3240" s="19">
        <f>IFERROR(__xludf.DUMMYFUNCTION("SPLIT(A3236, "" |"")"),3234.0)</f>
        <v>3234</v>
      </c>
      <c r="G3240" s="19">
        <f>IFERROR(__xludf.DUMMYFUNCTION("""COMPUTED_VALUE"""),0.00234)</f>
        <v>0.00234</v>
      </c>
      <c r="H3240" s="19" t="str">
        <f>IFERROR(__xludf.DUMMYFUNCTION("""COMPUTED_VALUE"""),"-")</f>
        <v>-</v>
      </c>
      <c r="I3240" s="19">
        <f>IFERROR(__xludf.DUMMYFUNCTION("""COMPUTED_VALUE"""),0.00219)</f>
        <v>0.00219</v>
      </c>
      <c r="J3240" s="19">
        <f>IFERROR(__xludf.DUMMYFUNCTION("""COMPUTED_VALUE"""),0.0471)</f>
        <v>0.0471</v>
      </c>
      <c r="K3240" s="19" t="str">
        <f>IFERROR(__xludf.DUMMYFUNCTION("""COMPUTED_VALUE"""),"-")</f>
        <v>-</v>
      </c>
      <c r="L3240" s="19" t="str">
        <f>IFERROR(__xludf.DUMMYFUNCTION("""COMPUTED_VALUE"""),"-")</f>
        <v>-</v>
      </c>
      <c r="O3240" s="24">
        <f t="shared" si="4"/>
        <v>0</v>
      </c>
      <c r="P3240" s="24"/>
      <c r="Q3240" s="24">
        <f t="shared" si="6"/>
        <v>0</v>
      </c>
      <c r="R3240" s="24">
        <f t="shared" si="7"/>
        <v>0</v>
      </c>
      <c r="S3240" s="24"/>
      <c r="T3240" s="24"/>
    </row>
    <row r="3241">
      <c r="A3241" s="12" t="s">
        <v>3328</v>
      </c>
      <c r="F3241" s="19">
        <f>IFERROR(__xludf.DUMMYFUNCTION("SPLIT(A3237, "" |"")"),3235.0)</f>
        <v>3235</v>
      </c>
      <c r="G3241" s="19">
        <f>IFERROR(__xludf.DUMMYFUNCTION("""COMPUTED_VALUE"""),0.00235)</f>
        <v>0.00235</v>
      </c>
      <c r="H3241" s="19" t="str">
        <f>IFERROR(__xludf.DUMMYFUNCTION("""COMPUTED_VALUE"""),"-")</f>
        <v>-</v>
      </c>
      <c r="I3241" s="19">
        <f>IFERROR(__xludf.DUMMYFUNCTION("""COMPUTED_VALUE"""),0.00223)</f>
        <v>0.00223</v>
      </c>
      <c r="J3241" s="19">
        <f>IFERROR(__xludf.DUMMYFUNCTION("""COMPUTED_VALUE"""),0.04743)</f>
        <v>0.04743</v>
      </c>
      <c r="K3241" s="19" t="str">
        <f>IFERROR(__xludf.DUMMYFUNCTION("""COMPUTED_VALUE"""),"-")</f>
        <v>-</v>
      </c>
      <c r="L3241" s="19" t="str">
        <f>IFERROR(__xludf.DUMMYFUNCTION("""COMPUTED_VALUE"""),"-")</f>
        <v>-</v>
      </c>
      <c r="O3241" s="24">
        <f t="shared" si="4"/>
        <v>0</v>
      </c>
      <c r="P3241" s="24"/>
      <c r="Q3241" s="24">
        <f t="shared" si="6"/>
        <v>0</v>
      </c>
      <c r="R3241" s="24">
        <f t="shared" si="7"/>
        <v>0</v>
      </c>
      <c r="S3241" s="24"/>
      <c r="T3241" s="24"/>
    </row>
    <row r="3242">
      <c r="A3242" s="12" t="s">
        <v>3329</v>
      </c>
      <c r="F3242" s="19">
        <f>IFERROR(__xludf.DUMMYFUNCTION("SPLIT(A3238, "" |"")"),3236.0)</f>
        <v>3236</v>
      </c>
      <c r="G3242" s="19">
        <f>IFERROR(__xludf.DUMMYFUNCTION("""COMPUTED_VALUE"""),0.00237)</f>
        <v>0.00237</v>
      </c>
      <c r="H3242" s="19" t="str">
        <f>IFERROR(__xludf.DUMMYFUNCTION("""COMPUTED_VALUE"""),"-")</f>
        <v>-</v>
      </c>
      <c r="I3242" s="19">
        <f>IFERROR(__xludf.DUMMYFUNCTION("""COMPUTED_VALUE"""),0.00369)</f>
        <v>0.00369</v>
      </c>
      <c r="J3242" s="19">
        <f>IFERROR(__xludf.DUMMYFUNCTION("""COMPUTED_VALUE"""),0.04761)</f>
        <v>0.04761</v>
      </c>
      <c r="K3242" s="19" t="str">
        <f>IFERROR(__xludf.DUMMYFUNCTION("""COMPUTED_VALUE"""),"-")</f>
        <v>-</v>
      </c>
      <c r="L3242" s="19" t="str">
        <f>IFERROR(__xludf.DUMMYFUNCTION("""COMPUTED_VALUE"""),"-")</f>
        <v>-</v>
      </c>
      <c r="O3242" s="24">
        <f t="shared" si="4"/>
        <v>0</v>
      </c>
      <c r="P3242" s="24"/>
      <c r="Q3242" s="24">
        <f t="shared" si="6"/>
        <v>1</v>
      </c>
      <c r="R3242" s="24">
        <f t="shared" si="7"/>
        <v>0</v>
      </c>
      <c r="S3242" s="24"/>
      <c r="T3242" s="24"/>
    </row>
    <row r="3243">
      <c r="A3243" s="12" t="s">
        <v>3330</v>
      </c>
      <c r="F3243" s="19">
        <f>IFERROR(__xludf.DUMMYFUNCTION("SPLIT(A3239, "" |"")"),3237.0)</f>
        <v>3237</v>
      </c>
      <c r="G3243" s="19">
        <f>IFERROR(__xludf.DUMMYFUNCTION("""COMPUTED_VALUE"""),0.00237)</f>
        <v>0.00237</v>
      </c>
      <c r="H3243" s="19" t="str">
        <f>IFERROR(__xludf.DUMMYFUNCTION("""COMPUTED_VALUE"""),"-")</f>
        <v>-</v>
      </c>
      <c r="I3243" s="19">
        <f>IFERROR(__xludf.DUMMYFUNCTION("""COMPUTED_VALUE"""),0.00222)</f>
        <v>0.00222</v>
      </c>
      <c r="J3243" s="19">
        <f>IFERROR(__xludf.DUMMYFUNCTION("""COMPUTED_VALUE"""),0.04745)</f>
        <v>0.04745</v>
      </c>
      <c r="K3243" s="19" t="str">
        <f>IFERROR(__xludf.DUMMYFUNCTION("""COMPUTED_VALUE"""),"-")</f>
        <v>-</v>
      </c>
      <c r="L3243" s="19" t="str">
        <f>IFERROR(__xludf.DUMMYFUNCTION("""COMPUTED_VALUE"""),"-")</f>
        <v>-</v>
      </c>
      <c r="O3243" s="24">
        <f t="shared" si="4"/>
        <v>0</v>
      </c>
      <c r="P3243" s="24"/>
      <c r="Q3243" s="24">
        <f t="shared" si="6"/>
        <v>0</v>
      </c>
      <c r="R3243" s="24">
        <f t="shared" si="7"/>
        <v>0</v>
      </c>
      <c r="S3243" s="24"/>
      <c r="T3243" s="24"/>
    </row>
    <row r="3244">
      <c r="A3244" s="12" t="s">
        <v>3331</v>
      </c>
      <c r="F3244" s="19">
        <f>IFERROR(__xludf.DUMMYFUNCTION("SPLIT(A3240, "" |"")"),3238.0)</f>
        <v>3238</v>
      </c>
      <c r="G3244" s="19">
        <f>IFERROR(__xludf.DUMMYFUNCTION("""COMPUTED_VALUE"""),0.00235)</f>
        <v>0.00235</v>
      </c>
      <c r="H3244" s="19" t="str">
        <f>IFERROR(__xludf.DUMMYFUNCTION("""COMPUTED_VALUE"""),"-")</f>
        <v>-</v>
      </c>
      <c r="I3244" s="19">
        <f>IFERROR(__xludf.DUMMYFUNCTION("""COMPUTED_VALUE"""),0.00221)</f>
        <v>0.00221</v>
      </c>
      <c r="J3244" s="19">
        <f>IFERROR(__xludf.DUMMYFUNCTION("""COMPUTED_VALUE"""),0.04743)</f>
        <v>0.04743</v>
      </c>
      <c r="K3244" s="19" t="str">
        <f>IFERROR(__xludf.DUMMYFUNCTION("""COMPUTED_VALUE"""),"-")</f>
        <v>-</v>
      </c>
      <c r="L3244" s="19" t="str">
        <f>IFERROR(__xludf.DUMMYFUNCTION("""COMPUTED_VALUE"""),"-")</f>
        <v>-</v>
      </c>
      <c r="O3244" s="24">
        <f t="shared" si="4"/>
        <v>0</v>
      </c>
      <c r="P3244" s="24"/>
      <c r="Q3244" s="24">
        <f t="shared" si="6"/>
        <v>0</v>
      </c>
      <c r="R3244" s="24">
        <f t="shared" si="7"/>
        <v>0</v>
      </c>
      <c r="S3244" s="24"/>
      <c r="T3244" s="24"/>
    </row>
    <row r="3245">
      <c r="A3245" s="12" t="s">
        <v>3332</v>
      </c>
      <c r="F3245" s="19">
        <f>IFERROR(__xludf.DUMMYFUNCTION("SPLIT(A3241, "" |"")"),3239.0)</f>
        <v>3239</v>
      </c>
      <c r="G3245" s="19">
        <f>IFERROR(__xludf.DUMMYFUNCTION("""COMPUTED_VALUE"""),0.00235)</f>
        <v>0.00235</v>
      </c>
      <c r="H3245" s="19" t="str">
        <f>IFERROR(__xludf.DUMMYFUNCTION("""COMPUTED_VALUE"""),"-")</f>
        <v>-</v>
      </c>
      <c r="I3245" s="19">
        <f>IFERROR(__xludf.DUMMYFUNCTION("""COMPUTED_VALUE"""),0.00224)</f>
        <v>0.00224</v>
      </c>
      <c r="J3245" s="19">
        <f>IFERROR(__xludf.DUMMYFUNCTION("""COMPUTED_VALUE"""),0.04746)</f>
        <v>0.04746</v>
      </c>
      <c r="K3245" s="19" t="str">
        <f>IFERROR(__xludf.DUMMYFUNCTION("""COMPUTED_VALUE"""),"-")</f>
        <v>-</v>
      </c>
      <c r="L3245" s="19" t="str">
        <f>IFERROR(__xludf.DUMMYFUNCTION("""COMPUTED_VALUE"""),"-")</f>
        <v>-</v>
      </c>
      <c r="O3245" s="24">
        <f t="shared" si="4"/>
        <v>0</v>
      </c>
      <c r="P3245" s="24"/>
      <c r="Q3245" s="24">
        <f t="shared" si="6"/>
        <v>0</v>
      </c>
      <c r="R3245" s="24">
        <f t="shared" si="7"/>
        <v>0</v>
      </c>
      <c r="S3245" s="24"/>
      <c r="T3245" s="24"/>
    </row>
    <row r="3246">
      <c r="A3246" s="12" t="s">
        <v>3333</v>
      </c>
      <c r="F3246" s="19">
        <f>IFERROR(__xludf.DUMMYFUNCTION("SPLIT(A3242, "" |"")"),3240.0)</f>
        <v>3240</v>
      </c>
      <c r="G3246" s="19">
        <f>IFERROR(__xludf.DUMMYFUNCTION("""COMPUTED_VALUE"""),0.00245)</f>
        <v>0.00245</v>
      </c>
      <c r="H3246" s="19" t="str">
        <f>IFERROR(__xludf.DUMMYFUNCTION("""COMPUTED_VALUE"""),"-")</f>
        <v>-</v>
      </c>
      <c r="I3246" s="19">
        <f>IFERROR(__xludf.DUMMYFUNCTION("""COMPUTED_VALUE"""),0.00219)</f>
        <v>0.00219</v>
      </c>
      <c r="J3246" s="19">
        <f>IFERROR(__xludf.DUMMYFUNCTION("""COMPUTED_VALUE"""),0.04712)</f>
        <v>0.04712</v>
      </c>
      <c r="K3246" s="19" t="str">
        <f>IFERROR(__xludf.DUMMYFUNCTION("""COMPUTED_VALUE"""),"-")</f>
        <v>-</v>
      </c>
      <c r="L3246" s="19" t="str">
        <f>IFERROR(__xludf.DUMMYFUNCTION("""COMPUTED_VALUE"""),"-")</f>
        <v>-</v>
      </c>
      <c r="O3246" s="24">
        <f t="shared" si="4"/>
        <v>0</v>
      </c>
      <c r="P3246" s="24"/>
      <c r="Q3246" s="24">
        <f t="shared" si="6"/>
        <v>0</v>
      </c>
      <c r="R3246" s="24">
        <f t="shared" si="7"/>
        <v>0</v>
      </c>
      <c r="S3246" s="24"/>
      <c r="T3246" s="24"/>
    </row>
    <row r="3247">
      <c r="A3247" s="12" t="s">
        <v>3334</v>
      </c>
      <c r="F3247" s="19">
        <f>IFERROR(__xludf.DUMMYFUNCTION("SPLIT(A3243, "" |"")"),3241.0)</f>
        <v>3241</v>
      </c>
      <c r="G3247" s="19">
        <f>IFERROR(__xludf.DUMMYFUNCTION("""COMPUTED_VALUE"""),0.00247)</f>
        <v>0.00247</v>
      </c>
      <c r="H3247" s="19" t="str">
        <f>IFERROR(__xludf.DUMMYFUNCTION("""COMPUTED_VALUE"""),"-")</f>
        <v>-</v>
      </c>
      <c r="I3247" s="19">
        <f>IFERROR(__xludf.DUMMYFUNCTION("""COMPUTED_VALUE"""),0.00215)</f>
        <v>0.00215</v>
      </c>
      <c r="J3247" s="19">
        <f>IFERROR(__xludf.DUMMYFUNCTION("""COMPUTED_VALUE"""),0.04737)</f>
        <v>0.04737</v>
      </c>
      <c r="K3247" s="19" t="str">
        <f>IFERROR(__xludf.DUMMYFUNCTION("""COMPUTED_VALUE"""),"-")</f>
        <v>-</v>
      </c>
      <c r="L3247" s="19" t="str">
        <f>IFERROR(__xludf.DUMMYFUNCTION("""COMPUTED_VALUE"""),"-")</f>
        <v>-</v>
      </c>
      <c r="O3247" s="24">
        <f t="shared" si="4"/>
        <v>0</v>
      </c>
      <c r="P3247" s="24"/>
      <c r="Q3247" s="24">
        <f t="shared" si="6"/>
        <v>0</v>
      </c>
      <c r="R3247" s="24">
        <f t="shared" si="7"/>
        <v>0</v>
      </c>
      <c r="S3247" s="24"/>
      <c r="T3247" s="24"/>
    </row>
    <row r="3248">
      <c r="A3248" s="12" t="s">
        <v>3335</v>
      </c>
      <c r="F3248" s="19">
        <f>IFERROR(__xludf.DUMMYFUNCTION("SPLIT(A3244, "" |"")"),3242.0)</f>
        <v>3242</v>
      </c>
      <c r="G3248" s="19">
        <f>IFERROR(__xludf.DUMMYFUNCTION("""COMPUTED_VALUE"""),0.00235)</f>
        <v>0.00235</v>
      </c>
      <c r="H3248" s="19" t="str">
        <f>IFERROR(__xludf.DUMMYFUNCTION("""COMPUTED_VALUE"""),"-")</f>
        <v>-</v>
      </c>
      <c r="I3248" s="19">
        <f>IFERROR(__xludf.DUMMYFUNCTION("""COMPUTED_VALUE"""),0.00223)</f>
        <v>0.00223</v>
      </c>
      <c r="J3248" s="19">
        <f>IFERROR(__xludf.DUMMYFUNCTION("""COMPUTED_VALUE"""),0.04744)</f>
        <v>0.04744</v>
      </c>
      <c r="K3248" s="19" t="str">
        <f>IFERROR(__xludf.DUMMYFUNCTION("""COMPUTED_VALUE"""),"-")</f>
        <v>-</v>
      </c>
      <c r="L3248" s="19" t="str">
        <f>IFERROR(__xludf.DUMMYFUNCTION("""COMPUTED_VALUE"""),"-")</f>
        <v>-</v>
      </c>
      <c r="O3248" s="24">
        <f t="shared" si="4"/>
        <v>0</v>
      </c>
      <c r="P3248" s="24"/>
      <c r="Q3248" s="24">
        <f t="shared" si="6"/>
        <v>0</v>
      </c>
      <c r="R3248" s="24">
        <f t="shared" si="7"/>
        <v>0</v>
      </c>
      <c r="S3248" s="24"/>
      <c r="T3248" s="24"/>
    </row>
    <row r="3249">
      <c r="A3249" s="12" t="s">
        <v>3336</v>
      </c>
      <c r="F3249" s="19">
        <f>IFERROR(__xludf.DUMMYFUNCTION("SPLIT(A3245, "" |"")"),3243.0)</f>
        <v>3243</v>
      </c>
      <c r="G3249" s="19">
        <f>IFERROR(__xludf.DUMMYFUNCTION("""COMPUTED_VALUE"""),0.00236)</f>
        <v>0.00236</v>
      </c>
      <c r="H3249" s="19" t="str">
        <f>IFERROR(__xludf.DUMMYFUNCTION("""COMPUTED_VALUE"""),"-")</f>
        <v>-</v>
      </c>
      <c r="I3249" s="19">
        <f>IFERROR(__xludf.DUMMYFUNCTION("""COMPUTED_VALUE"""),0.00222)</f>
        <v>0.00222</v>
      </c>
      <c r="J3249" s="19">
        <f>IFERROR(__xludf.DUMMYFUNCTION("""COMPUTED_VALUE"""),0.04745)</f>
        <v>0.04745</v>
      </c>
      <c r="K3249" s="19" t="str">
        <f>IFERROR(__xludf.DUMMYFUNCTION("""COMPUTED_VALUE"""),"-")</f>
        <v>-</v>
      </c>
      <c r="L3249" s="19" t="str">
        <f>IFERROR(__xludf.DUMMYFUNCTION("""COMPUTED_VALUE"""),"-")</f>
        <v>-</v>
      </c>
      <c r="O3249" s="24">
        <f t="shared" si="4"/>
        <v>0</v>
      </c>
      <c r="P3249" s="24"/>
      <c r="Q3249" s="24">
        <f t="shared" si="6"/>
        <v>0</v>
      </c>
      <c r="R3249" s="24">
        <f t="shared" si="7"/>
        <v>0</v>
      </c>
      <c r="S3249" s="24"/>
      <c r="T3249" s="24"/>
    </row>
    <row r="3250">
      <c r="A3250" s="12" t="s">
        <v>3337</v>
      </c>
      <c r="F3250" s="19">
        <f>IFERROR(__xludf.DUMMYFUNCTION("SPLIT(A3246, "" |"")"),3244.0)</f>
        <v>3244</v>
      </c>
      <c r="G3250" s="19">
        <f>IFERROR(__xludf.DUMMYFUNCTION("""COMPUTED_VALUE"""),0.0024)</f>
        <v>0.0024</v>
      </c>
      <c r="H3250" s="19" t="str">
        <f>IFERROR(__xludf.DUMMYFUNCTION("""COMPUTED_VALUE"""),"-")</f>
        <v>-</v>
      </c>
      <c r="I3250" s="19">
        <f>IFERROR(__xludf.DUMMYFUNCTION("""COMPUTED_VALUE"""),0.00227)</f>
        <v>0.00227</v>
      </c>
      <c r="J3250" s="19">
        <f>IFERROR(__xludf.DUMMYFUNCTION("""COMPUTED_VALUE"""),0.04746)</f>
        <v>0.04746</v>
      </c>
      <c r="K3250" s="19" t="str">
        <f>IFERROR(__xludf.DUMMYFUNCTION("""COMPUTED_VALUE"""),"-")</f>
        <v>-</v>
      </c>
      <c r="L3250" s="19" t="str">
        <f>IFERROR(__xludf.DUMMYFUNCTION("""COMPUTED_VALUE"""),"-")</f>
        <v>-</v>
      </c>
      <c r="O3250" s="24">
        <f t="shared" si="4"/>
        <v>0</v>
      </c>
      <c r="P3250" s="24"/>
      <c r="Q3250" s="24">
        <f t="shared" si="6"/>
        <v>0</v>
      </c>
      <c r="R3250" s="24">
        <f t="shared" si="7"/>
        <v>0</v>
      </c>
      <c r="S3250" s="24"/>
      <c r="T3250" s="24"/>
    </row>
    <row r="3251">
      <c r="A3251" s="12" t="s">
        <v>3338</v>
      </c>
      <c r="F3251" s="19">
        <f>IFERROR(__xludf.DUMMYFUNCTION("SPLIT(A3247, "" |"")"),3245.0)</f>
        <v>3245</v>
      </c>
      <c r="G3251" s="19">
        <f>IFERROR(__xludf.DUMMYFUNCTION("""COMPUTED_VALUE"""),0.00234)</f>
        <v>0.00234</v>
      </c>
      <c r="H3251" s="19" t="str">
        <f>IFERROR(__xludf.DUMMYFUNCTION("""COMPUTED_VALUE"""),"-")</f>
        <v>-</v>
      </c>
      <c r="I3251" s="19">
        <f>IFERROR(__xludf.DUMMYFUNCTION("""COMPUTED_VALUE"""),0.00223)</f>
        <v>0.00223</v>
      </c>
      <c r="J3251" s="19">
        <f>IFERROR(__xludf.DUMMYFUNCTION("""COMPUTED_VALUE"""),0.04747)</f>
        <v>0.04747</v>
      </c>
      <c r="K3251" s="19" t="str">
        <f>IFERROR(__xludf.DUMMYFUNCTION("""COMPUTED_VALUE"""),"-")</f>
        <v>-</v>
      </c>
      <c r="L3251" s="19" t="str">
        <f>IFERROR(__xludf.DUMMYFUNCTION("""COMPUTED_VALUE"""),"-")</f>
        <v>-</v>
      </c>
      <c r="O3251" s="24">
        <f t="shared" si="4"/>
        <v>0</v>
      </c>
      <c r="P3251" s="24"/>
      <c r="Q3251" s="24">
        <f t="shared" si="6"/>
        <v>0</v>
      </c>
      <c r="R3251" s="24">
        <f t="shared" si="7"/>
        <v>0</v>
      </c>
      <c r="S3251" s="24"/>
      <c r="T3251" s="24"/>
    </row>
    <row r="3252">
      <c r="A3252" s="12" t="s">
        <v>3339</v>
      </c>
      <c r="F3252" s="19">
        <f>IFERROR(__xludf.DUMMYFUNCTION("SPLIT(A3248, "" |"")"),3246.0)</f>
        <v>3246</v>
      </c>
      <c r="G3252" s="19">
        <f>IFERROR(__xludf.DUMMYFUNCTION("""COMPUTED_VALUE"""),0.00232)</f>
        <v>0.00232</v>
      </c>
      <c r="H3252" s="19" t="str">
        <f>IFERROR(__xludf.DUMMYFUNCTION("""COMPUTED_VALUE"""),"-")</f>
        <v>-</v>
      </c>
      <c r="I3252" s="19">
        <f>IFERROR(__xludf.DUMMYFUNCTION("""COMPUTED_VALUE"""),0.00224)</f>
        <v>0.00224</v>
      </c>
      <c r="J3252" s="19">
        <f>IFERROR(__xludf.DUMMYFUNCTION("""COMPUTED_VALUE"""),0.04739)</f>
        <v>0.04739</v>
      </c>
      <c r="K3252" s="19" t="str">
        <f>IFERROR(__xludf.DUMMYFUNCTION("""COMPUTED_VALUE"""),"-")</f>
        <v>-</v>
      </c>
      <c r="L3252" s="19" t="str">
        <f>IFERROR(__xludf.DUMMYFUNCTION("""COMPUTED_VALUE"""),"-")</f>
        <v>-</v>
      </c>
      <c r="O3252" s="24">
        <f t="shared" si="4"/>
        <v>0</v>
      </c>
      <c r="P3252" s="24"/>
      <c r="Q3252" s="24">
        <f t="shared" si="6"/>
        <v>0</v>
      </c>
      <c r="R3252" s="24">
        <f t="shared" si="7"/>
        <v>0</v>
      </c>
      <c r="S3252" s="24"/>
      <c r="T3252" s="24"/>
    </row>
    <row r="3253">
      <c r="A3253" s="12" t="s">
        <v>3340</v>
      </c>
      <c r="F3253" s="19">
        <f>IFERROR(__xludf.DUMMYFUNCTION("SPLIT(A3249, "" |"")"),3247.0)</f>
        <v>3247</v>
      </c>
      <c r="G3253" s="19">
        <f>IFERROR(__xludf.DUMMYFUNCTION("""COMPUTED_VALUE"""),0.00239)</f>
        <v>0.00239</v>
      </c>
      <c r="H3253" s="19" t="str">
        <f>IFERROR(__xludf.DUMMYFUNCTION("""COMPUTED_VALUE"""),"-")</f>
        <v>-</v>
      </c>
      <c r="I3253" s="19">
        <f>IFERROR(__xludf.DUMMYFUNCTION("""COMPUTED_VALUE"""),0.00222)</f>
        <v>0.00222</v>
      </c>
      <c r="J3253" s="19">
        <f>IFERROR(__xludf.DUMMYFUNCTION("""COMPUTED_VALUE"""),0.04745)</f>
        <v>0.04745</v>
      </c>
      <c r="K3253" s="19" t="str">
        <f>IFERROR(__xludf.DUMMYFUNCTION("""COMPUTED_VALUE"""),"-")</f>
        <v>-</v>
      </c>
      <c r="L3253" s="19" t="str">
        <f>IFERROR(__xludf.DUMMYFUNCTION("""COMPUTED_VALUE"""),"-")</f>
        <v>-</v>
      </c>
      <c r="O3253" s="24">
        <f t="shared" si="4"/>
        <v>0</v>
      </c>
      <c r="P3253" s="24"/>
      <c r="Q3253" s="24">
        <f t="shared" si="6"/>
        <v>0</v>
      </c>
      <c r="R3253" s="24">
        <f t="shared" si="7"/>
        <v>0</v>
      </c>
      <c r="S3253" s="24"/>
      <c r="T3253" s="24"/>
    </row>
    <row r="3254">
      <c r="A3254" s="12" t="s">
        <v>3341</v>
      </c>
      <c r="F3254" s="19">
        <f>IFERROR(__xludf.DUMMYFUNCTION("SPLIT(A3250, "" |"")"),3248.0)</f>
        <v>3248</v>
      </c>
      <c r="G3254" s="19">
        <f>IFERROR(__xludf.DUMMYFUNCTION("""COMPUTED_VALUE"""),0.00231)</f>
        <v>0.00231</v>
      </c>
      <c r="H3254" s="19" t="str">
        <f>IFERROR(__xludf.DUMMYFUNCTION("""COMPUTED_VALUE"""),"-")</f>
        <v>-</v>
      </c>
      <c r="I3254" s="19">
        <f>IFERROR(__xludf.DUMMYFUNCTION("""COMPUTED_VALUE"""),0.00221)</f>
        <v>0.00221</v>
      </c>
      <c r="J3254" s="19">
        <f>IFERROR(__xludf.DUMMYFUNCTION("""COMPUTED_VALUE"""),0.0474)</f>
        <v>0.0474</v>
      </c>
      <c r="K3254" s="19" t="str">
        <f>IFERROR(__xludf.DUMMYFUNCTION("""COMPUTED_VALUE"""),"-")</f>
        <v>-</v>
      </c>
      <c r="L3254" s="19" t="str">
        <f>IFERROR(__xludf.DUMMYFUNCTION("""COMPUTED_VALUE"""),"-")</f>
        <v>-</v>
      </c>
      <c r="O3254" s="24">
        <f t="shared" si="4"/>
        <v>0</v>
      </c>
      <c r="P3254" s="24"/>
      <c r="Q3254" s="24">
        <f t="shared" si="6"/>
        <v>0</v>
      </c>
      <c r="R3254" s="24">
        <f t="shared" si="7"/>
        <v>0</v>
      </c>
      <c r="S3254" s="24"/>
      <c r="T3254" s="24"/>
    </row>
    <row r="3255">
      <c r="A3255" s="12" t="s">
        <v>3342</v>
      </c>
      <c r="F3255" s="19">
        <f>IFERROR(__xludf.DUMMYFUNCTION("SPLIT(A3251, "" |"")"),3249.0)</f>
        <v>3249</v>
      </c>
      <c r="G3255" s="19">
        <f>IFERROR(__xludf.DUMMYFUNCTION("""COMPUTED_VALUE"""),0.0024)</f>
        <v>0.0024</v>
      </c>
      <c r="H3255" s="19" t="str">
        <f>IFERROR(__xludf.DUMMYFUNCTION("""COMPUTED_VALUE"""),"-")</f>
        <v>-</v>
      </c>
      <c r="I3255" s="19">
        <f>IFERROR(__xludf.DUMMYFUNCTION("""COMPUTED_VALUE"""),0.00231)</f>
        <v>0.00231</v>
      </c>
      <c r="J3255" s="19">
        <f>IFERROR(__xludf.DUMMYFUNCTION("""COMPUTED_VALUE"""),0.04746)</f>
        <v>0.04746</v>
      </c>
      <c r="K3255" s="19" t="str">
        <f>IFERROR(__xludf.DUMMYFUNCTION("""COMPUTED_VALUE"""),"-")</f>
        <v>-</v>
      </c>
      <c r="L3255" s="19" t="str">
        <f>IFERROR(__xludf.DUMMYFUNCTION("""COMPUTED_VALUE"""),"-")</f>
        <v>-</v>
      </c>
      <c r="O3255" s="24">
        <f t="shared" si="4"/>
        <v>0</v>
      </c>
      <c r="P3255" s="24"/>
      <c r="Q3255" s="24">
        <f t="shared" si="6"/>
        <v>0</v>
      </c>
      <c r="R3255" s="24">
        <f t="shared" si="7"/>
        <v>0</v>
      </c>
      <c r="S3255" s="24"/>
      <c r="T3255" s="24"/>
    </row>
    <row r="3256">
      <c r="A3256" s="12" t="s">
        <v>3343</v>
      </c>
      <c r="F3256" s="19">
        <f>IFERROR(__xludf.DUMMYFUNCTION("SPLIT(A3252, "" |"")"),3250.0)</f>
        <v>3250</v>
      </c>
      <c r="G3256" s="19">
        <f>IFERROR(__xludf.DUMMYFUNCTION("""COMPUTED_VALUE"""),0.00241)</f>
        <v>0.00241</v>
      </c>
      <c r="H3256" s="19" t="str">
        <f>IFERROR(__xludf.DUMMYFUNCTION("""COMPUTED_VALUE"""),"-")</f>
        <v>-</v>
      </c>
      <c r="I3256" s="19">
        <f>IFERROR(__xludf.DUMMYFUNCTION("""COMPUTED_VALUE"""),0.00226)</f>
        <v>0.00226</v>
      </c>
      <c r="J3256" s="19">
        <f>IFERROR(__xludf.DUMMYFUNCTION("""COMPUTED_VALUE"""),0.04736)</f>
        <v>0.04736</v>
      </c>
      <c r="K3256" s="19" t="str">
        <f>IFERROR(__xludf.DUMMYFUNCTION("""COMPUTED_VALUE"""),"-")</f>
        <v>-</v>
      </c>
      <c r="L3256" s="19" t="str">
        <f>IFERROR(__xludf.DUMMYFUNCTION("""COMPUTED_VALUE"""),"-")</f>
        <v>-</v>
      </c>
      <c r="O3256" s="24">
        <f t="shared" si="4"/>
        <v>0</v>
      </c>
      <c r="P3256" s="24"/>
      <c r="Q3256" s="24">
        <f t="shared" si="6"/>
        <v>0</v>
      </c>
      <c r="R3256" s="24">
        <f t="shared" si="7"/>
        <v>0</v>
      </c>
      <c r="S3256" s="24"/>
      <c r="T3256" s="24"/>
    </row>
    <row r="3257">
      <c r="A3257" s="12" t="s">
        <v>3344</v>
      </c>
      <c r="F3257" s="19">
        <f>IFERROR(__xludf.DUMMYFUNCTION("SPLIT(A3253, "" |"")"),3251.0)</f>
        <v>3251</v>
      </c>
      <c r="G3257" s="19">
        <f>IFERROR(__xludf.DUMMYFUNCTION("""COMPUTED_VALUE"""),0.00242)</f>
        <v>0.00242</v>
      </c>
      <c r="H3257" s="19" t="str">
        <f>IFERROR(__xludf.DUMMYFUNCTION("""COMPUTED_VALUE"""),"-")</f>
        <v>-</v>
      </c>
      <c r="I3257" s="19">
        <f>IFERROR(__xludf.DUMMYFUNCTION("""COMPUTED_VALUE"""),0.00225)</f>
        <v>0.00225</v>
      </c>
      <c r="J3257" s="19">
        <f>IFERROR(__xludf.DUMMYFUNCTION("""COMPUTED_VALUE"""),0.04632)</f>
        <v>0.04632</v>
      </c>
      <c r="K3257" s="19" t="str">
        <f>IFERROR(__xludf.DUMMYFUNCTION("""COMPUTED_VALUE"""),"-")</f>
        <v>-</v>
      </c>
      <c r="L3257" s="19" t="str">
        <f>IFERROR(__xludf.DUMMYFUNCTION("""COMPUTED_VALUE"""),"-")</f>
        <v>-</v>
      </c>
      <c r="O3257" s="24">
        <f t="shared" si="4"/>
        <v>0</v>
      </c>
      <c r="P3257" s="24"/>
      <c r="Q3257" s="24">
        <f t="shared" si="6"/>
        <v>0</v>
      </c>
      <c r="R3257" s="24">
        <f t="shared" si="7"/>
        <v>0</v>
      </c>
      <c r="S3257" s="24"/>
      <c r="T3257" s="24"/>
    </row>
    <row r="3258">
      <c r="A3258" s="12" t="s">
        <v>3345</v>
      </c>
      <c r="F3258" s="19">
        <f>IFERROR(__xludf.DUMMYFUNCTION("SPLIT(A3254, "" |"")"),3252.0)</f>
        <v>3252</v>
      </c>
      <c r="G3258" s="19">
        <f>IFERROR(__xludf.DUMMYFUNCTION("""COMPUTED_VALUE"""),0.00235)</f>
        <v>0.00235</v>
      </c>
      <c r="H3258" s="19" t="str">
        <f>IFERROR(__xludf.DUMMYFUNCTION("""COMPUTED_VALUE"""),"-")</f>
        <v>-</v>
      </c>
      <c r="I3258" s="19">
        <f>IFERROR(__xludf.DUMMYFUNCTION("""COMPUTED_VALUE"""),0.00224)</f>
        <v>0.00224</v>
      </c>
      <c r="J3258" s="19">
        <f>IFERROR(__xludf.DUMMYFUNCTION("""COMPUTED_VALUE"""),0.04745)</f>
        <v>0.04745</v>
      </c>
      <c r="K3258" s="19" t="str">
        <f>IFERROR(__xludf.DUMMYFUNCTION("""COMPUTED_VALUE"""),"-")</f>
        <v>-</v>
      </c>
      <c r="L3258" s="19" t="str">
        <f>IFERROR(__xludf.DUMMYFUNCTION("""COMPUTED_VALUE"""),"-")</f>
        <v>-</v>
      </c>
      <c r="O3258" s="24">
        <f t="shared" si="4"/>
        <v>0</v>
      </c>
      <c r="P3258" s="24"/>
      <c r="Q3258" s="24">
        <f t="shared" si="6"/>
        <v>0</v>
      </c>
      <c r="R3258" s="24">
        <f t="shared" si="7"/>
        <v>0</v>
      </c>
      <c r="S3258" s="24"/>
      <c r="T3258" s="24"/>
    </row>
    <row r="3259">
      <c r="A3259" s="12" t="s">
        <v>3346</v>
      </c>
      <c r="F3259" s="19">
        <f>IFERROR(__xludf.DUMMYFUNCTION("SPLIT(A3255, "" |"")"),3253.0)</f>
        <v>3253</v>
      </c>
      <c r="G3259" s="19">
        <f>IFERROR(__xludf.DUMMYFUNCTION("""COMPUTED_VALUE"""),0.00231)</f>
        <v>0.00231</v>
      </c>
      <c r="H3259" s="19" t="str">
        <f>IFERROR(__xludf.DUMMYFUNCTION("""COMPUTED_VALUE"""),"-")</f>
        <v>-</v>
      </c>
      <c r="I3259" s="19">
        <f>IFERROR(__xludf.DUMMYFUNCTION("""COMPUTED_VALUE"""),0.00227)</f>
        <v>0.00227</v>
      </c>
      <c r="J3259" s="19">
        <f>IFERROR(__xludf.DUMMYFUNCTION("""COMPUTED_VALUE"""),0.04736)</f>
        <v>0.04736</v>
      </c>
      <c r="K3259" s="19" t="str">
        <f>IFERROR(__xludf.DUMMYFUNCTION("""COMPUTED_VALUE"""),"-")</f>
        <v>-</v>
      </c>
      <c r="L3259" s="19" t="str">
        <f>IFERROR(__xludf.DUMMYFUNCTION("""COMPUTED_VALUE"""),"-")</f>
        <v>-</v>
      </c>
      <c r="O3259" s="24">
        <f t="shared" si="4"/>
        <v>0</v>
      </c>
      <c r="P3259" s="24"/>
      <c r="Q3259" s="24">
        <f t="shared" si="6"/>
        <v>0</v>
      </c>
      <c r="R3259" s="24">
        <f t="shared" si="7"/>
        <v>0</v>
      </c>
      <c r="S3259" s="24"/>
      <c r="T3259" s="24"/>
    </row>
    <row r="3260">
      <c r="A3260" s="12" t="s">
        <v>3347</v>
      </c>
      <c r="F3260" s="19">
        <f>IFERROR(__xludf.DUMMYFUNCTION("SPLIT(A3256, "" |"")"),3254.0)</f>
        <v>3254</v>
      </c>
      <c r="G3260" s="19">
        <f>IFERROR(__xludf.DUMMYFUNCTION("""COMPUTED_VALUE"""),0.00232)</f>
        <v>0.00232</v>
      </c>
      <c r="H3260" s="19" t="str">
        <f>IFERROR(__xludf.DUMMYFUNCTION("""COMPUTED_VALUE"""),"-")</f>
        <v>-</v>
      </c>
      <c r="I3260" s="19">
        <f>IFERROR(__xludf.DUMMYFUNCTION("""COMPUTED_VALUE"""),0.00222)</f>
        <v>0.00222</v>
      </c>
      <c r="J3260" s="19">
        <f>IFERROR(__xludf.DUMMYFUNCTION("""COMPUTED_VALUE"""),0.04739)</f>
        <v>0.04739</v>
      </c>
      <c r="K3260" s="19" t="str">
        <f>IFERROR(__xludf.DUMMYFUNCTION("""COMPUTED_VALUE"""),"-")</f>
        <v>-</v>
      </c>
      <c r="L3260" s="19" t="str">
        <f>IFERROR(__xludf.DUMMYFUNCTION("""COMPUTED_VALUE"""),"-")</f>
        <v>-</v>
      </c>
      <c r="O3260" s="24">
        <f t="shared" si="4"/>
        <v>0</v>
      </c>
      <c r="P3260" s="24"/>
      <c r="Q3260" s="24">
        <f t="shared" si="6"/>
        <v>0</v>
      </c>
      <c r="R3260" s="24">
        <f t="shared" si="7"/>
        <v>0</v>
      </c>
      <c r="S3260" s="24"/>
      <c r="T3260" s="24"/>
    </row>
    <row r="3261">
      <c r="A3261" s="12" t="s">
        <v>3348</v>
      </c>
      <c r="F3261" s="19">
        <f>IFERROR(__xludf.DUMMYFUNCTION("SPLIT(A3257, "" |"")"),3255.0)</f>
        <v>3255</v>
      </c>
      <c r="G3261" s="19">
        <f>IFERROR(__xludf.DUMMYFUNCTION("""COMPUTED_VALUE"""),0.00237)</f>
        <v>0.00237</v>
      </c>
      <c r="H3261" s="19" t="str">
        <f>IFERROR(__xludf.DUMMYFUNCTION("""COMPUTED_VALUE"""),"-")</f>
        <v>-</v>
      </c>
      <c r="I3261" s="19">
        <f>IFERROR(__xludf.DUMMYFUNCTION("""COMPUTED_VALUE"""),0.00216)</f>
        <v>0.00216</v>
      </c>
      <c r="J3261" s="19">
        <f>IFERROR(__xludf.DUMMYFUNCTION("""COMPUTED_VALUE"""),0.04746)</f>
        <v>0.04746</v>
      </c>
      <c r="K3261" s="19" t="str">
        <f>IFERROR(__xludf.DUMMYFUNCTION("""COMPUTED_VALUE"""),"-")</f>
        <v>-</v>
      </c>
      <c r="L3261" s="19" t="str">
        <f>IFERROR(__xludf.DUMMYFUNCTION("""COMPUTED_VALUE"""),"-")</f>
        <v>-</v>
      </c>
      <c r="O3261" s="24">
        <f t="shared" si="4"/>
        <v>0</v>
      </c>
      <c r="P3261" s="24"/>
      <c r="Q3261" s="24">
        <f t="shared" si="6"/>
        <v>0</v>
      </c>
      <c r="R3261" s="24">
        <f t="shared" si="7"/>
        <v>0</v>
      </c>
      <c r="S3261" s="24"/>
      <c r="T3261" s="24"/>
    </row>
    <row r="3262">
      <c r="A3262" s="12" t="s">
        <v>3349</v>
      </c>
      <c r="F3262" s="19">
        <f>IFERROR(__xludf.DUMMYFUNCTION("SPLIT(A3258, "" |"")"),3256.0)</f>
        <v>3256</v>
      </c>
      <c r="G3262" s="19">
        <f>IFERROR(__xludf.DUMMYFUNCTION("""COMPUTED_VALUE"""),0.0024)</f>
        <v>0.0024</v>
      </c>
      <c r="H3262" s="19" t="str">
        <f>IFERROR(__xludf.DUMMYFUNCTION("""COMPUTED_VALUE"""),"-")</f>
        <v>-</v>
      </c>
      <c r="I3262" s="19">
        <f>IFERROR(__xludf.DUMMYFUNCTION("""COMPUTED_VALUE"""),0.00222)</f>
        <v>0.00222</v>
      </c>
      <c r="J3262" s="19">
        <f>IFERROR(__xludf.DUMMYFUNCTION("""COMPUTED_VALUE"""),0.04742)</f>
        <v>0.04742</v>
      </c>
      <c r="K3262" s="19" t="str">
        <f>IFERROR(__xludf.DUMMYFUNCTION("""COMPUTED_VALUE"""),"-")</f>
        <v>-</v>
      </c>
      <c r="L3262" s="19" t="str">
        <f>IFERROR(__xludf.DUMMYFUNCTION("""COMPUTED_VALUE"""),"-")</f>
        <v>-</v>
      </c>
      <c r="O3262" s="24">
        <f t="shared" si="4"/>
        <v>0</v>
      </c>
      <c r="P3262" s="24"/>
      <c r="Q3262" s="24">
        <f t="shared" si="6"/>
        <v>0</v>
      </c>
      <c r="R3262" s="24">
        <f t="shared" si="7"/>
        <v>0</v>
      </c>
      <c r="S3262" s="24"/>
      <c r="T3262" s="24"/>
    </row>
    <row r="3263">
      <c r="A3263" s="12" t="s">
        <v>3350</v>
      </c>
      <c r="F3263" s="19">
        <f>IFERROR(__xludf.DUMMYFUNCTION("SPLIT(A3259, "" |"")"),3257.0)</f>
        <v>3257</v>
      </c>
      <c r="G3263" s="19">
        <f>IFERROR(__xludf.DUMMYFUNCTION("""COMPUTED_VALUE"""),0.00236)</f>
        <v>0.00236</v>
      </c>
      <c r="H3263" s="19" t="str">
        <f>IFERROR(__xludf.DUMMYFUNCTION("""COMPUTED_VALUE"""),"-")</f>
        <v>-</v>
      </c>
      <c r="I3263" s="19">
        <f>IFERROR(__xludf.DUMMYFUNCTION("""COMPUTED_VALUE"""),0.00223)</f>
        <v>0.00223</v>
      </c>
      <c r="J3263" s="19">
        <f>IFERROR(__xludf.DUMMYFUNCTION("""COMPUTED_VALUE"""),0.04745)</f>
        <v>0.04745</v>
      </c>
      <c r="K3263" s="19" t="str">
        <f>IFERROR(__xludf.DUMMYFUNCTION("""COMPUTED_VALUE"""),"-")</f>
        <v>-</v>
      </c>
      <c r="L3263" s="19" t="str">
        <f>IFERROR(__xludf.DUMMYFUNCTION("""COMPUTED_VALUE"""),"-")</f>
        <v>-</v>
      </c>
      <c r="O3263" s="24">
        <f t="shared" si="4"/>
        <v>0</v>
      </c>
      <c r="P3263" s="24"/>
      <c r="Q3263" s="24">
        <f t="shared" si="6"/>
        <v>0</v>
      </c>
      <c r="R3263" s="24">
        <f t="shared" si="7"/>
        <v>0</v>
      </c>
      <c r="S3263" s="24"/>
      <c r="T3263" s="24"/>
    </row>
    <row r="3264">
      <c r="A3264" s="12" t="s">
        <v>3351</v>
      </c>
      <c r="F3264" s="19">
        <f>IFERROR(__xludf.DUMMYFUNCTION("SPLIT(A3260, "" |"")"),3258.0)</f>
        <v>3258</v>
      </c>
      <c r="G3264" s="19">
        <f>IFERROR(__xludf.DUMMYFUNCTION("""COMPUTED_VALUE"""),0.00226)</f>
        <v>0.00226</v>
      </c>
      <c r="H3264" s="19" t="str">
        <f>IFERROR(__xludf.DUMMYFUNCTION("""COMPUTED_VALUE"""),"-")</f>
        <v>-</v>
      </c>
      <c r="I3264" s="19">
        <f>IFERROR(__xludf.DUMMYFUNCTION("""COMPUTED_VALUE"""),0.00226)</f>
        <v>0.00226</v>
      </c>
      <c r="J3264" s="19">
        <f>IFERROR(__xludf.DUMMYFUNCTION("""COMPUTED_VALUE"""),0.04444)</f>
        <v>0.04444</v>
      </c>
      <c r="K3264" s="19" t="str">
        <f>IFERROR(__xludf.DUMMYFUNCTION("""COMPUTED_VALUE"""),"-")</f>
        <v>-</v>
      </c>
      <c r="L3264" s="19" t="str">
        <f>IFERROR(__xludf.DUMMYFUNCTION("""COMPUTED_VALUE"""),"-")</f>
        <v>-</v>
      </c>
      <c r="O3264" s="24">
        <f t="shared" si="4"/>
        <v>0</v>
      </c>
      <c r="P3264" s="24"/>
      <c r="Q3264" s="24">
        <f t="shared" si="6"/>
        <v>0</v>
      </c>
      <c r="R3264" s="24">
        <f t="shared" si="7"/>
        <v>1</v>
      </c>
      <c r="S3264" s="24"/>
      <c r="T3264" s="24"/>
    </row>
    <row r="3265">
      <c r="A3265" s="12" t="s">
        <v>3352</v>
      </c>
      <c r="F3265" s="19">
        <f>IFERROR(__xludf.DUMMYFUNCTION("SPLIT(A3261, "" |"")"),3259.0)</f>
        <v>3259</v>
      </c>
      <c r="G3265" s="19">
        <f>IFERROR(__xludf.DUMMYFUNCTION("""COMPUTED_VALUE"""),0.0023)</f>
        <v>0.0023</v>
      </c>
      <c r="H3265" s="19" t="str">
        <f>IFERROR(__xludf.DUMMYFUNCTION("""COMPUTED_VALUE"""),"-")</f>
        <v>-</v>
      </c>
      <c r="I3265" s="19">
        <f>IFERROR(__xludf.DUMMYFUNCTION("""COMPUTED_VALUE"""),0.00219)</f>
        <v>0.00219</v>
      </c>
      <c r="J3265" s="19">
        <f>IFERROR(__xludf.DUMMYFUNCTION("""COMPUTED_VALUE"""),0.04741)</f>
        <v>0.04741</v>
      </c>
      <c r="K3265" s="19" t="str">
        <f>IFERROR(__xludf.DUMMYFUNCTION("""COMPUTED_VALUE"""),"-")</f>
        <v>-</v>
      </c>
      <c r="L3265" s="19" t="str">
        <f>IFERROR(__xludf.DUMMYFUNCTION("""COMPUTED_VALUE"""),"-")</f>
        <v>-</v>
      </c>
      <c r="O3265" s="24">
        <f t="shared" si="4"/>
        <v>0</v>
      </c>
      <c r="P3265" s="24"/>
      <c r="Q3265" s="24">
        <f t="shared" si="6"/>
        <v>0</v>
      </c>
      <c r="R3265" s="24">
        <f t="shared" si="7"/>
        <v>0</v>
      </c>
      <c r="S3265" s="24"/>
      <c r="T3265" s="24"/>
    </row>
    <row r="3266">
      <c r="A3266" s="12" t="s">
        <v>3353</v>
      </c>
      <c r="F3266" s="19">
        <f>IFERROR(__xludf.DUMMYFUNCTION("SPLIT(A3262, "" |"")"),3260.0)</f>
        <v>3260</v>
      </c>
      <c r="G3266" s="19">
        <f>IFERROR(__xludf.DUMMYFUNCTION("""COMPUTED_VALUE"""),0.00245)</f>
        <v>0.00245</v>
      </c>
      <c r="H3266" s="19" t="str">
        <f>IFERROR(__xludf.DUMMYFUNCTION("""COMPUTED_VALUE"""),"-")</f>
        <v>-</v>
      </c>
      <c r="I3266" s="19">
        <f>IFERROR(__xludf.DUMMYFUNCTION("""COMPUTED_VALUE"""),0.00227)</f>
        <v>0.00227</v>
      </c>
      <c r="J3266" s="19">
        <f>IFERROR(__xludf.DUMMYFUNCTION("""COMPUTED_VALUE"""),0.0465)</f>
        <v>0.0465</v>
      </c>
      <c r="K3266" s="19" t="str">
        <f>IFERROR(__xludf.DUMMYFUNCTION("""COMPUTED_VALUE"""),"-")</f>
        <v>-</v>
      </c>
      <c r="L3266" s="19" t="str">
        <f>IFERROR(__xludf.DUMMYFUNCTION("""COMPUTED_VALUE"""),"-")</f>
        <v>-</v>
      </c>
      <c r="O3266" s="24">
        <f t="shared" si="4"/>
        <v>0</v>
      </c>
      <c r="P3266" s="24"/>
      <c r="Q3266" s="24">
        <f t="shared" si="6"/>
        <v>0</v>
      </c>
      <c r="R3266" s="24">
        <f t="shared" si="7"/>
        <v>0</v>
      </c>
      <c r="S3266" s="24"/>
      <c r="T3266" s="24"/>
    </row>
    <row r="3267">
      <c r="A3267" s="12" t="s">
        <v>3354</v>
      </c>
      <c r="F3267" s="19">
        <f>IFERROR(__xludf.DUMMYFUNCTION("SPLIT(A3263, "" |"")"),3261.0)</f>
        <v>3261</v>
      </c>
      <c r="G3267" s="19">
        <f>IFERROR(__xludf.DUMMYFUNCTION("""COMPUTED_VALUE"""),0.00235)</f>
        <v>0.00235</v>
      </c>
      <c r="H3267" s="19" t="str">
        <f>IFERROR(__xludf.DUMMYFUNCTION("""COMPUTED_VALUE"""),"-")</f>
        <v>-</v>
      </c>
      <c r="I3267" s="19">
        <f>IFERROR(__xludf.DUMMYFUNCTION("""COMPUTED_VALUE"""),0.00223)</f>
        <v>0.00223</v>
      </c>
      <c r="J3267" s="19">
        <f>IFERROR(__xludf.DUMMYFUNCTION("""COMPUTED_VALUE"""),0.04735)</f>
        <v>0.04735</v>
      </c>
      <c r="K3267" s="19" t="str">
        <f>IFERROR(__xludf.DUMMYFUNCTION("""COMPUTED_VALUE"""),"-")</f>
        <v>-</v>
      </c>
      <c r="L3267" s="19" t="str">
        <f>IFERROR(__xludf.DUMMYFUNCTION("""COMPUTED_VALUE"""),"-")</f>
        <v>-</v>
      </c>
      <c r="O3267" s="24">
        <f t="shared" si="4"/>
        <v>0</v>
      </c>
      <c r="P3267" s="24"/>
      <c r="Q3267" s="24">
        <f t="shared" si="6"/>
        <v>0</v>
      </c>
      <c r="R3267" s="24">
        <f t="shared" si="7"/>
        <v>0</v>
      </c>
      <c r="S3267" s="24"/>
      <c r="T3267" s="24"/>
    </row>
    <row r="3268">
      <c r="A3268" s="12" t="s">
        <v>3355</v>
      </c>
      <c r="F3268" s="19">
        <f>IFERROR(__xludf.DUMMYFUNCTION("SPLIT(A3264, "" |"")"),3262.0)</f>
        <v>3262</v>
      </c>
      <c r="G3268" s="19">
        <f>IFERROR(__xludf.DUMMYFUNCTION("""COMPUTED_VALUE"""),0.00241)</f>
        <v>0.00241</v>
      </c>
      <c r="H3268" s="19" t="str">
        <f>IFERROR(__xludf.DUMMYFUNCTION("""COMPUTED_VALUE"""),"-")</f>
        <v>-</v>
      </c>
      <c r="I3268" s="19">
        <f>IFERROR(__xludf.DUMMYFUNCTION("""COMPUTED_VALUE"""),0.00224)</f>
        <v>0.00224</v>
      </c>
      <c r="J3268" s="19">
        <f>IFERROR(__xludf.DUMMYFUNCTION("""COMPUTED_VALUE"""),0.04746)</f>
        <v>0.04746</v>
      </c>
      <c r="K3268" s="19" t="str">
        <f>IFERROR(__xludf.DUMMYFUNCTION("""COMPUTED_VALUE"""),"-")</f>
        <v>-</v>
      </c>
      <c r="L3268" s="19" t="str">
        <f>IFERROR(__xludf.DUMMYFUNCTION("""COMPUTED_VALUE"""),"-")</f>
        <v>-</v>
      </c>
      <c r="O3268" s="24">
        <f t="shared" si="4"/>
        <v>0</v>
      </c>
      <c r="P3268" s="24"/>
      <c r="Q3268" s="24">
        <f t="shared" si="6"/>
        <v>0</v>
      </c>
      <c r="R3268" s="24">
        <f t="shared" si="7"/>
        <v>0</v>
      </c>
      <c r="S3268" s="24"/>
      <c r="T3268" s="24"/>
    </row>
    <row r="3269">
      <c r="A3269" s="12" t="s">
        <v>3356</v>
      </c>
      <c r="F3269" s="19">
        <f>IFERROR(__xludf.DUMMYFUNCTION("SPLIT(A3265, "" |"")"),3263.0)</f>
        <v>3263</v>
      </c>
      <c r="G3269" s="19">
        <f>IFERROR(__xludf.DUMMYFUNCTION("""COMPUTED_VALUE"""),0.00239)</f>
        <v>0.00239</v>
      </c>
      <c r="H3269" s="19" t="str">
        <f>IFERROR(__xludf.DUMMYFUNCTION("""COMPUTED_VALUE"""),"-")</f>
        <v>-</v>
      </c>
      <c r="I3269" s="19">
        <f>IFERROR(__xludf.DUMMYFUNCTION("""COMPUTED_VALUE"""),0.00222)</f>
        <v>0.00222</v>
      </c>
      <c r="J3269" s="19">
        <f>IFERROR(__xludf.DUMMYFUNCTION("""COMPUTED_VALUE"""),0.04743)</f>
        <v>0.04743</v>
      </c>
      <c r="K3269" s="19" t="str">
        <f>IFERROR(__xludf.DUMMYFUNCTION("""COMPUTED_VALUE"""),"-")</f>
        <v>-</v>
      </c>
      <c r="L3269" s="19" t="str">
        <f>IFERROR(__xludf.DUMMYFUNCTION("""COMPUTED_VALUE"""),"-")</f>
        <v>-</v>
      </c>
      <c r="O3269" s="24">
        <f t="shared" si="4"/>
        <v>0</v>
      </c>
      <c r="P3269" s="24"/>
      <c r="Q3269" s="24">
        <f t="shared" si="6"/>
        <v>0</v>
      </c>
      <c r="R3269" s="24">
        <f t="shared" si="7"/>
        <v>0</v>
      </c>
      <c r="S3269" s="24"/>
      <c r="T3269" s="24"/>
    </row>
    <row r="3270">
      <c r="A3270" s="12" t="s">
        <v>3357</v>
      </c>
      <c r="F3270" s="19">
        <f>IFERROR(__xludf.DUMMYFUNCTION("SPLIT(A3266, "" |"")"),3264.0)</f>
        <v>3264</v>
      </c>
      <c r="G3270" s="19">
        <f>IFERROR(__xludf.DUMMYFUNCTION("""COMPUTED_VALUE"""),0.00234)</f>
        <v>0.00234</v>
      </c>
      <c r="H3270" s="19" t="str">
        <f>IFERROR(__xludf.DUMMYFUNCTION("""COMPUTED_VALUE"""),"-")</f>
        <v>-</v>
      </c>
      <c r="I3270" s="19">
        <f>IFERROR(__xludf.DUMMYFUNCTION("""COMPUTED_VALUE"""),0.00222)</f>
        <v>0.00222</v>
      </c>
      <c r="J3270" s="19">
        <f>IFERROR(__xludf.DUMMYFUNCTION("""COMPUTED_VALUE"""),0.04739)</f>
        <v>0.04739</v>
      </c>
      <c r="K3270" s="19" t="str">
        <f>IFERROR(__xludf.DUMMYFUNCTION("""COMPUTED_VALUE"""),"-")</f>
        <v>-</v>
      </c>
      <c r="L3270" s="19" t="str">
        <f>IFERROR(__xludf.DUMMYFUNCTION("""COMPUTED_VALUE"""),"-")</f>
        <v>-</v>
      </c>
      <c r="O3270" s="24">
        <f t="shared" si="4"/>
        <v>0</v>
      </c>
      <c r="P3270" s="24"/>
      <c r="Q3270" s="24">
        <f t="shared" si="6"/>
        <v>0</v>
      </c>
      <c r="R3270" s="24">
        <f t="shared" si="7"/>
        <v>0</v>
      </c>
      <c r="S3270" s="24"/>
      <c r="T3270" s="24"/>
    </row>
    <row r="3271">
      <c r="A3271" s="12" t="s">
        <v>3358</v>
      </c>
      <c r="F3271" s="19">
        <f>IFERROR(__xludf.DUMMYFUNCTION("SPLIT(A3267, "" |"")"),3265.0)</f>
        <v>3265</v>
      </c>
      <c r="G3271" s="19">
        <f>IFERROR(__xludf.DUMMYFUNCTION("""COMPUTED_VALUE"""),0.00233)</f>
        <v>0.00233</v>
      </c>
      <c r="H3271" s="19" t="str">
        <f>IFERROR(__xludf.DUMMYFUNCTION("""COMPUTED_VALUE"""),"-")</f>
        <v>-</v>
      </c>
      <c r="I3271" s="19">
        <f>IFERROR(__xludf.DUMMYFUNCTION("""COMPUTED_VALUE"""),0.00223)</f>
        <v>0.00223</v>
      </c>
      <c r="J3271" s="19">
        <f>IFERROR(__xludf.DUMMYFUNCTION("""COMPUTED_VALUE"""),0.04743)</f>
        <v>0.04743</v>
      </c>
      <c r="K3271" s="19" t="str">
        <f>IFERROR(__xludf.DUMMYFUNCTION("""COMPUTED_VALUE"""),"-")</f>
        <v>-</v>
      </c>
      <c r="L3271" s="19" t="str">
        <f>IFERROR(__xludf.DUMMYFUNCTION("""COMPUTED_VALUE"""),"-")</f>
        <v>-</v>
      </c>
      <c r="O3271" s="24">
        <f t="shared" si="4"/>
        <v>0</v>
      </c>
      <c r="P3271" s="24"/>
      <c r="Q3271" s="24">
        <f t="shared" si="6"/>
        <v>0</v>
      </c>
      <c r="R3271" s="24">
        <f t="shared" si="7"/>
        <v>0</v>
      </c>
      <c r="S3271" s="24"/>
      <c r="T3271" s="24"/>
    </row>
    <row r="3272">
      <c r="A3272" s="12" t="s">
        <v>3359</v>
      </c>
      <c r="F3272" s="19">
        <f>IFERROR(__xludf.DUMMYFUNCTION("SPLIT(A3268, "" |"")"),3266.0)</f>
        <v>3266</v>
      </c>
      <c r="G3272" s="19">
        <f>IFERROR(__xludf.DUMMYFUNCTION("""COMPUTED_VALUE"""),0.00235)</f>
        <v>0.00235</v>
      </c>
      <c r="H3272" s="19" t="str">
        <f>IFERROR(__xludf.DUMMYFUNCTION("""COMPUTED_VALUE"""),"-")</f>
        <v>-</v>
      </c>
      <c r="I3272" s="19">
        <f>IFERROR(__xludf.DUMMYFUNCTION("""COMPUTED_VALUE"""),0.00224)</f>
        <v>0.00224</v>
      </c>
      <c r="J3272" s="19">
        <f>IFERROR(__xludf.DUMMYFUNCTION("""COMPUTED_VALUE"""),0.04739)</f>
        <v>0.04739</v>
      </c>
      <c r="K3272" s="19" t="str">
        <f>IFERROR(__xludf.DUMMYFUNCTION("""COMPUTED_VALUE"""),"-")</f>
        <v>-</v>
      </c>
      <c r="L3272" s="19" t="str">
        <f>IFERROR(__xludf.DUMMYFUNCTION("""COMPUTED_VALUE"""),"-")</f>
        <v>-</v>
      </c>
      <c r="O3272" s="24">
        <f t="shared" si="4"/>
        <v>0</v>
      </c>
      <c r="P3272" s="24"/>
      <c r="Q3272" s="24">
        <f t="shared" si="6"/>
        <v>0</v>
      </c>
      <c r="R3272" s="24">
        <f t="shared" si="7"/>
        <v>0</v>
      </c>
      <c r="S3272" s="24"/>
      <c r="T3272" s="24"/>
    </row>
    <row r="3273">
      <c r="A3273" s="12" t="s">
        <v>3360</v>
      </c>
      <c r="F3273" s="19">
        <f>IFERROR(__xludf.DUMMYFUNCTION("SPLIT(A3269, "" |"")"),3267.0)</f>
        <v>3267</v>
      </c>
      <c r="G3273" s="19">
        <f>IFERROR(__xludf.DUMMYFUNCTION("""COMPUTED_VALUE"""),0.00221)</f>
        <v>0.00221</v>
      </c>
      <c r="H3273" s="19" t="str">
        <f>IFERROR(__xludf.DUMMYFUNCTION("""COMPUTED_VALUE"""),"-")</f>
        <v>-</v>
      </c>
      <c r="I3273" s="19">
        <f>IFERROR(__xludf.DUMMYFUNCTION("""COMPUTED_VALUE"""),0.00209)</f>
        <v>0.00209</v>
      </c>
      <c r="J3273" s="19">
        <f>IFERROR(__xludf.DUMMYFUNCTION("""COMPUTED_VALUE"""),0.04735)</f>
        <v>0.04735</v>
      </c>
      <c r="K3273" s="19" t="str">
        <f>IFERROR(__xludf.DUMMYFUNCTION("""COMPUTED_VALUE"""),"-")</f>
        <v>-</v>
      </c>
      <c r="L3273" s="19" t="str">
        <f>IFERROR(__xludf.DUMMYFUNCTION("""COMPUTED_VALUE"""),"-")</f>
        <v>-</v>
      </c>
      <c r="O3273" s="24">
        <f t="shared" si="4"/>
        <v>0</v>
      </c>
      <c r="P3273" s="24"/>
      <c r="Q3273" s="24">
        <f t="shared" si="6"/>
        <v>0</v>
      </c>
      <c r="R3273" s="24">
        <f t="shared" si="7"/>
        <v>0</v>
      </c>
      <c r="S3273" s="24"/>
      <c r="T3273" s="24"/>
    </row>
    <row r="3274">
      <c r="A3274" s="12" t="s">
        <v>3361</v>
      </c>
      <c r="F3274" s="19">
        <f>IFERROR(__xludf.DUMMYFUNCTION("SPLIT(A3270, "" |"")"),3268.0)</f>
        <v>3268</v>
      </c>
      <c r="G3274" s="19">
        <f>IFERROR(__xludf.DUMMYFUNCTION("""COMPUTED_VALUE"""),0.0024)</f>
        <v>0.0024</v>
      </c>
      <c r="H3274" s="19" t="str">
        <f>IFERROR(__xludf.DUMMYFUNCTION("""COMPUTED_VALUE"""),"-")</f>
        <v>-</v>
      </c>
      <c r="I3274" s="19">
        <f>IFERROR(__xludf.DUMMYFUNCTION("""COMPUTED_VALUE"""),0.0022)</f>
        <v>0.0022</v>
      </c>
      <c r="J3274" s="19">
        <f>IFERROR(__xludf.DUMMYFUNCTION("""COMPUTED_VALUE"""),0.04746)</f>
        <v>0.04746</v>
      </c>
      <c r="K3274" s="19" t="str">
        <f>IFERROR(__xludf.DUMMYFUNCTION("""COMPUTED_VALUE"""),"-")</f>
        <v>-</v>
      </c>
      <c r="L3274" s="19" t="str">
        <f>IFERROR(__xludf.DUMMYFUNCTION("""COMPUTED_VALUE"""),"-")</f>
        <v>-</v>
      </c>
      <c r="O3274" s="24">
        <f t="shared" si="4"/>
        <v>0</v>
      </c>
      <c r="P3274" s="24"/>
      <c r="Q3274" s="24">
        <f t="shared" si="6"/>
        <v>0</v>
      </c>
      <c r="R3274" s="24">
        <f t="shared" si="7"/>
        <v>0</v>
      </c>
      <c r="S3274" s="24"/>
      <c r="T3274" s="24"/>
    </row>
    <row r="3275">
      <c r="A3275" s="12" t="s">
        <v>3362</v>
      </c>
      <c r="F3275" s="19">
        <f>IFERROR(__xludf.DUMMYFUNCTION("SPLIT(A3271, "" |"")"),3269.0)</f>
        <v>3269</v>
      </c>
      <c r="G3275" s="19">
        <f>IFERROR(__xludf.DUMMYFUNCTION("""COMPUTED_VALUE"""),0.00231)</f>
        <v>0.00231</v>
      </c>
      <c r="H3275" s="19" t="str">
        <f>IFERROR(__xludf.DUMMYFUNCTION("""COMPUTED_VALUE"""),"-")</f>
        <v>-</v>
      </c>
      <c r="I3275" s="19">
        <f>IFERROR(__xludf.DUMMYFUNCTION("""COMPUTED_VALUE"""),0.00221)</f>
        <v>0.00221</v>
      </c>
      <c r="J3275" s="19">
        <f>IFERROR(__xludf.DUMMYFUNCTION("""COMPUTED_VALUE"""),0.04739)</f>
        <v>0.04739</v>
      </c>
      <c r="K3275" s="19" t="str">
        <f>IFERROR(__xludf.DUMMYFUNCTION("""COMPUTED_VALUE"""),"-")</f>
        <v>-</v>
      </c>
      <c r="L3275" s="19" t="str">
        <f>IFERROR(__xludf.DUMMYFUNCTION("""COMPUTED_VALUE"""),"-")</f>
        <v>-</v>
      </c>
      <c r="O3275" s="24">
        <f t="shared" si="4"/>
        <v>0</v>
      </c>
      <c r="P3275" s="24"/>
      <c r="Q3275" s="24">
        <f t="shared" si="6"/>
        <v>0</v>
      </c>
      <c r="R3275" s="24">
        <f t="shared" si="7"/>
        <v>0</v>
      </c>
      <c r="S3275" s="24"/>
      <c r="T3275" s="24"/>
    </row>
    <row r="3276">
      <c r="A3276" s="12" t="s">
        <v>3363</v>
      </c>
      <c r="F3276" s="19">
        <f>IFERROR(__xludf.DUMMYFUNCTION("SPLIT(A3272, "" |"")"),3270.0)</f>
        <v>3270</v>
      </c>
      <c r="G3276" s="19">
        <f>IFERROR(__xludf.DUMMYFUNCTION("""COMPUTED_VALUE"""),0.00236)</f>
        <v>0.00236</v>
      </c>
      <c r="H3276" s="19" t="str">
        <f>IFERROR(__xludf.DUMMYFUNCTION("""COMPUTED_VALUE"""),"-")</f>
        <v>-</v>
      </c>
      <c r="I3276" s="19">
        <f>IFERROR(__xludf.DUMMYFUNCTION("""COMPUTED_VALUE"""),0.00221)</f>
        <v>0.00221</v>
      </c>
      <c r="J3276" s="19">
        <f>IFERROR(__xludf.DUMMYFUNCTION("""COMPUTED_VALUE"""),0.04742)</f>
        <v>0.04742</v>
      </c>
      <c r="K3276" s="19" t="str">
        <f>IFERROR(__xludf.DUMMYFUNCTION("""COMPUTED_VALUE"""),"-")</f>
        <v>-</v>
      </c>
      <c r="L3276" s="19" t="str">
        <f>IFERROR(__xludf.DUMMYFUNCTION("""COMPUTED_VALUE"""),"-")</f>
        <v>-</v>
      </c>
      <c r="O3276" s="24">
        <f t="shared" si="4"/>
        <v>0</v>
      </c>
      <c r="P3276" s="24"/>
      <c r="Q3276" s="24">
        <f t="shared" si="6"/>
        <v>0</v>
      </c>
      <c r="R3276" s="24">
        <f t="shared" si="7"/>
        <v>0</v>
      </c>
      <c r="S3276" s="24"/>
      <c r="T3276" s="24"/>
    </row>
    <row r="3277">
      <c r="A3277" s="12" t="s">
        <v>3364</v>
      </c>
      <c r="F3277" s="19">
        <f>IFERROR(__xludf.DUMMYFUNCTION("SPLIT(A3273, "" |"")"),3271.0)</f>
        <v>3271</v>
      </c>
      <c r="G3277" s="19">
        <f>IFERROR(__xludf.DUMMYFUNCTION("""COMPUTED_VALUE"""),0.0024)</f>
        <v>0.0024</v>
      </c>
      <c r="H3277" s="19" t="str">
        <f>IFERROR(__xludf.DUMMYFUNCTION("""COMPUTED_VALUE"""),"-")</f>
        <v>-</v>
      </c>
      <c r="I3277" s="19">
        <f>IFERROR(__xludf.DUMMYFUNCTION("""COMPUTED_VALUE"""),0.00221)</f>
        <v>0.00221</v>
      </c>
      <c r="J3277" s="19">
        <f>IFERROR(__xludf.DUMMYFUNCTION("""COMPUTED_VALUE"""),0.04746)</f>
        <v>0.04746</v>
      </c>
      <c r="K3277" s="19" t="str">
        <f>IFERROR(__xludf.DUMMYFUNCTION("""COMPUTED_VALUE"""),"-")</f>
        <v>-</v>
      </c>
      <c r="L3277" s="19" t="str">
        <f>IFERROR(__xludf.DUMMYFUNCTION("""COMPUTED_VALUE"""),"-")</f>
        <v>-</v>
      </c>
      <c r="O3277" s="24">
        <f t="shared" si="4"/>
        <v>0</v>
      </c>
      <c r="P3277" s="24"/>
      <c r="Q3277" s="24">
        <f t="shared" si="6"/>
        <v>0</v>
      </c>
      <c r="R3277" s="24">
        <f t="shared" si="7"/>
        <v>0</v>
      </c>
      <c r="S3277" s="24"/>
      <c r="T3277" s="24"/>
    </row>
    <row r="3278">
      <c r="A3278" s="12" t="s">
        <v>3365</v>
      </c>
      <c r="F3278" s="19">
        <f>IFERROR(__xludf.DUMMYFUNCTION("SPLIT(A3274, "" |"")"),3272.0)</f>
        <v>3272</v>
      </c>
      <c r="G3278" s="19">
        <f>IFERROR(__xludf.DUMMYFUNCTION("""COMPUTED_VALUE"""),0.00235)</f>
        <v>0.00235</v>
      </c>
      <c r="H3278" s="19" t="str">
        <f>IFERROR(__xludf.DUMMYFUNCTION("""COMPUTED_VALUE"""),"-")</f>
        <v>-</v>
      </c>
      <c r="I3278" s="19">
        <f>IFERROR(__xludf.DUMMYFUNCTION("""COMPUTED_VALUE"""),0.00221)</f>
        <v>0.00221</v>
      </c>
      <c r="J3278" s="19">
        <f>IFERROR(__xludf.DUMMYFUNCTION("""COMPUTED_VALUE"""),0.0474)</f>
        <v>0.0474</v>
      </c>
      <c r="K3278" s="19" t="str">
        <f>IFERROR(__xludf.DUMMYFUNCTION("""COMPUTED_VALUE"""),"-")</f>
        <v>-</v>
      </c>
      <c r="L3278" s="19" t="str">
        <f>IFERROR(__xludf.DUMMYFUNCTION("""COMPUTED_VALUE"""),"-")</f>
        <v>-</v>
      </c>
      <c r="O3278" s="24">
        <f t="shared" si="4"/>
        <v>0</v>
      </c>
      <c r="P3278" s="24"/>
      <c r="Q3278" s="24">
        <f t="shared" si="6"/>
        <v>0</v>
      </c>
      <c r="R3278" s="24">
        <f t="shared" si="7"/>
        <v>0</v>
      </c>
      <c r="S3278" s="24"/>
      <c r="T3278" s="24"/>
    </row>
    <row r="3279">
      <c r="A3279" s="12" t="s">
        <v>3366</v>
      </c>
      <c r="F3279" s="19">
        <f>IFERROR(__xludf.DUMMYFUNCTION("SPLIT(A3275, "" |"")"),3273.0)</f>
        <v>3273</v>
      </c>
      <c r="G3279" s="19">
        <f>IFERROR(__xludf.DUMMYFUNCTION("""COMPUTED_VALUE"""),0.00235)</f>
        <v>0.00235</v>
      </c>
      <c r="H3279" s="19" t="str">
        <f>IFERROR(__xludf.DUMMYFUNCTION("""COMPUTED_VALUE"""),"-")</f>
        <v>-</v>
      </c>
      <c r="I3279" s="19">
        <f>IFERROR(__xludf.DUMMYFUNCTION("""COMPUTED_VALUE"""),0.00223)</f>
        <v>0.00223</v>
      </c>
      <c r="J3279" s="19">
        <f>IFERROR(__xludf.DUMMYFUNCTION("""COMPUTED_VALUE"""),0.04738)</f>
        <v>0.04738</v>
      </c>
      <c r="K3279" s="19" t="str">
        <f>IFERROR(__xludf.DUMMYFUNCTION("""COMPUTED_VALUE"""),"-")</f>
        <v>-</v>
      </c>
      <c r="L3279" s="19" t="str">
        <f>IFERROR(__xludf.DUMMYFUNCTION("""COMPUTED_VALUE"""),"-")</f>
        <v>-</v>
      </c>
      <c r="O3279" s="24">
        <f t="shared" si="4"/>
        <v>0</v>
      </c>
      <c r="P3279" s="24"/>
      <c r="Q3279" s="24">
        <f t="shared" si="6"/>
        <v>0</v>
      </c>
      <c r="R3279" s="24">
        <f t="shared" si="7"/>
        <v>0</v>
      </c>
      <c r="S3279" s="24"/>
      <c r="T3279" s="24"/>
    </row>
    <row r="3280">
      <c r="A3280" s="12" t="s">
        <v>3367</v>
      </c>
      <c r="F3280" s="19">
        <f>IFERROR(__xludf.DUMMYFUNCTION("SPLIT(A3276, "" |"")"),3274.0)</f>
        <v>3274</v>
      </c>
      <c r="G3280" s="19">
        <f>IFERROR(__xludf.DUMMYFUNCTION("""COMPUTED_VALUE"""),0.00232)</f>
        <v>0.00232</v>
      </c>
      <c r="H3280" s="19" t="str">
        <f>IFERROR(__xludf.DUMMYFUNCTION("""COMPUTED_VALUE"""),"-")</f>
        <v>-</v>
      </c>
      <c r="I3280" s="19">
        <f>IFERROR(__xludf.DUMMYFUNCTION("""COMPUTED_VALUE"""),0.00226)</f>
        <v>0.00226</v>
      </c>
      <c r="J3280" s="19">
        <f>IFERROR(__xludf.DUMMYFUNCTION("""COMPUTED_VALUE"""),0.04747)</f>
        <v>0.04747</v>
      </c>
      <c r="K3280" s="19" t="str">
        <f>IFERROR(__xludf.DUMMYFUNCTION("""COMPUTED_VALUE"""),"-")</f>
        <v>-</v>
      </c>
      <c r="L3280" s="19" t="str">
        <f>IFERROR(__xludf.DUMMYFUNCTION("""COMPUTED_VALUE"""),"-")</f>
        <v>-</v>
      </c>
      <c r="O3280" s="24">
        <f t="shared" si="4"/>
        <v>0</v>
      </c>
      <c r="P3280" s="24"/>
      <c r="Q3280" s="24">
        <f t="shared" si="6"/>
        <v>0</v>
      </c>
      <c r="R3280" s="24">
        <f t="shared" si="7"/>
        <v>0</v>
      </c>
      <c r="S3280" s="24"/>
      <c r="T3280" s="24"/>
    </row>
    <row r="3281">
      <c r="A3281" s="12" t="s">
        <v>3368</v>
      </c>
      <c r="F3281" s="19">
        <f>IFERROR(__xludf.DUMMYFUNCTION("SPLIT(A3277, "" |"")"),3275.0)</f>
        <v>3275</v>
      </c>
      <c r="G3281" s="19">
        <f>IFERROR(__xludf.DUMMYFUNCTION("""COMPUTED_VALUE"""),0.00249)</f>
        <v>0.00249</v>
      </c>
      <c r="H3281" s="19" t="str">
        <f>IFERROR(__xludf.DUMMYFUNCTION("""COMPUTED_VALUE"""),"-")</f>
        <v>-</v>
      </c>
      <c r="I3281" s="19">
        <f>IFERROR(__xludf.DUMMYFUNCTION("""COMPUTED_VALUE"""),0.00234)</f>
        <v>0.00234</v>
      </c>
      <c r="J3281" s="19">
        <f>IFERROR(__xludf.DUMMYFUNCTION("""COMPUTED_VALUE"""),0.04752)</f>
        <v>0.04752</v>
      </c>
      <c r="K3281" s="19" t="str">
        <f>IFERROR(__xludf.DUMMYFUNCTION("""COMPUTED_VALUE"""),"-")</f>
        <v>-</v>
      </c>
      <c r="L3281" s="19" t="str">
        <f>IFERROR(__xludf.DUMMYFUNCTION("""COMPUTED_VALUE"""),"-")</f>
        <v>-</v>
      </c>
      <c r="O3281" s="24">
        <f t="shared" si="4"/>
        <v>0</v>
      </c>
      <c r="P3281" s="24"/>
      <c r="Q3281" s="24">
        <f t="shared" si="6"/>
        <v>0</v>
      </c>
      <c r="R3281" s="24">
        <f t="shared" si="7"/>
        <v>0</v>
      </c>
      <c r="S3281" s="24"/>
      <c r="T3281" s="24"/>
    </row>
    <row r="3282">
      <c r="A3282" s="12" t="s">
        <v>3369</v>
      </c>
      <c r="F3282" s="19">
        <f>IFERROR(__xludf.DUMMYFUNCTION("SPLIT(A3278, "" |"")"),3276.0)</f>
        <v>3276</v>
      </c>
      <c r="G3282" s="19">
        <f>IFERROR(__xludf.DUMMYFUNCTION("""COMPUTED_VALUE"""),0.00252)</f>
        <v>0.00252</v>
      </c>
      <c r="H3282" s="19" t="str">
        <f>IFERROR(__xludf.DUMMYFUNCTION("""COMPUTED_VALUE"""),"-")</f>
        <v>-</v>
      </c>
      <c r="I3282" s="19">
        <f>IFERROR(__xludf.DUMMYFUNCTION("""COMPUTED_VALUE"""),0.00243)</f>
        <v>0.00243</v>
      </c>
      <c r="J3282" s="19">
        <f>IFERROR(__xludf.DUMMYFUNCTION("""COMPUTED_VALUE"""),0.04752)</f>
        <v>0.04752</v>
      </c>
      <c r="K3282" s="19" t="str">
        <f>IFERROR(__xludf.DUMMYFUNCTION("""COMPUTED_VALUE"""),"-")</f>
        <v>-</v>
      </c>
      <c r="L3282" s="19" t="str">
        <f>IFERROR(__xludf.DUMMYFUNCTION("""COMPUTED_VALUE"""),"-")</f>
        <v>-</v>
      </c>
      <c r="O3282" s="24">
        <f t="shared" si="4"/>
        <v>0</v>
      </c>
      <c r="P3282" s="24"/>
      <c r="Q3282" s="24">
        <f t="shared" si="6"/>
        <v>0</v>
      </c>
      <c r="R3282" s="24">
        <f t="shared" si="7"/>
        <v>0</v>
      </c>
      <c r="S3282" s="24"/>
      <c r="T3282" s="24"/>
    </row>
    <row r="3283">
      <c r="A3283" s="12" t="s">
        <v>3370</v>
      </c>
      <c r="F3283" s="19">
        <f>IFERROR(__xludf.DUMMYFUNCTION("SPLIT(A3279, "" |"")"),3277.0)</f>
        <v>3277</v>
      </c>
      <c r="G3283" s="19">
        <f>IFERROR(__xludf.DUMMYFUNCTION("""COMPUTED_VALUE"""),0.00242)</f>
        <v>0.00242</v>
      </c>
      <c r="H3283" s="19" t="str">
        <f>IFERROR(__xludf.DUMMYFUNCTION("""COMPUTED_VALUE"""),"-")</f>
        <v>-</v>
      </c>
      <c r="I3283" s="19">
        <f>IFERROR(__xludf.DUMMYFUNCTION("""COMPUTED_VALUE"""),0.00223)</f>
        <v>0.00223</v>
      </c>
      <c r="J3283" s="19">
        <f>IFERROR(__xludf.DUMMYFUNCTION("""COMPUTED_VALUE"""),0.0475)</f>
        <v>0.0475</v>
      </c>
      <c r="K3283" s="19" t="str">
        <f>IFERROR(__xludf.DUMMYFUNCTION("""COMPUTED_VALUE"""),"-")</f>
        <v>-</v>
      </c>
      <c r="L3283" s="19" t="str">
        <f>IFERROR(__xludf.DUMMYFUNCTION("""COMPUTED_VALUE"""),"-")</f>
        <v>-</v>
      </c>
      <c r="O3283" s="24">
        <f t="shared" si="4"/>
        <v>0</v>
      </c>
      <c r="P3283" s="24"/>
      <c r="Q3283" s="24">
        <f t="shared" si="6"/>
        <v>0</v>
      </c>
      <c r="R3283" s="24">
        <f t="shared" si="7"/>
        <v>0</v>
      </c>
      <c r="S3283" s="24"/>
      <c r="T3283" s="24"/>
    </row>
    <row r="3284">
      <c r="A3284" s="12" t="s">
        <v>3371</v>
      </c>
      <c r="F3284" s="19">
        <f>IFERROR(__xludf.DUMMYFUNCTION("SPLIT(A3280, "" |"")"),3278.0)</f>
        <v>3278</v>
      </c>
      <c r="G3284" s="19">
        <f>IFERROR(__xludf.DUMMYFUNCTION("""COMPUTED_VALUE"""),0.00235)</f>
        <v>0.00235</v>
      </c>
      <c r="H3284" s="19" t="str">
        <f>IFERROR(__xludf.DUMMYFUNCTION("""COMPUTED_VALUE"""),"-")</f>
        <v>-</v>
      </c>
      <c r="I3284" s="19">
        <f>IFERROR(__xludf.DUMMYFUNCTION("""COMPUTED_VALUE"""),0.00224)</f>
        <v>0.00224</v>
      </c>
      <c r="J3284" s="19">
        <f>IFERROR(__xludf.DUMMYFUNCTION("""COMPUTED_VALUE"""),0.04747)</f>
        <v>0.04747</v>
      </c>
      <c r="K3284" s="19" t="str">
        <f>IFERROR(__xludf.DUMMYFUNCTION("""COMPUTED_VALUE"""),"-")</f>
        <v>-</v>
      </c>
      <c r="L3284" s="19" t="str">
        <f>IFERROR(__xludf.DUMMYFUNCTION("""COMPUTED_VALUE"""),"-")</f>
        <v>-</v>
      </c>
      <c r="O3284" s="24">
        <f t="shared" si="4"/>
        <v>0</v>
      </c>
      <c r="P3284" s="24"/>
      <c r="Q3284" s="24">
        <f t="shared" si="6"/>
        <v>0</v>
      </c>
      <c r="R3284" s="24">
        <f t="shared" si="7"/>
        <v>0</v>
      </c>
      <c r="S3284" s="24"/>
      <c r="T3284" s="24"/>
    </row>
    <row r="3285">
      <c r="A3285" s="12" t="s">
        <v>3372</v>
      </c>
      <c r="F3285" s="19">
        <f>IFERROR(__xludf.DUMMYFUNCTION("SPLIT(A3281, "" |"")"),3279.0)</f>
        <v>3279</v>
      </c>
      <c r="G3285" s="19">
        <f>IFERROR(__xludf.DUMMYFUNCTION("""COMPUTED_VALUE"""),0.00251)</f>
        <v>0.00251</v>
      </c>
      <c r="H3285" s="19" t="str">
        <f>IFERROR(__xludf.DUMMYFUNCTION("""COMPUTED_VALUE"""),"-")</f>
        <v>-</v>
      </c>
      <c r="I3285" s="19">
        <f>IFERROR(__xludf.DUMMYFUNCTION("""COMPUTED_VALUE"""),0.00229)</f>
        <v>0.00229</v>
      </c>
      <c r="J3285" s="19">
        <f>IFERROR(__xludf.DUMMYFUNCTION("""COMPUTED_VALUE"""),0.04753)</f>
        <v>0.04753</v>
      </c>
      <c r="K3285" s="19" t="str">
        <f>IFERROR(__xludf.DUMMYFUNCTION("""COMPUTED_VALUE"""),"-")</f>
        <v>-</v>
      </c>
      <c r="L3285" s="19" t="str">
        <f>IFERROR(__xludf.DUMMYFUNCTION("""COMPUTED_VALUE"""),"-")</f>
        <v>-</v>
      </c>
      <c r="O3285" s="24">
        <f t="shared" si="4"/>
        <v>0</v>
      </c>
      <c r="P3285" s="24"/>
      <c r="Q3285" s="24">
        <f t="shared" si="6"/>
        <v>0</v>
      </c>
      <c r="R3285" s="24">
        <f t="shared" si="7"/>
        <v>0</v>
      </c>
      <c r="S3285" s="24"/>
      <c r="T3285" s="24"/>
    </row>
    <row r="3286">
      <c r="A3286" s="12" t="s">
        <v>3373</v>
      </c>
      <c r="F3286" s="19">
        <f>IFERROR(__xludf.DUMMYFUNCTION("SPLIT(A3282, "" |"")"),3280.0)</f>
        <v>3280</v>
      </c>
      <c r="G3286" s="19">
        <f>IFERROR(__xludf.DUMMYFUNCTION("""COMPUTED_VALUE"""),0.00238)</f>
        <v>0.00238</v>
      </c>
      <c r="H3286" s="19" t="str">
        <f>IFERROR(__xludf.DUMMYFUNCTION("""COMPUTED_VALUE"""),"-")</f>
        <v>-</v>
      </c>
      <c r="I3286" s="19">
        <f>IFERROR(__xludf.DUMMYFUNCTION("""COMPUTED_VALUE"""),0.00222)</f>
        <v>0.00222</v>
      </c>
      <c r="J3286" s="19">
        <f>IFERROR(__xludf.DUMMYFUNCTION("""COMPUTED_VALUE"""),0.04586)</f>
        <v>0.04586</v>
      </c>
      <c r="K3286" s="19" t="str">
        <f>IFERROR(__xludf.DUMMYFUNCTION("""COMPUTED_VALUE"""),"-")</f>
        <v>-</v>
      </c>
      <c r="L3286" s="19" t="str">
        <f>IFERROR(__xludf.DUMMYFUNCTION("""COMPUTED_VALUE"""),"-")</f>
        <v>-</v>
      </c>
      <c r="O3286" s="24">
        <f t="shared" si="4"/>
        <v>0</v>
      </c>
      <c r="P3286" s="24"/>
      <c r="Q3286" s="24">
        <f t="shared" si="6"/>
        <v>0</v>
      </c>
      <c r="R3286" s="24">
        <f t="shared" si="7"/>
        <v>0</v>
      </c>
      <c r="S3286" s="24"/>
      <c r="T3286" s="24"/>
    </row>
    <row r="3287">
      <c r="A3287" s="12" t="s">
        <v>3374</v>
      </c>
      <c r="F3287" s="19">
        <f>IFERROR(__xludf.DUMMYFUNCTION("SPLIT(A3283, "" |"")"),3281.0)</f>
        <v>3281</v>
      </c>
      <c r="G3287" s="19">
        <f>IFERROR(__xludf.DUMMYFUNCTION("""COMPUTED_VALUE"""),0.00222)</f>
        <v>0.00222</v>
      </c>
      <c r="H3287" s="19" t="str">
        <f>IFERROR(__xludf.DUMMYFUNCTION("""COMPUTED_VALUE"""),"-")</f>
        <v>-</v>
      </c>
      <c r="I3287" s="19">
        <f>IFERROR(__xludf.DUMMYFUNCTION("""COMPUTED_VALUE"""),0.0021)</f>
        <v>0.0021</v>
      </c>
      <c r="J3287" s="19">
        <f>IFERROR(__xludf.DUMMYFUNCTION("""COMPUTED_VALUE"""),0.04733)</f>
        <v>0.04733</v>
      </c>
      <c r="K3287" s="19" t="str">
        <f>IFERROR(__xludf.DUMMYFUNCTION("""COMPUTED_VALUE"""),"-")</f>
        <v>-</v>
      </c>
      <c r="L3287" s="19" t="str">
        <f>IFERROR(__xludf.DUMMYFUNCTION("""COMPUTED_VALUE"""),"-")</f>
        <v>-</v>
      </c>
      <c r="O3287" s="24">
        <f t="shared" si="4"/>
        <v>0</v>
      </c>
      <c r="P3287" s="24"/>
      <c r="Q3287" s="24">
        <f t="shared" si="6"/>
        <v>0</v>
      </c>
      <c r="R3287" s="24">
        <f t="shared" si="7"/>
        <v>0</v>
      </c>
      <c r="S3287" s="24"/>
      <c r="T3287" s="24"/>
    </row>
    <row r="3288">
      <c r="A3288" s="12" t="s">
        <v>3375</v>
      </c>
      <c r="F3288" s="19">
        <f>IFERROR(__xludf.DUMMYFUNCTION("SPLIT(A3284, "" |"")"),3282.0)</f>
        <v>3282</v>
      </c>
      <c r="G3288" s="19">
        <f>IFERROR(__xludf.DUMMYFUNCTION("""COMPUTED_VALUE"""),0.00224)</f>
        <v>0.00224</v>
      </c>
      <c r="H3288" s="19" t="str">
        <f>IFERROR(__xludf.DUMMYFUNCTION("""COMPUTED_VALUE"""),"-")</f>
        <v>-</v>
      </c>
      <c r="I3288" s="19">
        <f>IFERROR(__xludf.DUMMYFUNCTION("""COMPUTED_VALUE"""),0.00211)</f>
        <v>0.00211</v>
      </c>
      <c r="J3288" s="19">
        <f>IFERROR(__xludf.DUMMYFUNCTION("""COMPUTED_VALUE"""),0.04258)</f>
        <v>0.04258</v>
      </c>
      <c r="K3288" s="19" t="str">
        <f>IFERROR(__xludf.DUMMYFUNCTION("""COMPUTED_VALUE"""),"-")</f>
        <v>-</v>
      </c>
      <c r="L3288" s="19" t="str">
        <f>IFERROR(__xludf.DUMMYFUNCTION("""COMPUTED_VALUE"""),"-")</f>
        <v>-</v>
      </c>
      <c r="O3288" s="24">
        <f t="shared" si="4"/>
        <v>0</v>
      </c>
      <c r="P3288" s="24"/>
      <c r="Q3288" s="24">
        <f t="shared" si="6"/>
        <v>0</v>
      </c>
      <c r="R3288" s="24">
        <f t="shared" si="7"/>
        <v>1</v>
      </c>
      <c r="S3288" s="24"/>
      <c r="T3288" s="24"/>
    </row>
    <row r="3289">
      <c r="A3289" s="12" t="s">
        <v>3376</v>
      </c>
      <c r="F3289" s="19">
        <f>IFERROR(__xludf.DUMMYFUNCTION("SPLIT(A3285, "" |"")"),3283.0)</f>
        <v>3283</v>
      </c>
      <c r="G3289" s="19">
        <f>IFERROR(__xludf.DUMMYFUNCTION("""COMPUTED_VALUE"""),0.00227)</f>
        <v>0.00227</v>
      </c>
      <c r="H3289" s="19" t="str">
        <f>IFERROR(__xludf.DUMMYFUNCTION("""COMPUTED_VALUE"""),"-")</f>
        <v>-</v>
      </c>
      <c r="I3289" s="19">
        <f>IFERROR(__xludf.DUMMYFUNCTION("""COMPUTED_VALUE"""),0.00224)</f>
        <v>0.00224</v>
      </c>
      <c r="J3289" s="19">
        <f>IFERROR(__xludf.DUMMYFUNCTION("""COMPUTED_VALUE"""),0.04539)</f>
        <v>0.04539</v>
      </c>
      <c r="K3289" s="19" t="str">
        <f>IFERROR(__xludf.DUMMYFUNCTION("""COMPUTED_VALUE"""),"-")</f>
        <v>-</v>
      </c>
      <c r="L3289" s="19" t="str">
        <f>IFERROR(__xludf.DUMMYFUNCTION("""COMPUTED_VALUE"""),"-")</f>
        <v>-</v>
      </c>
      <c r="O3289" s="24">
        <f t="shared" si="4"/>
        <v>0</v>
      </c>
      <c r="P3289" s="24"/>
      <c r="Q3289" s="24">
        <f t="shared" si="6"/>
        <v>0</v>
      </c>
      <c r="R3289" s="24">
        <f t="shared" si="7"/>
        <v>0</v>
      </c>
      <c r="S3289" s="24"/>
      <c r="T3289" s="24"/>
    </row>
    <row r="3290">
      <c r="A3290" s="12" t="s">
        <v>3377</v>
      </c>
      <c r="F3290" s="19">
        <f>IFERROR(__xludf.DUMMYFUNCTION("SPLIT(A3286, "" |"")"),3284.0)</f>
        <v>3284</v>
      </c>
      <c r="G3290" s="19">
        <f>IFERROR(__xludf.DUMMYFUNCTION("""COMPUTED_VALUE"""),0.00241)</f>
        <v>0.00241</v>
      </c>
      <c r="H3290" s="19" t="str">
        <f>IFERROR(__xludf.DUMMYFUNCTION("""COMPUTED_VALUE"""),"-")</f>
        <v>-</v>
      </c>
      <c r="I3290" s="19">
        <f>IFERROR(__xludf.DUMMYFUNCTION("""COMPUTED_VALUE"""),0.0023)</f>
        <v>0.0023</v>
      </c>
      <c r="J3290" s="19">
        <f>IFERROR(__xludf.DUMMYFUNCTION("""COMPUTED_VALUE"""),0.04747)</f>
        <v>0.04747</v>
      </c>
      <c r="K3290" s="19" t="str">
        <f>IFERROR(__xludf.DUMMYFUNCTION("""COMPUTED_VALUE"""),"-")</f>
        <v>-</v>
      </c>
      <c r="L3290" s="19" t="str">
        <f>IFERROR(__xludf.DUMMYFUNCTION("""COMPUTED_VALUE"""),"-")</f>
        <v>-</v>
      </c>
      <c r="O3290" s="24">
        <f t="shared" si="4"/>
        <v>0</v>
      </c>
      <c r="P3290" s="24"/>
      <c r="Q3290" s="24">
        <f t="shared" si="6"/>
        <v>0</v>
      </c>
      <c r="R3290" s="24">
        <f t="shared" si="7"/>
        <v>0</v>
      </c>
      <c r="S3290" s="24"/>
      <c r="T3290" s="24"/>
    </row>
    <row r="3291">
      <c r="A3291" s="12" t="s">
        <v>3378</v>
      </c>
      <c r="F3291" s="19">
        <f>IFERROR(__xludf.DUMMYFUNCTION("SPLIT(A3287, "" |"")"),3285.0)</f>
        <v>3285</v>
      </c>
      <c r="G3291" s="19">
        <f>IFERROR(__xludf.DUMMYFUNCTION("""COMPUTED_VALUE"""),0.00239)</f>
        <v>0.00239</v>
      </c>
      <c r="H3291" s="19" t="str">
        <f>IFERROR(__xludf.DUMMYFUNCTION("""COMPUTED_VALUE"""),"-")</f>
        <v>-</v>
      </c>
      <c r="I3291" s="19">
        <f>IFERROR(__xludf.DUMMYFUNCTION("""COMPUTED_VALUE"""),0.00225)</f>
        <v>0.00225</v>
      </c>
      <c r="J3291" s="19">
        <f>IFERROR(__xludf.DUMMYFUNCTION("""COMPUTED_VALUE"""),0.04746)</f>
        <v>0.04746</v>
      </c>
      <c r="K3291" s="19" t="str">
        <f>IFERROR(__xludf.DUMMYFUNCTION("""COMPUTED_VALUE"""),"-")</f>
        <v>-</v>
      </c>
      <c r="L3291" s="19" t="str">
        <f>IFERROR(__xludf.DUMMYFUNCTION("""COMPUTED_VALUE"""),"-")</f>
        <v>-</v>
      </c>
      <c r="O3291" s="24">
        <f t="shared" si="4"/>
        <v>0</v>
      </c>
      <c r="P3291" s="24"/>
      <c r="Q3291" s="24">
        <f t="shared" si="6"/>
        <v>0</v>
      </c>
      <c r="R3291" s="24">
        <f t="shared" si="7"/>
        <v>0</v>
      </c>
      <c r="S3291" s="24"/>
      <c r="T3291" s="24"/>
    </row>
    <row r="3292">
      <c r="A3292" s="12" t="s">
        <v>3379</v>
      </c>
      <c r="F3292" s="19">
        <f>IFERROR(__xludf.DUMMYFUNCTION("SPLIT(A3288, "" |"")"),3286.0)</f>
        <v>3286</v>
      </c>
      <c r="G3292" s="19">
        <f>IFERROR(__xludf.DUMMYFUNCTION("""COMPUTED_VALUE"""),0.0024)</f>
        <v>0.0024</v>
      </c>
      <c r="H3292" s="19" t="str">
        <f>IFERROR(__xludf.DUMMYFUNCTION("""COMPUTED_VALUE"""),"-")</f>
        <v>-</v>
      </c>
      <c r="I3292" s="19">
        <f>IFERROR(__xludf.DUMMYFUNCTION("""COMPUTED_VALUE"""),0.00216)</f>
        <v>0.00216</v>
      </c>
      <c r="J3292" s="19">
        <f>IFERROR(__xludf.DUMMYFUNCTION("""COMPUTED_VALUE"""),0.04746)</f>
        <v>0.04746</v>
      </c>
      <c r="K3292" s="19" t="str">
        <f>IFERROR(__xludf.DUMMYFUNCTION("""COMPUTED_VALUE"""),"-")</f>
        <v>-</v>
      </c>
      <c r="L3292" s="19" t="str">
        <f>IFERROR(__xludf.DUMMYFUNCTION("""COMPUTED_VALUE"""),"-")</f>
        <v>-</v>
      </c>
      <c r="O3292" s="24">
        <f t="shared" si="4"/>
        <v>0</v>
      </c>
      <c r="P3292" s="24"/>
      <c r="Q3292" s="24">
        <f t="shared" si="6"/>
        <v>0</v>
      </c>
      <c r="R3292" s="24">
        <f t="shared" si="7"/>
        <v>0</v>
      </c>
      <c r="S3292" s="24"/>
      <c r="T3292" s="24"/>
    </row>
    <row r="3293">
      <c r="A3293" s="12" t="s">
        <v>3380</v>
      </c>
      <c r="F3293" s="19">
        <f>IFERROR(__xludf.DUMMYFUNCTION("SPLIT(A3289, "" |"")"),3287.0)</f>
        <v>3287</v>
      </c>
      <c r="G3293" s="19">
        <f>IFERROR(__xludf.DUMMYFUNCTION("""COMPUTED_VALUE"""),0.0024)</f>
        <v>0.0024</v>
      </c>
      <c r="H3293" s="19" t="str">
        <f>IFERROR(__xludf.DUMMYFUNCTION("""COMPUTED_VALUE"""),"-")</f>
        <v>-</v>
      </c>
      <c r="I3293" s="19">
        <f>IFERROR(__xludf.DUMMYFUNCTION("""COMPUTED_VALUE"""),0.00221)</f>
        <v>0.00221</v>
      </c>
      <c r="J3293" s="19">
        <f>IFERROR(__xludf.DUMMYFUNCTION("""COMPUTED_VALUE"""),0.04743)</f>
        <v>0.04743</v>
      </c>
      <c r="K3293" s="19" t="str">
        <f>IFERROR(__xludf.DUMMYFUNCTION("""COMPUTED_VALUE"""),"-")</f>
        <v>-</v>
      </c>
      <c r="L3293" s="19" t="str">
        <f>IFERROR(__xludf.DUMMYFUNCTION("""COMPUTED_VALUE"""),"-")</f>
        <v>-</v>
      </c>
      <c r="O3293" s="24">
        <f t="shared" si="4"/>
        <v>0</v>
      </c>
      <c r="P3293" s="24"/>
      <c r="Q3293" s="24">
        <f t="shared" si="6"/>
        <v>0</v>
      </c>
      <c r="R3293" s="24">
        <f t="shared" si="7"/>
        <v>0</v>
      </c>
      <c r="S3293" s="24"/>
      <c r="T3293" s="24"/>
    </row>
    <row r="3294">
      <c r="A3294" s="12" t="s">
        <v>3381</v>
      </c>
      <c r="F3294" s="19">
        <f>IFERROR(__xludf.DUMMYFUNCTION("SPLIT(A3290, "" |"")"),3288.0)</f>
        <v>3288</v>
      </c>
      <c r="G3294" s="19">
        <f>IFERROR(__xludf.DUMMYFUNCTION("""COMPUTED_VALUE"""),0.00238)</f>
        <v>0.00238</v>
      </c>
      <c r="H3294" s="19" t="str">
        <f>IFERROR(__xludf.DUMMYFUNCTION("""COMPUTED_VALUE"""),"-")</f>
        <v>-</v>
      </c>
      <c r="I3294" s="19">
        <f>IFERROR(__xludf.DUMMYFUNCTION("""COMPUTED_VALUE"""),0.00221)</f>
        <v>0.00221</v>
      </c>
      <c r="J3294" s="19">
        <f>IFERROR(__xludf.DUMMYFUNCTION("""COMPUTED_VALUE"""),0.04736)</f>
        <v>0.04736</v>
      </c>
      <c r="K3294" s="19" t="str">
        <f>IFERROR(__xludf.DUMMYFUNCTION("""COMPUTED_VALUE"""),"-")</f>
        <v>-</v>
      </c>
      <c r="L3294" s="19" t="str">
        <f>IFERROR(__xludf.DUMMYFUNCTION("""COMPUTED_VALUE"""),"-")</f>
        <v>-</v>
      </c>
      <c r="O3294" s="24">
        <f t="shared" si="4"/>
        <v>0</v>
      </c>
      <c r="P3294" s="24"/>
      <c r="Q3294" s="24">
        <f t="shared" si="6"/>
        <v>0</v>
      </c>
      <c r="R3294" s="24">
        <f t="shared" si="7"/>
        <v>0</v>
      </c>
      <c r="S3294" s="24"/>
      <c r="T3294" s="24"/>
    </row>
    <row r="3295">
      <c r="A3295" s="12" t="s">
        <v>3382</v>
      </c>
      <c r="F3295" s="19">
        <f>IFERROR(__xludf.DUMMYFUNCTION("SPLIT(A3291, "" |"")"),3289.0)</f>
        <v>3289</v>
      </c>
      <c r="G3295" s="19">
        <f>IFERROR(__xludf.DUMMYFUNCTION("""COMPUTED_VALUE"""),0.00235)</f>
        <v>0.00235</v>
      </c>
      <c r="H3295" s="19" t="str">
        <f>IFERROR(__xludf.DUMMYFUNCTION("""COMPUTED_VALUE"""),"-")</f>
        <v>-</v>
      </c>
      <c r="I3295" s="19">
        <f>IFERROR(__xludf.DUMMYFUNCTION("""COMPUTED_VALUE"""),0.00225)</f>
        <v>0.00225</v>
      </c>
      <c r="J3295" s="19">
        <f>IFERROR(__xludf.DUMMYFUNCTION("""COMPUTED_VALUE"""),0.04746)</f>
        <v>0.04746</v>
      </c>
      <c r="K3295" s="19" t="str">
        <f>IFERROR(__xludf.DUMMYFUNCTION("""COMPUTED_VALUE"""),"-")</f>
        <v>-</v>
      </c>
      <c r="L3295" s="19" t="str">
        <f>IFERROR(__xludf.DUMMYFUNCTION("""COMPUTED_VALUE"""),"-")</f>
        <v>-</v>
      </c>
      <c r="O3295" s="24">
        <f t="shared" si="4"/>
        <v>0</v>
      </c>
      <c r="P3295" s="24"/>
      <c r="Q3295" s="24">
        <f t="shared" si="6"/>
        <v>0</v>
      </c>
      <c r="R3295" s="24">
        <f t="shared" si="7"/>
        <v>0</v>
      </c>
      <c r="S3295" s="24"/>
      <c r="T3295" s="24"/>
    </row>
    <row r="3296">
      <c r="A3296" s="12" t="s">
        <v>3383</v>
      </c>
      <c r="F3296" s="19">
        <f>IFERROR(__xludf.DUMMYFUNCTION("SPLIT(A3292, "" |"")"),3290.0)</f>
        <v>3290</v>
      </c>
      <c r="G3296" s="19">
        <f>IFERROR(__xludf.DUMMYFUNCTION("""COMPUTED_VALUE"""),0.00235)</f>
        <v>0.00235</v>
      </c>
      <c r="H3296" s="19" t="str">
        <f>IFERROR(__xludf.DUMMYFUNCTION("""COMPUTED_VALUE"""),"-")</f>
        <v>-</v>
      </c>
      <c r="I3296" s="19">
        <f>IFERROR(__xludf.DUMMYFUNCTION("""COMPUTED_VALUE"""),0.00216)</f>
        <v>0.00216</v>
      </c>
      <c r="J3296" s="19">
        <f>IFERROR(__xludf.DUMMYFUNCTION("""COMPUTED_VALUE"""),0.04749)</f>
        <v>0.04749</v>
      </c>
      <c r="K3296" s="19" t="str">
        <f>IFERROR(__xludf.DUMMYFUNCTION("""COMPUTED_VALUE"""),"-")</f>
        <v>-</v>
      </c>
      <c r="L3296" s="19" t="str">
        <f>IFERROR(__xludf.DUMMYFUNCTION("""COMPUTED_VALUE"""),"-")</f>
        <v>-</v>
      </c>
      <c r="O3296" s="24">
        <f t="shared" si="4"/>
        <v>0</v>
      </c>
      <c r="P3296" s="24"/>
      <c r="Q3296" s="24">
        <f t="shared" si="6"/>
        <v>0</v>
      </c>
      <c r="R3296" s="24">
        <f t="shared" si="7"/>
        <v>0</v>
      </c>
      <c r="S3296" s="24"/>
      <c r="T3296" s="24"/>
    </row>
    <row r="3297">
      <c r="A3297" s="12" t="s">
        <v>3384</v>
      </c>
      <c r="F3297" s="19">
        <f>IFERROR(__xludf.DUMMYFUNCTION("SPLIT(A3293, "" |"")"),3291.0)</f>
        <v>3291</v>
      </c>
      <c r="G3297" s="19">
        <f>IFERROR(__xludf.DUMMYFUNCTION("""COMPUTED_VALUE"""),0.00243)</f>
        <v>0.00243</v>
      </c>
      <c r="H3297" s="19" t="str">
        <f>IFERROR(__xludf.DUMMYFUNCTION("""COMPUTED_VALUE"""),"-")</f>
        <v>-</v>
      </c>
      <c r="I3297" s="19">
        <f>IFERROR(__xludf.DUMMYFUNCTION("""COMPUTED_VALUE"""),0.00221)</f>
        <v>0.00221</v>
      </c>
      <c r="J3297" s="19">
        <f>IFERROR(__xludf.DUMMYFUNCTION("""COMPUTED_VALUE"""),0.04743)</f>
        <v>0.04743</v>
      </c>
      <c r="K3297" s="19" t="str">
        <f>IFERROR(__xludf.DUMMYFUNCTION("""COMPUTED_VALUE"""),"-")</f>
        <v>-</v>
      </c>
      <c r="L3297" s="19" t="str">
        <f>IFERROR(__xludf.DUMMYFUNCTION("""COMPUTED_VALUE"""),"-")</f>
        <v>-</v>
      </c>
      <c r="O3297" s="24">
        <f t="shared" si="4"/>
        <v>0</v>
      </c>
      <c r="P3297" s="24"/>
      <c r="Q3297" s="24">
        <f t="shared" si="6"/>
        <v>0</v>
      </c>
      <c r="R3297" s="24">
        <f t="shared" si="7"/>
        <v>0</v>
      </c>
      <c r="S3297" s="24"/>
      <c r="T3297" s="24"/>
    </row>
    <row r="3298">
      <c r="A3298" s="12" t="s">
        <v>3385</v>
      </c>
      <c r="F3298" s="19">
        <f>IFERROR(__xludf.DUMMYFUNCTION("SPLIT(A3294, "" |"")"),3292.0)</f>
        <v>3292</v>
      </c>
      <c r="G3298" s="19">
        <f>IFERROR(__xludf.DUMMYFUNCTION("""COMPUTED_VALUE"""),0.00237)</f>
        <v>0.00237</v>
      </c>
      <c r="H3298" s="19" t="str">
        <f>IFERROR(__xludf.DUMMYFUNCTION("""COMPUTED_VALUE"""),"-")</f>
        <v>-</v>
      </c>
      <c r="I3298" s="19">
        <f>IFERROR(__xludf.DUMMYFUNCTION("""COMPUTED_VALUE"""),0.00219)</f>
        <v>0.00219</v>
      </c>
      <c r="J3298" s="19">
        <f>IFERROR(__xludf.DUMMYFUNCTION("""COMPUTED_VALUE"""),0.04746)</f>
        <v>0.04746</v>
      </c>
      <c r="K3298" s="19" t="str">
        <f>IFERROR(__xludf.DUMMYFUNCTION("""COMPUTED_VALUE"""),"-")</f>
        <v>-</v>
      </c>
      <c r="L3298" s="19" t="str">
        <f>IFERROR(__xludf.DUMMYFUNCTION("""COMPUTED_VALUE"""),"-")</f>
        <v>-</v>
      </c>
      <c r="O3298" s="24">
        <f t="shared" si="4"/>
        <v>0</v>
      </c>
      <c r="P3298" s="24"/>
      <c r="Q3298" s="24">
        <f t="shared" si="6"/>
        <v>0</v>
      </c>
      <c r="R3298" s="24">
        <f t="shared" si="7"/>
        <v>0</v>
      </c>
      <c r="S3298" s="24"/>
      <c r="T3298" s="24"/>
    </row>
    <row r="3299">
      <c r="A3299" s="12" t="s">
        <v>3386</v>
      </c>
      <c r="F3299" s="19">
        <f>IFERROR(__xludf.DUMMYFUNCTION("SPLIT(A3295, "" |"")"),3293.0)</f>
        <v>3293</v>
      </c>
      <c r="G3299" s="19">
        <f>IFERROR(__xludf.DUMMYFUNCTION("""COMPUTED_VALUE"""),0.00231)</f>
        <v>0.00231</v>
      </c>
      <c r="H3299" s="19" t="str">
        <f>IFERROR(__xludf.DUMMYFUNCTION("""COMPUTED_VALUE"""),"-")</f>
        <v>-</v>
      </c>
      <c r="I3299" s="19">
        <f>IFERROR(__xludf.DUMMYFUNCTION("""COMPUTED_VALUE"""),0.0022)</f>
        <v>0.0022</v>
      </c>
      <c r="J3299" s="19">
        <f>IFERROR(__xludf.DUMMYFUNCTION("""COMPUTED_VALUE"""),0.04741)</f>
        <v>0.04741</v>
      </c>
      <c r="K3299" s="19" t="str">
        <f>IFERROR(__xludf.DUMMYFUNCTION("""COMPUTED_VALUE"""),"-")</f>
        <v>-</v>
      </c>
      <c r="L3299" s="19" t="str">
        <f>IFERROR(__xludf.DUMMYFUNCTION("""COMPUTED_VALUE"""),"-")</f>
        <v>-</v>
      </c>
      <c r="O3299" s="24">
        <f t="shared" si="4"/>
        <v>0</v>
      </c>
      <c r="P3299" s="24"/>
      <c r="Q3299" s="24">
        <f t="shared" si="6"/>
        <v>0</v>
      </c>
      <c r="R3299" s="24">
        <f t="shared" si="7"/>
        <v>0</v>
      </c>
      <c r="S3299" s="24"/>
      <c r="T3299" s="24"/>
    </row>
    <row r="3300">
      <c r="A3300" s="12" t="s">
        <v>3387</v>
      </c>
      <c r="F3300" s="19">
        <f>IFERROR(__xludf.DUMMYFUNCTION("SPLIT(A3296, "" |"")"),3294.0)</f>
        <v>3294</v>
      </c>
      <c r="G3300" s="19">
        <f>IFERROR(__xludf.DUMMYFUNCTION("""COMPUTED_VALUE"""),0.00231)</f>
        <v>0.00231</v>
      </c>
      <c r="H3300" s="19" t="str">
        <f>IFERROR(__xludf.DUMMYFUNCTION("""COMPUTED_VALUE"""),"-")</f>
        <v>-</v>
      </c>
      <c r="I3300" s="19">
        <f>IFERROR(__xludf.DUMMYFUNCTION("""COMPUTED_VALUE"""),0.00223)</f>
        <v>0.00223</v>
      </c>
      <c r="J3300" s="19">
        <f>IFERROR(__xludf.DUMMYFUNCTION("""COMPUTED_VALUE"""),0.045)</f>
        <v>0.045</v>
      </c>
      <c r="K3300" s="19" t="str">
        <f>IFERROR(__xludf.DUMMYFUNCTION("""COMPUTED_VALUE"""),"-")</f>
        <v>-</v>
      </c>
      <c r="L3300" s="19" t="str">
        <f>IFERROR(__xludf.DUMMYFUNCTION("""COMPUTED_VALUE"""),"-")</f>
        <v>-</v>
      </c>
      <c r="O3300" s="24">
        <f t="shared" si="4"/>
        <v>0</v>
      </c>
      <c r="P3300" s="24"/>
      <c r="Q3300" s="24">
        <f t="shared" si="6"/>
        <v>0</v>
      </c>
      <c r="R3300" s="24">
        <f t="shared" si="7"/>
        <v>0</v>
      </c>
      <c r="S3300" s="24"/>
      <c r="T3300" s="24"/>
    </row>
    <row r="3301">
      <c r="A3301" s="12" t="s">
        <v>3388</v>
      </c>
      <c r="F3301" s="19">
        <f>IFERROR(__xludf.DUMMYFUNCTION("SPLIT(A3297, "" |"")"),3295.0)</f>
        <v>3295</v>
      </c>
      <c r="G3301" s="19">
        <f>IFERROR(__xludf.DUMMYFUNCTION("""COMPUTED_VALUE"""),0.00236)</f>
        <v>0.00236</v>
      </c>
      <c r="H3301" s="19" t="str">
        <f>IFERROR(__xludf.DUMMYFUNCTION("""COMPUTED_VALUE"""),"-")</f>
        <v>-</v>
      </c>
      <c r="I3301" s="19">
        <f>IFERROR(__xludf.DUMMYFUNCTION("""COMPUTED_VALUE"""),0.0022)</f>
        <v>0.0022</v>
      </c>
      <c r="J3301" s="19">
        <f>IFERROR(__xludf.DUMMYFUNCTION("""COMPUTED_VALUE"""),0.04742)</f>
        <v>0.04742</v>
      </c>
      <c r="K3301" s="19" t="str">
        <f>IFERROR(__xludf.DUMMYFUNCTION("""COMPUTED_VALUE"""),"-")</f>
        <v>-</v>
      </c>
      <c r="L3301" s="19" t="str">
        <f>IFERROR(__xludf.DUMMYFUNCTION("""COMPUTED_VALUE"""),"-")</f>
        <v>-</v>
      </c>
      <c r="O3301" s="24">
        <f t="shared" si="4"/>
        <v>0</v>
      </c>
      <c r="P3301" s="24"/>
      <c r="Q3301" s="24">
        <f t="shared" si="6"/>
        <v>0</v>
      </c>
      <c r="R3301" s="24">
        <f t="shared" si="7"/>
        <v>0</v>
      </c>
      <c r="S3301" s="24"/>
      <c r="T3301" s="24"/>
    </row>
    <row r="3302">
      <c r="A3302" s="12" t="s">
        <v>3389</v>
      </c>
      <c r="F3302" s="19">
        <f>IFERROR(__xludf.DUMMYFUNCTION("SPLIT(A3298, "" |"")"),3296.0)</f>
        <v>3296</v>
      </c>
      <c r="G3302" s="19">
        <f>IFERROR(__xludf.DUMMYFUNCTION("""COMPUTED_VALUE"""),0.00235)</f>
        <v>0.00235</v>
      </c>
      <c r="H3302" s="19" t="str">
        <f>IFERROR(__xludf.DUMMYFUNCTION("""COMPUTED_VALUE"""),"-")</f>
        <v>-</v>
      </c>
      <c r="I3302" s="19">
        <f>IFERROR(__xludf.DUMMYFUNCTION("""COMPUTED_VALUE"""),0.00221)</f>
        <v>0.00221</v>
      </c>
      <c r="J3302" s="19">
        <f>IFERROR(__xludf.DUMMYFUNCTION("""COMPUTED_VALUE"""),0.0474)</f>
        <v>0.0474</v>
      </c>
      <c r="K3302" s="19" t="str">
        <f>IFERROR(__xludf.DUMMYFUNCTION("""COMPUTED_VALUE"""),"-")</f>
        <v>-</v>
      </c>
      <c r="L3302" s="19" t="str">
        <f>IFERROR(__xludf.DUMMYFUNCTION("""COMPUTED_VALUE"""),"-")</f>
        <v>-</v>
      </c>
      <c r="O3302" s="24">
        <f t="shared" si="4"/>
        <v>0</v>
      </c>
      <c r="P3302" s="24"/>
      <c r="Q3302" s="24">
        <f t="shared" si="6"/>
        <v>0</v>
      </c>
      <c r="R3302" s="24">
        <f t="shared" si="7"/>
        <v>0</v>
      </c>
      <c r="S3302" s="24"/>
      <c r="T3302" s="24"/>
    </row>
    <row r="3303">
      <c r="A3303" s="12" t="s">
        <v>3390</v>
      </c>
      <c r="F3303" s="19">
        <f>IFERROR(__xludf.DUMMYFUNCTION("SPLIT(A3299, "" |"")"),3297.0)</f>
        <v>3297</v>
      </c>
      <c r="G3303" s="19">
        <f>IFERROR(__xludf.DUMMYFUNCTION("""COMPUTED_VALUE"""),0.00234)</f>
        <v>0.00234</v>
      </c>
      <c r="H3303" s="19" t="str">
        <f>IFERROR(__xludf.DUMMYFUNCTION("""COMPUTED_VALUE"""),"-")</f>
        <v>-</v>
      </c>
      <c r="I3303" s="19">
        <f>IFERROR(__xludf.DUMMYFUNCTION("""COMPUTED_VALUE"""),0.00224)</f>
        <v>0.00224</v>
      </c>
      <c r="J3303" s="19">
        <f>IFERROR(__xludf.DUMMYFUNCTION("""COMPUTED_VALUE"""),0.04744)</f>
        <v>0.04744</v>
      </c>
      <c r="K3303" s="19" t="str">
        <f>IFERROR(__xludf.DUMMYFUNCTION("""COMPUTED_VALUE"""),"-")</f>
        <v>-</v>
      </c>
      <c r="L3303" s="19" t="str">
        <f>IFERROR(__xludf.DUMMYFUNCTION("""COMPUTED_VALUE"""),"-")</f>
        <v>-</v>
      </c>
      <c r="O3303" s="24">
        <f t="shared" si="4"/>
        <v>0</v>
      </c>
      <c r="P3303" s="24"/>
      <c r="Q3303" s="24">
        <f t="shared" si="6"/>
        <v>0</v>
      </c>
      <c r="R3303" s="24">
        <f t="shared" si="7"/>
        <v>0</v>
      </c>
      <c r="S3303" s="24"/>
      <c r="T3303" s="24"/>
    </row>
    <row r="3304">
      <c r="A3304" s="12" t="s">
        <v>3391</v>
      </c>
      <c r="F3304" s="19">
        <f>IFERROR(__xludf.DUMMYFUNCTION("SPLIT(A3300, "" |"")"),3298.0)</f>
        <v>3298</v>
      </c>
      <c r="G3304" s="19">
        <f>IFERROR(__xludf.DUMMYFUNCTION("""COMPUTED_VALUE"""),0.0024)</f>
        <v>0.0024</v>
      </c>
      <c r="H3304" s="19" t="str">
        <f>IFERROR(__xludf.DUMMYFUNCTION("""COMPUTED_VALUE"""),"-")</f>
        <v>-</v>
      </c>
      <c r="I3304" s="19">
        <f>IFERROR(__xludf.DUMMYFUNCTION("""COMPUTED_VALUE"""),0.00224)</f>
        <v>0.00224</v>
      </c>
      <c r="J3304" s="19">
        <f>IFERROR(__xludf.DUMMYFUNCTION("""COMPUTED_VALUE"""),0.04633)</f>
        <v>0.04633</v>
      </c>
      <c r="K3304" s="19" t="str">
        <f>IFERROR(__xludf.DUMMYFUNCTION("""COMPUTED_VALUE"""),"-")</f>
        <v>-</v>
      </c>
      <c r="L3304" s="19" t="str">
        <f>IFERROR(__xludf.DUMMYFUNCTION("""COMPUTED_VALUE"""),"-")</f>
        <v>-</v>
      </c>
      <c r="O3304" s="24">
        <f t="shared" si="4"/>
        <v>0</v>
      </c>
      <c r="P3304" s="24"/>
      <c r="Q3304" s="24">
        <f t="shared" si="6"/>
        <v>0</v>
      </c>
      <c r="R3304" s="24">
        <f t="shared" si="7"/>
        <v>0</v>
      </c>
      <c r="S3304" s="24"/>
      <c r="T3304" s="24"/>
    </row>
    <row r="3305">
      <c r="A3305" s="12" t="s">
        <v>3392</v>
      </c>
      <c r="F3305" s="19">
        <f>IFERROR(__xludf.DUMMYFUNCTION("SPLIT(A3301, "" |"")"),3299.0)</f>
        <v>3299</v>
      </c>
      <c r="G3305" s="19">
        <f>IFERROR(__xludf.DUMMYFUNCTION("""COMPUTED_VALUE"""),0.00243)</f>
        <v>0.00243</v>
      </c>
      <c r="H3305" s="19" t="str">
        <f>IFERROR(__xludf.DUMMYFUNCTION("""COMPUTED_VALUE"""),"-")</f>
        <v>-</v>
      </c>
      <c r="I3305" s="19">
        <f>IFERROR(__xludf.DUMMYFUNCTION("""COMPUTED_VALUE"""),0.00226)</f>
        <v>0.00226</v>
      </c>
      <c r="J3305" s="19">
        <f>IFERROR(__xludf.DUMMYFUNCTION("""COMPUTED_VALUE"""),0.04749)</f>
        <v>0.04749</v>
      </c>
      <c r="K3305" s="19" t="str">
        <f>IFERROR(__xludf.DUMMYFUNCTION("""COMPUTED_VALUE"""),"-")</f>
        <v>-</v>
      </c>
      <c r="L3305" s="19" t="str">
        <f>IFERROR(__xludf.DUMMYFUNCTION("""COMPUTED_VALUE"""),"-")</f>
        <v>-</v>
      </c>
      <c r="O3305" s="24">
        <f t="shared" si="4"/>
        <v>0</v>
      </c>
      <c r="P3305" s="24"/>
      <c r="Q3305" s="24">
        <f t="shared" si="6"/>
        <v>0</v>
      </c>
      <c r="R3305" s="24">
        <f t="shared" si="7"/>
        <v>0</v>
      </c>
      <c r="S3305" s="24"/>
      <c r="T3305" s="24"/>
    </row>
    <row r="3306">
      <c r="A3306" s="12" t="s">
        <v>3393</v>
      </c>
      <c r="F3306" s="19">
        <f>IFERROR(__xludf.DUMMYFUNCTION("SPLIT(A3302, "" |"")"),3300.0)</f>
        <v>3300</v>
      </c>
      <c r="G3306" s="19">
        <f>IFERROR(__xludf.DUMMYFUNCTION("""COMPUTED_VALUE"""),0.00232)</f>
        <v>0.00232</v>
      </c>
      <c r="H3306" s="19" t="str">
        <f>IFERROR(__xludf.DUMMYFUNCTION("""COMPUTED_VALUE"""),"-")</f>
        <v>-</v>
      </c>
      <c r="I3306" s="19">
        <f>IFERROR(__xludf.DUMMYFUNCTION("""COMPUTED_VALUE"""),0.00231)</f>
        <v>0.00231</v>
      </c>
      <c r="J3306" s="19">
        <f>IFERROR(__xludf.DUMMYFUNCTION("""COMPUTED_VALUE"""),0.04747)</f>
        <v>0.04747</v>
      </c>
      <c r="K3306" s="19" t="str">
        <f>IFERROR(__xludf.DUMMYFUNCTION("""COMPUTED_VALUE"""),"-")</f>
        <v>-</v>
      </c>
      <c r="L3306" s="19" t="str">
        <f>IFERROR(__xludf.DUMMYFUNCTION("""COMPUTED_VALUE"""),"-")</f>
        <v>-</v>
      </c>
      <c r="O3306" s="24">
        <f t="shared" si="4"/>
        <v>0</v>
      </c>
      <c r="P3306" s="24"/>
      <c r="Q3306" s="24">
        <f t="shared" si="6"/>
        <v>0</v>
      </c>
      <c r="R3306" s="24">
        <f t="shared" si="7"/>
        <v>0</v>
      </c>
      <c r="S3306" s="24"/>
      <c r="T3306" s="24"/>
    </row>
    <row r="3307">
      <c r="A3307" s="12" t="s">
        <v>3394</v>
      </c>
      <c r="F3307" s="19">
        <f>IFERROR(__xludf.DUMMYFUNCTION("SPLIT(A3303, "" |"")"),3301.0)</f>
        <v>3301</v>
      </c>
      <c r="G3307" s="19">
        <f>IFERROR(__xludf.DUMMYFUNCTION("""COMPUTED_VALUE"""),0.00236)</f>
        <v>0.00236</v>
      </c>
      <c r="H3307" s="19" t="str">
        <f>IFERROR(__xludf.DUMMYFUNCTION("""COMPUTED_VALUE"""),"-")</f>
        <v>-</v>
      </c>
      <c r="I3307" s="19">
        <f>IFERROR(__xludf.DUMMYFUNCTION("""COMPUTED_VALUE"""),0.00224)</f>
        <v>0.00224</v>
      </c>
      <c r="J3307" s="19">
        <f>IFERROR(__xludf.DUMMYFUNCTION("""COMPUTED_VALUE"""),0.04462)</f>
        <v>0.04462</v>
      </c>
      <c r="K3307" s="19" t="str">
        <f>IFERROR(__xludf.DUMMYFUNCTION("""COMPUTED_VALUE"""),"-")</f>
        <v>-</v>
      </c>
      <c r="L3307" s="19" t="str">
        <f>IFERROR(__xludf.DUMMYFUNCTION("""COMPUTED_VALUE"""),"-")</f>
        <v>-</v>
      </c>
      <c r="O3307" s="24">
        <f t="shared" si="4"/>
        <v>0</v>
      </c>
      <c r="P3307" s="24"/>
      <c r="Q3307" s="24">
        <f t="shared" si="6"/>
        <v>0</v>
      </c>
      <c r="R3307" s="24">
        <f t="shared" si="7"/>
        <v>1</v>
      </c>
      <c r="S3307" s="24"/>
      <c r="T3307" s="24"/>
    </row>
    <row r="3308">
      <c r="A3308" s="12" t="s">
        <v>3395</v>
      </c>
      <c r="F3308" s="19">
        <f>IFERROR(__xludf.DUMMYFUNCTION("SPLIT(A3304, "" |"")"),3302.0)</f>
        <v>3302</v>
      </c>
      <c r="G3308" s="19">
        <f>IFERROR(__xludf.DUMMYFUNCTION("""COMPUTED_VALUE"""),0.00241)</f>
        <v>0.00241</v>
      </c>
      <c r="H3308" s="19" t="str">
        <f>IFERROR(__xludf.DUMMYFUNCTION("""COMPUTED_VALUE"""),"-")</f>
        <v>-</v>
      </c>
      <c r="I3308" s="19">
        <f>IFERROR(__xludf.DUMMYFUNCTION("""COMPUTED_VALUE"""),0.00222)</f>
        <v>0.00222</v>
      </c>
      <c r="J3308" s="19">
        <f>IFERROR(__xludf.DUMMYFUNCTION("""COMPUTED_VALUE"""),0.04745)</f>
        <v>0.04745</v>
      </c>
      <c r="K3308" s="19" t="str">
        <f>IFERROR(__xludf.DUMMYFUNCTION("""COMPUTED_VALUE"""),"-")</f>
        <v>-</v>
      </c>
      <c r="L3308" s="19" t="str">
        <f>IFERROR(__xludf.DUMMYFUNCTION("""COMPUTED_VALUE"""),"-")</f>
        <v>-</v>
      </c>
      <c r="O3308" s="24">
        <f t="shared" si="4"/>
        <v>0</v>
      </c>
      <c r="P3308" s="24"/>
      <c r="Q3308" s="24">
        <f t="shared" si="6"/>
        <v>0</v>
      </c>
      <c r="R3308" s="24">
        <f t="shared" si="7"/>
        <v>0</v>
      </c>
      <c r="S3308" s="24"/>
      <c r="T3308" s="24"/>
    </row>
    <row r="3309">
      <c r="A3309" s="12" t="s">
        <v>3396</v>
      </c>
      <c r="F3309" s="19">
        <f>IFERROR(__xludf.DUMMYFUNCTION("SPLIT(A3305, "" |"")"),3303.0)</f>
        <v>3303</v>
      </c>
      <c r="G3309" s="19">
        <f>IFERROR(__xludf.DUMMYFUNCTION("""COMPUTED_VALUE"""),0.0024)</f>
        <v>0.0024</v>
      </c>
      <c r="H3309" s="19" t="str">
        <f>IFERROR(__xludf.DUMMYFUNCTION("""COMPUTED_VALUE"""),"-")</f>
        <v>-</v>
      </c>
      <c r="I3309" s="19">
        <f>IFERROR(__xludf.DUMMYFUNCTION("""COMPUTED_VALUE"""),0.0022)</f>
        <v>0.0022</v>
      </c>
      <c r="J3309" s="19">
        <f>IFERROR(__xludf.DUMMYFUNCTION("""COMPUTED_VALUE"""),0.04745)</f>
        <v>0.04745</v>
      </c>
      <c r="K3309" s="19" t="str">
        <f>IFERROR(__xludf.DUMMYFUNCTION("""COMPUTED_VALUE"""),"-")</f>
        <v>-</v>
      </c>
      <c r="L3309" s="19" t="str">
        <f>IFERROR(__xludf.DUMMYFUNCTION("""COMPUTED_VALUE"""),"-")</f>
        <v>-</v>
      </c>
      <c r="O3309" s="24">
        <f t="shared" si="4"/>
        <v>0</v>
      </c>
      <c r="P3309" s="24"/>
      <c r="Q3309" s="24">
        <f t="shared" si="6"/>
        <v>0</v>
      </c>
      <c r="R3309" s="24">
        <f t="shared" si="7"/>
        <v>0</v>
      </c>
      <c r="S3309" s="24"/>
      <c r="T3309" s="24"/>
    </row>
    <row r="3310">
      <c r="A3310" s="12" t="s">
        <v>3397</v>
      </c>
      <c r="F3310" s="19">
        <f>IFERROR(__xludf.DUMMYFUNCTION("SPLIT(A3306, "" |"")"),3304.0)</f>
        <v>3304</v>
      </c>
      <c r="G3310" s="19">
        <f>IFERROR(__xludf.DUMMYFUNCTION("""COMPUTED_VALUE"""),0.00236)</f>
        <v>0.00236</v>
      </c>
      <c r="H3310" s="19" t="str">
        <f>IFERROR(__xludf.DUMMYFUNCTION("""COMPUTED_VALUE"""),"-")</f>
        <v>-</v>
      </c>
      <c r="I3310" s="19">
        <f>IFERROR(__xludf.DUMMYFUNCTION("""COMPUTED_VALUE"""),0.00223)</f>
        <v>0.00223</v>
      </c>
      <c r="J3310" s="19">
        <f>IFERROR(__xludf.DUMMYFUNCTION("""COMPUTED_VALUE"""),0.04745)</f>
        <v>0.04745</v>
      </c>
      <c r="K3310" s="19" t="str">
        <f>IFERROR(__xludf.DUMMYFUNCTION("""COMPUTED_VALUE"""),"-")</f>
        <v>-</v>
      </c>
      <c r="L3310" s="19" t="str">
        <f>IFERROR(__xludf.DUMMYFUNCTION("""COMPUTED_VALUE"""),"-")</f>
        <v>-</v>
      </c>
      <c r="O3310" s="24">
        <f t="shared" si="4"/>
        <v>0</v>
      </c>
      <c r="P3310" s="24"/>
      <c r="Q3310" s="24">
        <f t="shared" si="6"/>
        <v>0</v>
      </c>
      <c r="R3310" s="24">
        <f t="shared" si="7"/>
        <v>0</v>
      </c>
      <c r="S3310" s="24"/>
      <c r="T3310" s="24"/>
    </row>
    <row r="3311">
      <c r="A3311" s="12" t="s">
        <v>3398</v>
      </c>
      <c r="F3311" s="19">
        <f>IFERROR(__xludf.DUMMYFUNCTION("SPLIT(A3307, "" |"")"),3305.0)</f>
        <v>3305</v>
      </c>
      <c r="G3311" s="19">
        <f>IFERROR(__xludf.DUMMYFUNCTION("""COMPUTED_VALUE"""),0.00241)</f>
        <v>0.00241</v>
      </c>
      <c r="H3311" s="19" t="str">
        <f>IFERROR(__xludf.DUMMYFUNCTION("""COMPUTED_VALUE"""),"-")</f>
        <v>-</v>
      </c>
      <c r="I3311" s="19">
        <f>IFERROR(__xludf.DUMMYFUNCTION("""COMPUTED_VALUE"""),0.00223)</f>
        <v>0.00223</v>
      </c>
      <c r="J3311" s="19">
        <f>IFERROR(__xludf.DUMMYFUNCTION("""COMPUTED_VALUE"""),0.0475)</f>
        <v>0.0475</v>
      </c>
      <c r="K3311" s="19" t="str">
        <f>IFERROR(__xludf.DUMMYFUNCTION("""COMPUTED_VALUE"""),"-")</f>
        <v>-</v>
      </c>
      <c r="L3311" s="19" t="str">
        <f>IFERROR(__xludf.DUMMYFUNCTION("""COMPUTED_VALUE"""),"-")</f>
        <v>-</v>
      </c>
      <c r="O3311" s="24">
        <f t="shared" si="4"/>
        <v>0</v>
      </c>
      <c r="P3311" s="24"/>
      <c r="Q3311" s="24">
        <f t="shared" si="6"/>
        <v>0</v>
      </c>
      <c r="R3311" s="24">
        <f t="shared" si="7"/>
        <v>0</v>
      </c>
      <c r="S3311" s="24"/>
      <c r="T3311" s="24"/>
    </row>
    <row r="3312">
      <c r="A3312" s="12" t="s">
        <v>3399</v>
      </c>
      <c r="F3312" s="19">
        <f>IFERROR(__xludf.DUMMYFUNCTION("SPLIT(A3308, "" |"")"),3306.0)</f>
        <v>3306</v>
      </c>
      <c r="G3312" s="19">
        <f>IFERROR(__xludf.DUMMYFUNCTION("""COMPUTED_VALUE"""),0.00229)</f>
        <v>0.00229</v>
      </c>
      <c r="H3312" s="19" t="str">
        <f>IFERROR(__xludf.DUMMYFUNCTION("""COMPUTED_VALUE"""),"-")</f>
        <v>-</v>
      </c>
      <c r="I3312" s="19">
        <f>IFERROR(__xludf.DUMMYFUNCTION("""COMPUTED_VALUE"""),0.0021)</f>
        <v>0.0021</v>
      </c>
      <c r="J3312" s="19">
        <f>IFERROR(__xludf.DUMMYFUNCTION("""COMPUTED_VALUE"""),0.04732)</f>
        <v>0.04732</v>
      </c>
      <c r="K3312" s="19" t="str">
        <f>IFERROR(__xludf.DUMMYFUNCTION("""COMPUTED_VALUE"""),"-")</f>
        <v>-</v>
      </c>
      <c r="L3312" s="19" t="str">
        <f>IFERROR(__xludf.DUMMYFUNCTION("""COMPUTED_VALUE"""),"-")</f>
        <v>-</v>
      </c>
      <c r="O3312" s="24">
        <f t="shared" si="4"/>
        <v>0</v>
      </c>
      <c r="P3312" s="24"/>
      <c r="Q3312" s="24">
        <f t="shared" si="6"/>
        <v>0</v>
      </c>
      <c r="R3312" s="24">
        <f t="shared" si="7"/>
        <v>0</v>
      </c>
      <c r="S3312" s="24"/>
      <c r="T3312" s="24"/>
    </row>
    <row r="3313">
      <c r="A3313" s="12" t="s">
        <v>3400</v>
      </c>
      <c r="F3313" s="19">
        <f>IFERROR(__xludf.DUMMYFUNCTION("SPLIT(A3309, "" |"")"),3307.0)</f>
        <v>3307</v>
      </c>
      <c r="G3313" s="19">
        <f>IFERROR(__xludf.DUMMYFUNCTION("""COMPUTED_VALUE"""),0.00247)</f>
        <v>0.00247</v>
      </c>
      <c r="H3313" s="19" t="str">
        <f>IFERROR(__xludf.DUMMYFUNCTION("""COMPUTED_VALUE"""),"-")</f>
        <v>-</v>
      </c>
      <c r="I3313" s="19">
        <f>IFERROR(__xludf.DUMMYFUNCTION("""COMPUTED_VALUE"""),0.00221)</f>
        <v>0.00221</v>
      </c>
      <c r="J3313" s="19">
        <f>IFERROR(__xludf.DUMMYFUNCTION("""COMPUTED_VALUE"""),0.04741)</f>
        <v>0.04741</v>
      </c>
      <c r="K3313" s="19" t="str">
        <f>IFERROR(__xludf.DUMMYFUNCTION("""COMPUTED_VALUE"""),"-")</f>
        <v>-</v>
      </c>
      <c r="L3313" s="19" t="str">
        <f>IFERROR(__xludf.DUMMYFUNCTION("""COMPUTED_VALUE"""),"-")</f>
        <v>-</v>
      </c>
      <c r="O3313" s="24">
        <f t="shared" si="4"/>
        <v>0</v>
      </c>
      <c r="P3313" s="24"/>
      <c r="Q3313" s="24">
        <f t="shared" si="6"/>
        <v>0</v>
      </c>
      <c r="R3313" s="24">
        <f t="shared" si="7"/>
        <v>0</v>
      </c>
      <c r="S3313" s="24"/>
      <c r="T3313" s="24"/>
    </row>
    <row r="3314">
      <c r="A3314" s="12" t="s">
        <v>3401</v>
      </c>
      <c r="F3314" s="19">
        <f>IFERROR(__xludf.DUMMYFUNCTION("SPLIT(A3310, "" |"")"),3308.0)</f>
        <v>3308</v>
      </c>
      <c r="G3314" s="19">
        <f>IFERROR(__xludf.DUMMYFUNCTION("""COMPUTED_VALUE"""),0.00234)</f>
        <v>0.00234</v>
      </c>
      <c r="H3314" s="19" t="str">
        <f>IFERROR(__xludf.DUMMYFUNCTION("""COMPUTED_VALUE"""),"-")</f>
        <v>-</v>
      </c>
      <c r="I3314" s="19">
        <f>IFERROR(__xludf.DUMMYFUNCTION("""COMPUTED_VALUE"""),0.00223)</f>
        <v>0.00223</v>
      </c>
      <c r="J3314" s="19">
        <f>IFERROR(__xludf.DUMMYFUNCTION("""COMPUTED_VALUE"""),0.04487)</f>
        <v>0.04487</v>
      </c>
      <c r="K3314" s="19" t="str">
        <f>IFERROR(__xludf.DUMMYFUNCTION("""COMPUTED_VALUE"""),"-")</f>
        <v>-</v>
      </c>
      <c r="L3314" s="19" t="str">
        <f>IFERROR(__xludf.DUMMYFUNCTION("""COMPUTED_VALUE"""),"-")</f>
        <v>-</v>
      </c>
      <c r="O3314" s="24">
        <f t="shared" si="4"/>
        <v>0</v>
      </c>
      <c r="P3314" s="24"/>
      <c r="Q3314" s="24">
        <f t="shared" si="6"/>
        <v>0</v>
      </c>
      <c r="R3314" s="24">
        <f t="shared" si="7"/>
        <v>1</v>
      </c>
      <c r="S3314" s="24"/>
      <c r="T3314" s="24"/>
    </row>
    <row r="3315">
      <c r="A3315" s="12" t="s">
        <v>3402</v>
      </c>
      <c r="F3315" s="19">
        <f>IFERROR(__xludf.DUMMYFUNCTION("SPLIT(A3311, "" |"")"),3309.0)</f>
        <v>3309</v>
      </c>
      <c r="G3315" s="19">
        <f>IFERROR(__xludf.DUMMYFUNCTION("""COMPUTED_VALUE"""),0.00236)</f>
        <v>0.00236</v>
      </c>
      <c r="H3315" s="19" t="str">
        <f>IFERROR(__xludf.DUMMYFUNCTION("""COMPUTED_VALUE"""),"-")</f>
        <v>-</v>
      </c>
      <c r="I3315" s="19">
        <f>IFERROR(__xludf.DUMMYFUNCTION("""COMPUTED_VALUE"""),0.00224)</f>
        <v>0.00224</v>
      </c>
      <c r="J3315" s="19">
        <f>IFERROR(__xludf.DUMMYFUNCTION("""COMPUTED_VALUE"""),0.04544)</f>
        <v>0.04544</v>
      </c>
      <c r="K3315" s="19" t="str">
        <f>IFERROR(__xludf.DUMMYFUNCTION("""COMPUTED_VALUE"""),"-")</f>
        <v>-</v>
      </c>
      <c r="L3315" s="19" t="str">
        <f>IFERROR(__xludf.DUMMYFUNCTION("""COMPUTED_VALUE"""),"-")</f>
        <v>-</v>
      </c>
      <c r="O3315" s="24">
        <f t="shared" si="4"/>
        <v>0</v>
      </c>
      <c r="P3315" s="24"/>
      <c r="Q3315" s="24">
        <f t="shared" si="6"/>
        <v>0</v>
      </c>
      <c r="R3315" s="24">
        <f t="shared" si="7"/>
        <v>0</v>
      </c>
      <c r="S3315" s="24"/>
      <c r="T3315" s="24"/>
    </row>
    <row r="3316">
      <c r="A3316" s="12" t="s">
        <v>3403</v>
      </c>
      <c r="F3316" s="19">
        <f>IFERROR(__xludf.DUMMYFUNCTION("SPLIT(A3312, "" |"")"),3310.0)</f>
        <v>3310</v>
      </c>
      <c r="G3316" s="19">
        <f>IFERROR(__xludf.DUMMYFUNCTION("""COMPUTED_VALUE"""),0.00235)</f>
        <v>0.00235</v>
      </c>
      <c r="H3316" s="19" t="str">
        <f>IFERROR(__xludf.DUMMYFUNCTION("""COMPUTED_VALUE"""),"-")</f>
        <v>-</v>
      </c>
      <c r="I3316" s="19">
        <f>IFERROR(__xludf.DUMMYFUNCTION("""COMPUTED_VALUE"""),0.00222)</f>
        <v>0.00222</v>
      </c>
      <c r="J3316" s="19">
        <f>IFERROR(__xludf.DUMMYFUNCTION("""COMPUTED_VALUE"""),0.04745)</f>
        <v>0.04745</v>
      </c>
      <c r="K3316" s="19" t="str">
        <f>IFERROR(__xludf.DUMMYFUNCTION("""COMPUTED_VALUE"""),"-")</f>
        <v>-</v>
      </c>
      <c r="L3316" s="19" t="str">
        <f>IFERROR(__xludf.DUMMYFUNCTION("""COMPUTED_VALUE"""),"-")</f>
        <v>-</v>
      </c>
      <c r="O3316" s="24">
        <f t="shared" si="4"/>
        <v>0</v>
      </c>
      <c r="P3316" s="24"/>
      <c r="Q3316" s="24">
        <f t="shared" si="6"/>
        <v>0</v>
      </c>
      <c r="R3316" s="24">
        <f t="shared" si="7"/>
        <v>0</v>
      </c>
      <c r="S3316" s="24"/>
      <c r="T3316" s="24"/>
    </row>
    <row r="3317">
      <c r="A3317" s="12" t="s">
        <v>3404</v>
      </c>
      <c r="F3317" s="19">
        <f>IFERROR(__xludf.DUMMYFUNCTION("SPLIT(A3313, "" |"")"),3311.0)</f>
        <v>3311</v>
      </c>
      <c r="G3317" s="19">
        <f>IFERROR(__xludf.DUMMYFUNCTION("""COMPUTED_VALUE"""),0.00238)</f>
        <v>0.00238</v>
      </c>
      <c r="H3317" s="19" t="str">
        <f>IFERROR(__xludf.DUMMYFUNCTION("""COMPUTED_VALUE"""),"-")</f>
        <v>-</v>
      </c>
      <c r="I3317" s="19">
        <f>IFERROR(__xludf.DUMMYFUNCTION("""COMPUTED_VALUE"""),0.0022)</f>
        <v>0.0022</v>
      </c>
      <c r="J3317" s="19">
        <f>IFERROR(__xludf.DUMMYFUNCTION("""COMPUTED_VALUE"""),0.04744)</f>
        <v>0.04744</v>
      </c>
      <c r="K3317" s="19" t="str">
        <f>IFERROR(__xludf.DUMMYFUNCTION("""COMPUTED_VALUE"""),"-")</f>
        <v>-</v>
      </c>
      <c r="L3317" s="19" t="str">
        <f>IFERROR(__xludf.DUMMYFUNCTION("""COMPUTED_VALUE"""),"-")</f>
        <v>-</v>
      </c>
      <c r="O3317" s="24">
        <f t="shared" si="4"/>
        <v>0</v>
      </c>
      <c r="P3317" s="24"/>
      <c r="Q3317" s="24">
        <f t="shared" si="6"/>
        <v>0</v>
      </c>
      <c r="R3317" s="24">
        <f t="shared" si="7"/>
        <v>0</v>
      </c>
      <c r="S3317" s="24"/>
      <c r="T3317" s="24"/>
    </row>
    <row r="3318">
      <c r="A3318" s="12" t="s">
        <v>3405</v>
      </c>
      <c r="F3318" s="19">
        <f>IFERROR(__xludf.DUMMYFUNCTION("SPLIT(A3314, "" |"")"),3312.0)</f>
        <v>3312</v>
      </c>
      <c r="G3318" s="19">
        <f>IFERROR(__xludf.DUMMYFUNCTION("""COMPUTED_VALUE"""),0.00235)</f>
        <v>0.00235</v>
      </c>
      <c r="H3318" s="19" t="str">
        <f>IFERROR(__xludf.DUMMYFUNCTION("""COMPUTED_VALUE"""),"-")</f>
        <v>-</v>
      </c>
      <c r="I3318" s="19">
        <f>IFERROR(__xludf.DUMMYFUNCTION("""COMPUTED_VALUE"""),0.0022)</f>
        <v>0.0022</v>
      </c>
      <c r="J3318" s="19">
        <f>IFERROR(__xludf.DUMMYFUNCTION("""COMPUTED_VALUE"""),0.04742)</f>
        <v>0.04742</v>
      </c>
      <c r="K3318" s="19" t="str">
        <f>IFERROR(__xludf.DUMMYFUNCTION("""COMPUTED_VALUE"""),"-")</f>
        <v>-</v>
      </c>
      <c r="L3318" s="19" t="str">
        <f>IFERROR(__xludf.DUMMYFUNCTION("""COMPUTED_VALUE"""),"-")</f>
        <v>-</v>
      </c>
      <c r="O3318" s="24">
        <f t="shared" si="4"/>
        <v>0</v>
      </c>
      <c r="P3318" s="24"/>
      <c r="Q3318" s="24">
        <f t="shared" si="6"/>
        <v>0</v>
      </c>
      <c r="R3318" s="24">
        <f t="shared" si="7"/>
        <v>0</v>
      </c>
      <c r="S3318" s="24"/>
      <c r="T3318" s="24"/>
    </row>
    <row r="3319">
      <c r="A3319" s="12" t="s">
        <v>3406</v>
      </c>
      <c r="F3319" s="19">
        <f>IFERROR(__xludf.DUMMYFUNCTION("SPLIT(A3315, "" |"")"),3313.0)</f>
        <v>3313</v>
      </c>
      <c r="G3319" s="19">
        <f>IFERROR(__xludf.DUMMYFUNCTION("""COMPUTED_VALUE"""),0.00233)</f>
        <v>0.00233</v>
      </c>
      <c r="H3319" s="19" t="str">
        <f>IFERROR(__xludf.DUMMYFUNCTION("""COMPUTED_VALUE"""),"-")</f>
        <v>-</v>
      </c>
      <c r="I3319" s="19">
        <f>IFERROR(__xludf.DUMMYFUNCTION("""COMPUTED_VALUE"""),0.00224)</f>
        <v>0.00224</v>
      </c>
      <c r="J3319" s="19">
        <f>IFERROR(__xludf.DUMMYFUNCTION("""COMPUTED_VALUE"""),0.04736)</f>
        <v>0.04736</v>
      </c>
      <c r="K3319" s="19" t="str">
        <f>IFERROR(__xludf.DUMMYFUNCTION("""COMPUTED_VALUE"""),"-")</f>
        <v>-</v>
      </c>
      <c r="L3319" s="19" t="str">
        <f>IFERROR(__xludf.DUMMYFUNCTION("""COMPUTED_VALUE"""),"-")</f>
        <v>-</v>
      </c>
      <c r="O3319" s="24">
        <f t="shared" si="4"/>
        <v>0</v>
      </c>
      <c r="P3319" s="24"/>
      <c r="Q3319" s="24">
        <f t="shared" si="6"/>
        <v>0</v>
      </c>
      <c r="R3319" s="24">
        <f t="shared" si="7"/>
        <v>0</v>
      </c>
      <c r="S3319" s="24"/>
      <c r="T3319" s="24"/>
    </row>
    <row r="3320">
      <c r="A3320" s="12" t="s">
        <v>3407</v>
      </c>
      <c r="F3320" s="19">
        <f>IFERROR(__xludf.DUMMYFUNCTION("SPLIT(A3316, "" |"")"),3314.0)</f>
        <v>3314</v>
      </c>
      <c r="G3320" s="19">
        <f>IFERROR(__xludf.DUMMYFUNCTION("""COMPUTED_VALUE"""),0.00236)</f>
        <v>0.00236</v>
      </c>
      <c r="H3320" s="19" t="str">
        <f>IFERROR(__xludf.DUMMYFUNCTION("""COMPUTED_VALUE"""),"-")</f>
        <v>-</v>
      </c>
      <c r="I3320" s="19">
        <f>IFERROR(__xludf.DUMMYFUNCTION("""COMPUTED_VALUE"""),0.00227)</f>
        <v>0.00227</v>
      </c>
      <c r="J3320" s="19">
        <f>IFERROR(__xludf.DUMMYFUNCTION("""COMPUTED_VALUE"""),0.04743)</f>
        <v>0.04743</v>
      </c>
      <c r="K3320" s="19" t="str">
        <f>IFERROR(__xludf.DUMMYFUNCTION("""COMPUTED_VALUE"""),"-")</f>
        <v>-</v>
      </c>
      <c r="L3320" s="19" t="str">
        <f>IFERROR(__xludf.DUMMYFUNCTION("""COMPUTED_VALUE"""),"-")</f>
        <v>-</v>
      </c>
      <c r="O3320" s="24">
        <f t="shared" si="4"/>
        <v>0</v>
      </c>
      <c r="P3320" s="24"/>
      <c r="Q3320" s="24">
        <f t="shared" si="6"/>
        <v>0</v>
      </c>
      <c r="R3320" s="24">
        <f t="shared" si="7"/>
        <v>0</v>
      </c>
      <c r="S3320" s="24"/>
      <c r="T3320" s="24"/>
    </row>
    <row r="3321">
      <c r="A3321" s="12" t="s">
        <v>3408</v>
      </c>
      <c r="F3321" s="19">
        <f>IFERROR(__xludf.DUMMYFUNCTION("SPLIT(A3317, "" |"")"),3315.0)</f>
        <v>3315</v>
      </c>
      <c r="G3321" s="19">
        <f>IFERROR(__xludf.DUMMYFUNCTION("""COMPUTED_VALUE"""),0.00237)</f>
        <v>0.00237</v>
      </c>
      <c r="H3321" s="19" t="str">
        <f>IFERROR(__xludf.DUMMYFUNCTION("""COMPUTED_VALUE"""),"-")</f>
        <v>-</v>
      </c>
      <c r="I3321" s="19">
        <f>IFERROR(__xludf.DUMMYFUNCTION("""COMPUTED_VALUE"""),0.00224)</f>
        <v>0.00224</v>
      </c>
      <c r="J3321" s="19">
        <f>IFERROR(__xludf.DUMMYFUNCTION("""COMPUTED_VALUE"""),0.04729)</f>
        <v>0.04729</v>
      </c>
      <c r="K3321" s="19" t="str">
        <f>IFERROR(__xludf.DUMMYFUNCTION("""COMPUTED_VALUE"""),"-")</f>
        <v>-</v>
      </c>
      <c r="L3321" s="19" t="str">
        <f>IFERROR(__xludf.DUMMYFUNCTION("""COMPUTED_VALUE"""),"-")</f>
        <v>-</v>
      </c>
      <c r="O3321" s="24">
        <f t="shared" si="4"/>
        <v>0</v>
      </c>
      <c r="P3321" s="24"/>
      <c r="Q3321" s="24">
        <f t="shared" si="6"/>
        <v>0</v>
      </c>
      <c r="R3321" s="24">
        <f t="shared" si="7"/>
        <v>0</v>
      </c>
      <c r="S3321" s="24"/>
      <c r="T3321" s="24"/>
    </row>
    <row r="3322">
      <c r="A3322" s="12" t="s">
        <v>3409</v>
      </c>
      <c r="F3322" s="19">
        <f>IFERROR(__xludf.DUMMYFUNCTION("SPLIT(A3318, "" |"")"),3316.0)</f>
        <v>3316</v>
      </c>
      <c r="G3322" s="19">
        <f>IFERROR(__xludf.DUMMYFUNCTION("""COMPUTED_VALUE"""),0.00222)</f>
        <v>0.00222</v>
      </c>
      <c r="H3322" s="19" t="str">
        <f>IFERROR(__xludf.DUMMYFUNCTION("""COMPUTED_VALUE"""),"-")</f>
        <v>-</v>
      </c>
      <c r="I3322" s="19">
        <f>IFERROR(__xludf.DUMMYFUNCTION("""COMPUTED_VALUE"""),0.00226)</f>
        <v>0.00226</v>
      </c>
      <c r="J3322" s="19">
        <f>IFERROR(__xludf.DUMMYFUNCTION("""COMPUTED_VALUE"""),0.04746)</f>
        <v>0.04746</v>
      </c>
      <c r="K3322" s="19" t="str">
        <f>IFERROR(__xludf.DUMMYFUNCTION("""COMPUTED_VALUE"""),"-")</f>
        <v>-</v>
      </c>
      <c r="L3322" s="19" t="str">
        <f>IFERROR(__xludf.DUMMYFUNCTION("""COMPUTED_VALUE"""),"-")</f>
        <v>-</v>
      </c>
      <c r="O3322" s="24">
        <f t="shared" si="4"/>
        <v>0</v>
      </c>
      <c r="P3322" s="24"/>
      <c r="Q3322" s="24">
        <f t="shared" si="6"/>
        <v>0</v>
      </c>
      <c r="R3322" s="24">
        <f t="shared" si="7"/>
        <v>0</v>
      </c>
      <c r="S3322" s="24"/>
      <c r="T3322" s="24"/>
    </row>
    <row r="3323">
      <c r="A3323" s="12" t="s">
        <v>3410</v>
      </c>
      <c r="F3323" s="19">
        <f>IFERROR(__xludf.DUMMYFUNCTION("SPLIT(A3319, "" |"")"),3317.0)</f>
        <v>3317</v>
      </c>
      <c r="G3323" s="19">
        <f>IFERROR(__xludf.DUMMYFUNCTION("""COMPUTED_VALUE"""),0.00234)</f>
        <v>0.00234</v>
      </c>
      <c r="H3323" s="19" t="str">
        <f>IFERROR(__xludf.DUMMYFUNCTION("""COMPUTED_VALUE"""),"-")</f>
        <v>-</v>
      </c>
      <c r="I3323" s="19">
        <f>IFERROR(__xludf.DUMMYFUNCTION("""COMPUTED_VALUE"""),0.00218)</f>
        <v>0.00218</v>
      </c>
      <c r="J3323" s="19">
        <f>IFERROR(__xludf.DUMMYFUNCTION("""COMPUTED_VALUE"""),0.0474)</f>
        <v>0.0474</v>
      </c>
      <c r="K3323" s="19" t="str">
        <f>IFERROR(__xludf.DUMMYFUNCTION("""COMPUTED_VALUE"""),"-")</f>
        <v>-</v>
      </c>
      <c r="L3323" s="19" t="str">
        <f>IFERROR(__xludf.DUMMYFUNCTION("""COMPUTED_VALUE"""),"-")</f>
        <v>-</v>
      </c>
      <c r="O3323" s="24">
        <f t="shared" si="4"/>
        <v>0</v>
      </c>
      <c r="P3323" s="24"/>
      <c r="Q3323" s="24">
        <f t="shared" si="6"/>
        <v>0</v>
      </c>
      <c r="R3323" s="24">
        <f t="shared" si="7"/>
        <v>0</v>
      </c>
      <c r="S3323" s="24"/>
      <c r="T3323" s="24"/>
    </row>
    <row r="3324">
      <c r="A3324" s="12" t="s">
        <v>3411</v>
      </c>
      <c r="F3324" s="19">
        <f>IFERROR(__xludf.DUMMYFUNCTION("SPLIT(A3320, "" |"")"),3318.0)</f>
        <v>3318</v>
      </c>
      <c r="G3324" s="19">
        <f>IFERROR(__xludf.DUMMYFUNCTION("""COMPUTED_VALUE"""),0.0024)</f>
        <v>0.0024</v>
      </c>
      <c r="H3324" s="19" t="str">
        <f>IFERROR(__xludf.DUMMYFUNCTION("""COMPUTED_VALUE"""),"-")</f>
        <v>-</v>
      </c>
      <c r="I3324" s="19">
        <f>IFERROR(__xludf.DUMMYFUNCTION("""COMPUTED_VALUE"""),0.00231)</f>
        <v>0.00231</v>
      </c>
      <c r="J3324" s="19">
        <f>IFERROR(__xludf.DUMMYFUNCTION("""COMPUTED_VALUE"""),0.04748)</f>
        <v>0.04748</v>
      </c>
      <c r="K3324" s="19" t="str">
        <f>IFERROR(__xludf.DUMMYFUNCTION("""COMPUTED_VALUE"""),"-")</f>
        <v>-</v>
      </c>
      <c r="L3324" s="19" t="str">
        <f>IFERROR(__xludf.DUMMYFUNCTION("""COMPUTED_VALUE"""),"-")</f>
        <v>-</v>
      </c>
      <c r="O3324" s="24">
        <f t="shared" si="4"/>
        <v>0</v>
      </c>
      <c r="P3324" s="24"/>
      <c r="Q3324" s="24">
        <f t="shared" si="6"/>
        <v>0</v>
      </c>
      <c r="R3324" s="24">
        <f t="shared" si="7"/>
        <v>0</v>
      </c>
      <c r="S3324" s="24"/>
      <c r="T3324" s="24"/>
    </row>
    <row r="3325">
      <c r="A3325" s="12" t="s">
        <v>3412</v>
      </c>
      <c r="F3325" s="19">
        <f>IFERROR(__xludf.DUMMYFUNCTION("SPLIT(A3321, "" |"")"),3319.0)</f>
        <v>3319</v>
      </c>
      <c r="G3325" s="19">
        <f>IFERROR(__xludf.DUMMYFUNCTION("""COMPUTED_VALUE"""),0.00235)</f>
        <v>0.00235</v>
      </c>
      <c r="H3325" s="19" t="str">
        <f>IFERROR(__xludf.DUMMYFUNCTION("""COMPUTED_VALUE"""),"-")</f>
        <v>-</v>
      </c>
      <c r="I3325" s="19">
        <f>IFERROR(__xludf.DUMMYFUNCTION("""COMPUTED_VALUE"""),0.00222)</f>
        <v>0.00222</v>
      </c>
      <c r="J3325" s="19">
        <f>IFERROR(__xludf.DUMMYFUNCTION("""COMPUTED_VALUE"""),0.04741)</f>
        <v>0.04741</v>
      </c>
      <c r="K3325" s="19" t="str">
        <f>IFERROR(__xludf.DUMMYFUNCTION("""COMPUTED_VALUE"""),"-")</f>
        <v>-</v>
      </c>
      <c r="L3325" s="19" t="str">
        <f>IFERROR(__xludf.DUMMYFUNCTION("""COMPUTED_VALUE"""),"-")</f>
        <v>-</v>
      </c>
      <c r="O3325" s="24">
        <f t="shared" si="4"/>
        <v>0</v>
      </c>
      <c r="P3325" s="24"/>
      <c r="Q3325" s="24">
        <f t="shared" si="6"/>
        <v>0</v>
      </c>
      <c r="R3325" s="24">
        <f t="shared" si="7"/>
        <v>0</v>
      </c>
      <c r="S3325" s="24"/>
      <c r="T3325" s="24"/>
    </row>
    <row r="3326">
      <c r="A3326" s="12" t="s">
        <v>3413</v>
      </c>
      <c r="F3326" s="19">
        <f>IFERROR(__xludf.DUMMYFUNCTION("SPLIT(A3322, "" |"")"),3320.0)</f>
        <v>3320</v>
      </c>
      <c r="G3326" s="19">
        <f>IFERROR(__xludf.DUMMYFUNCTION("""COMPUTED_VALUE"""),0.00236)</f>
        <v>0.00236</v>
      </c>
      <c r="H3326" s="19" t="str">
        <f>IFERROR(__xludf.DUMMYFUNCTION("""COMPUTED_VALUE"""),"-")</f>
        <v>-</v>
      </c>
      <c r="I3326" s="19">
        <f>IFERROR(__xludf.DUMMYFUNCTION("""COMPUTED_VALUE"""),0.00223)</f>
        <v>0.00223</v>
      </c>
      <c r="J3326" s="19">
        <f>IFERROR(__xludf.DUMMYFUNCTION("""COMPUTED_VALUE"""),0.04746)</f>
        <v>0.04746</v>
      </c>
      <c r="K3326" s="19" t="str">
        <f>IFERROR(__xludf.DUMMYFUNCTION("""COMPUTED_VALUE"""),"-")</f>
        <v>-</v>
      </c>
      <c r="L3326" s="19" t="str">
        <f>IFERROR(__xludf.DUMMYFUNCTION("""COMPUTED_VALUE"""),"-")</f>
        <v>-</v>
      </c>
      <c r="O3326" s="24">
        <f t="shared" si="4"/>
        <v>0</v>
      </c>
      <c r="P3326" s="24"/>
      <c r="Q3326" s="24">
        <f t="shared" si="6"/>
        <v>0</v>
      </c>
      <c r="R3326" s="24">
        <f t="shared" si="7"/>
        <v>0</v>
      </c>
      <c r="S3326" s="24"/>
      <c r="T3326" s="24"/>
    </row>
    <row r="3327">
      <c r="A3327" s="12" t="s">
        <v>3414</v>
      </c>
      <c r="F3327" s="19">
        <f>IFERROR(__xludf.DUMMYFUNCTION("SPLIT(A3323, "" |"")"),3321.0)</f>
        <v>3321</v>
      </c>
      <c r="G3327" s="19">
        <f>IFERROR(__xludf.DUMMYFUNCTION("""COMPUTED_VALUE"""),0.00231)</f>
        <v>0.00231</v>
      </c>
      <c r="H3327" s="19" t="str">
        <f>IFERROR(__xludf.DUMMYFUNCTION("""COMPUTED_VALUE"""),"-")</f>
        <v>-</v>
      </c>
      <c r="I3327" s="19">
        <f>IFERROR(__xludf.DUMMYFUNCTION("""COMPUTED_VALUE"""),0.00223)</f>
        <v>0.00223</v>
      </c>
      <c r="J3327" s="19">
        <f>IFERROR(__xludf.DUMMYFUNCTION("""COMPUTED_VALUE"""),0.04746)</f>
        <v>0.04746</v>
      </c>
      <c r="K3327" s="19" t="str">
        <f>IFERROR(__xludf.DUMMYFUNCTION("""COMPUTED_VALUE"""),"-")</f>
        <v>-</v>
      </c>
      <c r="L3327" s="19" t="str">
        <f>IFERROR(__xludf.DUMMYFUNCTION("""COMPUTED_VALUE"""),"-")</f>
        <v>-</v>
      </c>
      <c r="O3327" s="24">
        <f t="shared" si="4"/>
        <v>0</v>
      </c>
      <c r="P3327" s="24"/>
      <c r="Q3327" s="24">
        <f t="shared" si="6"/>
        <v>0</v>
      </c>
      <c r="R3327" s="24">
        <f t="shared" si="7"/>
        <v>0</v>
      </c>
      <c r="S3327" s="24"/>
      <c r="T3327" s="24"/>
    </row>
    <row r="3328">
      <c r="A3328" s="12" t="s">
        <v>3415</v>
      </c>
      <c r="F3328" s="19">
        <f>IFERROR(__xludf.DUMMYFUNCTION("SPLIT(A3324, "" |"")"),3322.0)</f>
        <v>3322</v>
      </c>
      <c r="G3328" s="19">
        <f>IFERROR(__xludf.DUMMYFUNCTION("""COMPUTED_VALUE"""),0.00236)</f>
        <v>0.00236</v>
      </c>
      <c r="H3328" s="19" t="str">
        <f>IFERROR(__xludf.DUMMYFUNCTION("""COMPUTED_VALUE"""),"-")</f>
        <v>-</v>
      </c>
      <c r="I3328" s="19">
        <f>IFERROR(__xludf.DUMMYFUNCTION("""COMPUTED_VALUE"""),0.00223)</f>
        <v>0.00223</v>
      </c>
      <c r="J3328" s="19">
        <f>IFERROR(__xludf.DUMMYFUNCTION("""COMPUTED_VALUE"""),0.04743)</f>
        <v>0.04743</v>
      </c>
      <c r="K3328" s="19" t="str">
        <f>IFERROR(__xludf.DUMMYFUNCTION("""COMPUTED_VALUE"""),"-")</f>
        <v>-</v>
      </c>
      <c r="L3328" s="19" t="str">
        <f>IFERROR(__xludf.DUMMYFUNCTION("""COMPUTED_VALUE"""),"-")</f>
        <v>-</v>
      </c>
      <c r="O3328" s="24">
        <f t="shared" si="4"/>
        <v>0</v>
      </c>
      <c r="P3328" s="24"/>
      <c r="Q3328" s="24">
        <f t="shared" si="6"/>
        <v>0</v>
      </c>
      <c r="R3328" s="24">
        <f t="shared" si="7"/>
        <v>0</v>
      </c>
      <c r="S3328" s="24"/>
      <c r="T3328" s="24"/>
    </row>
    <row r="3329">
      <c r="A3329" s="12" t="s">
        <v>3416</v>
      </c>
      <c r="F3329" s="19">
        <f>IFERROR(__xludf.DUMMYFUNCTION("SPLIT(A3325, "" |"")"),3323.0)</f>
        <v>3323</v>
      </c>
      <c r="G3329" s="19">
        <f>IFERROR(__xludf.DUMMYFUNCTION("""COMPUTED_VALUE"""),0.00223)</f>
        <v>0.00223</v>
      </c>
      <c r="H3329" s="19" t="str">
        <f>IFERROR(__xludf.DUMMYFUNCTION("""COMPUTED_VALUE"""),"-")</f>
        <v>-</v>
      </c>
      <c r="I3329" s="19">
        <f>IFERROR(__xludf.DUMMYFUNCTION("""COMPUTED_VALUE"""),0.00212)</f>
        <v>0.00212</v>
      </c>
      <c r="J3329" s="19">
        <f>IFERROR(__xludf.DUMMYFUNCTION("""COMPUTED_VALUE"""),0.04742)</f>
        <v>0.04742</v>
      </c>
      <c r="K3329" s="19" t="str">
        <f>IFERROR(__xludf.DUMMYFUNCTION("""COMPUTED_VALUE"""),"-")</f>
        <v>-</v>
      </c>
      <c r="L3329" s="19" t="str">
        <f>IFERROR(__xludf.DUMMYFUNCTION("""COMPUTED_VALUE"""),"-")</f>
        <v>-</v>
      </c>
      <c r="O3329" s="24">
        <f t="shared" si="4"/>
        <v>0</v>
      </c>
      <c r="P3329" s="24"/>
      <c r="Q3329" s="24">
        <f t="shared" si="6"/>
        <v>0</v>
      </c>
      <c r="R3329" s="24">
        <f t="shared" si="7"/>
        <v>0</v>
      </c>
      <c r="S3329" s="24"/>
      <c r="T3329" s="24"/>
    </row>
    <row r="3330">
      <c r="A3330" s="12" t="s">
        <v>3417</v>
      </c>
      <c r="F3330" s="19">
        <f>IFERROR(__xludf.DUMMYFUNCTION("SPLIT(A3326, "" |"")"),3324.0)</f>
        <v>3324</v>
      </c>
      <c r="G3330" s="19">
        <f>IFERROR(__xludf.DUMMYFUNCTION("""COMPUTED_VALUE"""),0.00235)</f>
        <v>0.00235</v>
      </c>
      <c r="H3330" s="19" t="str">
        <f>IFERROR(__xludf.DUMMYFUNCTION("""COMPUTED_VALUE"""),"-")</f>
        <v>-</v>
      </c>
      <c r="I3330" s="19">
        <f>IFERROR(__xludf.DUMMYFUNCTION("""COMPUTED_VALUE"""),0.00222)</f>
        <v>0.00222</v>
      </c>
      <c r="J3330" s="19">
        <f>IFERROR(__xludf.DUMMYFUNCTION("""COMPUTED_VALUE"""),0.04744)</f>
        <v>0.04744</v>
      </c>
      <c r="K3330" s="19" t="str">
        <f>IFERROR(__xludf.DUMMYFUNCTION("""COMPUTED_VALUE"""),"-")</f>
        <v>-</v>
      </c>
      <c r="L3330" s="19" t="str">
        <f>IFERROR(__xludf.DUMMYFUNCTION("""COMPUTED_VALUE"""),"-")</f>
        <v>-</v>
      </c>
      <c r="O3330" s="24">
        <f t="shared" si="4"/>
        <v>0</v>
      </c>
      <c r="P3330" s="24"/>
      <c r="Q3330" s="24">
        <f t="shared" si="6"/>
        <v>0</v>
      </c>
      <c r="R3330" s="24">
        <f t="shared" si="7"/>
        <v>0</v>
      </c>
      <c r="S3330" s="24"/>
      <c r="T3330" s="24"/>
    </row>
    <row r="3331">
      <c r="A3331" s="12" t="s">
        <v>3418</v>
      </c>
      <c r="F3331" s="19">
        <f>IFERROR(__xludf.DUMMYFUNCTION("SPLIT(A3327, "" |"")"),3325.0)</f>
        <v>3325</v>
      </c>
      <c r="G3331" s="19">
        <f>IFERROR(__xludf.DUMMYFUNCTION("""COMPUTED_VALUE"""),0.00236)</f>
        <v>0.00236</v>
      </c>
      <c r="H3331" s="19" t="str">
        <f>IFERROR(__xludf.DUMMYFUNCTION("""COMPUTED_VALUE"""),"-")</f>
        <v>-</v>
      </c>
      <c r="I3331" s="19">
        <f>IFERROR(__xludf.DUMMYFUNCTION("""COMPUTED_VALUE"""),0.00217)</f>
        <v>0.00217</v>
      </c>
      <c r="J3331" s="19">
        <f>IFERROR(__xludf.DUMMYFUNCTION("""COMPUTED_VALUE"""),0.04749)</f>
        <v>0.04749</v>
      </c>
      <c r="K3331" s="19" t="str">
        <f>IFERROR(__xludf.DUMMYFUNCTION("""COMPUTED_VALUE"""),"-")</f>
        <v>-</v>
      </c>
      <c r="L3331" s="19" t="str">
        <f>IFERROR(__xludf.DUMMYFUNCTION("""COMPUTED_VALUE"""),"-")</f>
        <v>-</v>
      </c>
      <c r="O3331" s="24">
        <f t="shared" si="4"/>
        <v>0</v>
      </c>
      <c r="P3331" s="24"/>
      <c r="Q3331" s="24">
        <f t="shared" si="6"/>
        <v>0</v>
      </c>
      <c r="R3331" s="24">
        <f t="shared" si="7"/>
        <v>0</v>
      </c>
      <c r="S3331" s="24"/>
      <c r="T3331" s="24"/>
    </row>
    <row r="3332">
      <c r="A3332" s="12" t="s">
        <v>3419</v>
      </c>
      <c r="F3332" s="19">
        <f>IFERROR(__xludf.DUMMYFUNCTION("SPLIT(A3328, "" |"")"),3326.0)</f>
        <v>3326</v>
      </c>
      <c r="G3332" s="19">
        <f>IFERROR(__xludf.DUMMYFUNCTION("""COMPUTED_VALUE"""),0.00236)</f>
        <v>0.00236</v>
      </c>
      <c r="H3332" s="19" t="str">
        <f>IFERROR(__xludf.DUMMYFUNCTION("""COMPUTED_VALUE"""),"-")</f>
        <v>-</v>
      </c>
      <c r="I3332" s="19">
        <f>IFERROR(__xludf.DUMMYFUNCTION("""COMPUTED_VALUE"""),0.0023)</f>
        <v>0.0023</v>
      </c>
      <c r="J3332" s="19">
        <f>IFERROR(__xludf.DUMMYFUNCTION("""COMPUTED_VALUE"""),0.04745)</f>
        <v>0.04745</v>
      </c>
      <c r="K3332" s="19" t="str">
        <f>IFERROR(__xludf.DUMMYFUNCTION("""COMPUTED_VALUE"""),"-")</f>
        <v>-</v>
      </c>
      <c r="L3332" s="19" t="str">
        <f>IFERROR(__xludf.DUMMYFUNCTION("""COMPUTED_VALUE"""),"-")</f>
        <v>-</v>
      </c>
      <c r="O3332" s="24">
        <f t="shared" si="4"/>
        <v>0</v>
      </c>
      <c r="P3332" s="24"/>
      <c r="Q3332" s="24">
        <f t="shared" si="6"/>
        <v>0</v>
      </c>
      <c r="R3332" s="24">
        <f t="shared" si="7"/>
        <v>0</v>
      </c>
      <c r="S3332" s="24"/>
      <c r="T3332" s="24"/>
    </row>
    <row r="3333">
      <c r="A3333" s="12" t="s">
        <v>3420</v>
      </c>
      <c r="F3333" s="19">
        <f>IFERROR(__xludf.DUMMYFUNCTION("SPLIT(A3329, "" |"")"),3327.0)</f>
        <v>3327</v>
      </c>
      <c r="G3333" s="19">
        <f>IFERROR(__xludf.DUMMYFUNCTION("""COMPUTED_VALUE"""),0.00235)</f>
        <v>0.00235</v>
      </c>
      <c r="H3333" s="19" t="str">
        <f>IFERROR(__xludf.DUMMYFUNCTION("""COMPUTED_VALUE"""),"-")</f>
        <v>-</v>
      </c>
      <c r="I3333" s="19">
        <f>IFERROR(__xludf.DUMMYFUNCTION("""COMPUTED_VALUE"""),0.00217)</f>
        <v>0.00217</v>
      </c>
      <c r="J3333" s="19">
        <f>IFERROR(__xludf.DUMMYFUNCTION("""COMPUTED_VALUE"""),0.04741)</f>
        <v>0.04741</v>
      </c>
      <c r="K3333" s="19" t="str">
        <f>IFERROR(__xludf.DUMMYFUNCTION("""COMPUTED_VALUE"""),"-")</f>
        <v>-</v>
      </c>
      <c r="L3333" s="19" t="str">
        <f>IFERROR(__xludf.DUMMYFUNCTION("""COMPUTED_VALUE"""),"-")</f>
        <v>-</v>
      </c>
      <c r="O3333" s="24">
        <f t="shared" si="4"/>
        <v>0</v>
      </c>
      <c r="P3333" s="24"/>
      <c r="Q3333" s="24">
        <f t="shared" si="6"/>
        <v>0</v>
      </c>
      <c r="R3333" s="24">
        <f t="shared" si="7"/>
        <v>0</v>
      </c>
      <c r="S3333" s="24"/>
      <c r="T3333" s="24"/>
    </row>
    <row r="3334">
      <c r="A3334" s="12" t="s">
        <v>3421</v>
      </c>
      <c r="F3334" s="19">
        <f>IFERROR(__xludf.DUMMYFUNCTION("SPLIT(A3330, "" |"")"),3328.0)</f>
        <v>3328</v>
      </c>
      <c r="G3334" s="19">
        <f>IFERROR(__xludf.DUMMYFUNCTION("""COMPUTED_VALUE"""),0.00238)</f>
        <v>0.00238</v>
      </c>
      <c r="H3334" s="19" t="str">
        <f>IFERROR(__xludf.DUMMYFUNCTION("""COMPUTED_VALUE"""),"-")</f>
        <v>-</v>
      </c>
      <c r="I3334" s="19">
        <f>IFERROR(__xludf.DUMMYFUNCTION("""COMPUTED_VALUE"""),0.00222)</f>
        <v>0.00222</v>
      </c>
      <c r="J3334" s="19">
        <f>IFERROR(__xludf.DUMMYFUNCTION("""COMPUTED_VALUE"""),0.04747)</f>
        <v>0.04747</v>
      </c>
      <c r="K3334" s="19" t="str">
        <f>IFERROR(__xludf.DUMMYFUNCTION("""COMPUTED_VALUE"""),"-")</f>
        <v>-</v>
      </c>
      <c r="L3334" s="19" t="str">
        <f>IFERROR(__xludf.DUMMYFUNCTION("""COMPUTED_VALUE"""),"-")</f>
        <v>-</v>
      </c>
      <c r="O3334" s="24">
        <f t="shared" si="4"/>
        <v>0</v>
      </c>
      <c r="P3334" s="24"/>
      <c r="Q3334" s="24">
        <f t="shared" si="6"/>
        <v>0</v>
      </c>
      <c r="R3334" s="24">
        <f t="shared" si="7"/>
        <v>0</v>
      </c>
      <c r="S3334" s="24"/>
      <c r="T3334" s="24"/>
    </row>
    <row r="3335">
      <c r="A3335" s="12" t="s">
        <v>3422</v>
      </c>
      <c r="F3335" s="19">
        <f>IFERROR(__xludf.DUMMYFUNCTION("SPLIT(A3331, "" |"")"),3329.0)</f>
        <v>3329</v>
      </c>
      <c r="G3335" s="19">
        <f>IFERROR(__xludf.DUMMYFUNCTION("""COMPUTED_VALUE"""),0.00233)</f>
        <v>0.00233</v>
      </c>
      <c r="H3335" s="19" t="str">
        <f>IFERROR(__xludf.DUMMYFUNCTION("""COMPUTED_VALUE"""),"-")</f>
        <v>-</v>
      </c>
      <c r="I3335" s="19">
        <f>IFERROR(__xludf.DUMMYFUNCTION("""COMPUTED_VALUE"""),0.00223)</f>
        <v>0.00223</v>
      </c>
      <c r="J3335" s="19">
        <f>IFERROR(__xludf.DUMMYFUNCTION("""COMPUTED_VALUE"""),0.04629)</f>
        <v>0.04629</v>
      </c>
      <c r="K3335" s="19" t="str">
        <f>IFERROR(__xludf.DUMMYFUNCTION("""COMPUTED_VALUE"""),"-")</f>
        <v>-</v>
      </c>
      <c r="L3335" s="19" t="str">
        <f>IFERROR(__xludf.DUMMYFUNCTION("""COMPUTED_VALUE"""),"-")</f>
        <v>-</v>
      </c>
      <c r="O3335" s="24">
        <f t="shared" si="4"/>
        <v>0</v>
      </c>
      <c r="P3335" s="24"/>
      <c r="Q3335" s="24">
        <f t="shared" si="6"/>
        <v>0</v>
      </c>
      <c r="R3335" s="24">
        <f t="shared" si="7"/>
        <v>0</v>
      </c>
      <c r="S3335" s="24"/>
      <c r="T3335" s="24"/>
    </row>
    <row r="3336">
      <c r="A3336" s="12" t="s">
        <v>3423</v>
      </c>
      <c r="F3336" s="19">
        <f>IFERROR(__xludf.DUMMYFUNCTION("SPLIT(A3332, "" |"")"),3330.0)</f>
        <v>3330</v>
      </c>
      <c r="G3336" s="19">
        <f>IFERROR(__xludf.DUMMYFUNCTION("""COMPUTED_VALUE"""),0.0023)</f>
        <v>0.0023</v>
      </c>
      <c r="H3336" s="19" t="str">
        <f>IFERROR(__xludf.DUMMYFUNCTION("""COMPUTED_VALUE"""),"-")</f>
        <v>-</v>
      </c>
      <c r="I3336" s="19">
        <f>IFERROR(__xludf.DUMMYFUNCTION("""COMPUTED_VALUE"""),0.00223)</f>
        <v>0.00223</v>
      </c>
      <c r="J3336" s="19">
        <f>IFERROR(__xludf.DUMMYFUNCTION("""COMPUTED_VALUE"""),0.04745)</f>
        <v>0.04745</v>
      </c>
      <c r="K3336" s="19" t="str">
        <f>IFERROR(__xludf.DUMMYFUNCTION("""COMPUTED_VALUE"""),"-")</f>
        <v>-</v>
      </c>
      <c r="L3336" s="19" t="str">
        <f>IFERROR(__xludf.DUMMYFUNCTION("""COMPUTED_VALUE"""),"-")</f>
        <v>-</v>
      </c>
      <c r="O3336" s="24">
        <f t="shared" si="4"/>
        <v>0</v>
      </c>
      <c r="P3336" s="24"/>
      <c r="Q3336" s="24">
        <f t="shared" si="6"/>
        <v>0</v>
      </c>
      <c r="R3336" s="24">
        <f t="shared" si="7"/>
        <v>0</v>
      </c>
      <c r="S3336" s="24"/>
      <c r="T3336" s="24"/>
    </row>
    <row r="3337">
      <c r="A3337" s="12" t="s">
        <v>3424</v>
      </c>
      <c r="F3337" s="19">
        <f>IFERROR(__xludf.DUMMYFUNCTION("SPLIT(A3333, "" |"")"),3331.0)</f>
        <v>3331</v>
      </c>
      <c r="G3337" s="19">
        <f>IFERROR(__xludf.DUMMYFUNCTION("""COMPUTED_VALUE"""),0.00242)</f>
        <v>0.00242</v>
      </c>
      <c r="H3337" s="19" t="str">
        <f>IFERROR(__xludf.DUMMYFUNCTION("""COMPUTED_VALUE"""),"-")</f>
        <v>-</v>
      </c>
      <c r="I3337" s="19">
        <f>IFERROR(__xludf.DUMMYFUNCTION("""COMPUTED_VALUE"""),0.00223)</f>
        <v>0.00223</v>
      </c>
      <c r="J3337" s="19">
        <f>IFERROR(__xludf.DUMMYFUNCTION("""COMPUTED_VALUE"""),0.04744)</f>
        <v>0.04744</v>
      </c>
      <c r="K3337" s="19" t="str">
        <f>IFERROR(__xludf.DUMMYFUNCTION("""COMPUTED_VALUE"""),"-")</f>
        <v>-</v>
      </c>
      <c r="L3337" s="19" t="str">
        <f>IFERROR(__xludf.DUMMYFUNCTION("""COMPUTED_VALUE"""),"-")</f>
        <v>-</v>
      </c>
      <c r="O3337" s="24">
        <f t="shared" si="4"/>
        <v>0</v>
      </c>
      <c r="P3337" s="24"/>
      <c r="Q3337" s="24">
        <f t="shared" si="6"/>
        <v>0</v>
      </c>
      <c r="R3337" s="24">
        <f t="shared" si="7"/>
        <v>0</v>
      </c>
      <c r="S3337" s="24"/>
      <c r="T3337" s="24"/>
    </row>
    <row r="3338">
      <c r="A3338" s="12" t="s">
        <v>3425</v>
      </c>
      <c r="F3338" s="19">
        <f>IFERROR(__xludf.DUMMYFUNCTION("SPLIT(A3334, "" |"")"),3332.0)</f>
        <v>3332</v>
      </c>
      <c r="G3338" s="19">
        <f>IFERROR(__xludf.DUMMYFUNCTION("""COMPUTED_VALUE"""),0.00238)</f>
        <v>0.00238</v>
      </c>
      <c r="H3338" s="19" t="str">
        <f>IFERROR(__xludf.DUMMYFUNCTION("""COMPUTED_VALUE"""),"-")</f>
        <v>-</v>
      </c>
      <c r="I3338" s="19">
        <f>IFERROR(__xludf.DUMMYFUNCTION("""COMPUTED_VALUE"""),0.00217)</f>
        <v>0.00217</v>
      </c>
      <c r="J3338" s="19">
        <f>IFERROR(__xludf.DUMMYFUNCTION("""COMPUTED_VALUE"""),0.04747)</f>
        <v>0.04747</v>
      </c>
      <c r="K3338" s="19" t="str">
        <f>IFERROR(__xludf.DUMMYFUNCTION("""COMPUTED_VALUE"""),"-")</f>
        <v>-</v>
      </c>
      <c r="L3338" s="19" t="str">
        <f>IFERROR(__xludf.DUMMYFUNCTION("""COMPUTED_VALUE"""),"-")</f>
        <v>-</v>
      </c>
      <c r="O3338" s="24">
        <f t="shared" si="4"/>
        <v>0</v>
      </c>
      <c r="P3338" s="24"/>
      <c r="Q3338" s="24">
        <f t="shared" si="6"/>
        <v>0</v>
      </c>
      <c r="R3338" s="24">
        <f t="shared" si="7"/>
        <v>0</v>
      </c>
      <c r="S3338" s="24"/>
      <c r="T3338" s="24"/>
    </row>
    <row r="3339">
      <c r="A3339" s="12" t="s">
        <v>3426</v>
      </c>
      <c r="F3339" s="19">
        <f>IFERROR(__xludf.DUMMYFUNCTION("SPLIT(A3335, "" |"")"),3333.0)</f>
        <v>3333</v>
      </c>
      <c r="G3339" s="19">
        <f>IFERROR(__xludf.DUMMYFUNCTION("""COMPUTED_VALUE"""),0.00233)</f>
        <v>0.00233</v>
      </c>
      <c r="H3339" s="19" t="str">
        <f>IFERROR(__xludf.DUMMYFUNCTION("""COMPUTED_VALUE"""),"-")</f>
        <v>-</v>
      </c>
      <c r="I3339" s="19">
        <f>IFERROR(__xludf.DUMMYFUNCTION("""COMPUTED_VALUE"""),0.00223)</f>
        <v>0.00223</v>
      </c>
      <c r="J3339" s="19">
        <f>IFERROR(__xludf.DUMMYFUNCTION("""COMPUTED_VALUE"""),0.03989)</f>
        <v>0.03989</v>
      </c>
      <c r="K3339" s="19" t="str">
        <f>IFERROR(__xludf.DUMMYFUNCTION("""COMPUTED_VALUE"""),"-")</f>
        <v>-</v>
      </c>
      <c r="L3339" s="19" t="str">
        <f>IFERROR(__xludf.DUMMYFUNCTION("""COMPUTED_VALUE"""),"-")</f>
        <v>-</v>
      </c>
      <c r="O3339" s="24">
        <f t="shared" si="4"/>
        <v>0</v>
      </c>
      <c r="P3339" s="24"/>
      <c r="Q3339" s="24">
        <f t="shared" si="6"/>
        <v>0</v>
      </c>
      <c r="R3339" s="24">
        <f t="shared" si="7"/>
        <v>1</v>
      </c>
      <c r="S3339" s="24"/>
      <c r="T3339" s="24"/>
    </row>
    <row r="3340">
      <c r="A3340" s="12" t="s">
        <v>3427</v>
      </c>
      <c r="F3340" s="19">
        <f>IFERROR(__xludf.DUMMYFUNCTION("SPLIT(A3336, "" |"")"),3334.0)</f>
        <v>3334</v>
      </c>
      <c r="G3340" s="19">
        <f>IFERROR(__xludf.DUMMYFUNCTION("""COMPUTED_VALUE"""),0.0023)</f>
        <v>0.0023</v>
      </c>
      <c r="H3340" s="19" t="str">
        <f>IFERROR(__xludf.DUMMYFUNCTION("""COMPUTED_VALUE"""),"-")</f>
        <v>-</v>
      </c>
      <c r="I3340" s="19">
        <f>IFERROR(__xludf.DUMMYFUNCTION("""COMPUTED_VALUE"""),0.00222)</f>
        <v>0.00222</v>
      </c>
      <c r="J3340" s="19">
        <f>IFERROR(__xludf.DUMMYFUNCTION("""COMPUTED_VALUE"""),0.0473)</f>
        <v>0.0473</v>
      </c>
      <c r="K3340" s="19" t="str">
        <f>IFERROR(__xludf.DUMMYFUNCTION("""COMPUTED_VALUE"""),"-")</f>
        <v>-</v>
      </c>
      <c r="L3340" s="19" t="str">
        <f>IFERROR(__xludf.DUMMYFUNCTION("""COMPUTED_VALUE"""),"-")</f>
        <v>-</v>
      </c>
      <c r="O3340" s="24">
        <f t="shared" si="4"/>
        <v>0</v>
      </c>
      <c r="P3340" s="24"/>
      <c r="Q3340" s="24">
        <f t="shared" si="6"/>
        <v>0</v>
      </c>
      <c r="R3340" s="24">
        <f t="shared" si="7"/>
        <v>0</v>
      </c>
      <c r="S3340" s="24"/>
      <c r="T3340" s="24"/>
    </row>
    <row r="3341">
      <c r="A3341" s="12" t="s">
        <v>3428</v>
      </c>
      <c r="F3341" s="19">
        <f>IFERROR(__xludf.DUMMYFUNCTION("SPLIT(A3337, "" |"")"),3335.0)</f>
        <v>3335</v>
      </c>
      <c r="G3341" s="19">
        <f>IFERROR(__xludf.DUMMYFUNCTION("""COMPUTED_VALUE"""),0.00232)</f>
        <v>0.00232</v>
      </c>
      <c r="H3341" s="19" t="str">
        <f>IFERROR(__xludf.DUMMYFUNCTION("""COMPUTED_VALUE"""),"-")</f>
        <v>-</v>
      </c>
      <c r="I3341" s="19">
        <f>IFERROR(__xludf.DUMMYFUNCTION("""COMPUTED_VALUE"""),0.00221)</f>
        <v>0.00221</v>
      </c>
      <c r="J3341" s="19">
        <f>IFERROR(__xludf.DUMMYFUNCTION("""COMPUTED_VALUE"""),0.04742)</f>
        <v>0.04742</v>
      </c>
      <c r="K3341" s="19" t="str">
        <f>IFERROR(__xludf.DUMMYFUNCTION("""COMPUTED_VALUE"""),"-")</f>
        <v>-</v>
      </c>
      <c r="L3341" s="19" t="str">
        <f>IFERROR(__xludf.DUMMYFUNCTION("""COMPUTED_VALUE"""),"-")</f>
        <v>-</v>
      </c>
      <c r="O3341" s="24">
        <f t="shared" si="4"/>
        <v>0</v>
      </c>
      <c r="P3341" s="24"/>
      <c r="Q3341" s="24">
        <f t="shared" si="6"/>
        <v>0</v>
      </c>
      <c r="R3341" s="24">
        <f t="shared" si="7"/>
        <v>0</v>
      </c>
      <c r="S3341" s="24"/>
      <c r="T3341" s="24"/>
    </row>
    <row r="3342">
      <c r="A3342" s="12" t="s">
        <v>3429</v>
      </c>
      <c r="F3342" s="19">
        <f>IFERROR(__xludf.DUMMYFUNCTION("SPLIT(A3338, "" |"")"),3336.0)</f>
        <v>3336</v>
      </c>
      <c r="G3342" s="19">
        <f>IFERROR(__xludf.DUMMYFUNCTION("""COMPUTED_VALUE"""),0.00238)</f>
        <v>0.00238</v>
      </c>
      <c r="H3342" s="19" t="str">
        <f>IFERROR(__xludf.DUMMYFUNCTION("""COMPUTED_VALUE"""),"-")</f>
        <v>-</v>
      </c>
      <c r="I3342" s="19">
        <f>IFERROR(__xludf.DUMMYFUNCTION("""COMPUTED_VALUE"""),0.00228)</f>
        <v>0.00228</v>
      </c>
      <c r="J3342" s="19">
        <f>IFERROR(__xludf.DUMMYFUNCTION("""COMPUTED_VALUE"""),0.04743)</f>
        <v>0.04743</v>
      </c>
      <c r="K3342" s="19" t="str">
        <f>IFERROR(__xludf.DUMMYFUNCTION("""COMPUTED_VALUE"""),"-")</f>
        <v>-</v>
      </c>
      <c r="L3342" s="19" t="str">
        <f>IFERROR(__xludf.DUMMYFUNCTION("""COMPUTED_VALUE"""),"-")</f>
        <v>-</v>
      </c>
      <c r="O3342" s="24">
        <f t="shared" si="4"/>
        <v>0</v>
      </c>
      <c r="P3342" s="24"/>
      <c r="Q3342" s="24">
        <f t="shared" si="6"/>
        <v>0</v>
      </c>
      <c r="R3342" s="24">
        <f t="shared" si="7"/>
        <v>0</v>
      </c>
      <c r="S3342" s="24"/>
      <c r="T3342" s="24"/>
    </row>
    <row r="3343">
      <c r="A3343" s="12" t="s">
        <v>3430</v>
      </c>
      <c r="F3343" s="19">
        <f>IFERROR(__xludf.DUMMYFUNCTION("SPLIT(A3339, "" |"")"),3337.0)</f>
        <v>3337</v>
      </c>
      <c r="G3343" s="19">
        <f>IFERROR(__xludf.DUMMYFUNCTION("""COMPUTED_VALUE"""),0.00237)</f>
        <v>0.00237</v>
      </c>
      <c r="H3343" s="19" t="str">
        <f>IFERROR(__xludf.DUMMYFUNCTION("""COMPUTED_VALUE"""),"-")</f>
        <v>-</v>
      </c>
      <c r="I3343" s="19">
        <f>IFERROR(__xludf.DUMMYFUNCTION("""COMPUTED_VALUE"""),0.0022)</f>
        <v>0.0022</v>
      </c>
      <c r="J3343" s="19">
        <f>IFERROR(__xludf.DUMMYFUNCTION("""COMPUTED_VALUE"""),0.04738)</f>
        <v>0.04738</v>
      </c>
      <c r="K3343" s="19" t="str">
        <f>IFERROR(__xludf.DUMMYFUNCTION("""COMPUTED_VALUE"""),"-")</f>
        <v>-</v>
      </c>
      <c r="L3343" s="19" t="str">
        <f>IFERROR(__xludf.DUMMYFUNCTION("""COMPUTED_VALUE"""),"-")</f>
        <v>-</v>
      </c>
      <c r="O3343" s="24">
        <f t="shared" si="4"/>
        <v>0</v>
      </c>
      <c r="P3343" s="24"/>
      <c r="Q3343" s="24">
        <f t="shared" si="6"/>
        <v>0</v>
      </c>
      <c r="R3343" s="24">
        <f t="shared" si="7"/>
        <v>0</v>
      </c>
      <c r="S3343" s="24"/>
      <c r="T3343" s="24"/>
    </row>
    <row r="3344">
      <c r="A3344" s="12" t="s">
        <v>3431</v>
      </c>
      <c r="F3344" s="19">
        <f>IFERROR(__xludf.DUMMYFUNCTION("SPLIT(A3340, "" |"")"),3338.0)</f>
        <v>3338</v>
      </c>
      <c r="G3344" s="19">
        <f>IFERROR(__xludf.DUMMYFUNCTION("""COMPUTED_VALUE"""),0.00238)</f>
        <v>0.00238</v>
      </c>
      <c r="H3344" s="19" t="str">
        <f>IFERROR(__xludf.DUMMYFUNCTION("""COMPUTED_VALUE"""),"-")</f>
        <v>-</v>
      </c>
      <c r="I3344" s="19">
        <f>IFERROR(__xludf.DUMMYFUNCTION("""COMPUTED_VALUE"""),0.00223)</f>
        <v>0.00223</v>
      </c>
      <c r="J3344" s="19">
        <f>IFERROR(__xludf.DUMMYFUNCTION("""COMPUTED_VALUE"""),0.04015)</f>
        <v>0.04015</v>
      </c>
      <c r="K3344" s="19" t="str">
        <f>IFERROR(__xludf.DUMMYFUNCTION("""COMPUTED_VALUE"""),"-")</f>
        <v>-</v>
      </c>
      <c r="L3344" s="19" t="str">
        <f>IFERROR(__xludf.DUMMYFUNCTION("""COMPUTED_VALUE"""),"-")</f>
        <v>-</v>
      </c>
      <c r="O3344" s="24">
        <f t="shared" si="4"/>
        <v>0</v>
      </c>
      <c r="P3344" s="24"/>
      <c r="Q3344" s="24">
        <f t="shared" si="6"/>
        <v>0</v>
      </c>
      <c r="R3344" s="24">
        <f t="shared" si="7"/>
        <v>1</v>
      </c>
      <c r="S3344" s="24"/>
      <c r="T3344" s="24"/>
    </row>
    <row r="3345">
      <c r="A3345" s="12" t="s">
        <v>3432</v>
      </c>
      <c r="F3345" s="19">
        <f>IFERROR(__xludf.DUMMYFUNCTION("SPLIT(A3341, "" |"")"),3339.0)</f>
        <v>3339</v>
      </c>
      <c r="G3345" s="19">
        <f>IFERROR(__xludf.DUMMYFUNCTION("""COMPUTED_VALUE"""),0.00231)</f>
        <v>0.00231</v>
      </c>
      <c r="H3345" s="19" t="str">
        <f>IFERROR(__xludf.DUMMYFUNCTION("""COMPUTED_VALUE"""),"-")</f>
        <v>-</v>
      </c>
      <c r="I3345" s="19">
        <f>IFERROR(__xludf.DUMMYFUNCTION("""COMPUTED_VALUE"""),0.00223)</f>
        <v>0.00223</v>
      </c>
      <c r="J3345" s="19">
        <f>IFERROR(__xludf.DUMMYFUNCTION("""COMPUTED_VALUE"""),0.04743)</f>
        <v>0.04743</v>
      </c>
      <c r="K3345" s="19" t="str">
        <f>IFERROR(__xludf.DUMMYFUNCTION("""COMPUTED_VALUE"""),"-")</f>
        <v>-</v>
      </c>
      <c r="L3345" s="19" t="str">
        <f>IFERROR(__xludf.DUMMYFUNCTION("""COMPUTED_VALUE"""),"-")</f>
        <v>-</v>
      </c>
      <c r="O3345" s="24">
        <f t="shared" si="4"/>
        <v>0</v>
      </c>
      <c r="P3345" s="24"/>
      <c r="Q3345" s="24">
        <f t="shared" si="6"/>
        <v>0</v>
      </c>
      <c r="R3345" s="24">
        <f t="shared" si="7"/>
        <v>0</v>
      </c>
      <c r="S3345" s="24"/>
      <c r="T3345" s="24"/>
    </row>
    <row r="3346">
      <c r="A3346" s="12" t="s">
        <v>3433</v>
      </c>
      <c r="F3346" s="19">
        <f>IFERROR(__xludf.DUMMYFUNCTION("SPLIT(A3342, "" |"")"),3340.0)</f>
        <v>3340</v>
      </c>
      <c r="G3346" s="19">
        <f>IFERROR(__xludf.DUMMYFUNCTION("""COMPUTED_VALUE"""),0.00231)</f>
        <v>0.00231</v>
      </c>
      <c r="H3346" s="19" t="str">
        <f>IFERROR(__xludf.DUMMYFUNCTION("""COMPUTED_VALUE"""),"-")</f>
        <v>-</v>
      </c>
      <c r="I3346" s="19">
        <f>IFERROR(__xludf.DUMMYFUNCTION("""COMPUTED_VALUE"""),0.00208)</f>
        <v>0.00208</v>
      </c>
      <c r="J3346" s="19">
        <f>IFERROR(__xludf.DUMMYFUNCTION("""COMPUTED_VALUE"""),0.04738)</f>
        <v>0.04738</v>
      </c>
      <c r="K3346" s="19" t="str">
        <f>IFERROR(__xludf.DUMMYFUNCTION("""COMPUTED_VALUE"""),"-")</f>
        <v>-</v>
      </c>
      <c r="L3346" s="19" t="str">
        <f>IFERROR(__xludf.DUMMYFUNCTION("""COMPUTED_VALUE"""),"-")</f>
        <v>-</v>
      </c>
      <c r="O3346" s="24">
        <f t="shared" si="4"/>
        <v>0</v>
      </c>
      <c r="P3346" s="24"/>
      <c r="Q3346" s="24">
        <f t="shared" si="6"/>
        <v>0</v>
      </c>
      <c r="R3346" s="24">
        <f t="shared" si="7"/>
        <v>0</v>
      </c>
      <c r="S3346" s="24"/>
      <c r="T3346" s="24"/>
    </row>
    <row r="3347">
      <c r="A3347" s="12" t="s">
        <v>3434</v>
      </c>
      <c r="F3347" s="19">
        <f>IFERROR(__xludf.DUMMYFUNCTION("SPLIT(A3343, "" |"")"),3341.0)</f>
        <v>3341</v>
      </c>
      <c r="G3347" s="19">
        <f>IFERROR(__xludf.DUMMYFUNCTION("""COMPUTED_VALUE"""),0.0024)</f>
        <v>0.0024</v>
      </c>
      <c r="H3347" s="19" t="str">
        <f>IFERROR(__xludf.DUMMYFUNCTION("""COMPUTED_VALUE"""),"-")</f>
        <v>-</v>
      </c>
      <c r="I3347" s="19">
        <f>IFERROR(__xludf.DUMMYFUNCTION("""COMPUTED_VALUE"""),0.00222)</f>
        <v>0.00222</v>
      </c>
      <c r="J3347" s="19">
        <f>IFERROR(__xludf.DUMMYFUNCTION("""COMPUTED_VALUE"""),0.04747)</f>
        <v>0.04747</v>
      </c>
      <c r="K3347" s="19" t="str">
        <f>IFERROR(__xludf.DUMMYFUNCTION("""COMPUTED_VALUE"""),"-")</f>
        <v>-</v>
      </c>
      <c r="L3347" s="19" t="str">
        <f>IFERROR(__xludf.DUMMYFUNCTION("""COMPUTED_VALUE"""),"-")</f>
        <v>-</v>
      </c>
      <c r="O3347" s="24">
        <f t="shared" si="4"/>
        <v>0</v>
      </c>
      <c r="P3347" s="24"/>
      <c r="Q3347" s="24">
        <f t="shared" si="6"/>
        <v>0</v>
      </c>
      <c r="R3347" s="24">
        <f t="shared" si="7"/>
        <v>0</v>
      </c>
      <c r="S3347" s="24"/>
      <c r="T3347" s="24"/>
    </row>
    <row r="3348">
      <c r="A3348" s="12" t="s">
        <v>3435</v>
      </c>
      <c r="F3348" s="19">
        <f>IFERROR(__xludf.DUMMYFUNCTION("SPLIT(A3344, "" |"")"),3342.0)</f>
        <v>3342</v>
      </c>
      <c r="G3348" s="19">
        <f>IFERROR(__xludf.DUMMYFUNCTION("""COMPUTED_VALUE"""),0.00236)</f>
        <v>0.00236</v>
      </c>
      <c r="H3348" s="19" t="str">
        <f>IFERROR(__xludf.DUMMYFUNCTION("""COMPUTED_VALUE"""),"-")</f>
        <v>-</v>
      </c>
      <c r="I3348" s="19">
        <f>IFERROR(__xludf.DUMMYFUNCTION("""COMPUTED_VALUE"""),0.00221)</f>
        <v>0.00221</v>
      </c>
      <c r="J3348" s="19">
        <f>IFERROR(__xludf.DUMMYFUNCTION("""COMPUTED_VALUE"""),0.04739)</f>
        <v>0.04739</v>
      </c>
      <c r="K3348" s="19" t="str">
        <f>IFERROR(__xludf.DUMMYFUNCTION("""COMPUTED_VALUE"""),"-")</f>
        <v>-</v>
      </c>
      <c r="L3348" s="19" t="str">
        <f>IFERROR(__xludf.DUMMYFUNCTION("""COMPUTED_VALUE"""),"-")</f>
        <v>-</v>
      </c>
      <c r="O3348" s="24">
        <f t="shared" si="4"/>
        <v>0</v>
      </c>
      <c r="P3348" s="24"/>
      <c r="Q3348" s="24">
        <f t="shared" si="6"/>
        <v>0</v>
      </c>
      <c r="R3348" s="24">
        <f t="shared" si="7"/>
        <v>0</v>
      </c>
      <c r="S3348" s="24"/>
      <c r="T3348" s="24"/>
    </row>
    <row r="3349">
      <c r="A3349" s="12" t="s">
        <v>3436</v>
      </c>
      <c r="F3349" s="19">
        <f>IFERROR(__xludf.DUMMYFUNCTION("SPLIT(A3345, "" |"")"),3343.0)</f>
        <v>3343</v>
      </c>
      <c r="G3349" s="19">
        <f>IFERROR(__xludf.DUMMYFUNCTION("""COMPUTED_VALUE"""),0.00236)</f>
        <v>0.00236</v>
      </c>
      <c r="H3349" s="19" t="str">
        <f>IFERROR(__xludf.DUMMYFUNCTION("""COMPUTED_VALUE"""),"-")</f>
        <v>-</v>
      </c>
      <c r="I3349" s="19">
        <f>IFERROR(__xludf.DUMMYFUNCTION("""COMPUTED_VALUE"""),0.00223)</f>
        <v>0.00223</v>
      </c>
      <c r="J3349" s="19">
        <f>IFERROR(__xludf.DUMMYFUNCTION("""COMPUTED_VALUE"""),0.04414)</f>
        <v>0.04414</v>
      </c>
      <c r="K3349" s="19" t="str">
        <f>IFERROR(__xludf.DUMMYFUNCTION("""COMPUTED_VALUE"""),"-")</f>
        <v>-</v>
      </c>
      <c r="L3349" s="19" t="str">
        <f>IFERROR(__xludf.DUMMYFUNCTION("""COMPUTED_VALUE"""),"-")</f>
        <v>-</v>
      </c>
      <c r="O3349" s="24">
        <f t="shared" si="4"/>
        <v>0</v>
      </c>
      <c r="P3349" s="24"/>
      <c r="Q3349" s="24">
        <f t="shared" si="6"/>
        <v>0</v>
      </c>
      <c r="R3349" s="24">
        <f t="shared" si="7"/>
        <v>1</v>
      </c>
      <c r="S3349" s="24"/>
      <c r="T3349" s="24"/>
    </row>
    <row r="3350">
      <c r="A3350" s="12" t="s">
        <v>3437</v>
      </c>
      <c r="F3350" s="19">
        <f>IFERROR(__xludf.DUMMYFUNCTION("SPLIT(A3346, "" |"")"),3344.0)</f>
        <v>3344</v>
      </c>
      <c r="G3350" s="19">
        <f>IFERROR(__xludf.DUMMYFUNCTION("""COMPUTED_VALUE"""),0.0024)</f>
        <v>0.0024</v>
      </c>
      <c r="H3350" s="19" t="str">
        <f>IFERROR(__xludf.DUMMYFUNCTION("""COMPUTED_VALUE"""),"-")</f>
        <v>-</v>
      </c>
      <c r="I3350" s="19">
        <f>IFERROR(__xludf.DUMMYFUNCTION("""COMPUTED_VALUE"""),0.00225)</f>
        <v>0.00225</v>
      </c>
      <c r="J3350" s="19">
        <f>IFERROR(__xludf.DUMMYFUNCTION("""COMPUTED_VALUE"""),0.04736)</f>
        <v>0.04736</v>
      </c>
      <c r="K3350" s="19" t="str">
        <f>IFERROR(__xludf.DUMMYFUNCTION("""COMPUTED_VALUE"""),"-")</f>
        <v>-</v>
      </c>
      <c r="L3350" s="19" t="str">
        <f>IFERROR(__xludf.DUMMYFUNCTION("""COMPUTED_VALUE"""),"-")</f>
        <v>-</v>
      </c>
      <c r="O3350" s="24">
        <f t="shared" si="4"/>
        <v>0</v>
      </c>
      <c r="P3350" s="24"/>
      <c r="Q3350" s="24">
        <f t="shared" si="6"/>
        <v>0</v>
      </c>
      <c r="R3350" s="24">
        <f t="shared" si="7"/>
        <v>0</v>
      </c>
      <c r="S3350" s="24"/>
      <c r="T3350" s="24"/>
    </row>
    <row r="3351">
      <c r="A3351" s="12" t="s">
        <v>3438</v>
      </c>
      <c r="F3351" s="19">
        <f>IFERROR(__xludf.DUMMYFUNCTION("SPLIT(A3347, "" |"")"),3345.0)</f>
        <v>3345</v>
      </c>
      <c r="G3351" s="19">
        <f>IFERROR(__xludf.DUMMYFUNCTION("""COMPUTED_VALUE"""),0.0024)</f>
        <v>0.0024</v>
      </c>
      <c r="H3351" s="19" t="str">
        <f>IFERROR(__xludf.DUMMYFUNCTION("""COMPUTED_VALUE"""),"-")</f>
        <v>-</v>
      </c>
      <c r="I3351" s="19">
        <f>IFERROR(__xludf.DUMMYFUNCTION("""COMPUTED_VALUE"""),0.00226)</f>
        <v>0.00226</v>
      </c>
      <c r="J3351" s="19">
        <f>IFERROR(__xludf.DUMMYFUNCTION("""COMPUTED_VALUE"""),0.04745)</f>
        <v>0.04745</v>
      </c>
      <c r="K3351" s="19" t="str">
        <f>IFERROR(__xludf.DUMMYFUNCTION("""COMPUTED_VALUE"""),"-")</f>
        <v>-</v>
      </c>
      <c r="L3351" s="19" t="str">
        <f>IFERROR(__xludf.DUMMYFUNCTION("""COMPUTED_VALUE"""),"-")</f>
        <v>-</v>
      </c>
      <c r="O3351" s="24">
        <f t="shared" si="4"/>
        <v>0</v>
      </c>
      <c r="P3351" s="24"/>
      <c r="Q3351" s="24">
        <f t="shared" si="6"/>
        <v>0</v>
      </c>
      <c r="R3351" s="24">
        <f t="shared" si="7"/>
        <v>0</v>
      </c>
      <c r="S3351" s="24"/>
      <c r="T3351" s="24"/>
    </row>
    <row r="3352">
      <c r="A3352" s="12" t="s">
        <v>3439</v>
      </c>
      <c r="F3352" s="19">
        <f>IFERROR(__xludf.DUMMYFUNCTION("SPLIT(A3348, "" |"")"),3346.0)</f>
        <v>3346</v>
      </c>
      <c r="G3352" s="19">
        <f>IFERROR(__xludf.DUMMYFUNCTION("""COMPUTED_VALUE"""),0.00241)</f>
        <v>0.00241</v>
      </c>
      <c r="H3352" s="19" t="str">
        <f>IFERROR(__xludf.DUMMYFUNCTION("""COMPUTED_VALUE"""),"-")</f>
        <v>-</v>
      </c>
      <c r="I3352" s="19">
        <f>IFERROR(__xludf.DUMMYFUNCTION("""COMPUTED_VALUE"""),0.00231)</f>
        <v>0.00231</v>
      </c>
      <c r="J3352" s="19">
        <f>IFERROR(__xludf.DUMMYFUNCTION("""COMPUTED_VALUE"""),0.04701)</f>
        <v>0.04701</v>
      </c>
      <c r="K3352" s="19" t="str">
        <f>IFERROR(__xludf.DUMMYFUNCTION("""COMPUTED_VALUE"""),"-")</f>
        <v>-</v>
      </c>
      <c r="L3352" s="19" t="str">
        <f>IFERROR(__xludf.DUMMYFUNCTION("""COMPUTED_VALUE"""),"-")</f>
        <v>-</v>
      </c>
      <c r="O3352" s="24">
        <f t="shared" si="4"/>
        <v>0</v>
      </c>
      <c r="P3352" s="24"/>
      <c r="Q3352" s="24">
        <f t="shared" si="6"/>
        <v>0</v>
      </c>
      <c r="R3352" s="24">
        <f t="shared" si="7"/>
        <v>0</v>
      </c>
      <c r="S3352" s="24"/>
      <c r="T3352" s="24"/>
    </row>
    <row r="3353">
      <c r="A3353" s="12" t="s">
        <v>3440</v>
      </c>
      <c r="F3353" s="19">
        <f>IFERROR(__xludf.DUMMYFUNCTION("SPLIT(A3349, "" |"")"),3347.0)</f>
        <v>3347</v>
      </c>
      <c r="G3353" s="19">
        <f>IFERROR(__xludf.DUMMYFUNCTION("""COMPUTED_VALUE"""),0.00241)</f>
        <v>0.00241</v>
      </c>
      <c r="H3353" s="19" t="str">
        <f>IFERROR(__xludf.DUMMYFUNCTION("""COMPUTED_VALUE"""),"-")</f>
        <v>-</v>
      </c>
      <c r="I3353" s="19">
        <f>IFERROR(__xludf.DUMMYFUNCTION("""COMPUTED_VALUE"""),0.00221)</f>
        <v>0.00221</v>
      </c>
      <c r="J3353" s="19">
        <f>IFERROR(__xludf.DUMMYFUNCTION("""COMPUTED_VALUE"""),0.04746)</f>
        <v>0.04746</v>
      </c>
      <c r="K3353" s="19" t="str">
        <f>IFERROR(__xludf.DUMMYFUNCTION("""COMPUTED_VALUE"""),"-")</f>
        <v>-</v>
      </c>
      <c r="L3353" s="19" t="str">
        <f>IFERROR(__xludf.DUMMYFUNCTION("""COMPUTED_VALUE"""),"-")</f>
        <v>-</v>
      </c>
      <c r="O3353" s="24">
        <f t="shared" si="4"/>
        <v>0</v>
      </c>
      <c r="P3353" s="24"/>
      <c r="Q3353" s="24">
        <f t="shared" si="6"/>
        <v>0</v>
      </c>
      <c r="R3353" s="24">
        <f t="shared" si="7"/>
        <v>0</v>
      </c>
      <c r="S3353" s="24"/>
      <c r="T3353" s="24"/>
    </row>
    <row r="3354">
      <c r="A3354" s="12" t="s">
        <v>3441</v>
      </c>
      <c r="F3354" s="19">
        <f>IFERROR(__xludf.DUMMYFUNCTION("SPLIT(A3350, "" |"")"),3348.0)</f>
        <v>3348</v>
      </c>
      <c r="G3354" s="19">
        <f>IFERROR(__xludf.DUMMYFUNCTION("""COMPUTED_VALUE"""),0.00233)</f>
        <v>0.00233</v>
      </c>
      <c r="H3354" s="19" t="str">
        <f>IFERROR(__xludf.DUMMYFUNCTION("""COMPUTED_VALUE"""),"-")</f>
        <v>-</v>
      </c>
      <c r="I3354" s="19">
        <f>IFERROR(__xludf.DUMMYFUNCTION("""COMPUTED_VALUE"""),0.00225)</f>
        <v>0.00225</v>
      </c>
      <c r="J3354" s="19">
        <f>IFERROR(__xludf.DUMMYFUNCTION("""COMPUTED_VALUE"""),0.03976)</f>
        <v>0.03976</v>
      </c>
      <c r="K3354" s="19" t="str">
        <f>IFERROR(__xludf.DUMMYFUNCTION("""COMPUTED_VALUE"""),"-")</f>
        <v>-</v>
      </c>
      <c r="L3354" s="19" t="str">
        <f>IFERROR(__xludf.DUMMYFUNCTION("""COMPUTED_VALUE"""),"-")</f>
        <v>-</v>
      </c>
      <c r="O3354" s="24">
        <f t="shared" si="4"/>
        <v>0</v>
      </c>
      <c r="P3354" s="24"/>
      <c r="Q3354" s="24">
        <f t="shared" si="6"/>
        <v>0</v>
      </c>
      <c r="R3354" s="24">
        <f t="shared" si="7"/>
        <v>1</v>
      </c>
      <c r="S3354" s="24"/>
      <c r="T3354" s="24"/>
    </row>
    <row r="3355">
      <c r="A3355" s="12" t="s">
        <v>3442</v>
      </c>
      <c r="F3355" s="19">
        <f>IFERROR(__xludf.DUMMYFUNCTION("SPLIT(A3351, "" |"")"),3349.0)</f>
        <v>3349</v>
      </c>
      <c r="G3355" s="19">
        <f>IFERROR(__xludf.DUMMYFUNCTION("""COMPUTED_VALUE"""),0.00233)</f>
        <v>0.00233</v>
      </c>
      <c r="H3355" s="19" t="str">
        <f>IFERROR(__xludf.DUMMYFUNCTION("""COMPUTED_VALUE"""),"-")</f>
        <v>-</v>
      </c>
      <c r="I3355" s="19">
        <f>IFERROR(__xludf.DUMMYFUNCTION("""COMPUTED_VALUE"""),0.0022)</f>
        <v>0.0022</v>
      </c>
      <c r="J3355" s="19">
        <f>IFERROR(__xludf.DUMMYFUNCTION("""COMPUTED_VALUE"""),0.04177)</f>
        <v>0.04177</v>
      </c>
      <c r="K3355" s="19" t="str">
        <f>IFERROR(__xludf.DUMMYFUNCTION("""COMPUTED_VALUE"""),"-")</f>
        <v>-</v>
      </c>
      <c r="L3355" s="19" t="str">
        <f>IFERROR(__xludf.DUMMYFUNCTION("""COMPUTED_VALUE"""),"-")</f>
        <v>-</v>
      </c>
      <c r="O3355" s="24">
        <f t="shared" si="4"/>
        <v>0</v>
      </c>
      <c r="P3355" s="24"/>
      <c r="Q3355" s="24">
        <f t="shared" si="6"/>
        <v>0</v>
      </c>
      <c r="R3355" s="24">
        <f t="shared" si="7"/>
        <v>1</v>
      </c>
      <c r="S3355" s="24"/>
      <c r="T3355" s="24"/>
    </row>
    <row r="3356">
      <c r="A3356" s="12" t="s">
        <v>3443</v>
      </c>
      <c r="F3356" s="19">
        <f>IFERROR(__xludf.DUMMYFUNCTION("SPLIT(A3352, "" |"")"),3350.0)</f>
        <v>3350</v>
      </c>
      <c r="G3356" s="19">
        <f>IFERROR(__xludf.DUMMYFUNCTION("""COMPUTED_VALUE"""),0.00229)</f>
        <v>0.00229</v>
      </c>
      <c r="H3356" s="19" t="str">
        <f>IFERROR(__xludf.DUMMYFUNCTION("""COMPUTED_VALUE"""),"-")</f>
        <v>-</v>
      </c>
      <c r="I3356" s="19">
        <f>IFERROR(__xludf.DUMMYFUNCTION("""COMPUTED_VALUE"""),0.00221)</f>
        <v>0.00221</v>
      </c>
      <c r="J3356" s="19">
        <f>IFERROR(__xludf.DUMMYFUNCTION("""COMPUTED_VALUE"""),0.04747)</f>
        <v>0.04747</v>
      </c>
      <c r="K3356" s="19" t="str">
        <f>IFERROR(__xludf.DUMMYFUNCTION("""COMPUTED_VALUE"""),"-")</f>
        <v>-</v>
      </c>
      <c r="L3356" s="19" t="str">
        <f>IFERROR(__xludf.DUMMYFUNCTION("""COMPUTED_VALUE"""),"-")</f>
        <v>-</v>
      </c>
      <c r="O3356" s="24">
        <f t="shared" si="4"/>
        <v>0</v>
      </c>
      <c r="P3356" s="24"/>
      <c r="Q3356" s="24">
        <f t="shared" si="6"/>
        <v>0</v>
      </c>
      <c r="R3356" s="24">
        <f t="shared" si="7"/>
        <v>0</v>
      </c>
      <c r="S3356" s="24"/>
      <c r="T3356" s="24"/>
    </row>
    <row r="3357">
      <c r="A3357" s="12" t="s">
        <v>3444</v>
      </c>
      <c r="F3357" s="19">
        <f>IFERROR(__xludf.DUMMYFUNCTION("SPLIT(A3353, "" |"")"),3351.0)</f>
        <v>3351</v>
      </c>
      <c r="G3357" s="19">
        <f>IFERROR(__xludf.DUMMYFUNCTION("""COMPUTED_VALUE"""),0.00239)</f>
        <v>0.00239</v>
      </c>
      <c r="H3357" s="19" t="str">
        <f>IFERROR(__xludf.DUMMYFUNCTION("""COMPUTED_VALUE"""),"-")</f>
        <v>-</v>
      </c>
      <c r="I3357" s="19">
        <f>IFERROR(__xludf.DUMMYFUNCTION("""COMPUTED_VALUE"""),0.00224)</f>
        <v>0.00224</v>
      </c>
      <c r="J3357" s="19">
        <f>IFERROR(__xludf.DUMMYFUNCTION("""COMPUTED_VALUE"""),0.04744)</f>
        <v>0.04744</v>
      </c>
      <c r="K3357" s="19" t="str">
        <f>IFERROR(__xludf.DUMMYFUNCTION("""COMPUTED_VALUE"""),"-")</f>
        <v>-</v>
      </c>
      <c r="L3357" s="19" t="str">
        <f>IFERROR(__xludf.DUMMYFUNCTION("""COMPUTED_VALUE"""),"-")</f>
        <v>-</v>
      </c>
      <c r="O3357" s="24">
        <f t="shared" si="4"/>
        <v>0</v>
      </c>
      <c r="P3357" s="24"/>
      <c r="Q3357" s="24">
        <f t="shared" si="6"/>
        <v>0</v>
      </c>
      <c r="R3357" s="24">
        <f t="shared" si="7"/>
        <v>0</v>
      </c>
      <c r="S3357" s="24"/>
      <c r="T3357" s="24"/>
    </row>
    <row r="3358">
      <c r="A3358" s="12" t="s">
        <v>3445</v>
      </c>
      <c r="F3358" s="19">
        <f>IFERROR(__xludf.DUMMYFUNCTION("SPLIT(A3354, "" |"")"),3352.0)</f>
        <v>3352</v>
      </c>
      <c r="G3358" s="19">
        <f>IFERROR(__xludf.DUMMYFUNCTION("""COMPUTED_VALUE"""),0.00233)</f>
        <v>0.00233</v>
      </c>
      <c r="H3358" s="19" t="str">
        <f>IFERROR(__xludf.DUMMYFUNCTION("""COMPUTED_VALUE"""),"-")</f>
        <v>-</v>
      </c>
      <c r="I3358" s="19">
        <f>IFERROR(__xludf.DUMMYFUNCTION("""COMPUTED_VALUE"""),0.00224)</f>
        <v>0.00224</v>
      </c>
      <c r="J3358" s="19">
        <f>IFERROR(__xludf.DUMMYFUNCTION("""COMPUTED_VALUE"""),0.04741)</f>
        <v>0.04741</v>
      </c>
      <c r="K3358" s="19" t="str">
        <f>IFERROR(__xludf.DUMMYFUNCTION("""COMPUTED_VALUE"""),"-")</f>
        <v>-</v>
      </c>
      <c r="L3358" s="19" t="str">
        <f>IFERROR(__xludf.DUMMYFUNCTION("""COMPUTED_VALUE"""),"-")</f>
        <v>-</v>
      </c>
      <c r="O3358" s="24">
        <f t="shared" si="4"/>
        <v>0</v>
      </c>
      <c r="P3358" s="24"/>
      <c r="Q3358" s="24">
        <f t="shared" si="6"/>
        <v>0</v>
      </c>
      <c r="R3358" s="24">
        <f t="shared" si="7"/>
        <v>0</v>
      </c>
      <c r="S3358" s="24"/>
      <c r="T3358" s="24"/>
    </row>
    <row r="3359">
      <c r="A3359" s="12" t="s">
        <v>3446</v>
      </c>
      <c r="F3359" s="19">
        <f>IFERROR(__xludf.DUMMYFUNCTION("SPLIT(A3355, "" |"")"),3353.0)</f>
        <v>3353</v>
      </c>
      <c r="G3359" s="19">
        <f>IFERROR(__xludf.DUMMYFUNCTION("""COMPUTED_VALUE"""),0.00234)</f>
        <v>0.00234</v>
      </c>
      <c r="H3359" s="19" t="str">
        <f>IFERROR(__xludf.DUMMYFUNCTION("""COMPUTED_VALUE"""),"-")</f>
        <v>-</v>
      </c>
      <c r="I3359" s="19">
        <f>IFERROR(__xludf.DUMMYFUNCTION("""COMPUTED_VALUE"""),0.00224)</f>
        <v>0.00224</v>
      </c>
      <c r="J3359" s="19">
        <f>IFERROR(__xludf.DUMMYFUNCTION("""COMPUTED_VALUE"""),0.04715)</f>
        <v>0.04715</v>
      </c>
      <c r="K3359" s="19" t="str">
        <f>IFERROR(__xludf.DUMMYFUNCTION("""COMPUTED_VALUE"""),"-")</f>
        <v>-</v>
      </c>
      <c r="L3359" s="19" t="str">
        <f>IFERROR(__xludf.DUMMYFUNCTION("""COMPUTED_VALUE"""),"-")</f>
        <v>-</v>
      </c>
      <c r="O3359" s="24">
        <f t="shared" si="4"/>
        <v>0</v>
      </c>
      <c r="P3359" s="24"/>
      <c r="Q3359" s="24">
        <f t="shared" si="6"/>
        <v>0</v>
      </c>
      <c r="R3359" s="24">
        <f t="shared" si="7"/>
        <v>0</v>
      </c>
      <c r="S3359" s="24"/>
      <c r="T3359" s="24"/>
    </row>
    <row r="3360">
      <c r="A3360" s="12" t="s">
        <v>3447</v>
      </c>
      <c r="F3360" s="19">
        <f>IFERROR(__xludf.DUMMYFUNCTION("SPLIT(A3356, "" |"")"),3354.0)</f>
        <v>3354</v>
      </c>
      <c r="G3360" s="19">
        <f>IFERROR(__xludf.DUMMYFUNCTION("""COMPUTED_VALUE"""),0.00235)</f>
        <v>0.00235</v>
      </c>
      <c r="H3360" s="19" t="str">
        <f>IFERROR(__xludf.DUMMYFUNCTION("""COMPUTED_VALUE"""),"-")</f>
        <v>-</v>
      </c>
      <c r="I3360" s="19">
        <f>IFERROR(__xludf.DUMMYFUNCTION("""COMPUTED_VALUE"""),0.00223)</f>
        <v>0.00223</v>
      </c>
      <c r="J3360" s="19">
        <f>IFERROR(__xludf.DUMMYFUNCTION("""COMPUTED_VALUE"""),0.04746)</f>
        <v>0.04746</v>
      </c>
      <c r="K3360" s="19" t="str">
        <f>IFERROR(__xludf.DUMMYFUNCTION("""COMPUTED_VALUE"""),"-")</f>
        <v>-</v>
      </c>
      <c r="L3360" s="19" t="str">
        <f>IFERROR(__xludf.DUMMYFUNCTION("""COMPUTED_VALUE"""),"-")</f>
        <v>-</v>
      </c>
      <c r="O3360" s="24">
        <f t="shared" si="4"/>
        <v>0</v>
      </c>
      <c r="P3360" s="24"/>
      <c r="Q3360" s="24">
        <f t="shared" si="6"/>
        <v>0</v>
      </c>
      <c r="R3360" s="24">
        <f t="shared" si="7"/>
        <v>0</v>
      </c>
      <c r="S3360" s="24"/>
      <c r="T3360" s="24"/>
    </row>
    <row r="3361">
      <c r="A3361" s="12" t="s">
        <v>3448</v>
      </c>
      <c r="F3361" s="19">
        <f>IFERROR(__xludf.DUMMYFUNCTION("SPLIT(A3357, "" |"")"),3355.0)</f>
        <v>3355</v>
      </c>
      <c r="G3361" s="19">
        <f>IFERROR(__xludf.DUMMYFUNCTION("""COMPUTED_VALUE"""),0.00228)</f>
        <v>0.00228</v>
      </c>
      <c r="H3361" s="19" t="str">
        <f>IFERROR(__xludf.DUMMYFUNCTION("""COMPUTED_VALUE"""),"-")</f>
        <v>-</v>
      </c>
      <c r="I3361" s="19">
        <f>IFERROR(__xludf.DUMMYFUNCTION("""COMPUTED_VALUE"""),0.00228)</f>
        <v>0.00228</v>
      </c>
      <c r="J3361" s="19">
        <f>IFERROR(__xludf.DUMMYFUNCTION("""COMPUTED_VALUE"""),0.04741)</f>
        <v>0.04741</v>
      </c>
      <c r="K3361" s="19" t="str">
        <f>IFERROR(__xludf.DUMMYFUNCTION("""COMPUTED_VALUE"""),"-")</f>
        <v>-</v>
      </c>
      <c r="L3361" s="19" t="str">
        <f>IFERROR(__xludf.DUMMYFUNCTION("""COMPUTED_VALUE"""),"-")</f>
        <v>-</v>
      </c>
      <c r="O3361" s="24">
        <f t="shared" si="4"/>
        <v>0</v>
      </c>
      <c r="P3361" s="24"/>
      <c r="Q3361" s="24">
        <f t="shared" si="6"/>
        <v>0</v>
      </c>
      <c r="R3361" s="24">
        <f t="shared" si="7"/>
        <v>0</v>
      </c>
      <c r="S3361" s="24"/>
      <c r="T3361" s="24"/>
    </row>
    <row r="3362">
      <c r="A3362" s="12" t="s">
        <v>3449</v>
      </c>
      <c r="F3362" s="19">
        <f>IFERROR(__xludf.DUMMYFUNCTION("SPLIT(A3358, "" |"")"),3356.0)</f>
        <v>3356</v>
      </c>
      <c r="G3362" s="19">
        <f>IFERROR(__xludf.DUMMYFUNCTION("""COMPUTED_VALUE"""),0.00246)</f>
        <v>0.00246</v>
      </c>
      <c r="H3362" s="19" t="str">
        <f>IFERROR(__xludf.DUMMYFUNCTION("""COMPUTED_VALUE"""),"-")</f>
        <v>-</v>
      </c>
      <c r="I3362" s="19">
        <f>IFERROR(__xludf.DUMMYFUNCTION("""COMPUTED_VALUE"""),0.00221)</f>
        <v>0.00221</v>
      </c>
      <c r="J3362" s="19">
        <f>IFERROR(__xludf.DUMMYFUNCTION("""COMPUTED_VALUE"""),0.04736)</f>
        <v>0.04736</v>
      </c>
      <c r="K3362" s="19" t="str">
        <f>IFERROR(__xludf.DUMMYFUNCTION("""COMPUTED_VALUE"""),"-")</f>
        <v>-</v>
      </c>
      <c r="L3362" s="19" t="str">
        <f>IFERROR(__xludf.DUMMYFUNCTION("""COMPUTED_VALUE"""),"-")</f>
        <v>-</v>
      </c>
      <c r="O3362" s="24">
        <f t="shared" si="4"/>
        <v>0</v>
      </c>
      <c r="P3362" s="24"/>
      <c r="Q3362" s="24">
        <f t="shared" si="6"/>
        <v>0</v>
      </c>
      <c r="R3362" s="24">
        <f t="shared" si="7"/>
        <v>0</v>
      </c>
      <c r="S3362" s="24"/>
      <c r="T3362" s="24"/>
    </row>
    <row r="3363">
      <c r="A3363" s="12" t="s">
        <v>3450</v>
      </c>
      <c r="F3363" s="19">
        <f>IFERROR(__xludf.DUMMYFUNCTION("SPLIT(A3359, "" |"")"),3357.0)</f>
        <v>3357</v>
      </c>
      <c r="G3363" s="19">
        <f>IFERROR(__xludf.DUMMYFUNCTION("""COMPUTED_VALUE"""),0.00243)</f>
        <v>0.00243</v>
      </c>
      <c r="H3363" s="19" t="str">
        <f>IFERROR(__xludf.DUMMYFUNCTION("""COMPUTED_VALUE"""),"-")</f>
        <v>-</v>
      </c>
      <c r="I3363" s="19">
        <f>IFERROR(__xludf.DUMMYFUNCTION("""COMPUTED_VALUE"""),0.00221)</f>
        <v>0.00221</v>
      </c>
      <c r="J3363" s="19">
        <f>IFERROR(__xludf.DUMMYFUNCTION("""COMPUTED_VALUE"""),0.04393)</f>
        <v>0.04393</v>
      </c>
      <c r="K3363" s="19" t="str">
        <f>IFERROR(__xludf.DUMMYFUNCTION("""COMPUTED_VALUE"""),"-")</f>
        <v>-</v>
      </c>
      <c r="L3363" s="19" t="str">
        <f>IFERROR(__xludf.DUMMYFUNCTION("""COMPUTED_VALUE"""),"-")</f>
        <v>-</v>
      </c>
      <c r="O3363" s="24">
        <f t="shared" si="4"/>
        <v>0</v>
      </c>
      <c r="P3363" s="24"/>
      <c r="Q3363" s="24">
        <f t="shared" si="6"/>
        <v>0</v>
      </c>
      <c r="R3363" s="24">
        <f t="shared" si="7"/>
        <v>1</v>
      </c>
      <c r="S3363" s="24"/>
      <c r="T3363" s="24"/>
    </row>
    <row r="3364">
      <c r="A3364" s="12" t="s">
        <v>3451</v>
      </c>
      <c r="F3364" s="19">
        <f>IFERROR(__xludf.DUMMYFUNCTION("SPLIT(A3360, "" |"")"),3358.0)</f>
        <v>3358</v>
      </c>
      <c r="G3364" s="19">
        <f>IFERROR(__xludf.DUMMYFUNCTION("""COMPUTED_VALUE"""),0.00238)</f>
        <v>0.00238</v>
      </c>
      <c r="H3364" s="19" t="str">
        <f>IFERROR(__xludf.DUMMYFUNCTION("""COMPUTED_VALUE"""),"-")</f>
        <v>-</v>
      </c>
      <c r="I3364" s="19">
        <f>IFERROR(__xludf.DUMMYFUNCTION("""COMPUTED_VALUE"""),0.00226)</f>
        <v>0.00226</v>
      </c>
      <c r="J3364" s="19">
        <f>IFERROR(__xludf.DUMMYFUNCTION("""COMPUTED_VALUE"""),0.04739)</f>
        <v>0.04739</v>
      </c>
      <c r="K3364" s="19" t="str">
        <f>IFERROR(__xludf.DUMMYFUNCTION("""COMPUTED_VALUE"""),"-")</f>
        <v>-</v>
      </c>
      <c r="L3364" s="19" t="str">
        <f>IFERROR(__xludf.DUMMYFUNCTION("""COMPUTED_VALUE"""),"-")</f>
        <v>-</v>
      </c>
      <c r="O3364" s="24">
        <f t="shared" si="4"/>
        <v>0</v>
      </c>
      <c r="P3364" s="24"/>
      <c r="Q3364" s="24">
        <f t="shared" si="6"/>
        <v>0</v>
      </c>
      <c r="R3364" s="24">
        <f t="shared" si="7"/>
        <v>0</v>
      </c>
      <c r="S3364" s="24"/>
      <c r="T3364" s="24"/>
    </row>
    <row r="3365">
      <c r="A3365" s="12" t="s">
        <v>3452</v>
      </c>
      <c r="F3365" s="19">
        <f>IFERROR(__xludf.DUMMYFUNCTION("SPLIT(A3361, "" |"")"),3359.0)</f>
        <v>3359</v>
      </c>
      <c r="G3365" s="19">
        <f>IFERROR(__xludf.DUMMYFUNCTION("""COMPUTED_VALUE"""),0.00239)</f>
        <v>0.00239</v>
      </c>
      <c r="H3365" s="19" t="str">
        <f>IFERROR(__xludf.DUMMYFUNCTION("""COMPUTED_VALUE"""),"-")</f>
        <v>-</v>
      </c>
      <c r="I3365" s="19">
        <f>IFERROR(__xludf.DUMMYFUNCTION("""COMPUTED_VALUE"""),0.00221)</f>
        <v>0.00221</v>
      </c>
      <c r="J3365" s="19">
        <f>IFERROR(__xludf.DUMMYFUNCTION("""COMPUTED_VALUE"""),0.04743)</f>
        <v>0.04743</v>
      </c>
      <c r="K3365" s="19" t="str">
        <f>IFERROR(__xludf.DUMMYFUNCTION("""COMPUTED_VALUE"""),"-")</f>
        <v>-</v>
      </c>
      <c r="L3365" s="19" t="str">
        <f>IFERROR(__xludf.DUMMYFUNCTION("""COMPUTED_VALUE"""),"-")</f>
        <v>-</v>
      </c>
      <c r="O3365" s="24">
        <f t="shared" si="4"/>
        <v>0</v>
      </c>
      <c r="P3365" s="24"/>
      <c r="Q3365" s="24">
        <f t="shared" si="6"/>
        <v>0</v>
      </c>
      <c r="R3365" s="24">
        <f t="shared" si="7"/>
        <v>0</v>
      </c>
      <c r="S3365" s="24"/>
      <c r="T3365" s="24"/>
    </row>
    <row r="3366">
      <c r="A3366" s="12" t="s">
        <v>3453</v>
      </c>
      <c r="F3366" s="19">
        <f>IFERROR(__xludf.DUMMYFUNCTION("SPLIT(A3362, "" |"")"),3360.0)</f>
        <v>3360</v>
      </c>
      <c r="G3366" s="19">
        <f>IFERROR(__xludf.DUMMYFUNCTION("""COMPUTED_VALUE"""),0.00244)</f>
        <v>0.00244</v>
      </c>
      <c r="H3366" s="19" t="str">
        <f>IFERROR(__xludf.DUMMYFUNCTION("""COMPUTED_VALUE"""),"-")</f>
        <v>-</v>
      </c>
      <c r="I3366" s="19">
        <f>IFERROR(__xludf.DUMMYFUNCTION("""COMPUTED_VALUE"""),0.00227)</f>
        <v>0.00227</v>
      </c>
      <c r="J3366" s="19">
        <f>IFERROR(__xludf.DUMMYFUNCTION("""COMPUTED_VALUE"""),0.04736)</f>
        <v>0.04736</v>
      </c>
      <c r="K3366" s="19" t="str">
        <f>IFERROR(__xludf.DUMMYFUNCTION("""COMPUTED_VALUE"""),"-")</f>
        <v>-</v>
      </c>
      <c r="L3366" s="19" t="str">
        <f>IFERROR(__xludf.DUMMYFUNCTION("""COMPUTED_VALUE"""),"-")</f>
        <v>-</v>
      </c>
      <c r="O3366" s="24">
        <f t="shared" si="4"/>
        <v>0</v>
      </c>
      <c r="P3366" s="24"/>
      <c r="Q3366" s="24">
        <f t="shared" si="6"/>
        <v>0</v>
      </c>
      <c r="R3366" s="24">
        <f t="shared" si="7"/>
        <v>0</v>
      </c>
      <c r="S3366" s="24"/>
      <c r="T3366" s="24"/>
    </row>
    <row r="3367">
      <c r="A3367" s="12" t="s">
        <v>3454</v>
      </c>
      <c r="F3367" s="19">
        <f>IFERROR(__xludf.DUMMYFUNCTION("SPLIT(A3363, "" |"")"),3361.0)</f>
        <v>3361</v>
      </c>
      <c r="G3367" s="19">
        <f>IFERROR(__xludf.DUMMYFUNCTION("""COMPUTED_VALUE"""),0.0024)</f>
        <v>0.0024</v>
      </c>
      <c r="H3367" s="19" t="str">
        <f>IFERROR(__xludf.DUMMYFUNCTION("""COMPUTED_VALUE"""),"-")</f>
        <v>-</v>
      </c>
      <c r="I3367" s="19">
        <f>IFERROR(__xludf.DUMMYFUNCTION("""COMPUTED_VALUE"""),0.00228)</f>
        <v>0.00228</v>
      </c>
      <c r="J3367" s="19">
        <f>IFERROR(__xludf.DUMMYFUNCTION("""COMPUTED_VALUE"""),0.04749)</f>
        <v>0.04749</v>
      </c>
      <c r="K3367" s="19" t="str">
        <f>IFERROR(__xludf.DUMMYFUNCTION("""COMPUTED_VALUE"""),"-")</f>
        <v>-</v>
      </c>
      <c r="L3367" s="19" t="str">
        <f>IFERROR(__xludf.DUMMYFUNCTION("""COMPUTED_VALUE"""),"-")</f>
        <v>-</v>
      </c>
      <c r="O3367" s="24">
        <f t="shared" si="4"/>
        <v>0</v>
      </c>
      <c r="P3367" s="24"/>
      <c r="Q3367" s="24">
        <f t="shared" si="6"/>
        <v>0</v>
      </c>
      <c r="R3367" s="24">
        <f t="shared" si="7"/>
        <v>0</v>
      </c>
      <c r="S3367" s="24"/>
      <c r="T3367" s="24"/>
    </row>
    <row r="3368">
      <c r="A3368" s="12" t="s">
        <v>3455</v>
      </c>
      <c r="F3368" s="19">
        <f>IFERROR(__xludf.DUMMYFUNCTION("SPLIT(A3364, "" |"")"),3362.0)</f>
        <v>3362</v>
      </c>
      <c r="G3368" s="19">
        <f>IFERROR(__xludf.DUMMYFUNCTION("""COMPUTED_VALUE"""),0.00235)</f>
        <v>0.00235</v>
      </c>
      <c r="H3368" s="19" t="str">
        <f>IFERROR(__xludf.DUMMYFUNCTION("""COMPUTED_VALUE"""),"-")</f>
        <v>-</v>
      </c>
      <c r="I3368" s="19">
        <f>IFERROR(__xludf.DUMMYFUNCTION("""COMPUTED_VALUE"""),0.0022)</f>
        <v>0.0022</v>
      </c>
      <c r="J3368" s="19">
        <f>IFERROR(__xludf.DUMMYFUNCTION("""COMPUTED_VALUE"""),0.04745)</f>
        <v>0.04745</v>
      </c>
      <c r="K3368" s="19" t="str">
        <f>IFERROR(__xludf.DUMMYFUNCTION("""COMPUTED_VALUE"""),"-")</f>
        <v>-</v>
      </c>
      <c r="L3368" s="19" t="str">
        <f>IFERROR(__xludf.DUMMYFUNCTION("""COMPUTED_VALUE"""),"-")</f>
        <v>-</v>
      </c>
      <c r="O3368" s="24">
        <f t="shared" si="4"/>
        <v>0</v>
      </c>
      <c r="P3368" s="24"/>
      <c r="Q3368" s="24">
        <f t="shared" si="6"/>
        <v>0</v>
      </c>
      <c r="R3368" s="24">
        <f t="shared" si="7"/>
        <v>0</v>
      </c>
      <c r="S3368" s="24"/>
      <c r="T3368" s="24"/>
    </row>
    <row r="3369">
      <c r="A3369" s="12" t="s">
        <v>3456</v>
      </c>
      <c r="F3369" s="19">
        <f>IFERROR(__xludf.DUMMYFUNCTION("SPLIT(A3365, "" |"")"),3363.0)</f>
        <v>3363</v>
      </c>
      <c r="G3369" s="19">
        <f>IFERROR(__xludf.DUMMYFUNCTION("""COMPUTED_VALUE"""),0.00236)</f>
        <v>0.00236</v>
      </c>
      <c r="H3369" s="19" t="str">
        <f>IFERROR(__xludf.DUMMYFUNCTION("""COMPUTED_VALUE"""),"-")</f>
        <v>-</v>
      </c>
      <c r="I3369" s="19">
        <f>IFERROR(__xludf.DUMMYFUNCTION("""COMPUTED_VALUE"""),0.00223)</f>
        <v>0.00223</v>
      </c>
      <c r="J3369" s="19">
        <f>IFERROR(__xludf.DUMMYFUNCTION("""COMPUTED_VALUE"""),0.04734)</f>
        <v>0.04734</v>
      </c>
      <c r="K3369" s="19" t="str">
        <f>IFERROR(__xludf.DUMMYFUNCTION("""COMPUTED_VALUE"""),"-")</f>
        <v>-</v>
      </c>
      <c r="L3369" s="19" t="str">
        <f>IFERROR(__xludf.DUMMYFUNCTION("""COMPUTED_VALUE"""),"-")</f>
        <v>-</v>
      </c>
      <c r="O3369" s="24">
        <f t="shared" si="4"/>
        <v>0</v>
      </c>
      <c r="P3369" s="24"/>
      <c r="Q3369" s="24">
        <f t="shared" si="6"/>
        <v>0</v>
      </c>
      <c r="R3369" s="24">
        <f t="shared" si="7"/>
        <v>0</v>
      </c>
      <c r="S3369" s="24"/>
      <c r="T3369" s="24"/>
    </row>
    <row r="3370">
      <c r="A3370" s="12" t="s">
        <v>3457</v>
      </c>
      <c r="F3370" s="19">
        <f>IFERROR(__xludf.DUMMYFUNCTION("SPLIT(A3366, "" |"")"),3364.0)</f>
        <v>3364</v>
      </c>
      <c r="G3370" s="19">
        <f>IFERROR(__xludf.DUMMYFUNCTION("""COMPUTED_VALUE"""),0.00221)</f>
        <v>0.00221</v>
      </c>
      <c r="H3370" s="19" t="str">
        <f>IFERROR(__xludf.DUMMYFUNCTION("""COMPUTED_VALUE"""),"-")</f>
        <v>-</v>
      </c>
      <c r="I3370" s="19">
        <f>IFERROR(__xludf.DUMMYFUNCTION("""COMPUTED_VALUE"""),0.00209)</f>
        <v>0.00209</v>
      </c>
      <c r="J3370" s="19">
        <f>IFERROR(__xludf.DUMMYFUNCTION("""COMPUTED_VALUE"""),0.04726)</f>
        <v>0.04726</v>
      </c>
      <c r="K3370" s="19" t="str">
        <f>IFERROR(__xludf.DUMMYFUNCTION("""COMPUTED_VALUE"""),"-")</f>
        <v>-</v>
      </c>
      <c r="L3370" s="19" t="str">
        <f>IFERROR(__xludf.DUMMYFUNCTION("""COMPUTED_VALUE"""),"-")</f>
        <v>-</v>
      </c>
      <c r="O3370" s="24">
        <f t="shared" si="4"/>
        <v>0</v>
      </c>
      <c r="P3370" s="24"/>
      <c r="Q3370" s="24">
        <f t="shared" si="6"/>
        <v>0</v>
      </c>
      <c r="R3370" s="24">
        <f t="shared" si="7"/>
        <v>0</v>
      </c>
      <c r="S3370" s="24"/>
      <c r="T3370" s="24"/>
    </row>
    <row r="3371">
      <c r="A3371" s="12" t="s">
        <v>3458</v>
      </c>
      <c r="F3371" s="19">
        <f>IFERROR(__xludf.DUMMYFUNCTION("SPLIT(A3367, "" |"")"),3365.0)</f>
        <v>3365</v>
      </c>
      <c r="G3371" s="19">
        <f>IFERROR(__xludf.DUMMYFUNCTION("""COMPUTED_VALUE"""),0.00239)</f>
        <v>0.00239</v>
      </c>
      <c r="H3371" s="19" t="str">
        <f>IFERROR(__xludf.DUMMYFUNCTION("""COMPUTED_VALUE"""),"-")</f>
        <v>-</v>
      </c>
      <c r="I3371" s="19">
        <f>IFERROR(__xludf.DUMMYFUNCTION("""COMPUTED_VALUE"""),0.00227)</f>
        <v>0.00227</v>
      </c>
      <c r="J3371" s="19">
        <f>IFERROR(__xludf.DUMMYFUNCTION("""COMPUTED_VALUE"""),0.04503)</f>
        <v>0.04503</v>
      </c>
      <c r="K3371" s="19" t="str">
        <f>IFERROR(__xludf.DUMMYFUNCTION("""COMPUTED_VALUE"""),"-")</f>
        <v>-</v>
      </c>
      <c r="L3371" s="19" t="str">
        <f>IFERROR(__xludf.DUMMYFUNCTION("""COMPUTED_VALUE"""),"-")</f>
        <v>-</v>
      </c>
      <c r="O3371" s="24">
        <f t="shared" si="4"/>
        <v>0</v>
      </c>
      <c r="P3371" s="24"/>
      <c r="Q3371" s="24">
        <f t="shared" si="6"/>
        <v>0</v>
      </c>
      <c r="R3371" s="24">
        <f t="shared" si="7"/>
        <v>0</v>
      </c>
      <c r="S3371" s="24"/>
      <c r="T3371" s="24"/>
    </row>
    <row r="3372">
      <c r="A3372" s="12" t="s">
        <v>3459</v>
      </c>
      <c r="F3372" s="19">
        <f>IFERROR(__xludf.DUMMYFUNCTION("SPLIT(A3368, "" |"")"),3366.0)</f>
        <v>3366</v>
      </c>
      <c r="G3372" s="19">
        <f>IFERROR(__xludf.DUMMYFUNCTION("""COMPUTED_VALUE"""),0.0024)</f>
        <v>0.0024</v>
      </c>
      <c r="H3372" s="19" t="str">
        <f>IFERROR(__xludf.DUMMYFUNCTION("""COMPUTED_VALUE"""),"-")</f>
        <v>-</v>
      </c>
      <c r="I3372" s="19">
        <f>IFERROR(__xludf.DUMMYFUNCTION("""COMPUTED_VALUE"""),0.00225)</f>
        <v>0.00225</v>
      </c>
      <c r="J3372" s="19">
        <f>IFERROR(__xludf.DUMMYFUNCTION("""COMPUTED_VALUE"""),0.04483)</f>
        <v>0.04483</v>
      </c>
      <c r="K3372" s="19" t="str">
        <f>IFERROR(__xludf.DUMMYFUNCTION("""COMPUTED_VALUE"""),"-")</f>
        <v>-</v>
      </c>
      <c r="L3372" s="19" t="str">
        <f>IFERROR(__xludf.DUMMYFUNCTION("""COMPUTED_VALUE"""),"-")</f>
        <v>-</v>
      </c>
      <c r="O3372" s="24">
        <f t="shared" si="4"/>
        <v>0</v>
      </c>
      <c r="P3372" s="24"/>
      <c r="Q3372" s="24">
        <f t="shared" si="6"/>
        <v>0</v>
      </c>
      <c r="R3372" s="24">
        <f t="shared" si="7"/>
        <v>1</v>
      </c>
      <c r="S3372" s="24"/>
      <c r="T3372" s="24"/>
    </row>
    <row r="3373">
      <c r="A3373" s="12" t="s">
        <v>3460</v>
      </c>
      <c r="F3373" s="19">
        <f>IFERROR(__xludf.DUMMYFUNCTION("SPLIT(A3369, "" |"")"),3367.0)</f>
        <v>3367</v>
      </c>
      <c r="G3373" s="19">
        <f>IFERROR(__xludf.DUMMYFUNCTION("""COMPUTED_VALUE"""),0.00235)</f>
        <v>0.00235</v>
      </c>
      <c r="H3373" s="19" t="str">
        <f>IFERROR(__xludf.DUMMYFUNCTION("""COMPUTED_VALUE"""),"-")</f>
        <v>-</v>
      </c>
      <c r="I3373" s="19">
        <f>IFERROR(__xludf.DUMMYFUNCTION("""COMPUTED_VALUE"""),0.00217)</f>
        <v>0.00217</v>
      </c>
      <c r="J3373" s="19">
        <f>IFERROR(__xludf.DUMMYFUNCTION("""COMPUTED_VALUE"""),0.04737)</f>
        <v>0.04737</v>
      </c>
      <c r="K3373" s="19" t="str">
        <f>IFERROR(__xludf.DUMMYFUNCTION("""COMPUTED_VALUE"""),"-")</f>
        <v>-</v>
      </c>
      <c r="L3373" s="19" t="str">
        <f>IFERROR(__xludf.DUMMYFUNCTION("""COMPUTED_VALUE"""),"-")</f>
        <v>-</v>
      </c>
      <c r="O3373" s="24">
        <f t="shared" si="4"/>
        <v>0</v>
      </c>
      <c r="P3373" s="24"/>
      <c r="Q3373" s="24">
        <f t="shared" si="6"/>
        <v>0</v>
      </c>
      <c r="R3373" s="24">
        <f t="shared" si="7"/>
        <v>0</v>
      </c>
      <c r="S3373" s="24"/>
      <c r="T3373" s="24"/>
    </row>
    <row r="3374">
      <c r="A3374" s="12" t="s">
        <v>3461</v>
      </c>
      <c r="F3374" s="19">
        <f>IFERROR(__xludf.DUMMYFUNCTION("SPLIT(A3370, "" |"")"),3368.0)</f>
        <v>3368</v>
      </c>
      <c r="G3374" s="19">
        <f>IFERROR(__xludf.DUMMYFUNCTION("""COMPUTED_VALUE"""),0.0024)</f>
        <v>0.0024</v>
      </c>
      <c r="H3374" s="19" t="str">
        <f>IFERROR(__xludf.DUMMYFUNCTION("""COMPUTED_VALUE"""),"-")</f>
        <v>-</v>
      </c>
      <c r="I3374" s="19">
        <f>IFERROR(__xludf.DUMMYFUNCTION("""COMPUTED_VALUE"""),0.00223)</f>
        <v>0.00223</v>
      </c>
      <c r="J3374" s="19">
        <f>IFERROR(__xludf.DUMMYFUNCTION("""COMPUTED_VALUE"""),0.03991)</f>
        <v>0.03991</v>
      </c>
      <c r="K3374" s="19" t="str">
        <f>IFERROR(__xludf.DUMMYFUNCTION("""COMPUTED_VALUE"""),"-")</f>
        <v>-</v>
      </c>
      <c r="L3374" s="19" t="str">
        <f>IFERROR(__xludf.DUMMYFUNCTION("""COMPUTED_VALUE"""),"-")</f>
        <v>-</v>
      </c>
      <c r="O3374" s="24">
        <f t="shared" si="4"/>
        <v>0</v>
      </c>
      <c r="P3374" s="24"/>
      <c r="Q3374" s="24">
        <f t="shared" si="6"/>
        <v>0</v>
      </c>
      <c r="R3374" s="24">
        <f t="shared" si="7"/>
        <v>1</v>
      </c>
      <c r="S3374" s="24"/>
      <c r="T3374" s="24"/>
    </row>
    <row r="3375">
      <c r="A3375" s="12" t="s">
        <v>3462</v>
      </c>
      <c r="F3375" s="19">
        <f>IFERROR(__xludf.DUMMYFUNCTION("SPLIT(A3371, "" |"")"),3369.0)</f>
        <v>3369</v>
      </c>
      <c r="G3375" s="19">
        <f>IFERROR(__xludf.DUMMYFUNCTION("""COMPUTED_VALUE"""),0.00233)</f>
        <v>0.00233</v>
      </c>
      <c r="H3375" s="19" t="str">
        <f>IFERROR(__xludf.DUMMYFUNCTION("""COMPUTED_VALUE"""),"-")</f>
        <v>-</v>
      </c>
      <c r="I3375" s="19">
        <f>IFERROR(__xludf.DUMMYFUNCTION("""COMPUTED_VALUE"""),0.00221)</f>
        <v>0.00221</v>
      </c>
      <c r="J3375" s="19">
        <f>IFERROR(__xludf.DUMMYFUNCTION("""COMPUTED_VALUE"""),0.04735)</f>
        <v>0.04735</v>
      </c>
      <c r="K3375" s="19" t="str">
        <f>IFERROR(__xludf.DUMMYFUNCTION("""COMPUTED_VALUE"""),"-")</f>
        <v>-</v>
      </c>
      <c r="L3375" s="19" t="str">
        <f>IFERROR(__xludf.DUMMYFUNCTION("""COMPUTED_VALUE"""),"-")</f>
        <v>-</v>
      </c>
      <c r="O3375" s="24">
        <f t="shared" si="4"/>
        <v>0</v>
      </c>
      <c r="P3375" s="24"/>
      <c r="Q3375" s="24">
        <f t="shared" si="6"/>
        <v>0</v>
      </c>
      <c r="R3375" s="24">
        <f t="shared" si="7"/>
        <v>0</v>
      </c>
      <c r="S3375" s="24"/>
      <c r="T3375" s="24"/>
    </row>
    <row r="3376">
      <c r="A3376" s="12" t="s">
        <v>3463</v>
      </c>
      <c r="F3376" s="19">
        <f>IFERROR(__xludf.DUMMYFUNCTION("SPLIT(A3372, "" |"")"),3370.0)</f>
        <v>3370</v>
      </c>
      <c r="G3376" s="19">
        <f>IFERROR(__xludf.DUMMYFUNCTION("""COMPUTED_VALUE"""),0.0022)</f>
        <v>0.0022</v>
      </c>
      <c r="H3376" s="19" t="str">
        <f>IFERROR(__xludf.DUMMYFUNCTION("""COMPUTED_VALUE"""),"-")</f>
        <v>-</v>
      </c>
      <c r="I3376" s="19">
        <f>IFERROR(__xludf.DUMMYFUNCTION("""COMPUTED_VALUE"""),0.0021)</f>
        <v>0.0021</v>
      </c>
      <c r="J3376" s="19">
        <f>IFERROR(__xludf.DUMMYFUNCTION("""COMPUTED_VALUE"""),0.04737)</f>
        <v>0.04737</v>
      </c>
      <c r="K3376" s="19" t="str">
        <f>IFERROR(__xludf.DUMMYFUNCTION("""COMPUTED_VALUE"""),"-")</f>
        <v>-</v>
      </c>
      <c r="L3376" s="19" t="str">
        <f>IFERROR(__xludf.DUMMYFUNCTION("""COMPUTED_VALUE"""),"-")</f>
        <v>-</v>
      </c>
      <c r="O3376" s="24">
        <f t="shared" si="4"/>
        <v>0</v>
      </c>
      <c r="P3376" s="24"/>
      <c r="Q3376" s="24">
        <f t="shared" si="6"/>
        <v>0</v>
      </c>
      <c r="R3376" s="24">
        <f t="shared" si="7"/>
        <v>0</v>
      </c>
      <c r="S3376" s="24"/>
      <c r="T3376" s="24"/>
    </row>
    <row r="3377">
      <c r="A3377" s="12" t="s">
        <v>3464</v>
      </c>
      <c r="F3377" s="19">
        <f>IFERROR(__xludf.DUMMYFUNCTION("SPLIT(A3373, "" |"")"),3371.0)</f>
        <v>3371</v>
      </c>
      <c r="G3377" s="19">
        <f>IFERROR(__xludf.DUMMYFUNCTION("""COMPUTED_VALUE"""),0.00238)</f>
        <v>0.00238</v>
      </c>
      <c r="H3377" s="19" t="str">
        <f>IFERROR(__xludf.DUMMYFUNCTION("""COMPUTED_VALUE"""),"-")</f>
        <v>-</v>
      </c>
      <c r="I3377" s="19">
        <f>IFERROR(__xludf.DUMMYFUNCTION("""COMPUTED_VALUE"""),0.00223)</f>
        <v>0.00223</v>
      </c>
      <c r="J3377" s="19">
        <f>IFERROR(__xludf.DUMMYFUNCTION("""COMPUTED_VALUE"""),0.04741)</f>
        <v>0.04741</v>
      </c>
      <c r="K3377" s="19" t="str">
        <f>IFERROR(__xludf.DUMMYFUNCTION("""COMPUTED_VALUE"""),"-")</f>
        <v>-</v>
      </c>
      <c r="L3377" s="19" t="str">
        <f>IFERROR(__xludf.DUMMYFUNCTION("""COMPUTED_VALUE"""),"-")</f>
        <v>-</v>
      </c>
      <c r="O3377" s="24">
        <f t="shared" si="4"/>
        <v>0</v>
      </c>
      <c r="P3377" s="24"/>
      <c r="Q3377" s="24">
        <f t="shared" si="6"/>
        <v>0</v>
      </c>
      <c r="R3377" s="24">
        <f t="shared" si="7"/>
        <v>0</v>
      </c>
      <c r="S3377" s="24"/>
      <c r="T3377" s="24"/>
    </row>
    <row r="3378">
      <c r="A3378" s="12" t="s">
        <v>3465</v>
      </c>
      <c r="F3378" s="19">
        <f>IFERROR(__xludf.DUMMYFUNCTION("SPLIT(A3374, "" |"")"),3372.0)</f>
        <v>3372</v>
      </c>
      <c r="G3378" s="19">
        <f>IFERROR(__xludf.DUMMYFUNCTION("""COMPUTED_VALUE"""),0.00234)</f>
        <v>0.00234</v>
      </c>
      <c r="H3378" s="19" t="str">
        <f>IFERROR(__xludf.DUMMYFUNCTION("""COMPUTED_VALUE"""),"-")</f>
        <v>-</v>
      </c>
      <c r="I3378" s="19">
        <f>IFERROR(__xludf.DUMMYFUNCTION("""COMPUTED_VALUE"""),0.00227)</f>
        <v>0.00227</v>
      </c>
      <c r="J3378" s="19">
        <f>IFERROR(__xludf.DUMMYFUNCTION("""COMPUTED_VALUE"""),0.04474)</f>
        <v>0.04474</v>
      </c>
      <c r="K3378" s="19" t="str">
        <f>IFERROR(__xludf.DUMMYFUNCTION("""COMPUTED_VALUE"""),"-")</f>
        <v>-</v>
      </c>
      <c r="L3378" s="19" t="str">
        <f>IFERROR(__xludf.DUMMYFUNCTION("""COMPUTED_VALUE"""),"-")</f>
        <v>-</v>
      </c>
      <c r="O3378" s="24">
        <f t="shared" si="4"/>
        <v>0</v>
      </c>
      <c r="P3378" s="24"/>
      <c r="Q3378" s="24">
        <f t="shared" si="6"/>
        <v>0</v>
      </c>
      <c r="R3378" s="24">
        <f t="shared" si="7"/>
        <v>1</v>
      </c>
      <c r="S3378" s="24"/>
      <c r="T3378" s="24"/>
    </row>
    <row r="3379">
      <c r="A3379" s="12" t="s">
        <v>3466</v>
      </c>
      <c r="F3379" s="19">
        <f>IFERROR(__xludf.DUMMYFUNCTION("SPLIT(A3375, "" |"")"),3373.0)</f>
        <v>3373</v>
      </c>
      <c r="G3379" s="19">
        <f>IFERROR(__xludf.DUMMYFUNCTION("""COMPUTED_VALUE"""),0.0023)</f>
        <v>0.0023</v>
      </c>
      <c r="H3379" s="19" t="str">
        <f>IFERROR(__xludf.DUMMYFUNCTION("""COMPUTED_VALUE"""),"-")</f>
        <v>-</v>
      </c>
      <c r="I3379" s="19">
        <f>IFERROR(__xludf.DUMMYFUNCTION("""COMPUTED_VALUE"""),0.00224)</f>
        <v>0.00224</v>
      </c>
      <c r="J3379" s="19">
        <f>IFERROR(__xludf.DUMMYFUNCTION("""COMPUTED_VALUE"""),0.04367)</f>
        <v>0.04367</v>
      </c>
      <c r="K3379" s="19" t="str">
        <f>IFERROR(__xludf.DUMMYFUNCTION("""COMPUTED_VALUE"""),"-")</f>
        <v>-</v>
      </c>
      <c r="L3379" s="19" t="str">
        <f>IFERROR(__xludf.DUMMYFUNCTION("""COMPUTED_VALUE"""),"-")</f>
        <v>-</v>
      </c>
      <c r="O3379" s="24">
        <f t="shared" si="4"/>
        <v>0</v>
      </c>
      <c r="P3379" s="24"/>
      <c r="Q3379" s="24">
        <f t="shared" si="6"/>
        <v>0</v>
      </c>
      <c r="R3379" s="24">
        <f t="shared" si="7"/>
        <v>1</v>
      </c>
      <c r="S3379" s="24"/>
      <c r="T3379" s="24"/>
    </row>
    <row r="3380">
      <c r="A3380" s="12" t="s">
        <v>3467</v>
      </c>
      <c r="F3380" s="19">
        <f>IFERROR(__xludf.DUMMYFUNCTION("SPLIT(A3376, "" |"")"),3374.0)</f>
        <v>3374</v>
      </c>
      <c r="G3380" s="19">
        <f>IFERROR(__xludf.DUMMYFUNCTION("""COMPUTED_VALUE"""),0.00237)</f>
        <v>0.00237</v>
      </c>
      <c r="H3380" s="19" t="str">
        <f>IFERROR(__xludf.DUMMYFUNCTION("""COMPUTED_VALUE"""),"-")</f>
        <v>-</v>
      </c>
      <c r="I3380" s="19">
        <f>IFERROR(__xludf.DUMMYFUNCTION("""COMPUTED_VALUE"""),0.00218)</f>
        <v>0.00218</v>
      </c>
      <c r="J3380" s="19">
        <f>IFERROR(__xludf.DUMMYFUNCTION("""COMPUTED_VALUE"""),0.04502)</f>
        <v>0.04502</v>
      </c>
      <c r="K3380" s="19" t="str">
        <f>IFERROR(__xludf.DUMMYFUNCTION("""COMPUTED_VALUE"""),"-")</f>
        <v>-</v>
      </c>
      <c r="L3380" s="19" t="str">
        <f>IFERROR(__xludf.DUMMYFUNCTION("""COMPUTED_VALUE"""),"-")</f>
        <v>-</v>
      </c>
      <c r="O3380" s="24">
        <f t="shared" si="4"/>
        <v>0</v>
      </c>
      <c r="P3380" s="24"/>
      <c r="Q3380" s="24">
        <f t="shared" si="6"/>
        <v>0</v>
      </c>
      <c r="R3380" s="24">
        <f t="shared" si="7"/>
        <v>0</v>
      </c>
      <c r="S3380" s="24"/>
      <c r="T3380" s="24"/>
    </row>
    <row r="3381">
      <c r="A3381" s="12" t="s">
        <v>3468</v>
      </c>
      <c r="F3381" s="19">
        <f>IFERROR(__xludf.DUMMYFUNCTION("SPLIT(A3377, "" |"")"),3375.0)</f>
        <v>3375</v>
      </c>
      <c r="G3381" s="19">
        <f>IFERROR(__xludf.DUMMYFUNCTION("""COMPUTED_VALUE"""),0.00233)</f>
        <v>0.00233</v>
      </c>
      <c r="H3381" s="19" t="str">
        <f>IFERROR(__xludf.DUMMYFUNCTION("""COMPUTED_VALUE"""),"-")</f>
        <v>-</v>
      </c>
      <c r="I3381" s="19">
        <f>IFERROR(__xludf.DUMMYFUNCTION("""COMPUTED_VALUE"""),0.00225)</f>
        <v>0.00225</v>
      </c>
      <c r="J3381" s="19">
        <f>IFERROR(__xludf.DUMMYFUNCTION("""COMPUTED_VALUE"""),0.04738)</f>
        <v>0.04738</v>
      </c>
      <c r="K3381" s="19" t="str">
        <f>IFERROR(__xludf.DUMMYFUNCTION("""COMPUTED_VALUE"""),"-")</f>
        <v>-</v>
      </c>
      <c r="L3381" s="19" t="str">
        <f>IFERROR(__xludf.DUMMYFUNCTION("""COMPUTED_VALUE"""),"-")</f>
        <v>-</v>
      </c>
      <c r="O3381" s="24">
        <f t="shared" si="4"/>
        <v>0</v>
      </c>
      <c r="P3381" s="24"/>
      <c r="Q3381" s="24">
        <f t="shared" si="6"/>
        <v>0</v>
      </c>
      <c r="R3381" s="24">
        <f t="shared" si="7"/>
        <v>0</v>
      </c>
      <c r="S3381" s="24"/>
      <c r="T3381" s="24"/>
    </row>
    <row r="3382">
      <c r="A3382" s="12" t="s">
        <v>3469</v>
      </c>
      <c r="F3382" s="19">
        <f>IFERROR(__xludf.DUMMYFUNCTION("SPLIT(A3378, "" |"")"),3376.0)</f>
        <v>3376</v>
      </c>
      <c r="G3382" s="19">
        <f>IFERROR(__xludf.DUMMYFUNCTION("""COMPUTED_VALUE"""),0.0024)</f>
        <v>0.0024</v>
      </c>
      <c r="H3382" s="19" t="str">
        <f>IFERROR(__xludf.DUMMYFUNCTION("""COMPUTED_VALUE"""),"-")</f>
        <v>-</v>
      </c>
      <c r="I3382" s="19">
        <f>IFERROR(__xludf.DUMMYFUNCTION("""COMPUTED_VALUE"""),0.00214)</f>
        <v>0.00214</v>
      </c>
      <c r="J3382" s="19">
        <f>IFERROR(__xludf.DUMMYFUNCTION("""COMPUTED_VALUE"""),0.04498)</f>
        <v>0.04498</v>
      </c>
      <c r="K3382" s="19" t="str">
        <f>IFERROR(__xludf.DUMMYFUNCTION("""COMPUTED_VALUE"""),"-")</f>
        <v>-</v>
      </c>
      <c r="L3382" s="19" t="str">
        <f>IFERROR(__xludf.DUMMYFUNCTION("""COMPUTED_VALUE"""),"-")</f>
        <v>-</v>
      </c>
      <c r="O3382" s="24">
        <f t="shared" si="4"/>
        <v>0</v>
      </c>
      <c r="P3382" s="24"/>
      <c r="Q3382" s="24">
        <f t="shared" si="6"/>
        <v>0</v>
      </c>
      <c r="R3382" s="24">
        <f t="shared" si="7"/>
        <v>0</v>
      </c>
      <c r="S3382" s="24"/>
      <c r="T3382" s="24"/>
    </row>
    <row r="3383">
      <c r="A3383" s="12" t="s">
        <v>3470</v>
      </c>
      <c r="F3383" s="19">
        <f>IFERROR(__xludf.DUMMYFUNCTION("SPLIT(A3379, "" |"")"),3377.0)</f>
        <v>3377</v>
      </c>
      <c r="G3383" s="19">
        <f>IFERROR(__xludf.DUMMYFUNCTION("""COMPUTED_VALUE"""),0.00244)</f>
        <v>0.00244</v>
      </c>
      <c r="H3383" s="19" t="str">
        <f>IFERROR(__xludf.DUMMYFUNCTION("""COMPUTED_VALUE"""),"-")</f>
        <v>-</v>
      </c>
      <c r="I3383" s="19">
        <f>IFERROR(__xludf.DUMMYFUNCTION("""COMPUTED_VALUE"""),0.00228)</f>
        <v>0.00228</v>
      </c>
      <c r="J3383" s="19">
        <f>IFERROR(__xludf.DUMMYFUNCTION("""COMPUTED_VALUE"""),0.04755)</f>
        <v>0.04755</v>
      </c>
      <c r="K3383" s="19" t="str">
        <f>IFERROR(__xludf.DUMMYFUNCTION("""COMPUTED_VALUE"""),"-")</f>
        <v>-</v>
      </c>
      <c r="L3383" s="19" t="str">
        <f>IFERROR(__xludf.DUMMYFUNCTION("""COMPUTED_VALUE"""),"-")</f>
        <v>-</v>
      </c>
      <c r="O3383" s="24">
        <f t="shared" si="4"/>
        <v>0</v>
      </c>
      <c r="P3383" s="24"/>
      <c r="Q3383" s="24">
        <f t="shared" si="6"/>
        <v>0</v>
      </c>
      <c r="R3383" s="24">
        <f t="shared" si="7"/>
        <v>0</v>
      </c>
      <c r="S3383" s="24"/>
      <c r="T3383" s="24"/>
    </row>
    <row r="3384">
      <c r="A3384" s="12" t="s">
        <v>3471</v>
      </c>
      <c r="F3384" s="19">
        <f>IFERROR(__xludf.DUMMYFUNCTION("SPLIT(A3380, "" |"")"),3378.0)</f>
        <v>3378</v>
      </c>
      <c r="G3384" s="19">
        <f>IFERROR(__xludf.DUMMYFUNCTION("""COMPUTED_VALUE"""),0.00239)</f>
        <v>0.00239</v>
      </c>
      <c r="H3384" s="19" t="str">
        <f>IFERROR(__xludf.DUMMYFUNCTION("""COMPUTED_VALUE"""),"-")</f>
        <v>-</v>
      </c>
      <c r="I3384" s="19">
        <f>IFERROR(__xludf.DUMMYFUNCTION("""COMPUTED_VALUE"""),0.00225)</f>
        <v>0.00225</v>
      </c>
      <c r="J3384" s="19">
        <f>IFERROR(__xludf.DUMMYFUNCTION("""COMPUTED_VALUE"""),0.0465)</f>
        <v>0.0465</v>
      </c>
      <c r="K3384" s="19" t="str">
        <f>IFERROR(__xludf.DUMMYFUNCTION("""COMPUTED_VALUE"""),"-")</f>
        <v>-</v>
      </c>
      <c r="L3384" s="19" t="str">
        <f>IFERROR(__xludf.DUMMYFUNCTION("""COMPUTED_VALUE"""),"-")</f>
        <v>-</v>
      </c>
      <c r="O3384" s="24">
        <f t="shared" si="4"/>
        <v>0</v>
      </c>
      <c r="P3384" s="24"/>
      <c r="Q3384" s="24">
        <f t="shared" si="6"/>
        <v>0</v>
      </c>
      <c r="R3384" s="24">
        <f t="shared" si="7"/>
        <v>0</v>
      </c>
      <c r="S3384" s="24"/>
      <c r="T3384" s="24"/>
    </row>
    <row r="3385">
      <c r="A3385" s="12" t="s">
        <v>3472</v>
      </c>
      <c r="F3385" s="19">
        <f>IFERROR(__xludf.DUMMYFUNCTION("SPLIT(A3381, "" |"")"),3379.0)</f>
        <v>3379</v>
      </c>
      <c r="G3385" s="19">
        <f>IFERROR(__xludf.DUMMYFUNCTION("""COMPUTED_VALUE"""),0.00238)</f>
        <v>0.00238</v>
      </c>
      <c r="H3385" s="19" t="str">
        <f>IFERROR(__xludf.DUMMYFUNCTION("""COMPUTED_VALUE"""),"-")</f>
        <v>-</v>
      </c>
      <c r="I3385" s="19">
        <f>IFERROR(__xludf.DUMMYFUNCTION("""COMPUTED_VALUE"""),0.00228)</f>
        <v>0.00228</v>
      </c>
      <c r="J3385" s="19">
        <f>IFERROR(__xludf.DUMMYFUNCTION("""COMPUTED_VALUE"""),0.04739)</f>
        <v>0.04739</v>
      </c>
      <c r="K3385" s="19" t="str">
        <f>IFERROR(__xludf.DUMMYFUNCTION("""COMPUTED_VALUE"""),"-")</f>
        <v>-</v>
      </c>
      <c r="L3385" s="19" t="str">
        <f>IFERROR(__xludf.DUMMYFUNCTION("""COMPUTED_VALUE"""),"-")</f>
        <v>-</v>
      </c>
      <c r="O3385" s="24">
        <f t="shared" si="4"/>
        <v>0</v>
      </c>
      <c r="P3385" s="24"/>
      <c r="Q3385" s="24">
        <f t="shared" si="6"/>
        <v>0</v>
      </c>
      <c r="R3385" s="24">
        <f t="shared" si="7"/>
        <v>0</v>
      </c>
      <c r="S3385" s="24"/>
      <c r="T3385" s="24"/>
    </row>
    <row r="3386">
      <c r="A3386" s="12" t="s">
        <v>3473</v>
      </c>
      <c r="F3386" s="19">
        <f>IFERROR(__xludf.DUMMYFUNCTION("SPLIT(A3382, "" |"")"),3380.0)</f>
        <v>3380</v>
      </c>
      <c r="G3386" s="19">
        <f>IFERROR(__xludf.DUMMYFUNCTION("""COMPUTED_VALUE"""),0.0024)</f>
        <v>0.0024</v>
      </c>
      <c r="H3386" s="19" t="str">
        <f>IFERROR(__xludf.DUMMYFUNCTION("""COMPUTED_VALUE"""),"-")</f>
        <v>-</v>
      </c>
      <c r="I3386" s="19">
        <f>IFERROR(__xludf.DUMMYFUNCTION("""COMPUTED_VALUE"""),0.00221)</f>
        <v>0.00221</v>
      </c>
      <c r="J3386" s="19">
        <f>IFERROR(__xludf.DUMMYFUNCTION("""COMPUTED_VALUE"""),0.04297)</f>
        <v>0.04297</v>
      </c>
      <c r="K3386" s="19" t="str">
        <f>IFERROR(__xludf.DUMMYFUNCTION("""COMPUTED_VALUE"""),"-")</f>
        <v>-</v>
      </c>
      <c r="L3386" s="19" t="str">
        <f>IFERROR(__xludf.DUMMYFUNCTION("""COMPUTED_VALUE"""),"-")</f>
        <v>-</v>
      </c>
      <c r="O3386" s="24">
        <f t="shared" si="4"/>
        <v>0</v>
      </c>
      <c r="P3386" s="24"/>
      <c r="Q3386" s="24">
        <f t="shared" si="6"/>
        <v>0</v>
      </c>
      <c r="R3386" s="24">
        <f t="shared" si="7"/>
        <v>1</v>
      </c>
      <c r="S3386" s="24"/>
      <c r="T3386" s="24"/>
    </row>
    <row r="3387">
      <c r="A3387" s="12" t="s">
        <v>3474</v>
      </c>
      <c r="F3387" s="19">
        <f>IFERROR(__xludf.DUMMYFUNCTION("SPLIT(A3383, "" |"")"),3381.0)</f>
        <v>3381</v>
      </c>
      <c r="G3387" s="19">
        <f>IFERROR(__xludf.DUMMYFUNCTION("""COMPUTED_VALUE"""),0.00236)</f>
        <v>0.00236</v>
      </c>
      <c r="H3387" s="19" t="str">
        <f>IFERROR(__xludf.DUMMYFUNCTION("""COMPUTED_VALUE"""),"-")</f>
        <v>-</v>
      </c>
      <c r="I3387" s="19">
        <f>IFERROR(__xludf.DUMMYFUNCTION("""COMPUTED_VALUE"""),0.00226)</f>
        <v>0.00226</v>
      </c>
      <c r="J3387" s="19">
        <f>IFERROR(__xludf.DUMMYFUNCTION("""COMPUTED_VALUE"""),0.04745)</f>
        <v>0.04745</v>
      </c>
      <c r="K3387" s="19" t="str">
        <f>IFERROR(__xludf.DUMMYFUNCTION("""COMPUTED_VALUE"""),"-")</f>
        <v>-</v>
      </c>
      <c r="L3387" s="19" t="str">
        <f>IFERROR(__xludf.DUMMYFUNCTION("""COMPUTED_VALUE"""),"-")</f>
        <v>-</v>
      </c>
      <c r="O3387" s="24">
        <f t="shared" si="4"/>
        <v>0</v>
      </c>
      <c r="P3387" s="24"/>
      <c r="Q3387" s="24">
        <f t="shared" si="6"/>
        <v>0</v>
      </c>
      <c r="R3387" s="24">
        <f t="shared" si="7"/>
        <v>0</v>
      </c>
      <c r="S3387" s="24"/>
      <c r="T3387" s="24"/>
    </row>
    <row r="3388">
      <c r="A3388" s="12" t="s">
        <v>3475</v>
      </c>
      <c r="F3388" s="19">
        <f>IFERROR(__xludf.DUMMYFUNCTION("SPLIT(A3384, "" |"")"),3382.0)</f>
        <v>3382</v>
      </c>
      <c r="G3388" s="19">
        <f>IFERROR(__xludf.DUMMYFUNCTION("""COMPUTED_VALUE"""),0.00239)</f>
        <v>0.00239</v>
      </c>
      <c r="H3388" s="19" t="str">
        <f>IFERROR(__xludf.DUMMYFUNCTION("""COMPUTED_VALUE"""),"-")</f>
        <v>-</v>
      </c>
      <c r="I3388" s="19">
        <f>IFERROR(__xludf.DUMMYFUNCTION("""COMPUTED_VALUE"""),0.00225)</f>
        <v>0.00225</v>
      </c>
      <c r="J3388" s="19">
        <f>IFERROR(__xludf.DUMMYFUNCTION("""COMPUTED_VALUE"""),0.04746)</f>
        <v>0.04746</v>
      </c>
      <c r="K3388" s="19" t="str">
        <f>IFERROR(__xludf.DUMMYFUNCTION("""COMPUTED_VALUE"""),"-")</f>
        <v>-</v>
      </c>
      <c r="L3388" s="19" t="str">
        <f>IFERROR(__xludf.DUMMYFUNCTION("""COMPUTED_VALUE"""),"-")</f>
        <v>-</v>
      </c>
      <c r="O3388" s="24">
        <f t="shared" si="4"/>
        <v>0</v>
      </c>
      <c r="P3388" s="24"/>
      <c r="Q3388" s="24">
        <f t="shared" si="6"/>
        <v>0</v>
      </c>
      <c r="R3388" s="24">
        <f t="shared" si="7"/>
        <v>0</v>
      </c>
      <c r="S3388" s="24"/>
      <c r="T3388" s="24"/>
    </row>
    <row r="3389">
      <c r="A3389" s="12" t="s">
        <v>3476</v>
      </c>
      <c r="F3389" s="19">
        <f>IFERROR(__xludf.DUMMYFUNCTION("SPLIT(A3385, "" |"")"),3383.0)</f>
        <v>3383</v>
      </c>
      <c r="G3389" s="19">
        <f>IFERROR(__xludf.DUMMYFUNCTION("""COMPUTED_VALUE"""),0.00237)</f>
        <v>0.00237</v>
      </c>
      <c r="H3389" s="19" t="str">
        <f>IFERROR(__xludf.DUMMYFUNCTION("""COMPUTED_VALUE"""),"-")</f>
        <v>-</v>
      </c>
      <c r="I3389" s="19">
        <f>IFERROR(__xludf.DUMMYFUNCTION("""COMPUTED_VALUE"""),0.00216)</f>
        <v>0.00216</v>
      </c>
      <c r="J3389" s="19">
        <f>IFERROR(__xludf.DUMMYFUNCTION("""COMPUTED_VALUE"""),0.04744)</f>
        <v>0.04744</v>
      </c>
      <c r="K3389" s="19" t="str">
        <f>IFERROR(__xludf.DUMMYFUNCTION("""COMPUTED_VALUE"""),"-")</f>
        <v>-</v>
      </c>
      <c r="L3389" s="19" t="str">
        <f>IFERROR(__xludf.DUMMYFUNCTION("""COMPUTED_VALUE"""),"-")</f>
        <v>-</v>
      </c>
      <c r="O3389" s="24">
        <f t="shared" si="4"/>
        <v>0</v>
      </c>
      <c r="P3389" s="24"/>
      <c r="Q3389" s="24">
        <f t="shared" si="6"/>
        <v>0</v>
      </c>
      <c r="R3389" s="24">
        <f t="shared" si="7"/>
        <v>0</v>
      </c>
      <c r="S3389" s="24"/>
      <c r="T3389" s="24"/>
    </row>
    <row r="3390">
      <c r="A3390" s="12" t="s">
        <v>3477</v>
      </c>
      <c r="F3390" s="19">
        <f>IFERROR(__xludf.DUMMYFUNCTION("SPLIT(A3386, "" |"")"),3384.0)</f>
        <v>3384</v>
      </c>
      <c r="G3390" s="19">
        <f>IFERROR(__xludf.DUMMYFUNCTION("""COMPUTED_VALUE"""),0.00244)</f>
        <v>0.00244</v>
      </c>
      <c r="H3390" s="19" t="str">
        <f>IFERROR(__xludf.DUMMYFUNCTION("""COMPUTED_VALUE"""),"-")</f>
        <v>-</v>
      </c>
      <c r="I3390" s="19">
        <f>IFERROR(__xludf.DUMMYFUNCTION("""COMPUTED_VALUE"""),0.00232)</f>
        <v>0.00232</v>
      </c>
      <c r="J3390" s="19">
        <f>IFERROR(__xludf.DUMMYFUNCTION("""COMPUTED_VALUE"""),0.04749)</f>
        <v>0.04749</v>
      </c>
      <c r="K3390" s="19" t="str">
        <f>IFERROR(__xludf.DUMMYFUNCTION("""COMPUTED_VALUE"""),"-")</f>
        <v>-</v>
      </c>
      <c r="L3390" s="19" t="str">
        <f>IFERROR(__xludf.DUMMYFUNCTION("""COMPUTED_VALUE"""),"-")</f>
        <v>-</v>
      </c>
      <c r="O3390" s="24">
        <f t="shared" si="4"/>
        <v>0</v>
      </c>
      <c r="P3390" s="24"/>
      <c r="Q3390" s="24">
        <f t="shared" si="6"/>
        <v>0</v>
      </c>
      <c r="R3390" s="24">
        <f t="shared" si="7"/>
        <v>0</v>
      </c>
      <c r="S3390" s="24"/>
      <c r="T3390" s="24"/>
    </row>
    <row r="3391">
      <c r="A3391" s="12" t="s">
        <v>3478</v>
      </c>
      <c r="F3391" s="19">
        <f>IFERROR(__xludf.DUMMYFUNCTION("SPLIT(A3387, "" |"")"),3385.0)</f>
        <v>3385</v>
      </c>
      <c r="G3391" s="19">
        <f>IFERROR(__xludf.DUMMYFUNCTION("""COMPUTED_VALUE"""),0.00234)</f>
        <v>0.00234</v>
      </c>
      <c r="H3391" s="19" t="str">
        <f>IFERROR(__xludf.DUMMYFUNCTION("""COMPUTED_VALUE"""),"-")</f>
        <v>-</v>
      </c>
      <c r="I3391" s="19">
        <f>IFERROR(__xludf.DUMMYFUNCTION("""COMPUTED_VALUE"""),0.00221)</f>
        <v>0.00221</v>
      </c>
      <c r="J3391" s="19">
        <f>IFERROR(__xludf.DUMMYFUNCTION("""COMPUTED_VALUE"""),0.04736)</f>
        <v>0.04736</v>
      </c>
      <c r="K3391" s="19" t="str">
        <f>IFERROR(__xludf.DUMMYFUNCTION("""COMPUTED_VALUE"""),"-")</f>
        <v>-</v>
      </c>
      <c r="L3391" s="19" t="str">
        <f>IFERROR(__xludf.DUMMYFUNCTION("""COMPUTED_VALUE"""),"-")</f>
        <v>-</v>
      </c>
      <c r="O3391" s="24">
        <f t="shared" si="4"/>
        <v>0</v>
      </c>
      <c r="P3391" s="24"/>
      <c r="Q3391" s="24">
        <f t="shared" si="6"/>
        <v>0</v>
      </c>
      <c r="R3391" s="24">
        <f t="shared" si="7"/>
        <v>0</v>
      </c>
      <c r="S3391" s="24"/>
      <c r="T3391" s="24"/>
    </row>
    <row r="3392">
      <c r="A3392" s="12" t="s">
        <v>3479</v>
      </c>
      <c r="F3392" s="19">
        <f>IFERROR(__xludf.DUMMYFUNCTION("SPLIT(A3388, "" |"")"),3386.0)</f>
        <v>3386</v>
      </c>
      <c r="G3392" s="19">
        <f>IFERROR(__xludf.DUMMYFUNCTION("""COMPUTED_VALUE"""),0.0024)</f>
        <v>0.0024</v>
      </c>
      <c r="H3392" s="19" t="str">
        <f>IFERROR(__xludf.DUMMYFUNCTION("""COMPUTED_VALUE"""),"-")</f>
        <v>-</v>
      </c>
      <c r="I3392" s="19">
        <f>IFERROR(__xludf.DUMMYFUNCTION("""COMPUTED_VALUE"""),0.00229)</f>
        <v>0.00229</v>
      </c>
      <c r="J3392" s="19">
        <f>IFERROR(__xludf.DUMMYFUNCTION("""COMPUTED_VALUE"""),0.04741)</f>
        <v>0.04741</v>
      </c>
      <c r="K3392" s="19" t="str">
        <f>IFERROR(__xludf.DUMMYFUNCTION("""COMPUTED_VALUE"""),"-")</f>
        <v>-</v>
      </c>
      <c r="L3392" s="19" t="str">
        <f>IFERROR(__xludf.DUMMYFUNCTION("""COMPUTED_VALUE"""),"-")</f>
        <v>-</v>
      </c>
      <c r="O3392" s="24">
        <f t="shared" si="4"/>
        <v>0</v>
      </c>
      <c r="P3392" s="24"/>
      <c r="Q3392" s="24">
        <f t="shared" si="6"/>
        <v>0</v>
      </c>
      <c r="R3392" s="24">
        <f t="shared" si="7"/>
        <v>0</v>
      </c>
      <c r="S3392" s="24"/>
      <c r="T3392" s="24"/>
    </row>
    <row r="3393">
      <c r="A3393" s="12" t="s">
        <v>3480</v>
      </c>
      <c r="F3393" s="19">
        <f>IFERROR(__xludf.DUMMYFUNCTION("SPLIT(A3389, "" |"")"),3387.0)</f>
        <v>3387</v>
      </c>
      <c r="G3393" s="19">
        <f>IFERROR(__xludf.DUMMYFUNCTION("""COMPUTED_VALUE"""),0.00238)</f>
        <v>0.00238</v>
      </c>
      <c r="H3393" s="19" t="str">
        <f>IFERROR(__xludf.DUMMYFUNCTION("""COMPUTED_VALUE"""),"-")</f>
        <v>-</v>
      </c>
      <c r="I3393" s="19">
        <f>IFERROR(__xludf.DUMMYFUNCTION("""COMPUTED_VALUE"""),0.00224)</f>
        <v>0.00224</v>
      </c>
      <c r="J3393" s="19">
        <f>IFERROR(__xludf.DUMMYFUNCTION("""COMPUTED_VALUE"""),0.04742)</f>
        <v>0.04742</v>
      </c>
      <c r="K3393" s="19" t="str">
        <f>IFERROR(__xludf.DUMMYFUNCTION("""COMPUTED_VALUE"""),"-")</f>
        <v>-</v>
      </c>
      <c r="L3393" s="19" t="str">
        <f>IFERROR(__xludf.DUMMYFUNCTION("""COMPUTED_VALUE"""),"-")</f>
        <v>-</v>
      </c>
      <c r="O3393" s="24">
        <f t="shared" si="4"/>
        <v>0</v>
      </c>
      <c r="P3393" s="24"/>
      <c r="Q3393" s="24">
        <f t="shared" si="6"/>
        <v>0</v>
      </c>
      <c r="R3393" s="24">
        <f t="shared" si="7"/>
        <v>0</v>
      </c>
      <c r="S3393" s="24"/>
      <c r="T3393" s="24"/>
    </row>
    <row r="3394">
      <c r="A3394" s="12" t="s">
        <v>3481</v>
      </c>
      <c r="F3394" s="19">
        <f>IFERROR(__xludf.DUMMYFUNCTION("SPLIT(A3390, "" |"")"),3388.0)</f>
        <v>3388</v>
      </c>
      <c r="G3394" s="19">
        <f>IFERROR(__xludf.DUMMYFUNCTION("""COMPUTED_VALUE"""),0.00223)</f>
        <v>0.00223</v>
      </c>
      <c r="H3394" s="19" t="str">
        <f>IFERROR(__xludf.DUMMYFUNCTION("""COMPUTED_VALUE"""),"-")</f>
        <v>-</v>
      </c>
      <c r="I3394" s="19">
        <f>IFERROR(__xludf.DUMMYFUNCTION("""COMPUTED_VALUE"""),0.00211)</f>
        <v>0.00211</v>
      </c>
      <c r="J3394" s="19">
        <f>IFERROR(__xludf.DUMMYFUNCTION("""COMPUTED_VALUE"""),0.04735)</f>
        <v>0.04735</v>
      </c>
      <c r="K3394" s="19" t="str">
        <f>IFERROR(__xludf.DUMMYFUNCTION("""COMPUTED_VALUE"""),"-")</f>
        <v>-</v>
      </c>
      <c r="L3394" s="19" t="str">
        <f>IFERROR(__xludf.DUMMYFUNCTION("""COMPUTED_VALUE"""),"-")</f>
        <v>-</v>
      </c>
      <c r="O3394" s="24">
        <f t="shared" si="4"/>
        <v>0</v>
      </c>
      <c r="P3394" s="24"/>
      <c r="Q3394" s="24">
        <f t="shared" si="6"/>
        <v>0</v>
      </c>
      <c r="R3394" s="24">
        <f t="shared" si="7"/>
        <v>0</v>
      </c>
      <c r="S3394" s="24"/>
      <c r="T3394" s="24"/>
    </row>
    <row r="3395">
      <c r="A3395" s="12" t="s">
        <v>3482</v>
      </c>
      <c r="F3395" s="19">
        <f>IFERROR(__xludf.DUMMYFUNCTION("SPLIT(A3391, "" |"")"),3389.0)</f>
        <v>3389</v>
      </c>
      <c r="G3395" s="19">
        <f>IFERROR(__xludf.DUMMYFUNCTION("""COMPUTED_VALUE"""),0.00223)</f>
        <v>0.00223</v>
      </c>
      <c r="H3395" s="19" t="str">
        <f>IFERROR(__xludf.DUMMYFUNCTION("""COMPUTED_VALUE"""),"-")</f>
        <v>-</v>
      </c>
      <c r="I3395" s="19">
        <f>IFERROR(__xludf.DUMMYFUNCTION("""COMPUTED_VALUE"""),0.00211)</f>
        <v>0.00211</v>
      </c>
      <c r="J3395" s="19">
        <f>IFERROR(__xludf.DUMMYFUNCTION("""COMPUTED_VALUE"""),0.04736)</f>
        <v>0.04736</v>
      </c>
      <c r="K3395" s="19" t="str">
        <f>IFERROR(__xludf.DUMMYFUNCTION("""COMPUTED_VALUE"""),"-")</f>
        <v>-</v>
      </c>
      <c r="L3395" s="19" t="str">
        <f>IFERROR(__xludf.DUMMYFUNCTION("""COMPUTED_VALUE"""),"-")</f>
        <v>-</v>
      </c>
      <c r="O3395" s="24">
        <f t="shared" si="4"/>
        <v>0</v>
      </c>
      <c r="P3395" s="24"/>
      <c r="Q3395" s="24">
        <f t="shared" si="6"/>
        <v>0</v>
      </c>
      <c r="R3395" s="24">
        <f t="shared" si="7"/>
        <v>0</v>
      </c>
      <c r="S3395" s="24"/>
      <c r="T3395" s="24"/>
    </row>
    <row r="3396">
      <c r="A3396" s="12" t="s">
        <v>3483</v>
      </c>
      <c r="F3396" s="19">
        <f>IFERROR(__xludf.DUMMYFUNCTION("SPLIT(A3392, "" |"")"),3390.0)</f>
        <v>3390</v>
      </c>
      <c r="G3396" s="19">
        <f>IFERROR(__xludf.DUMMYFUNCTION("""COMPUTED_VALUE"""),0.00241)</f>
        <v>0.00241</v>
      </c>
      <c r="H3396" s="19" t="str">
        <f>IFERROR(__xludf.DUMMYFUNCTION("""COMPUTED_VALUE"""),"-")</f>
        <v>-</v>
      </c>
      <c r="I3396" s="19">
        <f>IFERROR(__xludf.DUMMYFUNCTION("""COMPUTED_VALUE"""),0.00227)</f>
        <v>0.00227</v>
      </c>
      <c r="J3396" s="19">
        <f>IFERROR(__xludf.DUMMYFUNCTION("""COMPUTED_VALUE"""),0.04741)</f>
        <v>0.04741</v>
      </c>
      <c r="K3396" s="19" t="str">
        <f>IFERROR(__xludf.DUMMYFUNCTION("""COMPUTED_VALUE"""),"-")</f>
        <v>-</v>
      </c>
      <c r="L3396" s="19" t="str">
        <f>IFERROR(__xludf.DUMMYFUNCTION("""COMPUTED_VALUE"""),"-")</f>
        <v>-</v>
      </c>
      <c r="O3396" s="24">
        <f t="shared" si="4"/>
        <v>0</v>
      </c>
      <c r="P3396" s="24"/>
      <c r="Q3396" s="24">
        <f t="shared" si="6"/>
        <v>0</v>
      </c>
      <c r="R3396" s="24">
        <f t="shared" si="7"/>
        <v>0</v>
      </c>
      <c r="S3396" s="24"/>
      <c r="T3396" s="24"/>
    </row>
    <row r="3397">
      <c r="A3397" s="12" t="s">
        <v>3484</v>
      </c>
      <c r="F3397" s="19">
        <f>IFERROR(__xludf.DUMMYFUNCTION("SPLIT(A3393, "" |"")"),3391.0)</f>
        <v>3391</v>
      </c>
      <c r="G3397" s="19">
        <f>IFERROR(__xludf.DUMMYFUNCTION("""COMPUTED_VALUE"""),0.00242)</f>
        <v>0.00242</v>
      </c>
      <c r="H3397" s="19" t="str">
        <f>IFERROR(__xludf.DUMMYFUNCTION("""COMPUTED_VALUE"""),"-")</f>
        <v>-</v>
      </c>
      <c r="I3397" s="19">
        <f>IFERROR(__xludf.DUMMYFUNCTION("""COMPUTED_VALUE"""),0.00223)</f>
        <v>0.00223</v>
      </c>
      <c r="J3397" s="19">
        <f>IFERROR(__xludf.DUMMYFUNCTION("""COMPUTED_VALUE"""),0.04749)</f>
        <v>0.04749</v>
      </c>
      <c r="K3397" s="19" t="str">
        <f>IFERROR(__xludf.DUMMYFUNCTION("""COMPUTED_VALUE"""),"-")</f>
        <v>-</v>
      </c>
      <c r="L3397" s="19" t="str">
        <f>IFERROR(__xludf.DUMMYFUNCTION("""COMPUTED_VALUE"""),"-")</f>
        <v>-</v>
      </c>
      <c r="O3397" s="24">
        <f t="shared" si="4"/>
        <v>0</v>
      </c>
      <c r="P3397" s="24"/>
      <c r="Q3397" s="24">
        <f t="shared" si="6"/>
        <v>0</v>
      </c>
      <c r="R3397" s="24">
        <f t="shared" si="7"/>
        <v>0</v>
      </c>
      <c r="S3397" s="24"/>
      <c r="T3397" s="24"/>
    </row>
    <row r="3398">
      <c r="A3398" s="12" t="s">
        <v>3485</v>
      </c>
      <c r="F3398" s="19">
        <f>IFERROR(__xludf.DUMMYFUNCTION("SPLIT(A3394, "" |"")"),3392.0)</f>
        <v>3392</v>
      </c>
      <c r="G3398" s="19">
        <f>IFERROR(__xludf.DUMMYFUNCTION("""COMPUTED_VALUE"""),0.00245)</f>
        <v>0.00245</v>
      </c>
      <c r="H3398" s="19" t="str">
        <f>IFERROR(__xludf.DUMMYFUNCTION("""COMPUTED_VALUE"""),"-")</f>
        <v>-</v>
      </c>
      <c r="I3398" s="19">
        <f>IFERROR(__xludf.DUMMYFUNCTION("""COMPUTED_VALUE"""),0.00229)</f>
        <v>0.00229</v>
      </c>
      <c r="J3398" s="19">
        <f>IFERROR(__xludf.DUMMYFUNCTION("""COMPUTED_VALUE"""),0.04738)</f>
        <v>0.04738</v>
      </c>
      <c r="K3398" s="19" t="str">
        <f>IFERROR(__xludf.DUMMYFUNCTION("""COMPUTED_VALUE"""),"-")</f>
        <v>-</v>
      </c>
      <c r="L3398" s="19" t="str">
        <f>IFERROR(__xludf.DUMMYFUNCTION("""COMPUTED_VALUE"""),"-")</f>
        <v>-</v>
      </c>
      <c r="O3398" s="24">
        <f t="shared" si="4"/>
        <v>0</v>
      </c>
      <c r="P3398" s="24"/>
      <c r="Q3398" s="24">
        <f t="shared" si="6"/>
        <v>0</v>
      </c>
      <c r="R3398" s="24">
        <f t="shared" si="7"/>
        <v>0</v>
      </c>
      <c r="S3398" s="24"/>
      <c r="T3398" s="24"/>
    </row>
    <row r="3399">
      <c r="A3399" s="12"/>
      <c r="F3399" s="19">
        <f>IFERROR(__xludf.DUMMYFUNCTION("SPLIT(A3395, "" |"")"),3393.0)</f>
        <v>3393</v>
      </c>
      <c r="G3399" s="19">
        <f>IFERROR(__xludf.DUMMYFUNCTION("""COMPUTED_VALUE"""),0.00233)</f>
        <v>0.00233</v>
      </c>
      <c r="H3399" s="19" t="str">
        <f>IFERROR(__xludf.DUMMYFUNCTION("""COMPUTED_VALUE"""),"-")</f>
        <v>-</v>
      </c>
      <c r="I3399" s="19">
        <f>IFERROR(__xludf.DUMMYFUNCTION("""COMPUTED_VALUE"""),0.00224)</f>
        <v>0.00224</v>
      </c>
      <c r="J3399" s="19">
        <f>IFERROR(__xludf.DUMMYFUNCTION("""COMPUTED_VALUE"""),0.04748)</f>
        <v>0.04748</v>
      </c>
      <c r="K3399" s="19" t="str">
        <f>IFERROR(__xludf.DUMMYFUNCTION("""COMPUTED_VALUE"""),"-")</f>
        <v>-</v>
      </c>
      <c r="L3399" s="19" t="str">
        <f>IFERROR(__xludf.DUMMYFUNCTION("""COMPUTED_VALUE"""),"-")</f>
        <v>-</v>
      </c>
      <c r="O3399" s="24">
        <f t="shared" si="4"/>
        <v>0</v>
      </c>
      <c r="P3399" s="24"/>
      <c r="Q3399" s="24">
        <f t="shared" si="6"/>
        <v>0</v>
      </c>
      <c r="R3399" s="24">
        <f t="shared" si="7"/>
        <v>0</v>
      </c>
      <c r="S3399" s="24"/>
      <c r="T3399" s="24"/>
    </row>
    <row r="3400">
      <c r="A3400" s="12" t="s">
        <v>3486</v>
      </c>
      <c r="F3400" s="19">
        <f>IFERROR(__xludf.DUMMYFUNCTION("SPLIT(A3396, "" |"")"),3394.0)</f>
        <v>3394</v>
      </c>
      <c r="G3400" s="19">
        <f>IFERROR(__xludf.DUMMYFUNCTION("""COMPUTED_VALUE"""),0.00229)</f>
        <v>0.00229</v>
      </c>
      <c r="H3400" s="19" t="str">
        <f>IFERROR(__xludf.DUMMYFUNCTION("""COMPUTED_VALUE"""),"-")</f>
        <v>-</v>
      </c>
      <c r="I3400" s="19">
        <f>IFERROR(__xludf.DUMMYFUNCTION("""COMPUTED_VALUE"""),0.00212)</f>
        <v>0.00212</v>
      </c>
      <c r="J3400" s="19">
        <f>IFERROR(__xludf.DUMMYFUNCTION("""COMPUTED_VALUE"""),0.04735)</f>
        <v>0.04735</v>
      </c>
      <c r="K3400" s="19" t="str">
        <f>IFERROR(__xludf.DUMMYFUNCTION("""COMPUTED_VALUE"""),"-")</f>
        <v>-</v>
      </c>
      <c r="L3400" s="19" t="str">
        <f>IFERROR(__xludf.DUMMYFUNCTION("""COMPUTED_VALUE"""),"-")</f>
        <v>-</v>
      </c>
      <c r="O3400" s="24">
        <f t="shared" si="4"/>
        <v>0</v>
      </c>
      <c r="P3400" s="24"/>
      <c r="Q3400" s="24">
        <f t="shared" si="6"/>
        <v>0</v>
      </c>
      <c r="R3400" s="24">
        <f t="shared" si="7"/>
        <v>0</v>
      </c>
      <c r="S3400" s="24"/>
      <c r="T3400" s="24"/>
    </row>
    <row r="3401">
      <c r="A3401" s="12" t="s">
        <v>3487</v>
      </c>
      <c r="F3401" s="19">
        <f>IFERROR(__xludf.DUMMYFUNCTION("SPLIT(A3397, "" |"")"),3395.0)</f>
        <v>3395</v>
      </c>
      <c r="G3401" s="19">
        <f>IFERROR(__xludf.DUMMYFUNCTION("""COMPUTED_VALUE"""),0.00248)</f>
        <v>0.00248</v>
      </c>
      <c r="H3401" s="19" t="str">
        <f>IFERROR(__xludf.DUMMYFUNCTION("""COMPUTED_VALUE"""),"-")</f>
        <v>-</v>
      </c>
      <c r="I3401" s="19">
        <f>IFERROR(__xludf.DUMMYFUNCTION("""COMPUTED_VALUE"""),0.00227)</f>
        <v>0.00227</v>
      </c>
      <c r="J3401" s="19">
        <f>IFERROR(__xludf.DUMMYFUNCTION("""COMPUTED_VALUE"""),0.04736)</f>
        <v>0.04736</v>
      </c>
      <c r="K3401" s="19" t="str">
        <f>IFERROR(__xludf.DUMMYFUNCTION("""COMPUTED_VALUE"""),"-")</f>
        <v>-</v>
      </c>
      <c r="L3401" s="19" t="str">
        <f>IFERROR(__xludf.DUMMYFUNCTION("""COMPUTED_VALUE"""),"-")</f>
        <v>-</v>
      </c>
      <c r="O3401" s="24">
        <f t="shared" si="4"/>
        <v>0</v>
      </c>
      <c r="P3401" s="24"/>
      <c r="Q3401" s="24">
        <f t="shared" si="6"/>
        <v>0</v>
      </c>
      <c r="R3401" s="24">
        <f t="shared" si="7"/>
        <v>0</v>
      </c>
      <c r="S3401" s="24"/>
      <c r="T3401" s="24"/>
    </row>
    <row r="3402">
      <c r="A3402" s="12" t="s">
        <v>3488</v>
      </c>
      <c r="E3402" s="12" t="s">
        <v>3489</v>
      </c>
      <c r="F3402" s="19">
        <f>IFERROR(__xludf.DUMMYFUNCTION("SPLIT(A3398, "" |"")"),3396.0)</f>
        <v>3396</v>
      </c>
      <c r="G3402" s="19">
        <f>IFERROR(__xludf.DUMMYFUNCTION("""COMPUTED_VALUE"""),0.0023)</f>
        <v>0.0023</v>
      </c>
      <c r="H3402" s="19" t="str">
        <f>IFERROR(__xludf.DUMMYFUNCTION("""COMPUTED_VALUE"""),"-")</f>
        <v>-</v>
      </c>
      <c r="I3402" s="19">
        <f>IFERROR(__xludf.DUMMYFUNCTION("""COMPUTED_VALUE"""),0.00213)</f>
        <v>0.00213</v>
      </c>
      <c r="J3402" s="19">
        <f>IFERROR(__xludf.DUMMYFUNCTION("""COMPUTED_VALUE"""),0.04918)</f>
        <v>0.04918</v>
      </c>
      <c r="K3402" s="19" t="str">
        <f>IFERROR(__xludf.DUMMYFUNCTION("""COMPUTED_VALUE"""),"-")</f>
        <v>-</v>
      </c>
      <c r="L3402" s="19" t="str">
        <f>IFERROR(__xludf.DUMMYFUNCTION("""COMPUTED_VALUE"""),"-")</f>
        <v>-</v>
      </c>
      <c r="O3402" s="24">
        <f t="shared" si="4"/>
        <v>0</v>
      </c>
      <c r="P3402" s="24"/>
      <c r="Q3402" s="24">
        <f t="shared" si="6"/>
        <v>0</v>
      </c>
      <c r="R3402" s="24">
        <f t="shared" si="7"/>
        <v>0</v>
      </c>
      <c r="S3402" s="24"/>
      <c r="T3402" s="24"/>
    </row>
    <row r="3403">
      <c r="A3403" s="12" t="s">
        <v>3490</v>
      </c>
      <c r="E3403" s="19">
        <v>0.03167</v>
      </c>
      <c r="F3403" s="19" t="str">
        <f>IFERROR(__xludf.DUMMYFUNCTION("SPLIT(A3399, "" |"")"),"#VALUE!")</f>
        <v>#VALUE!</v>
      </c>
      <c r="O3403" s="24">
        <f t="shared" si="4"/>
        <v>1</v>
      </c>
      <c r="P3403" s="24"/>
      <c r="Q3403" s="24">
        <f t="shared" si="6"/>
        <v>1</v>
      </c>
      <c r="R3403" s="24">
        <f t="shared" si="7"/>
        <v>1</v>
      </c>
      <c r="S3403" s="24"/>
      <c r="T3403" s="24"/>
    </row>
    <row r="3404">
      <c r="A3404" s="12" t="s">
        <v>3491</v>
      </c>
      <c r="F3404" s="19">
        <f>IFERROR(__xludf.DUMMYFUNCTION("SPLIT(A3400, "" |"")"),3398.0)</f>
        <v>3398</v>
      </c>
      <c r="G3404" s="19">
        <f>IFERROR(__xludf.DUMMYFUNCTION("""COMPUTED_VALUE"""),0.00251)</f>
        <v>0.00251</v>
      </c>
      <c r="H3404" s="19" t="str">
        <f>IFERROR(__xludf.DUMMYFUNCTION("""COMPUTED_VALUE"""),"-")</f>
        <v>-</v>
      </c>
      <c r="I3404" s="19">
        <f>IFERROR(__xludf.DUMMYFUNCTION("""COMPUTED_VALUE"""),0.00214)</f>
        <v>0.00214</v>
      </c>
      <c r="J3404" s="19">
        <f>IFERROR(__xludf.DUMMYFUNCTION("""COMPUTED_VALUE"""),0.04721)</f>
        <v>0.04721</v>
      </c>
      <c r="K3404" s="19" t="str">
        <f>IFERROR(__xludf.DUMMYFUNCTION("""COMPUTED_VALUE"""),"-")</f>
        <v>-</v>
      </c>
      <c r="L3404" s="19" t="str">
        <f>IFERROR(__xludf.DUMMYFUNCTION("""COMPUTED_VALUE"""),"-")</f>
        <v>-</v>
      </c>
      <c r="O3404" s="24">
        <f t="shared" si="4"/>
        <v>0</v>
      </c>
      <c r="P3404" s="24"/>
      <c r="Q3404" s="24">
        <f t="shared" si="6"/>
        <v>0</v>
      </c>
      <c r="R3404" s="24">
        <f t="shared" si="7"/>
        <v>0</v>
      </c>
      <c r="S3404" s="24"/>
      <c r="T3404" s="24"/>
    </row>
    <row r="3405">
      <c r="A3405" s="12" t="s">
        <v>3492</v>
      </c>
      <c r="F3405" s="19">
        <f>IFERROR(__xludf.DUMMYFUNCTION("SPLIT(A3401, "" |"")"),3399.0)</f>
        <v>3399</v>
      </c>
      <c r="G3405" s="19">
        <f>IFERROR(__xludf.DUMMYFUNCTION("""COMPUTED_VALUE"""),0.00249)</f>
        <v>0.00249</v>
      </c>
      <c r="H3405" s="19" t="str">
        <f>IFERROR(__xludf.DUMMYFUNCTION("""COMPUTED_VALUE"""),"-")</f>
        <v>-</v>
      </c>
      <c r="I3405" s="19">
        <f>IFERROR(__xludf.DUMMYFUNCTION("""COMPUTED_VALUE"""),0.00239)</f>
        <v>0.00239</v>
      </c>
      <c r="J3405" s="19">
        <f>IFERROR(__xludf.DUMMYFUNCTION("""COMPUTED_VALUE"""),0.04766)</f>
        <v>0.04766</v>
      </c>
      <c r="K3405" s="19" t="str">
        <f>IFERROR(__xludf.DUMMYFUNCTION("""COMPUTED_VALUE"""),"-")</f>
        <v>-</v>
      </c>
      <c r="L3405" s="19" t="str">
        <f>IFERROR(__xludf.DUMMYFUNCTION("""COMPUTED_VALUE"""),"-")</f>
        <v>-</v>
      </c>
      <c r="O3405" s="24">
        <f t="shared" si="4"/>
        <v>0</v>
      </c>
      <c r="P3405" s="24"/>
      <c r="Q3405" s="24">
        <f t="shared" si="6"/>
        <v>0</v>
      </c>
      <c r="R3405" s="24">
        <f t="shared" si="7"/>
        <v>0</v>
      </c>
      <c r="S3405" s="24"/>
      <c r="T3405" s="24"/>
    </row>
    <row r="3406">
      <c r="A3406" s="12" t="s">
        <v>3493</v>
      </c>
      <c r="F3406" s="19">
        <f>IFERROR(__xludf.DUMMYFUNCTION("SPLIT(A3402, "" |"")"),3400.0)</f>
        <v>3400</v>
      </c>
      <c r="G3406" s="19">
        <f>IFERROR(__xludf.DUMMYFUNCTION("""COMPUTED_VALUE"""),0.00335)</f>
        <v>0.00335</v>
      </c>
      <c r="H3406" s="19" t="str">
        <f>IFERROR(__xludf.DUMMYFUNCTION("""COMPUTED_VALUE"""),"-")</f>
        <v>-</v>
      </c>
      <c r="I3406" s="19">
        <f>IFERROR(__xludf.DUMMYFUNCTION("""COMPUTED_VALUE"""),0.00211)</f>
        <v>0.00211</v>
      </c>
      <c r="J3406" s="19">
        <f>IFERROR(__xludf.DUMMYFUNCTION("""COMPUTED_VALUE"""),0.04559)</f>
        <v>0.04559</v>
      </c>
      <c r="K3406" s="19" t="str">
        <f>IFERROR(__xludf.DUMMYFUNCTION("""COMPUTED_VALUE"""),"-")</f>
        <v>-</v>
      </c>
      <c r="L3406" s="19" t="str">
        <f>IFERROR(__xludf.DUMMYFUNCTION("""COMPUTED_VALUE"""),"-")</f>
        <v>-</v>
      </c>
      <c r="O3406" s="24">
        <f t="shared" si="4"/>
        <v>1</v>
      </c>
      <c r="P3406" s="24"/>
      <c r="Q3406" s="24">
        <f t="shared" si="6"/>
        <v>0</v>
      </c>
      <c r="R3406" s="24">
        <f t="shared" si="7"/>
        <v>0</v>
      </c>
      <c r="S3406" s="24"/>
      <c r="T3406" s="24"/>
    </row>
    <row r="3407">
      <c r="A3407" s="12" t="s">
        <v>3494</v>
      </c>
      <c r="F3407" s="19">
        <f>IFERROR(__xludf.DUMMYFUNCTION("SPLIT(A3403, "" |"")"),3401.0)</f>
        <v>3401</v>
      </c>
      <c r="G3407" s="19">
        <f>IFERROR(__xludf.DUMMYFUNCTION("""COMPUTED_VALUE"""),0.00239)</f>
        <v>0.00239</v>
      </c>
      <c r="H3407" s="19" t="str">
        <f>IFERROR(__xludf.DUMMYFUNCTION("""COMPUTED_VALUE"""),"-")</f>
        <v>-</v>
      </c>
      <c r="I3407" s="19">
        <f>IFERROR(__xludf.DUMMYFUNCTION("""COMPUTED_VALUE"""),0.00216)</f>
        <v>0.00216</v>
      </c>
      <c r="J3407" s="19">
        <f>IFERROR(__xludf.DUMMYFUNCTION("""COMPUTED_VALUE"""),0.04471)</f>
        <v>0.04471</v>
      </c>
      <c r="K3407" s="19" t="str">
        <f>IFERROR(__xludf.DUMMYFUNCTION("""COMPUTED_VALUE"""),"-")</f>
        <v>-</v>
      </c>
      <c r="L3407" s="19" t="str">
        <f>IFERROR(__xludf.DUMMYFUNCTION("""COMPUTED_VALUE"""),"-")</f>
        <v>-</v>
      </c>
      <c r="O3407" s="24">
        <f t="shared" si="4"/>
        <v>0</v>
      </c>
      <c r="P3407" s="24"/>
      <c r="Q3407" s="24">
        <f t="shared" si="6"/>
        <v>0</v>
      </c>
      <c r="R3407" s="24">
        <f t="shared" si="7"/>
        <v>1</v>
      </c>
      <c r="S3407" s="24"/>
      <c r="T3407" s="24"/>
    </row>
    <row r="3408">
      <c r="A3408" s="12" t="s">
        <v>3495</v>
      </c>
      <c r="F3408" s="19">
        <f>IFERROR(__xludf.DUMMYFUNCTION("SPLIT(A3404, "" |"")"),3402.0)</f>
        <v>3402</v>
      </c>
      <c r="G3408" s="19">
        <f>IFERROR(__xludf.DUMMYFUNCTION("""COMPUTED_VALUE"""),0.00252)</f>
        <v>0.00252</v>
      </c>
      <c r="H3408" s="19" t="str">
        <f>IFERROR(__xludf.DUMMYFUNCTION("""COMPUTED_VALUE"""),"-")</f>
        <v>-</v>
      </c>
      <c r="I3408" s="19">
        <f>IFERROR(__xludf.DUMMYFUNCTION("""COMPUTED_VALUE"""),0.00216)</f>
        <v>0.00216</v>
      </c>
      <c r="J3408" s="19">
        <f>IFERROR(__xludf.DUMMYFUNCTION("""COMPUTED_VALUE"""),0.04737)</f>
        <v>0.04737</v>
      </c>
      <c r="K3408" s="19" t="str">
        <f>IFERROR(__xludf.DUMMYFUNCTION("""COMPUTED_VALUE"""),"-")</f>
        <v>-</v>
      </c>
      <c r="L3408" s="19" t="str">
        <f>IFERROR(__xludf.DUMMYFUNCTION("""COMPUTED_VALUE"""),"-")</f>
        <v>-</v>
      </c>
      <c r="O3408" s="24">
        <f t="shared" si="4"/>
        <v>0</v>
      </c>
      <c r="P3408" s="24"/>
      <c r="Q3408" s="24">
        <f t="shared" si="6"/>
        <v>0</v>
      </c>
      <c r="R3408" s="24">
        <f t="shared" si="7"/>
        <v>0</v>
      </c>
      <c r="S3408" s="24"/>
      <c r="T3408" s="24"/>
    </row>
    <row r="3409">
      <c r="A3409" s="12" t="s">
        <v>3496</v>
      </c>
      <c r="F3409" s="19">
        <f>IFERROR(__xludf.DUMMYFUNCTION("SPLIT(A3405, "" |"")"),3403.0)</f>
        <v>3403</v>
      </c>
      <c r="G3409" s="19">
        <f>IFERROR(__xludf.DUMMYFUNCTION("""COMPUTED_VALUE"""),0.00242)</f>
        <v>0.00242</v>
      </c>
      <c r="H3409" s="19" t="str">
        <f>IFERROR(__xludf.DUMMYFUNCTION("""COMPUTED_VALUE"""),"-")</f>
        <v>-</v>
      </c>
      <c r="I3409" s="19">
        <f>IFERROR(__xludf.DUMMYFUNCTION("""COMPUTED_VALUE"""),0.00209)</f>
        <v>0.00209</v>
      </c>
      <c r="J3409" s="19">
        <f>IFERROR(__xludf.DUMMYFUNCTION("""COMPUTED_VALUE"""),0.04583)</f>
        <v>0.04583</v>
      </c>
      <c r="K3409" s="19" t="str">
        <f>IFERROR(__xludf.DUMMYFUNCTION("""COMPUTED_VALUE"""),"-")</f>
        <v>-</v>
      </c>
      <c r="L3409" s="19" t="str">
        <f>IFERROR(__xludf.DUMMYFUNCTION("""COMPUTED_VALUE"""),"-")</f>
        <v>-</v>
      </c>
      <c r="O3409" s="24">
        <f t="shared" si="4"/>
        <v>0</v>
      </c>
      <c r="P3409" s="24"/>
      <c r="Q3409" s="24">
        <f t="shared" si="6"/>
        <v>0</v>
      </c>
      <c r="R3409" s="24">
        <f t="shared" si="7"/>
        <v>0</v>
      </c>
      <c r="S3409" s="24"/>
      <c r="T3409" s="24"/>
    </row>
    <row r="3410">
      <c r="A3410" s="12" t="s">
        <v>3497</v>
      </c>
      <c r="F3410" s="19">
        <f>IFERROR(__xludf.DUMMYFUNCTION("SPLIT(A3406, "" |"")"),3404.0)</f>
        <v>3404</v>
      </c>
      <c r="G3410" s="19">
        <f>IFERROR(__xludf.DUMMYFUNCTION("""COMPUTED_VALUE"""),0.00251)</f>
        <v>0.00251</v>
      </c>
      <c r="H3410" s="19" t="str">
        <f>IFERROR(__xludf.DUMMYFUNCTION("""COMPUTED_VALUE"""),"-")</f>
        <v>-</v>
      </c>
      <c r="I3410" s="19">
        <f>IFERROR(__xludf.DUMMYFUNCTION("""COMPUTED_VALUE"""),0.00225)</f>
        <v>0.00225</v>
      </c>
      <c r="J3410" s="19">
        <f>IFERROR(__xludf.DUMMYFUNCTION("""COMPUTED_VALUE"""),0.04589)</f>
        <v>0.04589</v>
      </c>
      <c r="K3410" s="19" t="str">
        <f>IFERROR(__xludf.DUMMYFUNCTION("""COMPUTED_VALUE"""),"-")</f>
        <v>-</v>
      </c>
      <c r="L3410" s="19" t="str">
        <f>IFERROR(__xludf.DUMMYFUNCTION("""COMPUTED_VALUE"""),"-")</f>
        <v>-</v>
      </c>
      <c r="O3410" s="24">
        <f t="shared" si="4"/>
        <v>0</v>
      </c>
      <c r="P3410" s="24"/>
      <c r="Q3410" s="24">
        <f t="shared" si="6"/>
        <v>0</v>
      </c>
      <c r="R3410" s="24">
        <f t="shared" si="7"/>
        <v>0</v>
      </c>
      <c r="S3410" s="24"/>
      <c r="T3410" s="24"/>
    </row>
    <row r="3411">
      <c r="A3411" s="12" t="s">
        <v>3498</v>
      </c>
      <c r="F3411" s="19">
        <f>IFERROR(__xludf.DUMMYFUNCTION("SPLIT(A3407, "" |"")"),3405.0)</f>
        <v>3405</v>
      </c>
      <c r="G3411" s="19">
        <f>IFERROR(__xludf.DUMMYFUNCTION("""COMPUTED_VALUE"""),0.00242)</f>
        <v>0.00242</v>
      </c>
      <c r="H3411" s="19" t="str">
        <f>IFERROR(__xludf.DUMMYFUNCTION("""COMPUTED_VALUE"""),"-")</f>
        <v>-</v>
      </c>
      <c r="I3411" s="19">
        <f>IFERROR(__xludf.DUMMYFUNCTION("""COMPUTED_VALUE"""),0.00229)</f>
        <v>0.00229</v>
      </c>
      <c r="J3411" s="19">
        <f>IFERROR(__xludf.DUMMYFUNCTION("""COMPUTED_VALUE"""),0.04371)</f>
        <v>0.04371</v>
      </c>
      <c r="K3411" s="19" t="str">
        <f>IFERROR(__xludf.DUMMYFUNCTION("""COMPUTED_VALUE"""),"-")</f>
        <v>-</v>
      </c>
      <c r="L3411" s="19" t="str">
        <f>IFERROR(__xludf.DUMMYFUNCTION("""COMPUTED_VALUE"""),"-")</f>
        <v>-</v>
      </c>
      <c r="O3411" s="24">
        <f t="shared" si="4"/>
        <v>0</v>
      </c>
      <c r="P3411" s="24"/>
      <c r="Q3411" s="24">
        <f t="shared" si="6"/>
        <v>0</v>
      </c>
      <c r="R3411" s="24">
        <f t="shared" si="7"/>
        <v>1</v>
      </c>
      <c r="S3411" s="24"/>
      <c r="T3411" s="24"/>
    </row>
    <row r="3412">
      <c r="A3412" s="12" t="s">
        <v>3499</v>
      </c>
      <c r="F3412" s="19">
        <f>IFERROR(__xludf.DUMMYFUNCTION("SPLIT(A3408, "" |"")"),3406.0)</f>
        <v>3406</v>
      </c>
      <c r="G3412" s="19">
        <f>IFERROR(__xludf.DUMMYFUNCTION("""COMPUTED_VALUE"""),0.00242)</f>
        <v>0.00242</v>
      </c>
      <c r="H3412" s="19" t="str">
        <f>IFERROR(__xludf.DUMMYFUNCTION("""COMPUTED_VALUE"""),"-")</f>
        <v>-</v>
      </c>
      <c r="I3412" s="19">
        <f>IFERROR(__xludf.DUMMYFUNCTION("""COMPUTED_VALUE"""),0.00216)</f>
        <v>0.00216</v>
      </c>
      <c r="J3412" s="19">
        <f>IFERROR(__xludf.DUMMYFUNCTION("""COMPUTED_VALUE"""),0.03952)</f>
        <v>0.03952</v>
      </c>
      <c r="K3412" s="19" t="str">
        <f>IFERROR(__xludf.DUMMYFUNCTION("""COMPUTED_VALUE"""),"-")</f>
        <v>-</v>
      </c>
      <c r="L3412" s="19" t="str">
        <f>IFERROR(__xludf.DUMMYFUNCTION("""COMPUTED_VALUE"""),"-")</f>
        <v>-</v>
      </c>
      <c r="O3412" s="24">
        <f t="shared" si="4"/>
        <v>0</v>
      </c>
      <c r="P3412" s="24"/>
      <c r="Q3412" s="24">
        <f t="shared" si="6"/>
        <v>0</v>
      </c>
      <c r="R3412" s="24">
        <f t="shared" si="7"/>
        <v>1</v>
      </c>
      <c r="S3412" s="24"/>
      <c r="T3412" s="24"/>
    </row>
    <row r="3413">
      <c r="A3413" s="12" t="s">
        <v>3500</v>
      </c>
      <c r="F3413" s="19">
        <f>IFERROR(__xludf.DUMMYFUNCTION("SPLIT(A3409, "" |"")"),3407.0)</f>
        <v>3407</v>
      </c>
      <c r="G3413" s="19">
        <f>IFERROR(__xludf.DUMMYFUNCTION("""COMPUTED_VALUE"""),0.00233)</f>
        <v>0.00233</v>
      </c>
      <c r="H3413" s="19" t="str">
        <f>IFERROR(__xludf.DUMMYFUNCTION("""COMPUTED_VALUE"""),"-")</f>
        <v>-</v>
      </c>
      <c r="I3413" s="19">
        <f>IFERROR(__xludf.DUMMYFUNCTION("""COMPUTED_VALUE"""),0.00208)</f>
        <v>0.00208</v>
      </c>
      <c r="J3413" s="19">
        <f>IFERROR(__xludf.DUMMYFUNCTION("""COMPUTED_VALUE"""),0.04277)</f>
        <v>0.04277</v>
      </c>
      <c r="K3413" s="19" t="str">
        <f>IFERROR(__xludf.DUMMYFUNCTION("""COMPUTED_VALUE"""),"-")</f>
        <v>-</v>
      </c>
      <c r="L3413" s="19" t="str">
        <f>IFERROR(__xludf.DUMMYFUNCTION("""COMPUTED_VALUE"""),"-")</f>
        <v>-</v>
      </c>
      <c r="O3413" s="24">
        <f t="shared" si="4"/>
        <v>0</v>
      </c>
      <c r="P3413" s="24"/>
      <c r="Q3413" s="24">
        <f t="shared" si="6"/>
        <v>0</v>
      </c>
      <c r="R3413" s="24">
        <f t="shared" si="7"/>
        <v>1</v>
      </c>
      <c r="S3413" s="24"/>
      <c r="T3413" s="24"/>
    </row>
    <row r="3414">
      <c r="A3414" s="12" t="s">
        <v>3501</v>
      </c>
      <c r="F3414" s="19">
        <f>IFERROR(__xludf.DUMMYFUNCTION("SPLIT(A3410, "" |"")"),3408.0)</f>
        <v>3408</v>
      </c>
      <c r="G3414" s="19">
        <f>IFERROR(__xludf.DUMMYFUNCTION("""COMPUTED_VALUE"""),0.00245)</f>
        <v>0.00245</v>
      </c>
      <c r="H3414" s="19" t="str">
        <f>IFERROR(__xludf.DUMMYFUNCTION("""COMPUTED_VALUE"""),"-")</f>
        <v>-</v>
      </c>
      <c r="I3414" s="19">
        <f>IFERROR(__xludf.DUMMYFUNCTION("""COMPUTED_VALUE"""),0.00219)</f>
        <v>0.00219</v>
      </c>
      <c r="J3414" s="19">
        <f>IFERROR(__xludf.DUMMYFUNCTION("""COMPUTED_VALUE"""),0.04265)</f>
        <v>0.04265</v>
      </c>
      <c r="K3414" s="19" t="str">
        <f>IFERROR(__xludf.DUMMYFUNCTION("""COMPUTED_VALUE"""),"-")</f>
        <v>-</v>
      </c>
      <c r="L3414" s="19" t="str">
        <f>IFERROR(__xludf.DUMMYFUNCTION("""COMPUTED_VALUE"""),"-")</f>
        <v>-</v>
      </c>
      <c r="O3414" s="24">
        <f t="shared" si="4"/>
        <v>0</v>
      </c>
      <c r="P3414" s="24"/>
      <c r="Q3414" s="24">
        <f t="shared" si="6"/>
        <v>0</v>
      </c>
      <c r="R3414" s="24">
        <f t="shared" si="7"/>
        <v>1</v>
      </c>
      <c r="S3414" s="24"/>
      <c r="T3414" s="24"/>
    </row>
    <row r="3415">
      <c r="A3415" s="12" t="s">
        <v>3502</v>
      </c>
      <c r="F3415" s="19">
        <f>IFERROR(__xludf.DUMMYFUNCTION("SPLIT(A3411, "" |"")"),3409.0)</f>
        <v>3409</v>
      </c>
      <c r="G3415" s="19">
        <f>IFERROR(__xludf.DUMMYFUNCTION("""COMPUTED_VALUE"""),0.00246)</f>
        <v>0.00246</v>
      </c>
      <c r="H3415" s="19" t="str">
        <f>IFERROR(__xludf.DUMMYFUNCTION("""COMPUTED_VALUE"""),"-")</f>
        <v>-</v>
      </c>
      <c r="I3415" s="19">
        <f>IFERROR(__xludf.DUMMYFUNCTION("""COMPUTED_VALUE"""),0.00241)</f>
        <v>0.00241</v>
      </c>
      <c r="J3415" s="19">
        <f>IFERROR(__xludf.DUMMYFUNCTION("""COMPUTED_VALUE"""),0.04344)</f>
        <v>0.04344</v>
      </c>
      <c r="K3415" s="19" t="str">
        <f>IFERROR(__xludf.DUMMYFUNCTION("""COMPUTED_VALUE"""),"-")</f>
        <v>-</v>
      </c>
      <c r="L3415" s="19" t="str">
        <f>IFERROR(__xludf.DUMMYFUNCTION("""COMPUTED_VALUE"""),"-")</f>
        <v>-</v>
      </c>
      <c r="O3415" s="24">
        <f t="shared" si="4"/>
        <v>0</v>
      </c>
      <c r="P3415" s="24"/>
      <c r="Q3415" s="24">
        <f t="shared" si="6"/>
        <v>0</v>
      </c>
      <c r="R3415" s="24">
        <f t="shared" si="7"/>
        <v>1</v>
      </c>
      <c r="S3415" s="24"/>
      <c r="T3415" s="24"/>
    </row>
    <row r="3416">
      <c r="A3416" s="12" t="s">
        <v>3503</v>
      </c>
      <c r="F3416" s="19">
        <f>IFERROR(__xludf.DUMMYFUNCTION("SPLIT(A3412, "" |"")"),3410.0)</f>
        <v>3410</v>
      </c>
      <c r="G3416" s="19">
        <f>IFERROR(__xludf.DUMMYFUNCTION("""COMPUTED_VALUE"""),0.00248)</f>
        <v>0.00248</v>
      </c>
      <c r="H3416" s="19" t="str">
        <f>IFERROR(__xludf.DUMMYFUNCTION("""COMPUTED_VALUE"""),"-")</f>
        <v>-</v>
      </c>
      <c r="I3416" s="19">
        <f>IFERROR(__xludf.DUMMYFUNCTION("""COMPUTED_VALUE"""),0.00226)</f>
        <v>0.00226</v>
      </c>
      <c r="J3416" s="19">
        <f>IFERROR(__xludf.DUMMYFUNCTION("""COMPUTED_VALUE"""),0.03683)</f>
        <v>0.03683</v>
      </c>
      <c r="K3416" s="19" t="str">
        <f>IFERROR(__xludf.DUMMYFUNCTION("""COMPUTED_VALUE"""),"-")</f>
        <v>-</v>
      </c>
      <c r="L3416" s="19" t="str">
        <f>IFERROR(__xludf.DUMMYFUNCTION("""COMPUTED_VALUE"""),"-")</f>
        <v>-</v>
      </c>
      <c r="O3416" s="24">
        <f t="shared" si="4"/>
        <v>0</v>
      </c>
      <c r="P3416" s="24"/>
      <c r="Q3416" s="24">
        <f t="shared" si="6"/>
        <v>0</v>
      </c>
      <c r="R3416" s="24">
        <f t="shared" si="7"/>
        <v>1</v>
      </c>
      <c r="S3416" s="24"/>
      <c r="T3416" s="24"/>
    </row>
    <row r="3417">
      <c r="A3417" s="12" t="s">
        <v>3504</v>
      </c>
      <c r="F3417" s="19">
        <f>IFERROR(__xludf.DUMMYFUNCTION("SPLIT(A3413, "" |"")"),3411.0)</f>
        <v>3411</v>
      </c>
      <c r="G3417" s="19">
        <f>IFERROR(__xludf.DUMMYFUNCTION("""COMPUTED_VALUE"""),0.00253)</f>
        <v>0.00253</v>
      </c>
      <c r="H3417" s="19" t="str">
        <f>IFERROR(__xludf.DUMMYFUNCTION("""COMPUTED_VALUE"""),"-")</f>
        <v>-</v>
      </c>
      <c r="I3417" s="19">
        <f>IFERROR(__xludf.DUMMYFUNCTION("""COMPUTED_VALUE"""),0.00228)</f>
        <v>0.00228</v>
      </c>
      <c r="J3417" s="19">
        <f>IFERROR(__xludf.DUMMYFUNCTION("""COMPUTED_VALUE"""),0.04552)</f>
        <v>0.04552</v>
      </c>
      <c r="K3417" s="19" t="str">
        <f>IFERROR(__xludf.DUMMYFUNCTION("""COMPUTED_VALUE"""),"-")</f>
        <v>-</v>
      </c>
      <c r="L3417" s="19" t="str">
        <f>IFERROR(__xludf.DUMMYFUNCTION("""COMPUTED_VALUE"""),"-")</f>
        <v>-</v>
      </c>
      <c r="O3417" s="24">
        <f t="shared" si="4"/>
        <v>0</v>
      </c>
      <c r="P3417" s="24"/>
      <c r="Q3417" s="24">
        <f t="shared" si="6"/>
        <v>0</v>
      </c>
      <c r="R3417" s="24">
        <f t="shared" si="7"/>
        <v>0</v>
      </c>
      <c r="S3417" s="24"/>
      <c r="T3417" s="24"/>
    </row>
    <row r="3418">
      <c r="A3418" s="12" t="s">
        <v>3505</v>
      </c>
      <c r="F3418" s="19">
        <f>IFERROR(__xludf.DUMMYFUNCTION("SPLIT(A3414, "" |"")"),3412.0)</f>
        <v>3412</v>
      </c>
      <c r="G3418" s="19">
        <f>IFERROR(__xludf.DUMMYFUNCTION("""COMPUTED_VALUE"""),0.00249)</f>
        <v>0.00249</v>
      </c>
      <c r="H3418" s="19" t="str">
        <f>IFERROR(__xludf.DUMMYFUNCTION("""COMPUTED_VALUE"""),"-")</f>
        <v>-</v>
      </c>
      <c r="I3418" s="19">
        <f>IFERROR(__xludf.DUMMYFUNCTION("""COMPUTED_VALUE"""),0.00229)</f>
        <v>0.00229</v>
      </c>
      <c r="J3418" s="19">
        <f>IFERROR(__xludf.DUMMYFUNCTION("""COMPUTED_VALUE"""),0.04397)</f>
        <v>0.04397</v>
      </c>
      <c r="K3418" s="19" t="str">
        <f>IFERROR(__xludf.DUMMYFUNCTION("""COMPUTED_VALUE"""),"-")</f>
        <v>-</v>
      </c>
      <c r="L3418" s="19" t="str">
        <f>IFERROR(__xludf.DUMMYFUNCTION("""COMPUTED_VALUE"""),"-")</f>
        <v>-</v>
      </c>
      <c r="O3418" s="24">
        <f t="shared" si="4"/>
        <v>0</v>
      </c>
      <c r="P3418" s="24"/>
      <c r="Q3418" s="24">
        <f t="shared" si="6"/>
        <v>0</v>
      </c>
      <c r="R3418" s="24">
        <f t="shared" si="7"/>
        <v>1</v>
      </c>
      <c r="S3418" s="24"/>
      <c r="T3418" s="24"/>
    </row>
    <row r="3419">
      <c r="A3419" s="12" t="s">
        <v>3506</v>
      </c>
      <c r="F3419" s="19">
        <f>IFERROR(__xludf.DUMMYFUNCTION("SPLIT(A3415, "" |"")"),3413.0)</f>
        <v>3413</v>
      </c>
      <c r="G3419" s="19">
        <f>IFERROR(__xludf.DUMMYFUNCTION("""COMPUTED_VALUE"""),0.00252)</f>
        <v>0.00252</v>
      </c>
      <c r="H3419" s="19" t="str">
        <f>IFERROR(__xludf.DUMMYFUNCTION("""COMPUTED_VALUE"""),"-")</f>
        <v>-</v>
      </c>
      <c r="I3419" s="19">
        <f>IFERROR(__xludf.DUMMYFUNCTION("""COMPUTED_VALUE"""),0.00227)</f>
        <v>0.00227</v>
      </c>
      <c r="J3419" s="19">
        <f>IFERROR(__xludf.DUMMYFUNCTION("""COMPUTED_VALUE"""),0.03835)</f>
        <v>0.03835</v>
      </c>
      <c r="K3419" s="19" t="str">
        <f>IFERROR(__xludf.DUMMYFUNCTION("""COMPUTED_VALUE"""),"-")</f>
        <v>-</v>
      </c>
      <c r="L3419" s="19" t="str">
        <f>IFERROR(__xludf.DUMMYFUNCTION("""COMPUTED_VALUE"""),"-")</f>
        <v>-</v>
      </c>
      <c r="O3419" s="24">
        <f t="shared" si="4"/>
        <v>0</v>
      </c>
      <c r="P3419" s="24"/>
      <c r="Q3419" s="24">
        <f t="shared" si="6"/>
        <v>0</v>
      </c>
      <c r="R3419" s="24">
        <f t="shared" si="7"/>
        <v>1</v>
      </c>
      <c r="S3419" s="24"/>
      <c r="T3419" s="24"/>
    </row>
    <row r="3420">
      <c r="A3420" s="12" t="s">
        <v>3507</v>
      </c>
      <c r="F3420" s="19">
        <f>IFERROR(__xludf.DUMMYFUNCTION("SPLIT(A3416, "" |"")"),3414.0)</f>
        <v>3414</v>
      </c>
      <c r="G3420" s="19">
        <f>IFERROR(__xludf.DUMMYFUNCTION("""COMPUTED_VALUE"""),0.0026)</f>
        <v>0.0026</v>
      </c>
      <c r="H3420" s="19" t="str">
        <f>IFERROR(__xludf.DUMMYFUNCTION("""COMPUTED_VALUE"""),"-")</f>
        <v>-</v>
      </c>
      <c r="I3420" s="19">
        <f>IFERROR(__xludf.DUMMYFUNCTION("""COMPUTED_VALUE"""),0.00228)</f>
        <v>0.00228</v>
      </c>
      <c r="J3420" s="19">
        <f>IFERROR(__xludf.DUMMYFUNCTION("""COMPUTED_VALUE"""),0.04442)</f>
        <v>0.04442</v>
      </c>
      <c r="K3420" s="19" t="str">
        <f>IFERROR(__xludf.DUMMYFUNCTION("""COMPUTED_VALUE"""),"-")</f>
        <v>-</v>
      </c>
      <c r="L3420" s="19" t="str">
        <f>IFERROR(__xludf.DUMMYFUNCTION("""COMPUTED_VALUE"""),"-")</f>
        <v>-</v>
      </c>
      <c r="O3420" s="24">
        <f t="shared" si="4"/>
        <v>0</v>
      </c>
      <c r="P3420" s="24"/>
      <c r="Q3420" s="24">
        <f t="shared" si="6"/>
        <v>0</v>
      </c>
      <c r="R3420" s="24">
        <f t="shared" si="7"/>
        <v>1</v>
      </c>
      <c r="S3420" s="24"/>
      <c r="T3420" s="24"/>
    </row>
    <row r="3421">
      <c r="A3421" s="12" t="s">
        <v>3508</v>
      </c>
      <c r="F3421" s="19">
        <f>IFERROR(__xludf.DUMMYFUNCTION("SPLIT(A3417, "" |"")"),3415.0)</f>
        <v>3415</v>
      </c>
      <c r="G3421" s="19">
        <f>IFERROR(__xludf.DUMMYFUNCTION("""COMPUTED_VALUE"""),0.00233)</f>
        <v>0.00233</v>
      </c>
      <c r="H3421" s="19" t="str">
        <f>IFERROR(__xludf.DUMMYFUNCTION("""COMPUTED_VALUE"""),"-")</f>
        <v>-</v>
      </c>
      <c r="I3421" s="19">
        <f>IFERROR(__xludf.DUMMYFUNCTION("""COMPUTED_VALUE"""),0.00235)</f>
        <v>0.00235</v>
      </c>
      <c r="J3421" s="19">
        <f>IFERROR(__xludf.DUMMYFUNCTION("""COMPUTED_VALUE"""),0.04456)</f>
        <v>0.04456</v>
      </c>
      <c r="K3421" s="19" t="str">
        <f>IFERROR(__xludf.DUMMYFUNCTION("""COMPUTED_VALUE"""),"-")</f>
        <v>-</v>
      </c>
      <c r="L3421" s="19" t="str">
        <f>IFERROR(__xludf.DUMMYFUNCTION("""COMPUTED_VALUE"""),"-")</f>
        <v>-</v>
      </c>
      <c r="O3421" s="24">
        <f t="shared" si="4"/>
        <v>0</v>
      </c>
      <c r="P3421" s="24"/>
      <c r="Q3421" s="24">
        <f t="shared" si="6"/>
        <v>0</v>
      </c>
      <c r="R3421" s="24">
        <f t="shared" si="7"/>
        <v>1</v>
      </c>
      <c r="S3421" s="24"/>
      <c r="T3421" s="24"/>
    </row>
    <row r="3422">
      <c r="A3422" s="12" t="s">
        <v>3509</v>
      </c>
      <c r="F3422" s="19">
        <f>IFERROR(__xludf.DUMMYFUNCTION("SPLIT(A3418, "" |"")"),3416.0)</f>
        <v>3416</v>
      </c>
      <c r="G3422" s="19">
        <f>IFERROR(__xludf.DUMMYFUNCTION("""COMPUTED_VALUE"""),0.00247)</f>
        <v>0.00247</v>
      </c>
      <c r="H3422" s="19" t="str">
        <f>IFERROR(__xludf.DUMMYFUNCTION("""COMPUTED_VALUE"""),"-")</f>
        <v>-</v>
      </c>
      <c r="I3422" s="19">
        <f>IFERROR(__xludf.DUMMYFUNCTION("""COMPUTED_VALUE"""),0.00224)</f>
        <v>0.00224</v>
      </c>
      <c r="J3422" s="19">
        <f>IFERROR(__xludf.DUMMYFUNCTION("""COMPUTED_VALUE"""),0.04631)</f>
        <v>0.04631</v>
      </c>
      <c r="K3422" s="19" t="str">
        <f>IFERROR(__xludf.DUMMYFUNCTION("""COMPUTED_VALUE"""),"-")</f>
        <v>-</v>
      </c>
      <c r="L3422" s="19" t="str">
        <f>IFERROR(__xludf.DUMMYFUNCTION("""COMPUTED_VALUE"""),"-")</f>
        <v>-</v>
      </c>
      <c r="O3422" s="24">
        <f t="shared" si="4"/>
        <v>0</v>
      </c>
      <c r="P3422" s="24"/>
      <c r="Q3422" s="24">
        <f t="shared" si="6"/>
        <v>0</v>
      </c>
      <c r="R3422" s="24">
        <f t="shared" si="7"/>
        <v>0</v>
      </c>
      <c r="S3422" s="24"/>
      <c r="T3422" s="24"/>
    </row>
    <row r="3423">
      <c r="A3423" s="12" t="s">
        <v>3510</v>
      </c>
      <c r="F3423" s="19">
        <f>IFERROR(__xludf.DUMMYFUNCTION("SPLIT(A3419, "" |"")"),3417.0)</f>
        <v>3417</v>
      </c>
      <c r="G3423" s="19">
        <f>IFERROR(__xludf.DUMMYFUNCTION("""COMPUTED_VALUE"""),0.00236)</f>
        <v>0.00236</v>
      </c>
      <c r="H3423" s="19" t="str">
        <f>IFERROR(__xludf.DUMMYFUNCTION("""COMPUTED_VALUE"""),"-")</f>
        <v>-</v>
      </c>
      <c r="I3423" s="19">
        <f>IFERROR(__xludf.DUMMYFUNCTION("""COMPUTED_VALUE"""),0.00226)</f>
        <v>0.00226</v>
      </c>
      <c r="J3423" s="19">
        <f>IFERROR(__xludf.DUMMYFUNCTION("""COMPUTED_VALUE"""),0.04705)</f>
        <v>0.04705</v>
      </c>
      <c r="K3423" s="19" t="str">
        <f>IFERROR(__xludf.DUMMYFUNCTION("""COMPUTED_VALUE"""),"-")</f>
        <v>-</v>
      </c>
      <c r="L3423" s="19" t="str">
        <f>IFERROR(__xludf.DUMMYFUNCTION("""COMPUTED_VALUE"""),"-")</f>
        <v>-</v>
      </c>
      <c r="O3423" s="24">
        <f t="shared" si="4"/>
        <v>0</v>
      </c>
      <c r="P3423" s="24"/>
      <c r="Q3423" s="24">
        <f t="shared" si="6"/>
        <v>0</v>
      </c>
      <c r="R3423" s="24">
        <f t="shared" si="7"/>
        <v>0</v>
      </c>
      <c r="S3423" s="24"/>
      <c r="T3423" s="24"/>
    </row>
    <row r="3424">
      <c r="A3424" s="12" t="s">
        <v>3511</v>
      </c>
      <c r="F3424" s="19">
        <f>IFERROR(__xludf.DUMMYFUNCTION("SPLIT(A3420, "" |"")"),3418.0)</f>
        <v>3418</v>
      </c>
      <c r="G3424" s="19">
        <f>IFERROR(__xludf.DUMMYFUNCTION("""COMPUTED_VALUE"""),0.00228)</f>
        <v>0.00228</v>
      </c>
      <c r="H3424" s="19" t="str">
        <f>IFERROR(__xludf.DUMMYFUNCTION("""COMPUTED_VALUE"""),"-")</f>
        <v>-</v>
      </c>
      <c r="I3424" s="19">
        <f>IFERROR(__xludf.DUMMYFUNCTION("""COMPUTED_VALUE"""),0.0023)</f>
        <v>0.0023</v>
      </c>
      <c r="J3424" s="19">
        <f>IFERROR(__xludf.DUMMYFUNCTION("""COMPUTED_VALUE"""),0.04743)</f>
        <v>0.04743</v>
      </c>
      <c r="K3424" s="19" t="str">
        <f>IFERROR(__xludf.DUMMYFUNCTION("""COMPUTED_VALUE"""),"-")</f>
        <v>-</v>
      </c>
      <c r="L3424" s="19" t="str">
        <f>IFERROR(__xludf.DUMMYFUNCTION("""COMPUTED_VALUE"""),"-")</f>
        <v>-</v>
      </c>
      <c r="O3424" s="24">
        <f t="shared" si="4"/>
        <v>0</v>
      </c>
      <c r="P3424" s="24"/>
      <c r="Q3424" s="24">
        <f t="shared" si="6"/>
        <v>0</v>
      </c>
      <c r="R3424" s="24">
        <f t="shared" si="7"/>
        <v>0</v>
      </c>
      <c r="S3424" s="24"/>
      <c r="T3424" s="24"/>
    </row>
    <row r="3425">
      <c r="A3425" s="12" t="s">
        <v>3512</v>
      </c>
      <c r="F3425" s="19">
        <f>IFERROR(__xludf.DUMMYFUNCTION("SPLIT(A3421, "" |"")"),3419.0)</f>
        <v>3419</v>
      </c>
      <c r="G3425" s="19">
        <f>IFERROR(__xludf.DUMMYFUNCTION("""COMPUTED_VALUE"""),0.00242)</f>
        <v>0.00242</v>
      </c>
      <c r="H3425" s="19" t="str">
        <f>IFERROR(__xludf.DUMMYFUNCTION("""COMPUTED_VALUE"""),"-")</f>
        <v>-</v>
      </c>
      <c r="I3425" s="19">
        <f>IFERROR(__xludf.DUMMYFUNCTION("""COMPUTED_VALUE"""),0.00227)</f>
        <v>0.00227</v>
      </c>
      <c r="J3425" s="19">
        <f>IFERROR(__xludf.DUMMYFUNCTION("""COMPUTED_VALUE"""),0.04748)</f>
        <v>0.04748</v>
      </c>
      <c r="K3425" s="19" t="str">
        <f>IFERROR(__xludf.DUMMYFUNCTION("""COMPUTED_VALUE"""),"-")</f>
        <v>-</v>
      </c>
      <c r="L3425" s="19" t="str">
        <f>IFERROR(__xludf.DUMMYFUNCTION("""COMPUTED_VALUE"""),"-")</f>
        <v>-</v>
      </c>
      <c r="O3425" s="24">
        <f t="shared" si="4"/>
        <v>0</v>
      </c>
      <c r="P3425" s="24"/>
      <c r="Q3425" s="24">
        <f t="shared" si="6"/>
        <v>0</v>
      </c>
      <c r="R3425" s="24">
        <f t="shared" si="7"/>
        <v>0</v>
      </c>
      <c r="S3425" s="24"/>
      <c r="T3425" s="24"/>
    </row>
    <row r="3426">
      <c r="A3426" s="12" t="s">
        <v>3513</v>
      </c>
      <c r="F3426" s="19">
        <f>IFERROR(__xludf.DUMMYFUNCTION("SPLIT(A3422, "" |"")"),3420.0)</f>
        <v>3420</v>
      </c>
      <c r="G3426" s="19">
        <f>IFERROR(__xludf.DUMMYFUNCTION("""COMPUTED_VALUE"""),0.0023)</f>
        <v>0.0023</v>
      </c>
      <c r="H3426" s="19" t="str">
        <f>IFERROR(__xludf.DUMMYFUNCTION("""COMPUTED_VALUE"""),"-")</f>
        <v>-</v>
      </c>
      <c r="I3426" s="19">
        <f>IFERROR(__xludf.DUMMYFUNCTION("""COMPUTED_VALUE"""),0.00213)</f>
        <v>0.00213</v>
      </c>
      <c r="J3426" s="19">
        <f>IFERROR(__xludf.DUMMYFUNCTION("""COMPUTED_VALUE"""),0.04444)</f>
        <v>0.04444</v>
      </c>
      <c r="K3426" s="19" t="str">
        <f>IFERROR(__xludf.DUMMYFUNCTION("""COMPUTED_VALUE"""),"-")</f>
        <v>-</v>
      </c>
      <c r="L3426" s="19" t="str">
        <f>IFERROR(__xludf.DUMMYFUNCTION("""COMPUTED_VALUE"""),"-")</f>
        <v>-</v>
      </c>
      <c r="O3426" s="24">
        <f t="shared" si="4"/>
        <v>0</v>
      </c>
      <c r="P3426" s="24"/>
      <c r="Q3426" s="24">
        <f t="shared" si="6"/>
        <v>0</v>
      </c>
      <c r="R3426" s="24">
        <f t="shared" si="7"/>
        <v>1</v>
      </c>
      <c r="S3426" s="24"/>
      <c r="T3426" s="24"/>
    </row>
    <row r="3427">
      <c r="A3427" s="12" t="s">
        <v>3514</v>
      </c>
      <c r="F3427" s="19">
        <f>IFERROR(__xludf.DUMMYFUNCTION("SPLIT(A3423, "" |"")"),3421.0)</f>
        <v>3421</v>
      </c>
      <c r="G3427" s="19">
        <f>IFERROR(__xludf.DUMMYFUNCTION("""COMPUTED_VALUE"""),0.00235)</f>
        <v>0.00235</v>
      </c>
      <c r="H3427" s="19" t="str">
        <f>IFERROR(__xludf.DUMMYFUNCTION("""COMPUTED_VALUE"""),"-")</f>
        <v>-</v>
      </c>
      <c r="I3427" s="19">
        <f>IFERROR(__xludf.DUMMYFUNCTION("""COMPUTED_VALUE"""),0.0022)</f>
        <v>0.0022</v>
      </c>
      <c r="J3427" s="19">
        <f>IFERROR(__xludf.DUMMYFUNCTION("""COMPUTED_VALUE"""),0.04754)</f>
        <v>0.04754</v>
      </c>
      <c r="K3427" s="19" t="str">
        <f>IFERROR(__xludf.DUMMYFUNCTION("""COMPUTED_VALUE"""),"-")</f>
        <v>-</v>
      </c>
      <c r="L3427" s="19" t="str">
        <f>IFERROR(__xludf.DUMMYFUNCTION("""COMPUTED_VALUE"""),"-")</f>
        <v>-</v>
      </c>
      <c r="O3427" s="24">
        <f t="shared" si="4"/>
        <v>0</v>
      </c>
      <c r="P3427" s="24"/>
      <c r="Q3427" s="24">
        <f t="shared" si="6"/>
        <v>0</v>
      </c>
      <c r="R3427" s="24">
        <f t="shared" si="7"/>
        <v>0</v>
      </c>
      <c r="S3427" s="24"/>
      <c r="T3427" s="24"/>
    </row>
    <row r="3428">
      <c r="A3428" s="12" t="s">
        <v>3515</v>
      </c>
      <c r="F3428" s="19">
        <f>IFERROR(__xludf.DUMMYFUNCTION("SPLIT(A3424, "" |"")"),3422.0)</f>
        <v>3422</v>
      </c>
      <c r="G3428" s="19">
        <f>IFERROR(__xludf.DUMMYFUNCTION("""COMPUTED_VALUE"""),0.00235)</f>
        <v>0.00235</v>
      </c>
      <c r="H3428" s="19" t="str">
        <f>IFERROR(__xludf.DUMMYFUNCTION("""COMPUTED_VALUE"""),"-")</f>
        <v>-</v>
      </c>
      <c r="I3428" s="19">
        <f>IFERROR(__xludf.DUMMYFUNCTION("""COMPUTED_VALUE"""),0.00224)</f>
        <v>0.00224</v>
      </c>
      <c r="J3428" s="19">
        <f>IFERROR(__xludf.DUMMYFUNCTION("""COMPUTED_VALUE"""),0.04451)</f>
        <v>0.04451</v>
      </c>
      <c r="K3428" s="19" t="str">
        <f>IFERROR(__xludf.DUMMYFUNCTION("""COMPUTED_VALUE"""),"-")</f>
        <v>-</v>
      </c>
      <c r="L3428" s="19" t="str">
        <f>IFERROR(__xludf.DUMMYFUNCTION("""COMPUTED_VALUE"""),"-")</f>
        <v>-</v>
      </c>
      <c r="O3428" s="24">
        <f t="shared" si="4"/>
        <v>0</v>
      </c>
      <c r="P3428" s="24"/>
      <c r="Q3428" s="24">
        <f t="shared" si="6"/>
        <v>0</v>
      </c>
      <c r="R3428" s="24">
        <f t="shared" si="7"/>
        <v>1</v>
      </c>
      <c r="S3428" s="24"/>
      <c r="T3428" s="24"/>
    </row>
    <row r="3429">
      <c r="A3429" s="12" t="s">
        <v>3516</v>
      </c>
      <c r="F3429" s="19">
        <f>IFERROR(__xludf.DUMMYFUNCTION("SPLIT(A3425, "" |"")"),3423.0)</f>
        <v>3423</v>
      </c>
      <c r="G3429" s="19">
        <f>IFERROR(__xludf.DUMMYFUNCTION("""COMPUTED_VALUE"""),0.00238)</f>
        <v>0.00238</v>
      </c>
      <c r="H3429" s="19" t="str">
        <f>IFERROR(__xludf.DUMMYFUNCTION("""COMPUTED_VALUE"""),"-")</f>
        <v>-</v>
      </c>
      <c r="I3429" s="19">
        <f>IFERROR(__xludf.DUMMYFUNCTION("""COMPUTED_VALUE"""),0.00227)</f>
        <v>0.00227</v>
      </c>
      <c r="J3429" s="19">
        <f>IFERROR(__xludf.DUMMYFUNCTION("""COMPUTED_VALUE"""),0.0468)</f>
        <v>0.0468</v>
      </c>
      <c r="K3429" s="19" t="str">
        <f>IFERROR(__xludf.DUMMYFUNCTION("""COMPUTED_VALUE"""),"-")</f>
        <v>-</v>
      </c>
      <c r="L3429" s="19" t="str">
        <f>IFERROR(__xludf.DUMMYFUNCTION("""COMPUTED_VALUE"""),"-")</f>
        <v>-</v>
      </c>
      <c r="O3429" s="24">
        <f t="shared" si="4"/>
        <v>0</v>
      </c>
      <c r="P3429" s="24"/>
      <c r="Q3429" s="24">
        <f t="shared" si="6"/>
        <v>0</v>
      </c>
      <c r="R3429" s="24">
        <f t="shared" si="7"/>
        <v>0</v>
      </c>
      <c r="S3429" s="24"/>
      <c r="T3429" s="24"/>
    </row>
    <row r="3430">
      <c r="A3430" s="12" t="s">
        <v>3517</v>
      </c>
      <c r="F3430" s="19">
        <f>IFERROR(__xludf.DUMMYFUNCTION("SPLIT(A3426, "" |"")"),3424.0)</f>
        <v>3424</v>
      </c>
      <c r="G3430" s="19">
        <f>IFERROR(__xludf.DUMMYFUNCTION("""COMPUTED_VALUE"""),0.00258)</f>
        <v>0.00258</v>
      </c>
      <c r="H3430" s="19" t="str">
        <f>IFERROR(__xludf.DUMMYFUNCTION("""COMPUTED_VALUE"""),"-")</f>
        <v>-</v>
      </c>
      <c r="I3430" s="19">
        <f>IFERROR(__xludf.DUMMYFUNCTION("""COMPUTED_VALUE"""),0.0022)</f>
        <v>0.0022</v>
      </c>
      <c r="J3430" s="19">
        <f>IFERROR(__xludf.DUMMYFUNCTION("""COMPUTED_VALUE"""),0.04441)</f>
        <v>0.04441</v>
      </c>
      <c r="K3430" s="19" t="str">
        <f>IFERROR(__xludf.DUMMYFUNCTION("""COMPUTED_VALUE"""),"-")</f>
        <v>-</v>
      </c>
      <c r="L3430" s="19" t="str">
        <f>IFERROR(__xludf.DUMMYFUNCTION("""COMPUTED_VALUE"""),"-")</f>
        <v>-</v>
      </c>
      <c r="O3430" s="24">
        <f t="shared" si="4"/>
        <v>0</v>
      </c>
      <c r="P3430" s="24"/>
      <c r="Q3430" s="24">
        <f t="shared" si="6"/>
        <v>0</v>
      </c>
      <c r="R3430" s="24">
        <f t="shared" si="7"/>
        <v>1</v>
      </c>
      <c r="S3430" s="24"/>
      <c r="T3430" s="24"/>
    </row>
    <row r="3431">
      <c r="A3431" s="12" t="s">
        <v>3518</v>
      </c>
      <c r="F3431" s="19">
        <f>IFERROR(__xludf.DUMMYFUNCTION("SPLIT(A3427, "" |"")"),3425.0)</f>
        <v>3425</v>
      </c>
      <c r="G3431" s="19">
        <f>IFERROR(__xludf.DUMMYFUNCTION("""COMPUTED_VALUE"""),0.00234)</f>
        <v>0.00234</v>
      </c>
      <c r="H3431" s="19" t="str">
        <f>IFERROR(__xludf.DUMMYFUNCTION("""COMPUTED_VALUE"""),"-")</f>
        <v>-</v>
      </c>
      <c r="I3431" s="19">
        <f>IFERROR(__xludf.DUMMYFUNCTION("""COMPUTED_VALUE"""),0.00232)</f>
        <v>0.00232</v>
      </c>
      <c r="J3431" s="19">
        <f>IFERROR(__xludf.DUMMYFUNCTION("""COMPUTED_VALUE"""),0.04741)</f>
        <v>0.04741</v>
      </c>
      <c r="K3431" s="19" t="str">
        <f>IFERROR(__xludf.DUMMYFUNCTION("""COMPUTED_VALUE"""),"-")</f>
        <v>-</v>
      </c>
      <c r="L3431" s="19" t="str">
        <f>IFERROR(__xludf.DUMMYFUNCTION("""COMPUTED_VALUE"""),"-")</f>
        <v>-</v>
      </c>
      <c r="O3431" s="24">
        <f t="shared" si="4"/>
        <v>0</v>
      </c>
      <c r="P3431" s="24"/>
      <c r="Q3431" s="24">
        <f t="shared" si="6"/>
        <v>0</v>
      </c>
      <c r="R3431" s="24">
        <f t="shared" si="7"/>
        <v>0</v>
      </c>
      <c r="S3431" s="24"/>
      <c r="T3431" s="24"/>
    </row>
    <row r="3432">
      <c r="A3432" s="12" t="s">
        <v>3519</v>
      </c>
      <c r="F3432" s="19">
        <f>IFERROR(__xludf.DUMMYFUNCTION("SPLIT(A3428, "" |"")"),3426.0)</f>
        <v>3426</v>
      </c>
      <c r="G3432" s="19">
        <f>IFERROR(__xludf.DUMMYFUNCTION("""COMPUTED_VALUE"""),0.00231)</f>
        <v>0.00231</v>
      </c>
      <c r="H3432" s="19" t="str">
        <f>IFERROR(__xludf.DUMMYFUNCTION("""COMPUTED_VALUE"""),"-")</f>
        <v>-</v>
      </c>
      <c r="I3432" s="19">
        <f>IFERROR(__xludf.DUMMYFUNCTION("""COMPUTED_VALUE"""),0.00218)</f>
        <v>0.00218</v>
      </c>
      <c r="J3432" s="19">
        <f>IFERROR(__xludf.DUMMYFUNCTION("""COMPUTED_VALUE"""),0.04718)</f>
        <v>0.04718</v>
      </c>
      <c r="K3432" s="19" t="str">
        <f>IFERROR(__xludf.DUMMYFUNCTION("""COMPUTED_VALUE"""),"-")</f>
        <v>-</v>
      </c>
      <c r="L3432" s="19" t="str">
        <f>IFERROR(__xludf.DUMMYFUNCTION("""COMPUTED_VALUE"""),"-")</f>
        <v>-</v>
      </c>
      <c r="O3432" s="24">
        <f t="shared" si="4"/>
        <v>0</v>
      </c>
      <c r="P3432" s="24"/>
      <c r="Q3432" s="24">
        <f t="shared" si="6"/>
        <v>0</v>
      </c>
      <c r="R3432" s="24">
        <f t="shared" si="7"/>
        <v>0</v>
      </c>
      <c r="S3432" s="24"/>
      <c r="T3432" s="24"/>
    </row>
    <row r="3433">
      <c r="A3433" s="12" t="s">
        <v>3520</v>
      </c>
      <c r="F3433" s="19">
        <f>IFERROR(__xludf.DUMMYFUNCTION("SPLIT(A3429, "" |"")"),3427.0)</f>
        <v>3427</v>
      </c>
      <c r="G3433" s="19">
        <f>IFERROR(__xludf.DUMMYFUNCTION("""COMPUTED_VALUE"""),0.00203)</f>
        <v>0.00203</v>
      </c>
      <c r="H3433" s="19" t="str">
        <f>IFERROR(__xludf.DUMMYFUNCTION("""COMPUTED_VALUE"""),"-")</f>
        <v>-</v>
      </c>
      <c r="I3433" s="19">
        <f>IFERROR(__xludf.DUMMYFUNCTION("""COMPUTED_VALUE"""),0.00221)</f>
        <v>0.00221</v>
      </c>
      <c r="J3433" s="19">
        <f>IFERROR(__xludf.DUMMYFUNCTION("""COMPUTED_VALUE"""),0.04619)</f>
        <v>0.04619</v>
      </c>
      <c r="K3433" s="19" t="str">
        <f>IFERROR(__xludf.DUMMYFUNCTION("""COMPUTED_VALUE"""),"-")</f>
        <v>-</v>
      </c>
      <c r="L3433" s="19" t="str">
        <f>IFERROR(__xludf.DUMMYFUNCTION("""COMPUTED_VALUE"""),"-")</f>
        <v>-</v>
      </c>
      <c r="O3433" s="24">
        <f t="shared" si="4"/>
        <v>0</v>
      </c>
      <c r="P3433" s="24"/>
      <c r="Q3433" s="24">
        <f t="shared" si="6"/>
        <v>0</v>
      </c>
      <c r="R3433" s="24">
        <f t="shared" si="7"/>
        <v>0</v>
      </c>
      <c r="S3433" s="24"/>
      <c r="T3433" s="24"/>
    </row>
    <row r="3434">
      <c r="A3434" s="12" t="s">
        <v>3521</v>
      </c>
      <c r="F3434" s="19">
        <f>IFERROR(__xludf.DUMMYFUNCTION("SPLIT(A3430, "" |"")"),3428.0)</f>
        <v>3428</v>
      </c>
      <c r="G3434" s="19">
        <f>IFERROR(__xludf.DUMMYFUNCTION("""COMPUTED_VALUE"""),0.00225)</f>
        <v>0.00225</v>
      </c>
      <c r="H3434" s="19" t="str">
        <f>IFERROR(__xludf.DUMMYFUNCTION("""COMPUTED_VALUE"""),"-")</f>
        <v>-</v>
      </c>
      <c r="I3434" s="19">
        <f>IFERROR(__xludf.DUMMYFUNCTION("""COMPUTED_VALUE"""),0.00212)</f>
        <v>0.00212</v>
      </c>
      <c r="J3434" s="19">
        <f>IFERROR(__xludf.DUMMYFUNCTION("""COMPUTED_VALUE"""),0.04199)</f>
        <v>0.04199</v>
      </c>
      <c r="K3434" s="19" t="str">
        <f>IFERROR(__xludf.DUMMYFUNCTION("""COMPUTED_VALUE"""),"-")</f>
        <v>-</v>
      </c>
      <c r="L3434" s="19" t="str">
        <f>IFERROR(__xludf.DUMMYFUNCTION("""COMPUTED_VALUE"""),"-")</f>
        <v>-</v>
      </c>
      <c r="O3434" s="24">
        <f t="shared" si="4"/>
        <v>0</v>
      </c>
      <c r="P3434" s="24"/>
      <c r="Q3434" s="24">
        <f t="shared" si="6"/>
        <v>0</v>
      </c>
      <c r="R3434" s="24">
        <f t="shared" si="7"/>
        <v>1</v>
      </c>
      <c r="S3434" s="24"/>
      <c r="T3434" s="24"/>
    </row>
    <row r="3435">
      <c r="A3435" s="12" t="s">
        <v>3522</v>
      </c>
      <c r="F3435" s="19">
        <f>IFERROR(__xludf.DUMMYFUNCTION("SPLIT(A3431, "" |"")"),3429.0)</f>
        <v>3429</v>
      </c>
      <c r="G3435" s="19">
        <f>IFERROR(__xludf.DUMMYFUNCTION("""COMPUTED_VALUE"""),0.00268)</f>
        <v>0.00268</v>
      </c>
      <c r="H3435" s="19" t="str">
        <f>IFERROR(__xludf.DUMMYFUNCTION("""COMPUTED_VALUE"""),"-")</f>
        <v>-</v>
      </c>
      <c r="I3435" s="19">
        <f>IFERROR(__xludf.DUMMYFUNCTION("""COMPUTED_VALUE"""),0.00215)</f>
        <v>0.00215</v>
      </c>
      <c r="J3435" s="19">
        <f>IFERROR(__xludf.DUMMYFUNCTION("""COMPUTED_VALUE"""),0.04734)</f>
        <v>0.04734</v>
      </c>
      <c r="K3435" s="19" t="str">
        <f>IFERROR(__xludf.DUMMYFUNCTION("""COMPUTED_VALUE"""),"-")</f>
        <v>-</v>
      </c>
      <c r="L3435" s="19" t="str">
        <f>IFERROR(__xludf.DUMMYFUNCTION("""COMPUTED_VALUE"""),"-")</f>
        <v>-</v>
      </c>
      <c r="O3435" s="24">
        <f t="shared" si="4"/>
        <v>0</v>
      </c>
      <c r="P3435" s="24"/>
      <c r="Q3435" s="24">
        <f t="shared" si="6"/>
        <v>0</v>
      </c>
      <c r="R3435" s="24">
        <f t="shared" si="7"/>
        <v>0</v>
      </c>
      <c r="S3435" s="24"/>
      <c r="T3435" s="24"/>
    </row>
    <row r="3436">
      <c r="A3436" s="12" t="s">
        <v>3523</v>
      </c>
      <c r="F3436" s="19">
        <f>IFERROR(__xludf.DUMMYFUNCTION("SPLIT(A3432, "" |"")"),3430.0)</f>
        <v>3430</v>
      </c>
      <c r="G3436" s="19">
        <f>IFERROR(__xludf.DUMMYFUNCTION("""COMPUTED_VALUE"""),0.00235)</f>
        <v>0.00235</v>
      </c>
      <c r="H3436" s="19" t="str">
        <f>IFERROR(__xludf.DUMMYFUNCTION("""COMPUTED_VALUE"""),"-")</f>
        <v>-</v>
      </c>
      <c r="I3436" s="19">
        <f>IFERROR(__xludf.DUMMYFUNCTION("""COMPUTED_VALUE"""),0.0022)</f>
        <v>0.0022</v>
      </c>
      <c r="J3436" s="19">
        <f>IFERROR(__xludf.DUMMYFUNCTION("""COMPUTED_VALUE"""),0.04742)</f>
        <v>0.04742</v>
      </c>
      <c r="K3436" s="19" t="str">
        <f>IFERROR(__xludf.DUMMYFUNCTION("""COMPUTED_VALUE"""),"-")</f>
        <v>-</v>
      </c>
      <c r="L3436" s="19" t="str">
        <f>IFERROR(__xludf.DUMMYFUNCTION("""COMPUTED_VALUE"""),"-")</f>
        <v>-</v>
      </c>
      <c r="O3436" s="24">
        <f t="shared" si="4"/>
        <v>0</v>
      </c>
      <c r="P3436" s="24"/>
      <c r="Q3436" s="24">
        <f t="shared" si="6"/>
        <v>0</v>
      </c>
      <c r="R3436" s="24">
        <f t="shared" si="7"/>
        <v>0</v>
      </c>
      <c r="S3436" s="24"/>
      <c r="T3436" s="24"/>
    </row>
    <row r="3437">
      <c r="A3437" s="12" t="s">
        <v>3524</v>
      </c>
      <c r="F3437" s="19">
        <f>IFERROR(__xludf.DUMMYFUNCTION("SPLIT(A3433, "" |"")"),3431.0)</f>
        <v>3431</v>
      </c>
      <c r="G3437" s="19">
        <f>IFERROR(__xludf.DUMMYFUNCTION("""COMPUTED_VALUE"""),0.00237)</f>
        <v>0.00237</v>
      </c>
      <c r="H3437" s="19" t="str">
        <f>IFERROR(__xludf.DUMMYFUNCTION("""COMPUTED_VALUE"""),"-")</f>
        <v>-</v>
      </c>
      <c r="I3437" s="19">
        <f>IFERROR(__xludf.DUMMYFUNCTION("""COMPUTED_VALUE"""),0.00216)</f>
        <v>0.00216</v>
      </c>
      <c r="J3437" s="19">
        <f>IFERROR(__xludf.DUMMYFUNCTION("""COMPUTED_VALUE"""),0.0474)</f>
        <v>0.0474</v>
      </c>
      <c r="K3437" s="19" t="str">
        <f>IFERROR(__xludf.DUMMYFUNCTION("""COMPUTED_VALUE"""),"-")</f>
        <v>-</v>
      </c>
      <c r="L3437" s="19" t="str">
        <f>IFERROR(__xludf.DUMMYFUNCTION("""COMPUTED_VALUE"""),"-")</f>
        <v>-</v>
      </c>
      <c r="O3437" s="24">
        <f t="shared" si="4"/>
        <v>0</v>
      </c>
      <c r="P3437" s="24"/>
      <c r="Q3437" s="24">
        <f t="shared" si="6"/>
        <v>0</v>
      </c>
      <c r="R3437" s="24">
        <f t="shared" si="7"/>
        <v>0</v>
      </c>
      <c r="S3437" s="24"/>
      <c r="T3437" s="24"/>
    </row>
    <row r="3438">
      <c r="A3438" s="12" t="s">
        <v>3525</v>
      </c>
      <c r="F3438" s="19">
        <f>IFERROR(__xludf.DUMMYFUNCTION("SPLIT(A3434, "" |"")"),3432.0)</f>
        <v>3432</v>
      </c>
      <c r="G3438" s="19">
        <f>IFERROR(__xludf.DUMMYFUNCTION("""COMPUTED_VALUE"""),0.00237)</f>
        <v>0.00237</v>
      </c>
      <c r="H3438" s="19" t="str">
        <f>IFERROR(__xludf.DUMMYFUNCTION("""COMPUTED_VALUE"""),"-")</f>
        <v>-</v>
      </c>
      <c r="I3438" s="19">
        <f>IFERROR(__xludf.DUMMYFUNCTION("""COMPUTED_VALUE"""),0.00227)</f>
        <v>0.00227</v>
      </c>
      <c r="J3438" s="19">
        <f>IFERROR(__xludf.DUMMYFUNCTION("""COMPUTED_VALUE"""),0.04743)</f>
        <v>0.04743</v>
      </c>
      <c r="K3438" s="19" t="str">
        <f>IFERROR(__xludf.DUMMYFUNCTION("""COMPUTED_VALUE"""),"-")</f>
        <v>-</v>
      </c>
      <c r="L3438" s="19" t="str">
        <f>IFERROR(__xludf.DUMMYFUNCTION("""COMPUTED_VALUE"""),"-")</f>
        <v>-</v>
      </c>
      <c r="O3438" s="24">
        <f t="shared" si="4"/>
        <v>0</v>
      </c>
      <c r="P3438" s="24"/>
      <c r="Q3438" s="24">
        <f t="shared" si="6"/>
        <v>0</v>
      </c>
      <c r="R3438" s="24">
        <f t="shared" si="7"/>
        <v>0</v>
      </c>
      <c r="S3438" s="24"/>
      <c r="T3438" s="24"/>
    </row>
    <row r="3439">
      <c r="A3439" s="12" t="s">
        <v>3526</v>
      </c>
      <c r="F3439" s="19">
        <f>IFERROR(__xludf.DUMMYFUNCTION("SPLIT(A3435, "" |"")"),3433.0)</f>
        <v>3433</v>
      </c>
      <c r="G3439" s="19">
        <f>IFERROR(__xludf.DUMMYFUNCTION("""COMPUTED_VALUE"""),0.00231)</f>
        <v>0.00231</v>
      </c>
      <c r="H3439" s="19" t="str">
        <f>IFERROR(__xludf.DUMMYFUNCTION("""COMPUTED_VALUE"""),"-")</f>
        <v>-</v>
      </c>
      <c r="I3439" s="19">
        <f>IFERROR(__xludf.DUMMYFUNCTION("""COMPUTED_VALUE"""),0.00223)</f>
        <v>0.00223</v>
      </c>
      <c r="J3439" s="19">
        <f>IFERROR(__xludf.DUMMYFUNCTION("""COMPUTED_VALUE"""),0.04108)</f>
        <v>0.04108</v>
      </c>
      <c r="K3439" s="19" t="str">
        <f>IFERROR(__xludf.DUMMYFUNCTION("""COMPUTED_VALUE"""),"-")</f>
        <v>-</v>
      </c>
      <c r="L3439" s="19" t="str">
        <f>IFERROR(__xludf.DUMMYFUNCTION("""COMPUTED_VALUE"""),"-")</f>
        <v>-</v>
      </c>
      <c r="O3439" s="24">
        <f t="shared" si="4"/>
        <v>0</v>
      </c>
      <c r="P3439" s="24"/>
      <c r="Q3439" s="24">
        <f t="shared" si="6"/>
        <v>0</v>
      </c>
      <c r="R3439" s="24">
        <f t="shared" si="7"/>
        <v>1</v>
      </c>
      <c r="S3439" s="24"/>
      <c r="T3439" s="24"/>
    </row>
    <row r="3440">
      <c r="A3440" s="12" t="s">
        <v>3527</v>
      </c>
      <c r="F3440" s="19">
        <f>IFERROR(__xludf.DUMMYFUNCTION("SPLIT(A3436, "" |"")"),3434.0)</f>
        <v>3434</v>
      </c>
      <c r="G3440" s="19">
        <f>IFERROR(__xludf.DUMMYFUNCTION("""COMPUTED_VALUE"""),0.00228)</f>
        <v>0.00228</v>
      </c>
      <c r="H3440" s="19" t="str">
        <f>IFERROR(__xludf.DUMMYFUNCTION("""COMPUTED_VALUE"""),"-")</f>
        <v>-</v>
      </c>
      <c r="I3440" s="19">
        <f>IFERROR(__xludf.DUMMYFUNCTION("""COMPUTED_VALUE"""),0.00221)</f>
        <v>0.00221</v>
      </c>
      <c r="J3440" s="19">
        <f>IFERROR(__xludf.DUMMYFUNCTION("""COMPUTED_VALUE"""),0.04738)</f>
        <v>0.04738</v>
      </c>
      <c r="K3440" s="19" t="str">
        <f>IFERROR(__xludf.DUMMYFUNCTION("""COMPUTED_VALUE"""),"-")</f>
        <v>-</v>
      </c>
      <c r="L3440" s="19" t="str">
        <f>IFERROR(__xludf.DUMMYFUNCTION("""COMPUTED_VALUE"""),"-")</f>
        <v>-</v>
      </c>
      <c r="O3440" s="24">
        <f t="shared" si="4"/>
        <v>0</v>
      </c>
      <c r="P3440" s="24"/>
      <c r="Q3440" s="24">
        <f t="shared" si="6"/>
        <v>0</v>
      </c>
      <c r="R3440" s="24">
        <f t="shared" si="7"/>
        <v>0</v>
      </c>
      <c r="S3440" s="24"/>
      <c r="T3440" s="24"/>
    </row>
    <row r="3441">
      <c r="A3441" s="12" t="s">
        <v>3528</v>
      </c>
      <c r="F3441" s="19">
        <f>IFERROR(__xludf.DUMMYFUNCTION("SPLIT(A3437, "" |"")"),3435.0)</f>
        <v>3435</v>
      </c>
      <c r="G3441" s="19">
        <f>IFERROR(__xludf.DUMMYFUNCTION("""COMPUTED_VALUE"""),0.00243)</f>
        <v>0.00243</v>
      </c>
      <c r="H3441" s="19" t="str">
        <f>IFERROR(__xludf.DUMMYFUNCTION("""COMPUTED_VALUE"""),"-")</f>
        <v>-</v>
      </c>
      <c r="I3441" s="19">
        <f>IFERROR(__xludf.DUMMYFUNCTION("""COMPUTED_VALUE"""),0.00219)</f>
        <v>0.00219</v>
      </c>
      <c r="J3441" s="19">
        <f>IFERROR(__xludf.DUMMYFUNCTION("""COMPUTED_VALUE"""),0.04756)</f>
        <v>0.04756</v>
      </c>
      <c r="K3441" s="19" t="str">
        <f>IFERROR(__xludf.DUMMYFUNCTION("""COMPUTED_VALUE"""),"-")</f>
        <v>-</v>
      </c>
      <c r="L3441" s="19" t="str">
        <f>IFERROR(__xludf.DUMMYFUNCTION("""COMPUTED_VALUE"""),"-")</f>
        <v>-</v>
      </c>
      <c r="O3441" s="24">
        <f t="shared" si="4"/>
        <v>0</v>
      </c>
      <c r="P3441" s="24"/>
      <c r="Q3441" s="24">
        <f t="shared" si="6"/>
        <v>0</v>
      </c>
      <c r="R3441" s="24">
        <f t="shared" si="7"/>
        <v>0</v>
      </c>
      <c r="S3441" s="24"/>
      <c r="T3441" s="24"/>
    </row>
    <row r="3442">
      <c r="A3442" s="12" t="s">
        <v>3529</v>
      </c>
      <c r="F3442" s="19">
        <f>IFERROR(__xludf.DUMMYFUNCTION("SPLIT(A3438, "" |"")"),3436.0)</f>
        <v>3436</v>
      </c>
      <c r="G3442" s="19">
        <f>IFERROR(__xludf.DUMMYFUNCTION("""COMPUTED_VALUE"""),0.00246)</f>
        <v>0.00246</v>
      </c>
      <c r="H3442" s="19" t="str">
        <f>IFERROR(__xludf.DUMMYFUNCTION("""COMPUTED_VALUE"""),"-")</f>
        <v>-</v>
      </c>
      <c r="I3442" s="19">
        <f>IFERROR(__xludf.DUMMYFUNCTION("""COMPUTED_VALUE"""),0.00221)</f>
        <v>0.00221</v>
      </c>
      <c r="J3442" s="19">
        <f>IFERROR(__xludf.DUMMYFUNCTION("""COMPUTED_VALUE"""),0.04748)</f>
        <v>0.04748</v>
      </c>
      <c r="K3442" s="19" t="str">
        <f>IFERROR(__xludf.DUMMYFUNCTION("""COMPUTED_VALUE"""),"-")</f>
        <v>-</v>
      </c>
      <c r="L3442" s="19" t="str">
        <f>IFERROR(__xludf.DUMMYFUNCTION("""COMPUTED_VALUE"""),"-")</f>
        <v>-</v>
      </c>
      <c r="O3442" s="24">
        <f t="shared" si="4"/>
        <v>0</v>
      </c>
      <c r="P3442" s="24"/>
      <c r="Q3442" s="24">
        <f t="shared" si="6"/>
        <v>0</v>
      </c>
      <c r="R3442" s="24">
        <f t="shared" si="7"/>
        <v>0</v>
      </c>
      <c r="S3442" s="24"/>
      <c r="T3442" s="24"/>
    </row>
    <row r="3443">
      <c r="A3443" s="12" t="s">
        <v>3530</v>
      </c>
      <c r="F3443" s="19">
        <f>IFERROR(__xludf.DUMMYFUNCTION("SPLIT(A3439, "" |"")"),3437.0)</f>
        <v>3437</v>
      </c>
      <c r="G3443" s="19">
        <f>IFERROR(__xludf.DUMMYFUNCTION("""COMPUTED_VALUE"""),0.00222)</f>
        <v>0.00222</v>
      </c>
      <c r="H3443" s="19" t="str">
        <f>IFERROR(__xludf.DUMMYFUNCTION("""COMPUTED_VALUE"""),"-")</f>
        <v>-</v>
      </c>
      <c r="I3443" s="19">
        <f>IFERROR(__xludf.DUMMYFUNCTION("""COMPUTED_VALUE"""),0.00213)</f>
        <v>0.00213</v>
      </c>
      <c r="J3443" s="19">
        <f>IFERROR(__xludf.DUMMYFUNCTION("""COMPUTED_VALUE"""),0.03948)</f>
        <v>0.03948</v>
      </c>
      <c r="K3443" s="19" t="str">
        <f>IFERROR(__xludf.DUMMYFUNCTION("""COMPUTED_VALUE"""),"-")</f>
        <v>-</v>
      </c>
      <c r="L3443" s="19" t="str">
        <f>IFERROR(__xludf.DUMMYFUNCTION("""COMPUTED_VALUE"""),"-")</f>
        <v>-</v>
      </c>
      <c r="O3443" s="24">
        <f t="shared" si="4"/>
        <v>0</v>
      </c>
      <c r="P3443" s="24"/>
      <c r="Q3443" s="24">
        <f t="shared" si="6"/>
        <v>0</v>
      </c>
      <c r="R3443" s="24">
        <f t="shared" si="7"/>
        <v>1</v>
      </c>
      <c r="S3443" s="24"/>
      <c r="T3443" s="24"/>
    </row>
    <row r="3444">
      <c r="A3444" s="12" t="s">
        <v>3531</v>
      </c>
      <c r="F3444" s="19">
        <f>IFERROR(__xludf.DUMMYFUNCTION("SPLIT(A3440, "" |"")"),3438.0)</f>
        <v>3438</v>
      </c>
      <c r="G3444" s="19">
        <f>IFERROR(__xludf.DUMMYFUNCTION("""COMPUTED_VALUE"""),0.00229)</f>
        <v>0.00229</v>
      </c>
      <c r="H3444" s="19" t="str">
        <f>IFERROR(__xludf.DUMMYFUNCTION("""COMPUTED_VALUE"""),"-")</f>
        <v>-</v>
      </c>
      <c r="I3444" s="19">
        <f>IFERROR(__xludf.DUMMYFUNCTION("""COMPUTED_VALUE"""),0.00218)</f>
        <v>0.00218</v>
      </c>
      <c r="J3444" s="19">
        <f>IFERROR(__xludf.DUMMYFUNCTION("""COMPUTED_VALUE"""),0.04713)</f>
        <v>0.04713</v>
      </c>
      <c r="K3444" s="19" t="str">
        <f>IFERROR(__xludf.DUMMYFUNCTION("""COMPUTED_VALUE"""),"-")</f>
        <v>-</v>
      </c>
      <c r="L3444" s="19" t="str">
        <f>IFERROR(__xludf.DUMMYFUNCTION("""COMPUTED_VALUE"""),"-")</f>
        <v>-</v>
      </c>
      <c r="O3444" s="24">
        <f t="shared" si="4"/>
        <v>0</v>
      </c>
      <c r="P3444" s="24"/>
      <c r="Q3444" s="24">
        <f t="shared" si="6"/>
        <v>0</v>
      </c>
      <c r="R3444" s="24">
        <f t="shared" si="7"/>
        <v>0</v>
      </c>
      <c r="S3444" s="24"/>
      <c r="T3444" s="24"/>
    </row>
    <row r="3445">
      <c r="A3445" s="12" t="s">
        <v>3532</v>
      </c>
      <c r="F3445" s="19">
        <f>IFERROR(__xludf.DUMMYFUNCTION("SPLIT(A3441, "" |"")"),3439.0)</f>
        <v>3439</v>
      </c>
      <c r="G3445" s="19">
        <f>IFERROR(__xludf.DUMMYFUNCTION("""COMPUTED_VALUE"""),0.00238)</f>
        <v>0.00238</v>
      </c>
      <c r="H3445" s="19" t="str">
        <f>IFERROR(__xludf.DUMMYFUNCTION("""COMPUTED_VALUE"""),"-")</f>
        <v>-</v>
      </c>
      <c r="I3445" s="19">
        <f>IFERROR(__xludf.DUMMYFUNCTION("""COMPUTED_VALUE"""),0.0022)</f>
        <v>0.0022</v>
      </c>
      <c r="J3445" s="19">
        <f>IFERROR(__xludf.DUMMYFUNCTION("""COMPUTED_VALUE"""),0.04748)</f>
        <v>0.04748</v>
      </c>
      <c r="K3445" s="19" t="str">
        <f>IFERROR(__xludf.DUMMYFUNCTION("""COMPUTED_VALUE"""),"-")</f>
        <v>-</v>
      </c>
      <c r="L3445" s="19" t="str">
        <f>IFERROR(__xludf.DUMMYFUNCTION("""COMPUTED_VALUE"""),"-")</f>
        <v>-</v>
      </c>
      <c r="O3445" s="24">
        <f t="shared" si="4"/>
        <v>0</v>
      </c>
      <c r="P3445" s="24"/>
      <c r="Q3445" s="24">
        <f t="shared" si="6"/>
        <v>0</v>
      </c>
      <c r="R3445" s="24">
        <f t="shared" si="7"/>
        <v>0</v>
      </c>
      <c r="S3445" s="24"/>
      <c r="T3445" s="24"/>
    </row>
    <row r="3446">
      <c r="A3446" s="12" t="s">
        <v>3533</v>
      </c>
      <c r="F3446" s="19">
        <f>IFERROR(__xludf.DUMMYFUNCTION("SPLIT(A3442, "" |"")"),3440.0)</f>
        <v>3440</v>
      </c>
      <c r="G3446" s="19">
        <f>IFERROR(__xludf.DUMMYFUNCTION("""COMPUTED_VALUE"""),0.00233)</f>
        <v>0.00233</v>
      </c>
      <c r="H3446" s="19" t="str">
        <f>IFERROR(__xludf.DUMMYFUNCTION("""COMPUTED_VALUE"""),"-")</f>
        <v>-</v>
      </c>
      <c r="I3446" s="19">
        <f>IFERROR(__xludf.DUMMYFUNCTION("""COMPUTED_VALUE"""),0.00219)</f>
        <v>0.00219</v>
      </c>
      <c r="J3446" s="19">
        <f>IFERROR(__xludf.DUMMYFUNCTION("""COMPUTED_VALUE"""),0.04751)</f>
        <v>0.04751</v>
      </c>
      <c r="K3446" s="19" t="str">
        <f>IFERROR(__xludf.DUMMYFUNCTION("""COMPUTED_VALUE"""),"-")</f>
        <v>-</v>
      </c>
      <c r="L3446" s="19" t="str">
        <f>IFERROR(__xludf.DUMMYFUNCTION("""COMPUTED_VALUE"""),"-")</f>
        <v>-</v>
      </c>
      <c r="O3446" s="24">
        <f t="shared" si="4"/>
        <v>0</v>
      </c>
      <c r="P3446" s="24"/>
      <c r="Q3446" s="24">
        <f t="shared" si="6"/>
        <v>0</v>
      </c>
      <c r="R3446" s="24">
        <f t="shared" si="7"/>
        <v>0</v>
      </c>
      <c r="S3446" s="24"/>
      <c r="T3446" s="24"/>
    </row>
    <row r="3447">
      <c r="A3447" s="12" t="s">
        <v>3534</v>
      </c>
      <c r="F3447" s="19">
        <f>IFERROR(__xludf.DUMMYFUNCTION("SPLIT(A3443, "" |"")"),3441.0)</f>
        <v>3441</v>
      </c>
      <c r="G3447" s="19">
        <f>IFERROR(__xludf.DUMMYFUNCTION("""COMPUTED_VALUE"""),0.00245)</f>
        <v>0.00245</v>
      </c>
      <c r="H3447" s="19" t="str">
        <f>IFERROR(__xludf.DUMMYFUNCTION("""COMPUTED_VALUE"""),"-")</f>
        <v>-</v>
      </c>
      <c r="I3447" s="19">
        <f>IFERROR(__xludf.DUMMYFUNCTION("""COMPUTED_VALUE"""),0.00223)</f>
        <v>0.00223</v>
      </c>
      <c r="J3447" s="19">
        <f>IFERROR(__xludf.DUMMYFUNCTION("""COMPUTED_VALUE"""),0.04744)</f>
        <v>0.04744</v>
      </c>
      <c r="K3447" s="19" t="str">
        <f>IFERROR(__xludf.DUMMYFUNCTION("""COMPUTED_VALUE"""),"-")</f>
        <v>-</v>
      </c>
      <c r="L3447" s="19" t="str">
        <f>IFERROR(__xludf.DUMMYFUNCTION("""COMPUTED_VALUE"""),"-")</f>
        <v>-</v>
      </c>
      <c r="O3447" s="24">
        <f t="shared" si="4"/>
        <v>0</v>
      </c>
      <c r="P3447" s="24"/>
      <c r="Q3447" s="24">
        <f t="shared" si="6"/>
        <v>0</v>
      </c>
      <c r="R3447" s="24">
        <f t="shared" si="7"/>
        <v>0</v>
      </c>
      <c r="S3447" s="24"/>
      <c r="T3447" s="24"/>
    </row>
    <row r="3448">
      <c r="A3448" s="12" t="s">
        <v>3535</v>
      </c>
      <c r="F3448" s="19">
        <f>IFERROR(__xludf.DUMMYFUNCTION("SPLIT(A3444, "" |"")"),3442.0)</f>
        <v>3442</v>
      </c>
      <c r="G3448" s="19">
        <f>IFERROR(__xludf.DUMMYFUNCTION("""COMPUTED_VALUE"""),0.00239)</f>
        <v>0.00239</v>
      </c>
      <c r="H3448" s="19" t="str">
        <f>IFERROR(__xludf.DUMMYFUNCTION("""COMPUTED_VALUE"""),"-")</f>
        <v>-</v>
      </c>
      <c r="I3448" s="19">
        <f>IFERROR(__xludf.DUMMYFUNCTION("""COMPUTED_VALUE"""),0.00223)</f>
        <v>0.00223</v>
      </c>
      <c r="J3448" s="19">
        <f>IFERROR(__xludf.DUMMYFUNCTION("""COMPUTED_VALUE"""),0.04751)</f>
        <v>0.04751</v>
      </c>
      <c r="K3448" s="19" t="str">
        <f>IFERROR(__xludf.DUMMYFUNCTION("""COMPUTED_VALUE"""),"-")</f>
        <v>-</v>
      </c>
      <c r="L3448" s="19" t="str">
        <f>IFERROR(__xludf.DUMMYFUNCTION("""COMPUTED_VALUE"""),"-")</f>
        <v>-</v>
      </c>
      <c r="O3448" s="24">
        <f t="shared" si="4"/>
        <v>0</v>
      </c>
      <c r="P3448" s="24"/>
      <c r="Q3448" s="24">
        <f t="shared" si="6"/>
        <v>0</v>
      </c>
      <c r="R3448" s="24">
        <f t="shared" si="7"/>
        <v>0</v>
      </c>
      <c r="S3448" s="24"/>
      <c r="T3448" s="24"/>
    </row>
    <row r="3449">
      <c r="A3449" s="12" t="s">
        <v>3536</v>
      </c>
      <c r="F3449" s="19">
        <f>IFERROR(__xludf.DUMMYFUNCTION("SPLIT(A3445, "" |"")"),3443.0)</f>
        <v>3443</v>
      </c>
      <c r="G3449" s="19">
        <f>IFERROR(__xludf.DUMMYFUNCTION("""COMPUTED_VALUE"""),0.00238)</f>
        <v>0.00238</v>
      </c>
      <c r="H3449" s="19" t="str">
        <f>IFERROR(__xludf.DUMMYFUNCTION("""COMPUTED_VALUE"""),"-")</f>
        <v>-</v>
      </c>
      <c r="I3449" s="19">
        <f>IFERROR(__xludf.DUMMYFUNCTION("""COMPUTED_VALUE"""),0.00221)</f>
        <v>0.00221</v>
      </c>
      <c r="J3449" s="19">
        <f>IFERROR(__xludf.DUMMYFUNCTION("""COMPUTED_VALUE"""),0.04745)</f>
        <v>0.04745</v>
      </c>
      <c r="K3449" s="19" t="str">
        <f>IFERROR(__xludf.DUMMYFUNCTION("""COMPUTED_VALUE"""),"-")</f>
        <v>-</v>
      </c>
      <c r="L3449" s="19" t="str">
        <f>IFERROR(__xludf.DUMMYFUNCTION("""COMPUTED_VALUE"""),"-")</f>
        <v>-</v>
      </c>
      <c r="O3449" s="24">
        <f t="shared" si="4"/>
        <v>0</v>
      </c>
      <c r="P3449" s="24"/>
      <c r="Q3449" s="24">
        <f t="shared" si="6"/>
        <v>0</v>
      </c>
      <c r="R3449" s="24">
        <f t="shared" si="7"/>
        <v>0</v>
      </c>
      <c r="S3449" s="24"/>
      <c r="T3449" s="24"/>
    </row>
    <row r="3450">
      <c r="A3450" s="12" t="s">
        <v>3537</v>
      </c>
      <c r="F3450" s="19">
        <f>IFERROR(__xludf.DUMMYFUNCTION("SPLIT(A3446, "" |"")"),3444.0)</f>
        <v>3444</v>
      </c>
      <c r="G3450" s="19">
        <f>IFERROR(__xludf.DUMMYFUNCTION("""COMPUTED_VALUE"""),0.00231)</f>
        <v>0.00231</v>
      </c>
      <c r="H3450" s="19" t="str">
        <f>IFERROR(__xludf.DUMMYFUNCTION("""COMPUTED_VALUE"""),"-")</f>
        <v>-</v>
      </c>
      <c r="I3450" s="19">
        <f>IFERROR(__xludf.DUMMYFUNCTION("""COMPUTED_VALUE"""),0.00213)</f>
        <v>0.00213</v>
      </c>
      <c r="J3450" s="19">
        <f>IFERROR(__xludf.DUMMYFUNCTION("""COMPUTED_VALUE"""),0.04738)</f>
        <v>0.04738</v>
      </c>
      <c r="K3450" s="19" t="str">
        <f>IFERROR(__xludf.DUMMYFUNCTION("""COMPUTED_VALUE"""),"-")</f>
        <v>-</v>
      </c>
      <c r="L3450" s="19" t="str">
        <f>IFERROR(__xludf.DUMMYFUNCTION("""COMPUTED_VALUE"""),"-")</f>
        <v>-</v>
      </c>
      <c r="O3450" s="24">
        <f t="shared" si="4"/>
        <v>0</v>
      </c>
      <c r="P3450" s="24"/>
      <c r="Q3450" s="24">
        <f t="shared" si="6"/>
        <v>0</v>
      </c>
      <c r="R3450" s="24">
        <f t="shared" si="7"/>
        <v>0</v>
      </c>
      <c r="S3450" s="24"/>
      <c r="T3450" s="24"/>
    </row>
    <row r="3451">
      <c r="A3451" s="12" t="s">
        <v>3538</v>
      </c>
      <c r="F3451" s="19">
        <f>IFERROR(__xludf.DUMMYFUNCTION("SPLIT(A3447, "" |"")"),3445.0)</f>
        <v>3445</v>
      </c>
      <c r="G3451" s="19">
        <f>IFERROR(__xludf.DUMMYFUNCTION("""COMPUTED_VALUE"""),0.00232)</f>
        <v>0.00232</v>
      </c>
      <c r="H3451" s="19" t="str">
        <f>IFERROR(__xludf.DUMMYFUNCTION("""COMPUTED_VALUE"""),"-")</f>
        <v>-</v>
      </c>
      <c r="I3451" s="19">
        <f>IFERROR(__xludf.DUMMYFUNCTION("""COMPUTED_VALUE"""),0.00233)</f>
        <v>0.00233</v>
      </c>
      <c r="J3451" s="19">
        <f>IFERROR(__xludf.DUMMYFUNCTION("""COMPUTED_VALUE"""),0.04761)</f>
        <v>0.04761</v>
      </c>
      <c r="K3451" s="19" t="str">
        <f>IFERROR(__xludf.DUMMYFUNCTION("""COMPUTED_VALUE"""),"-")</f>
        <v>-</v>
      </c>
      <c r="L3451" s="19" t="str">
        <f>IFERROR(__xludf.DUMMYFUNCTION("""COMPUTED_VALUE"""),"-")</f>
        <v>-</v>
      </c>
      <c r="O3451" s="24">
        <f t="shared" si="4"/>
        <v>0</v>
      </c>
      <c r="P3451" s="24"/>
      <c r="Q3451" s="24">
        <f t="shared" si="6"/>
        <v>0</v>
      </c>
      <c r="R3451" s="24">
        <f t="shared" si="7"/>
        <v>0</v>
      </c>
      <c r="S3451" s="24"/>
      <c r="T3451" s="24"/>
    </row>
    <row r="3452">
      <c r="A3452" s="12" t="s">
        <v>3539</v>
      </c>
      <c r="F3452" s="19">
        <f>IFERROR(__xludf.DUMMYFUNCTION("SPLIT(A3448, "" |"")"),3446.0)</f>
        <v>3446</v>
      </c>
      <c r="G3452" s="19">
        <f>IFERROR(__xludf.DUMMYFUNCTION("""COMPUTED_VALUE"""),0.00244)</f>
        <v>0.00244</v>
      </c>
      <c r="H3452" s="19" t="str">
        <f>IFERROR(__xludf.DUMMYFUNCTION("""COMPUTED_VALUE"""),"-")</f>
        <v>-</v>
      </c>
      <c r="I3452" s="19">
        <f>IFERROR(__xludf.DUMMYFUNCTION("""COMPUTED_VALUE"""),0.00227)</f>
        <v>0.00227</v>
      </c>
      <c r="J3452" s="19">
        <f>IFERROR(__xludf.DUMMYFUNCTION("""COMPUTED_VALUE"""),0.04751)</f>
        <v>0.04751</v>
      </c>
      <c r="K3452" s="19" t="str">
        <f>IFERROR(__xludf.DUMMYFUNCTION("""COMPUTED_VALUE"""),"-")</f>
        <v>-</v>
      </c>
      <c r="L3452" s="19" t="str">
        <f>IFERROR(__xludf.DUMMYFUNCTION("""COMPUTED_VALUE"""),"-")</f>
        <v>-</v>
      </c>
      <c r="O3452" s="24">
        <f t="shared" si="4"/>
        <v>0</v>
      </c>
      <c r="P3452" s="24"/>
      <c r="Q3452" s="24">
        <f t="shared" si="6"/>
        <v>0</v>
      </c>
      <c r="R3452" s="24">
        <f t="shared" si="7"/>
        <v>0</v>
      </c>
      <c r="S3452" s="24"/>
      <c r="T3452" s="24"/>
    </row>
    <row r="3453">
      <c r="A3453" s="12" t="s">
        <v>3540</v>
      </c>
      <c r="F3453" s="19">
        <f>IFERROR(__xludf.DUMMYFUNCTION("SPLIT(A3449, "" |"")"),3447.0)</f>
        <v>3447</v>
      </c>
      <c r="G3453" s="19">
        <f>IFERROR(__xludf.DUMMYFUNCTION("""COMPUTED_VALUE"""),0.00239)</f>
        <v>0.00239</v>
      </c>
      <c r="H3453" s="19" t="str">
        <f>IFERROR(__xludf.DUMMYFUNCTION("""COMPUTED_VALUE"""),"-")</f>
        <v>-</v>
      </c>
      <c r="I3453" s="19">
        <f>IFERROR(__xludf.DUMMYFUNCTION("""COMPUTED_VALUE"""),0.00218)</f>
        <v>0.00218</v>
      </c>
      <c r="J3453" s="19">
        <f>IFERROR(__xludf.DUMMYFUNCTION("""COMPUTED_VALUE"""),0.04746)</f>
        <v>0.04746</v>
      </c>
      <c r="K3453" s="19" t="str">
        <f>IFERROR(__xludf.DUMMYFUNCTION("""COMPUTED_VALUE"""),"-")</f>
        <v>-</v>
      </c>
      <c r="L3453" s="19" t="str">
        <f>IFERROR(__xludf.DUMMYFUNCTION("""COMPUTED_VALUE"""),"-")</f>
        <v>-</v>
      </c>
      <c r="O3453" s="24">
        <f t="shared" si="4"/>
        <v>0</v>
      </c>
      <c r="P3453" s="24"/>
      <c r="Q3453" s="24">
        <f t="shared" si="6"/>
        <v>0</v>
      </c>
      <c r="R3453" s="24">
        <f t="shared" si="7"/>
        <v>0</v>
      </c>
      <c r="S3453" s="24"/>
      <c r="T3453" s="24"/>
    </row>
    <row r="3454">
      <c r="A3454" s="12" t="s">
        <v>3541</v>
      </c>
      <c r="F3454" s="19">
        <f>IFERROR(__xludf.DUMMYFUNCTION("SPLIT(A3450, "" |"")"),3448.0)</f>
        <v>3448</v>
      </c>
      <c r="G3454" s="19">
        <f>IFERROR(__xludf.DUMMYFUNCTION("""COMPUTED_VALUE"""),0.00239)</f>
        <v>0.00239</v>
      </c>
      <c r="H3454" s="19" t="str">
        <f>IFERROR(__xludf.DUMMYFUNCTION("""COMPUTED_VALUE"""),"-")</f>
        <v>-</v>
      </c>
      <c r="I3454" s="19">
        <f>IFERROR(__xludf.DUMMYFUNCTION("""COMPUTED_VALUE"""),0.00223)</f>
        <v>0.00223</v>
      </c>
      <c r="J3454" s="19">
        <f>IFERROR(__xludf.DUMMYFUNCTION("""COMPUTED_VALUE"""),0.04734)</f>
        <v>0.04734</v>
      </c>
      <c r="K3454" s="19" t="str">
        <f>IFERROR(__xludf.DUMMYFUNCTION("""COMPUTED_VALUE"""),"-")</f>
        <v>-</v>
      </c>
      <c r="L3454" s="19" t="str">
        <f>IFERROR(__xludf.DUMMYFUNCTION("""COMPUTED_VALUE"""),"-")</f>
        <v>-</v>
      </c>
      <c r="O3454" s="24">
        <f t="shared" si="4"/>
        <v>0</v>
      </c>
      <c r="P3454" s="24"/>
      <c r="Q3454" s="24">
        <f t="shared" si="6"/>
        <v>0</v>
      </c>
      <c r="R3454" s="24">
        <f t="shared" si="7"/>
        <v>0</v>
      </c>
      <c r="S3454" s="24"/>
      <c r="T3454" s="24"/>
    </row>
    <row r="3455">
      <c r="A3455" s="12" t="s">
        <v>3542</v>
      </c>
      <c r="F3455" s="19">
        <f>IFERROR(__xludf.DUMMYFUNCTION("SPLIT(A3451, "" |"")"),3449.0)</f>
        <v>3449</v>
      </c>
      <c r="G3455" s="19">
        <f>IFERROR(__xludf.DUMMYFUNCTION("""COMPUTED_VALUE"""),0.00239)</f>
        <v>0.00239</v>
      </c>
      <c r="H3455" s="19" t="str">
        <f>IFERROR(__xludf.DUMMYFUNCTION("""COMPUTED_VALUE"""),"-")</f>
        <v>-</v>
      </c>
      <c r="I3455" s="19">
        <f>IFERROR(__xludf.DUMMYFUNCTION("""COMPUTED_VALUE"""),0.00223)</f>
        <v>0.00223</v>
      </c>
      <c r="J3455" s="19">
        <f>IFERROR(__xludf.DUMMYFUNCTION("""COMPUTED_VALUE"""),0.04749)</f>
        <v>0.04749</v>
      </c>
      <c r="K3455" s="19" t="str">
        <f>IFERROR(__xludf.DUMMYFUNCTION("""COMPUTED_VALUE"""),"-")</f>
        <v>-</v>
      </c>
      <c r="L3455" s="19" t="str">
        <f>IFERROR(__xludf.DUMMYFUNCTION("""COMPUTED_VALUE"""),"-")</f>
        <v>-</v>
      </c>
      <c r="O3455" s="24">
        <f t="shared" si="4"/>
        <v>0</v>
      </c>
      <c r="P3455" s="24"/>
      <c r="Q3455" s="24">
        <f t="shared" si="6"/>
        <v>0</v>
      </c>
      <c r="R3455" s="24">
        <f t="shared" si="7"/>
        <v>0</v>
      </c>
      <c r="S3455" s="24"/>
      <c r="T3455" s="24"/>
    </row>
    <row r="3456">
      <c r="A3456" s="12" t="s">
        <v>3543</v>
      </c>
      <c r="F3456" s="19">
        <f>IFERROR(__xludf.DUMMYFUNCTION("SPLIT(A3452, "" |"")"),3450.0)</f>
        <v>3450</v>
      </c>
      <c r="G3456" s="19">
        <f>IFERROR(__xludf.DUMMYFUNCTION("""COMPUTED_VALUE"""),0.00238)</f>
        <v>0.00238</v>
      </c>
      <c r="H3456" s="19" t="str">
        <f>IFERROR(__xludf.DUMMYFUNCTION("""COMPUTED_VALUE"""),"-")</f>
        <v>-</v>
      </c>
      <c r="I3456" s="19">
        <f>IFERROR(__xludf.DUMMYFUNCTION("""COMPUTED_VALUE"""),0.00221)</f>
        <v>0.00221</v>
      </c>
      <c r="J3456" s="19">
        <f>IFERROR(__xludf.DUMMYFUNCTION("""COMPUTED_VALUE"""),0.04747)</f>
        <v>0.04747</v>
      </c>
      <c r="K3456" s="19" t="str">
        <f>IFERROR(__xludf.DUMMYFUNCTION("""COMPUTED_VALUE"""),"-")</f>
        <v>-</v>
      </c>
      <c r="L3456" s="19" t="str">
        <f>IFERROR(__xludf.DUMMYFUNCTION("""COMPUTED_VALUE"""),"-")</f>
        <v>-</v>
      </c>
      <c r="O3456" s="24">
        <f t="shared" si="4"/>
        <v>0</v>
      </c>
      <c r="P3456" s="24"/>
      <c r="Q3456" s="24">
        <f t="shared" si="6"/>
        <v>0</v>
      </c>
      <c r="R3456" s="24">
        <f t="shared" si="7"/>
        <v>0</v>
      </c>
      <c r="S3456" s="24"/>
      <c r="T3456" s="24"/>
    </row>
    <row r="3457">
      <c r="A3457" s="12" t="s">
        <v>3544</v>
      </c>
      <c r="F3457" s="19">
        <f>IFERROR(__xludf.DUMMYFUNCTION("SPLIT(A3453, "" |"")"),3451.0)</f>
        <v>3451</v>
      </c>
      <c r="G3457" s="19">
        <f>IFERROR(__xludf.DUMMYFUNCTION("""COMPUTED_VALUE"""),0.00236)</f>
        <v>0.00236</v>
      </c>
      <c r="H3457" s="19" t="str">
        <f>IFERROR(__xludf.DUMMYFUNCTION("""COMPUTED_VALUE"""),"-")</f>
        <v>-</v>
      </c>
      <c r="I3457" s="19">
        <f>IFERROR(__xludf.DUMMYFUNCTION("""COMPUTED_VALUE"""),0.00218)</f>
        <v>0.00218</v>
      </c>
      <c r="J3457" s="19">
        <f>IFERROR(__xludf.DUMMYFUNCTION("""COMPUTED_VALUE"""),0.04749)</f>
        <v>0.04749</v>
      </c>
      <c r="K3457" s="19" t="str">
        <f>IFERROR(__xludf.DUMMYFUNCTION("""COMPUTED_VALUE"""),"-")</f>
        <v>-</v>
      </c>
      <c r="L3457" s="19" t="str">
        <f>IFERROR(__xludf.DUMMYFUNCTION("""COMPUTED_VALUE"""),"-")</f>
        <v>-</v>
      </c>
      <c r="O3457" s="24">
        <f t="shared" si="4"/>
        <v>0</v>
      </c>
      <c r="P3457" s="24"/>
      <c r="Q3457" s="24">
        <f t="shared" si="6"/>
        <v>0</v>
      </c>
      <c r="R3457" s="24">
        <f t="shared" si="7"/>
        <v>0</v>
      </c>
      <c r="S3457" s="24"/>
      <c r="T3457" s="24"/>
    </row>
    <row r="3458">
      <c r="A3458" s="12" t="s">
        <v>3545</v>
      </c>
      <c r="F3458" s="19">
        <f>IFERROR(__xludf.DUMMYFUNCTION("SPLIT(A3454, "" |"")"),3452.0)</f>
        <v>3452</v>
      </c>
      <c r="G3458" s="19">
        <f>IFERROR(__xludf.DUMMYFUNCTION("""COMPUTED_VALUE"""),0.00235)</f>
        <v>0.00235</v>
      </c>
      <c r="H3458" s="19" t="str">
        <f>IFERROR(__xludf.DUMMYFUNCTION("""COMPUTED_VALUE"""),"-")</f>
        <v>-</v>
      </c>
      <c r="I3458" s="19">
        <f>IFERROR(__xludf.DUMMYFUNCTION("""COMPUTED_VALUE"""),0.00222)</f>
        <v>0.00222</v>
      </c>
      <c r="J3458" s="19">
        <f>IFERROR(__xludf.DUMMYFUNCTION("""COMPUTED_VALUE"""),0.04688)</f>
        <v>0.04688</v>
      </c>
      <c r="K3458" s="19" t="str">
        <f>IFERROR(__xludf.DUMMYFUNCTION("""COMPUTED_VALUE"""),"-")</f>
        <v>-</v>
      </c>
      <c r="L3458" s="19" t="str">
        <f>IFERROR(__xludf.DUMMYFUNCTION("""COMPUTED_VALUE"""),"-")</f>
        <v>-</v>
      </c>
      <c r="O3458" s="24">
        <f t="shared" si="4"/>
        <v>0</v>
      </c>
      <c r="P3458" s="24"/>
      <c r="Q3458" s="24">
        <f t="shared" si="6"/>
        <v>0</v>
      </c>
      <c r="R3458" s="24">
        <f t="shared" si="7"/>
        <v>0</v>
      </c>
      <c r="S3458" s="24"/>
      <c r="T3458" s="24"/>
    </row>
    <row r="3459">
      <c r="A3459" s="12" t="s">
        <v>3546</v>
      </c>
      <c r="F3459" s="19">
        <f>IFERROR(__xludf.DUMMYFUNCTION("SPLIT(A3455, "" |"")"),3453.0)</f>
        <v>3453</v>
      </c>
      <c r="G3459" s="19">
        <f>IFERROR(__xludf.DUMMYFUNCTION("""COMPUTED_VALUE"""),0.00239)</f>
        <v>0.00239</v>
      </c>
      <c r="H3459" s="19" t="str">
        <f>IFERROR(__xludf.DUMMYFUNCTION("""COMPUTED_VALUE"""),"-")</f>
        <v>-</v>
      </c>
      <c r="I3459" s="19">
        <f>IFERROR(__xludf.DUMMYFUNCTION("""COMPUTED_VALUE"""),0.00226)</f>
        <v>0.00226</v>
      </c>
      <c r="J3459" s="19">
        <f>IFERROR(__xludf.DUMMYFUNCTION("""COMPUTED_VALUE"""),0.04751)</f>
        <v>0.04751</v>
      </c>
      <c r="K3459" s="19" t="str">
        <f>IFERROR(__xludf.DUMMYFUNCTION("""COMPUTED_VALUE"""),"-")</f>
        <v>-</v>
      </c>
      <c r="L3459" s="19" t="str">
        <f>IFERROR(__xludf.DUMMYFUNCTION("""COMPUTED_VALUE"""),"-")</f>
        <v>-</v>
      </c>
      <c r="O3459" s="24">
        <f t="shared" si="4"/>
        <v>0</v>
      </c>
      <c r="P3459" s="24"/>
      <c r="Q3459" s="24">
        <f t="shared" si="6"/>
        <v>0</v>
      </c>
      <c r="R3459" s="24">
        <f t="shared" si="7"/>
        <v>0</v>
      </c>
      <c r="S3459" s="24"/>
      <c r="T3459" s="24"/>
    </row>
    <row r="3460">
      <c r="A3460" s="12" t="s">
        <v>3547</v>
      </c>
      <c r="F3460" s="19">
        <f>IFERROR(__xludf.DUMMYFUNCTION("SPLIT(A3456, "" |"")"),3454.0)</f>
        <v>3454</v>
      </c>
      <c r="G3460" s="19">
        <f>IFERROR(__xludf.DUMMYFUNCTION("""COMPUTED_VALUE"""),0.00235)</f>
        <v>0.00235</v>
      </c>
      <c r="H3460" s="19" t="str">
        <f>IFERROR(__xludf.DUMMYFUNCTION("""COMPUTED_VALUE"""),"-")</f>
        <v>-</v>
      </c>
      <c r="I3460" s="19">
        <f>IFERROR(__xludf.DUMMYFUNCTION("""COMPUTED_VALUE"""),0.00222)</f>
        <v>0.00222</v>
      </c>
      <c r="J3460" s="19">
        <f>IFERROR(__xludf.DUMMYFUNCTION("""COMPUTED_VALUE"""),0.04396)</f>
        <v>0.04396</v>
      </c>
      <c r="K3460" s="19" t="str">
        <f>IFERROR(__xludf.DUMMYFUNCTION("""COMPUTED_VALUE"""),"-")</f>
        <v>-</v>
      </c>
      <c r="L3460" s="19" t="str">
        <f>IFERROR(__xludf.DUMMYFUNCTION("""COMPUTED_VALUE"""),"-")</f>
        <v>-</v>
      </c>
      <c r="O3460" s="24">
        <f t="shared" si="4"/>
        <v>0</v>
      </c>
      <c r="P3460" s="24"/>
      <c r="Q3460" s="24">
        <f t="shared" si="6"/>
        <v>0</v>
      </c>
      <c r="R3460" s="24">
        <f t="shared" si="7"/>
        <v>1</v>
      </c>
      <c r="S3460" s="24"/>
      <c r="T3460" s="24"/>
    </row>
    <row r="3461">
      <c r="A3461" s="12" t="s">
        <v>3548</v>
      </c>
      <c r="F3461" s="19">
        <f>IFERROR(__xludf.DUMMYFUNCTION("SPLIT(A3457, "" |"")"),3455.0)</f>
        <v>3455</v>
      </c>
      <c r="G3461" s="19">
        <f>IFERROR(__xludf.DUMMYFUNCTION("""COMPUTED_VALUE"""),0.00252)</f>
        <v>0.00252</v>
      </c>
      <c r="H3461" s="19" t="str">
        <f>IFERROR(__xludf.DUMMYFUNCTION("""COMPUTED_VALUE"""),"-")</f>
        <v>-</v>
      </c>
      <c r="I3461" s="19">
        <f>IFERROR(__xludf.DUMMYFUNCTION("""COMPUTED_VALUE"""),0.0022)</f>
        <v>0.0022</v>
      </c>
      <c r="J3461" s="19">
        <f>IFERROR(__xludf.DUMMYFUNCTION("""COMPUTED_VALUE"""),0.0475)</f>
        <v>0.0475</v>
      </c>
      <c r="K3461" s="19" t="str">
        <f>IFERROR(__xludf.DUMMYFUNCTION("""COMPUTED_VALUE"""),"-")</f>
        <v>-</v>
      </c>
      <c r="L3461" s="19" t="str">
        <f>IFERROR(__xludf.DUMMYFUNCTION("""COMPUTED_VALUE"""),"-")</f>
        <v>-</v>
      </c>
      <c r="O3461" s="24">
        <f t="shared" si="4"/>
        <v>0</v>
      </c>
      <c r="P3461" s="24"/>
      <c r="Q3461" s="24">
        <f t="shared" si="6"/>
        <v>0</v>
      </c>
      <c r="R3461" s="24">
        <f t="shared" si="7"/>
        <v>0</v>
      </c>
      <c r="S3461" s="24"/>
      <c r="T3461" s="24"/>
    </row>
    <row r="3462">
      <c r="A3462" s="12" t="s">
        <v>3549</v>
      </c>
      <c r="F3462" s="19">
        <f>IFERROR(__xludf.DUMMYFUNCTION("SPLIT(A3458, "" |"")"),3456.0)</f>
        <v>3456</v>
      </c>
      <c r="G3462" s="19">
        <f>IFERROR(__xludf.DUMMYFUNCTION("""COMPUTED_VALUE"""),0.00233)</f>
        <v>0.00233</v>
      </c>
      <c r="H3462" s="19" t="str">
        <f>IFERROR(__xludf.DUMMYFUNCTION("""COMPUTED_VALUE"""),"-")</f>
        <v>-</v>
      </c>
      <c r="I3462" s="19">
        <f>IFERROR(__xludf.DUMMYFUNCTION("""COMPUTED_VALUE"""),0.00222)</f>
        <v>0.00222</v>
      </c>
      <c r="J3462" s="19">
        <f>IFERROR(__xludf.DUMMYFUNCTION("""COMPUTED_VALUE"""),0.04322)</f>
        <v>0.04322</v>
      </c>
      <c r="K3462" s="19" t="str">
        <f>IFERROR(__xludf.DUMMYFUNCTION("""COMPUTED_VALUE"""),"-")</f>
        <v>-</v>
      </c>
      <c r="L3462" s="19" t="str">
        <f>IFERROR(__xludf.DUMMYFUNCTION("""COMPUTED_VALUE"""),"-")</f>
        <v>-</v>
      </c>
      <c r="O3462" s="24">
        <f t="shared" si="4"/>
        <v>0</v>
      </c>
      <c r="P3462" s="24"/>
      <c r="Q3462" s="24">
        <f t="shared" si="6"/>
        <v>0</v>
      </c>
      <c r="R3462" s="24">
        <f t="shared" si="7"/>
        <v>1</v>
      </c>
      <c r="S3462" s="24"/>
      <c r="T3462" s="24"/>
    </row>
    <row r="3463">
      <c r="A3463" s="12" t="s">
        <v>3550</v>
      </c>
      <c r="F3463" s="19">
        <f>IFERROR(__xludf.DUMMYFUNCTION("SPLIT(A3459, "" |"")"),3457.0)</f>
        <v>3457</v>
      </c>
      <c r="G3463" s="19">
        <f>IFERROR(__xludf.DUMMYFUNCTION("""COMPUTED_VALUE"""),0.00233)</f>
        <v>0.00233</v>
      </c>
      <c r="H3463" s="19" t="str">
        <f>IFERROR(__xludf.DUMMYFUNCTION("""COMPUTED_VALUE"""),"-")</f>
        <v>-</v>
      </c>
      <c r="I3463" s="19">
        <f>IFERROR(__xludf.DUMMYFUNCTION("""COMPUTED_VALUE"""),0.00223)</f>
        <v>0.00223</v>
      </c>
      <c r="J3463" s="19">
        <f>IFERROR(__xludf.DUMMYFUNCTION("""COMPUTED_VALUE"""),0.04744)</f>
        <v>0.04744</v>
      </c>
      <c r="K3463" s="19" t="str">
        <f>IFERROR(__xludf.DUMMYFUNCTION("""COMPUTED_VALUE"""),"-")</f>
        <v>-</v>
      </c>
      <c r="L3463" s="19" t="str">
        <f>IFERROR(__xludf.DUMMYFUNCTION("""COMPUTED_VALUE"""),"-")</f>
        <v>-</v>
      </c>
      <c r="O3463" s="24">
        <f t="shared" si="4"/>
        <v>0</v>
      </c>
      <c r="P3463" s="24"/>
      <c r="Q3463" s="24">
        <f t="shared" si="6"/>
        <v>0</v>
      </c>
      <c r="R3463" s="24">
        <f t="shared" si="7"/>
        <v>0</v>
      </c>
      <c r="S3463" s="24"/>
      <c r="T3463" s="24"/>
    </row>
    <row r="3464">
      <c r="A3464" s="12" t="s">
        <v>3551</v>
      </c>
      <c r="F3464" s="19">
        <f>IFERROR(__xludf.DUMMYFUNCTION("SPLIT(A3460, "" |"")"),3458.0)</f>
        <v>3458</v>
      </c>
      <c r="G3464" s="19">
        <f>IFERROR(__xludf.DUMMYFUNCTION("""COMPUTED_VALUE"""),0.00231)</f>
        <v>0.00231</v>
      </c>
      <c r="H3464" s="19" t="str">
        <f>IFERROR(__xludf.DUMMYFUNCTION("""COMPUTED_VALUE"""),"-")</f>
        <v>-</v>
      </c>
      <c r="I3464" s="19">
        <f>IFERROR(__xludf.DUMMYFUNCTION("""COMPUTED_VALUE"""),0.00227)</f>
        <v>0.00227</v>
      </c>
      <c r="J3464" s="19">
        <f>IFERROR(__xludf.DUMMYFUNCTION("""COMPUTED_VALUE"""),0.0475)</f>
        <v>0.0475</v>
      </c>
      <c r="K3464" s="19" t="str">
        <f>IFERROR(__xludf.DUMMYFUNCTION("""COMPUTED_VALUE"""),"-")</f>
        <v>-</v>
      </c>
      <c r="L3464" s="19" t="str">
        <f>IFERROR(__xludf.DUMMYFUNCTION("""COMPUTED_VALUE"""),"-")</f>
        <v>-</v>
      </c>
      <c r="O3464" s="24">
        <f t="shared" si="4"/>
        <v>0</v>
      </c>
      <c r="P3464" s="24"/>
      <c r="Q3464" s="24">
        <f t="shared" si="6"/>
        <v>0</v>
      </c>
      <c r="R3464" s="24">
        <f t="shared" si="7"/>
        <v>0</v>
      </c>
      <c r="S3464" s="24"/>
      <c r="T3464" s="24"/>
    </row>
    <row r="3465">
      <c r="A3465" s="12" t="s">
        <v>3552</v>
      </c>
      <c r="F3465" s="19">
        <f>IFERROR(__xludf.DUMMYFUNCTION("SPLIT(A3461, "" |"")"),3459.0)</f>
        <v>3459</v>
      </c>
      <c r="G3465" s="19">
        <f>IFERROR(__xludf.DUMMYFUNCTION("""COMPUTED_VALUE"""),0.00242)</f>
        <v>0.00242</v>
      </c>
      <c r="H3465" s="19" t="str">
        <f>IFERROR(__xludf.DUMMYFUNCTION("""COMPUTED_VALUE"""),"-")</f>
        <v>-</v>
      </c>
      <c r="I3465" s="19">
        <f>IFERROR(__xludf.DUMMYFUNCTION("""COMPUTED_VALUE"""),0.00223)</f>
        <v>0.00223</v>
      </c>
      <c r="J3465" s="19">
        <f>IFERROR(__xludf.DUMMYFUNCTION("""COMPUTED_VALUE"""),0.04741)</f>
        <v>0.04741</v>
      </c>
      <c r="K3465" s="19" t="str">
        <f>IFERROR(__xludf.DUMMYFUNCTION("""COMPUTED_VALUE"""),"-")</f>
        <v>-</v>
      </c>
      <c r="L3465" s="19" t="str">
        <f>IFERROR(__xludf.DUMMYFUNCTION("""COMPUTED_VALUE"""),"-")</f>
        <v>-</v>
      </c>
      <c r="O3465" s="24">
        <f t="shared" si="4"/>
        <v>0</v>
      </c>
      <c r="P3465" s="24"/>
      <c r="Q3465" s="24">
        <f t="shared" si="6"/>
        <v>0</v>
      </c>
      <c r="R3465" s="24">
        <f t="shared" si="7"/>
        <v>0</v>
      </c>
      <c r="S3465" s="24"/>
      <c r="T3465" s="24"/>
    </row>
    <row r="3466">
      <c r="A3466" s="12" t="s">
        <v>3553</v>
      </c>
      <c r="F3466" s="19">
        <f>IFERROR(__xludf.DUMMYFUNCTION("SPLIT(A3462, "" |"")"),3460.0)</f>
        <v>3460</v>
      </c>
      <c r="G3466" s="19">
        <f>IFERROR(__xludf.DUMMYFUNCTION("""COMPUTED_VALUE"""),0.00239)</f>
        <v>0.00239</v>
      </c>
      <c r="H3466" s="19" t="str">
        <f>IFERROR(__xludf.DUMMYFUNCTION("""COMPUTED_VALUE"""),"-")</f>
        <v>-</v>
      </c>
      <c r="I3466" s="19">
        <f>IFERROR(__xludf.DUMMYFUNCTION("""COMPUTED_VALUE"""),0.00224)</f>
        <v>0.00224</v>
      </c>
      <c r="J3466" s="19">
        <f>IFERROR(__xludf.DUMMYFUNCTION("""COMPUTED_VALUE"""),0.04744)</f>
        <v>0.04744</v>
      </c>
      <c r="K3466" s="19" t="str">
        <f>IFERROR(__xludf.DUMMYFUNCTION("""COMPUTED_VALUE"""),"-")</f>
        <v>-</v>
      </c>
      <c r="L3466" s="19" t="str">
        <f>IFERROR(__xludf.DUMMYFUNCTION("""COMPUTED_VALUE"""),"-")</f>
        <v>-</v>
      </c>
      <c r="O3466" s="24">
        <f t="shared" si="4"/>
        <v>0</v>
      </c>
      <c r="P3466" s="24"/>
      <c r="Q3466" s="24">
        <f t="shared" si="6"/>
        <v>0</v>
      </c>
      <c r="R3466" s="24">
        <f t="shared" si="7"/>
        <v>0</v>
      </c>
      <c r="S3466" s="24"/>
      <c r="T3466" s="24"/>
    </row>
    <row r="3467">
      <c r="A3467" s="12" t="s">
        <v>3554</v>
      </c>
      <c r="F3467" s="19">
        <f>IFERROR(__xludf.DUMMYFUNCTION("SPLIT(A3463, "" |"")"),3461.0)</f>
        <v>3461</v>
      </c>
      <c r="G3467" s="19">
        <f>IFERROR(__xludf.DUMMYFUNCTION("""COMPUTED_VALUE"""),0.00233)</f>
        <v>0.00233</v>
      </c>
      <c r="H3467" s="19" t="str">
        <f>IFERROR(__xludf.DUMMYFUNCTION("""COMPUTED_VALUE"""),"-")</f>
        <v>-</v>
      </c>
      <c r="I3467" s="19">
        <f>IFERROR(__xludf.DUMMYFUNCTION("""COMPUTED_VALUE"""),0.00224)</f>
        <v>0.00224</v>
      </c>
      <c r="J3467" s="19">
        <f>IFERROR(__xludf.DUMMYFUNCTION("""COMPUTED_VALUE"""),0.04741)</f>
        <v>0.04741</v>
      </c>
      <c r="K3467" s="19" t="str">
        <f>IFERROR(__xludf.DUMMYFUNCTION("""COMPUTED_VALUE"""),"-")</f>
        <v>-</v>
      </c>
      <c r="L3467" s="19" t="str">
        <f>IFERROR(__xludf.DUMMYFUNCTION("""COMPUTED_VALUE"""),"-")</f>
        <v>-</v>
      </c>
      <c r="O3467" s="24">
        <f t="shared" si="4"/>
        <v>0</v>
      </c>
      <c r="P3467" s="24"/>
      <c r="Q3467" s="24">
        <f t="shared" si="6"/>
        <v>0</v>
      </c>
      <c r="R3467" s="24">
        <f t="shared" si="7"/>
        <v>0</v>
      </c>
      <c r="S3467" s="24"/>
      <c r="T3467" s="24"/>
    </row>
    <row r="3468">
      <c r="A3468" s="12" t="s">
        <v>3555</v>
      </c>
      <c r="F3468" s="19">
        <f>IFERROR(__xludf.DUMMYFUNCTION("SPLIT(A3464, "" |"")"),3462.0)</f>
        <v>3462</v>
      </c>
      <c r="G3468" s="19">
        <f>IFERROR(__xludf.DUMMYFUNCTION("""COMPUTED_VALUE"""),0.00227)</f>
        <v>0.00227</v>
      </c>
      <c r="H3468" s="19" t="str">
        <f>IFERROR(__xludf.DUMMYFUNCTION("""COMPUTED_VALUE"""),"-")</f>
        <v>-</v>
      </c>
      <c r="I3468" s="19">
        <f>IFERROR(__xludf.DUMMYFUNCTION("""COMPUTED_VALUE"""),0.00209)</f>
        <v>0.00209</v>
      </c>
      <c r="J3468" s="19">
        <f>IFERROR(__xludf.DUMMYFUNCTION("""COMPUTED_VALUE"""),0.04736)</f>
        <v>0.04736</v>
      </c>
      <c r="K3468" s="19" t="str">
        <f>IFERROR(__xludf.DUMMYFUNCTION("""COMPUTED_VALUE"""),"-")</f>
        <v>-</v>
      </c>
      <c r="L3468" s="19" t="str">
        <f>IFERROR(__xludf.DUMMYFUNCTION("""COMPUTED_VALUE"""),"-")</f>
        <v>-</v>
      </c>
      <c r="O3468" s="24">
        <f t="shared" si="4"/>
        <v>0</v>
      </c>
      <c r="P3468" s="24"/>
      <c r="Q3468" s="24">
        <f t="shared" si="6"/>
        <v>0</v>
      </c>
      <c r="R3468" s="24">
        <f t="shared" si="7"/>
        <v>0</v>
      </c>
      <c r="S3468" s="24"/>
      <c r="T3468" s="24"/>
    </row>
    <row r="3469">
      <c r="A3469" s="12" t="s">
        <v>3556</v>
      </c>
      <c r="F3469" s="19">
        <f>IFERROR(__xludf.DUMMYFUNCTION("SPLIT(A3465, "" |"")"),3463.0)</f>
        <v>3463</v>
      </c>
      <c r="G3469" s="19">
        <f>IFERROR(__xludf.DUMMYFUNCTION("""COMPUTED_VALUE"""),0.00244)</f>
        <v>0.00244</v>
      </c>
      <c r="H3469" s="19" t="str">
        <f>IFERROR(__xludf.DUMMYFUNCTION("""COMPUTED_VALUE"""),"-")</f>
        <v>-</v>
      </c>
      <c r="I3469" s="19">
        <f>IFERROR(__xludf.DUMMYFUNCTION("""COMPUTED_VALUE"""),0.00225)</f>
        <v>0.00225</v>
      </c>
      <c r="J3469" s="19">
        <f>IFERROR(__xludf.DUMMYFUNCTION("""COMPUTED_VALUE"""),0.04749)</f>
        <v>0.04749</v>
      </c>
      <c r="K3469" s="19" t="str">
        <f>IFERROR(__xludf.DUMMYFUNCTION("""COMPUTED_VALUE"""),"-")</f>
        <v>-</v>
      </c>
      <c r="L3469" s="19" t="str">
        <f>IFERROR(__xludf.DUMMYFUNCTION("""COMPUTED_VALUE"""),"-")</f>
        <v>-</v>
      </c>
      <c r="O3469" s="24">
        <f t="shared" si="4"/>
        <v>0</v>
      </c>
      <c r="P3469" s="24"/>
      <c r="Q3469" s="24">
        <f t="shared" si="6"/>
        <v>0</v>
      </c>
      <c r="R3469" s="24">
        <f t="shared" si="7"/>
        <v>0</v>
      </c>
      <c r="S3469" s="24"/>
      <c r="T3469" s="24"/>
    </row>
    <row r="3470">
      <c r="A3470" s="12" t="s">
        <v>3557</v>
      </c>
      <c r="F3470" s="19">
        <f>IFERROR(__xludf.DUMMYFUNCTION("SPLIT(A3466, "" |"")"),3464.0)</f>
        <v>3464</v>
      </c>
      <c r="G3470" s="19">
        <f>IFERROR(__xludf.DUMMYFUNCTION("""COMPUTED_VALUE"""),0.00242)</f>
        <v>0.00242</v>
      </c>
      <c r="H3470" s="19" t="str">
        <f>IFERROR(__xludf.DUMMYFUNCTION("""COMPUTED_VALUE"""),"-")</f>
        <v>-</v>
      </c>
      <c r="I3470" s="19">
        <f>IFERROR(__xludf.DUMMYFUNCTION("""COMPUTED_VALUE"""),0.00222)</f>
        <v>0.00222</v>
      </c>
      <c r="J3470" s="19">
        <f>IFERROR(__xludf.DUMMYFUNCTION("""COMPUTED_VALUE"""),0.04746)</f>
        <v>0.04746</v>
      </c>
      <c r="K3470" s="19" t="str">
        <f>IFERROR(__xludf.DUMMYFUNCTION("""COMPUTED_VALUE"""),"-")</f>
        <v>-</v>
      </c>
      <c r="L3470" s="19" t="str">
        <f>IFERROR(__xludf.DUMMYFUNCTION("""COMPUTED_VALUE"""),"-")</f>
        <v>-</v>
      </c>
      <c r="O3470" s="24">
        <f t="shared" si="4"/>
        <v>0</v>
      </c>
      <c r="P3470" s="24"/>
      <c r="Q3470" s="24">
        <f t="shared" si="6"/>
        <v>0</v>
      </c>
      <c r="R3470" s="24">
        <f t="shared" si="7"/>
        <v>0</v>
      </c>
      <c r="S3470" s="24"/>
      <c r="T3470" s="24"/>
    </row>
    <row r="3471">
      <c r="A3471" s="12" t="s">
        <v>3558</v>
      </c>
      <c r="F3471" s="19">
        <f>IFERROR(__xludf.DUMMYFUNCTION("SPLIT(A3467, "" |"")"),3465.0)</f>
        <v>3465</v>
      </c>
      <c r="G3471" s="19">
        <f>IFERROR(__xludf.DUMMYFUNCTION("""COMPUTED_VALUE"""),0.00233)</f>
        <v>0.00233</v>
      </c>
      <c r="H3471" s="19" t="str">
        <f>IFERROR(__xludf.DUMMYFUNCTION("""COMPUTED_VALUE"""),"-")</f>
        <v>-</v>
      </c>
      <c r="I3471" s="19">
        <f>IFERROR(__xludf.DUMMYFUNCTION("""COMPUTED_VALUE"""),0.00217)</f>
        <v>0.00217</v>
      </c>
      <c r="J3471" s="19">
        <f>IFERROR(__xludf.DUMMYFUNCTION("""COMPUTED_VALUE"""),0.04748)</f>
        <v>0.04748</v>
      </c>
      <c r="K3471" s="19" t="str">
        <f>IFERROR(__xludf.DUMMYFUNCTION("""COMPUTED_VALUE"""),"-")</f>
        <v>-</v>
      </c>
      <c r="L3471" s="19" t="str">
        <f>IFERROR(__xludf.DUMMYFUNCTION("""COMPUTED_VALUE"""),"-")</f>
        <v>-</v>
      </c>
      <c r="O3471" s="24">
        <f t="shared" si="4"/>
        <v>0</v>
      </c>
      <c r="P3471" s="24"/>
      <c r="Q3471" s="24">
        <f t="shared" si="6"/>
        <v>0</v>
      </c>
      <c r="R3471" s="24">
        <f t="shared" si="7"/>
        <v>0</v>
      </c>
      <c r="S3471" s="24"/>
      <c r="T3471" s="24"/>
    </row>
    <row r="3472">
      <c r="A3472" s="12" t="s">
        <v>3559</v>
      </c>
      <c r="F3472" s="19">
        <f>IFERROR(__xludf.DUMMYFUNCTION("SPLIT(A3468, "" |"")"),3466.0)</f>
        <v>3466</v>
      </c>
      <c r="G3472" s="19">
        <f>IFERROR(__xludf.DUMMYFUNCTION("""COMPUTED_VALUE"""),0.00233)</f>
        <v>0.00233</v>
      </c>
      <c r="H3472" s="19" t="str">
        <f>IFERROR(__xludf.DUMMYFUNCTION("""COMPUTED_VALUE"""),"-")</f>
        <v>-</v>
      </c>
      <c r="I3472" s="19">
        <f>IFERROR(__xludf.DUMMYFUNCTION("""COMPUTED_VALUE"""),0.0022)</f>
        <v>0.0022</v>
      </c>
      <c r="J3472" s="19">
        <f>IFERROR(__xludf.DUMMYFUNCTION("""COMPUTED_VALUE"""),0.04748)</f>
        <v>0.04748</v>
      </c>
      <c r="K3472" s="19" t="str">
        <f>IFERROR(__xludf.DUMMYFUNCTION("""COMPUTED_VALUE"""),"-")</f>
        <v>-</v>
      </c>
      <c r="L3472" s="19" t="str">
        <f>IFERROR(__xludf.DUMMYFUNCTION("""COMPUTED_VALUE"""),"-")</f>
        <v>-</v>
      </c>
      <c r="O3472" s="24">
        <f t="shared" si="4"/>
        <v>0</v>
      </c>
      <c r="P3472" s="24"/>
      <c r="Q3472" s="24">
        <f t="shared" si="6"/>
        <v>0</v>
      </c>
      <c r="R3472" s="24">
        <f t="shared" si="7"/>
        <v>0</v>
      </c>
      <c r="S3472" s="24"/>
      <c r="T3472" s="24"/>
    </row>
    <row r="3473">
      <c r="A3473" s="12" t="s">
        <v>3560</v>
      </c>
      <c r="F3473" s="19">
        <f>IFERROR(__xludf.DUMMYFUNCTION("SPLIT(A3469, "" |"")"),3467.0)</f>
        <v>3467</v>
      </c>
      <c r="G3473" s="19">
        <f>IFERROR(__xludf.DUMMYFUNCTION("""COMPUTED_VALUE"""),0.00237)</f>
        <v>0.00237</v>
      </c>
      <c r="H3473" s="19" t="str">
        <f>IFERROR(__xludf.DUMMYFUNCTION("""COMPUTED_VALUE"""),"-")</f>
        <v>-</v>
      </c>
      <c r="I3473" s="19">
        <f>IFERROR(__xludf.DUMMYFUNCTION("""COMPUTED_VALUE"""),0.0022)</f>
        <v>0.0022</v>
      </c>
      <c r="J3473" s="19">
        <f>IFERROR(__xludf.DUMMYFUNCTION("""COMPUTED_VALUE"""),0.04352)</f>
        <v>0.04352</v>
      </c>
      <c r="K3473" s="19" t="str">
        <f>IFERROR(__xludf.DUMMYFUNCTION("""COMPUTED_VALUE"""),"-")</f>
        <v>-</v>
      </c>
      <c r="L3473" s="19" t="str">
        <f>IFERROR(__xludf.DUMMYFUNCTION("""COMPUTED_VALUE"""),"-")</f>
        <v>-</v>
      </c>
      <c r="O3473" s="24">
        <f t="shared" si="4"/>
        <v>0</v>
      </c>
      <c r="P3473" s="24"/>
      <c r="Q3473" s="24">
        <f t="shared" si="6"/>
        <v>0</v>
      </c>
      <c r="R3473" s="24">
        <f t="shared" si="7"/>
        <v>1</v>
      </c>
      <c r="S3473" s="24"/>
      <c r="T3473" s="24"/>
    </row>
    <row r="3474">
      <c r="A3474" s="12" t="s">
        <v>3561</v>
      </c>
      <c r="F3474" s="19">
        <f>IFERROR(__xludf.DUMMYFUNCTION("SPLIT(A3470, "" |"")"),3468.0)</f>
        <v>3468</v>
      </c>
      <c r="G3474" s="19">
        <f>IFERROR(__xludf.DUMMYFUNCTION("""COMPUTED_VALUE"""),0.00241)</f>
        <v>0.00241</v>
      </c>
      <c r="H3474" s="19" t="str">
        <f>IFERROR(__xludf.DUMMYFUNCTION("""COMPUTED_VALUE"""),"-")</f>
        <v>-</v>
      </c>
      <c r="I3474" s="19">
        <f>IFERROR(__xludf.DUMMYFUNCTION("""COMPUTED_VALUE"""),0.00224)</f>
        <v>0.00224</v>
      </c>
      <c r="J3474" s="19">
        <f>IFERROR(__xludf.DUMMYFUNCTION("""COMPUTED_VALUE"""),0.04745)</f>
        <v>0.04745</v>
      </c>
      <c r="K3474" s="19" t="str">
        <f>IFERROR(__xludf.DUMMYFUNCTION("""COMPUTED_VALUE"""),"-")</f>
        <v>-</v>
      </c>
      <c r="L3474" s="19" t="str">
        <f>IFERROR(__xludf.DUMMYFUNCTION("""COMPUTED_VALUE"""),"-")</f>
        <v>-</v>
      </c>
      <c r="O3474" s="24">
        <f t="shared" si="4"/>
        <v>0</v>
      </c>
      <c r="P3474" s="24"/>
      <c r="Q3474" s="24">
        <f t="shared" si="6"/>
        <v>0</v>
      </c>
      <c r="R3474" s="24">
        <f t="shared" si="7"/>
        <v>0</v>
      </c>
      <c r="S3474" s="24"/>
      <c r="T3474" s="24"/>
    </row>
    <row r="3475">
      <c r="A3475" s="12" t="s">
        <v>3562</v>
      </c>
      <c r="F3475" s="19">
        <f>IFERROR(__xludf.DUMMYFUNCTION("SPLIT(A3471, "" |"")"),3469.0)</f>
        <v>3469</v>
      </c>
      <c r="G3475" s="19">
        <f>IFERROR(__xludf.DUMMYFUNCTION("""COMPUTED_VALUE"""),0.00232)</f>
        <v>0.00232</v>
      </c>
      <c r="H3475" s="19" t="str">
        <f>IFERROR(__xludf.DUMMYFUNCTION("""COMPUTED_VALUE"""),"-")</f>
        <v>-</v>
      </c>
      <c r="I3475" s="19">
        <f>IFERROR(__xludf.DUMMYFUNCTION("""COMPUTED_VALUE"""),0.00224)</f>
        <v>0.00224</v>
      </c>
      <c r="J3475" s="19">
        <f>IFERROR(__xludf.DUMMYFUNCTION("""COMPUTED_VALUE"""),0.04323)</f>
        <v>0.04323</v>
      </c>
      <c r="K3475" s="19" t="str">
        <f>IFERROR(__xludf.DUMMYFUNCTION("""COMPUTED_VALUE"""),"-")</f>
        <v>-</v>
      </c>
      <c r="L3475" s="19" t="str">
        <f>IFERROR(__xludf.DUMMYFUNCTION("""COMPUTED_VALUE"""),"-")</f>
        <v>-</v>
      </c>
      <c r="O3475" s="24">
        <f t="shared" si="4"/>
        <v>0</v>
      </c>
      <c r="P3475" s="24"/>
      <c r="Q3475" s="24">
        <f t="shared" si="6"/>
        <v>0</v>
      </c>
      <c r="R3475" s="24">
        <f t="shared" si="7"/>
        <v>1</v>
      </c>
      <c r="S3475" s="24"/>
      <c r="T3475" s="24"/>
    </row>
    <row r="3476">
      <c r="A3476" s="12" t="s">
        <v>3563</v>
      </c>
      <c r="F3476" s="19">
        <f>IFERROR(__xludf.DUMMYFUNCTION("SPLIT(A3472, "" |"")"),3470.0)</f>
        <v>3470</v>
      </c>
      <c r="G3476" s="19">
        <f>IFERROR(__xludf.DUMMYFUNCTION("""COMPUTED_VALUE"""),0.0023)</f>
        <v>0.0023</v>
      </c>
      <c r="H3476" s="19" t="str">
        <f>IFERROR(__xludf.DUMMYFUNCTION("""COMPUTED_VALUE"""),"-")</f>
        <v>-</v>
      </c>
      <c r="I3476" s="19">
        <f>IFERROR(__xludf.DUMMYFUNCTION("""COMPUTED_VALUE"""),0.00219)</f>
        <v>0.00219</v>
      </c>
      <c r="J3476" s="19">
        <f>IFERROR(__xludf.DUMMYFUNCTION("""COMPUTED_VALUE"""),0.0475)</f>
        <v>0.0475</v>
      </c>
      <c r="K3476" s="19" t="str">
        <f>IFERROR(__xludf.DUMMYFUNCTION("""COMPUTED_VALUE"""),"-")</f>
        <v>-</v>
      </c>
      <c r="L3476" s="19" t="str">
        <f>IFERROR(__xludf.DUMMYFUNCTION("""COMPUTED_VALUE"""),"-")</f>
        <v>-</v>
      </c>
      <c r="O3476" s="24">
        <f t="shared" si="4"/>
        <v>0</v>
      </c>
      <c r="P3476" s="24"/>
      <c r="Q3476" s="24">
        <f t="shared" si="6"/>
        <v>0</v>
      </c>
      <c r="R3476" s="24">
        <f t="shared" si="7"/>
        <v>0</v>
      </c>
      <c r="S3476" s="24"/>
      <c r="T3476" s="24"/>
    </row>
    <row r="3477">
      <c r="A3477" s="12" t="s">
        <v>3564</v>
      </c>
      <c r="F3477" s="19">
        <f>IFERROR(__xludf.DUMMYFUNCTION("SPLIT(A3473, "" |"")"),3471.0)</f>
        <v>3471</v>
      </c>
      <c r="G3477" s="19">
        <f>IFERROR(__xludf.DUMMYFUNCTION("""COMPUTED_VALUE"""),0.00235)</f>
        <v>0.00235</v>
      </c>
      <c r="H3477" s="19" t="str">
        <f>IFERROR(__xludf.DUMMYFUNCTION("""COMPUTED_VALUE"""),"-")</f>
        <v>-</v>
      </c>
      <c r="I3477" s="19">
        <f>IFERROR(__xludf.DUMMYFUNCTION("""COMPUTED_VALUE"""),0.00222)</f>
        <v>0.00222</v>
      </c>
      <c r="J3477" s="19">
        <f>IFERROR(__xludf.DUMMYFUNCTION("""COMPUTED_VALUE"""),0.04749)</f>
        <v>0.04749</v>
      </c>
      <c r="K3477" s="19" t="str">
        <f>IFERROR(__xludf.DUMMYFUNCTION("""COMPUTED_VALUE"""),"-")</f>
        <v>-</v>
      </c>
      <c r="L3477" s="19" t="str">
        <f>IFERROR(__xludf.DUMMYFUNCTION("""COMPUTED_VALUE"""),"-")</f>
        <v>-</v>
      </c>
      <c r="O3477" s="24">
        <f t="shared" si="4"/>
        <v>0</v>
      </c>
      <c r="P3477" s="24"/>
      <c r="Q3477" s="24">
        <f t="shared" si="6"/>
        <v>0</v>
      </c>
      <c r="R3477" s="24">
        <f t="shared" si="7"/>
        <v>0</v>
      </c>
      <c r="S3477" s="24"/>
      <c r="T3477" s="24"/>
    </row>
    <row r="3478">
      <c r="A3478" s="12" t="s">
        <v>3565</v>
      </c>
      <c r="F3478" s="19">
        <f>IFERROR(__xludf.DUMMYFUNCTION("SPLIT(A3474, "" |"")"),3472.0)</f>
        <v>3472</v>
      </c>
      <c r="G3478" s="19">
        <f>IFERROR(__xludf.DUMMYFUNCTION("""COMPUTED_VALUE"""),0.00231)</f>
        <v>0.00231</v>
      </c>
      <c r="H3478" s="19" t="str">
        <f>IFERROR(__xludf.DUMMYFUNCTION("""COMPUTED_VALUE"""),"-")</f>
        <v>-</v>
      </c>
      <c r="I3478" s="19">
        <f>IFERROR(__xludf.DUMMYFUNCTION("""COMPUTED_VALUE"""),0.0022)</f>
        <v>0.0022</v>
      </c>
      <c r="J3478" s="19">
        <f>IFERROR(__xludf.DUMMYFUNCTION("""COMPUTED_VALUE"""),0.04748)</f>
        <v>0.04748</v>
      </c>
      <c r="K3478" s="19" t="str">
        <f>IFERROR(__xludf.DUMMYFUNCTION("""COMPUTED_VALUE"""),"-")</f>
        <v>-</v>
      </c>
      <c r="L3478" s="19" t="str">
        <f>IFERROR(__xludf.DUMMYFUNCTION("""COMPUTED_VALUE"""),"-")</f>
        <v>-</v>
      </c>
      <c r="O3478" s="24">
        <f t="shared" si="4"/>
        <v>0</v>
      </c>
      <c r="P3478" s="24"/>
      <c r="Q3478" s="24">
        <f t="shared" si="6"/>
        <v>0</v>
      </c>
      <c r="R3478" s="24">
        <f t="shared" si="7"/>
        <v>0</v>
      </c>
      <c r="S3478" s="24"/>
      <c r="T3478" s="24"/>
    </row>
    <row r="3479">
      <c r="A3479" s="12" t="s">
        <v>3566</v>
      </c>
      <c r="F3479" s="19">
        <f>IFERROR(__xludf.DUMMYFUNCTION("SPLIT(A3475, "" |"")"),3473.0)</f>
        <v>3473</v>
      </c>
      <c r="G3479" s="19">
        <f>IFERROR(__xludf.DUMMYFUNCTION("""COMPUTED_VALUE"""),0.00235)</f>
        <v>0.00235</v>
      </c>
      <c r="H3479" s="19" t="str">
        <f>IFERROR(__xludf.DUMMYFUNCTION("""COMPUTED_VALUE"""),"-")</f>
        <v>-</v>
      </c>
      <c r="I3479" s="19">
        <f>IFERROR(__xludf.DUMMYFUNCTION("""COMPUTED_VALUE"""),0.00222)</f>
        <v>0.00222</v>
      </c>
      <c r="J3479" s="19">
        <f>IFERROR(__xludf.DUMMYFUNCTION("""COMPUTED_VALUE"""),0.04747)</f>
        <v>0.04747</v>
      </c>
      <c r="K3479" s="19" t="str">
        <f>IFERROR(__xludf.DUMMYFUNCTION("""COMPUTED_VALUE"""),"-")</f>
        <v>-</v>
      </c>
      <c r="L3479" s="19" t="str">
        <f>IFERROR(__xludf.DUMMYFUNCTION("""COMPUTED_VALUE"""),"-")</f>
        <v>-</v>
      </c>
      <c r="O3479" s="24">
        <f t="shared" si="4"/>
        <v>0</v>
      </c>
      <c r="P3479" s="24"/>
      <c r="Q3479" s="24">
        <f t="shared" si="6"/>
        <v>0</v>
      </c>
      <c r="R3479" s="24">
        <f t="shared" si="7"/>
        <v>0</v>
      </c>
      <c r="S3479" s="24"/>
      <c r="T3479" s="24"/>
    </row>
    <row r="3480">
      <c r="A3480" s="12" t="s">
        <v>3567</v>
      </c>
      <c r="F3480" s="19">
        <f>IFERROR(__xludf.DUMMYFUNCTION("SPLIT(A3476, "" |"")"),3474.0)</f>
        <v>3474</v>
      </c>
      <c r="G3480" s="19">
        <f>IFERROR(__xludf.DUMMYFUNCTION("""COMPUTED_VALUE"""),0.00228)</f>
        <v>0.00228</v>
      </c>
      <c r="H3480" s="19" t="str">
        <f>IFERROR(__xludf.DUMMYFUNCTION("""COMPUTED_VALUE"""),"-")</f>
        <v>-</v>
      </c>
      <c r="I3480" s="19">
        <f>IFERROR(__xludf.DUMMYFUNCTION("""COMPUTED_VALUE"""),0.00215)</f>
        <v>0.00215</v>
      </c>
      <c r="J3480" s="19">
        <f>IFERROR(__xludf.DUMMYFUNCTION("""COMPUTED_VALUE"""),0.04751)</f>
        <v>0.04751</v>
      </c>
      <c r="K3480" s="19" t="str">
        <f>IFERROR(__xludf.DUMMYFUNCTION("""COMPUTED_VALUE"""),"-")</f>
        <v>-</v>
      </c>
      <c r="L3480" s="19" t="str">
        <f>IFERROR(__xludf.DUMMYFUNCTION("""COMPUTED_VALUE"""),"-")</f>
        <v>-</v>
      </c>
      <c r="O3480" s="24">
        <f t="shared" si="4"/>
        <v>0</v>
      </c>
      <c r="P3480" s="24"/>
      <c r="Q3480" s="24">
        <f t="shared" si="6"/>
        <v>0</v>
      </c>
      <c r="R3480" s="24">
        <f t="shared" si="7"/>
        <v>0</v>
      </c>
      <c r="S3480" s="24"/>
      <c r="T3480" s="24"/>
    </row>
    <row r="3481">
      <c r="A3481" s="12" t="s">
        <v>3568</v>
      </c>
      <c r="F3481" s="19">
        <f>IFERROR(__xludf.DUMMYFUNCTION("SPLIT(A3477, "" |"")"),3475.0)</f>
        <v>3475</v>
      </c>
      <c r="G3481" s="19">
        <f>IFERROR(__xludf.DUMMYFUNCTION("""COMPUTED_VALUE"""),0.00244)</f>
        <v>0.00244</v>
      </c>
      <c r="H3481" s="19" t="str">
        <f>IFERROR(__xludf.DUMMYFUNCTION("""COMPUTED_VALUE"""),"-")</f>
        <v>-</v>
      </c>
      <c r="I3481" s="19">
        <f>IFERROR(__xludf.DUMMYFUNCTION("""COMPUTED_VALUE"""),0.00224)</f>
        <v>0.00224</v>
      </c>
      <c r="J3481" s="19">
        <f>IFERROR(__xludf.DUMMYFUNCTION("""COMPUTED_VALUE"""),0.04755)</f>
        <v>0.04755</v>
      </c>
      <c r="K3481" s="19" t="str">
        <f>IFERROR(__xludf.DUMMYFUNCTION("""COMPUTED_VALUE"""),"-")</f>
        <v>-</v>
      </c>
      <c r="L3481" s="19" t="str">
        <f>IFERROR(__xludf.DUMMYFUNCTION("""COMPUTED_VALUE"""),"-")</f>
        <v>-</v>
      </c>
      <c r="O3481" s="24">
        <f t="shared" si="4"/>
        <v>0</v>
      </c>
      <c r="P3481" s="24"/>
      <c r="Q3481" s="24">
        <f t="shared" si="6"/>
        <v>0</v>
      </c>
      <c r="R3481" s="24">
        <f t="shared" si="7"/>
        <v>0</v>
      </c>
      <c r="S3481" s="24"/>
      <c r="T3481" s="24"/>
    </row>
    <row r="3482">
      <c r="A3482" s="12" t="s">
        <v>3569</v>
      </c>
      <c r="F3482" s="19">
        <f>IFERROR(__xludf.DUMMYFUNCTION("SPLIT(A3478, "" |"")"),3476.0)</f>
        <v>3476</v>
      </c>
      <c r="G3482" s="19">
        <f>IFERROR(__xludf.DUMMYFUNCTION("""COMPUTED_VALUE"""),0.00233)</f>
        <v>0.00233</v>
      </c>
      <c r="H3482" s="19" t="str">
        <f>IFERROR(__xludf.DUMMYFUNCTION("""COMPUTED_VALUE"""),"-")</f>
        <v>-</v>
      </c>
      <c r="I3482" s="19">
        <f>IFERROR(__xludf.DUMMYFUNCTION("""COMPUTED_VALUE"""),0.00221)</f>
        <v>0.00221</v>
      </c>
      <c r="J3482" s="19">
        <f>IFERROR(__xludf.DUMMYFUNCTION("""COMPUTED_VALUE"""),0.04457)</f>
        <v>0.04457</v>
      </c>
      <c r="K3482" s="19" t="str">
        <f>IFERROR(__xludf.DUMMYFUNCTION("""COMPUTED_VALUE"""),"-")</f>
        <v>-</v>
      </c>
      <c r="L3482" s="19" t="str">
        <f>IFERROR(__xludf.DUMMYFUNCTION("""COMPUTED_VALUE"""),"-")</f>
        <v>-</v>
      </c>
      <c r="O3482" s="24">
        <f t="shared" si="4"/>
        <v>0</v>
      </c>
      <c r="P3482" s="24"/>
      <c r="Q3482" s="24">
        <f t="shared" si="6"/>
        <v>0</v>
      </c>
      <c r="R3482" s="24">
        <f t="shared" si="7"/>
        <v>1</v>
      </c>
      <c r="S3482" s="24"/>
      <c r="T3482" s="24"/>
    </row>
    <row r="3483">
      <c r="A3483" s="12" t="s">
        <v>3570</v>
      </c>
      <c r="F3483" s="19">
        <f>IFERROR(__xludf.DUMMYFUNCTION("SPLIT(A3479, "" |"")"),3477.0)</f>
        <v>3477</v>
      </c>
      <c r="G3483" s="19">
        <f>IFERROR(__xludf.DUMMYFUNCTION("""COMPUTED_VALUE"""),0.00239)</f>
        <v>0.00239</v>
      </c>
      <c r="H3483" s="19" t="str">
        <f>IFERROR(__xludf.DUMMYFUNCTION("""COMPUTED_VALUE"""),"-")</f>
        <v>-</v>
      </c>
      <c r="I3483" s="19">
        <f>IFERROR(__xludf.DUMMYFUNCTION("""COMPUTED_VALUE"""),0.00226)</f>
        <v>0.00226</v>
      </c>
      <c r="J3483" s="19">
        <f>IFERROR(__xludf.DUMMYFUNCTION("""COMPUTED_VALUE"""),0.04117)</f>
        <v>0.04117</v>
      </c>
      <c r="K3483" s="19" t="str">
        <f>IFERROR(__xludf.DUMMYFUNCTION("""COMPUTED_VALUE"""),"-")</f>
        <v>-</v>
      </c>
      <c r="L3483" s="19" t="str">
        <f>IFERROR(__xludf.DUMMYFUNCTION("""COMPUTED_VALUE"""),"-")</f>
        <v>-</v>
      </c>
      <c r="O3483" s="24">
        <f t="shared" si="4"/>
        <v>0</v>
      </c>
      <c r="P3483" s="24"/>
      <c r="Q3483" s="24">
        <f t="shared" si="6"/>
        <v>0</v>
      </c>
      <c r="R3483" s="24">
        <f t="shared" si="7"/>
        <v>1</v>
      </c>
      <c r="S3483" s="24"/>
      <c r="T3483" s="24"/>
    </row>
    <row r="3484">
      <c r="A3484" s="12" t="s">
        <v>3571</v>
      </c>
      <c r="F3484" s="19">
        <f>IFERROR(__xludf.DUMMYFUNCTION("SPLIT(A3480, "" |"")"),3478.0)</f>
        <v>3478</v>
      </c>
      <c r="G3484" s="19">
        <f>IFERROR(__xludf.DUMMYFUNCTION("""COMPUTED_VALUE"""),0.00233)</f>
        <v>0.00233</v>
      </c>
      <c r="H3484" s="19" t="str">
        <f>IFERROR(__xludf.DUMMYFUNCTION("""COMPUTED_VALUE"""),"-")</f>
        <v>-</v>
      </c>
      <c r="I3484" s="19">
        <f>IFERROR(__xludf.DUMMYFUNCTION("""COMPUTED_VALUE"""),0.00217)</f>
        <v>0.00217</v>
      </c>
      <c r="J3484" s="19">
        <f>IFERROR(__xludf.DUMMYFUNCTION("""COMPUTED_VALUE"""),0.04752)</f>
        <v>0.04752</v>
      </c>
      <c r="K3484" s="19" t="str">
        <f>IFERROR(__xludf.DUMMYFUNCTION("""COMPUTED_VALUE"""),"-")</f>
        <v>-</v>
      </c>
      <c r="L3484" s="19" t="str">
        <f>IFERROR(__xludf.DUMMYFUNCTION("""COMPUTED_VALUE"""),"-")</f>
        <v>-</v>
      </c>
      <c r="O3484" s="24">
        <f t="shared" si="4"/>
        <v>0</v>
      </c>
      <c r="P3484" s="24"/>
      <c r="Q3484" s="24">
        <f t="shared" si="6"/>
        <v>0</v>
      </c>
      <c r="R3484" s="24">
        <f t="shared" si="7"/>
        <v>0</v>
      </c>
      <c r="S3484" s="24"/>
      <c r="T3484" s="24"/>
    </row>
    <row r="3485">
      <c r="A3485" s="12" t="s">
        <v>3572</v>
      </c>
      <c r="F3485" s="19">
        <f>IFERROR(__xludf.DUMMYFUNCTION("SPLIT(A3481, "" |"")"),3479.0)</f>
        <v>3479</v>
      </c>
      <c r="G3485" s="19">
        <f>IFERROR(__xludf.DUMMYFUNCTION("""COMPUTED_VALUE"""),0.00254)</f>
        <v>0.00254</v>
      </c>
      <c r="H3485" s="19" t="str">
        <f>IFERROR(__xludf.DUMMYFUNCTION("""COMPUTED_VALUE"""),"-")</f>
        <v>-</v>
      </c>
      <c r="I3485" s="19">
        <f>IFERROR(__xludf.DUMMYFUNCTION("""COMPUTED_VALUE"""),0.00218)</f>
        <v>0.00218</v>
      </c>
      <c r="J3485" s="19">
        <f>IFERROR(__xludf.DUMMYFUNCTION("""COMPUTED_VALUE"""),0.04754)</f>
        <v>0.04754</v>
      </c>
      <c r="K3485" s="19" t="str">
        <f>IFERROR(__xludf.DUMMYFUNCTION("""COMPUTED_VALUE"""),"-")</f>
        <v>-</v>
      </c>
      <c r="L3485" s="19" t="str">
        <f>IFERROR(__xludf.DUMMYFUNCTION("""COMPUTED_VALUE"""),"-")</f>
        <v>-</v>
      </c>
      <c r="O3485" s="24">
        <f t="shared" si="4"/>
        <v>0</v>
      </c>
      <c r="P3485" s="24"/>
      <c r="Q3485" s="24">
        <f t="shared" si="6"/>
        <v>0</v>
      </c>
      <c r="R3485" s="24">
        <f t="shared" si="7"/>
        <v>0</v>
      </c>
      <c r="S3485" s="24"/>
      <c r="T3485" s="24"/>
    </row>
    <row r="3486">
      <c r="A3486" s="12" t="s">
        <v>3573</v>
      </c>
      <c r="F3486" s="19">
        <f>IFERROR(__xludf.DUMMYFUNCTION("SPLIT(A3482, "" |"")"),3480.0)</f>
        <v>3480</v>
      </c>
      <c r="G3486" s="19">
        <f>IFERROR(__xludf.DUMMYFUNCTION("""COMPUTED_VALUE"""),0.00235)</f>
        <v>0.00235</v>
      </c>
      <c r="H3486" s="19" t="str">
        <f>IFERROR(__xludf.DUMMYFUNCTION("""COMPUTED_VALUE"""),"-")</f>
        <v>-</v>
      </c>
      <c r="I3486" s="19">
        <f>IFERROR(__xludf.DUMMYFUNCTION("""COMPUTED_VALUE"""),0.00222)</f>
        <v>0.00222</v>
      </c>
      <c r="J3486" s="19">
        <f>IFERROR(__xludf.DUMMYFUNCTION("""COMPUTED_VALUE"""),0.04749)</f>
        <v>0.04749</v>
      </c>
      <c r="K3486" s="19" t="str">
        <f>IFERROR(__xludf.DUMMYFUNCTION("""COMPUTED_VALUE"""),"-")</f>
        <v>-</v>
      </c>
      <c r="L3486" s="19" t="str">
        <f>IFERROR(__xludf.DUMMYFUNCTION("""COMPUTED_VALUE"""),"-")</f>
        <v>-</v>
      </c>
      <c r="O3486" s="24">
        <f t="shared" si="4"/>
        <v>0</v>
      </c>
      <c r="P3486" s="24"/>
      <c r="Q3486" s="24">
        <f t="shared" si="6"/>
        <v>0</v>
      </c>
      <c r="R3486" s="24">
        <f t="shared" si="7"/>
        <v>0</v>
      </c>
      <c r="S3486" s="24"/>
      <c r="T3486" s="24"/>
    </row>
    <row r="3487">
      <c r="A3487" s="12" t="s">
        <v>3574</v>
      </c>
      <c r="F3487" s="19">
        <f>IFERROR(__xludf.DUMMYFUNCTION("SPLIT(A3483, "" |"")"),3481.0)</f>
        <v>3481</v>
      </c>
      <c r="G3487" s="19">
        <f>IFERROR(__xludf.DUMMYFUNCTION("""COMPUTED_VALUE"""),0.00233)</f>
        <v>0.00233</v>
      </c>
      <c r="H3487" s="19" t="str">
        <f>IFERROR(__xludf.DUMMYFUNCTION("""COMPUTED_VALUE"""),"-")</f>
        <v>-</v>
      </c>
      <c r="I3487" s="19">
        <f>IFERROR(__xludf.DUMMYFUNCTION("""COMPUTED_VALUE"""),0.0022)</f>
        <v>0.0022</v>
      </c>
      <c r="J3487" s="19">
        <f>IFERROR(__xludf.DUMMYFUNCTION("""COMPUTED_VALUE"""),0.04529)</f>
        <v>0.04529</v>
      </c>
      <c r="K3487" s="19" t="str">
        <f>IFERROR(__xludf.DUMMYFUNCTION("""COMPUTED_VALUE"""),"-")</f>
        <v>-</v>
      </c>
      <c r="L3487" s="19" t="str">
        <f>IFERROR(__xludf.DUMMYFUNCTION("""COMPUTED_VALUE"""),"-")</f>
        <v>-</v>
      </c>
      <c r="O3487" s="24">
        <f t="shared" si="4"/>
        <v>0</v>
      </c>
      <c r="P3487" s="24"/>
      <c r="Q3487" s="24">
        <f t="shared" si="6"/>
        <v>0</v>
      </c>
      <c r="R3487" s="24">
        <f t="shared" si="7"/>
        <v>0</v>
      </c>
      <c r="S3487" s="24"/>
      <c r="T3487" s="24"/>
    </row>
    <row r="3488">
      <c r="A3488" s="12" t="s">
        <v>3575</v>
      </c>
      <c r="F3488" s="19">
        <f>IFERROR(__xludf.DUMMYFUNCTION("SPLIT(A3484, "" |"")"),3482.0)</f>
        <v>3482</v>
      </c>
      <c r="G3488" s="19">
        <f>IFERROR(__xludf.DUMMYFUNCTION("""COMPUTED_VALUE"""),0.00237)</f>
        <v>0.00237</v>
      </c>
      <c r="H3488" s="19" t="str">
        <f>IFERROR(__xludf.DUMMYFUNCTION("""COMPUTED_VALUE"""),"-")</f>
        <v>-</v>
      </c>
      <c r="I3488" s="19">
        <f>IFERROR(__xludf.DUMMYFUNCTION("""COMPUTED_VALUE"""),0.00224)</f>
        <v>0.00224</v>
      </c>
      <c r="J3488" s="19">
        <f>IFERROR(__xludf.DUMMYFUNCTION("""COMPUTED_VALUE"""),0.04745)</f>
        <v>0.04745</v>
      </c>
      <c r="K3488" s="19" t="str">
        <f>IFERROR(__xludf.DUMMYFUNCTION("""COMPUTED_VALUE"""),"-")</f>
        <v>-</v>
      </c>
      <c r="L3488" s="19" t="str">
        <f>IFERROR(__xludf.DUMMYFUNCTION("""COMPUTED_VALUE"""),"-")</f>
        <v>-</v>
      </c>
      <c r="O3488" s="24">
        <f t="shared" si="4"/>
        <v>0</v>
      </c>
      <c r="P3488" s="24"/>
      <c r="Q3488" s="24">
        <f t="shared" si="6"/>
        <v>0</v>
      </c>
      <c r="R3488" s="24">
        <f t="shared" si="7"/>
        <v>0</v>
      </c>
      <c r="S3488" s="24"/>
      <c r="T3488" s="24"/>
    </row>
    <row r="3489">
      <c r="A3489" s="12" t="s">
        <v>3576</v>
      </c>
      <c r="F3489" s="19">
        <f>IFERROR(__xludf.DUMMYFUNCTION("SPLIT(A3485, "" |"")"),3483.0)</f>
        <v>3483</v>
      </c>
      <c r="G3489" s="19">
        <f>IFERROR(__xludf.DUMMYFUNCTION("""COMPUTED_VALUE"""),0.0024)</f>
        <v>0.0024</v>
      </c>
      <c r="H3489" s="19" t="str">
        <f>IFERROR(__xludf.DUMMYFUNCTION("""COMPUTED_VALUE"""),"-")</f>
        <v>-</v>
      </c>
      <c r="I3489" s="19">
        <f>IFERROR(__xludf.DUMMYFUNCTION("""COMPUTED_VALUE"""),0.00221)</f>
        <v>0.00221</v>
      </c>
      <c r="J3489" s="19">
        <f>IFERROR(__xludf.DUMMYFUNCTION("""COMPUTED_VALUE"""),0.04019)</f>
        <v>0.04019</v>
      </c>
      <c r="K3489" s="19" t="str">
        <f>IFERROR(__xludf.DUMMYFUNCTION("""COMPUTED_VALUE"""),"-")</f>
        <v>-</v>
      </c>
      <c r="L3489" s="19" t="str">
        <f>IFERROR(__xludf.DUMMYFUNCTION("""COMPUTED_VALUE"""),"-")</f>
        <v>-</v>
      </c>
      <c r="O3489" s="24">
        <f t="shared" si="4"/>
        <v>0</v>
      </c>
      <c r="P3489" s="24"/>
      <c r="Q3489" s="24">
        <f t="shared" si="6"/>
        <v>0</v>
      </c>
      <c r="R3489" s="24">
        <f t="shared" si="7"/>
        <v>1</v>
      </c>
      <c r="S3489" s="24"/>
      <c r="T3489" s="24"/>
    </row>
    <row r="3490">
      <c r="A3490" s="12" t="s">
        <v>3577</v>
      </c>
      <c r="F3490" s="19">
        <f>IFERROR(__xludf.DUMMYFUNCTION("SPLIT(A3486, "" |"")"),3484.0)</f>
        <v>3484</v>
      </c>
      <c r="G3490" s="19">
        <f>IFERROR(__xludf.DUMMYFUNCTION("""COMPUTED_VALUE"""),0.00235)</f>
        <v>0.00235</v>
      </c>
      <c r="H3490" s="19" t="str">
        <f>IFERROR(__xludf.DUMMYFUNCTION("""COMPUTED_VALUE"""),"-")</f>
        <v>-</v>
      </c>
      <c r="I3490" s="19">
        <f>IFERROR(__xludf.DUMMYFUNCTION("""COMPUTED_VALUE"""),0.00221)</f>
        <v>0.00221</v>
      </c>
      <c r="J3490" s="19">
        <f>IFERROR(__xludf.DUMMYFUNCTION("""COMPUTED_VALUE"""),0.04747)</f>
        <v>0.04747</v>
      </c>
      <c r="K3490" s="19" t="str">
        <f>IFERROR(__xludf.DUMMYFUNCTION("""COMPUTED_VALUE"""),"-")</f>
        <v>-</v>
      </c>
      <c r="L3490" s="19" t="str">
        <f>IFERROR(__xludf.DUMMYFUNCTION("""COMPUTED_VALUE"""),"-")</f>
        <v>-</v>
      </c>
      <c r="O3490" s="24">
        <f t="shared" si="4"/>
        <v>0</v>
      </c>
      <c r="P3490" s="24"/>
      <c r="Q3490" s="24">
        <f t="shared" si="6"/>
        <v>0</v>
      </c>
      <c r="R3490" s="24">
        <f t="shared" si="7"/>
        <v>0</v>
      </c>
      <c r="S3490" s="24"/>
      <c r="T3490" s="24"/>
    </row>
    <row r="3491">
      <c r="A3491" s="12" t="s">
        <v>3578</v>
      </c>
      <c r="F3491" s="19">
        <f>IFERROR(__xludf.DUMMYFUNCTION("SPLIT(A3487, "" |"")"),3485.0)</f>
        <v>3485</v>
      </c>
      <c r="G3491" s="19">
        <f>IFERROR(__xludf.DUMMYFUNCTION("""COMPUTED_VALUE"""),0.00234)</f>
        <v>0.00234</v>
      </c>
      <c r="H3491" s="19" t="str">
        <f>IFERROR(__xludf.DUMMYFUNCTION("""COMPUTED_VALUE"""),"-")</f>
        <v>-</v>
      </c>
      <c r="I3491" s="19">
        <f>IFERROR(__xludf.DUMMYFUNCTION("""COMPUTED_VALUE"""),0.00222)</f>
        <v>0.00222</v>
      </c>
      <c r="J3491" s="19">
        <f>IFERROR(__xludf.DUMMYFUNCTION("""COMPUTED_VALUE"""),0.04751)</f>
        <v>0.04751</v>
      </c>
      <c r="K3491" s="19" t="str">
        <f>IFERROR(__xludf.DUMMYFUNCTION("""COMPUTED_VALUE"""),"-")</f>
        <v>-</v>
      </c>
      <c r="L3491" s="19" t="str">
        <f>IFERROR(__xludf.DUMMYFUNCTION("""COMPUTED_VALUE"""),"-")</f>
        <v>-</v>
      </c>
      <c r="O3491" s="24">
        <f t="shared" si="4"/>
        <v>0</v>
      </c>
      <c r="P3491" s="24"/>
      <c r="Q3491" s="24">
        <f t="shared" si="6"/>
        <v>0</v>
      </c>
      <c r="R3491" s="24">
        <f t="shared" si="7"/>
        <v>0</v>
      </c>
      <c r="S3491" s="24"/>
      <c r="T3491" s="24"/>
    </row>
    <row r="3492">
      <c r="A3492" s="12" t="s">
        <v>3579</v>
      </c>
      <c r="F3492" s="19">
        <f>IFERROR(__xludf.DUMMYFUNCTION("SPLIT(A3488, "" |"")"),3486.0)</f>
        <v>3486</v>
      </c>
      <c r="G3492" s="19">
        <f>IFERROR(__xludf.DUMMYFUNCTION("""COMPUTED_VALUE"""),0.00238)</f>
        <v>0.00238</v>
      </c>
      <c r="H3492" s="19" t="str">
        <f>IFERROR(__xludf.DUMMYFUNCTION("""COMPUTED_VALUE"""),"-")</f>
        <v>-</v>
      </c>
      <c r="I3492" s="19">
        <f>IFERROR(__xludf.DUMMYFUNCTION("""COMPUTED_VALUE"""),0.00219)</f>
        <v>0.00219</v>
      </c>
      <c r="J3492" s="19">
        <f>IFERROR(__xludf.DUMMYFUNCTION("""COMPUTED_VALUE"""),0.04748)</f>
        <v>0.04748</v>
      </c>
      <c r="K3492" s="19" t="str">
        <f>IFERROR(__xludf.DUMMYFUNCTION("""COMPUTED_VALUE"""),"-")</f>
        <v>-</v>
      </c>
      <c r="L3492" s="19" t="str">
        <f>IFERROR(__xludf.DUMMYFUNCTION("""COMPUTED_VALUE"""),"-")</f>
        <v>-</v>
      </c>
      <c r="O3492" s="24">
        <f t="shared" si="4"/>
        <v>0</v>
      </c>
      <c r="P3492" s="24"/>
      <c r="Q3492" s="24">
        <f t="shared" si="6"/>
        <v>0</v>
      </c>
      <c r="R3492" s="24">
        <f t="shared" si="7"/>
        <v>0</v>
      </c>
      <c r="S3492" s="24"/>
      <c r="T3492" s="24"/>
    </row>
    <row r="3493">
      <c r="A3493" s="12" t="s">
        <v>3580</v>
      </c>
      <c r="F3493" s="19">
        <f>IFERROR(__xludf.DUMMYFUNCTION("SPLIT(A3489, "" |"")"),3487.0)</f>
        <v>3487</v>
      </c>
      <c r="G3493" s="19">
        <f>IFERROR(__xludf.DUMMYFUNCTION("""COMPUTED_VALUE"""),0.00237)</f>
        <v>0.00237</v>
      </c>
      <c r="H3493" s="19" t="str">
        <f>IFERROR(__xludf.DUMMYFUNCTION("""COMPUTED_VALUE"""),"-")</f>
        <v>-</v>
      </c>
      <c r="I3493" s="19">
        <f>IFERROR(__xludf.DUMMYFUNCTION("""COMPUTED_VALUE"""),0.00222)</f>
        <v>0.00222</v>
      </c>
      <c r="J3493" s="19">
        <f>IFERROR(__xludf.DUMMYFUNCTION("""COMPUTED_VALUE"""),0.04553)</f>
        <v>0.04553</v>
      </c>
      <c r="K3493" s="19" t="str">
        <f>IFERROR(__xludf.DUMMYFUNCTION("""COMPUTED_VALUE"""),"-")</f>
        <v>-</v>
      </c>
      <c r="L3493" s="19" t="str">
        <f>IFERROR(__xludf.DUMMYFUNCTION("""COMPUTED_VALUE"""),"-")</f>
        <v>-</v>
      </c>
      <c r="O3493" s="24">
        <f t="shared" si="4"/>
        <v>0</v>
      </c>
      <c r="P3493" s="24"/>
      <c r="Q3493" s="24">
        <f t="shared" si="6"/>
        <v>0</v>
      </c>
      <c r="R3493" s="24">
        <f t="shared" si="7"/>
        <v>0</v>
      </c>
      <c r="S3493" s="24"/>
      <c r="T3493" s="24"/>
    </row>
    <row r="3494">
      <c r="A3494" s="12" t="s">
        <v>3581</v>
      </c>
      <c r="F3494" s="19">
        <f>IFERROR(__xludf.DUMMYFUNCTION("SPLIT(A3490, "" |"")"),3488.0)</f>
        <v>3488</v>
      </c>
      <c r="G3494" s="19">
        <f>IFERROR(__xludf.DUMMYFUNCTION("""COMPUTED_VALUE"""),0.00229)</f>
        <v>0.00229</v>
      </c>
      <c r="H3494" s="19" t="str">
        <f>IFERROR(__xludf.DUMMYFUNCTION("""COMPUTED_VALUE"""),"-")</f>
        <v>-</v>
      </c>
      <c r="I3494" s="19">
        <f>IFERROR(__xludf.DUMMYFUNCTION("""COMPUTED_VALUE"""),0.00219)</f>
        <v>0.00219</v>
      </c>
      <c r="J3494" s="19">
        <f>IFERROR(__xludf.DUMMYFUNCTION("""COMPUTED_VALUE"""),0.04742)</f>
        <v>0.04742</v>
      </c>
      <c r="K3494" s="19" t="str">
        <f>IFERROR(__xludf.DUMMYFUNCTION("""COMPUTED_VALUE"""),"-")</f>
        <v>-</v>
      </c>
      <c r="L3494" s="19" t="str">
        <f>IFERROR(__xludf.DUMMYFUNCTION("""COMPUTED_VALUE"""),"-")</f>
        <v>-</v>
      </c>
      <c r="O3494" s="24">
        <f t="shared" si="4"/>
        <v>0</v>
      </c>
      <c r="P3494" s="24"/>
      <c r="Q3494" s="24">
        <f t="shared" si="6"/>
        <v>0</v>
      </c>
      <c r="R3494" s="24">
        <f t="shared" si="7"/>
        <v>0</v>
      </c>
      <c r="S3494" s="24"/>
      <c r="T3494" s="24"/>
    </row>
    <row r="3495">
      <c r="A3495" s="12" t="s">
        <v>3582</v>
      </c>
      <c r="F3495" s="19">
        <f>IFERROR(__xludf.DUMMYFUNCTION("SPLIT(A3491, "" |"")"),3489.0)</f>
        <v>3489</v>
      </c>
      <c r="G3495" s="19">
        <f>IFERROR(__xludf.DUMMYFUNCTION("""COMPUTED_VALUE"""),0.00225)</f>
        <v>0.00225</v>
      </c>
      <c r="H3495" s="19" t="str">
        <f>IFERROR(__xludf.DUMMYFUNCTION("""COMPUTED_VALUE"""),"-")</f>
        <v>-</v>
      </c>
      <c r="I3495" s="19">
        <f>IFERROR(__xludf.DUMMYFUNCTION("""COMPUTED_VALUE"""),0.00225)</f>
        <v>0.00225</v>
      </c>
      <c r="J3495" s="19">
        <f>IFERROR(__xludf.DUMMYFUNCTION("""COMPUTED_VALUE"""),0.04752)</f>
        <v>0.04752</v>
      </c>
      <c r="K3495" s="19" t="str">
        <f>IFERROR(__xludf.DUMMYFUNCTION("""COMPUTED_VALUE"""),"-")</f>
        <v>-</v>
      </c>
      <c r="L3495" s="19" t="str">
        <f>IFERROR(__xludf.DUMMYFUNCTION("""COMPUTED_VALUE"""),"-")</f>
        <v>-</v>
      </c>
      <c r="O3495" s="24">
        <f t="shared" si="4"/>
        <v>0</v>
      </c>
      <c r="P3495" s="24"/>
      <c r="Q3495" s="24">
        <f t="shared" si="6"/>
        <v>0</v>
      </c>
      <c r="R3495" s="24">
        <f t="shared" si="7"/>
        <v>0</v>
      </c>
      <c r="S3495" s="24"/>
      <c r="T3495" s="24"/>
    </row>
    <row r="3496">
      <c r="A3496" s="12" t="s">
        <v>3583</v>
      </c>
      <c r="F3496" s="19">
        <f>IFERROR(__xludf.DUMMYFUNCTION("SPLIT(A3492, "" |"")"),3490.0)</f>
        <v>3490</v>
      </c>
      <c r="G3496" s="19">
        <f>IFERROR(__xludf.DUMMYFUNCTION("""COMPUTED_VALUE"""),0.00234)</f>
        <v>0.00234</v>
      </c>
      <c r="H3496" s="19" t="str">
        <f>IFERROR(__xludf.DUMMYFUNCTION("""COMPUTED_VALUE"""),"-")</f>
        <v>-</v>
      </c>
      <c r="I3496" s="19">
        <f>IFERROR(__xludf.DUMMYFUNCTION("""COMPUTED_VALUE"""),0.00222)</f>
        <v>0.00222</v>
      </c>
      <c r="J3496" s="19">
        <f>IFERROR(__xludf.DUMMYFUNCTION("""COMPUTED_VALUE"""),0.04741)</f>
        <v>0.04741</v>
      </c>
      <c r="K3496" s="19" t="str">
        <f>IFERROR(__xludf.DUMMYFUNCTION("""COMPUTED_VALUE"""),"-")</f>
        <v>-</v>
      </c>
      <c r="L3496" s="19" t="str">
        <f>IFERROR(__xludf.DUMMYFUNCTION("""COMPUTED_VALUE"""),"-")</f>
        <v>-</v>
      </c>
      <c r="O3496" s="24">
        <f t="shared" si="4"/>
        <v>0</v>
      </c>
      <c r="P3496" s="24"/>
      <c r="Q3496" s="24">
        <f t="shared" si="6"/>
        <v>0</v>
      </c>
      <c r="R3496" s="24">
        <f t="shared" si="7"/>
        <v>0</v>
      </c>
      <c r="S3496" s="24"/>
      <c r="T3496" s="24"/>
    </row>
    <row r="3497">
      <c r="A3497" s="12" t="s">
        <v>3584</v>
      </c>
      <c r="F3497" s="19">
        <f>IFERROR(__xludf.DUMMYFUNCTION("SPLIT(A3493, "" |"")"),3491.0)</f>
        <v>3491</v>
      </c>
      <c r="G3497" s="19">
        <f>IFERROR(__xludf.DUMMYFUNCTION("""COMPUTED_VALUE"""),0.00245)</f>
        <v>0.00245</v>
      </c>
      <c r="H3497" s="19" t="str">
        <f>IFERROR(__xludf.DUMMYFUNCTION("""COMPUTED_VALUE"""),"-")</f>
        <v>-</v>
      </c>
      <c r="I3497" s="19">
        <f>IFERROR(__xludf.DUMMYFUNCTION("""COMPUTED_VALUE"""),0.00223)</f>
        <v>0.00223</v>
      </c>
      <c r="J3497" s="19">
        <f>IFERROR(__xludf.DUMMYFUNCTION("""COMPUTED_VALUE"""),0.04557)</f>
        <v>0.04557</v>
      </c>
      <c r="K3497" s="19" t="str">
        <f>IFERROR(__xludf.DUMMYFUNCTION("""COMPUTED_VALUE"""),"-")</f>
        <v>-</v>
      </c>
      <c r="L3497" s="19" t="str">
        <f>IFERROR(__xludf.DUMMYFUNCTION("""COMPUTED_VALUE"""),"-")</f>
        <v>-</v>
      </c>
      <c r="O3497" s="24">
        <f t="shared" si="4"/>
        <v>0</v>
      </c>
      <c r="P3497" s="24"/>
      <c r="Q3497" s="24">
        <f t="shared" si="6"/>
        <v>0</v>
      </c>
      <c r="R3497" s="24">
        <f t="shared" si="7"/>
        <v>0</v>
      </c>
      <c r="S3497" s="24"/>
      <c r="T3497" s="24"/>
    </row>
    <row r="3498">
      <c r="A3498" s="12" t="s">
        <v>3585</v>
      </c>
      <c r="F3498" s="19">
        <f>IFERROR(__xludf.DUMMYFUNCTION("SPLIT(A3494, "" |"")"),3492.0)</f>
        <v>3492</v>
      </c>
      <c r="G3498" s="19">
        <f>IFERROR(__xludf.DUMMYFUNCTION("""COMPUTED_VALUE"""),0.00236)</f>
        <v>0.00236</v>
      </c>
      <c r="H3498" s="19" t="str">
        <f>IFERROR(__xludf.DUMMYFUNCTION("""COMPUTED_VALUE"""),"-")</f>
        <v>-</v>
      </c>
      <c r="I3498" s="19">
        <f>IFERROR(__xludf.DUMMYFUNCTION("""COMPUTED_VALUE"""),0.00226)</f>
        <v>0.00226</v>
      </c>
      <c r="J3498" s="19">
        <f>IFERROR(__xludf.DUMMYFUNCTION("""COMPUTED_VALUE"""),0.04579)</f>
        <v>0.04579</v>
      </c>
      <c r="K3498" s="19" t="str">
        <f>IFERROR(__xludf.DUMMYFUNCTION("""COMPUTED_VALUE"""),"-")</f>
        <v>-</v>
      </c>
      <c r="L3498" s="19" t="str">
        <f>IFERROR(__xludf.DUMMYFUNCTION("""COMPUTED_VALUE"""),"-")</f>
        <v>-</v>
      </c>
      <c r="O3498" s="24">
        <f t="shared" si="4"/>
        <v>0</v>
      </c>
      <c r="P3498" s="24"/>
      <c r="Q3498" s="24">
        <f t="shared" si="6"/>
        <v>0</v>
      </c>
      <c r="R3498" s="24">
        <f t="shared" si="7"/>
        <v>0</v>
      </c>
      <c r="S3498" s="24"/>
      <c r="T3498" s="24"/>
    </row>
    <row r="3499">
      <c r="A3499" s="12" t="s">
        <v>3586</v>
      </c>
      <c r="F3499" s="19">
        <f>IFERROR(__xludf.DUMMYFUNCTION("SPLIT(A3495, "" |"")"),3493.0)</f>
        <v>3493</v>
      </c>
      <c r="G3499" s="19">
        <f>IFERROR(__xludf.DUMMYFUNCTION("""COMPUTED_VALUE"""),0.00243)</f>
        <v>0.00243</v>
      </c>
      <c r="H3499" s="19" t="str">
        <f>IFERROR(__xludf.DUMMYFUNCTION("""COMPUTED_VALUE"""),"-")</f>
        <v>-</v>
      </c>
      <c r="I3499" s="19">
        <f>IFERROR(__xludf.DUMMYFUNCTION("""COMPUTED_VALUE"""),0.00223)</f>
        <v>0.00223</v>
      </c>
      <c r="J3499" s="19">
        <f>IFERROR(__xludf.DUMMYFUNCTION("""COMPUTED_VALUE"""),0.04335)</f>
        <v>0.04335</v>
      </c>
      <c r="K3499" s="19" t="str">
        <f>IFERROR(__xludf.DUMMYFUNCTION("""COMPUTED_VALUE"""),"-")</f>
        <v>-</v>
      </c>
      <c r="L3499" s="19" t="str">
        <f>IFERROR(__xludf.DUMMYFUNCTION("""COMPUTED_VALUE"""),"-")</f>
        <v>-</v>
      </c>
      <c r="O3499" s="24">
        <f t="shared" si="4"/>
        <v>0</v>
      </c>
      <c r="P3499" s="24"/>
      <c r="Q3499" s="24">
        <f t="shared" si="6"/>
        <v>0</v>
      </c>
      <c r="R3499" s="24">
        <f t="shared" si="7"/>
        <v>1</v>
      </c>
      <c r="S3499" s="24"/>
      <c r="T3499" s="24"/>
    </row>
    <row r="3500">
      <c r="A3500" s="12" t="s">
        <v>3587</v>
      </c>
      <c r="F3500" s="19">
        <f>IFERROR(__xludf.DUMMYFUNCTION("SPLIT(A3496, "" |"")"),3494.0)</f>
        <v>3494</v>
      </c>
      <c r="G3500" s="19">
        <f>IFERROR(__xludf.DUMMYFUNCTION("""COMPUTED_VALUE"""),0.00239)</f>
        <v>0.00239</v>
      </c>
      <c r="H3500" s="19" t="str">
        <f>IFERROR(__xludf.DUMMYFUNCTION("""COMPUTED_VALUE"""),"-")</f>
        <v>-</v>
      </c>
      <c r="I3500" s="19">
        <f>IFERROR(__xludf.DUMMYFUNCTION("""COMPUTED_VALUE"""),0.00212)</f>
        <v>0.00212</v>
      </c>
      <c r="J3500" s="19">
        <f>IFERROR(__xludf.DUMMYFUNCTION("""COMPUTED_VALUE"""),0.04614)</f>
        <v>0.04614</v>
      </c>
      <c r="K3500" s="19" t="str">
        <f>IFERROR(__xludf.DUMMYFUNCTION("""COMPUTED_VALUE"""),"-")</f>
        <v>-</v>
      </c>
      <c r="L3500" s="19" t="str">
        <f>IFERROR(__xludf.DUMMYFUNCTION("""COMPUTED_VALUE"""),"-")</f>
        <v>-</v>
      </c>
      <c r="O3500" s="24">
        <f t="shared" si="4"/>
        <v>0</v>
      </c>
      <c r="P3500" s="24"/>
      <c r="Q3500" s="24">
        <f t="shared" si="6"/>
        <v>0</v>
      </c>
      <c r="R3500" s="24">
        <f t="shared" si="7"/>
        <v>0</v>
      </c>
      <c r="S3500" s="24"/>
      <c r="T3500" s="24"/>
    </row>
    <row r="3501">
      <c r="A3501" s="12" t="s">
        <v>3588</v>
      </c>
      <c r="F3501" s="19">
        <f>IFERROR(__xludf.DUMMYFUNCTION("SPLIT(A3497, "" |"")"),3495.0)</f>
        <v>3495</v>
      </c>
      <c r="G3501" s="19">
        <f>IFERROR(__xludf.DUMMYFUNCTION("""COMPUTED_VALUE"""),0.00225)</f>
        <v>0.00225</v>
      </c>
      <c r="H3501" s="19" t="str">
        <f>IFERROR(__xludf.DUMMYFUNCTION("""COMPUTED_VALUE"""),"-")</f>
        <v>-</v>
      </c>
      <c r="I3501" s="19">
        <f>IFERROR(__xludf.DUMMYFUNCTION("""COMPUTED_VALUE"""),0.00211)</f>
        <v>0.00211</v>
      </c>
      <c r="J3501" s="19">
        <f>IFERROR(__xludf.DUMMYFUNCTION("""COMPUTED_VALUE"""),0.04737)</f>
        <v>0.04737</v>
      </c>
      <c r="K3501" s="19" t="str">
        <f>IFERROR(__xludf.DUMMYFUNCTION("""COMPUTED_VALUE"""),"-")</f>
        <v>-</v>
      </c>
      <c r="L3501" s="19" t="str">
        <f>IFERROR(__xludf.DUMMYFUNCTION("""COMPUTED_VALUE"""),"-")</f>
        <v>-</v>
      </c>
      <c r="O3501" s="24">
        <f t="shared" si="4"/>
        <v>0</v>
      </c>
      <c r="P3501" s="24"/>
      <c r="Q3501" s="24">
        <f t="shared" si="6"/>
        <v>0</v>
      </c>
      <c r="R3501" s="24">
        <f t="shared" si="7"/>
        <v>0</v>
      </c>
      <c r="S3501" s="24"/>
      <c r="T3501" s="24"/>
    </row>
    <row r="3502">
      <c r="A3502" s="12" t="s">
        <v>3589</v>
      </c>
      <c r="F3502" s="19">
        <f>IFERROR(__xludf.DUMMYFUNCTION("SPLIT(A3498, "" |"")"),3496.0)</f>
        <v>3496</v>
      </c>
      <c r="G3502" s="19">
        <f>IFERROR(__xludf.DUMMYFUNCTION("""COMPUTED_VALUE"""),0.00227)</f>
        <v>0.00227</v>
      </c>
      <c r="H3502" s="19" t="str">
        <f>IFERROR(__xludf.DUMMYFUNCTION("""COMPUTED_VALUE"""),"-")</f>
        <v>-</v>
      </c>
      <c r="I3502" s="19">
        <f>IFERROR(__xludf.DUMMYFUNCTION("""COMPUTED_VALUE"""),0.00211)</f>
        <v>0.00211</v>
      </c>
      <c r="J3502" s="19">
        <f>IFERROR(__xludf.DUMMYFUNCTION("""COMPUTED_VALUE"""),0.04257)</f>
        <v>0.04257</v>
      </c>
      <c r="K3502" s="19" t="str">
        <f>IFERROR(__xludf.DUMMYFUNCTION("""COMPUTED_VALUE"""),"-")</f>
        <v>-</v>
      </c>
      <c r="L3502" s="19" t="str">
        <f>IFERROR(__xludf.DUMMYFUNCTION("""COMPUTED_VALUE"""),"-")</f>
        <v>-</v>
      </c>
      <c r="O3502" s="24">
        <f t="shared" si="4"/>
        <v>0</v>
      </c>
      <c r="P3502" s="24"/>
      <c r="Q3502" s="24">
        <f t="shared" si="6"/>
        <v>0</v>
      </c>
      <c r="R3502" s="24">
        <f t="shared" si="7"/>
        <v>1</v>
      </c>
      <c r="S3502" s="24"/>
      <c r="T3502" s="24"/>
    </row>
    <row r="3503">
      <c r="A3503" s="12" t="s">
        <v>3590</v>
      </c>
      <c r="F3503" s="19">
        <f>IFERROR(__xludf.DUMMYFUNCTION("SPLIT(A3499, "" |"")"),3497.0)</f>
        <v>3497</v>
      </c>
      <c r="G3503" s="19">
        <f>IFERROR(__xludf.DUMMYFUNCTION("""COMPUTED_VALUE"""),0.00226)</f>
        <v>0.00226</v>
      </c>
      <c r="H3503" s="19" t="str">
        <f>IFERROR(__xludf.DUMMYFUNCTION("""COMPUTED_VALUE"""),"-")</f>
        <v>-</v>
      </c>
      <c r="I3503" s="19">
        <f>IFERROR(__xludf.DUMMYFUNCTION("""COMPUTED_VALUE"""),0.00222)</f>
        <v>0.00222</v>
      </c>
      <c r="J3503" s="19">
        <f>IFERROR(__xludf.DUMMYFUNCTION("""COMPUTED_VALUE"""),0.0475)</f>
        <v>0.0475</v>
      </c>
      <c r="K3503" s="19" t="str">
        <f>IFERROR(__xludf.DUMMYFUNCTION("""COMPUTED_VALUE"""),"-")</f>
        <v>-</v>
      </c>
      <c r="L3503" s="19" t="str">
        <f>IFERROR(__xludf.DUMMYFUNCTION("""COMPUTED_VALUE"""),"-")</f>
        <v>-</v>
      </c>
      <c r="O3503" s="24">
        <f t="shared" si="4"/>
        <v>0</v>
      </c>
      <c r="P3503" s="24"/>
      <c r="Q3503" s="24">
        <f t="shared" si="6"/>
        <v>0</v>
      </c>
      <c r="R3503" s="24">
        <f t="shared" si="7"/>
        <v>0</v>
      </c>
      <c r="S3503" s="24"/>
      <c r="T3503" s="24"/>
    </row>
    <row r="3504">
      <c r="A3504" s="12" t="s">
        <v>3591</v>
      </c>
      <c r="F3504" s="19">
        <f>IFERROR(__xludf.DUMMYFUNCTION("SPLIT(A3500, "" |"")"),3498.0)</f>
        <v>3498</v>
      </c>
      <c r="G3504" s="19">
        <f>IFERROR(__xludf.DUMMYFUNCTION("""COMPUTED_VALUE"""),0.00231)</f>
        <v>0.00231</v>
      </c>
      <c r="H3504" s="19" t="str">
        <f>IFERROR(__xludf.DUMMYFUNCTION("""COMPUTED_VALUE"""),"-")</f>
        <v>-</v>
      </c>
      <c r="I3504" s="19">
        <f>IFERROR(__xludf.DUMMYFUNCTION("""COMPUTED_VALUE"""),0.00223)</f>
        <v>0.00223</v>
      </c>
      <c r="J3504" s="19">
        <f>IFERROR(__xludf.DUMMYFUNCTION("""COMPUTED_VALUE"""),0.04365)</f>
        <v>0.04365</v>
      </c>
      <c r="K3504" s="19" t="str">
        <f>IFERROR(__xludf.DUMMYFUNCTION("""COMPUTED_VALUE"""),"-")</f>
        <v>-</v>
      </c>
      <c r="L3504" s="19" t="str">
        <f>IFERROR(__xludf.DUMMYFUNCTION("""COMPUTED_VALUE"""),"-")</f>
        <v>-</v>
      </c>
      <c r="O3504" s="24">
        <f t="shared" si="4"/>
        <v>0</v>
      </c>
      <c r="P3504" s="24"/>
      <c r="Q3504" s="24">
        <f t="shared" si="6"/>
        <v>0</v>
      </c>
      <c r="R3504" s="24">
        <f t="shared" si="7"/>
        <v>1</v>
      </c>
      <c r="S3504" s="24"/>
      <c r="T3504" s="24"/>
    </row>
    <row r="3505">
      <c r="A3505" s="12" t="s">
        <v>3592</v>
      </c>
      <c r="F3505" s="19">
        <f>IFERROR(__xludf.DUMMYFUNCTION("SPLIT(A3501, "" |"")"),3499.0)</f>
        <v>3499</v>
      </c>
      <c r="G3505" s="19">
        <f>IFERROR(__xludf.DUMMYFUNCTION("""COMPUTED_VALUE"""),0.00224)</f>
        <v>0.00224</v>
      </c>
      <c r="H3505" s="19" t="str">
        <f>IFERROR(__xludf.DUMMYFUNCTION("""COMPUTED_VALUE"""),"-")</f>
        <v>-</v>
      </c>
      <c r="I3505" s="19">
        <f>IFERROR(__xludf.DUMMYFUNCTION("""COMPUTED_VALUE"""),0.00225)</f>
        <v>0.00225</v>
      </c>
      <c r="J3505" s="19">
        <f>IFERROR(__xludf.DUMMYFUNCTION("""COMPUTED_VALUE"""),0.04753)</f>
        <v>0.04753</v>
      </c>
      <c r="K3505" s="19" t="str">
        <f>IFERROR(__xludf.DUMMYFUNCTION("""COMPUTED_VALUE"""),"-")</f>
        <v>-</v>
      </c>
      <c r="L3505" s="19" t="str">
        <f>IFERROR(__xludf.DUMMYFUNCTION("""COMPUTED_VALUE"""),"-")</f>
        <v>-</v>
      </c>
      <c r="O3505" s="24">
        <f t="shared" si="4"/>
        <v>0</v>
      </c>
      <c r="P3505" s="24"/>
      <c r="Q3505" s="24">
        <f t="shared" si="6"/>
        <v>0</v>
      </c>
      <c r="R3505" s="24">
        <f t="shared" si="7"/>
        <v>0</v>
      </c>
      <c r="S3505" s="24"/>
      <c r="T3505" s="24"/>
    </row>
    <row r="3506">
      <c r="A3506" s="12" t="s">
        <v>3593</v>
      </c>
      <c r="F3506" s="19">
        <f>IFERROR(__xludf.DUMMYFUNCTION("SPLIT(A3502, "" |"")"),3500.0)</f>
        <v>3500</v>
      </c>
      <c r="G3506" s="19">
        <f>IFERROR(__xludf.DUMMYFUNCTION("""COMPUTED_VALUE"""),0.00239)</f>
        <v>0.00239</v>
      </c>
      <c r="H3506" s="19" t="str">
        <f>IFERROR(__xludf.DUMMYFUNCTION("""COMPUTED_VALUE"""),"-")</f>
        <v>-</v>
      </c>
      <c r="I3506" s="19">
        <f>IFERROR(__xludf.DUMMYFUNCTION("""COMPUTED_VALUE"""),0.00219)</f>
        <v>0.00219</v>
      </c>
      <c r="J3506" s="19">
        <f>IFERROR(__xludf.DUMMYFUNCTION("""COMPUTED_VALUE"""),0.04749)</f>
        <v>0.04749</v>
      </c>
      <c r="K3506" s="19" t="str">
        <f>IFERROR(__xludf.DUMMYFUNCTION("""COMPUTED_VALUE"""),"-")</f>
        <v>-</v>
      </c>
      <c r="L3506" s="19" t="str">
        <f>IFERROR(__xludf.DUMMYFUNCTION("""COMPUTED_VALUE"""),"-")</f>
        <v>-</v>
      </c>
      <c r="O3506" s="24">
        <f t="shared" si="4"/>
        <v>0</v>
      </c>
      <c r="P3506" s="24"/>
      <c r="Q3506" s="24">
        <f t="shared" si="6"/>
        <v>0</v>
      </c>
      <c r="R3506" s="24">
        <f t="shared" si="7"/>
        <v>0</v>
      </c>
      <c r="S3506" s="24"/>
      <c r="T3506" s="24"/>
    </row>
    <row r="3507">
      <c r="A3507" s="12" t="s">
        <v>3594</v>
      </c>
      <c r="F3507" s="19">
        <f>IFERROR(__xludf.DUMMYFUNCTION("SPLIT(A3503, "" |"")"),3501.0)</f>
        <v>3501</v>
      </c>
      <c r="G3507" s="19">
        <f>IFERROR(__xludf.DUMMYFUNCTION("""COMPUTED_VALUE"""),0.00233)</f>
        <v>0.00233</v>
      </c>
      <c r="H3507" s="19" t="str">
        <f>IFERROR(__xludf.DUMMYFUNCTION("""COMPUTED_VALUE"""),"-")</f>
        <v>-</v>
      </c>
      <c r="I3507" s="19">
        <f>IFERROR(__xludf.DUMMYFUNCTION("""COMPUTED_VALUE"""),0.0022)</f>
        <v>0.0022</v>
      </c>
      <c r="J3507" s="19">
        <f>IFERROR(__xludf.DUMMYFUNCTION("""COMPUTED_VALUE"""),0.04745)</f>
        <v>0.04745</v>
      </c>
      <c r="K3507" s="19" t="str">
        <f>IFERROR(__xludf.DUMMYFUNCTION("""COMPUTED_VALUE"""),"-")</f>
        <v>-</v>
      </c>
      <c r="L3507" s="19" t="str">
        <f>IFERROR(__xludf.DUMMYFUNCTION("""COMPUTED_VALUE"""),"-")</f>
        <v>-</v>
      </c>
      <c r="O3507" s="24">
        <f t="shared" si="4"/>
        <v>0</v>
      </c>
      <c r="P3507" s="24"/>
      <c r="Q3507" s="24">
        <f t="shared" si="6"/>
        <v>0</v>
      </c>
      <c r="R3507" s="24">
        <f t="shared" si="7"/>
        <v>0</v>
      </c>
      <c r="S3507" s="24"/>
      <c r="T3507" s="24"/>
    </row>
    <row r="3508">
      <c r="A3508" s="12" t="s">
        <v>3595</v>
      </c>
      <c r="F3508" s="19">
        <f>IFERROR(__xludf.DUMMYFUNCTION("SPLIT(A3504, "" |"")"),3502.0)</f>
        <v>3502</v>
      </c>
      <c r="G3508" s="19">
        <f>IFERROR(__xludf.DUMMYFUNCTION("""COMPUTED_VALUE"""),0.0023)</f>
        <v>0.0023</v>
      </c>
      <c r="H3508" s="19" t="str">
        <f>IFERROR(__xludf.DUMMYFUNCTION("""COMPUTED_VALUE"""),"-")</f>
        <v>-</v>
      </c>
      <c r="I3508" s="19">
        <f>IFERROR(__xludf.DUMMYFUNCTION("""COMPUTED_VALUE"""),0.00207)</f>
        <v>0.00207</v>
      </c>
      <c r="J3508" s="19">
        <f>IFERROR(__xludf.DUMMYFUNCTION("""COMPUTED_VALUE"""),0.04734)</f>
        <v>0.04734</v>
      </c>
      <c r="K3508" s="19" t="str">
        <f>IFERROR(__xludf.DUMMYFUNCTION("""COMPUTED_VALUE"""),"-")</f>
        <v>-</v>
      </c>
      <c r="L3508" s="19" t="str">
        <f>IFERROR(__xludf.DUMMYFUNCTION("""COMPUTED_VALUE"""),"-")</f>
        <v>-</v>
      </c>
      <c r="O3508" s="24">
        <f t="shared" si="4"/>
        <v>0</v>
      </c>
      <c r="P3508" s="24"/>
      <c r="Q3508" s="24">
        <f t="shared" si="6"/>
        <v>0</v>
      </c>
      <c r="R3508" s="24">
        <f t="shared" si="7"/>
        <v>0</v>
      </c>
      <c r="S3508" s="24"/>
      <c r="T3508" s="24"/>
    </row>
    <row r="3509">
      <c r="A3509" s="12" t="s">
        <v>3596</v>
      </c>
      <c r="F3509" s="19">
        <f>IFERROR(__xludf.DUMMYFUNCTION("SPLIT(A3505, "" |"")"),3503.0)</f>
        <v>3503</v>
      </c>
      <c r="G3509" s="19">
        <f>IFERROR(__xludf.DUMMYFUNCTION("""COMPUTED_VALUE"""),0.00234)</f>
        <v>0.00234</v>
      </c>
      <c r="H3509" s="19" t="str">
        <f>IFERROR(__xludf.DUMMYFUNCTION("""COMPUTED_VALUE"""),"-")</f>
        <v>-</v>
      </c>
      <c r="I3509" s="19">
        <f>IFERROR(__xludf.DUMMYFUNCTION("""COMPUTED_VALUE"""),0.0022)</f>
        <v>0.0022</v>
      </c>
      <c r="J3509" s="19">
        <f>IFERROR(__xludf.DUMMYFUNCTION("""COMPUTED_VALUE"""),0.04742)</f>
        <v>0.04742</v>
      </c>
      <c r="K3509" s="19" t="str">
        <f>IFERROR(__xludf.DUMMYFUNCTION("""COMPUTED_VALUE"""),"-")</f>
        <v>-</v>
      </c>
      <c r="L3509" s="19" t="str">
        <f>IFERROR(__xludf.DUMMYFUNCTION("""COMPUTED_VALUE"""),"-")</f>
        <v>-</v>
      </c>
      <c r="O3509" s="24">
        <f t="shared" si="4"/>
        <v>0</v>
      </c>
      <c r="P3509" s="24"/>
      <c r="Q3509" s="24">
        <f t="shared" si="6"/>
        <v>0</v>
      </c>
      <c r="R3509" s="24">
        <f t="shared" si="7"/>
        <v>0</v>
      </c>
      <c r="S3509" s="24"/>
      <c r="T3509" s="24"/>
    </row>
    <row r="3510">
      <c r="A3510" s="12" t="s">
        <v>3597</v>
      </c>
      <c r="F3510" s="19">
        <f>IFERROR(__xludf.DUMMYFUNCTION("SPLIT(A3506, "" |"")"),3504.0)</f>
        <v>3504</v>
      </c>
      <c r="G3510" s="19">
        <f>IFERROR(__xludf.DUMMYFUNCTION("""COMPUTED_VALUE"""),0.00231)</f>
        <v>0.00231</v>
      </c>
      <c r="H3510" s="19" t="str">
        <f>IFERROR(__xludf.DUMMYFUNCTION("""COMPUTED_VALUE"""),"-")</f>
        <v>-</v>
      </c>
      <c r="I3510" s="19">
        <f>IFERROR(__xludf.DUMMYFUNCTION("""COMPUTED_VALUE"""),0.0022)</f>
        <v>0.0022</v>
      </c>
      <c r="J3510" s="19">
        <f>IFERROR(__xludf.DUMMYFUNCTION("""COMPUTED_VALUE"""),0.04747)</f>
        <v>0.04747</v>
      </c>
      <c r="K3510" s="19" t="str">
        <f>IFERROR(__xludf.DUMMYFUNCTION("""COMPUTED_VALUE"""),"-")</f>
        <v>-</v>
      </c>
      <c r="L3510" s="19" t="str">
        <f>IFERROR(__xludf.DUMMYFUNCTION("""COMPUTED_VALUE"""),"-")</f>
        <v>-</v>
      </c>
      <c r="O3510" s="24">
        <f t="shared" si="4"/>
        <v>0</v>
      </c>
      <c r="P3510" s="24"/>
      <c r="Q3510" s="24">
        <f t="shared" si="6"/>
        <v>0</v>
      </c>
      <c r="R3510" s="24">
        <f t="shared" si="7"/>
        <v>0</v>
      </c>
      <c r="S3510" s="24"/>
      <c r="T3510" s="24"/>
    </row>
    <row r="3511">
      <c r="A3511" s="12" t="s">
        <v>3598</v>
      </c>
      <c r="F3511" s="19">
        <f>IFERROR(__xludf.DUMMYFUNCTION("SPLIT(A3507, "" |"")"),3505.0)</f>
        <v>3505</v>
      </c>
      <c r="G3511" s="19">
        <f>IFERROR(__xludf.DUMMYFUNCTION("""COMPUTED_VALUE"""),0.00225)</f>
        <v>0.00225</v>
      </c>
      <c r="H3511" s="19" t="str">
        <f>IFERROR(__xludf.DUMMYFUNCTION("""COMPUTED_VALUE"""),"-")</f>
        <v>-</v>
      </c>
      <c r="I3511" s="19">
        <f>IFERROR(__xludf.DUMMYFUNCTION("""COMPUTED_VALUE"""),0.0021)</f>
        <v>0.0021</v>
      </c>
      <c r="J3511" s="19">
        <f>IFERROR(__xludf.DUMMYFUNCTION("""COMPUTED_VALUE"""),0.04767)</f>
        <v>0.04767</v>
      </c>
      <c r="K3511" s="19" t="str">
        <f>IFERROR(__xludf.DUMMYFUNCTION("""COMPUTED_VALUE"""),"-")</f>
        <v>-</v>
      </c>
      <c r="L3511" s="19" t="str">
        <f>IFERROR(__xludf.DUMMYFUNCTION("""COMPUTED_VALUE"""),"-")</f>
        <v>-</v>
      </c>
      <c r="O3511" s="24">
        <f t="shared" si="4"/>
        <v>0</v>
      </c>
      <c r="P3511" s="24"/>
      <c r="Q3511" s="24">
        <f t="shared" si="6"/>
        <v>0</v>
      </c>
      <c r="R3511" s="24">
        <f t="shared" si="7"/>
        <v>0</v>
      </c>
      <c r="S3511" s="24"/>
      <c r="T3511" s="24"/>
    </row>
    <row r="3512">
      <c r="A3512" s="12" t="s">
        <v>3599</v>
      </c>
      <c r="F3512" s="19">
        <f>IFERROR(__xludf.DUMMYFUNCTION("SPLIT(A3508, "" |"")"),3506.0)</f>
        <v>3506</v>
      </c>
      <c r="G3512" s="19">
        <f>IFERROR(__xludf.DUMMYFUNCTION("""COMPUTED_VALUE"""),0.0024)</f>
        <v>0.0024</v>
      </c>
      <c r="H3512" s="19" t="str">
        <f>IFERROR(__xludf.DUMMYFUNCTION("""COMPUTED_VALUE"""),"-")</f>
        <v>-</v>
      </c>
      <c r="I3512" s="19">
        <f>IFERROR(__xludf.DUMMYFUNCTION("""COMPUTED_VALUE"""),0.00224)</f>
        <v>0.00224</v>
      </c>
      <c r="J3512" s="19">
        <f>IFERROR(__xludf.DUMMYFUNCTION("""COMPUTED_VALUE"""),0.04754)</f>
        <v>0.04754</v>
      </c>
      <c r="K3512" s="19" t="str">
        <f>IFERROR(__xludf.DUMMYFUNCTION("""COMPUTED_VALUE"""),"-")</f>
        <v>-</v>
      </c>
      <c r="L3512" s="19" t="str">
        <f>IFERROR(__xludf.DUMMYFUNCTION("""COMPUTED_VALUE"""),"-")</f>
        <v>-</v>
      </c>
      <c r="O3512" s="24">
        <f t="shared" si="4"/>
        <v>0</v>
      </c>
      <c r="P3512" s="24"/>
      <c r="Q3512" s="24">
        <f t="shared" si="6"/>
        <v>0</v>
      </c>
      <c r="R3512" s="24">
        <f t="shared" si="7"/>
        <v>0</v>
      </c>
      <c r="S3512" s="24"/>
      <c r="T3512" s="24"/>
    </row>
    <row r="3513">
      <c r="A3513" s="12" t="s">
        <v>3600</v>
      </c>
      <c r="F3513" s="19">
        <f>IFERROR(__xludf.DUMMYFUNCTION("SPLIT(A3509, "" |"")"),3507.0)</f>
        <v>3507</v>
      </c>
      <c r="G3513" s="19">
        <f>IFERROR(__xludf.DUMMYFUNCTION("""COMPUTED_VALUE"""),0.0024)</f>
        <v>0.0024</v>
      </c>
      <c r="H3513" s="19" t="str">
        <f>IFERROR(__xludf.DUMMYFUNCTION("""COMPUTED_VALUE"""),"-")</f>
        <v>-</v>
      </c>
      <c r="I3513" s="19">
        <f>IFERROR(__xludf.DUMMYFUNCTION("""COMPUTED_VALUE"""),0.00225)</f>
        <v>0.00225</v>
      </c>
      <c r="J3513" s="19">
        <f>IFERROR(__xludf.DUMMYFUNCTION("""COMPUTED_VALUE"""),0.04056)</f>
        <v>0.04056</v>
      </c>
      <c r="K3513" s="19" t="str">
        <f>IFERROR(__xludf.DUMMYFUNCTION("""COMPUTED_VALUE"""),"-")</f>
        <v>-</v>
      </c>
      <c r="L3513" s="19" t="str">
        <f>IFERROR(__xludf.DUMMYFUNCTION("""COMPUTED_VALUE"""),"-")</f>
        <v>-</v>
      </c>
      <c r="O3513" s="24">
        <f t="shared" si="4"/>
        <v>0</v>
      </c>
      <c r="P3513" s="24"/>
      <c r="Q3513" s="24">
        <f t="shared" si="6"/>
        <v>0</v>
      </c>
      <c r="R3513" s="24">
        <f t="shared" si="7"/>
        <v>1</v>
      </c>
      <c r="S3513" s="24"/>
      <c r="T3513" s="24"/>
    </row>
    <row r="3514">
      <c r="A3514" s="12" t="s">
        <v>3601</v>
      </c>
      <c r="F3514" s="19">
        <f>IFERROR(__xludf.DUMMYFUNCTION("SPLIT(A3510, "" |"")"),3508.0)</f>
        <v>3508</v>
      </c>
      <c r="G3514" s="19">
        <f>IFERROR(__xludf.DUMMYFUNCTION("""COMPUTED_VALUE"""),0.00228)</f>
        <v>0.00228</v>
      </c>
      <c r="H3514" s="19" t="str">
        <f>IFERROR(__xludf.DUMMYFUNCTION("""COMPUTED_VALUE"""),"-")</f>
        <v>-</v>
      </c>
      <c r="I3514" s="19">
        <f>IFERROR(__xludf.DUMMYFUNCTION("""COMPUTED_VALUE"""),0.00219)</f>
        <v>0.00219</v>
      </c>
      <c r="J3514" s="19">
        <f>IFERROR(__xludf.DUMMYFUNCTION("""COMPUTED_VALUE"""),0.04739)</f>
        <v>0.04739</v>
      </c>
      <c r="K3514" s="19" t="str">
        <f>IFERROR(__xludf.DUMMYFUNCTION("""COMPUTED_VALUE"""),"-")</f>
        <v>-</v>
      </c>
      <c r="L3514" s="19" t="str">
        <f>IFERROR(__xludf.DUMMYFUNCTION("""COMPUTED_VALUE"""),"-")</f>
        <v>-</v>
      </c>
      <c r="O3514" s="24">
        <f t="shared" si="4"/>
        <v>0</v>
      </c>
      <c r="P3514" s="24"/>
      <c r="Q3514" s="24">
        <f t="shared" si="6"/>
        <v>0</v>
      </c>
      <c r="R3514" s="24">
        <f t="shared" si="7"/>
        <v>0</v>
      </c>
      <c r="S3514" s="24"/>
      <c r="T3514" s="24"/>
    </row>
    <row r="3515">
      <c r="A3515" s="12" t="s">
        <v>3602</v>
      </c>
      <c r="F3515" s="19">
        <f>IFERROR(__xludf.DUMMYFUNCTION("SPLIT(A3511, "" |"")"),3509.0)</f>
        <v>3509</v>
      </c>
      <c r="G3515" s="19">
        <f>IFERROR(__xludf.DUMMYFUNCTION("""COMPUTED_VALUE"""),0.00239)</f>
        <v>0.00239</v>
      </c>
      <c r="H3515" s="19" t="str">
        <f>IFERROR(__xludf.DUMMYFUNCTION("""COMPUTED_VALUE"""),"-")</f>
        <v>-</v>
      </c>
      <c r="I3515" s="19">
        <f>IFERROR(__xludf.DUMMYFUNCTION("""COMPUTED_VALUE"""),0.00222)</f>
        <v>0.00222</v>
      </c>
      <c r="J3515" s="19">
        <f>IFERROR(__xludf.DUMMYFUNCTION("""COMPUTED_VALUE"""),0.04751)</f>
        <v>0.04751</v>
      </c>
      <c r="K3515" s="19" t="str">
        <f>IFERROR(__xludf.DUMMYFUNCTION("""COMPUTED_VALUE"""),"-")</f>
        <v>-</v>
      </c>
      <c r="L3515" s="19" t="str">
        <f>IFERROR(__xludf.DUMMYFUNCTION("""COMPUTED_VALUE"""),"-")</f>
        <v>-</v>
      </c>
      <c r="O3515" s="24">
        <f t="shared" si="4"/>
        <v>0</v>
      </c>
      <c r="P3515" s="24"/>
      <c r="Q3515" s="24">
        <f t="shared" si="6"/>
        <v>0</v>
      </c>
      <c r="R3515" s="24">
        <f t="shared" si="7"/>
        <v>0</v>
      </c>
      <c r="S3515" s="24"/>
      <c r="T3515" s="24"/>
    </row>
    <row r="3516">
      <c r="A3516" s="12" t="s">
        <v>3603</v>
      </c>
      <c r="F3516" s="19">
        <f>IFERROR(__xludf.DUMMYFUNCTION("SPLIT(A3512, "" |"")"),3510.0)</f>
        <v>3510</v>
      </c>
      <c r="G3516" s="19">
        <f>IFERROR(__xludf.DUMMYFUNCTION("""COMPUTED_VALUE"""),0.00235)</f>
        <v>0.00235</v>
      </c>
      <c r="H3516" s="19" t="str">
        <f>IFERROR(__xludf.DUMMYFUNCTION("""COMPUTED_VALUE"""),"-")</f>
        <v>-</v>
      </c>
      <c r="I3516" s="19">
        <f>IFERROR(__xludf.DUMMYFUNCTION("""COMPUTED_VALUE"""),0.00222)</f>
        <v>0.00222</v>
      </c>
      <c r="J3516" s="19">
        <f>IFERROR(__xludf.DUMMYFUNCTION("""COMPUTED_VALUE"""),0.04746)</f>
        <v>0.04746</v>
      </c>
      <c r="K3516" s="19" t="str">
        <f>IFERROR(__xludf.DUMMYFUNCTION("""COMPUTED_VALUE"""),"-")</f>
        <v>-</v>
      </c>
      <c r="L3516" s="19" t="str">
        <f>IFERROR(__xludf.DUMMYFUNCTION("""COMPUTED_VALUE"""),"-")</f>
        <v>-</v>
      </c>
      <c r="O3516" s="24">
        <f t="shared" si="4"/>
        <v>0</v>
      </c>
      <c r="P3516" s="24"/>
      <c r="Q3516" s="24">
        <f t="shared" si="6"/>
        <v>0</v>
      </c>
      <c r="R3516" s="24">
        <f t="shared" si="7"/>
        <v>0</v>
      </c>
      <c r="S3516" s="24"/>
      <c r="T3516" s="24"/>
    </row>
    <row r="3517">
      <c r="A3517" s="12" t="s">
        <v>3604</v>
      </c>
      <c r="F3517" s="19">
        <f>IFERROR(__xludf.DUMMYFUNCTION("SPLIT(A3513, "" |"")"),3511.0)</f>
        <v>3511</v>
      </c>
      <c r="G3517" s="19">
        <f>IFERROR(__xludf.DUMMYFUNCTION("""COMPUTED_VALUE"""),0.0024)</f>
        <v>0.0024</v>
      </c>
      <c r="H3517" s="19" t="str">
        <f>IFERROR(__xludf.DUMMYFUNCTION("""COMPUTED_VALUE"""),"-")</f>
        <v>-</v>
      </c>
      <c r="I3517" s="19">
        <f>IFERROR(__xludf.DUMMYFUNCTION("""COMPUTED_VALUE"""),0.00218)</f>
        <v>0.00218</v>
      </c>
      <c r="J3517" s="19">
        <f>IFERROR(__xludf.DUMMYFUNCTION("""COMPUTED_VALUE"""),0.0359)</f>
        <v>0.0359</v>
      </c>
      <c r="K3517" s="19" t="str">
        <f>IFERROR(__xludf.DUMMYFUNCTION("""COMPUTED_VALUE"""),"-")</f>
        <v>-</v>
      </c>
      <c r="L3517" s="19" t="str">
        <f>IFERROR(__xludf.DUMMYFUNCTION("""COMPUTED_VALUE"""),"-")</f>
        <v>-</v>
      </c>
      <c r="O3517" s="24">
        <f t="shared" si="4"/>
        <v>0</v>
      </c>
      <c r="P3517" s="24"/>
      <c r="Q3517" s="24">
        <f t="shared" si="6"/>
        <v>0</v>
      </c>
      <c r="R3517" s="24">
        <f t="shared" si="7"/>
        <v>1</v>
      </c>
      <c r="S3517" s="24"/>
      <c r="T3517" s="24"/>
    </row>
    <row r="3518">
      <c r="A3518" s="12" t="s">
        <v>3605</v>
      </c>
      <c r="F3518" s="19">
        <f>IFERROR(__xludf.DUMMYFUNCTION("SPLIT(A3514, "" |"")"),3512.0)</f>
        <v>3512</v>
      </c>
      <c r="G3518" s="19">
        <f>IFERROR(__xludf.DUMMYFUNCTION("""COMPUTED_VALUE"""),0.00222)</f>
        <v>0.00222</v>
      </c>
      <c r="H3518" s="19" t="str">
        <f>IFERROR(__xludf.DUMMYFUNCTION("""COMPUTED_VALUE"""),"-")</f>
        <v>-</v>
      </c>
      <c r="I3518" s="19">
        <f>IFERROR(__xludf.DUMMYFUNCTION("""COMPUTED_VALUE"""),0.00226)</f>
        <v>0.00226</v>
      </c>
      <c r="J3518" s="19">
        <f>IFERROR(__xludf.DUMMYFUNCTION("""COMPUTED_VALUE"""),0.0474)</f>
        <v>0.0474</v>
      </c>
      <c r="K3518" s="19" t="str">
        <f>IFERROR(__xludf.DUMMYFUNCTION("""COMPUTED_VALUE"""),"-")</f>
        <v>-</v>
      </c>
      <c r="L3518" s="19" t="str">
        <f>IFERROR(__xludf.DUMMYFUNCTION("""COMPUTED_VALUE"""),"-")</f>
        <v>-</v>
      </c>
      <c r="O3518" s="24">
        <f t="shared" si="4"/>
        <v>0</v>
      </c>
      <c r="P3518" s="24"/>
      <c r="Q3518" s="24">
        <f t="shared" si="6"/>
        <v>0</v>
      </c>
      <c r="R3518" s="24">
        <f t="shared" si="7"/>
        <v>0</v>
      </c>
      <c r="S3518" s="24"/>
      <c r="T3518" s="24"/>
    </row>
    <row r="3519">
      <c r="A3519" s="12" t="s">
        <v>3606</v>
      </c>
      <c r="F3519" s="19">
        <f>IFERROR(__xludf.DUMMYFUNCTION("SPLIT(A3515, "" |"")"),3513.0)</f>
        <v>3513</v>
      </c>
      <c r="G3519" s="19">
        <f>IFERROR(__xludf.DUMMYFUNCTION("""COMPUTED_VALUE"""),0.00229)</f>
        <v>0.00229</v>
      </c>
      <c r="H3519" s="19" t="str">
        <f>IFERROR(__xludf.DUMMYFUNCTION("""COMPUTED_VALUE"""),"-")</f>
        <v>-</v>
      </c>
      <c r="I3519" s="19">
        <f>IFERROR(__xludf.DUMMYFUNCTION("""COMPUTED_VALUE"""),0.00217)</f>
        <v>0.00217</v>
      </c>
      <c r="J3519" s="19">
        <f>IFERROR(__xludf.DUMMYFUNCTION("""COMPUTED_VALUE"""),0.0475)</f>
        <v>0.0475</v>
      </c>
      <c r="K3519" s="19" t="str">
        <f>IFERROR(__xludf.DUMMYFUNCTION("""COMPUTED_VALUE"""),"-")</f>
        <v>-</v>
      </c>
      <c r="L3519" s="19" t="str">
        <f>IFERROR(__xludf.DUMMYFUNCTION("""COMPUTED_VALUE"""),"-")</f>
        <v>-</v>
      </c>
      <c r="O3519" s="24">
        <f t="shared" si="4"/>
        <v>0</v>
      </c>
      <c r="P3519" s="24"/>
      <c r="Q3519" s="24">
        <f t="shared" si="6"/>
        <v>0</v>
      </c>
      <c r="R3519" s="24">
        <f t="shared" si="7"/>
        <v>0</v>
      </c>
      <c r="S3519" s="24"/>
      <c r="T3519" s="24"/>
    </row>
    <row r="3520">
      <c r="A3520" s="12" t="s">
        <v>3607</v>
      </c>
      <c r="F3520" s="19">
        <f>IFERROR(__xludf.DUMMYFUNCTION("SPLIT(A3516, "" |"")"),3514.0)</f>
        <v>3514</v>
      </c>
      <c r="G3520" s="19">
        <f>IFERROR(__xludf.DUMMYFUNCTION("""COMPUTED_VALUE"""),0.00237)</f>
        <v>0.00237</v>
      </c>
      <c r="H3520" s="19" t="str">
        <f>IFERROR(__xludf.DUMMYFUNCTION("""COMPUTED_VALUE"""),"-")</f>
        <v>-</v>
      </c>
      <c r="I3520" s="19">
        <f>IFERROR(__xludf.DUMMYFUNCTION("""COMPUTED_VALUE"""),0.00216)</f>
        <v>0.00216</v>
      </c>
      <c r="J3520" s="19">
        <f>IFERROR(__xludf.DUMMYFUNCTION("""COMPUTED_VALUE"""),0.04748)</f>
        <v>0.04748</v>
      </c>
      <c r="K3520" s="19" t="str">
        <f>IFERROR(__xludf.DUMMYFUNCTION("""COMPUTED_VALUE"""),"-")</f>
        <v>-</v>
      </c>
      <c r="L3520" s="19" t="str">
        <f>IFERROR(__xludf.DUMMYFUNCTION("""COMPUTED_VALUE"""),"-")</f>
        <v>-</v>
      </c>
      <c r="O3520" s="24">
        <f t="shared" si="4"/>
        <v>0</v>
      </c>
      <c r="P3520" s="24"/>
      <c r="Q3520" s="24">
        <f t="shared" si="6"/>
        <v>0</v>
      </c>
      <c r="R3520" s="24">
        <f t="shared" si="7"/>
        <v>0</v>
      </c>
      <c r="S3520" s="24"/>
      <c r="T3520" s="24"/>
    </row>
    <row r="3521">
      <c r="A3521" s="12" t="s">
        <v>3608</v>
      </c>
      <c r="F3521" s="19">
        <f>IFERROR(__xludf.DUMMYFUNCTION("SPLIT(A3517, "" |"")"),3515.0)</f>
        <v>3515</v>
      </c>
      <c r="G3521" s="19">
        <f>IFERROR(__xludf.DUMMYFUNCTION("""COMPUTED_VALUE"""),0.00234)</f>
        <v>0.00234</v>
      </c>
      <c r="H3521" s="19" t="str">
        <f>IFERROR(__xludf.DUMMYFUNCTION("""COMPUTED_VALUE"""),"-")</f>
        <v>-</v>
      </c>
      <c r="I3521" s="19">
        <f>IFERROR(__xludf.DUMMYFUNCTION("""COMPUTED_VALUE"""),0.00218)</f>
        <v>0.00218</v>
      </c>
      <c r="J3521" s="19">
        <f>IFERROR(__xludf.DUMMYFUNCTION("""COMPUTED_VALUE"""),0.04749)</f>
        <v>0.04749</v>
      </c>
      <c r="K3521" s="19" t="str">
        <f>IFERROR(__xludf.DUMMYFUNCTION("""COMPUTED_VALUE"""),"-")</f>
        <v>-</v>
      </c>
      <c r="L3521" s="19" t="str">
        <f>IFERROR(__xludf.DUMMYFUNCTION("""COMPUTED_VALUE"""),"-")</f>
        <v>-</v>
      </c>
      <c r="O3521" s="24">
        <f t="shared" si="4"/>
        <v>0</v>
      </c>
      <c r="P3521" s="24"/>
      <c r="Q3521" s="24">
        <f t="shared" si="6"/>
        <v>0</v>
      </c>
      <c r="R3521" s="24">
        <f t="shared" si="7"/>
        <v>0</v>
      </c>
      <c r="S3521" s="24"/>
      <c r="T3521" s="24"/>
    </row>
    <row r="3522">
      <c r="A3522" s="12" t="s">
        <v>3609</v>
      </c>
      <c r="F3522" s="19">
        <f>IFERROR(__xludf.DUMMYFUNCTION("SPLIT(A3518, "" |"")"),3516.0)</f>
        <v>3516</v>
      </c>
      <c r="G3522" s="19">
        <f>IFERROR(__xludf.DUMMYFUNCTION("""COMPUTED_VALUE"""),0.00232)</f>
        <v>0.00232</v>
      </c>
      <c r="H3522" s="19" t="str">
        <f>IFERROR(__xludf.DUMMYFUNCTION("""COMPUTED_VALUE"""),"-")</f>
        <v>-</v>
      </c>
      <c r="I3522" s="19">
        <f>IFERROR(__xludf.DUMMYFUNCTION("""COMPUTED_VALUE"""),0.00222)</f>
        <v>0.00222</v>
      </c>
      <c r="J3522" s="19">
        <f>IFERROR(__xludf.DUMMYFUNCTION("""COMPUTED_VALUE"""),0.0474)</f>
        <v>0.0474</v>
      </c>
      <c r="K3522" s="19" t="str">
        <f>IFERROR(__xludf.DUMMYFUNCTION("""COMPUTED_VALUE"""),"-")</f>
        <v>-</v>
      </c>
      <c r="L3522" s="19" t="str">
        <f>IFERROR(__xludf.DUMMYFUNCTION("""COMPUTED_VALUE"""),"-")</f>
        <v>-</v>
      </c>
      <c r="O3522" s="24">
        <f t="shared" si="4"/>
        <v>0</v>
      </c>
      <c r="P3522" s="24"/>
      <c r="Q3522" s="24">
        <f t="shared" si="6"/>
        <v>0</v>
      </c>
      <c r="R3522" s="24">
        <f t="shared" si="7"/>
        <v>0</v>
      </c>
      <c r="S3522" s="24"/>
      <c r="T3522" s="24"/>
    </row>
    <row r="3523">
      <c r="A3523" s="12" t="s">
        <v>3610</v>
      </c>
      <c r="F3523" s="19">
        <f>IFERROR(__xludf.DUMMYFUNCTION("SPLIT(A3519, "" |"")"),3517.0)</f>
        <v>3517</v>
      </c>
      <c r="G3523" s="19">
        <f>IFERROR(__xludf.DUMMYFUNCTION("""COMPUTED_VALUE"""),0.00236)</f>
        <v>0.00236</v>
      </c>
      <c r="H3523" s="19" t="str">
        <f>IFERROR(__xludf.DUMMYFUNCTION("""COMPUTED_VALUE"""),"-")</f>
        <v>-</v>
      </c>
      <c r="I3523" s="19">
        <f>IFERROR(__xludf.DUMMYFUNCTION("""COMPUTED_VALUE"""),0.00222)</f>
        <v>0.00222</v>
      </c>
      <c r="J3523" s="19">
        <f>IFERROR(__xludf.DUMMYFUNCTION("""COMPUTED_VALUE"""),0.04749)</f>
        <v>0.04749</v>
      </c>
      <c r="K3523" s="19" t="str">
        <f>IFERROR(__xludf.DUMMYFUNCTION("""COMPUTED_VALUE"""),"-")</f>
        <v>-</v>
      </c>
      <c r="L3523" s="19" t="str">
        <f>IFERROR(__xludf.DUMMYFUNCTION("""COMPUTED_VALUE"""),"-")</f>
        <v>-</v>
      </c>
      <c r="O3523" s="24">
        <f t="shared" si="4"/>
        <v>0</v>
      </c>
      <c r="P3523" s="24"/>
      <c r="Q3523" s="24">
        <f t="shared" si="6"/>
        <v>0</v>
      </c>
      <c r="R3523" s="24">
        <f t="shared" si="7"/>
        <v>0</v>
      </c>
      <c r="S3523" s="24"/>
      <c r="T3523" s="24"/>
    </row>
    <row r="3524">
      <c r="A3524" s="12" t="s">
        <v>3611</v>
      </c>
      <c r="F3524" s="19">
        <f>IFERROR(__xludf.DUMMYFUNCTION("SPLIT(A3520, "" |"")"),3518.0)</f>
        <v>3518</v>
      </c>
      <c r="G3524" s="19">
        <f>IFERROR(__xludf.DUMMYFUNCTION("""COMPUTED_VALUE"""),0.00234)</f>
        <v>0.00234</v>
      </c>
      <c r="H3524" s="19" t="str">
        <f>IFERROR(__xludf.DUMMYFUNCTION("""COMPUTED_VALUE"""),"-")</f>
        <v>-</v>
      </c>
      <c r="I3524" s="19">
        <f>IFERROR(__xludf.DUMMYFUNCTION("""COMPUTED_VALUE"""),0.00225)</f>
        <v>0.00225</v>
      </c>
      <c r="J3524" s="19">
        <f>IFERROR(__xludf.DUMMYFUNCTION("""COMPUTED_VALUE"""),0.04659)</f>
        <v>0.04659</v>
      </c>
      <c r="K3524" s="19" t="str">
        <f>IFERROR(__xludf.DUMMYFUNCTION("""COMPUTED_VALUE"""),"-")</f>
        <v>-</v>
      </c>
      <c r="L3524" s="19" t="str">
        <f>IFERROR(__xludf.DUMMYFUNCTION("""COMPUTED_VALUE"""),"-")</f>
        <v>-</v>
      </c>
      <c r="O3524" s="24">
        <f t="shared" si="4"/>
        <v>0</v>
      </c>
      <c r="P3524" s="24"/>
      <c r="Q3524" s="24">
        <f t="shared" si="6"/>
        <v>0</v>
      </c>
      <c r="R3524" s="24">
        <f t="shared" si="7"/>
        <v>0</v>
      </c>
      <c r="S3524" s="24"/>
      <c r="T3524" s="24"/>
    </row>
    <row r="3525">
      <c r="A3525" s="12" t="s">
        <v>3612</v>
      </c>
      <c r="F3525" s="19">
        <f>IFERROR(__xludf.DUMMYFUNCTION("SPLIT(A3521, "" |"")"),3519.0)</f>
        <v>3519</v>
      </c>
      <c r="G3525" s="19">
        <f>IFERROR(__xludf.DUMMYFUNCTION("""COMPUTED_VALUE"""),0.00236)</f>
        <v>0.00236</v>
      </c>
      <c r="H3525" s="19" t="str">
        <f>IFERROR(__xludf.DUMMYFUNCTION("""COMPUTED_VALUE"""),"-")</f>
        <v>-</v>
      </c>
      <c r="I3525" s="19">
        <f>IFERROR(__xludf.DUMMYFUNCTION("""COMPUTED_VALUE"""),0.0022)</f>
        <v>0.0022</v>
      </c>
      <c r="J3525" s="19">
        <f>IFERROR(__xludf.DUMMYFUNCTION("""COMPUTED_VALUE"""),0.04367)</f>
        <v>0.04367</v>
      </c>
      <c r="K3525" s="19" t="str">
        <f>IFERROR(__xludf.DUMMYFUNCTION("""COMPUTED_VALUE"""),"-")</f>
        <v>-</v>
      </c>
      <c r="L3525" s="19" t="str">
        <f>IFERROR(__xludf.DUMMYFUNCTION("""COMPUTED_VALUE"""),"-")</f>
        <v>-</v>
      </c>
      <c r="O3525" s="24">
        <f t="shared" si="4"/>
        <v>0</v>
      </c>
      <c r="P3525" s="24"/>
      <c r="Q3525" s="24">
        <f t="shared" si="6"/>
        <v>0</v>
      </c>
      <c r="R3525" s="24">
        <f t="shared" si="7"/>
        <v>1</v>
      </c>
      <c r="S3525" s="24"/>
      <c r="T3525" s="24"/>
    </row>
    <row r="3526">
      <c r="A3526" s="12" t="s">
        <v>3613</v>
      </c>
      <c r="F3526" s="19">
        <f>IFERROR(__xludf.DUMMYFUNCTION("SPLIT(A3522, "" |"")"),3520.0)</f>
        <v>3520</v>
      </c>
      <c r="G3526" s="19">
        <f>IFERROR(__xludf.DUMMYFUNCTION("""COMPUTED_VALUE"""),0.0023)</f>
        <v>0.0023</v>
      </c>
      <c r="H3526" s="19" t="str">
        <f>IFERROR(__xludf.DUMMYFUNCTION("""COMPUTED_VALUE"""),"-")</f>
        <v>-</v>
      </c>
      <c r="I3526" s="19">
        <f>IFERROR(__xludf.DUMMYFUNCTION("""COMPUTED_VALUE"""),0.00217)</f>
        <v>0.00217</v>
      </c>
      <c r="J3526" s="19">
        <f>IFERROR(__xludf.DUMMYFUNCTION("""COMPUTED_VALUE"""),0.04735)</f>
        <v>0.04735</v>
      </c>
      <c r="K3526" s="19" t="str">
        <f>IFERROR(__xludf.DUMMYFUNCTION("""COMPUTED_VALUE"""),"-")</f>
        <v>-</v>
      </c>
      <c r="L3526" s="19" t="str">
        <f>IFERROR(__xludf.DUMMYFUNCTION("""COMPUTED_VALUE"""),"-")</f>
        <v>-</v>
      </c>
      <c r="O3526" s="24">
        <f t="shared" si="4"/>
        <v>0</v>
      </c>
      <c r="P3526" s="24"/>
      <c r="Q3526" s="24">
        <f t="shared" si="6"/>
        <v>0</v>
      </c>
      <c r="R3526" s="24">
        <f t="shared" si="7"/>
        <v>0</v>
      </c>
      <c r="S3526" s="24"/>
      <c r="T3526" s="24"/>
    </row>
    <row r="3527">
      <c r="A3527" s="12" t="s">
        <v>3614</v>
      </c>
      <c r="F3527" s="19">
        <f>IFERROR(__xludf.DUMMYFUNCTION("SPLIT(A3523, "" |"")"),3521.0)</f>
        <v>3521</v>
      </c>
      <c r="G3527" s="19">
        <f>IFERROR(__xludf.DUMMYFUNCTION("""COMPUTED_VALUE"""),0.00226)</f>
        <v>0.00226</v>
      </c>
      <c r="H3527" s="19" t="str">
        <f>IFERROR(__xludf.DUMMYFUNCTION("""COMPUTED_VALUE"""),"-")</f>
        <v>-</v>
      </c>
      <c r="I3527" s="19">
        <f>IFERROR(__xludf.DUMMYFUNCTION("""COMPUTED_VALUE"""),0.00209)</f>
        <v>0.00209</v>
      </c>
      <c r="J3527" s="19">
        <f>IFERROR(__xludf.DUMMYFUNCTION("""COMPUTED_VALUE"""),0.04736)</f>
        <v>0.04736</v>
      </c>
      <c r="K3527" s="19" t="str">
        <f>IFERROR(__xludf.DUMMYFUNCTION("""COMPUTED_VALUE"""),"-")</f>
        <v>-</v>
      </c>
      <c r="L3527" s="19" t="str">
        <f>IFERROR(__xludf.DUMMYFUNCTION("""COMPUTED_VALUE"""),"-")</f>
        <v>-</v>
      </c>
      <c r="O3527" s="24">
        <f t="shared" si="4"/>
        <v>0</v>
      </c>
      <c r="P3527" s="24"/>
      <c r="Q3527" s="24">
        <f t="shared" si="6"/>
        <v>0</v>
      </c>
      <c r="R3527" s="24">
        <f t="shared" si="7"/>
        <v>0</v>
      </c>
      <c r="S3527" s="24"/>
      <c r="T3527" s="24"/>
    </row>
    <row r="3528">
      <c r="A3528" s="12" t="s">
        <v>3615</v>
      </c>
      <c r="F3528" s="19">
        <f>IFERROR(__xludf.DUMMYFUNCTION("SPLIT(A3524, "" |"")"),3522.0)</f>
        <v>3522</v>
      </c>
      <c r="G3528" s="19">
        <f>IFERROR(__xludf.DUMMYFUNCTION("""COMPUTED_VALUE"""),0.00238)</f>
        <v>0.00238</v>
      </c>
      <c r="H3528" s="19" t="str">
        <f>IFERROR(__xludf.DUMMYFUNCTION("""COMPUTED_VALUE"""),"-")</f>
        <v>-</v>
      </c>
      <c r="I3528" s="19">
        <f>IFERROR(__xludf.DUMMYFUNCTION("""COMPUTED_VALUE"""),0.00215)</f>
        <v>0.00215</v>
      </c>
      <c r="J3528" s="19">
        <f>IFERROR(__xludf.DUMMYFUNCTION("""COMPUTED_VALUE"""),0.04742)</f>
        <v>0.04742</v>
      </c>
      <c r="K3528" s="19" t="str">
        <f>IFERROR(__xludf.DUMMYFUNCTION("""COMPUTED_VALUE"""),"-")</f>
        <v>-</v>
      </c>
      <c r="L3528" s="19" t="str">
        <f>IFERROR(__xludf.DUMMYFUNCTION("""COMPUTED_VALUE"""),"-")</f>
        <v>-</v>
      </c>
      <c r="O3528" s="24">
        <f t="shared" si="4"/>
        <v>0</v>
      </c>
      <c r="P3528" s="24"/>
      <c r="Q3528" s="24">
        <f t="shared" si="6"/>
        <v>0</v>
      </c>
      <c r="R3528" s="24">
        <f t="shared" si="7"/>
        <v>0</v>
      </c>
      <c r="S3528" s="24"/>
      <c r="T3528" s="24"/>
    </row>
    <row r="3529">
      <c r="A3529" s="12" t="s">
        <v>3616</v>
      </c>
      <c r="F3529" s="19">
        <f>IFERROR(__xludf.DUMMYFUNCTION("SPLIT(A3525, "" |"")"),3523.0)</f>
        <v>3523</v>
      </c>
      <c r="G3529" s="19">
        <f>IFERROR(__xludf.DUMMYFUNCTION("""COMPUTED_VALUE"""),0.00241)</f>
        <v>0.00241</v>
      </c>
      <c r="H3529" s="19" t="str">
        <f>IFERROR(__xludf.DUMMYFUNCTION("""COMPUTED_VALUE"""),"-")</f>
        <v>-</v>
      </c>
      <c r="I3529" s="19">
        <f>IFERROR(__xludf.DUMMYFUNCTION("""COMPUTED_VALUE"""),0.00224)</f>
        <v>0.00224</v>
      </c>
      <c r="J3529" s="19">
        <f>IFERROR(__xludf.DUMMYFUNCTION("""COMPUTED_VALUE"""),0.04736)</f>
        <v>0.04736</v>
      </c>
      <c r="K3529" s="19" t="str">
        <f>IFERROR(__xludf.DUMMYFUNCTION("""COMPUTED_VALUE"""),"-")</f>
        <v>-</v>
      </c>
      <c r="L3529" s="19" t="str">
        <f>IFERROR(__xludf.DUMMYFUNCTION("""COMPUTED_VALUE"""),"-")</f>
        <v>-</v>
      </c>
      <c r="O3529" s="24">
        <f t="shared" si="4"/>
        <v>0</v>
      </c>
      <c r="P3529" s="24"/>
      <c r="Q3529" s="24">
        <f t="shared" si="6"/>
        <v>0</v>
      </c>
      <c r="R3529" s="24">
        <f t="shared" si="7"/>
        <v>0</v>
      </c>
      <c r="S3529" s="24"/>
      <c r="T3529" s="24"/>
    </row>
    <row r="3530">
      <c r="A3530" s="12" t="s">
        <v>3617</v>
      </c>
      <c r="F3530" s="19">
        <f>IFERROR(__xludf.DUMMYFUNCTION("SPLIT(A3526, "" |"")"),3524.0)</f>
        <v>3524</v>
      </c>
      <c r="G3530" s="19">
        <f>IFERROR(__xludf.DUMMYFUNCTION("""COMPUTED_VALUE"""),0.00235)</f>
        <v>0.00235</v>
      </c>
      <c r="H3530" s="19" t="str">
        <f>IFERROR(__xludf.DUMMYFUNCTION("""COMPUTED_VALUE"""),"-")</f>
        <v>-</v>
      </c>
      <c r="I3530" s="19">
        <f>IFERROR(__xludf.DUMMYFUNCTION("""COMPUTED_VALUE"""),0.00228)</f>
        <v>0.00228</v>
      </c>
      <c r="J3530" s="19">
        <f>IFERROR(__xludf.DUMMYFUNCTION("""COMPUTED_VALUE"""),0.04752)</f>
        <v>0.04752</v>
      </c>
      <c r="K3530" s="19" t="str">
        <f>IFERROR(__xludf.DUMMYFUNCTION("""COMPUTED_VALUE"""),"-")</f>
        <v>-</v>
      </c>
      <c r="L3530" s="19" t="str">
        <f>IFERROR(__xludf.DUMMYFUNCTION("""COMPUTED_VALUE"""),"-")</f>
        <v>-</v>
      </c>
      <c r="O3530" s="24">
        <f t="shared" si="4"/>
        <v>0</v>
      </c>
      <c r="P3530" s="24"/>
      <c r="Q3530" s="24">
        <f t="shared" si="6"/>
        <v>0</v>
      </c>
      <c r="R3530" s="24">
        <f t="shared" si="7"/>
        <v>0</v>
      </c>
      <c r="S3530" s="24"/>
      <c r="T3530" s="24"/>
    </row>
    <row r="3531">
      <c r="A3531" s="12" t="s">
        <v>3618</v>
      </c>
      <c r="F3531" s="19">
        <f>IFERROR(__xludf.DUMMYFUNCTION("SPLIT(A3527, "" |"")"),3525.0)</f>
        <v>3525</v>
      </c>
      <c r="G3531" s="19">
        <f>IFERROR(__xludf.DUMMYFUNCTION("""COMPUTED_VALUE"""),0.00233)</f>
        <v>0.00233</v>
      </c>
      <c r="H3531" s="19" t="str">
        <f>IFERROR(__xludf.DUMMYFUNCTION("""COMPUTED_VALUE"""),"-")</f>
        <v>-</v>
      </c>
      <c r="I3531" s="19">
        <f>IFERROR(__xludf.DUMMYFUNCTION("""COMPUTED_VALUE"""),0.00222)</f>
        <v>0.00222</v>
      </c>
      <c r="J3531" s="19">
        <f>IFERROR(__xludf.DUMMYFUNCTION("""COMPUTED_VALUE"""),0.04749)</f>
        <v>0.04749</v>
      </c>
      <c r="K3531" s="19" t="str">
        <f>IFERROR(__xludf.DUMMYFUNCTION("""COMPUTED_VALUE"""),"-")</f>
        <v>-</v>
      </c>
      <c r="L3531" s="19" t="str">
        <f>IFERROR(__xludf.DUMMYFUNCTION("""COMPUTED_VALUE"""),"-")</f>
        <v>-</v>
      </c>
      <c r="O3531" s="24">
        <f t="shared" si="4"/>
        <v>0</v>
      </c>
      <c r="P3531" s="24"/>
      <c r="Q3531" s="24">
        <f t="shared" si="6"/>
        <v>0</v>
      </c>
      <c r="R3531" s="24">
        <f t="shared" si="7"/>
        <v>0</v>
      </c>
      <c r="S3531" s="24"/>
      <c r="T3531" s="24"/>
    </row>
    <row r="3532">
      <c r="A3532" s="12" t="s">
        <v>3619</v>
      </c>
      <c r="F3532" s="19">
        <f>IFERROR(__xludf.DUMMYFUNCTION("SPLIT(A3528, "" |"")"),3526.0)</f>
        <v>3526</v>
      </c>
      <c r="G3532" s="19">
        <f>IFERROR(__xludf.DUMMYFUNCTION("""COMPUTED_VALUE"""),0.00233)</f>
        <v>0.00233</v>
      </c>
      <c r="H3532" s="19" t="str">
        <f>IFERROR(__xludf.DUMMYFUNCTION("""COMPUTED_VALUE"""),"-")</f>
        <v>-</v>
      </c>
      <c r="I3532" s="19">
        <f>IFERROR(__xludf.DUMMYFUNCTION("""COMPUTED_VALUE"""),0.00222)</f>
        <v>0.00222</v>
      </c>
      <c r="J3532" s="19">
        <f>IFERROR(__xludf.DUMMYFUNCTION("""COMPUTED_VALUE"""),0.04746)</f>
        <v>0.04746</v>
      </c>
      <c r="K3532" s="19" t="str">
        <f>IFERROR(__xludf.DUMMYFUNCTION("""COMPUTED_VALUE"""),"-")</f>
        <v>-</v>
      </c>
      <c r="L3532" s="19" t="str">
        <f>IFERROR(__xludf.DUMMYFUNCTION("""COMPUTED_VALUE"""),"-")</f>
        <v>-</v>
      </c>
      <c r="O3532" s="24">
        <f t="shared" si="4"/>
        <v>0</v>
      </c>
      <c r="P3532" s="24"/>
      <c r="Q3532" s="24">
        <f t="shared" si="6"/>
        <v>0</v>
      </c>
      <c r="R3532" s="24">
        <f t="shared" si="7"/>
        <v>0</v>
      </c>
      <c r="S3532" s="24"/>
      <c r="T3532" s="24"/>
    </row>
    <row r="3533">
      <c r="A3533" s="12" t="s">
        <v>3620</v>
      </c>
      <c r="F3533" s="19">
        <f>IFERROR(__xludf.DUMMYFUNCTION("SPLIT(A3529, "" |"")"),3527.0)</f>
        <v>3527</v>
      </c>
      <c r="G3533" s="19">
        <f>IFERROR(__xludf.DUMMYFUNCTION("""COMPUTED_VALUE"""),0.00231)</f>
        <v>0.00231</v>
      </c>
      <c r="H3533" s="19" t="str">
        <f>IFERROR(__xludf.DUMMYFUNCTION("""COMPUTED_VALUE"""),"-")</f>
        <v>-</v>
      </c>
      <c r="I3533" s="19">
        <f>IFERROR(__xludf.DUMMYFUNCTION("""COMPUTED_VALUE"""),0.00226)</f>
        <v>0.00226</v>
      </c>
      <c r="J3533" s="19">
        <f>IFERROR(__xludf.DUMMYFUNCTION("""COMPUTED_VALUE"""),0.04585)</f>
        <v>0.04585</v>
      </c>
      <c r="K3533" s="19" t="str">
        <f>IFERROR(__xludf.DUMMYFUNCTION("""COMPUTED_VALUE"""),"-")</f>
        <v>-</v>
      </c>
      <c r="L3533" s="19" t="str">
        <f>IFERROR(__xludf.DUMMYFUNCTION("""COMPUTED_VALUE"""),"-")</f>
        <v>-</v>
      </c>
      <c r="O3533" s="24">
        <f t="shared" si="4"/>
        <v>0</v>
      </c>
      <c r="P3533" s="24"/>
      <c r="Q3533" s="24">
        <f t="shared" si="6"/>
        <v>0</v>
      </c>
      <c r="R3533" s="24">
        <f t="shared" si="7"/>
        <v>0</v>
      </c>
      <c r="S3533" s="24"/>
      <c r="T3533" s="24"/>
    </row>
    <row r="3534">
      <c r="A3534" s="12" t="s">
        <v>3621</v>
      </c>
      <c r="F3534" s="19">
        <f>IFERROR(__xludf.DUMMYFUNCTION("SPLIT(A3530, "" |"")"),3528.0)</f>
        <v>3528</v>
      </c>
      <c r="G3534" s="19">
        <f>IFERROR(__xludf.DUMMYFUNCTION("""COMPUTED_VALUE"""),0.00235)</f>
        <v>0.00235</v>
      </c>
      <c r="H3534" s="19" t="str">
        <f>IFERROR(__xludf.DUMMYFUNCTION("""COMPUTED_VALUE"""),"-")</f>
        <v>-</v>
      </c>
      <c r="I3534" s="19">
        <f>IFERROR(__xludf.DUMMYFUNCTION("""COMPUTED_VALUE"""),0.00224)</f>
        <v>0.00224</v>
      </c>
      <c r="J3534" s="19">
        <f>IFERROR(__xludf.DUMMYFUNCTION("""COMPUTED_VALUE"""),0.04752)</f>
        <v>0.04752</v>
      </c>
      <c r="K3534" s="19" t="str">
        <f>IFERROR(__xludf.DUMMYFUNCTION("""COMPUTED_VALUE"""),"-")</f>
        <v>-</v>
      </c>
      <c r="L3534" s="19" t="str">
        <f>IFERROR(__xludf.DUMMYFUNCTION("""COMPUTED_VALUE"""),"-")</f>
        <v>-</v>
      </c>
      <c r="O3534" s="24">
        <f t="shared" si="4"/>
        <v>0</v>
      </c>
      <c r="P3534" s="24"/>
      <c r="Q3534" s="24">
        <f t="shared" si="6"/>
        <v>0</v>
      </c>
      <c r="R3534" s="24">
        <f t="shared" si="7"/>
        <v>0</v>
      </c>
      <c r="S3534" s="24"/>
      <c r="T3534" s="24"/>
    </row>
    <row r="3535">
      <c r="A3535" s="12" t="s">
        <v>3622</v>
      </c>
      <c r="F3535" s="19">
        <f>IFERROR(__xludf.DUMMYFUNCTION("SPLIT(A3531, "" |"")"),3529.0)</f>
        <v>3529</v>
      </c>
      <c r="G3535" s="19">
        <f>IFERROR(__xludf.DUMMYFUNCTION("""COMPUTED_VALUE"""),0.00236)</f>
        <v>0.00236</v>
      </c>
      <c r="H3535" s="19" t="str">
        <f>IFERROR(__xludf.DUMMYFUNCTION("""COMPUTED_VALUE"""),"-")</f>
        <v>-</v>
      </c>
      <c r="I3535" s="19">
        <f>IFERROR(__xludf.DUMMYFUNCTION("""COMPUTED_VALUE"""),0.00221)</f>
        <v>0.00221</v>
      </c>
      <c r="J3535" s="19">
        <f>IFERROR(__xludf.DUMMYFUNCTION("""COMPUTED_VALUE"""),0.0475)</f>
        <v>0.0475</v>
      </c>
      <c r="K3535" s="19" t="str">
        <f>IFERROR(__xludf.DUMMYFUNCTION("""COMPUTED_VALUE"""),"-")</f>
        <v>-</v>
      </c>
      <c r="L3535" s="19" t="str">
        <f>IFERROR(__xludf.DUMMYFUNCTION("""COMPUTED_VALUE"""),"-")</f>
        <v>-</v>
      </c>
      <c r="O3535" s="24">
        <f t="shared" si="4"/>
        <v>0</v>
      </c>
      <c r="P3535" s="24"/>
      <c r="Q3535" s="24">
        <f t="shared" si="6"/>
        <v>0</v>
      </c>
      <c r="R3535" s="24">
        <f t="shared" si="7"/>
        <v>0</v>
      </c>
      <c r="S3535" s="24"/>
      <c r="T3535" s="24"/>
    </row>
    <row r="3536">
      <c r="A3536" s="12" t="s">
        <v>3623</v>
      </c>
      <c r="F3536" s="19">
        <f>IFERROR(__xludf.DUMMYFUNCTION("SPLIT(A3532, "" |"")"),3530.0)</f>
        <v>3530</v>
      </c>
      <c r="G3536" s="19">
        <f>IFERROR(__xludf.DUMMYFUNCTION("""COMPUTED_VALUE"""),0.0023)</f>
        <v>0.0023</v>
      </c>
      <c r="H3536" s="19" t="str">
        <f>IFERROR(__xludf.DUMMYFUNCTION("""COMPUTED_VALUE"""),"-")</f>
        <v>-</v>
      </c>
      <c r="I3536" s="19">
        <f>IFERROR(__xludf.DUMMYFUNCTION("""COMPUTED_VALUE"""),0.0022)</f>
        <v>0.0022</v>
      </c>
      <c r="J3536" s="19">
        <f>IFERROR(__xludf.DUMMYFUNCTION("""COMPUTED_VALUE"""),0.04747)</f>
        <v>0.04747</v>
      </c>
      <c r="K3536" s="19" t="str">
        <f>IFERROR(__xludf.DUMMYFUNCTION("""COMPUTED_VALUE"""),"-")</f>
        <v>-</v>
      </c>
      <c r="L3536" s="19" t="str">
        <f>IFERROR(__xludf.DUMMYFUNCTION("""COMPUTED_VALUE"""),"-")</f>
        <v>-</v>
      </c>
      <c r="O3536" s="24">
        <f t="shared" si="4"/>
        <v>0</v>
      </c>
      <c r="P3536" s="24"/>
      <c r="Q3536" s="24">
        <f t="shared" si="6"/>
        <v>0</v>
      </c>
      <c r="R3536" s="24">
        <f t="shared" si="7"/>
        <v>0</v>
      </c>
      <c r="S3536" s="24"/>
      <c r="T3536" s="24"/>
    </row>
    <row r="3537">
      <c r="A3537" s="12" t="s">
        <v>3624</v>
      </c>
      <c r="F3537" s="19">
        <f>IFERROR(__xludf.DUMMYFUNCTION("SPLIT(A3533, "" |"")"),3531.0)</f>
        <v>3531</v>
      </c>
      <c r="G3537" s="19">
        <f>IFERROR(__xludf.DUMMYFUNCTION("""COMPUTED_VALUE"""),0.00237)</f>
        <v>0.00237</v>
      </c>
      <c r="H3537" s="19" t="str">
        <f>IFERROR(__xludf.DUMMYFUNCTION("""COMPUTED_VALUE"""),"-")</f>
        <v>-</v>
      </c>
      <c r="I3537" s="19">
        <f>IFERROR(__xludf.DUMMYFUNCTION("""COMPUTED_VALUE"""),0.00221)</f>
        <v>0.00221</v>
      </c>
      <c r="J3537" s="19">
        <f>IFERROR(__xludf.DUMMYFUNCTION("""COMPUTED_VALUE"""),0.04746)</f>
        <v>0.04746</v>
      </c>
      <c r="K3537" s="19" t="str">
        <f>IFERROR(__xludf.DUMMYFUNCTION("""COMPUTED_VALUE"""),"-")</f>
        <v>-</v>
      </c>
      <c r="L3537" s="19" t="str">
        <f>IFERROR(__xludf.DUMMYFUNCTION("""COMPUTED_VALUE"""),"-")</f>
        <v>-</v>
      </c>
      <c r="O3537" s="24">
        <f t="shared" si="4"/>
        <v>0</v>
      </c>
      <c r="P3537" s="24"/>
      <c r="Q3537" s="24">
        <f t="shared" si="6"/>
        <v>0</v>
      </c>
      <c r="R3537" s="24">
        <f t="shared" si="7"/>
        <v>0</v>
      </c>
      <c r="S3537" s="24"/>
      <c r="T3537" s="24"/>
    </row>
    <row r="3538">
      <c r="A3538" s="12" t="s">
        <v>3625</v>
      </c>
      <c r="F3538" s="19">
        <f>IFERROR(__xludf.DUMMYFUNCTION("SPLIT(A3534, "" |"")"),3532.0)</f>
        <v>3532</v>
      </c>
      <c r="G3538" s="19">
        <f>IFERROR(__xludf.DUMMYFUNCTION("""COMPUTED_VALUE"""),0.00235)</f>
        <v>0.00235</v>
      </c>
      <c r="H3538" s="19" t="str">
        <f>IFERROR(__xludf.DUMMYFUNCTION("""COMPUTED_VALUE"""),"-")</f>
        <v>-</v>
      </c>
      <c r="I3538" s="19">
        <f>IFERROR(__xludf.DUMMYFUNCTION("""COMPUTED_VALUE"""),0.00217)</f>
        <v>0.00217</v>
      </c>
      <c r="J3538" s="19">
        <f>IFERROR(__xludf.DUMMYFUNCTION("""COMPUTED_VALUE"""),0.04403)</f>
        <v>0.04403</v>
      </c>
      <c r="K3538" s="19" t="str">
        <f>IFERROR(__xludf.DUMMYFUNCTION("""COMPUTED_VALUE"""),"-")</f>
        <v>-</v>
      </c>
      <c r="L3538" s="19" t="str">
        <f>IFERROR(__xludf.DUMMYFUNCTION("""COMPUTED_VALUE"""),"-")</f>
        <v>-</v>
      </c>
      <c r="O3538" s="24">
        <f t="shared" si="4"/>
        <v>0</v>
      </c>
      <c r="P3538" s="24"/>
      <c r="Q3538" s="24">
        <f t="shared" si="6"/>
        <v>0</v>
      </c>
      <c r="R3538" s="24">
        <f t="shared" si="7"/>
        <v>1</v>
      </c>
      <c r="S3538" s="24"/>
      <c r="T3538" s="24"/>
    </row>
    <row r="3539">
      <c r="A3539" s="12" t="s">
        <v>3626</v>
      </c>
      <c r="F3539" s="19">
        <f>IFERROR(__xludf.DUMMYFUNCTION("SPLIT(A3535, "" |"")"),3533.0)</f>
        <v>3533</v>
      </c>
      <c r="G3539" s="19">
        <f>IFERROR(__xludf.DUMMYFUNCTION("""COMPUTED_VALUE"""),0.00238)</f>
        <v>0.00238</v>
      </c>
      <c r="H3539" s="19" t="str">
        <f>IFERROR(__xludf.DUMMYFUNCTION("""COMPUTED_VALUE"""),"-")</f>
        <v>-</v>
      </c>
      <c r="I3539" s="19">
        <f>IFERROR(__xludf.DUMMYFUNCTION("""COMPUTED_VALUE"""),0.00212)</f>
        <v>0.00212</v>
      </c>
      <c r="J3539" s="19">
        <f>IFERROR(__xludf.DUMMYFUNCTION("""COMPUTED_VALUE"""),0.04749)</f>
        <v>0.04749</v>
      </c>
      <c r="K3539" s="19" t="str">
        <f>IFERROR(__xludf.DUMMYFUNCTION("""COMPUTED_VALUE"""),"-")</f>
        <v>-</v>
      </c>
      <c r="L3539" s="19" t="str">
        <f>IFERROR(__xludf.DUMMYFUNCTION("""COMPUTED_VALUE"""),"-")</f>
        <v>-</v>
      </c>
      <c r="O3539" s="24">
        <f t="shared" si="4"/>
        <v>0</v>
      </c>
      <c r="P3539" s="24"/>
      <c r="Q3539" s="24">
        <f t="shared" si="6"/>
        <v>0</v>
      </c>
      <c r="R3539" s="24">
        <f t="shared" si="7"/>
        <v>0</v>
      </c>
      <c r="S3539" s="24"/>
      <c r="T3539" s="24"/>
    </row>
    <row r="3540">
      <c r="A3540" s="12" t="s">
        <v>3627</v>
      </c>
      <c r="F3540" s="19">
        <f>IFERROR(__xludf.DUMMYFUNCTION("SPLIT(A3536, "" |"")"),3534.0)</f>
        <v>3534</v>
      </c>
      <c r="G3540" s="19">
        <f>IFERROR(__xludf.DUMMYFUNCTION("""COMPUTED_VALUE"""),0.00236)</f>
        <v>0.00236</v>
      </c>
      <c r="H3540" s="19" t="str">
        <f>IFERROR(__xludf.DUMMYFUNCTION("""COMPUTED_VALUE"""),"-")</f>
        <v>-</v>
      </c>
      <c r="I3540" s="19">
        <f>IFERROR(__xludf.DUMMYFUNCTION("""COMPUTED_VALUE"""),0.00217)</f>
        <v>0.00217</v>
      </c>
      <c r="J3540" s="19">
        <f>IFERROR(__xludf.DUMMYFUNCTION("""COMPUTED_VALUE"""),0.04742)</f>
        <v>0.04742</v>
      </c>
      <c r="K3540" s="19" t="str">
        <f>IFERROR(__xludf.DUMMYFUNCTION("""COMPUTED_VALUE"""),"-")</f>
        <v>-</v>
      </c>
      <c r="L3540" s="19" t="str">
        <f>IFERROR(__xludf.DUMMYFUNCTION("""COMPUTED_VALUE"""),"-")</f>
        <v>-</v>
      </c>
      <c r="O3540" s="24">
        <f t="shared" si="4"/>
        <v>0</v>
      </c>
      <c r="P3540" s="24"/>
      <c r="Q3540" s="24">
        <f t="shared" si="6"/>
        <v>0</v>
      </c>
      <c r="R3540" s="24">
        <f t="shared" si="7"/>
        <v>0</v>
      </c>
      <c r="S3540" s="24"/>
      <c r="T3540" s="24"/>
    </row>
    <row r="3541">
      <c r="A3541" s="12" t="s">
        <v>3628</v>
      </c>
      <c r="F3541" s="19">
        <f>IFERROR(__xludf.DUMMYFUNCTION("SPLIT(A3537, "" |"")"),3535.0)</f>
        <v>3535</v>
      </c>
      <c r="G3541" s="19">
        <f>IFERROR(__xludf.DUMMYFUNCTION("""COMPUTED_VALUE"""),0.0023)</f>
        <v>0.0023</v>
      </c>
      <c r="H3541" s="19" t="str">
        <f>IFERROR(__xludf.DUMMYFUNCTION("""COMPUTED_VALUE"""),"-")</f>
        <v>-</v>
      </c>
      <c r="I3541" s="19">
        <f>IFERROR(__xludf.DUMMYFUNCTION("""COMPUTED_VALUE"""),0.00221)</f>
        <v>0.00221</v>
      </c>
      <c r="J3541" s="19">
        <f>IFERROR(__xludf.DUMMYFUNCTION("""COMPUTED_VALUE"""),0.04746)</f>
        <v>0.04746</v>
      </c>
      <c r="K3541" s="19" t="str">
        <f>IFERROR(__xludf.DUMMYFUNCTION("""COMPUTED_VALUE"""),"-")</f>
        <v>-</v>
      </c>
      <c r="L3541" s="19" t="str">
        <f>IFERROR(__xludf.DUMMYFUNCTION("""COMPUTED_VALUE"""),"-")</f>
        <v>-</v>
      </c>
      <c r="O3541" s="24">
        <f t="shared" si="4"/>
        <v>0</v>
      </c>
      <c r="P3541" s="24"/>
      <c r="Q3541" s="24">
        <f t="shared" si="6"/>
        <v>0</v>
      </c>
      <c r="R3541" s="24">
        <f t="shared" si="7"/>
        <v>0</v>
      </c>
      <c r="S3541" s="24"/>
      <c r="T3541" s="24"/>
    </row>
    <row r="3542">
      <c r="A3542" s="12" t="s">
        <v>3629</v>
      </c>
      <c r="F3542" s="19">
        <f>IFERROR(__xludf.DUMMYFUNCTION("SPLIT(A3538, "" |"")"),3536.0)</f>
        <v>3536</v>
      </c>
      <c r="G3542" s="19">
        <f>IFERROR(__xludf.DUMMYFUNCTION("""COMPUTED_VALUE"""),0.00234)</f>
        <v>0.00234</v>
      </c>
      <c r="H3542" s="19" t="str">
        <f>IFERROR(__xludf.DUMMYFUNCTION("""COMPUTED_VALUE"""),"-")</f>
        <v>-</v>
      </c>
      <c r="I3542" s="19">
        <f>IFERROR(__xludf.DUMMYFUNCTION("""COMPUTED_VALUE"""),0.00221)</f>
        <v>0.00221</v>
      </c>
      <c r="J3542" s="19">
        <f>IFERROR(__xludf.DUMMYFUNCTION("""COMPUTED_VALUE"""),0.04412)</f>
        <v>0.04412</v>
      </c>
      <c r="K3542" s="19" t="str">
        <f>IFERROR(__xludf.DUMMYFUNCTION("""COMPUTED_VALUE"""),"-")</f>
        <v>-</v>
      </c>
      <c r="L3542" s="19" t="str">
        <f>IFERROR(__xludf.DUMMYFUNCTION("""COMPUTED_VALUE"""),"-")</f>
        <v>-</v>
      </c>
      <c r="O3542" s="24">
        <f t="shared" si="4"/>
        <v>0</v>
      </c>
      <c r="P3542" s="24"/>
      <c r="Q3542" s="24">
        <f t="shared" si="6"/>
        <v>0</v>
      </c>
      <c r="R3542" s="24">
        <f t="shared" si="7"/>
        <v>1</v>
      </c>
      <c r="S3542" s="24"/>
      <c r="T3542" s="24"/>
    </row>
    <row r="3543">
      <c r="A3543" s="12" t="s">
        <v>3630</v>
      </c>
      <c r="F3543" s="19">
        <f>IFERROR(__xludf.DUMMYFUNCTION("SPLIT(A3539, "" |"")"),3537.0)</f>
        <v>3537</v>
      </c>
      <c r="G3543" s="19">
        <f>IFERROR(__xludf.DUMMYFUNCTION("""COMPUTED_VALUE"""),0.00231)</f>
        <v>0.00231</v>
      </c>
      <c r="H3543" s="19" t="str">
        <f>IFERROR(__xludf.DUMMYFUNCTION("""COMPUTED_VALUE"""),"-")</f>
        <v>-</v>
      </c>
      <c r="I3543" s="19">
        <f>IFERROR(__xludf.DUMMYFUNCTION("""COMPUTED_VALUE"""),0.00227)</f>
        <v>0.00227</v>
      </c>
      <c r="J3543" s="19">
        <f>IFERROR(__xludf.DUMMYFUNCTION("""COMPUTED_VALUE"""),0.04744)</f>
        <v>0.04744</v>
      </c>
      <c r="K3543" s="19" t="str">
        <f>IFERROR(__xludf.DUMMYFUNCTION("""COMPUTED_VALUE"""),"-")</f>
        <v>-</v>
      </c>
      <c r="L3543" s="19" t="str">
        <f>IFERROR(__xludf.DUMMYFUNCTION("""COMPUTED_VALUE"""),"-")</f>
        <v>-</v>
      </c>
      <c r="O3543" s="24">
        <f t="shared" si="4"/>
        <v>0</v>
      </c>
      <c r="P3543" s="24"/>
      <c r="Q3543" s="24">
        <f t="shared" si="6"/>
        <v>0</v>
      </c>
      <c r="R3543" s="24">
        <f t="shared" si="7"/>
        <v>0</v>
      </c>
      <c r="S3543" s="24"/>
      <c r="T3543" s="24"/>
    </row>
    <row r="3544">
      <c r="A3544" s="12" t="s">
        <v>3631</v>
      </c>
      <c r="F3544" s="19">
        <f>IFERROR(__xludf.DUMMYFUNCTION("SPLIT(A3540, "" |"")"),3538.0)</f>
        <v>3538</v>
      </c>
      <c r="G3544" s="19">
        <f>IFERROR(__xludf.DUMMYFUNCTION("""COMPUTED_VALUE"""),0.00244)</f>
        <v>0.00244</v>
      </c>
      <c r="H3544" s="19" t="str">
        <f>IFERROR(__xludf.DUMMYFUNCTION("""COMPUTED_VALUE"""),"-")</f>
        <v>-</v>
      </c>
      <c r="I3544" s="19">
        <f>IFERROR(__xludf.DUMMYFUNCTION("""COMPUTED_VALUE"""),0.0022)</f>
        <v>0.0022</v>
      </c>
      <c r="J3544" s="19">
        <f>IFERROR(__xludf.DUMMYFUNCTION("""COMPUTED_VALUE"""),0.04747)</f>
        <v>0.04747</v>
      </c>
      <c r="K3544" s="19" t="str">
        <f>IFERROR(__xludf.DUMMYFUNCTION("""COMPUTED_VALUE"""),"-")</f>
        <v>-</v>
      </c>
      <c r="L3544" s="19" t="str">
        <f>IFERROR(__xludf.DUMMYFUNCTION("""COMPUTED_VALUE"""),"-")</f>
        <v>-</v>
      </c>
      <c r="O3544" s="24">
        <f t="shared" si="4"/>
        <v>0</v>
      </c>
      <c r="P3544" s="24"/>
      <c r="Q3544" s="24">
        <f t="shared" si="6"/>
        <v>0</v>
      </c>
      <c r="R3544" s="24">
        <f t="shared" si="7"/>
        <v>0</v>
      </c>
      <c r="S3544" s="24"/>
      <c r="T3544" s="24"/>
    </row>
    <row r="3545">
      <c r="A3545" s="12" t="s">
        <v>3632</v>
      </c>
      <c r="F3545" s="19">
        <f>IFERROR(__xludf.DUMMYFUNCTION("SPLIT(A3541, "" |"")"),3539.0)</f>
        <v>3539</v>
      </c>
      <c r="G3545" s="19">
        <f>IFERROR(__xludf.DUMMYFUNCTION("""COMPUTED_VALUE"""),0.00234)</f>
        <v>0.00234</v>
      </c>
      <c r="H3545" s="19" t="str">
        <f>IFERROR(__xludf.DUMMYFUNCTION("""COMPUTED_VALUE"""),"-")</f>
        <v>-</v>
      </c>
      <c r="I3545" s="19">
        <f>IFERROR(__xludf.DUMMYFUNCTION("""COMPUTED_VALUE"""),0.00217)</f>
        <v>0.00217</v>
      </c>
      <c r="J3545" s="19">
        <f>IFERROR(__xludf.DUMMYFUNCTION("""COMPUTED_VALUE"""),0.04733)</f>
        <v>0.04733</v>
      </c>
      <c r="K3545" s="19" t="str">
        <f>IFERROR(__xludf.DUMMYFUNCTION("""COMPUTED_VALUE"""),"-")</f>
        <v>-</v>
      </c>
      <c r="L3545" s="19" t="str">
        <f>IFERROR(__xludf.DUMMYFUNCTION("""COMPUTED_VALUE"""),"-")</f>
        <v>-</v>
      </c>
      <c r="O3545" s="24">
        <f t="shared" si="4"/>
        <v>0</v>
      </c>
      <c r="P3545" s="24"/>
      <c r="Q3545" s="24">
        <f t="shared" si="6"/>
        <v>0</v>
      </c>
      <c r="R3545" s="24">
        <f t="shared" si="7"/>
        <v>0</v>
      </c>
      <c r="S3545" s="24"/>
      <c r="T3545" s="24"/>
    </row>
    <row r="3546">
      <c r="A3546" s="12" t="s">
        <v>3633</v>
      </c>
      <c r="F3546" s="19">
        <f>IFERROR(__xludf.DUMMYFUNCTION("SPLIT(A3542, "" |"")"),3540.0)</f>
        <v>3540</v>
      </c>
      <c r="G3546" s="19">
        <f>IFERROR(__xludf.DUMMYFUNCTION("""COMPUTED_VALUE"""),0.00228)</f>
        <v>0.00228</v>
      </c>
      <c r="H3546" s="19" t="str">
        <f>IFERROR(__xludf.DUMMYFUNCTION("""COMPUTED_VALUE"""),"-")</f>
        <v>-</v>
      </c>
      <c r="I3546" s="19">
        <f>IFERROR(__xludf.DUMMYFUNCTION("""COMPUTED_VALUE"""),0.00215)</f>
        <v>0.00215</v>
      </c>
      <c r="J3546" s="19">
        <f>IFERROR(__xludf.DUMMYFUNCTION("""COMPUTED_VALUE"""),0.04017)</f>
        <v>0.04017</v>
      </c>
      <c r="K3546" s="19" t="str">
        <f>IFERROR(__xludf.DUMMYFUNCTION("""COMPUTED_VALUE"""),"-")</f>
        <v>-</v>
      </c>
      <c r="L3546" s="19" t="str">
        <f>IFERROR(__xludf.DUMMYFUNCTION("""COMPUTED_VALUE"""),"-")</f>
        <v>-</v>
      </c>
      <c r="O3546" s="24">
        <f t="shared" si="4"/>
        <v>0</v>
      </c>
      <c r="P3546" s="24"/>
      <c r="Q3546" s="24">
        <f t="shared" si="6"/>
        <v>0</v>
      </c>
      <c r="R3546" s="24">
        <f t="shared" si="7"/>
        <v>1</v>
      </c>
      <c r="S3546" s="24"/>
      <c r="T3546" s="24"/>
    </row>
    <row r="3547">
      <c r="A3547" s="12" t="s">
        <v>3634</v>
      </c>
      <c r="F3547" s="19">
        <f>IFERROR(__xludf.DUMMYFUNCTION("SPLIT(A3543, "" |"")"),3541.0)</f>
        <v>3541</v>
      </c>
      <c r="G3547" s="19">
        <f>IFERROR(__xludf.DUMMYFUNCTION("""COMPUTED_VALUE"""),0.00243)</f>
        <v>0.00243</v>
      </c>
      <c r="H3547" s="19" t="str">
        <f>IFERROR(__xludf.DUMMYFUNCTION("""COMPUTED_VALUE"""),"-")</f>
        <v>-</v>
      </c>
      <c r="I3547" s="19">
        <f>IFERROR(__xludf.DUMMYFUNCTION("""COMPUTED_VALUE"""),0.00222)</f>
        <v>0.00222</v>
      </c>
      <c r="J3547" s="19">
        <f>IFERROR(__xludf.DUMMYFUNCTION("""COMPUTED_VALUE"""),0.03566)</f>
        <v>0.03566</v>
      </c>
      <c r="K3547" s="19" t="str">
        <f>IFERROR(__xludf.DUMMYFUNCTION("""COMPUTED_VALUE"""),"-")</f>
        <v>-</v>
      </c>
      <c r="L3547" s="19" t="str">
        <f>IFERROR(__xludf.DUMMYFUNCTION("""COMPUTED_VALUE"""),"-")</f>
        <v>-</v>
      </c>
      <c r="O3547" s="24">
        <f t="shared" si="4"/>
        <v>0</v>
      </c>
      <c r="P3547" s="24"/>
      <c r="Q3547" s="24">
        <f t="shared" si="6"/>
        <v>0</v>
      </c>
      <c r="R3547" s="24">
        <f t="shared" si="7"/>
        <v>1</v>
      </c>
      <c r="S3547" s="24"/>
      <c r="T3547" s="24"/>
    </row>
    <row r="3548">
      <c r="A3548" s="12" t="s">
        <v>3635</v>
      </c>
      <c r="F3548" s="19">
        <f>IFERROR(__xludf.DUMMYFUNCTION("SPLIT(A3544, "" |"")"),3542.0)</f>
        <v>3542</v>
      </c>
      <c r="G3548" s="19">
        <f>IFERROR(__xludf.DUMMYFUNCTION("""COMPUTED_VALUE"""),0.00242)</f>
        <v>0.00242</v>
      </c>
      <c r="H3548" s="19" t="str">
        <f>IFERROR(__xludf.DUMMYFUNCTION("""COMPUTED_VALUE"""),"-")</f>
        <v>-</v>
      </c>
      <c r="I3548" s="19">
        <f>IFERROR(__xludf.DUMMYFUNCTION("""COMPUTED_VALUE"""),0.00229)</f>
        <v>0.00229</v>
      </c>
      <c r="J3548" s="19">
        <f>IFERROR(__xludf.DUMMYFUNCTION("""COMPUTED_VALUE"""),0.0475)</f>
        <v>0.0475</v>
      </c>
      <c r="K3548" s="19" t="str">
        <f>IFERROR(__xludf.DUMMYFUNCTION("""COMPUTED_VALUE"""),"-")</f>
        <v>-</v>
      </c>
      <c r="L3548" s="19" t="str">
        <f>IFERROR(__xludf.DUMMYFUNCTION("""COMPUTED_VALUE"""),"-")</f>
        <v>-</v>
      </c>
      <c r="O3548" s="24">
        <f t="shared" si="4"/>
        <v>0</v>
      </c>
      <c r="P3548" s="24"/>
      <c r="Q3548" s="24">
        <f t="shared" si="6"/>
        <v>0</v>
      </c>
      <c r="R3548" s="24">
        <f t="shared" si="7"/>
        <v>0</v>
      </c>
      <c r="S3548" s="24"/>
      <c r="T3548" s="24"/>
    </row>
    <row r="3549">
      <c r="A3549" s="12" t="s">
        <v>3636</v>
      </c>
      <c r="F3549" s="19">
        <f>IFERROR(__xludf.DUMMYFUNCTION("SPLIT(A3545, "" |"")"),3543.0)</f>
        <v>3543</v>
      </c>
      <c r="G3549" s="19">
        <f>IFERROR(__xludf.DUMMYFUNCTION("""COMPUTED_VALUE"""),0.00233)</f>
        <v>0.00233</v>
      </c>
      <c r="H3549" s="19" t="str">
        <f>IFERROR(__xludf.DUMMYFUNCTION("""COMPUTED_VALUE"""),"-")</f>
        <v>-</v>
      </c>
      <c r="I3549" s="19">
        <f>IFERROR(__xludf.DUMMYFUNCTION("""COMPUTED_VALUE"""),0.00222)</f>
        <v>0.00222</v>
      </c>
      <c r="J3549" s="19">
        <f>IFERROR(__xludf.DUMMYFUNCTION("""COMPUTED_VALUE"""),0.04748)</f>
        <v>0.04748</v>
      </c>
      <c r="K3549" s="19" t="str">
        <f>IFERROR(__xludf.DUMMYFUNCTION("""COMPUTED_VALUE"""),"-")</f>
        <v>-</v>
      </c>
      <c r="L3549" s="19" t="str">
        <f>IFERROR(__xludf.DUMMYFUNCTION("""COMPUTED_VALUE"""),"-")</f>
        <v>-</v>
      </c>
      <c r="O3549" s="24">
        <f t="shared" si="4"/>
        <v>0</v>
      </c>
      <c r="P3549" s="24"/>
      <c r="Q3549" s="24">
        <f t="shared" si="6"/>
        <v>0</v>
      </c>
      <c r="R3549" s="24">
        <f t="shared" si="7"/>
        <v>0</v>
      </c>
      <c r="S3549" s="24"/>
      <c r="T3549" s="24"/>
    </row>
    <row r="3550">
      <c r="A3550" s="12" t="s">
        <v>3637</v>
      </c>
      <c r="F3550" s="19">
        <f>IFERROR(__xludf.DUMMYFUNCTION("SPLIT(A3546, "" |"")"),3544.0)</f>
        <v>3544</v>
      </c>
      <c r="G3550" s="19">
        <f>IFERROR(__xludf.DUMMYFUNCTION("""COMPUTED_VALUE"""),0.00238)</f>
        <v>0.00238</v>
      </c>
      <c r="H3550" s="19" t="str">
        <f>IFERROR(__xludf.DUMMYFUNCTION("""COMPUTED_VALUE"""),"-")</f>
        <v>-</v>
      </c>
      <c r="I3550" s="19">
        <f>IFERROR(__xludf.DUMMYFUNCTION("""COMPUTED_VALUE"""),0.0022)</f>
        <v>0.0022</v>
      </c>
      <c r="J3550" s="19">
        <f>IFERROR(__xludf.DUMMYFUNCTION("""COMPUTED_VALUE"""),0.04744)</f>
        <v>0.04744</v>
      </c>
      <c r="K3550" s="19" t="str">
        <f>IFERROR(__xludf.DUMMYFUNCTION("""COMPUTED_VALUE"""),"-")</f>
        <v>-</v>
      </c>
      <c r="L3550" s="19" t="str">
        <f>IFERROR(__xludf.DUMMYFUNCTION("""COMPUTED_VALUE"""),"-")</f>
        <v>-</v>
      </c>
      <c r="O3550" s="24">
        <f t="shared" si="4"/>
        <v>0</v>
      </c>
      <c r="P3550" s="24"/>
      <c r="Q3550" s="24">
        <f t="shared" si="6"/>
        <v>0</v>
      </c>
      <c r="R3550" s="24">
        <f t="shared" si="7"/>
        <v>0</v>
      </c>
      <c r="S3550" s="24"/>
      <c r="T3550" s="24"/>
    </row>
    <row r="3551">
      <c r="A3551" s="12" t="s">
        <v>3638</v>
      </c>
      <c r="F3551" s="19">
        <f>IFERROR(__xludf.DUMMYFUNCTION("SPLIT(A3547, "" |"")"),3545.0)</f>
        <v>3545</v>
      </c>
      <c r="G3551" s="19">
        <f>IFERROR(__xludf.DUMMYFUNCTION("""COMPUTED_VALUE"""),0.00236)</f>
        <v>0.00236</v>
      </c>
      <c r="H3551" s="19" t="str">
        <f>IFERROR(__xludf.DUMMYFUNCTION("""COMPUTED_VALUE"""),"-")</f>
        <v>-</v>
      </c>
      <c r="I3551" s="19">
        <f>IFERROR(__xludf.DUMMYFUNCTION("""COMPUTED_VALUE"""),0.00224)</f>
        <v>0.00224</v>
      </c>
      <c r="J3551" s="19">
        <f>IFERROR(__xludf.DUMMYFUNCTION("""COMPUTED_VALUE"""),0.04749)</f>
        <v>0.04749</v>
      </c>
      <c r="K3551" s="19" t="str">
        <f>IFERROR(__xludf.DUMMYFUNCTION("""COMPUTED_VALUE"""),"-")</f>
        <v>-</v>
      </c>
      <c r="L3551" s="19" t="str">
        <f>IFERROR(__xludf.DUMMYFUNCTION("""COMPUTED_VALUE"""),"-")</f>
        <v>-</v>
      </c>
      <c r="O3551" s="24">
        <f t="shared" si="4"/>
        <v>0</v>
      </c>
      <c r="P3551" s="24"/>
      <c r="Q3551" s="24">
        <f t="shared" si="6"/>
        <v>0</v>
      </c>
      <c r="R3551" s="24">
        <f t="shared" si="7"/>
        <v>0</v>
      </c>
      <c r="S3551" s="24"/>
      <c r="T3551" s="24"/>
    </row>
    <row r="3552">
      <c r="A3552" s="12" t="s">
        <v>3639</v>
      </c>
      <c r="F3552" s="19">
        <f>IFERROR(__xludf.DUMMYFUNCTION("SPLIT(A3548, "" |"")"),3546.0)</f>
        <v>3546</v>
      </c>
      <c r="G3552" s="19">
        <f>IFERROR(__xludf.DUMMYFUNCTION("""COMPUTED_VALUE"""),0.00236)</f>
        <v>0.00236</v>
      </c>
      <c r="H3552" s="19" t="str">
        <f>IFERROR(__xludf.DUMMYFUNCTION("""COMPUTED_VALUE"""),"-")</f>
        <v>-</v>
      </c>
      <c r="I3552" s="19">
        <f>IFERROR(__xludf.DUMMYFUNCTION("""COMPUTED_VALUE"""),0.00224)</f>
        <v>0.00224</v>
      </c>
      <c r="J3552" s="19">
        <f>IFERROR(__xludf.DUMMYFUNCTION("""COMPUTED_VALUE"""),0.04752)</f>
        <v>0.04752</v>
      </c>
      <c r="K3552" s="19" t="str">
        <f>IFERROR(__xludf.DUMMYFUNCTION("""COMPUTED_VALUE"""),"-")</f>
        <v>-</v>
      </c>
      <c r="L3552" s="19" t="str">
        <f>IFERROR(__xludf.DUMMYFUNCTION("""COMPUTED_VALUE"""),"-")</f>
        <v>-</v>
      </c>
      <c r="O3552" s="24">
        <f t="shared" si="4"/>
        <v>0</v>
      </c>
      <c r="P3552" s="24"/>
      <c r="Q3552" s="24">
        <f t="shared" si="6"/>
        <v>0</v>
      </c>
      <c r="R3552" s="24">
        <f t="shared" si="7"/>
        <v>0</v>
      </c>
      <c r="S3552" s="24"/>
      <c r="T3552" s="24"/>
    </row>
    <row r="3553">
      <c r="A3553" s="12" t="s">
        <v>3640</v>
      </c>
      <c r="F3553" s="19">
        <f>IFERROR(__xludf.DUMMYFUNCTION("SPLIT(A3549, "" |"")"),3547.0)</f>
        <v>3547</v>
      </c>
      <c r="G3553" s="19">
        <f>IFERROR(__xludf.DUMMYFUNCTION("""COMPUTED_VALUE"""),0.00233)</f>
        <v>0.00233</v>
      </c>
      <c r="H3553" s="19" t="str">
        <f>IFERROR(__xludf.DUMMYFUNCTION("""COMPUTED_VALUE"""),"-")</f>
        <v>-</v>
      </c>
      <c r="I3553" s="19">
        <f>IFERROR(__xludf.DUMMYFUNCTION("""COMPUTED_VALUE"""),0.00228)</f>
        <v>0.00228</v>
      </c>
      <c r="J3553" s="19">
        <f>IFERROR(__xludf.DUMMYFUNCTION("""COMPUTED_VALUE"""),0.04712)</f>
        <v>0.04712</v>
      </c>
      <c r="K3553" s="19" t="str">
        <f>IFERROR(__xludf.DUMMYFUNCTION("""COMPUTED_VALUE"""),"-")</f>
        <v>-</v>
      </c>
      <c r="L3553" s="19" t="str">
        <f>IFERROR(__xludf.DUMMYFUNCTION("""COMPUTED_VALUE"""),"-")</f>
        <v>-</v>
      </c>
      <c r="O3553" s="24">
        <f t="shared" si="4"/>
        <v>0</v>
      </c>
      <c r="P3553" s="24"/>
      <c r="Q3553" s="24">
        <f t="shared" si="6"/>
        <v>0</v>
      </c>
      <c r="R3553" s="24">
        <f t="shared" si="7"/>
        <v>0</v>
      </c>
      <c r="S3553" s="24"/>
      <c r="T3553" s="24"/>
    </row>
    <row r="3554">
      <c r="A3554" s="12" t="s">
        <v>3641</v>
      </c>
      <c r="F3554" s="19">
        <f>IFERROR(__xludf.DUMMYFUNCTION("SPLIT(A3550, "" |"")"),3548.0)</f>
        <v>3548</v>
      </c>
      <c r="G3554" s="19">
        <f>IFERROR(__xludf.DUMMYFUNCTION("""COMPUTED_VALUE"""),0.00229)</f>
        <v>0.00229</v>
      </c>
      <c r="H3554" s="19" t="str">
        <f>IFERROR(__xludf.DUMMYFUNCTION("""COMPUTED_VALUE"""),"-")</f>
        <v>-</v>
      </c>
      <c r="I3554" s="19">
        <f>IFERROR(__xludf.DUMMYFUNCTION("""COMPUTED_VALUE"""),0.0022)</f>
        <v>0.0022</v>
      </c>
      <c r="J3554" s="19">
        <f>IFERROR(__xludf.DUMMYFUNCTION("""COMPUTED_VALUE"""),0.04751)</f>
        <v>0.04751</v>
      </c>
      <c r="K3554" s="19" t="str">
        <f>IFERROR(__xludf.DUMMYFUNCTION("""COMPUTED_VALUE"""),"-")</f>
        <v>-</v>
      </c>
      <c r="L3554" s="19" t="str">
        <f>IFERROR(__xludf.DUMMYFUNCTION("""COMPUTED_VALUE"""),"-")</f>
        <v>-</v>
      </c>
      <c r="O3554" s="24">
        <f t="shared" si="4"/>
        <v>0</v>
      </c>
      <c r="P3554" s="24"/>
      <c r="Q3554" s="24">
        <f t="shared" si="6"/>
        <v>0</v>
      </c>
      <c r="R3554" s="24">
        <f t="shared" si="7"/>
        <v>0</v>
      </c>
      <c r="S3554" s="24"/>
      <c r="T3554" s="24"/>
    </row>
    <row r="3555">
      <c r="A3555" s="12" t="s">
        <v>3642</v>
      </c>
      <c r="F3555" s="19">
        <f>IFERROR(__xludf.DUMMYFUNCTION("SPLIT(A3551, "" |"")"),3549.0)</f>
        <v>3549</v>
      </c>
      <c r="G3555" s="19">
        <f>IFERROR(__xludf.DUMMYFUNCTION("""COMPUTED_VALUE"""),0.00239)</f>
        <v>0.00239</v>
      </c>
      <c r="H3555" s="19" t="str">
        <f>IFERROR(__xludf.DUMMYFUNCTION("""COMPUTED_VALUE"""),"-")</f>
        <v>-</v>
      </c>
      <c r="I3555" s="19">
        <f>IFERROR(__xludf.DUMMYFUNCTION("""COMPUTED_VALUE"""),0.0022)</f>
        <v>0.0022</v>
      </c>
      <c r="J3555" s="19">
        <f>IFERROR(__xludf.DUMMYFUNCTION("""COMPUTED_VALUE"""),0.04749)</f>
        <v>0.04749</v>
      </c>
      <c r="K3555" s="19" t="str">
        <f>IFERROR(__xludf.DUMMYFUNCTION("""COMPUTED_VALUE"""),"-")</f>
        <v>-</v>
      </c>
      <c r="L3555" s="19" t="str">
        <f>IFERROR(__xludf.DUMMYFUNCTION("""COMPUTED_VALUE"""),"-")</f>
        <v>-</v>
      </c>
      <c r="O3555" s="24">
        <f t="shared" si="4"/>
        <v>0</v>
      </c>
      <c r="P3555" s="24"/>
      <c r="Q3555" s="24">
        <f t="shared" si="6"/>
        <v>0</v>
      </c>
      <c r="R3555" s="24">
        <f t="shared" si="7"/>
        <v>0</v>
      </c>
      <c r="S3555" s="24"/>
      <c r="T3555" s="24"/>
    </row>
    <row r="3556">
      <c r="A3556" s="12" t="s">
        <v>3643</v>
      </c>
      <c r="F3556" s="19">
        <f>IFERROR(__xludf.DUMMYFUNCTION("SPLIT(A3552, "" |"")"),3550.0)</f>
        <v>3550</v>
      </c>
      <c r="G3556" s="19">
        <f>IFERROR(__xludf.DUMMYFUNCTION("""COMPUTED_VALUE"""),0.00226)</f>
        <v>0.00226</v>
      </c>
      <c r="H3556" s="19" t="str">
        <f>IFERROR(__xludf.DUMMYFUNCTION("""COMPUTED_VALUE"""),"-")</f>
        <v>-</v>
      </c>
      <c r="I3556" s="19">
        <f>IFERROR(__xludf.DUMMYFUNCTION("""COMPUTED_VALUE"""),0.00227)</f>
        <v>0.00227</v>
      </c>
      <c r="J3556" s="19">
        <f>IFERROR(__xludf.DUMMYFUNCTION("""COMPUTED_VALUE"""),0.04757)</f>
        <v>0.04757</v>
      </c>
      <c r="K3556" s="19" t="str">
        <f>IFERROR(__xludf.DUMMYFUNCTION("""COMPUTED_VALUE"""),"-")</f>
        <v>-</v>
      </c>
      <c r="L3556" s="19" t="str">
        <f>IFERROR(__xludf.DUMMYFUNCTION("""COMPUTED_VALUE"""),"-")</f>
        <v>-</v>
      </c>
      <c r="O3556" s="24">
        <f t="shared" si="4"/>
        <v>0</v>
      </c>
      <c r="P3556" s="24"/>
      <c r="Q3556" s="24">
        <f t="shared" si="6"/>
        <v>0</v>
      </c>
      <c r="R3556" s="24">
        <f t="shared" si="7"/>
        <v>0</v>
      </c>
      <c r="S3556" s="24"/>
      <c r="T3556" s="24"/>
    </row>
    <row r="3557">
      <c r="A3557" s="12" t="s">
        <v>3644</v>
      </c>
      <c r="F3557" s="19">
        <f>IFERROR(__xludf.DUMMYFUNCTION("SPLIT(A3553, "" |"")"),3551.0)</f>
        <v>3551</v>
      </c>
      <c r="G3557" s="19">
        <f>IFERROR(__xludf.DUMMYFUNCTION("""COMPUTED_VALUE"""),0.00249)</f>
        <v>0.00249</v>
      </c>
      <c r="H3557" s="19" t="str">
        <f>IFERROR(__xludf.DUMMYFUNCTION("""COMPUTED_VALUE"""),"-")</f>
        <v>-</v>
      </c>
      <c r="I3557" s="19">
        <f>IFERROR(__xludf.DUMMYFUNCTION("""COMPUTED_VALUE"""),0.00202)</f>
        <v>0.00202</v>
      </c>
      <c r="J3557" s="19">
        <f>IFERROR(__xludf.DUMMYFUNCTION("""COMPUTED_VALUE"""),0.04394)</f>
        <v>0.04394</v>
      </c>
      <c r="K3557" s="19" t="str">
        <f>IFERROR(__xludf.DUMMYFUNCTION("""COMPUTED_VALUE"""),"-")</f>
        <v>-</v>
      </c>
      <c r="L3557" s="19" t="str">
        <f>IFERROR(__xludf.DUMMYFUNCTION("""COMPUTED_VALUE"""),"-")</f>
        <v>-</v>
      </c>
      <c r="O3557" s="24">
        <f t="shared" si="4"/>
        <v>0</v>
      </c>
      <c r="P3557" s="24"/>
      <c r="Q3557" s="24">
        <f t="shared" si="6"/>
        <v>0</v>
      </c>
      <c r="R3557" s="24">
        <f t="shared" si="7"/>
        <v>1</v>
      </c>
      <c r="S3557" s="24"/>
      <c r="T3557" s="24"/>
    </row>
    <row r="3558">
      <c r="A3558" s="12" t="s">
        <v>3645</v>
      </c>
      <c r="F3558" s="19">
        <f>IFERROR(__xludf.DUMMYFUNCTION("SPLIT(A3554, "" |"")"),3552.0)</f>
        <v>3552</v>
      </c>
      <c r="G3558" s="19">
        <f>IFERROR(__xludf.DUMMYFUNCTION("""COMPUTED_VALUE"""),0.00226)</f>
        <v>0.00226</v>
      </c>
      <c r="H3558" s="19" t="str">
        <f>IFERROR(__xludf.DUMMYFUNCTION("""COMPUTED_VALUE"""),"-")</f>
        <v>-</v>
      </c>
      <c r="I3558" s="19">
        <f>IFERROR(__xludf.DUMMYFUNCTION("""COMPUTED_VALUE"""),0.00224)</f>
        <v>0.00224</v>
      </c>
      <c r="J3558" s="19">
        <f>IFERROR(__xludf.DUMMYFUNCTION("""COMPUTED_VALUE"""),0.04155)</f>
        <v>0.04155</v>
      </c>
      <c r="K3558" s="19" t="str">
        <f>IFERROR(__xludf.DUMMYFUNCTION("""COMPUTED_VALUE"""),"-")</f>
        <v>-</v>
      </c>
      <c r="L3558" s="19" t="str">
        <f>IFERROR(__xludf.DUMMYFUNCTION("""COMPUTED_VALUE"""),"-")</f>
        <v>-</v>
      </c>
      <c r="O3558" s="24">
        <f t="shared" si="4"/>
        <v>0</v>
      </c>
      <c r="P3558" s="24"/>
      <c r="Q3558" s="24">
        <f t="shared" si="6"/>
        <v>0</v>
      </c>
      <c r="R3558" s="24">
        <f t="shared" si="7"/>
        <v>1</v>
      </c>
      <c r="S3558" s="24"/>
      <c r="T3558" s="24"/>
    </row>
    <row r="3559">
      <c r="A3559" s="12" t="s">
        <v>3646</v>
      </c>
      <c r="F3559" s="19">
        <f>IFERROR(__xludf.DUMMYFUNCTION("SPLIT(A3555, "" |"")"),3553.0)</f>
        <v>3553</v>
      </c>
      <c r="G3559" s="19">
        <f>IFERROR(__xludf.DUMMYFUNCTION("""COMPUTED_VALUE"""),0.00258)</f>
        <v>0.00258</v>
      </c>
      <c r="H3559" s="19" t="str">
        <f>IFERROR(__xludf.DUMMYFUNCTION("""COMPUTED_VALUE"""),"-")</f>
        <v>-</v>
      </c>
      <c r="I3559" s="19">
        <f>IFERROR(__xludf.DUMMYFUNCTION("""COMPUTED_VALUE"""),0.00237)</f>
        <v>0.00237</v>
      </c>
      <c r="J3559" s="19">
        <f>IFERROR(__xludf.DUMMYFUNCTION("""COMPUTED_VALUE"""),0.04574)</f>
        <v>0.04574</v>
      </c>
      <c r="K3559" s="19" t="str">
        <f>IFERROR(__xludf.DUMMYFUNCTION("""COMPUTED_VALUE"""),"-")</f>
        <v>-</v>
      </c>
      <c r="L3559" s="19" t="str">
        <f>IFERROR(__xludf.DUMMYFUNCTION("""COMPUTED_VALUE"""),"-")</f>
        <v>-</v>
      </c>
      <c r="O3559" s="24">
        <f t="shared" si="4"/>
        <v>0</v>
      </c>
      <c r="P3559" s="24"/>
      <c r="Q3559" s="24">
        <f t="shared" si="6"/>
        <v>0</v>
      </c>
      <c r="R3559" s="24">
        <f t="shared" si="7"/>
        <v>0</v>
      </c>
      <c r="S3559" s="24"/>
      <c r="T3559" s="24"/>
    </row>
    <row r="3560">
      <c r="A3560" s="12" t="s">
        <v>3647</v>
      </c>
      <c r="F3560" s="19">
        <f>IFERROR(__xludf.DUMMYFUNCTION("SPLIT(A3556, "" |"")"),3554.0)</f>
        <v>3554</v>
      </c>
      <c r="G3560" s="19">
        <f>IFERROR(__xludf.DUMMYFUNCTION("""COMPUTED_VALUE"""),0.00237)</f>
        <v>0.00237</v>
      </c>
      <c r="H3560" s="19" t="str">
        <f>IFERROR(__xludf.DUMMYFUNCTION("""COMPUTED_VALUE"""),"-")</f>
        <v>-</v>
      </c>
      <c r="I3560" s="19">
        <f>IFERROR(__xludf.DUMMYFUNCTION("""COMPUTED_VALUE"""),0.00223)</f>
        <v>0.00223</v>
      </c>
      <c r="J3560" s="19">
        <f>IFERROR(__xludf.DUMMYFUNCTION("""COMPUTED_VALUE"""),0.04748)</f>
        <v>0.04748</v>
      </c>
      <c r="K3560" s="19" t="str">
        <f>IFERROR(__xludf.DUMMYFUNCTION("""COMPUTED_VALUE"""),"-")</f>
        <v>-</v>
      </c>
      <c r="L3560" s="19" t="str">
        <f>IFERROR(__xludf.DUMMYFUNCTION("""COMPUTED_VALUE"""),"-")</f>
        <v>-</v>
      </c>
      <c r="O3560" s="24">
        <f t="shared" si="4"/>
        <v>0</v>
      </c>
      <c r="P3560" s="24"/>
      <c r="Q3560" s="24">
        <f t="shared" si="6"/>
        <v>0</v>
      </c>
      <c r="R3560" s="24">
        <f t="shared" si="7"/>
        <v>0</v>
      </c>
      <c r="S3560" s="24"/>
      <c r="T3560" s="24"/>
    </row>
    <row r="3561">
      <c r="A3561" s="12" t="s">
        <v>3648</v>
      </c>
      <c r="F3561" s="19">
        <f>IFERROR(__xludf.DUMMYFUNCTION("SPLIT(A3557, "" |"")"),3555.0)</f>
        <v>3555</v>
      </c>
      <c r="G3561" s="19">
        <f>IFERROR(__xludf.DUMMYFUNCTION("""COMPUTED_VALUE"""),0.00235)</f>
        <v>0.00235</v>
      </c>
      <c r="H3561" s="19" t="str">
        <f>IFERROR(__xludf.DUMMYFUNCTION("""COMPUTED_VALUE"""),"-")</f>
        <v>-</v>
      </c>
      <c r="I3561" s="19">
        <f>IFERROR(__xludf.DUMMYFUNCTION("""COMPUTED_VALUE"""),0.00227)</f>
        <v>0.00227</v>
      </c>
      <c r="J3561" s="19">
        <f>IFERROR(__xludf.DUMMYFUNCTION("""COMPUTED_VALUE"""),0.04666)</f>
        <v>0.04666</v>
      </c>
      <c r="K3561" s="19" t="str">
        <f>IFERROR(__xludf.DUMMYFUNCTION("""COMPUTED_VALUE"""),"-")</f>
        <v>-</v>
      </c>
      <c r="L3561" s="19" t="str">
        <f>IFERROR(__xludf.DUMMYFUNCTION("""COMPUTED_VALUE"""),"-")</f>
        <v>-</v>
      </c>
      <c r="O3561" s="24">
        <f t="shared" si="4"/>
        <v>0</v>
      </c>
      <c r="P3561" s="24"/>
      <c r="Q3561" s="24">
        <f t="shared" si="6"/>
        <v>0</v>
      </c>
      <c r="R3561" s="24">
        <f t="shared" si="7"/>
        <v>0</v>
      </c>
      <c r="S3561" s="24"/>
      <c r="T3561" s="24"/>
    </row>
    <row r="3562">
      <c r="A3562" s="12" t="s">
        <v>3649</v>
      </c>
      <c r="F3562" s="19">
        <f>IFERROR(__xludf.DUMMYFUNCTION("SPLIT(A3558, "" |"")"),3556.0)</f>
        <v>3556</v>
      </c>
      <c r="G3562" s="19">
        <f>IFERROR(__xludf.DUMMYFUNCTION("""COMPUTED_VALUE"""),0.00235)</f>
        <v>0.00235</v>
      </c>
      <c r="H3562" s="19" t="str">
        <f>IFERROR(__xludf.DUMMYFUNCTION("""COMPUTED_VALUE"""),"-")</f>
        <v>-</v>
      </c>
      <c r="I3562" s="19">
        <f>IFERROR(__xludf.DUMMYFUNCTION("""COMPUTED_VALUE"""),0.00223)</f>
        <v>0.00223</v>
      </c>
      <c r="J3562" s="19">
        <f>IFERROR(__xludf.DUMMYFUNCTION("""COMPUTED_VALUE"""),0.04738)</f>
        <v>0.04738</v>
      </c>
      <c r="K3562" s="19" t="str">
        <f>IFERROR(__xludf.DUMMYFUNCTION("""COMPUTED_VALUE"""),"-")</f>
        <v>-</v>
      </c>
      <c r="L3562" s="19" t="str">
        <f>IFERROR(__xludf.DUMMYFUNCTION("""COMPUTED_VALUE"""),"-")</f>
        <v>-</v>
      </c>
      <c r="O3562" s="24">
        <f t="shared" si="4"/>
        <v>0</v>
      </c>
      <c r="P3562" s="24"/>
      <c r="Q3562" s="24">
        <f t="shared" si="6"/>
        <v>0</v>
      </c>
      <c r="R3562" s="24">
        <f t="shared" si="7"/>
        <v>0</v>
      </c>
      <c r="S3562" s="24"/>
      <c r="T3562" s="24"/>
    </row>
    <row r="3563">
      <c r="A3563" s="12" t="s">
        <v>3650</v>
      </c>
      <c r="F3563" s="19">
        <f>IFERROR(__xludf.DUMMYFUNCTION("SPLIT(A3559, "" |"")"),3557.0)</f>
        <v>3557</v>
      </c>
      <c r="G3563" s="19">
        <f>IFERROR(__xludf.DUMMYFUNCTION("""COMPUTED_VALUE"""),0.00235)</f>
        <v>0.00235</v>
      </c>
      <c r="H3563" s="19" t="str">
        <f>IFERROR(__xludf.DUMMYFUNCTION("""COMPUTED_VALUE"""),"-")</f>
        <v>-</v>
      </c>
      <c r="I3563" s="19">
        <f>IFERROR(__xludf.DUMMYFUNCTION("""COMPUTED_VALUE"""),0.00222)</f>
        <v>0.00222</v>
      </c>
      <c r="J3563" s="19">
        <f>IFERROR(__xludf.DUMMYFUNCTION("""COMPUTED_VALUE"""),0.04737)</f>
        <v>0.04737</v>
      </c>
      <c r="K3563" s="19" t="str">
        <f>IFERROR(__xludf.DUMMYFUNCTION("""COMPUTED_VALUE"""),"-")</f>
        <v>-</v>
      </c>
      <c r="L3563" s="19" t="str">
        <f>IFERROR(__xludf.DUMMYFUNCTION("""COMPUTED_VALUE"""),"-")</f>
        <v>-</v>
      </c>
      <c r="O3563" s="24">
        <f t="shared" si="4"/>
        <v>0</v>
      </c>
      <c r="P3563" s="24"/>
      <c r="Q3563" s="24">
        <f t="shared" si="6"/>
        <v>0</v>
      </c>
      <c r="R3563" s="24">
        <f t="shared" si="7"/>
        <v>0</v>
      </c>
      <c r="S3563" s="24"/>
      <c r="T3563" s="24"/>
    </row>
    <row r="3564">
      <c r="A3564" s="12" t="s">
        <v>3651</v>
      </c>
      <c r="F3564" s="19">
        <f>IFERROR(__xludf.DUMMYFUNCTION("SPLIT(A3560, "" |"")"),3558.0)</f>
        <v>3558</v>
      </c>
      <c r="G3564" s="19">
        <f>IFERROR(__xludf.DUMMYFUNCTION("""COMPUTED_VALUE"""),0.00229)</f>
        <v>0.00229</v>
      </c>
      <c r="H3564" s="19" t="str">
        <f>IFERROR(__xludf.DUMMYFUNCTION("""COMPUTED_VALUE"""),"-")</f>
        <v>-</v>
      </c>
      <c r="I3564" s="19">
        <f>IFERROR(__xludf.DUMMYFUNCTION("""COMPUTED_VALUE"""),0.00224)</f>
        <v>0.00224</v>
      </c>
      <c r="J3564" s="19">
        <f>IFERROR(__xludf.DUMMYFUNCTION("""COMPUTED_VALUE"""),0.04749)</f>
        <v>0.04749</v>
      </c>
      <c r="K3564" s="19" t="str">
        <f>IFERROR(__xludf.DUMMYFUNCTION("""COMPUTED_VALUE"""),"-")</f>
        <v>-</v>
      </c>
      <c r="L3564" s="19" t="str">
        <f>IFERROR(__xludf.DUMMYFUNCTION("""COMPUTED_VALUE"""),"-")</f>
        <v>-</v>
      </c>
      <c r="O3564" s="24">
        <f t="shared" si="4"/>
        <v>0</v>
      </c>
      <c r="P3564" s="24"/>
      <c r="Q3564" s="24">
        <f t="shared" si="6"/>
        <v>0</v>
      </c>
      <c r="R3564" s="24">
        <f t="shared" si="7"/>
        <v>0</v>
      </c>
      <c r="S3564" s="24"/>
      <c r="T3564" s="24"/>
    </row>
    <row r="3565">
      <c r="A3565" s="12" t="s">
        <v>3652</v>
      </c>
      <c r="F3565" s="19">
        <f>IFERROR(__xludf.DUMMYFUNCTION("SPLIT(A3561, "" |"")"),3559.0)</f>
        <v>3559</v>
      </c>
      <c r="G3565" s="19">
        <f>IFERROR(__xludf.DUMMYFUNCTION("""COMPUTED_VALUE"""),0.00233)</f>
        <v>0.00233</v>
      </c>
      <c r="H3565" s="19" t="str">
        <f>IFERROR(__xludf.DUMMYFUNCTION("""COMPUTED_VALUE"""),"-")</f>
        <v>-</v>
      </c>
      <c r="I3565" s="19">
        <f>IFERROR(__xludf.DUMMYFUNCTION("""COMPUTED_VALUE"""),0.00231)</f>
        <v>0.00231</v>
      </c>
      <c r="J3565" s="19">
        <f>IFERROR(__xludf.DUMMYFUNCTION("""COMPUTED_VALUE"""),0.04744)</f>
        <v>0.04744</v>
      </c>
      <c r="K3565" s="19" t="str">
        <f>IFERROR(__xludf.DUMMYFUNCTION("""COMPUTED_VALUE"""),"-")</f>
        <v>-</v>
      </c>
      <c r="L3565" s="19" t="str">
        <f>IFERROR(__xludf.DUMMYFUNCTION("""COMPUTED_VALUE"""),"-")</f>
        <v>-</v>
      </c>
      <c r="O3565" s="24">
        <f t="shared" si="4"/>
        <v>0</v>
      </c>
      <c r="P3565" s="24"/>
      <c r="Q3565" s="24">
        <f t="shared" si="6"/>
        <v>0</v>
      </c>
      <c r="R3565" s="24">
        <f t="shared" si="7"/>
        <v>0</v>
      </c>
      <c r="S3565" s="24"/>
      <c r="T3565" s="24"/>
    </row>
    <row r="3566">
      <c r="A3566" s="12" t="s">
        <v>3653</v>
      </c>
      <c r="F3566" s="19">
        <f>IFERROR(__xludf.DUMMYFUNCTION("SPLIT(A3562, "" |"")"),3560.0)</f>
        <v>3560</v>
      </c>
      <c r="G3566" s="19">
        <f>IFERROR(__xludf.DUMMYFUNCTION("""COMPUTED_VALUE"""),0.00222)</f>
        <v>0.00222</v>
      </c>
      <c r="H3566" s="19" t="str">
        <f>IFERROR(__xludf.DUMMYFUNCTION("""COMPUTED_VALUE"""),"-")</f>
        <v>-</v>
      </c>
      <c r="I3566" s="19">
        <f>IFERROR(__xludf.DUMMYFUNCTION("""COMPUTED_VALUE"""),0.0021)</f>
        <v>0.0021</v>
      </c>
      <c r="J3566" s="19">
        <f>IFERROR(__xludf.DUMMYFUNCTION("""COMPUTED_VALUE"""),0.04735)</f>
        <v>0.04735</v>
      </c>
      <c r="K3566" s="19" t="str">
        <f>IFERROR(__xludf.DUMMYFUNCTION("""COMPUTED_VALUE"""),"-")</f>
        <v>-</v>
      </c>
      <c r="L3566" s="19" t="str">
        <f>IFERROR(__xludf.DUMMYFUNCTION("""COMPUTED_VALUE"""),"-")</f>
        <v>-</v>
      </c>
      <c r="O3566" s="24">
        <f t="shared" si="4"/>
        <v>0</v>
      </c>
      <c r="P3566" s="24"/>
      <c r="Q3566" s="24">
        <f t="shared" si="6"/>
        <v>0</v>
      </c>
      <c r="R3566" s="24">
        <f t="shared" si="7"/>
        <v>0</v>
      </c>
      <c r="S3566" s="24"/>
      <c r="T3566" s="24"/>
    </row>
    <row r="3567">
      <c r="A3567" s="12" t="s">
        <v>3654</v>
      </c>
      <c r="F3567" s="19">
        <f>IFERROR(__xludf.DUMMYFUNCTION("SPLIT(A3563, "" |"")"),3561.0)</f>
        <v>3561</v>
      </c>
      <c r="G3567" s="19">
        <f>IFERROR(__xludf.DUMMYFUNCTION("""COMPUTED_VALUE"""),0.00238)</f>
        <v>0.00238</v>
      </c>
      <c r="H3567" s="19" t="str">
        <f>IFERROR(__xludf.DUMMYFUNCTION("""COMPUTED_VALUE"""),"-")</f>
        <v>-</v>
      </c>
      <c r="I3567" s="19">
        <f>IFERROR(__xludf.DUMMYFUNCTION("""COMPUTED_VALUE"""),0.00224)</f>
        <v>0.00224</v>
      </c>
      <c r="J3567" s="19">
        <f>IFERROR(__xludf.DUMMYFUNCTION("""COMPUTED_VALUE"""),0.04653)</f>
        <v>0.04653</v>
      </c>
      <c r="K3567" s="19" t="str">
        <f>IFERROR(__xludf.DUMMYFUNCTION("""COMPUTED_VALUE"""),"-")</f>
        <v>-</v>
      </c>
      <c r="L3567" s="19" t="str">
        <f>IFERROR(__xludf.DUMMYFUNCTION("""COMPUTED_VALUE"""),"-")</f>
        <v>-</v>
      </c>
      <c r="O3567" s="24">
        <f t="shared" si="4"/>
        <v>0</v>
      </c>
      <c r="P3567" s="24"/>
      <c r="Q3567" s="24">
        <f t="shared" si="6"/>
        <v>0</v>
      </c>
      <c r="R3567" s="24">
        <f t="shared" si="7"/>
        <v>0</v>
      </c>
      <c r="S3567" s="24"/>
      <c r="T3567" s="24"/>
    </row>
    <row r="3568">
      <c r="A3568" s="12" t="s">
        <v>3655</v>
      </c>
      <c r="F3568" s="19">
        <f>IFERROR(__xludf.DUMMYFUNCTION("SPLIT(A3564, "" |"")"),3562.0)</f>
        <v>3562</v>
      </c>
      <c r="G3568" s="19">
        <f>IFERROR(__xludf.DUMMYFUNCTION("""COMPUTED_VALUE"""),0.00238)</f>
        <v>0.00238</v>
      </c>
      <c r="H3568" s="19" t="str">
        <f>IFERROR(__xludf.DUMMYFUNCTION("""COMPUTED_VALUE"""),"-")</f>
        <v>-</v>
      </c>
      <c r="I3568" s="19">
        <f>IFERROR(__xludf.DUMMYFUNCTION("""COMPUTED_VALUE"""),0.00224)</f>
        <v>0.00224</v>
      </c>
      <c r="J3568" s="19">
        <f>IFERROR(__xludf.DUMMYFUNCTION("""COMPUTED_VALUE"""),0.04384)</f>
        <v>0.04384</v>
      </c>
      <c r="K3568" s="19" t="str">
        <f>IFERROR(__xludf.DUMMYFUNCTION("""COMPUTED_VALUE"""),"-")</f>
        <v>-</v>
      </c>
      <c r="L3568" s="19" t="str">
        <f>IFERROR(__xludf.DUMMYFUNCTION("""COMPUTED_VALUE"""),"-")</f>
        <v>-</v>
      </c>
      <c r="O3568" s="24">
        <f t="shared" si="4"/>
        <v>0</v>
      </c>
      <c r="P3568" s="24"/>
      <c r="Q3568" s="24">
        <f t="shared" si="6"/>
        <v>0</v>
      </c>
      <c r="R3568" s="24">
        <f t="shared" si="7"/>
        <v>1</v>
      </c>
      <c r="S3568" s="24"/>
      <c r="T3568" s="24"/>
    </row>
    <row r="3569">
      <c r="A3569" s="12" t="s">
        <v>3656</v>
      </c>
      <c r="F3569" s="19">
        <f>IFERROR(__xludf.DUMMYFUNCTION("SPLIT(A3565, "" |"")"),3563.0)</f>
        <v>3563</v>
      </c>
      <c r="G3569" s="19">
        <f>IFERROR(__xludf.DUMMYFUNCTION("""COMPUTED_VALUE"""),0.00231)</f>
        <v>0.00231</v>
      </c>
      <c r="H3569" s="19" t="str">
        <f>IFERROR(__xludf.DUMMYFUNCTION("""COMPUTED_VALUE"""),"-")</f>
        <v>-</v>
      </c>
      <c r="I3569" s="19">
        <f>IFERROR(__xludf.DUMMYFUNCTION("""COMPUTED_VALUE"""),0.00207)</f>
        <v>0.00207</v>
      </c>
      <c r="J3569" s="19">
        <f>IFERROR(__xludf.DUMMYFUNCTION("""COMPUTED_VALUE"""),0.04732)</f>
        <v>0.04732</v>
      </c>
      <c r="K3569" s="19" t="str">
        <f>IFERROR(__xludf.DUMMYFUNCTION("""COMPUTED_VALUE"""),"-")</f>
        <v>-</v>
      </c>
      <c r="L3569" s="19" t="str">
        <f>IFERROR(__xludf.DUMMYFUNCTION("""COMPUTED_VALUE"""),"-")</f>
        <v>-</v>
      </c>
      <c r="O3569" s="24">
        <f t="shared" si="4"/>
        <v>0</v>
      </c>
      <c r="P3569" s="24"/>
      <c r="Q3569" s="24">
        <f t="shared" si="6"/>
        <v>0</v>
      </c>
      <c r="R3569" s="24">
        <f t="shared" si="7"/>
        <v>0</v>
      </c>
      <c r="S3569" s="24"/>
      <c r="T3569" s="24"/>
    </row>
    <row r="3570">
      <c r="A3570" s="12" t="s">
        <v>3657</v>
      </c>
      <c r="F3570" s="19">
        <f>IFERROR(__xludf.DUMMYFUNCTION("SPLIT(A3566, "" |"")"),3564.0)</f>
        <v>3564</v>
      </c>
      <c r="G3570" s="19">
        <f>IFERROR(__xludf.DUMMYFUNCTION("""COMPUTED_VALUE"""),0.00228)</f>
        <v>0.00228</v>
      </c>
      <c r="H3570" s="19" t="str">
        <f>IFERROR(__xludf.DUMMYFUNCTION("""COMPUTED_VALUE"""),"-")</f>
        <v>-</v>
      </c>
      <c r="I3570" s="19">
        <f>IFERROR(__xludf.DUMMYFUNCTION("""COMPUTED_VALUE"""),0.00209)</f>
        <v>0.00209</v>
      </c>
      <c r="J3570" s="19">
        <f>IFERROR(__xludf.DUMMYFUNCTION("""COMPUTED_VALUE"""),0.04739)</f>
        <v>0.04739</v>
      </c>
      <c r="K3570" s="19" t="str">
        <f>IFERROR(__xludf.DUMMYFUNCTION("""COMPUTED_VALUE"""),"-")</f>
        <v>-</v>
      </c>
      <c r="L3570" s="19" t="str">
        <f>IFERROR(__xludf.DUMMYFUNCTION("""COMPUTED_VALUE"""),"-")</f>
        <v>-</v>
      </c>
      <c r="O3570" s="24">
        <f t="shared" si="4"/>
        <v>0</v>
      </c>
      <c r="P3570" s="24"/>
      <c r="Q3570" s="24">
        <f t="shared" si="6"/>
        <v>0</v>
      </c>
      <c r="R3570" s="24">
        <f t="shared" si="7"/>
        <v>0</v>
      </c>
      <c r="S3570" s="24"/>
      <c r="T3570" s="24"/>
    </row>
    <row r="3571">
      <c r="A3571" s="12" t="s">
        <v>3658</v>
      </c>
      <c r="F3571" s="19">
        <f>IFERROR(__xludf.DUMMYFUNCTION("SPLIT(A3567, "" |"")"),3565.0)</f>
        <v>3565</v>
      </c>
      <c r="G3571" s="19">
        <f>IFERROR(__xludf.DUMMYFUNCTION("""COMPUTED_VALUE"""),0.00237)</f>
        <v>0.00237</v>
      </c>
      <c r="H3571" s="19" t="str">
        <f>IFERROR(__xludf.DUMMYFUNCTION("""COMPUTED_VALUE"""),"-")</f>
        <v>-</v>
      </c>
      <c r="I3571" s="19">
        <f>IFERROR(__xludf.DUMMYFUNCTION("""COMPUTED_VALUE"""),0.00228)</f>
        <v>0.00228</v>
      </c>
      <c r="J3571" s="19">
        <f>IFERROR(__xludf.DUMMYFUNCTION("""COMPUTED_VALUE"""),0.04748)</f>
        <v>0.04748</v>
      </c>
      <c r="K3571" s="19" t="str">
        <f>IFERROR(__xludf.DUMMYFUNCTION("""COMPUTED_VALUE"""),"-")</f>
        <v>-</v>
      </c>
      <c r="L3571" s="19" t="str">
        <f>IFERROR(__xludf.DUMMYFUNCTION("""COMPUTED_VALUE"""),"-")</f>
        <v>-</v>
      </c>
      <c r="O3571" s="24">
        <f t="shared" si="4"/>
        <v>0</v>
      </c>
      <c r="P3571" s="24"/>
      <c r="Q3571" s="24">
        <f t="shared" si="6"/>
        <v>0</v>
      </c>
      <c r="R3571" s="24">
        <f t="shared" si="7"/>
        <v>0</v>
      </c>
      <c r="S3571" s="24"/>
      <c r="T3571" s="24"/>
    </row>
    <row r="3572">
      <c r="A3572" s="12" t="s">
        <v>3659</v>
      </c>
      <c r="F3572" s="19">
        <f>IFERROR(__xludf.DUMMYFUNCTION("SPLIT(A3568, "" |"")"),3566.0)</f>
        <v>3566</v>
      </c>
      <c r="G3572" s="19">
        <f>IFERROR(__xludf.DUMMYFUNCTION("""COMPUTED_VALUE"""),0.00218)</f>
        <v>0.00218</v>
      </c>
      <c r="H3572" s="19" t="str">
        <f>IFERROR(__xludf.DUMMYFUNCTION("""COMPUTED_VALUE"""),"-")</f>
        <v>-</v>
      </c>
      <c r="I3572" s="19">
        <f>IFERROR(__xludf.DUMMYFUNCTION("""COMPUTED_VALUE"""),0.00208)</f>
        <v>0.00208</v>
      </c>
      <c r="J3572" s="19">
        <f>IFERROR(__xludf.DUMMYFUNCTION("""COMPUTED_VALUE"""),0.04202)</f>
        <v>0.04202</v>
      </c>
      <c r="K3572" s="19" t="str">
        <f>IFERROR(__xludf.DUMMYFUNCTION("""COMPUTED_VALUE"""),"-")</f>
        <v>-</v>
      </c>
      <c r="L3572" s="19" t="str">
        <f>IFERROR(__xludf.DUMMYFUNCTION("""COMPUTED_VALUE"""),"-")</f>
        <v>-</v>
      </c>
      <c r="O3572" s="24">
        <f t="shared" si="4"/>
        <v>0</v>
      </c>
      <c r="P3572" s="24"/>
      <c r="Q3572" s="24">
        <f t="shared" si="6"/>
        <v>0</v>
      </c>
      <c r="R3572" s="24">
        <f t="shared" si="7"/>
        <v>1</v>
      </c>
      <c r="S3572" s="24"/>
      <c r="T3572" s="24"/>
    </row>
    <row r="3573">
      <c r="A3573" s="12" t="s">
        <v>3660</v>
      </c>
      <c r="F3573" s="19">
        <f>IFERROR(__xludf.DUMMYFUNCTION("SPLIT(A3569, "" |"")"),3567.0)</f>
        <v>3567</v>
      </c>
      <c r="G3573" s="19">
        <f>IFERROR(__xludf.DUMMYFUNCTION("""COMPUTED_VALUE"""),0.00236)</f>
        <v>0.00236</v>
      </c>
      <c r="H3573" s="19" t="str">
        <f>IFERROR(__xludf.DUMMYFUNCTION("""COMPUTED_VALUE"""),"-")</f>
        <v>-</v>
      </c>
      <c r="I3573" s="19">
        <f>IFERROR(__xludf.DUMMYFUNCTION("""COMPUTED_VALUE"""),0.00224)</f>
        <v>0.00224</v>
      </c>
      <c r="J3573" s="19">
        <f>IFERROR(__xludf.DUMMYFUNCTION("""COMPUTED_VALUE"""),0.04744)</f>
        <v>0.04744</v>
      </c>
      <c r="K3573" s="19" t="str">
        <f>IFERROR(__xludf.DUMMYFUNCTION("""COMPUTED_VALUE"""),"-")</f>
        <v>-</v>
      </c>
      <c r="L3573" s="19" t="str">
        <f>IFERROR(__xludf.DUMMYFUNCTION("""COMPUTED_VALUE"""),"-")</f>
        <v>-</v>
      </c>
      <c r="O3573" s="24">
        <f t="shared" si="4"/>
        <v>0</v>
      </c>
      <c r="P3573" s="24"/>
      <c r="Q3573" s="24">
        <f t="shared" si="6"/>
        <v>0</v>
      </c>
      <c r="R3573" s="24">
        <f t="shared" si="7"/>
        <v>0</v>
      </c>
      <c r="S3573" s="24"/>
      <c r="T3573" s="24"/>
    </row>
    <row r="3574">
      <c r="A3574" s="12" t="s">
        <v>3661</v>
      </c>
      <c r="F3574" s="19">
        <f>IFERROR(__xludf.DUMMYFUNCTION("SPLIT(A3570, "" |"")"),3568.0)</f>
        <v>3568</v>
      </c>
      <c r="G3574" s="19">
        <f>IFERROR(__xludf.DUMMYFUNCTION("""COMPUTED_VALUE"""),0.00231)</f>
        <v>0.00231</v>
      </c>
      <c r="H3574" s="19" t="str">
        <f>IFERROR(__xludf.DUMMYFUNCTION("""COMPUTED_VALUE"""),"-")</f>
        <v>-</v>
      </c>
      <c r="I3574" s="19">
        <f>IFERROR(__xludf.DUMMYFUNCTION("""COMPUTED_VALUE"""),0.00217)</f>
        <v>0.00217</v>
      </c>
      <c r="J3574" s="19">
        <f>IFERROR(__xludf.DUMMYFUNCTION("""COMPUTED_VALUE"""),0.04747)</f>
        <v>0.04747</v>
      </c>
      <c r="K3574" s="19" t="str">
        <f>IFERROR(__xludf.DUMMYFUNCTION("""COMPUTED_VALUE"""),"-")</f>
        <v>-</v>
      </c>
      <c r="L3574" s="19" t="str">
        <f>IFERROR(__xludf.DUMMYFUNCTION("""COMPUTED_VALUE"""),"-")</f>
        <v>-</v>
      </c>
      <c r="O3574" s="24">
        <f t="shared" si="4"/>
        <v>0</v>
      </c>
      <c r="P3574" s="24"/>
      <c r="Q3574" s="24">
        <f t="shared" si="6"/>
        <v>0</v>
      </c>
      <c r="R3574" s="24">
        <f t="shared" si="7"/>
        <v>0</v>
      </c>
      <c r="S3574" s="24"/>
      <c r="T3574" s="24"/>
    </row>
    <row r="3575">
      <c r="A3575" s="12" t="s">
        <v>3662</v>
      </c>
      <c r="F3575" s="19">
        <f>IFERROR(__xludf.DUMMYFUNCTION("SPLIT(A3571, "" |"")"),3569.0)</f>
        <v>3569</v>
      </c>
      <c r="G3575" s="19">
        <f>IFERROR(__xludf.DUMMYFUNCTION("""COMPUTED_VALUE"""),0.00232)</f>
        <v>0.00232</v>
      </c>
      <c r="H3575" s="19" t="str">
        <f>IFERROR(__xludf.DUMMYFUNCTION("""COMPUTED_VALUE"""),"-")</f>
        <v>-</v>
      </c>
      <c r="I3575" s="19">
        <f>IFERROR(__xludf.DUMMYFUNCTION("""COMPUTED_VALUE"""),0.00219)</f>
        <v>0.00219</v>
      </c>
      <c r="J3575" s="19">
        <f>IFERROR(__xludf.DUMMYFUNCTION("""COMPUTED_VALUE"""),0.04747)</f>
        <v>0.04747</v>
      </c>
      <c r="K3575" s="19" t="str">
        <f>IFERROR(__xludf.DUMMYFUNCTION("""COMPUTED_VALUE"""),"-")</f>
        <v>-</v>
      </c>
      <c r="L3575" s="19" t="str">
        <f>IFERROR(__xludf.DUMMYFUNCTION("""COMPUTED_VALUE"""),"-")</f>
        <v>-</v>
      </c>
      <c r="O3575" s="24">
        <f t="shared" si="4"/>
        <v>0</v>
      </c>
      <c r="P3575" s="24"/>
      <c r="Q3575" s="24">
        <f t="shared" si="6"/>
        <v>0</v>
      </c>
      <c r="R3575" s="24">
        <f t="shared" si="7"/>
        <v>0</v>
      </c>
      <c r="S3575" s="24"/>
      <c r="T3575" s="24"/>
    </row>
    <row r="3576">
      <c r="A3576" s="12" t="s">
        <v>3663</v>
      </c>
      <c r="F3576" s="19">
        <f>IFERROR(__xludf.DUMMYFUNCTION("SPLIT(A3572, "" |"")"),3570.0)</f>
        <v>3570</v>
      </c>
      <c r="G3576" s="19">
        <f>IFERROR(__xludf.DUMMYFUNCTION("""COMPUTED_VALUE"""),0.00235)</f>
        <v>0.00235</v>
      </c>
      <c r="H3576" s="19" t="str">
        <f>IFERROR(__xludf.DUMMYFUNCTION("""COMPUTED_VALUE"""),"-")</f>
        <v>-</v>
      </c>
      <c r="I3576" s="19">
        <f>IFERROR(__xludf.DUMMYFUNCTION("""COMPUTED_VALUE"""),0.0022)</f>
        <v>0.0022</v>
      </c>
      <c r="J3576" s="19">
        <f>IFERROR(__xludf.DUMMYFUNCTION("""COMPUTED_VALUE"""),0.04738)</f>
        <v>0.04738</v>
      </c>
      <c r="K3576" s="19" t="str">
        <f>IFERROR(__xludf.DUMMYFUNCTION("""COMPUTED_VALUE"""),"-")</f>
        <v>-</v>
      </c>
      <c r="L3576" s="19" t="str">
        <f>IFERROR(__xludf.DUMMYFUNCTION("""COMPUTED_VALUE"""),"-")</f>
        <v>-</v>
      </c>
      <c r="O3576" s="24">
        <f t="shared" si="4"/>
        <v>0</v>
      </c>
      <c r="P3576" s="24"/>
      <c r="Q3576" s="24">
        <f t="shared" si="6"/>
        <v>0</v>
      </c>
      <c r="R3576" s="24">
        <f t="shared" si="7"/>
        <v>0</v>
      </c>
      <c r="S3576" s="24"/>
      <c r="T3576" s="24"/>
    </row>
    <row r="3577">
      <c r="A3577" s="12" t="s">
        <v>3664</v>
      </c>
      <c r="F3577" s="19">
        <f>IFERROR(__xludf.DUMMYFUNCTION("SPLIT(A3573, "" |"")"),3571.0)</f>
        <v>3571</v>
      </c>
      <c r="G3577" s="19">
        <f>IFERROR(__xludf.DUMMYFUNCTION("""COMPUTED_VALUE"""),0.0024)</f>
        <v>0.0024</v>
      </c>
      <c r="H3577" s="19" t="str">
        <f>IFERROR(__xludf.DUMMYFUNCTION("""COMPUTED_VALUE"""),"-")</f>
        <v>-</v>
      </c>
      <c r="I3577" s="19">
        <f>IFERROR(__xludf.DUMMYFUNCTION("""COMPUTED_VALUE"""),0.00224)</f>
        <v>0.00224</v>
      </c>
      <c r="J3577" s="19">
        <f>IFERROR(__xludf.DUMMYFUNCTION("""COMPUTED_VALUE"""),0.04743)</f>
        <v>0.04743</v>
      </c>
      <c r="K3577" s="19" t="str">
        <f>IFERROR(__xludf.DUMMYFUNCTION("""COMPUTED_VALUE"""),"-")</f>
        <v>-</v>
      </c>
      <c r="L3577" s="19" t="str">
        <f>IFERROR(__xludf.DUMMYFUNCTION("""COMPUTED_VALUE"""),"-")</f>
        <v>-</v>
      </c>
      <c r="O3577" s="24">
        <f t="shared" si="4"/>
        <v>0</v>
      </c>
      <c r="P3577" s="24"/>
      <c r="Q3577" s="24">
        <f t="shared" si="6"/>
        <v>0</v>
      </c>
      <c r="R3577" s="24">
        <f t="shared" si="7"/>
        <v>0</v>
      </c>
      <c r="S3577" s="24"/>
      <c r="T3577" s="24"/>
    </row>
    <row r="3578">
      <c r="A3578" s="12" t="s">
        <v>3665</v>
      </c>
      <c r="F3578" s="19">
        <f>IFERROR(__xludf.DUMMYFUNCTION("SPLIT(A3574, "" |"")"),3572.0)</f>
        <v>3572</v>
      </c>
      <c r="G3578" s="19">
        <f>IFERROR(__xludf.DUMMYFUNCTION("""COMPUTED_VALUE"""),0.00227)</f>
        <v>0.00227</v>
      </c>
      <c r="H3578" s="19" t="str">
        <f>IFERROR(__xludf.DUMMYFUNCTION("""COMPUTED_VALUE"""),"-")</f>
        <v>-</v>
      </c>
      <c r="I3578" s="19">
        <f>IFERROR(__xludf.DUMMYFUNCTION("""COMPUTED_VALUE"""),0.00218)</f>
        <v>0.00218</v>
      </c>
      <c r="J3578" s="19">
        <f>IFERROR(__xludf.DUMMYFUNCTION("""COMPUTED_VALUE"""),0.04742)</f>
        <v>0.04742</v>
      </c>
      <c r="K3578" s="19" t="str">
        <f>IFERROR(__xludf.DUMMYFUNCTION("""COMPUTED_VALUE"""),"-")</f>
        <v>-</v>
      </c>
      <c r="L3578" s="19" t="str">
        <f>IFERROR(__xludf.DUMMYFUNCTION("""COMPUTED_VALUE"""),"-")</f>
        <v>-</v>
      </c>
      <c r="O3578" s="24">
        <f t="shared" si="4"/>
        <v>0</v>
      </c>
      <c r="P3578" s="24"/>
      <c r="Q3578" s="24">
        <f t="shared" si="6"/>
        <v>0</v>
      </c>
      <c r="R3578" s="24">
        <f t="shared" si="7"/>
        <v>0</v>
      </c>
      <c r="S3578" s="24"/>
      <c r="T3578" s="24"/>
    </row>
    <row r="3579">
      <c r="A3579" s="12" t="s">
        <v>3666</v>
      </c>
      <c r="F3579" s="19">
        <f>IFERROR(__xludf.DUMMYFUNCTION("SPLIT(A3575, "" |"")"),3573.0)</f>
        <v>3573</v>
      </c>
      <c r="G3579" s="19">
        <f>IFERROR(__xludf.DUMMYFUNCTION("""COMPUTED_VALUE"""),0.00244)</f>
        <v>0.00244</v>
      </c>
      <c r="H3579" s="19" t="str">
        <f>IFERROR(__xludf.DUMMYFUNCTION("""COMPUTED_VALUE"""),"-")</f>
        <v>-</v>
      </c>
      <c r="I3579" s="19">
        <f>IFERROR(__xludf.DUMMYFUNCTION("""COMPUTED_VALUE"""),0.00229)</f>
        <v>0.00229</v>
      </c>
      <c r="J3579" s="19">
        <f>IFERROR(__xludf.DUMMYFUNCTION("""COMPUTED_VALUE"""),0.04756)</f>
        <v>0.04756</v>
      </c>
      <c r="K3579" s="19" t="str">
        <f>IFERROR(__xludf.DUMMYFUNCTION("""COMPUTED_VALUE"""),"-")</f>
        <v>-</v>
      </c>
      <c r="L3579" s="19" t="str">
        <f>IFERROR(__xludf.DUMMYFUNCTION("""COMPUTED_VALUE"""),"-")</f>
        <v>-</v>
      </c>
      <c r="O3579" s="24">
        <f t="shared" si="4"/>
        <v>0</v>
      </c>
      <c r="P3579" s="24"/>
      <c r="Q3579" s="24">
        <f t="shared" si="6"/>
        <v>0</v>
      </c>
      <c r="R3579" s="24">
        <f t="shared" si="7"/>
        <v>0</v>
      </c>
      <c r="S3579" s="24"/>
      <c r="T3579" s="24"/>
    </row>
    <row r="3580">
      <c r="A3580" s="12" t="s">
        <v>3667</v>
      </c>
      <c r="F3580" s="19">
        <f>IFERROR(__xludf.DUMMYFUNCTION("SPLIT(A3576, "" |"")"),3574.0)</f>
        <v>3574</v>
      </c>
      <c r="G3580" s="19">
        <f>IFERROR(__xludf.DUMMYFUNCTION("""COMPUTED_VALUE"""),0.00231)</f>
        <v>0.00231</v>
      </c>
      <c r="H3580" s="19" t="str">
        <f>IFERROR(__xludf.DUMMYFUNCTION("""COMPUTED_VALUE"""),"-")</f>
        <v>-</v>
      </c>
      <c r="I3580" s="19">
        <f>IFERROR(__xludf.DUMMYFUNCTION("""COMPUTED_VALUE"""),0.00221)</f>
        <v>0.00221</v>
      </c>
      <c r="J3580" s="19">
        <f>IFERROR(__xludf.DUMMYFUNCTION("""COMPUTED_VALUE"""),0.04747)</f>
        <v>0.04747</v>
      </c>
      <c r="K3580" s="19" t="str">
        <f>IFERROR(__xludf.DUMMYFUNCTION("""COMPUTED_VALUE"""),"-")</f>
        <v>-</v>
      </c>
      <c r="L3580" s="19" t="str">
        <f>IFERROR(__xludf.DUMMYFUNCTION("""COMPUTED_VALUE"""),"-")</f>
        <v>-</v>
      </c>
      <c r="O3580" s="24">
        <f t="shared" si="4"/>
        <v>0</v>
      </c>
      <c r="P3580" s="24"/>
      <c r="Q3580" s="24">
        <f t="shared" si="6"/>
        <v>0</v>
      </c>
      <c r="R3580" s="24">
        <f t="shared" si="7"/>
        <v>0</v>
      </c>
      <c r="S3580" s="24"/>
      <c r="T3580" s="24"/>
    </row>
    <row r="3581">
      <c r="A3581" s="12" t="s">
        <v>3668</v>
      </c>
      <c r="F3581" s="19">
        <f>IFERROR(__xludf.DUMMYFUNCTION("SPLIT(A3577, "" |"")"),3575.0)</f>
        <v>3575</v>
      </c>
      <c r="G3581" s="19">
        <f>IFERROR(__xludf.DUMMYFUNCTION("""COMPUTED_VALUE"""),0.00235)</f>
        <v>0.00235</v>
      </c>
      <c r="H3581" s="19" t="str">
        <f>IFERROR(__xludf.DUMMYFUNCTION("""COMPUTED_VALUE"""),"-")</f>
        <v>-</v>
      </c>
      <c r="I3581" s="19">
        <f>IFERROR(__xludf.DUMMYFUNCTION("""COMPUTED_VALUE"""),0.00218)</f>
        <v>0.00218</v>
      </c>
      <c r="J3581" s="19">
        <f>IFERROR(__xludf.DUMMYFUNCTION("""COMPUTED_VALUE"""),0.04747)</f>
        <v>0.04747</v>
      </c>
      <c r="K3581" s="19" t="str">
        <f>IFERROR(__xludf.DUMMYFUNCTION("""COMPUTED_VALUE"""),"-")</f>
        <v>-</v>
      </c>
      <c r="L3581" s="19" t="str">
        <f>IFERROR(__xludf.DUMMYFUNCTION("""COMPUTED_VALUE"""),"-")</f>
        <v>-</v>
      </c>
      <c r="O3581" s="24">
        <f t="shared" si="4"/>
        <v>0</v>
      </c>
      <c r="P3581" s="24"/>
      <c r="Q3581" s="24">
        <f t="shared" si="6"/>
        <v>0</v>
      </c>
      <c r="R3581" s="24">
        <f t="shared" si="7"/>
        <v>0</v>
      </c>
      <c r="S3581" s="24"/>
      <c r="T3581" s="24"/>
    </row>
    <row r="3582">
      <c r="A3582" s="12" t="s">
        <v>3669</v>
      </c>
      <c r="F3582" s="19">
        <f>IFERROR(__xludf.DUMMYFUNCTION("SPLIT(A3578, "" |"")"),3576.0)</f>
        <v>3576</v>
      </c>
      <c r="G3582" s="19">
        <f>IFERROR(__xludf.DUMMYFUNCTION("""COMPUTED_VALUE"""),0.00236)</f>
        <v>0.00236</v>
      </c>
      <c r="H3582" s="19" t="str">
        <f>IFERROR(__xludf.DUMMYFUNCTION("""COMPUTED_VALUE"""),"-")</f>
        <v>-</v>
      </c>
      <c r="I3582" s="19">
        <f>IFERROR(__xludf.DUMMYFUNCTION("""COMPUTED_VALUE"""),0.00226)</f>
        <v>0.00226</v>
      </c>
      <c r="J3582" s="19">
        <f>IFERROR(__xludf.DUMMYFUNCTION("""COMPUTED_VALUE"""),0.04738)</f>
        <v>0.04738</v>
      </c>
      <c r="K3582" s="19" t="str">
        <f>IFERROR(__xludf.DUMMYFUNCTION("""COMPUTED_VALUE"""),"-")</f>
        <v>-</v>
      </c>
      <c r="L3582" s="19" t="str">
        <f>IFERROR(__xludf.DUMMYFUNCTION("""COMPUTED_VALUE"""),"-")</f>
        <v>-</v>
      </c>
      <c r="O3582" s="24">
        <f t="shared" si="4"/>
        <v>0</v>
      </c>
      <c r="P3582" s="24"/>
      <c r="Q3582" s="24">
        <f t="shared" si="6"/>
        <v>0</v>
      </c>
      <c r="R3582" s="24">
        <f t="shared" si="7"/>
        <v>0</v>
      </c>
      <c r="S3582" s="24"/>
      <c r="T3582" s="24"/>
    </row>
    <row r="3583">
      <c r="A3583" s="12" t="s">
        <v>3670</v>
      </c>
      <c r="F3583" s="19">
        <f>IFERROR(__xludf.DUMMYFUNCTION("SPLIT(A3579, "" |"")"),3577.0)</f>
        <v>3577</v>
      </c>
      <c r="G3583" s="19">
        <f>IFERROR(__xludf.DUMMYFUNCTION("""COMPUTED_VALUE"""),0.00238)</f>
        <v>0.00238</v>
      </c>
      <c r="H3583" s="19" t="str">
        <f>IFERROR(__xludf.DUMMYFUNCTION("""COMPUTED_VALUE"""),"-")</f>
        <v>-</v>
      </c>
      <c r="I3583" s="19">
        <f>IFERROR(__xludf.DUMMYFUNCTION("""COMPUTED_VALUE"""),0.00223)</f>
        <v>0.00223</v>
      </c>
      <c r="J3583" s="19">
        <f>IFERROR(__xludf.DUMMYFUNCTION("""COMPUTED_VALUE"""),0.0474)</f>
        <v>0.0474</v>
      </c>
      <c r="K3583" s="19" t="str">
        <f>IFERROR(__xludf.DUMMYFUNCTION("""COMPUTED_VALUE"""),"-")</f>
        <v>-</v>
      </c>
      <c r="L3583" s="19" t="str">
        <f>IFERROR(__xludf.DUMMYFUNCTION("""COMPUTED_VALUE"""),"-")</f>
        <v>-</v>
      </c>
      <c r="O3583" s="24">
        <f t="shared" si="4"/>
        <v>0</v>
      </c>
      <c r="P3583" s="24"/>
      <c r="Q3583" s="24">
        <f t="shared" si="6"/>
        <v>0</v>
      </c>
      <c r="R3583" s="24">
        <f t="shared" si="7"/>
        <v>0</v>
      </c>
      <c r="S3583" s="24"/>
      <c r="T3583" s="24"/>
    </row>
    <row r="3584">
      <c r="A3584" s="12" t="s">
        <v>3671</v>
      </c>
      <c r="F3584" s="19">
        <f>IFERROR(__xludf.DUMMYFUNCTION("SPLIT(A3580, "" |"")"),3578.0)</f>
        <v>3578</v>
      </c>
      <c r="G3584" s="19">
        <f>IFERROR(__xludf.DUMMYFUNCTION("""COMPUTED_VALUE"""),0.00239)</f>
        <v>0.00239</v>
      </c>
      <c r="H3584" s="19" t="str">
        <f>IFERROR(__xludf.DUMMYFUNCTION("""COMPUTED_VALUE"""),"-")</f>
        <v>-</v>
      </c>
      <c r="I3584" s="19">
        <f>IFERROR(__xludf.DUMMYFUNCTION("""COMPUTED_VALUE"""),0.00222)</f>
        <v>0.00222</v>
      </c>
      <c r="J3584" s="19">
        <f>IFERROR(__xludf.DUMMYFUNCTION("""COMPUTED_VALUE"""),0.04749)</f>
        <v>0.04749</v>
      </c>
      <c r="K3584" s="19" t="str">
        <f>IFERROR(__xludf.DUMMYFUNCTION("""COMPUTED_VALUE"""),"-")</f>
        <v>-</v>
      </c>
      <c r="L3584" s="19" t="str">
        <f>IFERROR(__xludf.DUMMYFUNCTION("""COMPUTED_VALUE"""),"-")</f>
        <v>-</v>
      </c>
      <c r="O3584" s="24">
        <f t="shared" si="4"/>
        <v>0</v>
      </c>
      <c r="P3584" s="24"/>
      <c r="Q3584" s="24">
        <f t="shared" si="6"/>
        <v>0</v>
      </c>
      <c r="R3584" s="24">
        <f t="shared" si="7"/>
        <v>0</v>
      </c>
      <c r="S3584" s="24"/>
      <c r="T3584" s="24"/>
    </row>
    <row r="3585">
      <c r="A3585" s="12" t="s">
        <v>3672</v>
      </c>
      <c r="F3585" s="19">
        <f>IFERROR(__xludf.DUMMYFUNCTION("SPLIT(A3581, "" |"")"),3579.0)</f>
        <v>3579</v>
      </c>
      <c r="G3585" s="19">
        <f>IFERROR(__xludf.DUMMYFUNCTION("""COMPUTED_VALUE"""),0.00237)</f>
        <v>0.00237</v>
      </c>
      <c r="H3585" s="19" t="str">
        <f>IFERROR(__xludf.DUMMYFUNCTION("""COMPUTED_VALUE"""),"-")</f>
        <v>-</v>
      </c>
      <c r="I3585" s="19">
        <f>IFERROR(__xludf.DUMMYFUNCTION("""COMPUTED_VALUE"""),0.00219)</f>
        <v>0.00219</v>
      </c>
      <c r="J3585" s="19">
        <f>IFERROR(__xludf.DUMMYFUNCTION("""COMPUTED_VALUE"""),0.04747)</f>
        <v>0.04747</v>
      </c>
      <c r="K3585" s="19" t="str">
        <f>IFERROR(__xludf.DUMMYFUNCTION("""COMPUTED_VALUE"""),"-")</f>
        <v>-</v>
      </c>
      <c r="L3585" s="19" t="str">
        <f>IFERROR(__xludf.DUMMYFUNCTION("""COMPUTED_VALUE"""),"-")</f>
        <v>-</v>
      </c>
      <c r="O3585" s="24">
        <f t="shared" si="4"/>
        <v>0</v>
      </c>
      <c r="P3585" s="24"/>
      <c r="Q3585" s="24">
        <f t="shared" si="6"/>
        <v>0</v>
      </c>
      <c r="R3585" s="24">
        <f t="shared" si="7"/>
        <v>0</v>
      </c>
      <c r="S3585" s="24"/>
      <c r="T3585" s="24"/>
    </row>
    <row r="3586">
      <c r="A3586" s="12" t="s">
        <v>3673</v>
      </c>
      <c r="F3586" s="19">
        <f>IFERROR(__xludf.DUMMYFUNCTION("SPLIT(A3582, "" |"")"),3580.0)</f>
        <v>3580</v>
      </c>
      <c r="G3586" s="19">
        <f>IFERROR(__xludf.DUMMYFUNCTION("""COMPUTED_VALUE"""),0.00232)</f>
        <v>0.00232</v>
      </c>
      <c r="H3586" s="19" t="str">
        <f>IFERROR(__xludf.DUMMYFUNCTION("""COMPUTED_VALUE"""),"-")</f>
        <v>-</v>
      </c>
      <c r="I3586" s="19">
        <f>IFERROR(__xludf.DUMMYFUNCTION("""COMPUTED_VALUE"""),0.00219)</f>
        <v>0.00219</v>
      </c>
      <c r="J3586" s="19">
        <f>IFERROR(__xludf.DUMMYFUNCTION("""COMPUTED_VALUE"""),0.04348)</f>
        <v>0.04348</v>
      </c>
      <c r="K3586" s="19" t="str">
        <f>IFERROR(__xludf.DUMMYFUNCTION("""COMPUTED_VALUE"""),"-")</f>
        <v>-</v>
      </c>
      <c r="L3586" s="19" t="str">
        <f>IFERROR(__xludf.DUMMYFUNCTION("""COMPUTED_VALUE"""),"-")</f>
        <v>-</v>
      </c>
      <c r="O3586" s="24">
        <f t="shared" si="4"/>
        <v>0</v>
      </c>
      <c r="P3586" s="24"/>
      <c r="Q3586" s="24">
        <f t="shared" si="6"/>
        <v>0</v>
      </c>
      <c r="R3586" s="24">
        <f t="shared" si="7"/>
        <v>1</v>
      </c>
      <c r="S3586" s="24"/>
      <c r="T3586" s="24"/>
    </row>
    <row r="3587">
      <c r="A3587" s="12" t="s">
        <v>3674</v>
      </c>
      <c r="F3587" s="19">
        <f>IFERROR(__xludf.DUMMYFUNCTION("SPLIT(A3583, "" |"")"),3581.0)</f>
        <v>3581</v>
      </c>
      <c r="G3587" s="19">
        <f>IFERROR(__xludf.DUMMYFUNCTION("""COMPUTED_VALUE"""),0.00235)</f>
        <v>0.00235</v>
      </c>
      <c r="H3587" s="19" t="str">
        <f>IFERROR(__xludf.DUMMYFUNCTION("""COMPUTED_VALUE"""),"-")</f>
        <v>-</v>
      </c>
      <c r="I3587" s="19">
        <f>IFERROR(__xludf.DUMMYFUNCTION("""COMPUTED_VALUE"""),0.00218)</f>
        <v>0.00218</v>
      </c>
      <c r="J3587" s="19">
        <f>IFERROR(__xludf.DUMMYFUNCTION("""COMPUTED_VALUE"""),0.04746)</f>
        <v>0.04746</v>
      </c>
      <c r="K3587" s="19" t="str">
        <f>IFERROR(__xludf.DUMMYFUNCTION("""COMPUTED_VALUE"""),"-")</f>
        <v>-</v>
      </c>
      <c r="L3587" s="19" t="str">
        <f>IFERROR(__xludf.DUMMYFUNCTION("""COMPUTED_VALUE"""),"-")</f>
        <v>-</v>
      </c>
      <c r="O3587" s="24">
        <f t="shared" si="4"/>
        <v>0</v>
      </c>
      <c r="P3587" s="24"/>
      <c r="Q3587" s="24">
        <f t="shared" si="6"/>
        <v>0</v>
      </c>
      <c r="R3587" s="24">
        <f t="shared" si="7"/>
        <v>0</v>
      </c>
      <c r="S3587" s="24"/>
      <c r="T3587" s="24"/>
    </row>
    <row r="3588">
      <c r="A3588" s="12" t="s">
        <v>3675</v>
      </c>
      <c r="F3588" s="19">
        <f>IFERROR(__xludf.DUMMYFUNCTION("SPLIT(A3584, "" |"")"),3582.0)</f>
        <v>3582</v>
      </c>
      <c r="G3588" s="19">
        <f>IFERROR(__xludf.DUMMYFUNCTION("""COMPUTED_VALUE"""),0.00231)</f>
        <v>0.00231</v>
      </c>
      <c r="H3588" s="19" t="str">
        <f>IFERROR(__xludf.DUMMYFUNCTION("""COMPUTED_VALUE"""),"-")</f>
        <v>-</v>
      </c>
      <c r="I3588" s="19">
        <f>IFERROR(__xludf.DUMMYFUNCTION("""COMPUTED_VALUE"""),0.00224)</f>
        <v>0.00224</v>
      </c>
      <c r="J3588" s="19">
        <f>IFERROR(__xludf.DUMMYFUNCTION("""COMPUTED_VALUE"""),0.04754)</f>
        <v>0.04754</v>
      </c>
      <c r="K3588" s="19" t="str">
        <f>IFERROR(__xludf.DUMMYFUNCTION("""COMPUTED_VALUE"""),"-")</f>
        <v>-</v>
      </c>
      <c r="L3588" s="19" t="str">
        <f>IFERROR(__xludf.DUMMYFUNCTION("""COMPUTED_VALUE"""),"-")</f>
        <v>-</v>
      </c>
      <c r="O3588" s="24">
        <f t="shared" si="4"/>
        <v>0</v>
      </c>
      <c r="P3588" s="24"/>
      <c r="Q3588" s="24">
        <f t="shared" si="6"/>
        <v>0</v>
      </c>
      <c r="R3588" s="24">
        <f t="shared" si="7"/>
        <v>0</v>
      </c>
      <c r="S3588" s="24"/>
      <c r="T3588" s="24"/>
    </row>
    <row r="3589">
      <c r="A3589" s="12" t="s">
        <v>3676</v>
      </c>
      <c r="F3589" s="19">
        <f>IFERROR(__xludf.DUMMYFUNCTION("SPLIT(A3585, "" |"")"),3583.0)</f>
        <v>3583</v>
      </c>
      <c r="G3589" s="19">
        <f>IFERROR(__xludf.DUMMYFUNCTION("""COMPUTED_VALUE"""),0.00238)</f>
        <v>0.00238</v>
      </c>
      <c r="H3589" s="19" t="str">
        <f>IFERROR(__xludf.DUMMYFUNCTION("""COMPUTED_VALUE"""),"-")</f>
        <v>-</v>
      </c>
      <c r="I3589" s="19">
        <f>IFERROR(__xludf.DUMMYFUNCTION("""COMPUTED_VALUE"""),0.00223)</f>
        <v>0.00223</v>
      </c>
      <c r="J3589" s="19">
        <f>IFERROR(__xludf.DUMMYFUNCTION("""COMPUTED_VALUE"""),0.04753)</f>
        <v>0.04753</v>
      </c>
      <c r="K3589" s="19" t="str">
        <f>IFERROR(__xludf.DUMMYFUNCTION("""COMPUTED_VALUE"""),"-")</f>
        <v>-</v>
      </c>
      <c r="L3589" s="19" t="str">
        <f>IFERROR(__xludf.DUMMYFUNCTION("""COMPUTED_VALUE"""),"-")</f>
        <v>-</v>
      </c>
      <c r="O3589" s="24">
        <f t="shared" si="4"/>
        <v>0</v>
      </c>
      <c r="P3589" s="24"/>
      <c r="Q3589" s="24">
        <f t="shared" si="6"/>
        <v>0</v>
      </c>
      <c r="R3589" s="24">
        <f t="shared" si="7"/>
        <v>0</v>
      </c>
      <c r="S3589" s="24"/>
      <c r="T3589" s="24"/>
    </row>
    <row r="3590">
      <c r="A3590" s="12" t="s">
        <v>3677</v>
      </c>
      <c r="F3590" s="19">
        <f>IFERROR(__xludf.DUMMYFUNCTION("SPLIT(A3586, "" |"")"),3584.0)</f>
        <v>3584</v>
      </c>
      <c r="G3590" s="19">
        <f>IFERROR(__xludf.DUMMYFUNCTION("""COMPUTED_VALUE"""),0.00238)</f>
        <v>0.00238</v>
      </c>
      <c r="H3590" s="19" t="str">
        <f>IFERROR(__xludf.DUMMYFUNCTION("""COMPUTED_VALUE"""),"-")</f>
        <v>-</v>
      </c>
      <c r="I3590" s="19">
        <f>IFERROR(__xludf.DUMMYFUNCTION("""COMPUTED_VALUE"""),0.0022)</f>
        <v>0.0022</v>
      </c>
      <c r="J3590" s="19">
        <f>IFERROR(__xludf.DUMMYFUNCTION("""COMPUTED_VALUE"""),0.04746)</f>
        <v>0.04746</v>
      </c>
      <c r="K3590" s="19" t="str">
        <f>IFERROR(__xludf.DUMMYFUNCTION("""COMPUTED_VALUE"""),"-")</f>
        <v>-</v>
      </c>
      <c r="L3590" s="19" t="str">
        <f>IFERROR(__xludf.DUMMYFUNCTION("""COMPUTED_VALUE"""),"-")</f>
        <v>-</v>
      </c>
      <c r="O3590" s="24">
        <f t="shared" si="4"/>
        <v>0</v>
      </c>
      <c r="P3590" s="24"/>
      <c r="Q3590" s="24">
        <f t="shared" si="6"/>
        <v>0</v>
      </c>
      <c r="R3590" s="24">
        <f t="shared" si="7"/>
        <v>0</v>
      </c>
      <c r="S3590" s="24"/>
      <c r="T3590" s="24"/>
    </row>
    <row r="3591">
      <c r="A3591" s="12" t="s">
        <v>3678</v>
      </c>
      <c r="F3591" s="19">
        <f>IFERROR(__xludf.DUMMYFUNCTION("SPLIT(A3587, "" |"")"),3585.0)</f>
        <v>3585</v>
      </c>
      <c r="G3591" s="19">
        <f>IFERROR(__xludf.DUMMYFUNCTION("""COMPUTED_VALUE"""),0.00233)</f>
        <v>0.00233</v>
      </c>
      <c r="H3591" s="19" t="str">
        <f>IFERROR(__xludf.DUMMYFUNCTION("""COMPUTED_VALUE"""),"-")</f>
        <v>-</v>
      </c>
      <c r="I3591" s="19">
        <f>IFERROR(__xludf.DUMMYFUNCTION("""COMPUTED_VALUE"""),0.00221)</f>
        <v>0.00221</v>
      </c>
      <c r="J3591" s="19">
        <f>IFERROR(__xludf.DUMMYFUNCTION("""COMPUTED_VALUE"""),0.04737)</f>
        <v>0.04737</v>
      </c>
      <c r="K3591" s="19" t="str">
        <f>IFERROR(__xludf.DUMMYFUNCTION("""COMPUTED_VALUE"""),"-")</f>
        <v>-</v>
      </c>
      <c r="L3591" s="19" t="str">
        <f>IFERROR(__xludf.DUMMYFUNCTION("""COMPUTED_VALUE"""),"-")</f>
        <v>-</v>
      </c>
      <c r="O3591" s="24">
        <f t="shared" si="4"/>
        <v>0</v>
      </c>
      <c r="P3591" s="24"/>
      <c r="Q3591" s="24">
        <f t="shared" si="6"/>
        <v>0</v>
      </c>
      <c r="R3591" s="24">
        <f t="shared" si="7"/>
        <v>0</v>
      </c>
      <c r="S3591" s="24"/>
      <c r="T3591" s="24"/>
    </row>
    <row r="3592">
      <c r="A3592" s="12" t="s">
        <v>3679</v>
      </c>
      <c r="F3592" s="19">
        <f>IFERROR(__xludf.DUMMYFUNCTION("SPLIT(A3588, "" |"")"),3586.0)</f>
        <v>3586</v>
      </c>
      <c r="G3592" s="19">
        <f>IFERROR(__xludf.DUMMYFUNCTION("""COMPUTED_VALUE"""),0.00236)</f>
        <v>0.00236</v>
      </c>
      <c r="H3592" s="19" t="str">
        <f>IFERROR(__xludf.DUMMYFUNCTION("""COMPUTED_VALUE"""),"-")</f>
        <v>-</v>
      </c>
      <c r="I3592" s="19">
        <f>IFERROR(__xludf.DUMMYFUNCTION("""COMPUTED_VALUE"""),0.00224)</f>
        <v>0.00224</v>
      </c>
      <c r="J3592" s="19">
        <f>IFERROR(__xludf.DUMMYFUNCTION("""COMPUTED_VALUE"""),0.04351)</f>
        <v>0.04351</v>
      </c>
      <c r="K3592" s="19" t="str">
        <f>IFERROR(__xludf.DUMMYFUNCTION("""COMPUTED_VALUE"""),"-")</f>
        <v>-</v>
      </c>
      <c r="L3592" s="19" t="str">
        <f>IFERROR(__xludf.DUMMYFUNCTION("""COMPUTED_VALUE"""),"-")</f>
        <v>-</v>
      </c>
      <c r="O3592" s="24">
        <f t="shared" si="4"/>
        <v>0</v>
      </c>
      <c r="P3592" s="24"/>
      <c r="Q3592" s="24">
        <f t="shared" si="6"/>
        <v>0</v>
      </c>
      <c r="R3592" s="24">
        <f t="shared" si="7"/>
        <v>1</v>
      </c>
      <c r="S3592" s="24"/>
      <c r="T3592" s="24"/>
    </row>
    <row r="3593">
      <c r="A3593" s="12" t="s">
        <v>3680</v>
      </c>
      <c r="F3593" s="19">
        <f>IFERROR(__xludf.DUMMYFUNCTION("SPLIT(A3589, "" |"")"),3587.0)</f>
        <v>3587</v>
      </c>
      <c r="G3593" s="19">
        <f>IFERROR(__xludf.DUMMYFUNCTION("""COMPUTED_VALUE"""),0.00234)</f>
        <v>0.00234</v>
      </c>
      <c r="H3593" s="19" t="str">
        <f>IFERROR(__xludf.DUMMYFUNCTION("""COMPUTED_VALUE"""),"-")</f>
        <v>-</v>
      </c>
      <c r="I3593" s="19">
        <f>IFERROR(__xludf.DUMMYFUNCTION("""COMPUTED_VALUE"""),0.0022)</f>
        <v>0.0022</v>
      </c>
      <c r="J3593" s="19">
        <f>IFERROR(__xludf.DUMMYFUNCTION("""COMPUTED_VALUE"""),0.04742)</f>
        <v>0.04742</v>
      </c>
      <c r="K3593" s="19" t="str">
        <f>IFERROR(__xludf.DUMMYFUNCTION("""COMPUTED_VALUE"""),"-")</f>
        <v>-</v>
      </c>
      <c r="L3593" s="19" t="str">
        <f>IFERROR(__xludf.DUMMYFUNCTION("""COMPUTED_VALUE"""),"-")</f>
        <v>-</v>
      </c>
      <c r="O3593" s="24">
        <f t="shared" si="4"/>
        <v>0</v>
      </c>
      <c r="P3593" s="24"/>
      <c r="Q3593" s="24">
        <f t="shared" si="6"/>
        <v>0</v>
      </c>
      <c r="R3593" s="24">
        <f t="shared" si="7"/>
        <v>0</v>
      </c>
      <c r="S3593" s="24"/>
      <c r="T3593" s="24"/>
    </row>
    <row r="3594">
      <c r="A3594" s="12" t="s">
        <v>3681</v>
      </c>
      <c r="F3594" s="19">
        <f>IFERROR(__xludf.DUMMYFUNCTION("SPLIT(A3590, "" |"")"),3588.0)</f>
        <v>3588</v>
      </c>
      <c r="G3594" s="19">
        <f>IFERROR(__xludf.DUMMYFUNCTION("""COMPUTED_VALUE"""),0.00233)</f>
        <v>0.00233</v>
      </c>
      <c r="H3594" s="19" t="str">
        <f>IFERROR(__xludf.DUMMYFUNCTION("""COMPUTED_VALUE"""),"-")</f>
        <v>-</v>
      </c>
      <c r="I3594" s="19">
        <f>IFERROR(__xludf.DUMMYFUNCTION("""COMPUTED_VALUE"""),0.00221)</f>
        <v>0.00221</v>
      </c>
      <c r="J3594" s="19">
        <f>IFERROR(__xludf.DUMMYFUNCTION("""COMPUTED_VALUE"""),0.03947)</f>
        <v>0.03947</v>
      </c>
      <c r="K3594" s="19" t="str">
        <f>IFERROR(__xludf.DUMMYFUNCTION("""COMPUTED_VALUE"""),"-")</f>
        <v>-</v>
      </c>
      <c r="L3594" s="19" t="str">
        <f>IFERROR(__xludf.DUMMYFUNCTION("""COMPUTED_VALUE"""),"-")</f>
        <v>-</v>
      </c>
      <c r="O3594" s="24">
        <f t="shared" si="4"/>
        <v>0</v>
      </c>
      <c r="P3594" s="24"/>
      <c r="Q3594" s="24">
        <f t="shared" si="6"/>
        <v>0</v>
      </c>
      <c r="R3594" s="24">
        <f t="shared" si="7"/>
        <v>1</v>
      </c>
      <c r="S3594" s="24"/>
      <c r="T3594" s="24"/>
    </row>
    <row r="3595">
      <c r="A3595" s="12" t="s">
        <v>3682</v>
      </c>
      <c r="F3595" s="19">
        <f>IFERROR(__xludf.DUMMYFUNCTION("SPLIT(A3591, "" |"")"),3589.0)</f>
        <v>3589</v>
      </c>
      <c r="G3595" s="19">
        <f>IFERROR(__xludf.DUMMYFUNCTION("""COMPUTED_VALUE"""),0.00237)</f>
        <v>0.00237</v>
      </c>
      <c r="H3595" s="19" t="str">
        <f>IFERROR(__xludf.DUMMYFUNCTION("""COMPUTED_VALUE"""),"-")</f>
        <v>-</v>
      </c>
      <c r="I3595" s="19">
        <f>IFERROR(__xludf.DUMMYFUNCTION("""COMPUTED_VALUE"""),0.00212)</f>
        <v>0.00212</v>
      </c>
      <c r="J3595" s="19">
        <f>IFERROR(__xludf.DUMMYFUNCTION("""COMPUTED_VALUE"""),0.04738)</f>
        <v>0.04738</v>
      </c>
      <c r="K3595" s="19" t="str">
        <f>IFERROR(__xludf.DUMMYFUNCTION("""COMPUTED_VALUE"""),"-")</f>
        <v>-</v>
      </c>
      <c r="L3595" s="19" t="str">
        <f>IFERROR(__xludf.DUMMYFUNCTION("""COMPUTED_VALUE"""),"-")</f>
        <v>-</v>
      </c>
      <c r="O3595" s="24">
        <f t="shared" si="4"/>
        <v>0</v>
      </c>
      <c r="P3595" s="24"/>
      <c r="Q3595" s="24">
        <f t="shared" si="6"/>
        <v>0</v>
      </c>
      <c r="R3595" s="24">
        <f t="shared" si="7"/>
        <v>0</v>
      </c>
      <c r="S3595" s="24"/>
      <c r="T3595" s="24"/>
    </row>
    <row r="3596">
      <c r="A3596" s="12" t="s">
        <v>3683</v>
      </c>
      <c r="F3596" s="19">
        <f>IFERROR(__xludf.DUMMYFUNCTION("SPLIT(A3592, "" |"")"),3590.0)</f>
        <v>3590</v>
      </c>
      <c r="G3596" s="19">
        <f>IFERROR(__xludf.DUMMYFUNCTION("""COMPUTED_VALUE"""),0.00224)</f>
        <v>0.00224</v>
      </c>
      <c r="H3596" s="19" t="str">
        <f>IFERROR(__xludf.DUMMYFUNCTION("""COMPUTED_VALUE"""),"-")</f>
        <v>-</v>
      </c>
      <c r="I3596" s="19">
        <f>IFERROR(__xludf.DUMMYFUNCTION("""COMPUTED_VALUE"""),0.00213)</f>
        <v>0.00213</v>
      </c>
      <c r="J3596" s="19">
        <f>IFERROR(__xludf.DUMMYFUNCTION("""COMPUTED_VALUE"""),0.04744)</f>
        <v>0.04744</v>
      </c>
      <c r="K3596" s="19" t="str">
        <f>IFERROR(__xludf.DUMMYFUNCTION("""COMPUTED_VALUE"""),"-")</f>
        <v>-</v>
      </c>
      <c r="L3596" s="19" t="str">
        <f>IFERROR(__xludf.DUMMYFUNCTION("""COMPUTED_VALUE"""),"-")</f>
        <v>-</v>
      </c>
      <c r="O3596" s="24">
        <f t="shared" si="4"/>
        <v>0</v>
      </c>
      <c r="P3596" s="24"/>
      <c r="Q3596" s="24">
        <f t="shared" si="6"/>
        <v>0</v>
      </c>
      <c r="R3596" s="24">
        <f t="shared" si="7"/>
        <v>0</v>
      </c>
      <c r="S3596" s="24"/>
      <c r="T3596" s="24"/>
    </row>
    <row r="3597">
      <c r="A3597" s="12" t="s">
        <v>3684</v>
      </c>
      <c r="F3597" s="19">
        <f>IFERROR(__xludf.DUMMYFUNCTION("SPLIT(A3593, "" |"")"),3591.0)</f>
        <v>3591</v>
      </c>
      <c r="G3597" s="19">
        <f>IFERROR(__xludf.DUMMYFUNCTION("""COMPUTED_VALUE"""),0.00241)</f>
        <v>0.00241</v>
      </c>
      <c r="H3597" s="19" t="str">
        <f>IFERROR(__xludf.DUMMYFUNCTION("""COMPUTED_VALUE"""),"-")</f>
        <v>-</v>
      </c>
      <c r="I3597" s="19">
        <f>IFERROR(__xludf.DUMMYFUNCTION("""COMPUTED_VALUE"""),0.00225)</f>
        <v>0.00225</v>
      </c>
      <c r="J3597" s="19">
        <f>IFERROR(__xludf.DUMMYFUNCTION("""COMPUTED_VALUE"""),0.04748)</f>
        <v>0.04748</v>
      </c>
      <c r="K3597" s="19" t="str">
        <f>IFERROR(__xludf.DUMMYFUNCTION("""COMPUTED_VALUE"""),"-")</f>
        <v>-</v>
      </c>
      <c r="L3597" s="19" t="str">
        <f>IFERROR(__xludf.DUMMYFUNCTION("""COMPUTED_VALUE"""),"-")</f>
        <v>-</v>
      </c>
      <c r="O3597" s="24">
        <f t="shared" si="4"/>
        <v>0</v>
      </c>
      <c r="P3597" s="24"/>
      <c r="Q3597" s="24">
        <f t="shared" si="6"/>
        <v>0</v>
      </c>
      <c r="R3597" s="24">
        <f t="shared" si="7"/>
        <v>0</v>
      </c>
      <c r="S3597" s="24"/>
      <c r="T3597" s="24"/>
    </row>
    <row r="3598">
      <c r="A3598" s="12" t="s">
        <v>3685</v>
      </c>
      <c r="F3598" s="19">
        <f>IFERROR(__xludf.DUMMYFUNCTION("SPLIT(A3594, "" |"")"),3592.0)</f>
        <v>3592</v>
      </c>
      <c r="G3598" s="19">
        <f>IFERROR(__xludf.DUMMYFUNCTION("""COMPUTED_VALUE"""),0.00228)</f>
        <v>0.00228</v>
      </c>
      <c r="H3598" s="19" t="str">
        <f>IFERROR(__xludf.DUMMYFUNCTION("""COMPUTED_VALUE"""),"-")</f>
        <v>-</v>
      </c>
      <c r="I3598" s="19">
        <f>IFERROR(__xludf.DUMMYFUNCTION("""COMPUTED_VALUE"""),0.00222)</f>
        <v>0.00222</v>
      </c>
      <c r="J3598" s="19">
        <f>IFERROR(__xludf.DUMMYFUNCTION("""COMPUTED_VALUE"""),0.04745)</f>
        <v>0.04745</v>
      </c>
      <c r="K3598" s="19" t="str">
        <f>IFERROR(__xludf.DUMMYFUNCTION("""COMPUTED_VALUE"""),"-")</f>
        <v>-</v>
      </c>
      <c r="L3598" s="19" t="str">
        <f>IFERROR(__xludf.DUMMYFUNCTION("""COMPUTED_VALUE"""),"-")</f>
        <v>-</v>
      </c>
      <c r="O3598" s="24">
        <f t="shared" si="4"/>
        <v>0</v>
      </c>
      <c r="P3598" s="24"/>
      <c r="Q3598" s="24">
        <f t="shared" si="6"/>
        <v>0</v>
      </c>
      <c r="R3598" s="24">
        <f t="shared" si="7"/>
        <v>0</v>
      </c>
      <c r="S3598" s="24"/>
      <c r="T3598" s="24"/>
    </row>
    <row r="3599">
      <c r="A3599" s="12" t="s">
        <v>3686</v>
      </c>
      <c r="F3599" s="19">
        <f>IFERROR(__xludf.DUMMYFUNCTION("SPLIT(A3595, "" |"")"),3593.0)</f>
        <v>3593</v>
      </c>
      <c r="G3599" s="19">
        <f>IFERROR(__xludf.DUMMYFUNCTION("""COMPUTED_VALUE"""),0.00239)</f>
        <v>0.00239</v>
      </c>
      <c r="H3599" s="19" t="str">
        <f>IFERROR(__xludf.DUMMYFUNCTION("""COMPUTED_VALUE"""),"-")</f>
        <v>-</v>
      </c>
      <c r="I3599" s="19">
        <f>IFERROR(__xludf.DUMMYFUNCTION("""COMPUTED_VALUE"""),0.00223)</f>
        <v>0.00223</v>
      </c>
      <c r="J3599" s="19">
        <f>IFERROR(__xludf.DUMMYFUNCTION("""COMPUTED_VALUE"""),0.04746)</f>
        <v>0.04746</v>
      </c>
      <c r="K3599" s="19" t="str">
        <f>IFERROR(__xludf.DUMMYFUNCTION("""COMPUTED_VALUE"""),"-")</f>
        <v>-</v>
      </c>
      <c r="L3599" s="19" t="str">
        <f>IFERROR(__xludf.DUMMYFUNCTION("""COMPUTED_VALUE"""),"-")</f>
        <v>-</v>
      </c>
      <c r="O3599" s="24">
        <f t="shared" si="4"/>
        <v>0</v>
      </c>
      <c r="P3599" s="24"/>
      <c r="Q3599" s="24">
        <f t="shared" si="6"/>
        <v>0</v>
      </c>
      <c r="R3599" s="24">
        <f t="shared" si="7"/>
        <v>0</v>
      </c>
      <c r="S3599" s="24"/>
      <c r="T3599" s="24"/>
    </row>
    <row r="3600">
      <c r="A3600" s="12" t="s">
        <v>3687</v>
      </c>
      <c r="F3600" s="19">
        <f>IFERROR(__xludf.DUMMYFUNCTION("SPLIT(A3596, "" |"")"),3594.0)</f>
        <v>3594</v>
      </c>
      <c r="G3600" s="19">
        <f>IFERROR(__xludf.DUMMYFUNCTION("""COMPUTED_VALUE"""),0.00232)</f>
        <v>0.00232</v>
      </c>
      <c r="H3600" s="19" t="str">
        <f>IFERROR(__xludf.DUMMYFUNCTION("""COMPUTED_VALUE"""),"-")</f>
        <v>-</v>
      </c>
      <c r="I3600" s="19">
        <f>IFERROR(__xludf.DUMMYFUNCTION("""COMPUTED_VALUE"""),0.00223)</f>
        <v>0.00223</v>
      </c>
      <c r="J3600" s="19">
        <f>IFERROR(__xludf.DUMMYFUNCTION("""COMPUTED_VALUE"""),0.0475)</f>
        <v>0.0475</v>
      </c>
      <c r="K3600" s="19" t="str">
        <f>IFERROR(__xludf.DUMMYFUNCTION("""COMPUTED_VALUE"""),"-")</f>
        <v>-</v>
      </c>
      <c r="L3600" s="19" t="str">
        <f>IFERROR(__xludf.DUMMYFUNCTION("""COMPUTED_VALUE"""),"-")</f>
        <v>-</v>
      </c>
      <c r="O3600" s="24">
        <f t="shared" si="4"/>
        <v>0</v>
      </c>
      <c r="P3600" s="24"/>
      <c r="Q3600" s="24">
        <f t="shared" si="6"/>
        <v>0</v>
      </c>
      <c r="R3600" s="24">
        <f t="shared" si="7"/>
        <v>0</v>
      </c>
      <c r="S3600" s="24"/>
      <c r="T3600" s="24"/>
    </row>
    <row r="3601">
      <c r="A3601" s="12" t="s">
        <v>3688</v>
      </c>
      <c r="F3601" s="19">
        <f>IFERROR(__xludf.DUMMYFUNCTION("SPLIT(A3597, "" |"")"),3595.0)</f>
        <v>3595</v>
      </c>
      <c r="G3601" s="19">
        <f>IFERROR(__xludf.DUMMYFUNCTION("""COMPUTED_VALUE"""),0.00238)</f>
        <v>0.00238</v>
      </c>
      <c r="H3601" s="19" t="str">
        <f>IFERROR(__xludf.DUMMYFUNCTION("""COMPUTED_VALUE"""),"-")</f>
        <v>-</v>
      </c>
      <c r="I3601" s="19">
        <f>IFERROR(__xludf.DUMMYFUNCTION("""COMPUTED_VALUE"""),0.00231)</f>
        <v>0.00231</v>
      </c>
      <c r="J3601" s="19">
        <f>IFERROR(__xludf.DUMMYFUNCTION("""COMPUTED_VALUE"""),0.04748)</f>
        <v>0.04748</v>
      </c>
      <c r="K3601" s="19" t="str">
        <f>IFERROR(__xludf.DUMMYFUNCTION("""COMPUTED_VALUE"""),"-")</f>
        <v>-</v>
      </c>
      <c r="L3601" s="19" t="str">
        <f>IFERROR(__xludf.DUMMYFUNCTION("""COMPUTED_VALUE"""),"-")</f>
        <v>-</v>
      </c>
      <c r="O3601" s="24">
        <f t="shared" si="4"/>
        <v>0</v>
      </c>
      <c r="P3601" s="24"/>
      <c r="Q3601" s="24">
        <f t="shared" si="6"/>
        <v>0</v>
      </c>
      <c r="R3601" s="24">
        <f t="shared" si="7"/>
        <v>0</v>
      </c>
      <c r="S3601" s="24"/>
      <c r="T3601" s="24"/>
    </row>
    <row r="3602">
      <c r="A3602" s="12" t="s">
        <v>3689</v>
      </c>
      <c r="F3602" s="19">
        <f>IFERROR(__xludf.DUMMYFUNCTION("SPLIT(A3598, "" |"")"),3596.0)</f>
        <v>3596</v>
      </c>
      <c r="G3602" s="19">
        <f>IFERROR(__xludf.DUMMYFUNCTION("""COMPUTED_VALUE"""),0.00238)</f>
        <v>0.00238</v>
      </c>
      <c r="H3602" s="19" t="str">
        <f>IFERROR(__xludf.DUMMYFUNCTION("""COMPUTED_VALUE"""),"-")</f>
        <v>-</v>
      </c>
      <c r="I3602" s="19">
        <f>IFERROR(__xludf.DUMMYFUNCTION("""COMPUTED_VALUE"""),0.00222)</f>
        <v>0.00222</v>
      </c>
      <c r="J3602" s="19">
        <f>IFERROR(__xludf.DUMMYFUNCTION("""COMPUTED_VALUE"""),0.04618)</f>
        <v>0.04618</v>
      </c>
      <c r="K3602" s="19" t="str">
        <f>IFERROR(__xludf.DUMMYFUNCTION("""COMPUTED_VALUE"""),"-")</f>
        <v>-</v>
      </c>
      <c r="L3602" s="19" t="str">
        <f>IFERROR(__xludf.DUMMYFUNCTION("""COMPUTED_VALUE"""),"-")</f>
        <v>-</v>
      </c>
      <c r="O3602" s="24">
        <f t="shared" si="4"/>
        <v>0</v>
      </c>
      <c r="P3602" s="24"/>
      <c r="Q3602" s="24">
        <f t="shared" si="6"/>
        <v>0</v>
      </c>
      <c r="R3602" s="24">
        <f t="shared" si="7"/>
        <v>0</v>
      </c>
      <c r="S3602" s="24"/>
      <c r="T3602" s="24"/>
    </row>
    <row r="3603">
      <c r="A3603" s="12" t="s">
        <v>3690</v>
      </c>
      <c r="F3603" s="19">
        <f>IFERROR(__xludf.DUMMYFUNCTION("SPLIT(A3599, "" |"")"),3597.0)</f>
        <v>3597</v>
      </c>
      <c r="G3603" s="19">
        <f>IFERROR(__xludf.DUMMYFUNCTION("""COMPUTED_VALUE"""),0.00229)</f>
        <v>0.00229</v>
      </c>
      <c r="H3603" s="19" t="str">
        <f>IFERROR(__xludf.DUMMYFUNCTION("""COMPUTED_VALUE"""),"-")</f>
        <v>-</v>
      </c>
      <c r="I3603" s="19">
        <f>IFERROR(__xludf.DUMMYFUNCTION("""COMPUTED_VALUE"""),0.0022)</f>
        <v>0.0022</v>
      </c>
      <c r="J3603" s="19">
        <f>IFERROR(__xludf.DUMMYFUNCTION("""COMPUTED_VALUE"""),0.04743)</f>
        <v>0.04743</v>
      </c>
      <c r="K3603" s="19" t="str">
        <f>IFERROR(__xludf.DUMMYFUNCTION("""COMPUTED_VALUE"""),"-")</f>
        <v>-</v>
      </c>
      <c r="L3603" s="19" t="str">
        <f>IFERROR(__xludf.DUMMYFUNCTION("""COMPUTED_VALUE"""),"-")</f>
        <v>-</v>
      </c>
      <c r="O3603" s="24">
        <f t="shared" si="4"/>
        <v>0</v>
      </c>
      <c r="P3603" s="24"/>
      <c r="Q3603" s="24">
        <f t="shared" si="6"/>
        <v>0</v>
      </c>
      <c r="R3603" s="24">
        <f t="shared" si="7"/>
        <v>0</v>
      </c>
      <c r="S3603" s="24"/>
      <c r="T3603" s="24"/>
    </row>
    <row r="3604">
      <c r="A3604" s="12" t="s">
        <v>3691</v>
      </c>
      <c r="F3604" s="19">
        <f>IFERROR(__xludf.DUMMYFUNCTION("SPLIT(A3600, "" |"")"),3598.0)</f>
        <v>3598</v>
      </c>
      <c r="G3604" s="19">
        <f>IFERROR(__xludf.DUMMYFUNCTION("""COMPUTED_VALUE"""),0.00233)</f>
        <v>0.00233</v>
      </c>
      <c r="H3604" s="19" t="str">
        <f>IFERROR(__xludf.DUMMYFUNCTION("""COMPUTED_VALUE"""),"-")</f>
        <v>-</v>
      </c>
      <c r="I3604" s="19">
        <f>IFERROR(__xludf.DUMMYFUNCTION("""COMPUTED_VALUE"""),0.00222)</f>
        <v>0.00222</v>
      </c>
      <c r="J3604" s="19">
        <f>IFERROR(__xludf.DUMMYFUNCTION("""COMPUTED_VALUE"""),0.04745)</f>
        <v>0.04745</v>
      </c>
      <c r="K3604" s="19" t="str">
        <f>IFERROR(__xludf.DUMMYFUNCTION("""COMPUTED_VALUE"""),"-")</f>
        <v>-</v>
      </c>
      <c r="L3604" s="19" t="str">
        <f>IFERROR(__xludf.DUMMYFUNCTION("""COMPUTED_VALUE"""),"-")</f>
        <v>-</v>
      </c>
      <c r="O3604" s="24">
        <f t="shared" si="4"/>
        <v>0</v>
      </c>
      <c r="P3604" s="24"/>
      <c r="Q3604" s="24">
        <f t="shared" si="6"/>
        <v>0</v>
      </c>
      <c r="R3604" s="24">
        <f t="shared" si="7"/>
        <v>0</v>
      </c>
      <c r="S3604" s="24"/>
      <c r="T3604" s="24"/>
    </row>
    <row r="3605">
      <c r="A3605" s="12" t="s">
        <v>3692</v>
      </c>
      <c r="F3605" s="19">
        <f>IFERROR(__xludf.DUMMYFUNCTION("SPLIT(A3601, "" |"")"),3599.0)</f>
        <v>3599</v>
      </c>
      <c r="G3605" s="19">
        <f>IFERROR(__xludf.DUMMYFUNCTION("""COMPUTED_VALUE"""),0.00219)</f>
        <v>0.00219</v>
      </c>
      <c r="H3605" s="19" t="str">
        <f>IFERROR(__xludf.DUMMYFUNCTION("""COMPUTED_VALUE"""),"-")</f>
        <v>-</v>
      </c>
      <c r="I3605" s="19">
        <f>IFERROR(__xludf.DUMMYFUNCTION("""COMPUTED_VALUE"""),0.00207)</f>
        <v>0.00207</v>
      </c>
      <c r="J3605" s="19">
        <f>IFERROR(__xludf.DUMMYFUNCTION("""COMPUTED_VALUE"""),0.04727)</f>
        <v>0.04727</v>
      </c>
      <c r="K3605" s="19" t="str">
        <f>IFERROR(__xludf.DUMMYFUNCTION("""COMPUTED_VALUE"""),"-")</f>
        <v>-</v>
      </c>
      <c r="L3605" s="19" t="str">
        <f>IFERROR(__xludf.DUMMYFUNCTION("""COMPUTED_VALUE"""),"-")</f>
        <v>-</v>
      </c>
      <c r="O3605" s="24">
        <f t="shared" si="4"/>
        <v>0</v>
      </c>
      <c r="P3605" s="24"/>
      <c r="Q3605" s="24">
        <f t="shared" si="6"/>
        <v>0</v>
      </c>
      <c r="R3605" s="24">
        <f t="shared" si="7"/>
        <v>0</v>
      </c>
      <c r="S3605" s="24"/>
      <c r="T3605" s="24"/>
    </row>
    <row r="3606">
      <c r="A3606" s="12" t="s">
        <v>3693</v>
      </c>
      <c r="F3606" s="19">
        <f>IFERROR(__xludf.DUMMYFUNCTION("SPLIT(A3602, "" |"")"),3600.0)</f>
        <v>3600</v>
      </c>
      <c r="G3606" s="19">
        <f>IFERROR(__xludf.DUMMYFUNCTION("""COMPUTED_VALUE"""),0.00221)</f>
        <v>0.00221</v>
      </c>
      <c r="H3606" s="19" t="str">
        <f>IFERROR(__xludf.DUMMYFUNCTION("""COMPUTED_VALUE"""),"-")</f>
        <v>-</v>
      </c>
      <c r="I3606" s="19">
        <f>IFERROR(__xludf.DUMMYFUNCTION("""COMPUTED_VALUE"""),0.00208)</f>
        <v>0.00208</v>
      </c>
      <c r="J3606" s="19">
        <f>IFERROR(__xludf.DUMMYFUNCTION("""COMPUTED_VALUE"""),0.04742)</f>
        <v>0.04742</v>
      </c>
      <c r="K3606" s="19" t="str">
        <f>IFERROR(__xludf.DUMMYFUNCTION("""COMPUTED_VALUE"""),"-")</f>
        <v>-</v>
      </c>
      <c r="L3606" s="19" t="str">
        <f>IFERROR(__xludf.DUMMYFUNCTION("""COMPUTED_VALUE"""),"-")</f>
        <v>-</v>
      </c>
      <c r="O3606" s="24">
        <f t="shared" si="4"/>
        <v>0</v>
      </c>
      <c r="P3606" s="24"/>
      <c r="Q3606" s="24">
        <f t="shared" si="6"/>
        <v>0</v>
      </c>
      <c r="R3606" s="24">
        <f t="shared" si="7"/>
        <v>0</v>
      </c>
      <c r="S3606" s="24"/>
      <c r="T3606" s="24"/>
    </row>
    <row r="3607">
      <c r="A3607" s="12" t="s">
        <v>3694</v>
      </c>
      <c r="F3607" s="19">
        <f>IFERROR(__xludf.DUMMYFUNCTION("SPLIT(A3603, "" |"")"),3601.0)</f>
        <v>3601</v>
      </c>
      <c r="G3607" s="19">
        <f>IFERROR(__xludf.DUMMYFUNCTION("""COMPUTED_VALUE"""),0.0023)</f>
        <v>0.0023</v>
      </c>
      <c r="H3607" s="19" t="str">
        <f>IFERROR(__xludf.DUMMYFUNCTION("""COMPUTED_VALUE"""),"-")</f>
        <v>-</v>
      </c>
      <c r="I3607" s="19">
        <f>IFERROR(__xludf.DUMMYFUNCTION("""COMPUTED_VALUE"""),0.00222)</f>
        <v>0.00222</v>
      </c>
      <c r="J3607" s="19">
        <f>IFERROR(__xludf.DUMMYFUNCTION("""COMPUTED_VALUE"""),0.04741)</f>
        <v>0.04741</v>
      </c>
      <c r="K3607" s="19" t="str">
        <f>IFERROR(__xludf.DUMMYFUNCTION("""COMPUTED_VALUE"""),"-")</f>
        <v>-</v>
      </c>
      <c r="L3607" s="19" t="str">
        <f>IFERROR(__xludf.DUMMYFUNCTION("""COMPUTED_VALUE"""),"-")</f>
        <v>-</v>
      </c>
      <c r="O3607" s="24">
        <f t="shared" si="4"/>
        <v>0</v>
      </c>
      <c r="P3607" s="24"/>
      <c r="Q3607" s="24">
        <f t="shared" si="6"/>
        <v>0</v>
      </c>
      <c r="R3607" s="24">
        <f t="shared" si="7"/>
        <v>0</v>
      </c>
      <c r="S3607" s="24"/>
      <c r="T3607" s="24"/>
    </row>
    <row r="3608">
      <c r="A3608" s="12" t="s">
        <v>3695</v>
      </c>
      <c r="F3608" s="19">
        <f>IFERROR(__xludf.DUMMYFUNCTION("SPLIT(A3604, "" |"")"),3602.0)</f>
        <v>3602</v>
      </c>
      <c r="G3608" s="19">
        <f>IFERROR(__xludf.DUMMYFUNCTION("""COMPUTED_VALUE"""),0.00221)</f>
        <v>0.00221</v>
      </c>
      <c r="H3608" s="19" t="str">
        <f>IFERROR(__xludf.DUMMYFUNCTION("""COMPUTED_VALUE"""),"-")</f>
        <v>-</v>
      </c>
      <c r="I3608" s="19">
        <f>IFERROR(__xludf.DUMMYFUNCTION("""COMPUTED_VALUE"""),0.0021)</f>
        <v>0.0021</v>
      </c>
      <c r="J3608" s="19">
        <f>IFERROR(__xludf.DUMMYFUNCTION("""COMPUTED_VALUE"""),0.04733)</f>
        <v>0.04733</v>
      </c>
      <c r="K3608" s="19" t="str">
        <f>IFERROR(__xludf.DUMMYFUNCTION("""COMPUTED_VALUE"""),"-")</f>
        <v>-</v>
      </c>
      <c r="L3608" s="19" t="str">
        <f>IFERROR(__xludf.DUMMYFUNCTION("""COMPUTED_VALUE"""),"-")</f>
        <v>-</v>
      </c>
      <c r="O3608" s="24">
        <f t="shared" si="4"/>
        <v>0</v>
      </c>
      <c r="P3608" s="24"/>
      <c r="Q3608" s="24">
        <f t="shared" si="6"/>
        <v>0</v>
      </c>
      <c r="R3608" s="24">
        <f t="shared" si="7"/>
        <v>0</v>
      </c>
      <c r="S3608" s="24"/>
      <c r="T3608" s="24"/>
    </row>
    <row r="3609">
      <c r="A3609" s="12" t="s">
        <v>3696</v>
      </c>
      <c r="F3609" s="19">
        <f>IFERROR(__xludf.DUMMYFUNCTION("SPLIT(A3605, "" |"")"),3603.0)</f>
        <v>3603</v>
      </c>
      <c r="G3609" s="19">
        <f>IFERROR(__xludf.DUMMYFUNCTION("""COMPUTED_VALUE"""),0.00221)</f>
        <v>0.00221</v>
      </c>
      <c r="H3609" s="19" t="str">
        <f>IFERROR(__xludf.DUMMYFUNCTION("""COMPUTED_VALUE"""),"-")</f>
        <v>-</v>
      </c>
      <c r="I3609" s="19">
        <f>IFERROR(__xludf.DUMMYFUNCTION("""COMPUTED_VALUE"""),0.00209)</f>
        <v>0.00209</v>
      </c>
      <c r="J3609" s="19">
        <f>IFERROR(__xludf.DUMMYFUNCTION("""COMPUTED_VALUE"""),0.04735)</f>
        <v>0.04735</v>
      </c>
      <c r="K3609" s="19" t="str">
        <f>IFERROR(__xludf.DUMMYFUNCTION("""COMPUTED_VALUE"""),"-")</f>
        <v>-</v>
      </c>
      <c r="L3609" s="19" t="str">
        <f>IFERROR(__xludf.DUMMYFUNCTION("""COMPUTED_VALUE"""),"-")</f>
        <v>-</v>
      </c>
      <c r="O3609" s="24">
        <f t="shared" si="4"/>
        <v>0</v>
      </c>
      <c r="P3609" s="24"/>
      <c r="Q3609" s="24">
        <f t="shared" si="6"/>
        <v>0</v>
      </c>
      <c r="R3609" s="24">
        <f t="shared" si="7"/>
        <v>0</v>
      </c>
      <c r="S3609" s="24"/>
      <c r="T3609" s="24"/>
    </row>
    <row r="3610">
      <c r="A3610" s="12" t="s">
        <v>3697</v>
      </c>
      <c r="F3610" s="19">
        <f>IFERROR(__xludf.DUMMYFUNCTION("SPLIT(A3606, "" |"")"),3604.0)</f>
        <v>3604</v>
      </c>
      <c r="G3610" s="19">
        <f>IFERROR(__xludf.DUMMYFUNCTION("""COMPUTED_VALUE"""),0.00237)</f>
        <v>0.00237</v>
      </c>
      <c r="H3610" s="19" t="str">
        <f>IFERROR(__xludf.DUMMYFUNCTION("""COMPUTED_VALUE"""),"-")</f>
        <v>-</v>
      </c>
      <c r="I3610" s="19">
        <f>IFERROR(__xludf.DUMMYFUNCTION("""COMPUTED_VALUE"""),0.00219)</f>
        <v>0.00219</v>
      </c>
      <c r="J3610" s="19">
        <f>IFERROR(__xludf.DUMMYFUNCTION("""COMPUTED_VALUE"""),0.04748)</f>
        <v>0.04748</v>
      </c>
      <c r="K3610" s="19" t="str">
        <f>IFERROR(__xludf.DUMMYFUNCTION("""COMPUTED_VALUE"""),"-")</f>
        <v>-</v>
      </c>
      <c r="L3610" s="19" t="str">
        <f>IFERROR(__xludf.DUMMYFUNCTION("""COMPUTED_VALUE"""),"-")</f>
        <v>-</v>
      </c>
      <c r="O3610" s="24">
        <f t="shared" si="4"/>
        <v>0</v>
      </c>
      <c r="P3610" s="24"/>
      <c r="Q3610" s="24">
        <f t="shared" si="6"/>
        <v>0</v>
      </c>
      <c r="R3610" s="24">
        <f t="shared" si="7"/>
        <v>0</v>
      </c>
      <c r="S3610" s="24"/>
      <c r="T3610" s="24"/>
    </row>
    <row r="3611">
      <c r="A3611" s="12" t="s">
        <v>3698</v>
      </c>
      <c r="F3611" s="19">
        <f>IFERROR(__xludf.DUMMYFUNCTION("SPLIT(A3607, "" |"")"),3605.0)</f>
        <v>3605</v>
      </c>
      <c r="G3611" s="19">
        <f>IFERROR(__xludf.DUMMYFUNCTION("""COMPUTED_VALUE"""),0.00223)</f>
        <v>0.00223</v>
      </c>
      <c r="H3611" s="19" t="str">
        <f>IFERROR(__xludf.DUMMYFUNCTION("""COMPUTED_VALUE"""),"-")</f>
        <v>-</v>
      </c>
      <c r="I3611" s="19">
        <f>IFERROR(__xludf.DUMMYFUNCTION("""COMPUTED_VALUE"""),0.00226)</f>
        <v>0.00226</v>
      </c>
      <c r="J3611" s="19">
        <f>IFERROR(__xludf.DUMMYFUNCTION("""COMPUTED_VALUE"""),0.04749)</f>
        <v>0.04749</v>
      </c>
      <c r="K3611" s="19" t="str">
        <f>IFERROR(__xludf.DUMMYFUNCTION("""COMPUTED_VALUE"""),"-")</f>
        <v>-</v>
      </c>
      <c r="L3611" s="19" t="str">
        <f>IFERROR(__xludf.DUMMYFUNCTION("""COMPUTED_VALUE"""),"-")</f>
        <v>-</v>
      </c>
      <c r="O3611" s="24">
        <f t="shared" si="4"/>
        <v>0</v>
      </c>
      <c r="P3611" s="24"/>
      <c r="Q3611" s="24">
        <f t="shared" si="6"/>
        <v>0</v>
      </c>
      <c r="R3611" s="24">
        <f t="shared" si="7"/>
        <v>0</v>
      </c>
      <c r="S3611" s="24"/>
      <c r="T3611" s="24"/>
    </row>
    <row r="3612">
      <c r="A3612" s="12" t="s">
        <v>3699</v>
      </c>
      <c r="F3612" s="19">
        <f>IFERROR(__xludf.DUMMYFUNCTION("SPLIT(A3608, "" |"")"),3606.0)</f>
        <v>3606</v>
      </c>
      <c r="G3612" s="19">
        <f>IFERROR(__xludf.DUMMYFUNCTION("""COMPUTED_VALUE"""),0.00224)</f>
        <v>0.00224</v>
      </c>
      <c r="H3612" s="19" t="str">
        <f>IFERROR(__xludf.DUMMYFUNCTION("""COMPUTED_VALUE"""),"-")</f>
        <v>-</v>
      </c>
      <c r="I3612" s="19">
        <f>IFERROR(__xludf.DUMMYFUNCTION("""COMPUTED_VALUE"""),0.00215)</f>
        <v>0.00215</v>
      </c>
      <c r="J3612" s="19">
        <f>IFERROR(__xludf.DUMMYFUNCTION("""COMPUTED_VALUE"""),0.04746)</f>
        <v>0.04746</v>
      </c>
      <c r="K3612" s="19" t="str">
        <f>IFERROR(__xludf.DUMMYFUNCTION("""COMPUTED_VALUE"""),"-")</f>
        <v>-</v>
      </c>
      <c r="L3612" s="19" t="str">
        <f>IFERROR(__xludf.DUMMYFUNCTION("""COMPUTED_VALUE"""),"-")</f>
        <v>-</v>
      </c>
      <c r="O3612" s="24">
        <f t="shared" si="4"/>
        <v>0</v>
      </c>
      <c r="P3612" s="24"/>
      <c r="Q3612" s="24">
        <f t="shared" si="6"/>
        <v>0</v>
      </c>
      <c r="R3612" s="24">
        <f t="shared" si="7"/>
        <v>0</v>
      </c>
      <c r="S3612" s="24"/>
      <c r="T3612" s="24"/>
    </row>
    <row r="3613">
      <c r="A3613" s="12" t="s">
        <v>3700</v>
      </c>
      <c r="F3613" s="19">
        <f>IFERROR(__xludf.DUMMYFUNCTION("SPLIT(A3609, "" |"")"),3607.0)</f>
        <v>3607</v>
      </c>
      <c r="G3613" s="19">
        <f>IFERROR(__xludf.DUMMYFUNCTION("""COMPUTED_VALUE"""),0.00235)</f>
        <v>0.00235</v>
      </c>
      <c r="H3613" s="19" t="str">
        <f>IFERROR(__xludf.DUMMYFUNCTION("""COMPUTED_VALUE"""),"-")</f>
        <v>-</v>
      </c>
      <c r="I3613" s="19">
        <f>IFERROR(__xludf.DUMMYFUNCTION("""COMPUTED_VALUE"""),0.00216)</f>
        <v>0.00216</v>
      </c>
      <c r="J3613" s="19">
        <f>IFERROR(__xludf.DUMMYFUNCTION("""COMPUTED_VALUE"""),0.04748)</f>
        <v>0.04748</v>
      </c>
      <c r="K3613" s="19" t="str">
        <f>IFERROR(__xludf.DUMMYFUNCTION("""COMPUTED_VALUE"""),"-")</f>
        <v>-</v>
      </c>
      <c r="L3613" s="19" t="str">
        <f>IFERROR(__xludf.DUMMYFUNCTION("""COMPUTED_VALUE"""),"-")</f>
        <v>-</v>
      </c>
      <c r="O3613" s="24">
        <f t="shared" si="4"/>
        <v>0</v>
      </c>
      <c r="P3613" s="24"/>
      <c r="Q3613" s="24">
        <f t="shared" si="6"/>
        <v>0</v>
      </c>
      <c r="R3613" s="24">
        <f t="shared" si="7"/>
        <v>0</v>
      </c>
      <c r="S3613" s="24"/>
      <c r="T3613" s="24"/>
    </row>
    <row r="3614">
      <c r="A3614" s="12" t="s">
        <v>3701</v>
      </c>
      <c r="F3614" s="19">
        <f>IFERROR(__xludf.DUMMYFUNCTION("SPLIT(A3610, "" |"")"),3608.0)</f>
        <v>3608</v>
      </c>
      <c r="G3614" s="19">
        <f>IFERROR(__xludf.DUMMYFUNCTION("""COMPUTED_VALUE"""),0.00236)</f>
        <v>0.00236</v>
      </c>
      <c r="H3614" s="19" t="str">
        <f>IFERROR(__xludf.DUMMYFUNCTION("""COMPUTED_VALUE"""),"-")</f>
        <v>-</v>
      </c>
      <c r="I3614" s="19">
        <f>IFERROR(__xludf.DUMMYFUNCTION("""COMPUTED_VALUE"""),0.00225)</f>
        <v>0.00225</v>
      </c>
      <c r="J3614" s="19">
        <f>IFERROR(__xludf.DUMMYFUNCTION("""COMPUTED_VALUE"""),0.04751)</f>
        <v>0.04751</v>
      </c>
      <c r="K3614" s="19" t="str">
        <f>IFERROR(__xludf.DUMMYFUNCTION("""COMPUTED_VALUE"""),"-")</f>
        <v>-</v>
      </c>
      <c r="L3614" s="19" t="str">
        <f>IFERROR(__xludf.DUMMYFUNCTION("""COMPUTED_VALUE"""),"-")</f>
        <v>-</v>
      </c>
      <c r="O3614" s="24">
        <f t="shared" si="4"/>
        <v>0</v>
      </c>
      <c r="P3614" s="24"/>
      <c r="Q3614" s="24">
        <f t="shared" si="6"/>
        <v>0</v>
      </c>
      <c r="R3614" s="24">
        <f t="shared" si="7"/>
        <v>0</v>
      </c>
      <c r="S3614" s="24"/>
      <c r="T3614" s="24"/>
    </row>
    <row r="3615">
      <c r="A3615" s="12" t="s">
        <v>3702</v>
      </c>
      <c r="F3615" s="19">
        <f>IFERROR(__xludf.DUMMYFUNCTION("SPLIT(A3611, "" |"")"),3609.0)</f>
        <v>3609</v>
      </c>
      <c r="G3615" s="19">
        <f>IFERROR(__xludf.DUMMYFUNCTION("""COMPUTED_VALUE"""),0.00234)</f>
        <v>0.00234</v>
      </c>
      <c r="H3615" s="19" t="str">
        <f>IFERROR(__xludf.DUMMYFUNCTION("""COMPUTED_VALUE"""),"-")</f>
        <v>-</v>
      </c>
      <c r="I3615" s="19">
        <f>IFERROR(__xludf.DUMMYFUNCTION("""COMPUTED_VALUE"""),0.00217)</f>
        <v>0.00217</v>
      </c>
      <c r="J3615" s="19">
        <f>IFERROR(__xludf.DUMMYFUNCTION("""COMPUTED_VALUE"""),0.04483)</f>
        <v>0.04483</v>
      </c>
      <c r="K3615" s="19" t="str">
        <f>IFERROR(__xludf.DUMMYFUNCTION("""COMPUTED_VALUE"""),"-")</f>
        <v>-</v>
      </c>
      <c r="L3615" s="19" t="str">
        <f>IFERROR(__xludf.DUMMYFUNCTION("""COMPUTED_VALUE"""),"-")</f>
        <v>-</v>
      </c>
      <c r="O3615" s="24">
        <f t="shared" si="4"/>
        <v>0</v>
      </c>
      <c r="P3615" s="24"/>
      <c r="Q3615" s="24">
        <f t="shared" si="6"/>
        <v>0</v>
      </c>
      <c r="R3615" s="24">
        <f t="shared" si="7"/>
        <v>1</v>
      </c>
      <c r="S3615" s="24"/>
      <c r="T3615" s="24"/>
    </row>
    <row r="3616">
      <c r="A3616" s="12" t="s">
        <v>3703</v>
      </c>
      <c r="F3616" s="19">
        <f>IFERROR(__xludf.DUMMYFUNCTION("SPLIT(A3612, "" |"")"),3610.0)</f>
        <v>3610</v>
      </c>
      <c r="G3616" s="19">
        <f>IFERROR(__xludf.DUMMYFUNCTION("""COMPUTED_VALUE"""),0.00219)</f>
        <v>0.00219</v>
      </c>
      <c r="H3616" s="19" t="str">
        <f>IFERROR(__xludf.DUMMYFUNCTION("""COMPUTED_VALUE"""),"-")</f>
        <v>-</v>
      </c>
      <c r="I3616" s="19">
        <f>IFERROR(__xludf.DUMMYFUNCTION("""COMPUTED_VALUE"""),0.00222)</f>
        <v>0.00222</v>
      </c>
      <c r="J3616" s="19">
        <f>IFERROR(__xludf.DUMMYFUNCTION("""COMPUTED_VALUE"""),0.04395)</f>
        <v>0.04395</v>
      </c>
      <c r="K3616" s="19" t="str">
        <f>IFERROR(__xludf.DUMMYFUNCTION("""COMPUTED_VALUE"""),"-")</f>
        <v>-</v>
      </c>
      <c r="L3616" s="19" t="str">
        <f>IFERROR(__xludf.DUMMYFUNCTION("""COMPUTED_VALUE"""),"-")</f>
        <v>-</v>
      </c>
      <c r="O3616" s="24">
        <f t="shared" si="4"/>
        <v>0</v>
      </c>
      <c r="P3616" s="24"/>
      <c r="Q3616" s="24">
        <f t="shared" si="6"/>
        <v>0</v>
      </c>
      <c r="R3616" s="24">
        <f t="shared" si="7"/>
        <v>1</v>
      </c>
      <c r="S3616" s="24"/>
      <c r="T3616" s="24"/>
    </row>
    <row r="3617">
      <c r="A3617" s="12" t="s">
        <v>3704</v>
      </c>
      <c r="F3617" s="19">
        <f>IFERROR(__xludf.DUMMYFUNCTION("SPLIT(A3613, "" |"")"),3611.0)</f>
        <v>3611</v>
      </c>
      <c r="G3617" s="19">
        <f>IFERROR(__xludf.DUMMYFUNCTION("""COMPUTED_VALUE"""),0.00232)</f>
        <v>0.00232</v>
      </c>
      <c r="H3617" s="19" t="str">
        <f>IFERROR(__xludf.DUMMYFUNCTION("""COMPUTED_VALUE"""),"-")</f>
        <v>-</v>
      </c>
      <c r="I3617" s="19">
        <f>IFERROR(__xludf.DUMMYFUNCTION("""COMPUTED_VALUE"""),0.00214)</f>
        <v>0.00214</v>
      </c>
      <c r="J3617" s="19">
        <f>IFERROR(__xludf.DUMMYFUNCTION("""COMPUTED_VALUE"""),0.04111)</f>
        <v>0.04111</v>
      </c>
      <c r="K3617" s="19" t="str">
        <f>IFERROR(__xludf.DUMMYFUNCTION("""COMPUTED_VALUE"""),"-")</f>
        <v>-</v>
      </c>
      <c r="L3617" s="19" t="str">
        <f>IFERROR(__xludf.DUMMYFUNCTION("""COMPUTED_VALUE"""),"-")</f>
        <v>-</v>
      </c>
      <c r="O3617" s="24">
        <f t="shared" si="4"/>
        <v>0</v>
      </c>
      <c r="P3617" s="24"/>
      <c r="Q3617" s="24">
        <f t="shared" si="6"/>
        <v>0</v>
      </c>
      <c r="R3617" s="24">
        <f t="shared" si="7"/>
        <v>1</v>
      </c>
      <c r="S3617" s="24"/>
      <c r="T3617" s="24"/>
    </row>
    <row r="3618">
      <c r="A3618" s="12" t="s">
        <v>3705</v>
      </c>
      <c r="F3618" s="19">
        <f>IFERROR(__xludf.DUMMYFUNCTION("SPLIT(A3614, "" |"")"),3612.0)</f>
        <v>3612</v>
      </c>
      <c r="G3618" s="19">
        <f>IFERROR(__xludf.DUMMYFUNCTION("""COMPUTED_VALUE"""),0.00237)</f>
        <v>0.00237</v>
      </c>
      <c r="H3618" s="19" t="str">
        <f>IFERROR(__xludf.DUMMYFUNCTION("""COMPUTED_VALUE"""),"-")</f>
        <v>-</v>
      </c>
      <c r="I3618" s="19">
        <f>IFERROR(__xludf.DUMMYFUNCTION("""COMPUTED_VALUE"""),0.00219)</f>
        <v>0.00219</v>
      </c>
      <c r="J3618" s="19">
        <f>IFERROR(__xludf.DUMMYFUNCTION("""COMPUTED_VALUE"""),0.04725)</f>
        <v>0.04725</v>
      </c>
      <c r="K3618" s="19" t="str">
        <f>IFERROR(__xludf.DUMMYFUNCTION("""COMPUTED_VALUE"""),"-")</f>
        <v>-</v>
      </c>
      <c r="L3618" s="19" t="str">
        <f>IFERROR(__xludf.DUMMYFUNCTION("""COMPUTED_VALUE"""),"-")</f>
        <v>-</v>
      </c>
      <c r="O3618" s="24">
        <f t="shared" si="4"/>
        <v>0</v>
      </c>
      <c r="P3618" s="24"/>
      <c r="Q3618" s="24">
        <f t="shared" si="6"/>
        <v>0</v>
      </c>
      <c r="R3618" s="24">
        <f t="shared" si="7"/>
        <v>0</v>
      </c>
      <c r="S3618" s="24"/>
      <c r="T3618" s="24"/>
    </row>
    <row r="3619">
      <c r="A3619" s="12" t="s">
        <v>3706</v>
      </c>
      <c r="F3619" s="19">
        <f>IFERROR(__xludf.DUMMYFUNCTION("SPLIT(A3615, "" |"")"),3613.0)</f>
        <v>3613</v>
      </c>
      <c r="G3619" s="19">
        <f>IFERROR(__xludf.DUMMYFUNCTION("""COMPUTED_VALUE"""),0.00232)</f>
        <v>0.00232</v>
      </c>
      <c r="H3619" s="19" t="str">
        <f>IFERROR(__xludf.DUMMYFUNCTION("""COMPUTED_VALUE"""),"-")</f>
        <v>-</v>
      </c>
      <c r="I3619" s="19">
        <f>IFERROR(__xludf.DUMMYFUNCTION("""COMPUTED_VALUE"""),0.00224)</f>
        <v>0.00224</v>
      </c>
      <c r="J3619" s="19">
        <f>IFERROR(__xludf.DUMMYFUNCTION("""COMPUTED_VALUE"""),0.04565)</f>
        <v>0.04565</v>
      </c>
      <c r="K3619" s="19" t="str">
        <f>IFERROR(__xludf.DUMMYFUNCTION("""COMPUTED_VALUE"""),"-")</f>
        <v>-</v>
      </c>
      <c r="L3619" s="19" t="str">
        <f>IFERROR(__xludf.DUMMYFUNCTION("""COMPUTED_VALUE"""),"-")</f>
        <v>-</v>
      </c>
      <c r="O3619" s="24">
        <f t="shared" si="4"/>
        <v>0</v>
      </c>
      <c r="P3619" s="24"/>
      <c r="Q3619" s="24">
        <f t="shared" si="6"/>
        <v>0</v>
      </c>
      <c r="R3619" s="24">
        <f t="shared" si="7"/>
        <v>0</v>
      </c>
      <c r="S3619" s="24"/>
      <c r="T3619" s="24"/>
    </row>
    <row r="3620">
      <c r="A3620" s="12" t="s">
        <v>3707</v>
      </c>
      <c r="F3620" s="19">
        <f>IFERROR(__xludf.DUMMYFUNCTION("SPLIT(A3616, "" |"")"),3614.0)</f>
        <v>3614</v>
      </c>
      <c r="G3620" s="19">
        <f>IFERROR(__xludf.DUMMYFUNCTION("""COMPUTED_VALUE"""),0.00228)</f>
        <v>0.00228</v>
      </c>
      <c r="H3620" s="19" t="str">
        <f>IFERROR(__xludf.DUMMYFUNCTION("""COMPUTED_VALUE"""),"-")</f>
        <v>-</v>
      </c>
      <c r="I3620" s="19">
        <f>IFERROR(__xludf.DUMMYFUNCTION("""COMPUTED_VALUE"""),0.00223)</f>
        <v>0.00223</v>
      </c>
      <c r="J3620" s="19">
        <f>IFERROR(__xludf.DUMMYFUNCTION("""COMPUTED_VALUE"""),0.04745)</f>
        <v>0.04745</v>
      </c>
      <c r="K3620" s="19" t="str">
        <f>IFERROR(__xludf.DUMMYFUNCTION("""COMPUTED_VALUE"""),"-")</f>
        <v>-</v>
      </c>
      <c r="L3620" s="19" t="str">
        <f>IFERROR(__xludf.DUMMYFUNCTION("""COMPUTED_VALUE"""),"-")</f>
        <v>-</v>
      </c>
      <c r="O3620" s="24">
        <f t="shared" si="4"/>
        <v>0</v>
      </c>
      <c r="P3620" s="24"/>
      <c r="Q3620" s="24">
        <f t="shared" si="6"/>
        <v>0</v>
      </c>
      <c r="R3620" s="24">
        <f t="shared" si="7"/>
        <v>0</v>
      </c>
      <c r="S3620" s="24"/>
      <c r="T3620" s="24"/>
    </row>
    <row r="3621">
      <c r="A3621" s="12" t="s">
        <v>3708</v>
      </c>
      <c r="F3621" s="19">
        <f>IFERROR(__xludf.DUMMYFUNCTION("SPLIT(A3617, "" |"")"),3615.0)</f>
        <v>3615</v>
      </c>
      <c r="G3621" s="19">
        <f>IFERROR(__xludf.DUMMYFUNCTION("""COMPUTED_VALUE"""),0.00236)</f>
        <v>0.00236</v>
      </c>
      <c r="H3621" s="19" t="str">
        <f>IFERROR(__xludf.DUMMYFUNCTION("""COMPUTED_VALUE"""),"-")</f>
        <v>-</v>
      </c>
      <c r="I3621" s="19">
        <f>IFERROR(__xludf.DUMMYFUNCTION("""COMPUTED_VALUE"""),0.00224)</f>
        <v>0.00224</v>
      </c>
      <c r="J3621" s="19">
        <f>IFERROR(__xludf.DUMMYFUNCTION("""COMPUTED_VALUE"""),0.03996)</f>
        <v>0.03996</v>
      </c>
      <c r="K3621" s="19" t="str">
        <f>IFERROR(__xludf.DUMMYFUNCTION("""COMPUTED_VALUE"""),"-")</f>
        <v>-</v>
      </c>
      <c r="L3621" s="19" t="str">
        <f>IFERROR(__xludf.DUMMYFUNCTION("""COMPUTED_VALUE"""),"-")</f>
        <v>-</v>
      </c>
      <c r="O3621" s="24">
        <f t="shared" si="4"/>
        <v>0</v>
      </c>
      <c r="P3621" s="24"/>
      <c r="Q3621" s="24">
        <f t="shared" si="6"/>
        <v>0</v>
      </c>
      <c r="R3621" s="24">
        <f t="shared" si="7"/>
        <v>1</v>
      </c>
      <c r="S3621" s="24"/>
      <c r="T3621" s="24"/>
    </row>
    <row r="3622">
      <c r="A3622" s="12" t="s">
        <v>3709</v>
      </c>
      <c r="F3622" s="19">
        <f>IFERROR(__xludf.DUMMYFUNCTION("SPLIT(A3618, "" |"")"),3616.0)</f>
        <v>3616</v>
      </c>
      <c r="G3622" s="19">
        <f>IFERROR(__xludf.DUMMYFUNCTION("""COMPUTED_VALUE"""),0.00232)</f>
        <v>0.00232</v>
      </c>
      <c r="H3622" s="19" t="str">
        <f>IFERROR(__xludf.DUMMYFUNCTION("""COMPUTED_VALUE"""),"-")</f>
        <v>-</v>
      </c>
      <c r="I3622" s="19">
        <f>IFERROR(__xludf.DUMMYFUNCTION("""COMPUTED_VALUE"""),0.00223)</f>
        <v>0.00223</v>
      </c>
      <c r="J3622" s="19">
        <f>IFERROR(__xludf.DUMMYFUNCTION("""COMPUTED_VALUE"""),0.04743)</f>
        <v>0.04743</v>
      </c>
      <c r="K3622" s="19" t="str">
        <f>IFERROR(__xludf.DUMMYFUNCTION("""COMPUTED_VALUE"""),"-")</f>
        <v>-</v>
      </c>
      <c r="L3622" s="19" t="str">
        <f>IFERROR(__xludf.DUMMYFUNCTION("""COMPUTED_VALUE"""),"-")</f>
        <v>-</v>
      </c>
      <c r="O3622" s="24">
        <f t="shared" si="4"/>
        <v>0</v>
      </c>
      <c r="P3622" s="24"/>
      <c r="Q3622" s="24">
        <f t="shared" si="6"/>
        <v>0</v>
      </c>
      <c r="R3622" s="24">
        <f t="shared" si="7"/>
        <v>0</v>
      </c>
      <c r="S3622" s="24"/>
      <c r="T3622" s="24"/>
    </row>
    <row r="3623">
      <c r="A3623" s="12" t="s">
        <v>3710</v>
      </c>
      <c r="F3623" s="19">
        <f>IFERROR(__xludf.DUMMYFUNCTION("SPLIT(A3619, "" |"")"),3617.0)</f>
        <v>3617</v>
      </c>
      <c r="G3623" s="19">
        <f>IFERROR(__xludf.DUMMYFUNCTION("""COMPUTED_VALUE"""),0.00228)</f>
        <v>0.00228</v>
      </c>
      <c r="H3623" s="19" t="str">
        <f>IFERROR(__xludf.DUMMYFUNCTION("""COMPUTED_VALUE"""),"-")</f>
        <v>-</v>
      </c>
      <c r="I3623" s="19">
        <f>IFERROR(__xludf.DUMMYFUNCTION("""COMPUTED_VALUE"""),0.00229)</f>
        <v>0.00229</v>
      </c>
      <c r="J3623" s="19">
        <f>IFERROR(__xludf.DUMMYFUNCTION("""COMPUTED_VALUE"""),0.04742)</f>
        <v>0.04742</v>
      </c>
      <c r="K3623" s="19" t="str">
        <f>IFERROR(__xludf.DUMMYFUNCTION("""COMPUTED_VALUE"""),"-")</f>
        <v>-</v>
      </c>
      <c r="L3623" s="19" t="str">
        <f>IFERROR(__xludf.DUMMYFUNCTION("""COMPUTED_VALUE"""),"-")</f>
        <v>-</v>
      </c>
      <c r="O3623" s="24">
        <f t="shared" si="4"/>
        <v>0</v>
      </c>
      <c r="P3623" s="24"/>
      <c r="Q3623" s="24">
        <f t="shared" si="6"/>
        <v>0</v>
      </c>
      <c r="R3623" s="24">
        <f t="shared" si="7"/>
        <v>0</v>
      </c>
      <c r="S3623" s="24"/>
      <c r="T3623" s="24"/>
    </row>
    <row r="3624">
      <c r="A3624" s="12" t="s">
        <v>3711</v>
      </c>
      <c r="F3624" s="19">
        <f>IFERROR(__xludf.DUMMYFUNCTION("SPLIT(A3620, "" |"")"),3618.0)</f>
        <v>3618</v>
      </c>
      <c r="G3624" s="19">
        <f>IFERROR(__xludf.DUMMYFUNCTION("""COMPUTED_VALUE"""),0.00237)</f>
        <v>0.00237</v>
      </c>
      <c r="H3624" s="19" t="str">
        <f>IFERROR(__xludf.DUMMYFUNCTION("""COMPUTED_VALUE"""),"-")</f>
        <v>-</v>
      </c>
      <c r="I3624" s="19">
        <f>IFERROR(__xludf.DUMMYFUNCTION("""COMPUTED_VALUE"""),0.00225)</f>
        <v>0.00225</v>
      </c>
      <c r="J3624" s="19">
        <f>IFERROR(__xludf.DUMMYFUNCTION("""COMPUTED_VALUE"""),0.04745)</f>
        <v>0.04745</v>
      </c>
      <c r="K3624" s="19" t="str">
        <f>IFERROR(__xludf.DUMMYFUNCTION("""COMPUTED_VALUE"""),"-")</f>
        <v>-</v>
      </c>
      <c r="L3624" s="19" t="str">
        <f>IFERROR(__xludf.DUMMYFUNCTION("""COMPUTED_VALUE"""),"-")</f>
        <v>-</v>
      </c>
      <c r="O3624" s="24">
        <f t="shared" si="4"/>
        <v>0</v>
      </c>
      <c r="P3624" s="24"/>
      <c r="Q3624" s="24">
        <f t="shared" si="6"/>
        <v>0</v>
      </c>
      <c r="R3624" s="24">
        <f t="shared" si="7"/>
        <v>0</v>
      </c>
      <c r="S3624" s="24"/>
      <c r="T3624" s="24"/>
    </row>
    <row r="3625">
      <c r="A3625" s="12" t="s">
        <v>3712</v>
      </c>
      <c r="F3625" s="19">
        <f>IFERROR(__xludf.DUMMYFUNCTION("SPLIT(A3621, "" |"")"),3619.0)</f>
        <v>3619</v>
      </c>
      <c r="G3625" s="19">
        <f>IFERROR(__xludf.DUMMYFUNCTION("""COMPUTED_VALUE"""),0.00235)</f>
        <v>0.00235</v>
      </c>
      <c r="H3625" s="19" t="str">
        <f>IFERROR(__xludf.DUMMYFUNCTION("""COMPUTED_VALUE"""),"-")</f>
        <v>-</v>
      </c>
      <c r="I3625" s="19">
        <f>IFERROR(__xludf.DUMMYFUNCTION("""COMPUTED_VALUE"""),0.0022)</f>
        <v>0.0022</v>
      </c>
      <c r="J3625" s="19">
        <f>IFERROR(__xludf.DUMMYFUNCTION("""COMPUTED_VALUE"""),0.04739)</f>
        <v>0.04739</v>
      </c>
      <c r="K3625" s="19" t="str">
        <f>IFERROR(__xludf.DUMMYFUNCTION("""COMPUTED_VALUE"""),"-")</f>
        <v>-</v>
      </c>
      <c r="L3625" s="19" t="str">
        <f>IFERROR(__xludf.DUMMYFUNCTION("""COMPUTED_VALUE"""),"-")</f>
        <v>-</v>
      </c>
      <c r="O3625" s="24">
        <f t="shared" si="4"/>
        <v>0</v>
      </c>
      <c r="P3625" s="24"/>
      <c r="Q3625" s="24">
        <f t="shared" si="6"/>
        <v>0</v>
      </c>
      <c r="R3625" s="24">
        <f t="shared" si="7"/>
        <v>0</v>
      </c>
      <c r="S3625" s="24"/>
      <c r="T3625" s="24"/>
    </row>
    <row r="3626">
      <c r="A3626" s="12" t="s">
        <v>3713</v>
      </c>
      <c r="F3626" s="19">
        <f>IFERROR(__xludf.DUMMYFUNCTION("SPLIT(A3622, "" |"")"),3620.0)</f>
        <v>3620</v>
      </c>
      <c r="G3626" s="19">
        <f>IFERROR(__xludf.DUMMYFUNCTION("""COMPUTED_VALUE"""),0.00241)</f>
        <v>0.00241</v>
      </c>
      <c r="H3626" s="19" t="str">
        <f>IFERROR(__xludf.DUMMYFUNCTION("""COMPUTED_VALUE"""),"-")</f>
        <v>-</v>
      </c>
      <c r="I3626" s="19">
        <f>IFERROR(__xludf.DUMMYFUNCTION("""COMPUTED_VALUE"""),0.00221)</f>
        <v>0.00221</v>
      </c>
      <c r="J3626" s="19">
        <f>IFERROR(__xludf.DUMMYFUNCTION("""COMPUTED_VALUE"""),0.04732)</f>
        <v>0.04732</v>
      </c>
      <c r="K3626" s="19" t="str">
        <f>IFERROR(__xludf.DUMMYFUNCTION("""COMPUTED_VALUE"""),"-")</f>
        <v>-</v>
      </c>
      <c r="L3626" s="19" t="str">
        <f>IFERROR(__xludf.DUMMYFUNCTION("""COMPUTED_VALUE"""),"-")</f>
        <v>-</v>
      </c>
      <c r="O3626" s="24">
        <f t="shared" si="4"/>
        <v>0</v>
      </c>
      <c r="P3626" s="24"/>
      <c r="Q3626" s="24">
        <f t="shared" si="6"/>
        <v>0</v>
      </c>
      <c r="R3626" s="24">
        <f t="shared" si="7"/>
        <v>0</v>
      </c>
      <c r="S3626" s="24"/>
      <c r="T3626" s="24"/>
    </row>
    <row r="3627">
      <c r="A3627" s="12" t="s">
        <v>3714</v>
      </c>
      <c r="F3627" s="19">
        <f>IFERROR(__xludf.DUMMYFUNCTION("SPLIT(A3623, "" |"")"),3621.0)</f>
        <v>3621</v>
      </c>
      <c r="G3627" s="19">
        <f>IFERROR(__xludf.DUMMYFUNCTION("""COMPUTED_VALUE"""),0.00233)</f>
        <v>0.00233</v>
      </c>
      <c r="H3627" s="19" t="str">
        <f>IFERROR(__xludf.DUMMYFUNCTION("""COMPUTED_VALUE"""),"-")</f>
        <v>-</v>
      </c>
      <c r="I3627" s="19">
        <f>IFERROR(__xludf.DUMMYFUNCTION("""COMPUTED_VALUE"""),0.00219)</f>
        <v>0.00219</v>
      </c>
      <c r="J3627" s="19">
        <f>IFERROR(__xludf.DUMMYFUNCTION("""COMPUTED_VALUE"""),0.04739)</f>
        <v>0.04739</v>
      </c>
      <c r="K3627" s="19" t="str">
        <f>IFERROR(__xludf.DUMMYFUNCTION("""COMPUTED_VALUE"""),"-")</f>
        <v>-</v>
      </c>
      <c r="L3627" s="19" t="str">
        <f>IFERROR(__xludf.DUMMYFUNCTION("""COMPUTED_VALUE"""),"-")</f>
        <v>-</v>
      </c>
      <c r="O3627" s="24">
        <f t="shared" si="4"/>
        <v>0</v>
      </c>
      <c r="P3627" s="24"/>
      <c r="Q3627" s="24">
        <f t="shared" si="6"/>
        <v>0</v>
      </c>
      <c r="R3627" s="24">
        <f t="shared" si="7"/>
        <v>0</v>
      </c>
      <c r="S3627" s="24"/>
      <c r="T3627" s="24"/>
    </row>
    <row r="3628">
      <c r="A3628" s="12" t="s">
        <v>3715</v>
      </c>
      <c r="F3628" s="19">
        <f>IFERROR(__xludf.DUMMYFUNCTION("SPLIT(A3624, "" |"")"),3622.0)</f>
        <v>3622</v>
      </c>
      <c r="G3628" s="19">
        <f>IFERROR(__xludf.DUMMYFUNCTION("""COMPUTED_VALUE"""),0.00236)</f>
        <v>0.00236</v>
      </c>
      <c r="H3628" s="19" t="str">
        <f>IFERROR(__xludf.DUMMYFUNCTION("""COMPUTED_VALUE"""),"-")</f>
        <v>-</v>
      </c>
      <c r="I3628" s="19">
        <f>IFERROR(__xludf.DUMMYFUNCTION("""COMPUTED_VALUE"""),0.00224)</f>
        <v>0.00224</v>
      </c>
      <c r="J3628" s="19">
        <f>IFERROR(__xludf.DUMMYFUNCTION("""COMPUTED_VALUE"""),0.04754)</f>
        <v>0.04754</v>
      </c>
      <c r="K3628" s="19" t="str">
        <f>IFERROR(__xludf.DUMMYFUNCTION("""COMPUTED_VALUE"""),"-")</f>
        <v>-</v>
      </c>
      <c r="L3628" s="19" t="str">
        <f>IFERROR(__xludf.DUMMYFUNCTION("""COMPUTED_VALUE"""),"-")</f>
        <v>-</v>
      </c>
      <c r="O3628" s="24">
        <f t="shared" si="4"/>
        <v>0</v>
      </c>
      <c r="P3628" s="24"/>
      <c r="Q3628" s="24">
        <f t="shared" si="6"/>
        <v>0</v>
      </c>
      <c r="R3628" s="24">
        <f t="shared" si="7"/>
        <v>0</v>
      </c>
      <c r="S3628" s="24"/>
      <c r="T3628" s="24"/>
    </row>
    <row r="3629">
      <c r="A3629" s="12" t="s">
        <v>3716</v>
      </c>
      <c r="F3629" s="19">
        <f>IFERROR(__xludf.DUMMYFUNCTION("SPLIT(A3625, "" |"")"),3623.0)</f>
        <v>3623</v>
      </c>
      <c r="G3629" s="19">
        <f>IFERROR(__xludf.DUMMYFUNCTION("""COMPUTED_VALUE"""),0.00238)</f>
        <v>0.00238</v>
      </c>
      <c r="H3629" s="19" t="str">
        <f>IFERROR(__xludf.DUMMYFUNCTION("""COMPUTED_VALUE"""),"-")</f>
        <v>-</v>
      </c>
      <c r="I3629" s="19">
        <f>IFERROR(__xludf.DUMMYFUNCTION("""COMPUTED_VALUE"""),0.00222)</f>
        <v>0.00222</v>
      </c>
      <c r="J3629" s="19">
        <f>IFERROR(__xludf.DUMMYFUNCTION("""COMPUTED_VALUE"""),0.04748)</f>
        <v>0.04748</v>
      </c>
      <c r="K3629" s="19" t="str">
        <f>IFERROR(__xludf.DUMMYFUNCTION("""COMPUTED_VALUE"""),"-")</f>
        <v>-</v>
      </c>
      <c r="L3629" s="19" t="str">
        <f>IFERROR(__xludf.DUMMYFUNCTION("""COMPUTED_VALUE"""),"-")</f>
        <v>-</v>
      </c>
      <c r="O3629" s="24">
        <f t="shared" si="4"/>
        <v>0</v>
      </c>
      <c r="P3629" s="24"/>
      <c r="Q3629" s="24">
        <f t="shared" si="6"/>
        <v>0</v>
      </c>
      <c r="R3629" s="24">
        <f t="shared" si="7"/>
        <v>0</v>
      </c>
      <c r="S3629" s="24"/>
      <c r="T3629" s="24"/>
    </row>
    <row r="3630">
      <c r="A3630" s="12" t="s">
        <v>3717</v>
      </c>
      <c r="F3630" s="19">
        <f>IFERROR(__xludf.DUMMYFUNCTION("SPLIT(A3626, "" |"")"),3624.0)</f>
        <v>3624</v>
      </c>
      <c r="G3630" s="19">
        <f>IFERROR(__xludf.DUMMYFUNCTION("""COMPUTED_VALUE"""),0.00237)</f>
        <v>0.00237</v>
      </c>
      <c r="H3630" s="19" t="str">
        <f>IFERROR(__xludf.DUMMYFUNCTION("""COMPUTED_VALUE"""),"-")</f>
        <v>-</v>
      </c>
      <c r="I3630" s="19">
        <f>IFERROR(__xludf.DUMMYFUNCTION("""COMPUTED_VALUE"""),0.00229)</f>
        <v>0.00229</v>
      </c>
      <c r="J3630" s="19">
        <f>IFERROR(__xludf.DUMMYFUNCTION("""COMPUTED_VALUE"""),0.04752)</f>
        <v>0.04752</v>
      </c>
      <c r="K3630" s="19" t="str">
        <f>IFERROR(__xludf.DUMMYFUNCTION("""COMPUTED_VALUE"""),"-")</f>
        <v>-</v>
      </c>
      <c r="L3630" s="19" t="str">
        <f>IFERROR(__xludf.DUMMYFUNCTION("""COMPUTED_VALUE"""),"-")</f>
        <v>-</v>
      </c>
      <c r="O3630" s="24">
        <f t="shared" si="4"/>
        <v>0</v>
      </c>
      <c r="P3630" s="24"/>
      <c r="Q3630" s="24">
        <f t="shared" si="6"/>
        <v>0</v>
      </c>
      <c r="R3630" s="24">
        <f t="shared" si="7"/>
        <v>0</v>
      </c>
      <c r="S3630" s="24"/>
      <c r="T3630" s="24"/>
    </row>
    <row r="3631">
      <c r="A3631" s="12" t="s">
        <v>3718</v>
      </c>
      <c r="F3631" s="19">
        <f>IFERROR(__xludf.DUMMYFUNCTION("SPLIT(A3627, "" |"")"),3625.0)</f>
        <v>3625</v>
      </c>
      <c r="G3631" s="19">
        <f>IFERROR(__xludf.DUMMYFUNCTION("""COMPUTED_VALUE"""),0.00234)</f>
        <v>0.00234</v>
      </c>
      <c r="H3631" s="19" t="str">
        <f>IFERROR(__xludf.DUMMYFUNCTION("""COMPUTED_VALUE"""),"-")</f>
        <v>-</v>
      </c>
      <c r="I3631" s="19">
        <f>IFERROR(__xludf.DUMMYFUNCTION("""COMPUTED_VALUE"""),0.00219)</f>
        <v>0.00219</v>
      </c>
      <c r="J3631" s="19">
        <f>IFERROR(__xludf.DUMMYFUNCTION("""COMPUTED_VALUE"""),0.04743)</f>
        <v>0.04743</v>
      </c>
      <c r="K3631" s="19" t="str">
        <f>IFERROR(__xludf.DUMMYFUNCTION("""COMPUTED_VALUE"""),"-")</f>
        <v>-</v>
      </c>
      <c r="L3631" s="19" t="str">
        <f>IFERROR(__xludf.DUMMYFUNCTION("""COMPUTED_VALUE"""),"-")</f>
        <v>-</v>
      </c>
      <c r="O3631" s="24">
        <f t="shared" si="4"/>
        <v>0</v>
      </c>
      <c r="P3631" s="24"/>
      <c r="Q3631" s="24">
        <f t="shared" si="6"/>
        <v>0</v>
      </c>
      <c r="R3631" s="24">
        <f t="shared" si="7"/>
        <v>0</v>
      </c>
      <c r="S3631" s="24"/>
      <c r="T3631" s="24"/>
    </row>
    <row r="3632">
      <c r="A3632" s="12" t="s">
        <v>3719</v>
      </c>
      <c r="F3632" s="19">
        <f>IFERROR(__xludf.DUMMYFUNCTION("SPLIT(A3628, "" |"")"),3626.0)</f>
        <v>3626</v>
      </c>
      <c r="G3632" s="19">
        <f>IFERROR(__xludf.DUMMYFUNCTION("""COMPUTED_VALUE"""),0.00235)</f>
        <v>0.00235</v>
      </c>
      <c r="H3632" s="19" t="str">
        <f>IFERROR(__xludf.DUMMYFUNCTION("""COMPUTED_VALUE"""),"-")</f>
        <v>-</v>
      </c>
      <c r="I3632" s="19">
        <f>IFERROR(__xludf.DUMMYFUNCTION("""COMPUTED_VALUE"""),0.00224)</f>
        <v>0.00224</v>
      </c>
      <c r="J3632" s="19">
        <f>IFERROR(__xludf.DUMMYFUNCTION("""COMPUTED_VALUE"""),0.04743)</f>
        <v>0.04743</v>
      </c>
      <c r="K3632" s="19" t="str">
        <f>IFERROR(__xludf.DUMMYFUNCTION("""COMPUTED_VALUE"""),"-")</f>
        <v>-</v>
      </c>
      <c r="L3632" s="19" t="str">
        <f>IFERROR(__xludf.DUMMYFUNCTION("""COMPUTED_VALUE"""),"-")</f>
        <v>-</v>
      </c>
      <c r="O3632" s="24">
        <f t="shared" si="4"/>
        <v>0</v>
      </c>
      <c r="P3632" s="24"/>
      <c r="Q3632" s="24">
        <f t="shared" si="6"/>
        <v>0</v>
      </c>
      <c r="R3632" s="24">
        <f t="shared" si="7"/>
        <v>0</v>
      </c>
      <c r="S3632" s="24"/>
      <c r="T3632" s="24"/>
    </row>
    <row r="3633">
      <c r="A3633" s="12" t="s">
        <v>3720</v>
      </c>
      <c r="F3633" s="19">
        <f>IFERROR(__xludf.DUMMYFUNCTION("SPLIT(A3629, "" |"")"),3627.0)</f>
        <v>3627</v>
      </c>
      <c r="G3633" s="19">
        <f>IFERROR(__xludf.DUMMYFUNCTION("""COMPUTED_VALUE"""),0.00234)</f>
        <v>0.00234</v>
      </c>
      <c r="H3633" s="19" t="str">
        <f>IFERROR(__xludf.DUMMYFUNCTION("""COMPUTED_VALUE"""),"-")</f>
        <v>-</v>
      </c>
      <c r="I3633" s="19">
        <f>IFERROR(__xludf.DUMMYFUNCTION("""COMPUTED_VALUE"""),0.00227)</f>
        <v>0.00227</v>
      </c>
      <c r="J3633" s="19">
        <f>IFERROR(__xludf.DUMMYFUNCTION("""COMPUTED_VALUE"""),0.04746)</f>
        <v>0.04746</v>
      </c>
      <c r="K3633" s="19" t="str">
        <f>IFERROR(__xludf.DUMMYFUNCTION("""COMPUTED_VALUE"""),"-")</f>
        <v>-</v>
      </c>
      <c r="L3633" s="19" t="str">
        <f>IFERROR(__xludf.DUMMYFUNCTION("""COMPUTED_VALUE"""),"-")</f>
        <v>-</v>
      </c>
      <c r="O3633" s="24">
        <f t="shared" si="4"/>
        <v>0</v>
      </c>
      <c r="P3633" s="24"/>
      <c r="Q3633" s="24">
        <f t="shared" si="6"/>
        <v>0</v>
      </c>
      <c r="R3633" s="24">
        <f t="shared" si="7"/>
        <v>0</v>
      </c>
      <c r="S3633" s="24"/>
      <c r="T3633" s="24"/>
    </row>
    <row r="3634">
      <c r="A3634" s="12" t="s">
        <v>3721</v>
      </c>
      <c r="F3634" s="19">
        <f>IFERROR(__xludf.DUMMYFUNCTION("SPLIT(A3630, "" |"")"),3628.0)</f>
        <v>3628</v>
      </c>
      <c r="G3634" s="19">
        <f>IFERROR(__xludf.DUMMYFUNCTION("""COMPUTED_VALUE"""),0.00234)</f>
        <v>0.00234</v>
      </c>
      <c r="H3634" s="19" t="str">
        <f>IFERROR(__xludf.DUMMYFUNCTION("""COMPUTED_VALUE"""),"-")</f>
        <v>-</v>
      </c>
      <c r="I3634" s="19">
        <f>IFERROR(__xludf.DUMMYFUNCTION("""COMPUTED_VALUE"""),0.00221)</f>
        <v>0.00221</v>
      </c>
      <c r="J3634" s="19">
        <f>IFERROR(__xludf.DUMMYFUNCTION("""COMPUTED_VALUE"""),0.04748)</f>
        <v>0.04748</v>
      </c>
      <c r="K3634" s="19" t="str">
        <f>IFERROR(__xludf.DUMMYFUNCTION("""COMPUTED_VALUE"""),"-")</f>
        <v>-</v>
      </c>
      <c r="L3634" s="19" t="str">
        <f>IFERROR(__xludf.DUMMYFUNCTION("""COMPUTED_VALUE"""),"-")</f>
        <v>-</v>
      </c>
      <c r="O3634" s="24">
        <f t="shared" si="4"/>
        <v>0</v>
      </c>
      <c r="P3634" s="24"/>
      <c r="Q3634" s="24">
        <f t="shared" si="6"/>
        <v>0</v>
      </c>
      <c r="R3634" s="24">
        <f t="shared" si="7"/>
        <v>0</v>
      </c>
      <c r="S3634" s="24"/>
      <c r="T3634" s="24"/>
    </row>
    <row r="3635">
      <c r="A3635" s="12" t="s">
        <v>3722</v>
      </c>
      <c r="F3635" s="19">
        <f>IFERROR(__xludf.DUMMYFUNCTION("SPLIT(A3631, "" |"")"),3629.0)</f>
        <v>3629</v>
      </c>
      <c r="G3635" s="19">
        <f>IFERROR(__xludf.DUMMYFUNCTION("""COMPUTED_VALUE"""),0.00234)</f>
        <v>0.00234</v>
      </c>
      <c r="H3635" s="19" t="str">
        <f>IFERROR(__xludf.DUMMYFUNCTION("""COMPUTED_VALUE"""),"-")</f>
        <v>-</v>
      </c>
      <c r="I3635" s="19">
        <f>IFERROR(__xludf.DUMMYFUNCTION("""COMPUTED_VALUE"""),0.00222)</f>
        <v>0.00222</v>
      </c>
      <c r="J3635" s="19">
        <f>IFERROR(__xludf.DUMMYFUNCTION("""COMPUTED_VALUE"""),0.04747)</f>
        <v>0.04747</v>
      </c>
      <c r="K3635" s="19" t="str">
        <f>IFERROR(__xludf.DUMMYFUNCTION("""COMPUTED_VALUE"""),"-")</f>
        <v>-</v>
      </c>
      <c r="L3635" s="19" t="str">
        <f>IFERROR(__xludf.DUMMYFUNCTION("""COMPUTED_VALUE"""),"-")</f>
        <v>-</v>
      </c>
      <c r="O3635" s="24">
        <f t="shared" si="4"/>
        <v>0</v>
      </c>
      <c r="P3635" s="24"/>
      <c r="Q3635" s="24">
        <f t="shared" si="6"/>
        <v>0</v>
      </c>
      <c r="R3635" s="24">
        <f t="shared" si="7"/>
        <v>0</v>
      </c>
      <c r="S3635" s="24"/>
      <c r="T3635" s="24"/>
    </row>
    <row r="3636">
      <c r="A3636" s="12" t="s">
        <v>3723</v>
      </c>
      <c r="F3636" s="19">
        <f>IFERROR(__xludf.DUMMYFUNCTION("SPLIT(A3632, "" |"")"),3630.0)</f>
        <v>3630</v>
      </c>
      <c r="G3636" s="19">
        <f>IFERROR(__xludf.DUMMYFUNCTION("""COMPUTED_VALUE"""),0.00229)</f>
        <v>0.00229</v>
      </c>
      <c r="H3636" s="19" t="str">
        <f>IFERROR(__xludf.DUMMYFUNCTION("""COMPUTED_VALUE"""),"-")</f>
        <v>-</v>
      </c>
      <c r="I3636" s="19">
        <f>IFERROR(__xludf.DUMMYFUNCTION("""COMPUTED_VALUE"""),0.00217)</f>
        <v>0.00217</v>
      </c>
      <c r="J3636" s="19">
        <f>IFERROR(__xludf.DUMMYFUNCTION("""COMPUTED_VALUE"""),0.0474)</f>
        <v>0.0474</v>
      </c>
      <c r="K3636" s="19" t="str">
        <f>IFERROR(__xludf.DUMMYFUNCTION("""COMPUTED_VALUE"""),"-")</f>
        <v>-</v>
      </c>
      <c r="L3636" s="19" t="str">
        <f>IFERROR(__xludf.DUMMYFUNCTION("""COMPUTED_VALUE"""),"-")</f>
        <v>-</v>
      </c>
      <c r="O3636" s="24">
        <f t="shared" si="4"/>
        <v>0</v>
      </c>
      <c r="P3636" s="24"/>
      <c r="Q3636" s="24">
        <f t="shared" si="6"/>
        <v>0</v>
      </c>
      <c r="R3636" s="24">
        <f t="shared" si="7"/>
        <v>0</v>
      </c>
      <c r="S3636" s="24"/>
      <c r="T3636" s="24"/>
    </row>
    <row r="3637">
      <c r="A3637" s="12" t="s">
        <v>3724</v>
      </c>
      <c r="F3637" s="19">
        <f>IFERROR(__xludf.DUMMYFUNCTION("SPLIT(A3633, "" |"")"),3631.0)</f>
        <v>3631</v>
      </c>
      <c r="G3637" s="19">
        <f>IFERROR(__xludf.DUMMYFUNCTION("""COMPUTED_VALUE"""),0.00235)</f>
        <v>0.00235</v>
      </c>
      <c r="H3637" s="19" t="str">
        <f>IFERROR(__xludf.DUMMYFUNCTION("""COMPUTED_VALUE"""),"-")</f>
        <v>-</v>
      </c>
      <c r="I3637" s="19">
        <f>IFERROR(__xludf.DUMMYFUNCTION("""COMPUTED_VALUE"""),0.00228)</f>
        <v>0.00228</v>
      </c>
      <c r="J3637" s="19">
        <f>IFERROR(__xludf.DUMMYFUNCTION("""COMPUTED_VALUE"""),0.0409)</f>
        <v>0.0409</v>
      </c>
      <c r="K3637" s="19" t="str">
        <f>IFERROR(__xludf.DUMMYFUNCTION("""COMPUTED_VALUE"""),"-")</f>
        <v>-</v>
      </c>
      <c r="L3637" s="19" t="str">
        <f>IFERROR(__xludf.DUMMYFUNCTION("""COMPUTED_VALUE"""),"-")</f>
        <v>-</v>
      </c>
      <c r="O3637" s="24">
        <f t="shared" si="4"/>
        <v>0</v>
      </c>
      <c r="P3637" s="24"/>
      <c r="Q3637" s="24">
        <f t="shared" si="6"/>
        <v>0</v>
      </c>
      <c r="R3637" s="24">
        <f t="shared" si="7"/>
        <v>1</v>
      </c>
      <c r="S3637" s="24"/>
      <c r="T3637" s="24"/>
    </row>
    <row r="3638">
      <c r="A3638" s="12" t="s">
        <v>3725</v>
      </c>
      <c r="F3638" s="19">
        <f>IFERROR(__xludf.DUMMYFUNCTION("SPLIT(A3634, "" |"")"),3632.0)</f>
        <v>3632</v>
      </c>
      <c r="G3638" s="19">
        <f>IFERROR(__xludf.DUMMYFUNCTION("""COMPUTED_VALUE"""),0.002)</f>
        <v>0.002</v>
      </c>
      <c r="H3638" s="19" t="str">
        <f>IFERROR(__xludf.DUMMYFUNCTION("""COMPUTED_VALUE"""),"-")</f>
        <v>-</v>
      </c>
      <c r="I3638" s="19">
        <f>IFERROR(__xludf.DUMMYFUNCTION("""COMPUTED_VALUE"""),0.00226)</f>
        <v>0.00226</v>
      </c>
      <c r="J3638" s="19">
        <f>IFERROR(__xludf.DUMMYFUNCTION("""COMPUTED_VALUE"""),0.04743)</f>
        <v>0.04743</v>
      </c>
      <c r="K3638" s="19" t="str">
        <f>IFERROR(__xludf.DUMMYFUNCTION("""COMPUTED_VALUE"""),"-")</f>
        <v>-</v>
      </c>
      <c r="L3638" s="19" t="str">
        <f>IFERROR(__xludf.DUMMYFUNCTION("""COMPUTED_VALUE"""),"-")</f>
        <v>-</v>
      </c>
      <c r="O3638" s="24">
        <f t="shared" si="4"/>
        <v>0</v>
      </c>
      <c r="P3638" s="24"/>
      <c r="Q3638" s="24">
        <f t="shared" si="6"/>
        <v>0</v>
      </c>
      <c r="R3638" s="24">
        <f t="shared" si="7"/>
        <v>0</v>
      </c>
      <c r="S3638" s="24"/>
      <c r="T3638" s="24"/>
    </row>
    <row r="3639">
      <c r="A3639" s="12" t="s">
        <v>3726</v>
      </c>
      <c r="F3639" s="19">
        <f>IFERROR(__xludf.DUMMYFUNCTION("SPLIT(A3635, "" |"")"),3633.0)</f>
        <v>3633</v>
      </c>
      <c r="G3639" s="19">
        <f>IFERROR(__xludf.DUMMYFUNCTION("""COMPUTED_VALUE"""),0.00224)</f>
        <v>0.00224</v>
      </c>
      <c r="H3639" s="19" t="str">
        <f>IFERROR(__xludf.DUMMYFUNCTION("""COMPUTED_VALUE"""),"-")</f>
        <v>-</v>
      </c>
      <c r="I3639" s="19">
        <f>IFERROR(__xludf.DUMMYFUNCTION("""COMPUTED_VALUE"""),0.00224)</f>
        <v>0.00224</v>
      </c>
      <c r="J3639" s="19">
        <f>IFERROR(__xludf.DUMMYFUNCTION("""COMPUTED_VALUE"""),0.04743)</f>
        <v>0.04743</v>
      </c>
      <c r="K3639" s="19" t="str">
        <f>IFERROR(__xludf.DUMMYFUNCTION("""COMPUTED_VALUE"""),"-")</f>
        <v>-</v>
      </c>
      <c r="L3639" s="19" t="str">
        <f>IFERROR(__xludf.DUMMYFUNCTION("""COMPUTED_VALUE"""),"-")</f>
        <v>-</v>
      </c>
      <c r="O3639" s="24">
        <f t="shared" si="4"/>
        <v>0</v>
      </c>
      <c r="P3639" s="24"/>
      <c r="Q3639" s="24">
        <f t="shared" si="6"/>
        <v>0</v>
      </c>
      <c r="R3639" s="24">
        <f t="shared" si="7"/>
        <v>0</v>
      </c>
      <c r="S3639" s="24"/>
      <c r="T3639" s="24"/>
    </row>
    <row r="3640">
      <c r="A3640" s="12" t="s">
        <v>3727</v>
      </c>
      <c r="F3640" s="19">
        <f>IFERROR(__xludf.DUMMYFUNCTION("SPLIT(A3636, "" |"")"),3634.0)</f>
        <v>3634</v>
      </c>
      <c r="G3640" s="19">
        <f>IFERROR(__xludf.DUMMYFUNCTION("""COMPUTED_VALUE"""),0.00226)</f>
        <v>0.00226</v>
      </c>
      <c r="H3640" s="19" t="str">
        <f>IFERROR(__xludf.DUMMYFUNCTION("""COMPUTED_VALUE"""),"-")</f>
        <v>-</v>
      </c>
      <c r="I3640" s="19">
        <f>IFERROR(__xludf.DUMMYFUNCTION("""COMPUTED_VALUE"""),0.00224)</f>
        <v>0.00224</v>
      </c>
      <c r="J3640" s="19">
        <f>IFERROR(__xludf.DUMMYFUNCTION("""COMPUTED_VALUE"""),0.04752)</f>
        <v>0.04752</v>
      </c>
      <c r="K3640" s="19" t="str">
        <f>IFERROR(__xludf.DUMMYFUNCTION("""COMPUTED_VALUE"""),"-")</f>
        <v>-</v>
      </c>
      <c r="L3640" s="19" t="str">
        <f>IFERROR(__xludf.DUMMYFUNCTION("""COMPUTED_VALUE"""),"-")</f>
        <v>-</v>
      </c>
      <c r="O3640" s="24">
        <f t="shared" si="4"/>
        <v>0</v>
      </c>
      <c r="P3640" s="24"/>
      <c r="Q3640" s="24">
        <f t="shared" si="6"/>
        <v>0</v>
      </c>
      <c r="R3640" s="24">
        <f t="shared" si="7"/>
        <v>0</v>
      </c>
      <c r="S3640" s="24"/>
      <c r="T3640" s="24"/>
    </row>
    <row r="3641">
      <c r="A3641" s="12" t="s">
        <v>3728</v>
      </c>
      <c r="F3641" s="19">
        <f>IFERROR(__xludf.DUMMYFUNCTION("SPLIT(A3637, "" |"")"),3635.0)</f>
        <v>3635</v>
      </c>
      <c r="G3641" s="19">
        <f>IFERROR(__xludf.DUMMYFUNCTION("""COMPUTED_VALUE"""),0.00236)</f>
        <v>0.00236</v>
      </c>
      <c r="H3641" s="19" t="str">
        <f>IFERROR(__xludf.DUMMYFUNCTION("""COMPUTED_VALUE"""),"-")</f>
        <v>-</v>
      </c>
      <c r="I3641" s="19">
        <f>IFERROR(__xludf.DUMMYFUNCTION("""COMPUTED_VALUE"""),0.0022)</f>
        <v>0.0022</v>
      </c>
      <c r="J3641" s="19">
        <f>IFERROR(__xludf.DUMMYFUNCTION("""COMPUTED_VALUE"""),0.04749)</f>
        <v>0.04749</v>
      </c>
      <c r="K3641" s="19" t="str">
        <f>IFERROR(__xludf.DUMMYFUNCTION("""COMPUTED_VALUE"""),"-")</f>
        <v>-</v>
      </c>
      <c r="L3641" s="19" t="str">
        <f>IFERROR(__xludf.DUMMYFUNCTION("""COMPUTED_VALUE"""),"-")</f>
        <v>-</v>
      </c>
      <c r="O3641" s="24">
        <f t="shared" si="4"/>
        <v>0</v>
      </c>
      <c r="P3641" s="24"/>
      <c r="Q3641" s="24">
        <f t="shared" si="6"/>
        <v>0</v>
      </c>
      <c r="R3641" s="24">
        <f t="shared" si="7"/>
        <v>0</v>
      </c>
      <c r="S3641" s="24"/>
      <c r="T3641" s="24"/>
    </row>
    <row r="3642">
      <c r="A3642" s="12" t="s">
        <v>3729</v>
      </c>
      <c r="F3642" s="19">
        <f>IFERROR(__xludf.DUMMYFUNCTION("SPLIT(A3638, "" |"")"),3636.0)</f>
        <v>3636</v>
      </c>
      <c r="G3642" s="19">
        <f>IFERROR(__xludf.DUMMYFUNCTION("""COMPUTED_VALUE"""),0.00233)</f>
        <v>0.00233</v>
      </c>
      <c r="H3642" s="19" t="str">
        <f>IFERROR(__xludf.DUMMYFUNCTION("""COMPUTED_VALUE"""),"-")</f>
        <v>-</v>
      </c>
      <c r="I3642" s="19">
        <f>IFERROR(__xludf.DUMMYFUNCTION("""COMPUTED_VALUE"""),0.00224)</f>
        <v>0.00224</v>
      </c>
      <c r="J3642" s="19">
        <f>IFERROR(__xludf.DUMMYFUNCTION("""COMPUTED_VALUE"""),0.04734)</f>
        <v>0.04734</v>
      </c>
      <c r="K3642" s="19" t="str">
        <f>IFERROR(__xludf.DUMMYFUNCTION("""COMPUTED_VALUE"""),"-")</f>
        <v>-</v>
      </c>
      <c r="L3642" s="19" t="str">
        <f>IFERROR(__xludf.DUMMYFUNCTION("""COMPUTED_VALUE"""),"-")</f>
        <v>-</v>
      </c>
      <c r="O3642" s="24">
        <f t="shared" si="4"/>
        <v>0</v>
      </c>
      <c r="P3642" s="24"/>
      <c r="Q3642" s="24">
        <f t="shared" si="6"/>
        <v>0</v>
      </c>
      <c r="R3642" s="24">
        <f t="shared" si="7"/>
        <v>0</v>
      </c>
      <c r="S3642" s="24"/>
      <c r="T3642" s="24"/>
    </row>
    <row r="3643">
      <c r="A3643" s="12" t="s">
        <v>3730</v>
      </c>
      <c r="F3643" s="19">
        <f>IFERROR(__xludf.DUMMYFUNCTION("SPLIT(A3639, "" |"")"),3637.0)</f>
        <v>3637</v>
      </c>
      <c r="G3643" s="19">
        <f>IFERROR(__xludf.DUMMYFUNCTION("""COMPUTED_VALUE"""),0.00229)</f>
        <v>0.00229</v>
      </c>
      <c r="H3643" s="19" t="str">
        <f>IFERROR(__xludf.DUMMYFUNCTION("""COMPUTED_VALUE"""),"-")</f>
        <v>-</v>
      </c>
      <c r="I3643" s="19">
        <f>IFERROR(__xludf.DUMMYFUNCTION("""COMPUTED_VALUE"""),0.00219)</f>
        <v>0.00219</v>
      </c>
      <c r="J3643" s="19">
        <f>IFERROR(__xludf.DUMMYFUNCTION("""COMPUTED_VALUE"""),0.04736)</f>
        <v>0.04736</v>
      </c>
      <c r="K3643" s="19" t="str">
        <f>IFERROR(__xludf.DUMMYFUNCTION("""COMPUTED_VALUE"""),"-")</f>
        <v>-</v>
      </c>
      <c r="L3643" s="19" t="str">
        <f>IFERROR(__xludf.DUMMYFUNCTION("""COMPUTED_VALUE"""),"-")</f>
        <v>-</v>
      </c>
      <c r="O3643" s="24">
        <f t="shared" si="4"/>
        <v>0</v>
      </c>
      <c r="P3643" s="24"/>
      <c r="Q3643" s="24">
        <f t="shared" si="6"/>
        <v>0</v>
      </c>
      <c r="R3643" s="24">
        <f t="shared" si="7"/>
        <v>0</v>
      </c>
      <c r="S3643" s="24"/>
      <c r="T3643" s="24"/>
    </row>
    <row r="3644">
      <c r="A3644" s="12" t="s">
        <v>3731</v>
      </c>
      <c r="F3644" s="19">
        <f>IFERROR(__xludf.DUMMYFUNCTION("SPLIT(A3640, "" |"")"),3638.0)</f>
        <v>3638</v>
      </c>
      <c r="G3644" s="19">
        <f>IFERROR(__xludf.DUMMYFUNCTION("""COMPUTED_VALUE"""),0.00241)</f>
        <v>0.00241</v>
      </c>
      <c r="H3644" s="19" t="str">
        <f>IFERROR(__xludf.DUMMYFUNCTION("""COMPUTED_VALUE"""),"-")</f>
        <v>-</v>
      </c>
      <c r="I3644" s="19">
        <f>IFERROR(__xludf.DUMMYFUNCTION("""COMPUTED_VALUE"""),0.00222)</f>
        <v>0.00222</v>
      </c>
      <c r="J3644" s="19">
        <f>IFERROR(__xludf.DUMMYFUNCTION("""COMPUTED_VALUE"""),0.04747)</f>
        <v>0.04747</v>
      </c>
      <c r="K3644" s="19" t="str">
        <f>IFERROR(__xludf.DUMMYFUNCTION("""COMPUTED_VALUE"""),"-")</f>
        <v>-</v>
      </c>
      <c r="L3644" s="19" t="str">
        <f>IFERROR(__xludf.DUMMYFUNCTION("""COMPUTED_VALUE"""),"-")</f>
        <v>-</v>
      </c>
      <c r="O3644" s="24">
        <f t="shared" si="4"/>
        <v>0</v>
      </c>
      <c r="P3644" s="24"/>
      <c r="Q3644" s="24">
        <f t="shared" si="6"/>
        <v>0</v>
      </c>
      <c r="R3644" s="24">
        <f t="shared" si="7"/>
        <v>0</v>
      </c>
      <c r="S3644" s="24"/>
      <c r="T3644" s="24"/>
    </row>
    <row r="3645">
      <c r="A3645" s="12" t="s">
        <v>3732</v>
      </c>
      <c r="F3645" s="19">
        <f>IFERROR(__xludf.DUMMYFUNCTION("SPLIT(A3641, "" |"")"),3639.0)</f>
        <v>3639</v>
      </c>
      <c r="G3645" s="19">
        <f>IFERROR(__xludf.DUMMYFUNCTION("""COMPUTED_VALUE"""),0.00236)</f>
        <v>0.00236</v>
      </c>
      <c r="H3645" s="19" t="str">
        <f>IFERROR(__xludf.DUMMYFUNCTION("""COMPUTED_VALUE"""),"-")</f>
        <v>-</v>
      </c>
      <c r="I3645" s="19">
        <f>IFERROR(__xludf.DUMMYFUNCTION("""COMPUTED_VALUE"""),0.0022)</f>
        <v>0.0022</v>
      </c>
      <c r="J3645" s="19">
        <f>IFERROR(__xludf.DUMMYFUNCTION("""COMPUTED_VALUE"""),0.04747)</f>
        <v>0.04747</v>
      </c>
      <c r="K3645" s="19" t="str">
        <f>IFERROR(__xludf.DUMMYFUNCTION("""COMPUTED_VALUE"""),"-")</f>
        <v>-</v>
      </c>
      <c r="L3645" s="19" t="str">
        <f>IFERROR(__xludf.DUMMYFUNCTION("""COMPUTED_VALUE"""),"-")</f>
        <v>-</v>
      </c>
      <c r="O3645" s="24">
        <f t="shared" si="4"/>
        <v>0</v>
      </c>
      <c r="P3645" s="24"/>
      <c r="Q3645" s="24">
        <f t="shared" si="6"/>
        <v>0</v>
      </c>
      <c r="R3645" s="24">
        <f t="shared" si="7"/>
        <v>0</v>
      </c>
      <c r="S3645" s="24"/>
      <c r="T3645" s="24"/>
    </row>
    <row r="3646">
      <c r="A3646" s="12" t="s">
        <v>3733</v>
      </c>
      <c r="F3646" s="19">
        <f>IFERROR(__xludf.DUMMYFUNCTION("SPLIT(A3642, "" |"")"),3640.0)</f>
        <v>3640</v>
      </c>
      <c r="G3646" s="19">
        <f>IFERROR(__xludf.DUMMYFUNCTION("""COMPUTED_VALUE"""),0.00229)</f>
        <v>0.00229</v>
      </c>
      <c r="H3646" s="19" t="str">
        <f>IFERROR(__xludf.DUMMYFUNCTION("""COMPUTED_VALUE"""),"-")</f>
        <v>-</v>
      </c>
      <c r="I3646" s="19">
        <f>IFERROR(__xludf.DUMMYFUNCTION("""COMPUTED_VALUE"""),0.00223)</f>
        <v>0.00223</v>
      </c>
      <c r="J3646" s="19">
        <f>IFERROR(__xludf.DUMMYFUNCTION("""COMPUTED_VALUE"""),0.04778)</f>
        <v>0.04778</v>
      </c>
      <c r="K3646" s="19" t="str">
        <f>IFERROR(__xludf.DUMMYFUNCTION("""COMPUTED_VALUE"""),"-")</f>
        <v>-</v>
      </c>
      <c r="L3646" s="19" t="str">
        <f>IFERROR(__xludf.DUMMYFUNCTION("""COMPUTED_VALUE"""),"-")</f>
        <v>-</v>
      </c>
      <c r="O3646" s="24">
        <f t="shared" si="4"/>
        <v>0</v>
      </c>
      <c r="P3646" s="24"/>
      <c r="Q3646" s="24">
        <f t="shared" si="6"/>
        <v>0</v>
      </c>
      <c r="R3646" s="24">
        <f t="shared" si="7"/>
        <v>0</v>
      </c>
      <c r="S3646" s="24"/>
      <c r="T3646" s="24"/>
    </row>
    <row r="3647">
      <c r="A3647" s="12" t="s">
        <v>3734</v>
      </c>
      <c r="F3647" s="19">
        <f>IFERROR(__xludf.DUMMYFUNCTION("SPLIT(A3643, "" |"")"),3641.0)</f>
        <v>3641</v>
      </c>
      <c r="G3647" s="19">
        <f>IFERROR(__xludf.DUMMYFUNCTION("""COMPUTED_VALUE"""),0.00244)</f>
        <v>0.00244</v>
      </c>
      <c r="H3647" s="19" t="str">
        <f>IFERROR(__xludf.DUMMYFUNCTION("""COMPUTED_VALUE"""),"-")</f>
        <v>-</v>
      </c>
      <c r="I3647" s="19">
        <f>IFERROR(__xludf.DUMMYFUNCTION("""COMPUTED_VALUE"""),0.00233)</f>
        <v>0.00233</v>
      </c>
      <c r="J3647" s="19">
        <f>IFERROR(__xludf.DUMMYFUNCTION("""COMPUTED_VALUE"""),0.03657)</f>
        <v>0.03657</v>
      </c>
      <c r="K3647" s="19" t="str">
        <f>IFERROR(__xludf.DUMMYFUNCTION("""COMPUTED_VALUE"""),"-")</f>
        <v>-</v>
      </c>
      <c r="L3647" s="19" t="str">
        <f>IFERROR(__xludf.DUMMYFUNCTION("""COMPUTED_VALUE"""),"-")</f>
        <v>-</v>
      </c>
      <c r="O3647" s="24">
        <f t="shared" si="4"/>
        <v>0</v>
      </c>
      <c r="P3647" s="24"/>
      <c r="Q3647" s="24">
        <f t="shared" si="6"/>
        <v>0</v>
      </c>
      <c r="R3647" s="24">
        <f t="shared" si="7"/>
        <v>1</v>
      </c>
      <c r="S3647" s="24"/>
      <c r="T3647" s="24"/>
    </row>
    <row r="3648">
      <c r="A3648" s="12" t="s">
        <v>3735</v>
      </c>
      <c r="F3648" s="19">
        <f>IFERROR(__xludf.DUMMYFUNCTION("SPLIT(A3644, "" |"")"),3642.0)</f>
        <v>3642</v>
      </c>
      <c r="G3648" s="19">
        <f>IFERROR(__xludf.DUMMYFUNCTION("""COMPUTED_VALUE"""),0.00233)</f>
        <v>0.00233</v>
      </c>
      <c r="H3648" s="19" t="str">
        <f>IFERROR(__xludf.DUMMYFUNCTION("""COMPUTED_VALUE"""),"-")</f>
        <v>-</v>
      </c>
      <c r="I3648" s="19">
        <f>IFERROR(__xludf.DUMMYFUNCTION("""COMPUTED_VALUE"""),0.00226)</f>
        <v>0.00226</v>
      </c>
      <c r="J3648" s="19">
        <f>IFERROR(__xludf.DUMMYFUNCTION("""COMPUTED_VALUE"""),0.04746)</f>
        <v>0.04746</v>
      </c>
      <c r="K3648" s="19" t="str">
        <f>IFERROR(__xludf.DUMMYFUNCTION("""COMPUTED_VALUE"""),"-")</f>
        <v>-</v>
      </c>
      <c r="L3648" s="19" t="str">
        <f>IFERROR(__xludf.DUMMYFUNCTION("""COMPUTED_VALUE"""),"-")</f>
        <v>-</v>
      </c>
      <c r="O3648" s="24">
        <f t="shared" si="4"/>
        <v>0</v>
      </c>
      <c r="P3648" s="24"/>
      <c r="Q3648" s="24">
        <f t="shared" si="6"/>
        <v>0</v>
      </c>
      <c r="R3648" s="24">
        <f t="shared" si="7"/>
        <v>0</v>
      </c>
      <c r="S3648" s="24"/>
      <c r="T3648" s="24"/>
    </row>
    <row r="3649">
      <c r="A3649" s="12" t="s">
        <v>3736</v>
      </c>
      <c r="F3649" s="19">
        <f>IFERROR(__xludf.DUMMYFUNCTION("SPLIT(A3645, "" |"")"),3643.0)</f>
        <v>3643</v>
      </c>
      <c r="G3649" s="19">
        <f>IFERROR(__xludf.DUMMYFUNCTION("""COMPUTED_VALUE"""),0.00234)</f>
        <v>0.00234</v>
      </c>
      <c r="H3649" s="19" t="str">
        <f>IFERROR(__xludf.DUMMYFUNCTION("""COMPUTED_VALUE"""),"-")</f>
        <v>-</v>
      </c>
      <c r="I3649" s="19">
        <f>IFERROR(__xludf.DUMMYFUNCTION("""COMPUTED_VALUE"""),0.00223)</f>
        <v>0.00223</v>
      </c>
      <c r="J3649" s="19">
        <f>IFERROR(__xludf.DUMMYFUNCTION("""COMPUTED_VALUE"""),0.04747)</f>
        <v>0.04747</v>
      </c>
      <c r="K3649" s="19" t="str">
        <f>IFERROR(__xludf.DUMMYFUNCTION("""COMPUTED_VALUE"""),"-")</f>
        <v>-</v>
      </c>
      <c r="L3649" s="19" t="str">
        <f>IFERROR(__xludf.DUMMYFUNCTION("""COMPUTED_VALUE"""),"-")</f>
        <v>-</v>
      </c>
      <c r="O3649" s="24">
        <f t="shared" si="4"/>
        <v>0</v>
      </c>
      <c r="P3649" s="24"/>
      <c r="Q3649" s="24">
        <f t="shared" si="6"/>
        <v>0</v>
      </c>
      <c r="R3649" s="24">
        <f t="shared" si="7"/>
        <v>0</v>
      </c>
      <c r="S3649" s="24"/>
      <c r="T3649" s="24"/>
    </row>
    <row r="3650">
      <c r="A3650" s="12" t="s">
        <v>3737</v>
      </c>
      <c r="F3650" s="19">
        <f>IFERROR(__xludf.DUMMYFUNCTION("SPLIT(A3646, "" |"")"),3644.0)</f>
        <v>3644</v>
      </c>
      <c r="G3650" s="19">
        <f>IFERROR(__xludf.DUMMYFUNCTION("""COMPUTED_VALUE"""),0.00235)</f>
        <v>0.00235</v>
      </c>
      <c r="H3650" s="19" t="str">
        <f>IFERROR(__xludf.DUMMYFUNCTION("""COMPUTED_VALUE"""),"-")</f>
        <v>-</v>
      </c>
      <c r="I3650" s="19">
        <f>IFERROR(__xludf.DUMMYFUNCTION("""COMPUTED_VALUE"""),0.00223)</f>
        <v>0.00223</v>
      </c>
      <c r="J3650" s="19">
        <f>IFERROR(__xludf.DUMMYFUNCTION("""COMPUTED_VALUE"""),0.04748)</f>
        <v>0.04748</v>
      </c>
      <c r="K3650" s="19" t="str">
        <f>IFERROR(__xludf.DUMMYFUNCTION("""COMPUTED_VALUE"""),"-")</f>
        <v>-</v>
      </c>
      <c r="L3650" s="19" t="str">
        <f>IFERROR(__xludf.DUMMYFUNCTION("""COMPUTED_VALUE"""),"-")</f>
        <v>-</v>
      </c>
      <c r="O3650" s="24">
        <f t="shared" si="4"/>
        <v>0</v>
      </c>
      <c r="P3650" s="24"/>
      <c r="Q3650" s="24">
        <f t="shared" si="6"/>
        <v>0</v>
      </c>
      <c r="R3650" s="24">
        <f t="shared" si="7"/>
        <v>0</v>
      </c>
      <c r="S3650" s="24"/>
      <c r="T3650" s="24"/>
    </row>
    <row r="3651">
      <c r="A3651" s="12" t="s">
        <v>3738</v>
      </c>
      <c r="F3651" s="19">
        <f>IFERROR(__xludf.DUMMYFUNCTION("SPLIT(A3647, "" |"")"),3645.0)</f>
        <v>3645</v>
      </c>
      <c r="G3651" s="19">
        <f>IFERROR(__xludf.DUMMYFUNCTION("""COMPUTED_VALUE"""),0.00232)</f>
        <v>0.00232</v>
      </c>
      <c r="H3651" s="19" t="str">
        <f>IFERROR(__xludf.DUMMYFUNCTION("""COMPUTED_VALUE"""),"-")</f>
        <v>-</v>
      </c>
      <c r="I3651" s="19">
        <f>IFERROR(__xludf.DUMMYFUNCTION("""COMPUTED_VALUE"""),0.0022)</f>
        <v>0.0022</v>
      </c>
      <c r="J3651" s="19">
        <f>IFERROR(__xludf.DUMMYFUNCTION("""COMPUTED_VALUE"""),0.04748)</f>
        <v>0.04748</v>
      </c>
      <c r="K3651" s="19" t="str">
        <f>IFERROR(__xludf.DUMMYFUNCTION("""COMPUTED_VALUE"""),"-")</f>
        <v>-</v>
      </c>
      <c r="L3651" s="19" t="str">
        <f>IFERROR(__xludf.DUMMYFUNCTION("""COMPUTED_VALUE"""),"-")</f>
        <v>-</v>
      </c>
      <c r="O3651" s="24">
        <f t="shared" si="4"/>
        <v>0</v>
      </c>
      <c r="P3651" s="24"/>
      <c r="Q3651" s="24">
        <f t="shared" si="6"/>
        <v>0</v>
      </c>
      <c r="R3651" s="24">
        <f t="shared" si="7"/>
        <v>0</v>
      </c>
      <c r="S3651" s="24"/>
      <c r="T3651" s="24"/>
    </row>
    <row r="3652">
      <c r="A3652" s="12" t="s">
        <v>3739</v>
      </c>
      <c r="F3652" s="19">
        <f>IFERROR(__xludf.DUMMYFUNCTION("SPLIT(A3648, "" |"")"),3646.0)</f>
        <v>3646</v>
      </c>
      <c r="G3652" s="19">
        <f>IFERROR(__xludf.DUMMYFUNCTION("""COMPUTED_VALUE"""),0.00237)</f>
        <v>0.00237</v>
      </c>
      <c r="H3652" s="19" t="str">
        <f>IFERROR(__xludf.DUMMYFUNCTION("""COMPUTED_VALUE"""),"-")</f>
        <v>-</v>
      </c>
      <c r="I3652" s="19">
        <f>IFERROR(__xludf.DUMMYFUNCTION("""COMPUTED_VALUE"""),0.00222)</f>
        <v>0.00222</v>
      </c>
      <c r="J3652" s="19">
        <f>IFERROR(__xludf.DUMMYFUNCTION("""COMPUTED_VALUE"""),0.04539)</f>
        <v>0.04539</v>
      </c>
      <c r="K3652" s="19" t="str">
        <f>IFERROR(__xludf.DUMMYFUNCTION("""COMPUTED_VALUE"""),"-")</f>
        <v>-</v>
      </c>
      <c r="L3652" s="19" t="str">
        <f>IFERROR(__xludf.DUMMYFUNCTION("""COMPUTED_VALUE"""),"-")</f>
        <v>-</v>
      </c>
      <c r="O3652" s="24">
        <f t="shared" si="4"/>
        <v>0</v>
      </c>
      <c r="P3652" s="24"/>
      <c r="Q3652" s="24">
        <f t="shared" si="6"/>
        <v>0</v>
      </c>
      <c r="R3652" s="24">
        <f t="shared" si="7"/>
        <v>0</v>
      </c>
      <c r="S3652" s="24"/>
      <c r="T3652" s="24"/>
    </row>
    <row r="3653">
      <c r="A3653" s="12" t="s">
        <v>3740</v>
      </c>
      <c r="F3653" s="19">
        <f>IFERROR(__xludf.DUMMYFUNCTION("SPLIT(A3649, "" |"")"),3647.0)</f>
        <v>3647</v>
      </c>
      <c r="G3653" s="19">
        <f>IFERROR(__xludf.DUMMYFUNCTION("""COMPUTED_VALUE"""),0.00233)</f>
        <v>0.00233</v>
      </c>
      <c r="H3653" s="19" t="str">
        <f>IFERROR(__xludf.DUMMYFUNCTION("""COMPUTED_VALUE"""),"-")</f>
        <v>-</v>
      </c>
      <c r="I3653" s="19">
        <f>IFERROR(__xludf.DUMMYFUNCTION("""COMPUTED_VALUE"""),0.00222)</f>
        <v>0.00222</v>
      </c>
      <c r="J3653" s="19">
        <f>IFERROR(__xludf.DUMMYFUNCTION("""COMPUTED_VALUE"""),0.04741)</f>
        <v>0.04741</v>
      </c>
      <c r="K3653" s="19" t="str">
        <f>IFERROR(__xludf.DUMMYFUNCTION("""COMPUTED_VALUE"""),"-")</f>
        <v>-</v>
      </c>
      <c r="L3653" s="19" t="str">
        <f>IFERROR(__xludf.DUMMYFUNCTION("""COMPUTED_VALUE"""),"-")</f>
        <v>-</v>
      </c>
      <c r="O3653" s="24">
        <f t="shared" si="4"/>
        <v>0</v>
      </c>
      <c r="P3653" s="24"/>
      <c r="Q3653" s="24">
        <f t="shared" si="6"/>
        <v>0</v>
      </c>
      <c r="R3653" s="24">
        <f t="shared" si="7"/>
        <v>0</v>
      </c>
      <c r="S3653" s="24"/>
      <c r="T3653" s="24"/>
    </row>
    <row r="3654">
      <c r="A3654" s="12" t="s">
        <v>3741</v>
      </c>
      <c r="F3654" s="19">
        <f>IFERROR(__xludf.DUMMYFUNCTION("SPLIT(A3650, "" |"")"),3648.0)</f>
        <v>3648</v>
      </c>
      <c r="G3654" s="19">
        <f>IFERROR(__xludf.DUMMYFUNCTION("""COMPUTED_VALUE"""),0.00239)</f>
        <v>0.00239</v>
      </c>
      <c r="H3654" s="19" t="str">
        <f>IFERROR(__xludf.DUMMYFUNCTION("""COMPUTED_VALUE"""),"-")</f>
        <v>-</v>
      </c>
      <c r="I3654" s="19">
        <f>IFERROR(__xludf.DUMMYFUNCTION("""COMPUTED_VALUE"""),0.00225)</f>
        <v>0.00225</v>
      </c>
      <c r="J3654" s="19">
        <f>IFERROR(__xludf.DUMMYFUNCTION("""COMPUTED_VALUE"""),0.04747)</f>
        <v>0.04747</v>
      </c>
      <c r="K3654" s="19" t="str">
        <f>IFERROR(__xludf.DUMMYFUNCTION("""COMPUTED_VALUE"""),"-")</f>
        <v>-</v>
      </c>
      <c r="L3654" s="19" t="str">
        <f>IFERROR(__xludf.DUMMYFUNCTION("""COMPUTED_VALUE"""),"-")</f>
        <v>-</v>
      </c>
      <c r="O3654" s="24">
        <f t="shared" si="4"/>
        <v>0</v>
      </c>
      <c r="P3654" s="24"/>
      <c r="Q3654" s="24">
        <f t="shared" si="6"/>
        <v>0</v>
      </c>
      <c r="R3654" s="24">
        <f t="shared" si="7"/>
        <v>0</v>
      </c>
      <c r="S3654" s="24"/>
      <c r="T3654" s="24"/>
    </row>
    <row r="3655">
      <c r="A3655" s="12" t="s">
        <v>3742</v>
      </c>
      <c r="F3655" s="19">
        <f>IFERROR(__xludf.DUMMYFUNCTION("SPLIT(A3651, "" |"")"),3649.0)</f>
        <v>3649</v>
      </c>
      <c r="G3655" s="19">
        <f>IFERROR(__xludf.DUMMYFUNCTION("""COMPUTED_VALUE"""),0.0023)</f>
        <v>0.0023</v>
      </c>
      <c r="H3655" s="19" t="str">
        <f>IFERROR(__xludf.DUMMYFUNCTION("""COMPUTED_VALUE"""),"-")</f>
        <v>-</v>
      </c>
      <c r="I3655" s="19">
        <f>IFERROR(__xludf.DUMMYFUNCTION("""COMPUTED_VALUE"""),0.00225)</f>
        <v>0.00225</v>
      </c>
      <c r="J3655" s="19">
        <f>IFERROR(__xludf.DUMMYFUNCTION("""COMPUTED_VALUE"""),0.04743)</f>
        <v>0.04743</v>
      </c>
      <c r="K3655" s="19" t="str">
        <f>IFERROR(__xludf.DUMMYFUNCTION("""COMPUTED_VALUE"""),"-")</f>
        <v>-</v>
      </c>
      <c r="L3655" s="19" t="str">
        <f>IFERROR(__xludf.DUMMYFUNCTION("""COMPUTED_VALUE"""),"-")</f>
        <v>-</v>
      </c>
      <c r="O3655" s="24">
        <f t="shared" si="4"/>
        <v>0</v>
      </c>
      <c r="P3655" s="24"/>
      <c r="Q3655" s="24">
        <f t="shared" si="6"/>
        <v>0</v>
      </c>
      <c r="R3655" s="24">
        <f t="shared" si="7"/>
        <v>0</v>
      </c>
      <c r="S3655" s="24"/>
      <c r="T3655" s="24"/>
    </row>
    <row r="3656">
      <c r="A3656" s="12" t="s">
        <v>3743</v>
      </c>
      <c r="F3656" s="19">
        <f>IFERROR(__xludf.DUMMYFUNCTION("SPLIT(A3652, "" |"")"),3650.0)</f>
        <v>3650</v>
      </c>
      <c r="G3656" s="19">
        <f>IFERROR(__xludf.DUMMYFUNCTION("""COMPUTED_VALUE"""),0.00235)</f>
        <v>0.00235</v>
      </c>
      <c r="H3656" s="19" t="str">
        <f>IFERROR(__xludf.DUMMYFUNCTION("""COMPUTED_VALUE"""),"-")</f>
        <v>-</v>
      </c>
      <c r="I3656" s="19">
        <f>IFERROR(__xludf.DUMMYFUNCTION("""COMPUTED_VALUE"""),0.00215)</f>
        <v>0.00215</v>
      </c>
      <c r="J3656" s="19">
        <f>IFERROR(__xludf.DUMMYFUNCTION("""COMPUTED_VALUE"""),0.04742)</f>
        <v>0.04742</v>
      </c>
      <c r="K3656" s="19" t="str">
        <f>IFERROR(__xludf.DUMMYFUNCTION("""COMPUTED_VALUE"""),"-")</f>
        <v>-</v>
      </c>
      <c r="L3656" s="19" t="str">
        <f>IFERROR(__xludf.DUMMYFUNCTION("""COMPUTED_VALUE"""),"-")</f>
        <v>-</v>
      </c>
      <c r="O3656" s="24">
        <f t="shared" si="4"/>
        <v>0</v>
      </c>
      <c r="P3656" s="24"/>
      <c r="Q3656" s="24">
        <f t="shared" si="6"/>
        <v>0</v>
      </c>
      <c r="R3656" s="24">
        <f t="shared" si="7"/>
        <v>0</v>
      </c>
      <c r="S3656" s="24"/>
      <c r="T3656" s="24"/>
    </row>
    <row r="3657">
      <c r="A3657" s="12" t="s">
        <v>3744</v>
      </c>
      <c r="F3657" s="19">
        <f>IFERROR(__xludf.DUMMYFUNCTION("SPLIT(A3653, "" |"")"),3651.0)</f>
        <v>3651</v>
      </c>
      <c r="G3657" s="19">
        <f>IFERROR(__xludf.DUMMYFUNCTION("""COMPUTED_VALUE"""),0.00237)</f>
        <v>0.00237</v>
      </c>
      <c r="H3657" s="19" t="str">
        <f>IFERROR(__xludf.DUMMYFUNCTION("""COMPUTED_VALUE"""),"-")</f>
        <v>-</v>
      </c>
      <c r="I3657" s="19">
        <f>IFERROR(__xludf.DUMMYFUNCTION("""COMPUTED_VALUE"""),0.00227)</f>
        <v>0.00227</v>
      </c>
      <c r="J3657" s="19">
        <f>IFERROR(__xludf.DUMMYFUNCTION("""COMPUTED_VALUE"""),0.04753)</f>
        <v>0.04753</v>
      </c>
      <c r="K3657" s="19" t="str">
        <f>IFERROR(__xludf.DUMMYFUNCTION("""COMPUTED_VALUE"""),"-")</f>
        <v>-</v>
      </c>
      <c r="L3657" s="19" t="str">
        <f>IFERROR(__xludf.DUMMYFUNCTION("""COMPUTED_VALUE"""),"-")</f>
        <v>-</v>
      </c>
      <c r="O3657" s="24">
        <f t="shared" si="4"/>
        <v>0</v>
      </c>
      <c r="P3657" s="24"/>
      <c r="Q3657" s="24">
        <f t="shared" si="6"/>
        <v>0</v>
      </c>
      <c r="R3657" s="24">
        <f t="shared" si="7"/>
        <v>0</v>
      </c>
      <c r="S3657" s="24"/>
      <c r="T3657" s="24"/>
    </row>
    <row r="3658">
      <c r="A3658" s="12" t="s">
        <v>3745</v>
      </c>
      <c r="F3658" s="19">
        <f>IFERROR(__xludf.DUMMYFUNCTION("SPLIT(A3654, "" |"")"),3652.0)</f>
        <v>3652</v>
      </c>
      <c r="G3658" s="19">
        <f>IFERROR(__xludf.DUMMYFUNCTION("""COMPUTED_VALUE"""),0.00233)</f>
        <v>0.00233</v>
      </c>
      <c r="H3658" s="19" t="str">
        <f>IFERROR(__xludf.DUMMYFUNCTION("""COMPUTED_VALUE"""),"-")</f>
        <v>-</v>
      </c>
      <c r="I3658" s="19">
        <f>IFERROR(__xludf.DUMMYFUNCTION("""COMPUTED_VALUE"""),0.0022)</f>
        <v>0.0022</v>
      </c>
      <c r="J3658" s="19">
        <f>IFERROR(__xludf.DUMMYFUNCTION("""COMPUTED_VALUE"""),0.04747)</f>
        <v>0.04747</v>
      </c>
      <c r="K3658" s="19" t="str">
        <f>IFERROR(__xludf.DUMMYFUNCTION("""COMPUTED_VALUE"""),"-")</f>
        <v>-</v>
      </c>
      <c r="L3658" s="19" t="str">
        <f>IFERROR(__xludf.DUMMYFUNCTION("""COMPUTED_VALUE"""),"-")</f>
        <v>-</v>
      </c>
      <c r="O3658" s="24">
        <f t="shared" si="4"/>
        <v>0</v>
      </c>
      <c r="P3658" s="24"/>
      <c r="Q3658" s="24">
        <f t="shared" si="6"/>
        <v>0</v>
      </c>
      <c r="R3658" s="24">
        <f t="shared" si="7"/>
        <v>0</v>
      </c>
      <c r="S3658" s="24"/>
      <c r="T3658" s="24"/>
    </row>
    <row r="3659">
      <c r="A3659" s="12" t="s">
        <v>3746</v>
      </c>
      <c r="F3659" s="19">
        <f>IFERROR(__xludf.DUMMYFUNCTION("SPLIT(A3655, "" |"")"),3653.0)</f>
        <v>3653</v>
      </c>
      <c r="G3659" s="19">
        <f>IFERROR(__xludf.DUMMYFUNCTION("""COMPUTED_VALUE"""),0.00233)</f>
        <v>0.00233</v>
      </c>
      <c r="H3659" s="19" t="str">
        <f>IFERROR(__xludf.DUMMYFUNCTION("""COMPUTED_VALUE"""),"-")</f>
        <v>-</v>
      </c>
      <c r="I3659" s="19">
        <f>IFERROR(__xludf.DUMMYFUNCTION("""COMPUTED_VALUE"""),0.00225)</f>
        <v>0.00225</v>
      </c>
      <c r="J3659" s="19">
        <f>IFERROR(__xludf.DUMMYFUNCTION("""COMPUTED_VALUE"""),0.04529)</f>
        <v>0.04529</v>
      </c>
      <c r="K3659" s="19" t="str">
        <f>IFERROR(__xludf.DUMMYFUNCTION("""COMPUTED_VALUE"""),"-")</f>
        <v>-</v>
      </c>
      <c r="L3659" s="19" t="str">
        <f>IFERROR(__xludf.DUMMYFUNCTION("""COMPUTED_VALUE"""),"-")</f>
        <v>-</v>
      </c>
      <c r="O3659" s="24">
        <f t="shared" si="4"/>
        <v>0</v>
      </c>
      <c r="P3659" s="24"/>
      <c r="Q3659" s="24">
        <f t="shared" si="6"/>
        <v>0</v>
      </c>
      <c r="R3659" s="24">
        <f t="shared" si="7"/>
        <v>0</v>
      </c>
      <c r="S3659" s="24"/>
      <c r="T3659" s="24"/>
    </row>
    <row r="3660">
      <c r="A3660" s="12" t="s">
        <v>3747</v>
      </c>
      <c r="F3660" s="19">
        <f>IFERROR(__xludf.DUMMYFUNCTION("SPLIT(A3656, "" |"")"),3654.0)</f>
        <v>3654</v>
      </c>
      <c r="G3660" s="19">
        <f>IFERROR(__xludf.DUMMYFUNCTION("""COMPUTED_VALUE"""),0.00234)</f>
        <v>0.00234</v>
      </c>
      <c r="H3660" s="19" t="str">
        <f>IFERROR(__xludf.DUMMYFUNCTION("""COMPUTED_VALUE"""),"-")</f>
        <v>-</v>
      </c>
      <c r="I3660" s="19">
        <f>IFERROR(__xludf.DUMMYFUNCTION("""COMPUTED_VALUE"""),0.00219)</f>
        <v>0.00219</v>
      </c>
      <c r="J3660" s="19">
        <f>IFERROR(__xludf.DUMMYFUNCTION("""COMPUTED_VALUE"""),0.04736)</f>
        <v>0.04736</v>
      </c>
      <c r="K3660" s="19" t="str">
        <f>IFERROR(__xludf.DUMMYFUNCTION("""COMPUTED_VALUE"""),"-")</f>
        <v>-</v>
      </c>
      <c r="L3660" s="19" t="str">
        <f>IFERROR(__xludf.DUMMYFUNCTION("""COMPUTED_VALUE"""),"-")</f>
        <v>-</v>
      </c>
      <c r="O3660" s="24">
        <f t="shared" si="4"/>
        <v>0</v>
      </c>
      <c r="P3660" s="24"/>
      <c r="Q3660" s="24">
        <f t="shared" si="6"/>
        <v>0</v>
      </c>
      <c r="R3660" s="24">
        <f t="shared" si="7"/>
        <v>0</v>
      </c>
      <c r="S3660" s="24"/>
      <c r="T3660" s="24"/>
    </row>
    <row r="3661">
      <c r="A3661" s="12" t="s">
        <v>3748</v>
      </c>
      <c r="F3661" s="19">
        <f>IFERROR(__xludf.DUMMYFUNCTION("SPLIT(A3657, "" |"")"),3655.0)</f>
        <v>3655</v>
      </c>
      <c r="G3661" s="19">
        <f>IFERROR(__xludf.DUMMYFUNCTION("""COMPUTED_VALUE"""),0.00232)</f>
        <v>0.00232</v>
      </c>
      <c r="H3661" s="19" t="str">
        <f>IFERROR(__xludf.DUMMYFUNCTION("""COMPUTED_VALUE"""),"-")</f>
        <v>-</v>
      </c>
      <c r="I3661" s="19">
        <f>IFERROR(__xludf.DUMMYFUNCTION("""COMPUTED_VALUE"""),0.00223)</f>
        <v>0.00223</v>
      </c>
      <c r="J3661" s="19">
        <f>IFERROR(__xludf.DUMMYFUNCTION("""COMPUTED_VALUE"""),0.04738)</f>
        <v>0.04738</v>
      </c>
      <c r="K3661" s="19" t="str">
        <f>IFERROR(__xludf.DUMMYFUNCTION("""COMPUTED_VALUE"""),"-")</f>
        <v>-</v>
      </c>
      <c r="L3661" s="19" t="str">
        <f>IFERROR(__xludf.DUMMYFUNCTION("""COMPUTED_VALUE"""),"-")</f>
        <v>-</v>
      </c>
      <c r="O3661" s="24">
        <f t="shared" si="4"/>
        <v>0</v>
      </c>
      <c r="P3661" s="24"/>
      <c r="Q3661" s="24">
        <f t="shared" si="6"/>
        <v>0</v>
      </c>
      <c r="R3661" s="24">
        <f t="shared" si="7"/>
        <v>0</v>
      </c>
      <c r="S3661" s="24"/>
      <c r="T3661" s="24"/>
    </row>
    <row r="3662">
      <c r="A3662" s="12" t="s">
        <v>3749</v>
      </c>
      <c r="F3662" s="19">
        <f>IFERROR(__xludf.DUMMYFUNCTION("SPLIT(A3658, "" |"")"),3656.0)</f>
        <v>3656</v>
      </c>
      <c r="G3662" s="19">
        <f>IFERROR(__xludf.DUMMYFUNCTION("""COMPUTED_VALUE"""),0.00234)</f>
        <v>0.00234</v>
      </c>
      <c r="H3662" s="19" t="str">
        <f>IFERROR(__xludf.DUMMYFUNCTION("""COMPUTED_VALUE"""),"-")</f>
        <v>-</v>
      </c>
      <c r="I3662" s="19">
        <f>IFERROR(__xludf.DUMMYFUNCTION("""COMPUTED_VALUE"""),0.00217)</f>
        <v>0.00217</v>
      </c>
      <c r="J3662" s="19">
        <f>IFERROR(__xludf.DUMMYFUNCTION("""COMPUTED_VALUE"""),0.04743)</f>
        <v>0.04743</v>
      </c>
      <c r="K3662" s="19" t="str">
        <f>IFERROR(__xludf.DUMMYFUNCTION("""COMPUTED_VALUE"""),"-")</f>
        <v>-</v>
      </c>
      <c r="L3662" s="19" t="str">
        <f>IFERROR(__xludf.DUMMYFUNCTION("""COMPUTED_VALUE"""),"-")</f>
        <v>-</v>
      </c>
      <c r="O3662" s="24">
        <f t="shared" si="4"/>
        <v>0</v>
      </c>
      <c r="P3662" s="24"/>
      <c r="Q3662" s="24">
        <f t="shared" si="6"/>
        <v>0</v>
      </c>
      <c r="R3662" s="24">
        <f t="shared" si="7"/>
        <v>0</v>
      </c>
      <c r="S3662" s="24"/>
      <c r="T3662" s="24"/>
    </row>
    <row r="3663">
      <c r="A3663" s="12" t="s">
        <v>3750</v>
      </c>
      <c r="F3663" s="19">
        <f>IFERROR(__xludf.DUMMYFUNCTION("SPLIT(A3659, "" |"")"),3657.0)</f>
        <v>3657</v>
      </c>
      <c r="G3663" s="19">
        <f>IFERROR(__xludf.DUMMYFUNCTION("""COMPUTED_VALUE"""),0.00233)</f>
        <v>0.00233</v>
      </c>
      <c r="H3663" s="19" t="str">
        <f>IFERROR(__xludf.DUMMYFUNCTION("""COMPUTED_VALUE"""),"-")</f>
        <v>-</v>
      </c>
      <c r="I3663" s="19">
        <f>IFERROR(__xludf.DUMMYFUNCTION("""COMPUTED_VALUE"""),0.00222)</f>
        <v>0.00222</v>
      </c>
      <c r="J3663" s="19">
        <f>IFERROR(__xludf.DUMMYFUNCTION("""COMPUTED_VALUE"""),0.04751)</f>
        <v>0.04751</v>
      </c>
      <c r="K3663" s="19" t="str">
        <f>IFERROR(__xludf.DUMMYFUNCTION("""COMPUTED_VALUE"""),"-")</f>
        <v>-</v>
      </c>
      <c r="L3663" s="19" t="str">
        <f>IFERROR(__xludf.DUMMYFUNCTION("""COMPUTED_VALUE"""),"-")</f>
        <v>-</v>
      </c>
      <c r="O3663" s="24">
        <f t="shared" si="4"/>
        <v>0</v>
      </c>
      <c r="P3663" s="24"/>
      <c r="Q3663" s="24">
        <f t="shared" si="6"/>
        <v>0</v>
      </c>
      <c r="R3663" s="24">
        <f t="shared" si="7"/>
        <v>0</v>
      </c>
      <c r="S3663" s="24"/>
      <c r="T3663" s="24"/>
    </row>
    <row r="3664">
      <c r="A3664" s="12" t="s">
        <v>3751</v>
      </c>
      <c r="F3664" s="19">
        <f>IFERROR(__xludf.DUMMYFUNCTION("SPLIT(A3660, "" |"")"),3658.0)</f>
        <v>3658</v>
      </c>
      <c r="G3664" s="19">
        <f>IFERROR(__xludf.DUMMYFUNCTION("""COMPUTED_VALUE"""),0.00236)</f>
        <v>0.00236</v>
      </c>
      <c r="H3664" s="19" t="str">
        <f>IFERROR(__xludf.DUMMYFUNCTION("""COMPUTED_VALUE"""),"-")</f>
        <v>-</v>
      </c>
      <c r="I3664" s="19">
        <f>IFERROR(__xludf.DUMMYFUNCTION("""COMPUTED_VALUE"""),0.00219)</f>
        <v>0.00219</v>
      </c>
      <c r="J3664" s="19">
        <f>IFERROR(__xludf.DUMMYFUNCTION("""COMPUTED_VALUE"""),0.04091)</f>
        <v>0.04091</v>
      </c>
      <c r="K3664" s="19" t="str">
        <f>IFERROR(__xludf.DUMMYFUNCTION("""COMPUTED_VALUE"""),"-")</f>
        <v>-</v>
      </c>
      <c r="L3664" s="19" t="str">
        <f>IFERROR(__xludf.DUMMYFUNCTION("""COMPUTED_VALUE"""),"-")</f>
        <v>-</v>
      </c>
      <c r="O3664" s="24">
        <f t="shared" si="4"/>
        <v>0</v>
      </c>
      <c r="P3664" s="24"/>
      <c r="Q3664" s="24">
        <f t="shared" si="6"/>
        <v>0</v>
      </c>
      <c r="R3664" s="24">
        <f t="shared" si="7"/>
        <v>1</v>
      </c>
      <c r="S3664" s="24"/>
      <c r="T3664" s="24"/>
    </row>
    <row r="3665">
      <c r="A3665" s="12" t="s">
        <v>3752</v>
      </c>
      <c r="F3665" s="19">
        <f>IFERROR(__xludf.DUMMYFUNCTION("SPLIT(A3661, "" |"")"),3659.0)</f>
        <v>3659</v>
      </c>
      <c r="G3665" s="19">
        <f>IFERROR(__xludf.DUMMYFUNCTION("""COMPUTED_VALUE"""),0.0023)</f>
        <v>0.0023</v>
      </c>
      <c r="H3665" s="19" t="str">
        <f>IFERROR(__xludf.DUMMYFUNCTION("""COMPUTED_VALUE"""),"-")</f>
        <v>-</v>
      </c>
      <c r="I3665" s="19">
        <f>IFERROR(__xludf.DUMMYFUNCTION("""COMPUTED_VALUE"""),0.00219)</f>
        <v>0.00219</v>
      </c>
      <c r="J3665" s="19">
        <f>IFERROR(__xludf.DUMMYFUNCTION("""COMPUTED_VALUE"""),0.04744)</f>
        <v>0.04744</v>
      </c>
      <c r="K3665" s="19" t="str">
        <f>IFERROR(__xludf.DUMMYFUNCTION("""COMPUTED_VALUE"""),"-")</f>
        <v>-</v>
      </c>
      <c r="L3665" s="19" t="str">
        <f>IFERROR(__xludf.DUMMYFUNCTION("""COMPUTED_VALUE"""),"-")</f>
        <v>-</v>
      </c>
      <c r="O3665" s="24">
        <f t="shared" si="4"/>
        <v>0</v>
      </c>
      <c r="P3665" s="24"/>
      <c r="Q3665" s="24">
        <f t="shared" si="6"/>
        <v>0</v>
      </c>
      <c r="R3665" s="24">
        <f t="shared" si="7"/>
        <v>0</v>
      </c>
      <c r="S3665" s="24"/>
      <c r="T3665" s="24"/>
    </row>
    <row r="3666">
      <c r="A3666" s="12" t="s">
        <v>3753</v>
      </c>
      <c r="F3666" s="19">
        <f>IFERROR(__xludf.DUMMYFUNCTION("SPLIT(A3662, "" |"")"),3660.0)</f>
        <v>3660</v>
      </c>
      <c r="G3666" s="19">
        <f>IFERROR(__xludf.DUMMYFUNCTION("""COMPUTED_VALUE"""),0.00231)</f>
        <v>0.00231</v>
      </c>
      <c r="H3666" s="19" t="str">
        <f>IFERROR(__xludf.DUMMYFUNCTION("""COMPUTED_VALUE"""),"-")</f>
        <v>-</v>
      </c>
      <c r="I3666" s="19">
        <f>IFERROR(__xludf.DUMMYFUNCTION("""COMPUTED_VALUE"""),0.00222)</f>
        <v>0.00222</v>
      </c>
      <c r="J3666" s="19">
        <f>IFERROR(__xludf.DUMMYFUNCTION("""COMPUTED_VALUE"""),0.04735)</f>
        <v>0.04735</v>
      </c>
      <c r="K3666" s="19" t="str">
        <f>IFERROR(__xludf.DUMMYFUNCTION("""COMPUTED_VALUE"""),"-")</f>
        <v>-</v>
      </c>
      <c r="L3666" s="19" t="str">
        <f>IFERROR(__xludf.DUMMYFUNCTION("""COMPUTED_VALUE"""),"-")</f>
        <v>-</v>
      </c>
      <c r="O3666" s="24">
        <f t="shared" si="4"/>
        <v>0</v>
      </c>
      <c r="P3666" s="24"/>
      <c r="Q3666" s="24">
        <f t="shared" si="6"/>
        <v>0</v>
      </c>
      <c r="R3666" s="24">
        <f t="shared" si="7"/>
        <v>0</v>
      </c>
      <c r="S3666" s="24"/>
      <c r="T3666" s="24"/>
    </row>
    <row r="3667">
      <c r="A3667" s="12" t="s">
        <v>3754</v>
      </c>
      <c r="F3667" s="19">
        <f>IFERROR(__xludf.DUMMYFUNCTION("SPLIT(A3663, "" |"")"),3661.0)</f>
        <v>3661</v>
      </c>
      <c r="G3667" s="19">
        <f>IFERROR(__xludf.DUMMYFUNCTION("""COMPUTED_VALUE"""),0.00235)</f>
        <v>0.00235</v>
      </c>
      <c r="H3667" s="19" t="str">
        <f>IFERROR(__xludf.DUMMYFUNCTION("""COMPUTED_VALUE"""),"-")</f>
        <v>-</v>
      </c>
      <c r="I3667" s="19">
        <f>IFERROR(__xludf.DUMMYFUNCTION("""COMPUTED_VALUE"""),0.0022)</f>
        <v>0.0022</v>
      </c>
      <c r="J3667" s="19">
        <f>IFERROR(__xludf.DUMMYFUNCTION("""COMPUTED_VALUE"""),0.04749)</f>
        <v>0.04749</v>
      </c>
      <c r="K3667" s="19" t="str">
        <f>IFERROR(__xludf.DUMMYFUNCTION("""COMPUTED_VALUE"""),"-")</f>
        <v>-</v>
      </c>
      <c r="L3667" s="19" t="str">
        <f>IFERROR(__xludf.DUMMYFUNCTION("""COMPUTED_VALUE"""),"-")</f>
        <v>-</v>
      </c>
      <c r="O3667" s="24">
        <f t="shared" si="4"/>
        <v>0</v>
      </c>
      <c r="P3667" s="24"/>
      <c r="Q3667" s="24">
        <f t="shared" si="6"/>
        <v>0</v>
      </c>
      <c r="R3667" s="24">
        <f t="shared" si="7"/>
        <v>0</v>
      </c>
      <c r="S3667" s="24"/>
      <c r="T3667" s="24"/>
    </row>
    <row r="3668">
      <c r="A3668" s="12" t="s">
        <v>3755</v>
      </c>
      <c r="F3668" s="19">
        <f>IFERROR(__xludf.DUMMYFUNCTION("SPLIT(A3664, "" |"")"),3662.0)</f>
        <v>3662</v>
      </c>
      <c r="G3668" s="19">
        <f>IFERROR(__xludf.DUMMYFUNCTION("""COMPUTED_VALUE"""),0.00235)</f>
        <v>0.00235</v>
      </c>
      <c r="H3668" s="19" t="str">
        <f>IFERROR(__xludf.DUMMYFUNCTION("""COMPUTED_VALUE"""),"-")</f>
        <v>-</v>
      </c>
      <c r="I3668" s="19">
        <f>IFERROR(__xludf.DUMMYFUNCTION("""COMPUTED_VALUE"""),0.00218)</f>
        <v>0.00218</v>
      </c>
      <c r="J3668" s="19">
        <f>IFERROR(__xludf.DUMMYFUNCTION("""COMPUTED_VALUE"""),0.04743)</f>
        <v>0.04743</v>
      </c>
      <c r="K3668" s="19" t="str">
        <f>IFERROR(__xludf.DUMMYFUNCTION("""COMPUTED_VALUE"""),"-")</f>
        <v>-</v>
      </c>
      <c r="L3668" s="19" t="str">
        <f>IFERROR(__xludf.DUMMYFUNCTION("""COMPUTED_VALUE"""),"-")</f>
        <v>-</v>
      </c>
      <c r="O3668" s="24">
        <f t="shared" si="4"/>
        <v>0</v>
      </c>
      <c r="P3668" s="24"/>
      <c r="Q3668" s="24">
        <f t="shared" si="6"/>
        <v>0</v>
      </c>
      <c r="R3668" s="24">
        <f t="shared" si="7"/>
        <v>0</v>
      </c>
      <c r="S3668" s="24"/>
      <c r="T3668" s="24"/>
    </row>
    <row r="3669">
      <c r="A3669" s="12" t="s">
        <v>3756</v>
      </c>
      <c r="F3669" s="19">
        <f>IFERROR(__xludf.DUMMYFUNCTION("SPLIT(A3665, "" |"")"),3663.0)</f>
        <v>3663</v>
      </c>
      <c r="G3669" s="19">
        <f>IFERROR(__xludf.DUMMYFUNCTION("""COMPUTED_VALUE"""),0.00232)</f>
        <v>0.00232</v>
      </c>
      <c r="H3669" s="19" t="str">
        <f>IFERROR(__xludf.DUMMYFUNCTION("""COMPUTED_VALUE"""),"-")</f>
        <v>-</v>
      </c>
      <c r="I3669" s="19">
        <f>IFERROR(__xludf.DUMMYFUNCTION("""COMPUTED_VALUE"""),0.0022)</f>
        <v>0.0022</v>
      </c>
      <c r="J3669" s="19">
        <f>IFERROR(__xludf.DUMMYFUNCTION("""COMPUTED_VALUE"""),0.04746)</f>
        <v>0.04746</v>
      </c>
      <c r="K3669" s="19" t="str">
        <f>IFERROR(__xludf.DUMMYFUNCTION("""COMPUTED_VALUE"""),"-")</f>
        <v>-</v>
      </c>
      <c r="L3669" s="19" t="str">
        <f>IFERROR(__xludf.DUMMYFUNCTION("""COMPUTED_VALUE"""),"-")</f>
        <v>-</v>
      </c>
      <c r="O3669" s="24">
        <f t="shared" si="4"/>
        <v>0</v>
      </c>
      <c r="P3669" s="24"/>
      <c r="Q3669" s="24">
        <f t="shared" si="6"/>
        <v>0</v>
      </c>
      <c r="R3669" s="24">
        <f t="shared" si="7"/>
        <v>0</v>
      </c>
      <c r="S3669" s="24"/>
      <c r="T3669" s="24"/>
    </row>
    <row r="3670">
      <c r="A3670" s="12" t="s">
        <v>3757</v>
      </c>
      <c r="F3670" s="19">
        <f>IFERROR(__xludf.DUMMYFUNCTION("SPLIT(A3666, "" |"")"),3664.0)</f>
        <v>3664</v>
      </c>
      <c r="G3670" s="19">
        <f>IFERROR(__xludf.DUMMYFUNCTION("""COMPUTED_VALUE"""),0.00237)</f>
        <v>0.00237</v>
      </c>
      <c r="H3670" s="19" t="str">
        <f>IFERROR(__xludf.DUMMYFUNCTION("""COMPUTED_VALUE"""),"-")</f>
        <v>-</v>
      </c>
      <c r="I3670" s="19">
        <f>IFERROR(__xludf.DUMMYFUNCTION("""COMPUTED_VALUE"""),0.00222)</f>
        <v>0.00222</v>
      </c>
      <c r="J3670" s="19">
        <f>IFERROR(__xludf.DUMMYFUNCTION("""COMPUTED_VALUE"""),0.0475)</f>
        <v>0.0475</v>
      </c>
      <c r="K3670" s="19" t="str">
        <f>IFERROR(__xludf.DUMMYFUNCTION("""COMPUTED_VALUE"""),"-")</f>
        <v>-</v>
      </c>
      <c r="L3670" s="19" t="str">
        <f>IFERROR(__xludf.DUMMYFUNCTION("""COMPUTED_VALUE"""),"-")</f>
        <v>-</v>
      </c>
      <c r="O3670" s="24">
        <f t="shared" si="4"/>
        <v>0</v>
      </c>
      <c r="P3670" s="24"/>
      <c r="Q3670" s="24">
        <f t="shared" si="6"/>
        <v>0</v>
      </c>
      <c r="R3670" s="24">
        <f t="shared" si="7"/>
        <v>0</v>
      </c>
      <c r="S3670" s="24"/>
      <c r="T3670" s="24"/>
    </row>
    <row r="3671">
      <c r="A3671" s="12" t="s">
        <v>3758</v>
      </c>
      <c r="F3671" s="19">
        <f>IFERROR(__xludf.DUMMYFUNCTION("SPLIT(A3667, "" |"")"),3665.0)</f>
        <v>3665</v>
      </c>
      <c r="G3671" s="19">
        <f>IFERROR(__xludf.DUMMYFUNCTION("""COMPUTED_VALUE"""),0.00231)</f>
        <v>0.00231</v>
      </c>
      <c r="H3671" s="19" t="str">
        <f>IFERROR(__xludf.DUMMYFUNCTION("""COMPUTED_VALUE"""),"-")</f>
        <v>-</v>
      </c>
      <c r="I3671" s="19">
        <f>IFERROR(__xludf.DUMMYFUNCTION("""COMPUTED_VALUE"""),0.0022)</f>
        <v>0.0022</v>
      </c>
      <c r="J3671" s="19">
        <f>IFERROR(__xludf.DUMMYFUNCTION("""COMPUTED_VALUE"""),0.04381)</f>
        <v>0.04381</v>
      </c>
      <c r="K3671" s="19" t="str">
        <f>IFERROR(__xludf.DUMMYFUNCTION("""COMPUTED_VALUE"""),"-")</f>
        <v>-</v>
      </c>
      <c r="L3671" s="19" t="str">
        <f>IFERROR(__xludf.DUMMYFUNCTION("""COMPUTED_VALUE"""),"-")</f>
        <v>-</v>
      </c>
      <c r="O3671" s="24">
        <f t="shared" si="4"/>
        <v>0</v>
      </c>
      <c r="P3671" s="24"/>
      <c r="Q3671" s="24">
        <f t="shared" si="6"/>
        <v>0</v>
      </c>
      <c r="R3671" s="24">
        <f t="shared" si="7"/>
        <v>1</v>
      </c>
      <c r="S3671" s="24"/>
      <c r="T3671" s="24"/>
    </row>
    <row r="3672">
      <c r="A3672" s="12" t="s">
        <v>3759</v>
      </c>
      <c r="F3672" s="19">
        <f>IFERROR(__xludf.DUMMYFUNCTION("SPLIT(A3668, "" |"")"),3666.0)</f>
        <v>3666</v>
      </c>
      <c r="G3672" s="19">
        <f>IFERROR(__xludf.DUMMYFUNCTION("""COMPUTED_VALUE"""),0.0024)</f>
        <v>0.0024</v>
      </c>
      <c r="H3672" s="19" t="str">
        <f>IFERROR(__xludf.DUMMYFUNCTION("""COMPUTED_VALUE"""),"-")</f>
        <v>-</v>
      </c>
      <c r="I3672" s="19">
        <f>IFERROR(__xludf.DUMMYFUNCTION("""COMPUTED_VALUE"""),0.00225)</f>
        <v>0.00225</v>
      </c>
      <c r="J3672" s="19">
        <f>IFERROR(__xludf.DUMMYFUNCTION("""COMPUTED_VALUE"""),0.04751)</f>
        <v>0.04751</v>
      </c>
      <c r="K3672" s="19" t="str">
        <f>IFERROR(__xludf.DUMMYFUNCTION("""COMPUTED_VALUE"""),"-")</f>
        <v>-</v>
      </c>
      <c r="L3672" s="19" t="str">
        <f>IFERROR(__xludf.DUMMYFUNCTION("""COMPUTED_VALUE"""),"-")</f>
        <v>-</v>
      </c>
      <c r="O3672" s="24">
        <f t="shared" si="4"/>
        <v>0</v>
      </c>
      <c r="P3672" s="24"/>
      <c r="Q3672" s="24">
        <f t="shared" si="6"/>
        <v>0</v>
      </c>
      <c r="R3672" s="24">
        <f t="shared" si="7"/>
        <v>0</v>
      </c>
      <c r="S3672" s="24"/>
      <c r="T3672" s="24"/>
    </row>
    <row r="3673">
      <c r="A3673" s="12" t="s">
        <v>3760</v>
      </c>
      <c r="F3673" s="19">
        <f>IFERROR(__xludf.DUMMYFUNCTION("SPLIT(A3669, "" |"")"),3667.0)</f>
        <v>3667</v>
      </c>
      <c r="G3673" s="19">
        <f>IFERROR(__xludf.DUMMYFUNCTION("""COMPUTED_VALUE"""),0.00235)</f>
        <v>0.00235</v>
      </c>
      <c r="H3673" s="19" t="str">
        <f>IFERROR(__xludf.DUMMYFUNCTION("""COMPUTED_VALUE"""),"-")</f>
        <v>-</v>
      </c>
      <c r="I3673" s="19">
        <f>IFERROR(__xludf.DUMMYFUNCTION("""COMPUTED_VALUE"""),0.00226)</f>
        <v>0.00226</v>
      </c>
      <c r="J3673" s="19">
        <f>IFERROR(__xludf.DUMMYFUNCTION("""COMPUTED_VALUE"""),0.04748)</f>
        <v>0.04748</v>
      </c>
      <c r="K3673" s="19" t="str">
        <f>IFERROR(__xludf.DUMMYFUNCTION("""COMPUTED_VALUE"""),"-")</f>
        <v>-</v>
      </c>
      <c r="L3673" s="19" t="str">
        <f>IFERROR(__xludf.DUMMYFUNCTION("""COMPUTED_VALUE"""),"-")</f>
        <v>-</v>
      </c>
      <c r="O3673" s="24">
        <f t="shared" si="4"/>
        <v>0</v>
      </c>
      <c r="P3673" s="24"/>
      <c r="Q3673" s="24">
        <f t="shared" si="6"/>
        <v>0</v>
      </c>
      <c r="R3673" s="24">
        <f t="shared" si="7"/>
        <v>0</v>
      </c>
      <c r="S3673" s="24"/>
      <c r="T3673" s="24"/>
    </row>
    <row r="3674">
      <c r="A3674" s="12" t="s">
        <v>3761</v>
      </c>
      <c r="F3674" s="19">
        <f>IFERROR(__xludf.DUMMYFUNCTION("SPLIT(A3670, "" |"")"),3668.0)</f>
        <v>3668</v>
      </c>
      <c r="G3674" s="19">
        <f>IFERROR(__xludf.DUMMYFUNCTION("""COMPUTED_VALUE"""),0.00235)</f>
        <v>0.00235</v>
      </c>
      <c r="H3674" s="19" t="str">
        <f>IFERROR(__xludf.DUMMYFUNCTION("""COMPUTED_VALUE"""),"-")</f>
        <v>-</v>
      </c>
      <c r="I3674" s="19">
        <f>IFERROR(__xludf.DUMMYFUNCTION("""COMPUTED_VALUE"""),0.00224)</f>
        <v>0.00224</v>
      </c>
      <c r="J3674" s="19">
        <f>IFERROR(__xludf.DUMMYFUNCTION("""COMPUTED_VALUE"""),0.04749)</f>
        <v>0.04749</v>
      </c>
      <c r="K3674" s="19" t="str">
        <f>IFERROR(__xludf.DUMMYFUNCTION("""COMPUTED_VALUE"""),"-")</f>
        <v>-</v>
      </c>
      <c r="L3674" s="19" t="str">
        <f>IFERROR(__xludf.DUMMYFUNCTION("""COMPUTED_VALUE"""),"-")</f>
        <v>-</v>
      </c>
      <c r="O3674" s="24">
        <f t="shared" si="4"/>
        <v>0</v>
      </c>
      <c r="P3674" s="24"/>
      <c r="Q3674" s="24">
        <f t="shared" si="6"/>
        <v>0</v>
      </c>
      <c r="R3674" s="24">
        <f t="shared" si="7"/>
        <v>0</v>
      </c>
      <c r="S3674" s="24"/>
      <c r="T3674" s="24"/>
    </row>
    <row r="3675">
      <c r="A3675" s="12" t="s">
        <v>3762</v>
      </c>
      <c r="F3675" s="19">
        <f>IFERROR(__xludf.DUMMYFUNCTION("SPLIT(A3671, "" |"")"),3669.0)</f>
        <v>3669</v>
      </c>
      <c r="G3675" s="19">
        <f>IFERROR(__xludf.DUMMYFUNCTION("""COMPUTED_VALUE"""),0.00233)</f>
        <v>0.00233</v>
      </c>
      <c r="H3675" s="19" t="str">
        <f>IFERROR(__xludf.DUMMYFUNCTION("""COMPUTED_VALUE"""),"-")</f>
        <v>-</v>
      </c>
      <c r="I3675" s="19">
        <f>IFERROR(__xludf.DUMMYFUNCTION("""COMPUTED_VALUE"""),0.00223)</f>
        <v>0.00223</v>
      </c>
      <c r="J3675" s="19">
        <f>IFERROR(__xludf.DUMMYFUNCTION("""COMPUTED_VALUE"""),0.04244)</f>
        <v>0.04244</v>
      </c>
      <c r="K3675" s="19" t="str">
        <f>IFERROR(__xludf.DUMMYFUNCTION("""COMPUTED_VALUE"""),"-")</f>
        <v>-</v>
      </c>
      <c r="L3675" s="19" t="str">
        <f>IFERROR(__xludf.DUMMYFUNCTION("""COMPUTED_VALUE"""),"-")</f>
        <v>-</v>
      </c>
      <c r="O3675" s="24">
        <f t="shared" si="4"/>
        <v>0</v>
      </c>
      <c r="P3675" s="24"/>
      <c r="Q3675" s="24">
        <f t="shared" si="6"/>
        <v>0</v>
      </c>
      <c r="R3675" s="24">
        <f t="shared" si="7"/>
        <v>1</v>
      </c>
      <c r="S3675" s="24"/>
      <c r="T3675" s="24"/>
    </row>
    <row r="3676">
      <c r="A3676" s="12" t="s">
        <v>3763</v>
      </c>
      <c r="F3676" s="19">
        <f>IFERROR(__xludf.DUMMYFUNCTION("SPLIT(A3672, "" |"")"),3670.0)</f>
        <v>3670</v>
      </c>
      <c r="G3676" s="19">
        <f>IFERROR(__xludf.DUMMYFUNCTION("""COMPUTED_VALUE"""),0.00247)</f>
        <v>0.00247</v>
      </c>
      <c r="H3676" s="19" t="str">
        <f>IFERROR(__xludf.DUMMYFUNCTION("""COMPUTED_VALUE"""),"-")</f>
        <v>-</v>
      </c>
      <c r="I3676" s="19">
        <f>IFERROR(__xludf.DUMMYFUNCTION("""COMPUTED_VALUE"""),0.0022)</f>
        <v>0.0022</v>
      </c>
      <c r="J3676" s="19">
        <f>IFERROR(__xludf.DUMMYFUNCTION("""COMPUTED_VALUE"""),0.04605)</f>
        <v>0.04605</v>
      </c>
      <c r="K3676" s="19" t="str">
        <f>IFERROR(__xludf.DUMMYFUNCTION("""COMPUTED_VALUE"""),"-")</f>
        <v>-</v>
      </c>
      <c r="L3676" s="19" t="str">
        <f>IFERROR(__xludf.DUMMYFUNCTION("""COMPUTED_VALUE"""),"-")</f>
        <v>-</v>
      </c>
      <c r="O3676" s="24">
        <f t="shared" si="4"/>
        <v>0</v>
      </c>
      <c r="P3676" s="24"/>
      <c r="Q3676" s="24">
        <f t="shared" si="6"/>
        <v>0</v>
      </c>
      <c r="R3676" s="24">
        <f t="shared" si="7"/>
        <v>0</v>
      </c>
      <c r="S3676" s="24"/>
      <c r="T3676" s="24"/>
    </row>
    <row r="3677">
      <c r="A3677" s="12" t="s">
        <v>3764</v>
      </c>
      <c r="F3677" s="19">
        <f>IFERROR(__xludf.DUMMYFUNCTION("SPLIT(A3673, "" |"")"),3671.0)</f>
        <v>3671</v>
      </c>
      <c r="G3677" s="19">
        <f>IFERROR(__xludf.DUMMYFUNCTION("""COMPUTED_VALUE"""),0.00236)</f>
        <v>0.00236</v>
      </c>
      <c r="H3677" s="19" t="str">
        <f>IFERROR(__xludf.DUMMYFUNCTION("""COMPUTED_VALUE"""),"-")</f>
        <v>-</v>
      </c>
      <c r="I3677" s="19">
        <f>IFERROR(__xludf.DUMMYFUNCTION("""COMPUTED_VALUE"""),0.00214)</f>
        <v>0.00214</v>
      </c>
      <c r="J3677" s="19">
        <f>IFERROR(__xludf.DUMMYFUNCTION("""COMPUTED_VALUE"""),0.04746)</f>
        <v>0.04746</v>
      </c>
      <c r="K3677" s="19" t="str">
        <f>IFERROR(__xludf.DUMMYFUNCTION("""COMPUTED_VALUE"""),"-")</f>
        <v>-</v>
      </c>
      <c r="L3677" s="19" t="str">
        <f>IFERROR(__xludf.DUMMYFUNCTION("""COMPUTED_VALUE"""),"-")</f>
        <v>-</v>
      </c>
      <c r="O3677" s="24">
        <f t="shared" si="4"/>
        <v>0</v>
      </c>
      <c r="P3677" s="24"/>
      <c r="Q3677" s="24">
        <f t="shared" si="6"/>
        <v>0</v>
      </c>
      <c r="R3677" s="24">
        <f t="shared" si="7"/>
        <v>0</v>
      </c>
      <c r="S3677" s="24"/>
      <c r="T3677" s="24"/>
    </row>
    <row r="3678">
      <c r="A3678" s="12" t="s">
        <v>3765</v>
      </c>
      <c r="F3678" s="19">
        <f>IFERROR(__xludf.DUMMYFUNCTION("SPLIT(A3674, "" |"")"),3672.0)</f>
        <v>3672</v>
      </c>
      <c r="G3678" s="19">
        <f>IFERROR(__xludf.DUMMYFUNCTION("""COMPUTED_VALUE"""),0.00229)</f>
        <v>0.00229</v>
      </c>
      <c r="H3678" s="19" t="str">
        <f>IFERROR(__xludf.DUMMYFUNCTION("""COMPUTED_VALUE"""),"-")</f>
        <v>-</v>
      </c>
      <c r="I3678" s="19">
        <f>IFERROR(__xludf.DUMMYFUNCTION("""COMPUTED_VALUE"""),0.00226)</f>
        <v>0.00226</v>
      </c>
      <c r="J3678" s="19">
        <f>IFERROR(__xludf.DUMMYFUNCTION("""COMPUTED_VALUE"""),0.04749)</f>
        <v>0.04749</v>
      </c>
      <c r="K3678" s="19" t="str">
        <f>IFERROR(__xludf.DUMMYFUNCTION("""COMPUTED_VALUE"""),"-")</f>
        <v>-</v>
      </c>
      <c r="L3678" s="19" t="str">
        <f>IFERROR(__xludf.DUMMYFUNCTION("""COMPUTED_VALUE"""),"-")</f>
        <v>-</v>
      </c>
      <c r="O3678" s="24">
        <f t="shared" si="4"/>
        <v>0</v>
      </c>
      <c r="P3678" s="24"/>
      <c r="Q3678" s="24">
        <f t="shared" si="6"/>
        <v>0</v>
      </c>
      <c r="R3678" s="24">
        <f t="shared" si="7"/>
        <v>0</v>
      </c>
      <c r="S3678" s="24"/>
      <c r="T3678" s="24"/>
    </row>
    <row r="3679">
      <c r="A3679" s="12" t="s">
        <v>3766</v>
      </c>
      <c r="F3679" s="19">
        <f>IFERROR(__xludf.DUMMYFUNCTION("SPLIT(A3675, "" |"")"),3673.0)</f>
        <v>3673</v>
      </c>
      <c r="G3679" s="19">
        <f>IFERROR(__xludf.DUMMYFUNCTION("""COMPUTED_VALUE"""),0.00233)</f>
        <v>0.00233</v>
      </c>
      <c r="H3679" s="19" t="str">
        <f>IFERROR(__xludf.DUMMYFUNCTION("""COMPUTED_VALUE"""),"-")</f>
        <v>-</v>
      </c>
      <c r="I3679" s="19">
        <f>IFERROR(__xludf.DUMMYFUNCTION("""COMPUTED_VALUE"""),0.00222)</f>
        <v>0.00222</v>
      </c>
      <c r="J3679" s="19">
        <f>IFERROR(__xludf.DUMMYFUNCTION("""COMPUTED_VALUE"""),0.04749)</f>
        <v>0.04749</v>
      </c>
      <c r="K3679" s="19" t="str">
        <f>IFERROR(__xludf.DUMMYFUNCTION("""COMPUTED_VALUE"""),"-")</f>
        <v>-</v>
      </c>
      <c r="L3679" s="19" t="str">
        <f>IFERROR(__xludf.DUMMYFUNCTION("""COMPUTED_VALUE"""),"-")</f>
        <v>-</v>
      </c>
      <c r="O3679" s="24">
        <f t="shared" si="4"/>
        <v>0</v>
      </c>
      <c r="P3679" s="24"/>
      <c r="Q3679" s="24">
        <f t="shared" si="6"/>
        <v>0</v>
      </c>
      <c r="R3679" s="24">
        <f t="shared" si="7"/>
        <v>0</v>
      </c>
      <c r="S3679" s="24"/>
      <c r="T3679" s="24"/>
    </row>
    <row r="3680">
      <c r="A3680" s="12" t="s">
        <v>3767</v>
      </c>
      <c r="F3680" s="19">
        <f>IFERROR(__xludf.DUMMYFUNCTION("SPLIT(A3676, "" |"")"),3674.0)</f>
        <v>3674</v>
      </c>
      <c r="G3680" s="19">
        <f>IFERROR(__xludf.DUMMYFUNCTION("""COMPUTED_VALUE"""),0.00236)</f>
        <v>0.00236</v>
      </c>
      <c r="H3680" s="19" t="str">
        <f>IFERROR(__xludf.DUMMYFUNCTION("""COMPUTED_VALUE"""),"-")</f>
        <v>-</v>
      </c>
      <c r="I3680" s="19">
        <f>IFERROR(__xludf.DUMMYFUNCTION("""COMPUTED_VALUE"""),0.00267)</f>
        <v>0.00267</v>
      </c>
      <c r="J3680" s="19">
        <f>IFERROR(__xludf.DUMMYFUNCTION("""COMPUTED_VALUE"""),0.04643)</f>
        <v>0.04643</v>
      </c>
      <c r="K3680" s="19" t="str">
        <f>IFERROR(__xludf.DUMMYFUNCTION("""COMPUTED_VALUE"""),"-")</f>
        <v>-</v>
      </c>
      <c r="L3680" s="19" t="str">
        <f>IFERROR(__xludf.DUMMYFUNCTION("""COMPUTED_VALUE"""),"-")</f>
        <v>-</v>
      </c>
      <c r="O3680" s="24">
        <f t="shared" si="4"/>
        <v>0</v>
      </c>
      <c r="P3680" s="24"/>
      <c r="Q3680" s="24">
        <f t="shared" si="6"/>
        <v>0</v>
      </c>
      <c r="R3680" s="24">
        <f t="shared" si="7"/>
        <v>0</v>
      </c>
      <c r="S3680" s="24"/>
      <c r="T3680" s="24"/>
    </row>
    <row r="3681">
      <c r="A3681" s="12" t="s">
        <v>3768</v>
      </c>
      <c r="F3681" s="19">
        <f>IFERROR(__xludf.DUMMYFUNCTION("SPLIT(A3677, "" |"")"),3675.0)</f>
        <v>3675</v>
      </c>
      <c r="G3681" s="19">
        <f>IFERROR(__xludf.DUMMYFUNCTION("""COMPUTED_VALUE"""),0.00248)</f>
        <v>0.00248</v>
      </c>
      <c r="H3681" s="19" t="str">
        <f>IFERROR(__xludf.DUMMYFUNCTION("""COMPUTED_VALUE"""),"-")</f>
        <v>-</v>
      </c>
      <c r="I3681" s="19">
        <f>IFERROR(__xludf.DUMMYFUNCTION("""COMPUTED_VALUE"""),0.00223)</f>
        <v>0.00223</v>
      </c>
      <c r="J3681" s="19">
        <f>IFERROR(__xludf.DUMMYFUNCTION("""COMPUTED_VALUE"""),0.04744)</f>
        <v>0.04744</v>
      </c>
      <c r="K3681" s="19" t="str">
        <f>IFERROR(__xludf.DUMMYFUNCTION("""COMPUTED_VALUE"""),"-")</f>
        <v>-</v>
      </c>
      <c r="L3681" s="19" t="str">
        <f>IFERROR(__xludf.DUMMYFUNCTION("""COMPUTED_VALUE"""),"-")</f>
        <v>-</v>
      </c>
      <c r="O3681" s="24">
        <f t="shared" si="4"/>
        <v>0</v>
      </c>
      <c r="P3681" s="24"/>
      <c r="Q3681" s="24">
        <f t="shared" si="6"/>
        <v>0</v>
      </c>
      <c r="R3681" s="24">
        <f t="shared" si="7"/>
        <v>0</v>
      </c>
      <c r="S3681" s="24"/>
      <c r="T3681" s="24"/>
    </row>
    <row r="3682">
      <c r="A3682" s="12" t="s">
        <v>3769</v>
      </c>
      <c r="F3682" s="19">
        <f>IFERROR(__xludf.DUMMYFUNCTION("SPLIT(A3678, "" |"")"),3676.0)</f>
        <v>3676</v>
      </c>
      <c r="G3682" s="19">
        <f>IFERROR(__xludf.DUMMYFUNCTION("""COMPUTED_VALUE"""),0.00242)</f>
        <v>0.00242</v>
      </c>
      <c r="H3682" s="19" t="str">
        <f>IFERROR(__xludf.DUMMYFUNCTION("""COMPUTED_VALUE"""),"-")</f>
        <v>-</v>
      </c>
      <c r="I3682" s="19">
        <f>IFERROR(__xludf.DUMMYFUNCTION("""COMPUTED_VALUE"""),0.00225)</f>
        <v>0.00225</v>
      </c>
      <c r="J3682" s="19">
        <f>IFERROR(__xludf.DUMMYFUNCTION("""COMPUTED_VALUE"""),0.04754)</f>
        <v>0.04754</v>
      </c>
      <c r="K3682" s="19" t="str">
        <f>IFERROR(__xludf.DUMMYFUNCTION("""COMPUTED_VALUE"""),"-")</f>
        <v>-</v>
      </c>
      <c r="L3682" s="19" t="str">
        <f>IFERROR(__xludf.DUMMYFUNCTION("""COMPUTED_VALUE"""),"-")</f>
        <v>-</v>
      </c>
      <c r="O3682" s="24">
        <f t="shared" si="4"/>
        <v>0</v>
      </c>
      <c r="P3682" s="24"/>
      <c r="Q3682" s="24">
        <f t="shared" si="6"/>
        <v>0</v>
      </c>
      <c r="R3682" s="24">
        <f t="shared" si="7"/>
        <v>0</v>
      </c>
      <c r="S3682" s="24"/>
      <c r="T3682" s="24"/>
    </row>
    <row r="3683">
      <c r="A3683" s="12" t="s">
        <v>3770</v>
      </c>
      <c r="F3683" s="19">
        <f>IFERROR(__xludf.DUMMYFUNCTION("SPLIT(A3679, "" |"")"),3677.0)</f>
        <v>3677</v>
      </c>
      <c r="G3683" s="19">
        <f>IFERROR(__xludf.DUMMYFUNCTION("""COMPUTED_VALUE"""),0.00236)</f>
        <v>0.00236</v>
      </c>
      <c r="H3683" s="19" t="str">
        <f>IFERROR(__xludf.DUMMYFUNCTION("""COMPUTED_VALUE"""),"-")</f>
        <v>-</v>
      </c>
      <c r="I3683" s="19">
        <f>IFERROR(__xludf.DUMMYFUNCTION("""COMPUTED_VALUE"""),0.00223)</f>
        <v>0.00223</v>
      </c>
      <c r="J3683" s="19">
        <f>IFERROR(__xludf.DUMMYFUNCTION("""COMPUTED_VALUE"""),0.0475)</f>
        <v>0.0475</v>
      </c>
      <c r="K3683" s="19" t="str">
        <f>IFERROR(__xludf.DUMMYFUNCTION("""COMPUTED_VALUE"""),"-")</f>
        <v>-</v>
      </c>
      <c r="L3683" s="19" t="str">
        <f>IFERROR(__xludf.DUMMYFUNCTION("""COMPUTED_VALUE"""),"-")</f>
        <v>-</v>
      </c>
      <c r="O3683" s="24">
        <f t="shared" si="4"/>
        <v>0</v>
      </c>
      <c r="P3683" s="24"/>
      <c r="Q3683" s="24">
        <f t="shared" si="6"/>
        <v>0</v>
      </c>
      <c r="R3683" s="24">
        <f t="shared" si="7"/>
        <v>0</v>
      </c>
      <c r="S3683" s="24"/>
      <c r="T3683" s="24"/>
    </row>
    <row r="3684">
      <c r="A3684" s="12" t="s">
        <v>3771</v>
      </c>
      <c r="F3684" s="19">
        <f>IFERROR(__xludf.DUMMYFUNCTION("SPLIT(A3680, "" |"")"),3678.0)</f>
        <v>3678</v>
      </c>
      <c r="G3684" s="19">
        <f>IFERROR(__xludf.DUMMYFUNCTION("""COMPUTED_VALUE"""),0.00248)</f>
        <v>0.00248</v>
      </c>
      <c r="H3684" s="19" t="str">
        <f>IFERROR(__xludf.DUMMYFUNCTION("""COMPUTED_VALUE"""),"-")</f>
        <v>-</v>
      </c>
      <c r="I3684" s="19">
        <f>IFERROR(__xludf.DUMMYFUNCTION("""COMPUTED_VALUE"""),0.00225)</f>
        <v>0.00225</v>
      </c>
      <c r="J3684" s="19">
        <f>IFERROR(__xludf.DUMMYFUNCTION("""COMPUTED_VALUE"""),0.04744)</f>
        <v>0.04744</v>
      </c>
      <c r="K3684" s="19" t="str">
        <f>IFERROR(__xludf.DUMMYFUNCTION("""COMPUTED_VALUE"""),"-")</f>
        <v>-</v>
      </c>
      <c r="L3684" s="19" t="str">
        <f>IFERROR(__xludf.DUMMYFUNCTION("""COMPUTED_VALUE"""),"-")</f>
        <v>-</v>
      </c>
      <c r="O3684" s="24">
        <f t="shared" si="4"/>
        <v>0</v>
      </c>
      <c r="P3684" s="24"/>
      <c r="Q3684" s="24">
        <f t="shared" si="6"/>
        <v>0</v>
      </c>
      <c r="R3684" s="24">
        <f t="shared" si="7"/>
        <v>0</v>
      </c>
      <c r="S3684" s="24"/>
      <c r="T3684" s="24"/>
    </row>
    <row r="3685">
      <c r="A3685" s="12" t="s">
        <v>3772</v>
      </c>
      <c r="F3685" s="19">
        <f>IFERROR(__xludf.DUMMYFUNCTION("SPLIT(A3681, "" |"")"),3679.0)</f>
        <v>3679</v>
      </c>
      <c r="G3685" s="19">
        <f>IFERROR(__xludf.DUMMYFUNCTION("""COMPUTED_VALUE"""),0.00231)</f>
        <v>0.00231</v>
      </c>
      <c r="H3685" s="19" t="str">
        <f>IFERROR(__xludf.DUMMYFUNCTION("""COMPUTED_VALUE"""),"-")</f>
        <v>-</v>
      </c>
      <c r="I3685" s="19">
        <f>IFERROR(__xludf.DUMMYFUNCTION("""COMPUTED_VALUE"""),0.00222)</f>
        <v>0.00222</v>
      </c>
      <c r="J3685" s="19">
        <f>IFERROR(__xludf.DUMMYFUNCTION("""COMPUTED_VALUE"""),0.0474)</f>
        <v>0.0474</v>
      </c>
      <c r="K3685" s="19" t="str">
        <f>IFERROR(__xludf.DUMMYFUNCTION("""COMPUTED_VALUE"""),"-")</f>
        <v>-</v>
      </c>
      <c r="L3685" s="19" t="str">
        <f>IFERROR(__xludf.DUMMYFUNCTION("""COMPUTED_VALUE"""),"-")</f>
        <v>-</v>
      </c>
      <c r="O3685" s="24">
        <f t="shared" si="4"/>
        <v>0</v>
      </c>
      <c r="P3685" s="24"/>
      <c r="Q3685" s="24">
        <f t="shared" si="6"/>
        <v>0</v>
      </c>
      <c r="R3685" s="24">
        <f t="shared" si="7"/>
        <v>0</v>
      </c>
      <c r="S3685" s="24"/>
      <c r="T3685" s="24"/>
    </row>
    <row r="3686">
      <c r="A3686" s="12" t="s">
        <v>3773</v>
      </c>
      <c r="F3686" s="19">
        <f>IFERROR(__xludf.DUMMYFUNCTION("SPLIT(A3682, "" |"")"),3680.0)</f>
        <v>3680</v>
      </c>
      <c r="G3686" s="19">
        <f>IFERROR(__xludf.DUMMYFUNCTION("""COMPUTED_VALUE"""),0.00238)</f>
        <v>0.00238</v>
      </c>
      <c r="H3686" s="19" t="str">
        <f>IFERROR(__xludf.DUMMYFUNCTION("""COMPUTED_VALUE"""),"-")</f>
        <v>-</v>
      </c>
      <c r="I3686" s="19">
        <f>IFERROR(__xludf.DUMMYFUNCTION("""COMPUTED_VALUE"""),0.00225)</f>
        <v>0.00225</v>
      </c>
      <c r="J3686" s="19">
        <f>IFERROR(__xludf.DUMMYFUNCTION("""COMPUTED_VALUE"""),0.04737)</f>
        <v>0.04737</v>
      </c>
      <c r="K3686" s="19" t="str">
        <f>IFERROR(__xludf.DUMMYFUNCTION("""COMPUTED_VALUE"""),"-")</f>
        <v>-</v>
      </c>
      <c r="L3686" s="19" t="str">
        <f>IFERROR(__xludf.DUMMYFUNCTION("""COMPUTED_VALUE"""),"-")</f>
        <v>-</v>
      </c>
      <c r="O3686" s="24">
        <f t="shared" si="4"/>
        <v>0</v>
      </c>
      <c r="P3686" s="24"/>
      <c r="Q3686" s="24">
        <f t="shared" si="6"/>
        <v>0</v>
      </c>
      <c r="R3686" s="24">
        <f t="shared" si="7"/>
        <v>0</v>
      </c>
      <c r="S3686" s="24"/>
      <c r="T3686" s="24"/>
    </row>
    <row r="3687">
      <c r="A3687" s="12" t="s">
        <v>3774</v>
      </c>
      <c r="F3687" s="19">
        <f>IFERROR(__xludf.DUMMYFUNCTION("SPLIT(A3683, "" |"")"),3681.0)</f>
        <v>3681</v>
      </c>
      <c r="G3687" s="19">
        <f>IFERROR(__xludf.DUMMYFUNCTION("""COMPUTED_VALUE"""),0.00242)</f>
        <v>0.00242</v>
      </c>
      <c r="H3687" s="19" t="str">
        <f>IFERROR(__xludf.DUMMYFUNCTION("""COMPUTED_VALUE"""),"-")</f>
        <v>-</v>
      </c>
      <c r="I3687" s="19">
        <f>IFERROR(__xludf.DUMMYFUNCTION("""COMPUTED_VALUE"""),0.00224)</f>
        <v>0.00224</v>
      </c>
      <c r="J3687" s="19">
        <f>IFERROR(__xludf.DUMMYFUNCTION("""COMPUTED_VALUE"""),0.04747)</f>
        <v>0.04747</v>
      </c>
      <c r="K3687" s="19" t="str">
        <f>IFERROR(__xludf.DUMMYFUNCTION("""COMPUTED_VALUE"""),"-")</f>
        <v>-</v>
      </c>
      <c r="L3687" s="19" t="str">
        <f>IFERROR(__xludf.DUMMYFUNCTION("""COMPUTED_VALUE"""),"-")</f>
        <v>-</v>
      </c>
      <c r="O3687" s="24">
        <f t="shared" si="4"/>
        <v>0</v>
      </c>
      <c r="P3687" s="24"/>
      <c r="Q3687" s="24">
        <f t="shared" si="6"/>
        <v>0</v>
      </c>
      <c r="R3687" s="24">
        <f t="shared" si="7"/>
        <v>0</v>
      </c>
      <c r="S3687" s="24"/>
      <c r="T3687" s="24"/>
    </row>
    <row r="3688">
      <c r="A3688" s="12" t="s">
        <v>3775</v>
      </c>
      <c r="F3688" s="19">
        <f>IFERROR(__xludf.DUMMYFUNCTION("SPLIT(A3684, "" |"")"),3682.0)</f>
        <v>3682</v>
      </c>
      <c r="G3688" s="19">
        <f>IFERROR(__xludf.DUMMYFUNCTION("""COMPUTED_VALUE"""),0.00238)</f>
        <v>0.00238</v>
      </c>
      <c r="H3688" s="19" t="str">
        <f>IFERROR(__xludf.DUMMYFUNCTION("""COMPUTED_VALUE"""),"-")</f>
        <v>-</v>
      </c>
      <c r="I3688" s="19">
        <f>IFERROR(__xludf.DUMMYFUNCTION("""COMPUTED_VALUE"""),0.00221)</f>
        <v>0.00221</v>
      </c>
      <c r="J3688" s="19">
        <f>IFERROR(__xludf.DUMMYFUNCTION("""COMPUTED_VALUE"""),0.04748)</f>
        <v>0.04748</v>
      </c>
      <c r="K3688" s="19" t="str">
        <f>IFERROR(__xludf.DUMMYFUNCTION("""COMPUTED_VALUE"""),"-")</f>
        <v>-</v>
      </c>
      <c r="L3688" s="19" t="str">
        <f>IFERROR(__xludf.DUMMYFUNCTION("""COMPUTED_VALUE"""),"-")</f>
        <v>-</v>
      </c>
      <c r="O3688" s="24">
        <f t="shared" si="4"/>
        <v>0</v>
      </c>
      <c r="P3688" s="24"/>
      <c r="Q3688" s="24">
        <f t="shared" si="6"/>
        <v>0</v>
      </c>
      <c r="R3688" s="24">
        <f t="shared" si="7"/>
        <v>0</v>
      </c>
      <c r="S3688" s="24"/>
      <c r="T3688" s="24"/>
    </row>
    <row r="3689">
      <c r="A3689" s="12" t="s">
        <v>3776</v>
      </c>
      <c r="F3689" s="19">
        <f>IFERROR(__xludf.DUMMYFUNCTION("SPLIT(A3685, "" |"")"),3683.0)</f>
        <v>3683</v>
      </c>
      <c r="G3689" s="19">
        <f>IFERROR(__xludf.DUMMYFUNCTION("""COMPUTED_VALUE"""),0.00233)</f>
        <v>0.00233</v>
      </c>
      <c r="H3689" s="19" t="str">
        <f>IFERROR(__xludf.DUMMYFUNCTION("""COMPUTED_VALUE"""),"-")</f>
        <v>-</v>
      </c>
      <c r="I3689" s="19">
        <f>IFERROR(__xludf.DUMMYFUNCTION("""COMPUTED_VALUE"""),0.00221)</f>
        <v>0.00221</v>
      </c>
      <c r="J3689" s="19">
        <f>IFERROR(__xludf.DUMMYFUNCTION("""COMPUTED_VALUE"""),0.04747)</f>
        <v>0.04747</v>
      </c>
      <c r="K3689" s="19" t="str">
        <f>IFERROR(__xludf.DUMMYFUNCTION("""COMPUTED_VALUE"""),"-")</f>
        <v>-</v>
      </c>
      <c r="L3689" s="19" t="str">
        <f>IFERROR(__xludf.DUMMYFUNCTION("""COMPUTED_VALUE"""),"-")</f>
        <v>-</v>
      </c>
      <c r="O3689" s="24">
        <f t="shared" si="4"/>
        <v>0</v>
      </c>
      <c r="P3689" s="24"/>
      <c r="Q3689" s="24">
        <f t="shared" si="6"/>
        <v>0</v>
      </c>
      <c r="R3689" s="24">
        <f t="shared" si="7"/>
        <v>0</v>
      </c>
      <c r="S3689" s="24"/>
      <c r="T3689" s="24"/>
    </row>
    <row r="3690">
      <c r="A3690" s="12" t="s">
        <v>3777</v>
      </c>
      <c r="F3690" s="19">
        <f>IFERROR(__xludf.DUMMYFUNCTION("SPLIT(A3686, "" |"")"),3684.0)</f>
        <v>3684</v>
      </c>
      <c r="G3690" s="19">
        <f>IFERROR(__xludf.DUMMYFUNCTION("""COMPUTED_VALUE"""),0.00234)</f>
        <v>0.00234</v>
      </c>
      <c r="H3690" s="19" t="str">
        <f>IFERROR(__xludf.DUMMYFUNCTION("""COMPUTED_VALUE"""),"-")</f>
        <v>-</v>
      </c>
      <c r="I3690" s="19">
        <f>IFERROR(__xludf.DUMMYFUNCTION("""COMPUTED_VALUE"""),0.00221)</f>
        <v>0.00221</v>
      </c>
      <c r="J3690" s="19">
        <f>IFERROR(__xludf.DUMMYFUNCTION("""COMPUTED_VALUE"""),0.0474)</f>
        <v>0.0474</v>
      </c>
      <c r="K3690" s="19" t="str">
        <f>IFERROR(__xludf.DUMMYFUNCTION("""COMPUTED_VALUE"""),"-")</f>
        <v>-</v>
      </c>
      <c r="L3690" s="19" t="str">
        <f>IFERROR(__xludf.DUMMYFUNCTION("""COMPUTED_VALUE"""),"-")</f>
        <v>-</v>
      </c>
      <c r="O3690" s="24">
        <f t="shared" si="4"/>
        <v>0</v>
      </c>
      <c r="P3690" s="24"/>
      <c r="Q3690" s="24">
        <f t="shared" si="6"/>
        <v>0</v>
      </c>
      <c r="R3690" s="24">
        <f t="shared" si="7"/>
        <v>0</v>
      </c>
      <c r="S3690" s="24"/>
      <c r="T3690" s="24"/>
    </row>
    <row r="3691">
      <c r="A3691" s="12" t="s">
        <v>3778</v>
      </c>
      <c r="F3691" s="19">
        <f>IFERROR(__xludf.DUMMYFUNCTION("SPLIT(A3687, "" |"")"),3685.0)</f>
        <v>3685</v>
      </c>
      <c r="G3691" s="19">
        <f>IFERROR(__xludf.DUMMYFUNCTION("""COMPUTED_VALUE"""),0.00235)</f>
        <v>0.00235</v>
      </c>
      <c r="H3691" s="19" t="str">
        <f>IFERROR(__xludf.DUMMYFUNCTION("""COMPUTED_VALUE"""),"-")</f>
        <v>-</v>
      </c>
      <c r="I3691" s="19">
        <f>IFERROR(__xludf.DUMMYFUNCTION("""COMPUTED_VALUE"""),0.00224)</f>
        <v>0.00224</v>
      </c>
      <c r="J3691" s="19">
        <f>IFERROR(__xludf.DUMMYFUNCTION("""COMPUTED_VALUE"""),0.04747)</f>
        <v>0.04747</v>
      </c>
      <c r="K3691" s="19" t="str">
        <f>IFERROR(__xludf.DUMMYFUNCTION("""COMPUTED_VALUE"""),"-")</f>
        <v>-</v>
      </c>
      <c r="L3691" s="19" t="str">
        <f>IFERROR(__xludf.DUMMYFUNCTION("""COMPUTED_VALUE"""),"-")</f>
        <v>-</v>
      </c>
      <c r="O3691" s="24">
        <f t="shared" si="4"/>
        <v>0</v>
      </c>
      <c r="P3691" s="24"/>
      <c r="Q3691" s="24">
        <f t="shared" si="6"/>
        <v>0</v>
      </c>
      <c r="R3691" s="24">
        <f t="shared" si="7"/>
        <v>0</v>
      </c>
      <c r="S3691" s="24"/>
      <c r="T3691" s="24"/>
    </row>
    <row r="3692">
      <c r="A3692" s="12" t="s">
        <v>3779</v>
      </c>
      <c r="F3692" s="19">
        <f>IFERROR(__xludf.DUMMYFUNCTION("SPLIT(A3688, "" |"")"),3686.0)</f>
        <v>3686</v>
      </c>
      <c r="G3692" s="19">
        <f>IFERROR(__xludf.DUMMYFUNCTION("""COMPUTED_VALUE"""),0.00236)</f>
        <v>0.00236</v>
      </c>
      <c r="H3692" s="19" t="str">
        <f>IFERROR(__xludf.DUMMYFUNCTION("""COMPUTED_VALUE"""),"-")</f>
        <v>-</v>
      </c>
      <c r="I3692" s="19">
        <f>IFERROR(__xludf.DUMMYFUNCTION("""COMPUTED_VALUE"""),0.00222)</f>
        <v>0.00222</v>
      </c>
      <c r="J3692" s="19">
        <f>IFERROR(__xludf.DUMMYFUNCTION("""COMPUTED_VALUE"""),0.04739)</f>
        <v>0.04739</v>
      </c>
      <c r="K3692" s="19" t="str">
        <f>IFERROR(__xludf.DUMMYFUNCTION("""COMPUTED_VALUE"""),"-")</f>
        <v>-</v>
      </c>
      <c r="L3692" s="19" t="str">
        <f>IFERROR(__xludf.DUMMYFUNCTION("""COMPUTED_VALUE"""),"-")</f>
        <v>-</v>
      </c>
      <c r="O3692" s="24">
        <f t="shared" si="4"/>
        <v>0</v>
      </c>
      <c r="P3692" s="24"/>
      <c r="Q3692" s="24">
        <f t="shared" si="6"/>
        <v>0</v>
      </c>
      <c r="R3692" s="24">
        <f t="shared" si="7"/>
        <v>0</v>
      </c>
      <c r="S3692" s="24"/>
      <c r="T3692" s="24"/>
    </row>
    <row r="3693">
      <c r="A3693" s="12" t="s">
        <v>3780</v>
      </c>
      <c r="F3693" s="19">
        <f>IFERROR(__xludf.DUMMYFUNCTION("SPLIT(A3689, "" |"")"),3687.0)</f>
        <v>3687</v>
      </c>
      <c r="G3693" s="19">
        <f>IFERROR(__xludf.DUMMYFUNCTION("""COMPUTED_VALUE"""),0.00233)</f>
        <v>0.00233</v>
      </c>
      <c r="H3693" s="19" t="str">
        <f>IFERROR(__xludf.DUMMYFUNCTION("""COMPUTED_VALUE"""),"-")</f>
        <v>-</v>
      </c>
      <c r="I3693" s="19">
        <f>IFERROR(__xludf.DUMMYFUNCTION("""COMPUTED_VALUE"""),0.00225)</f>
        <v>0.00225</v>
      </c>
      <c r="J3693" s="19">
        <f>IFERROR(__xludf.DUMMYFUNCTION("""COMPUTED_VALUE"""),0.04749)</f>
        <v>0.04749</v>
      </c>
      <c r="K3693" s="19" t="str">
        <f>IFERROR(__xludf.DUMMYFUNCTION("""COMPUTED_VALUE"""),"-")</f>
        <v>-</v>
      </c>
      <c r="L3693" s="19" t="str">
        <f>IFERROR(__xludf.DUMMYFUNCTION("""COMPUTED_VALUE"""),"-")</f>
        <v>-</v>
      </c>
      <c r="O3693" s="24">
        <f t="shared" si="4"/>
        <v>0</v>
      </c>
      <c r="P3693" s="24"/>
      <c r="Q3693" s="24">
        <f t="shared" si="6"/>
        <v>0</v>
      </c>
      <c r="R3693" s="24">
        <f t="shared" si="7"/>
        <v>0</v>
      </c>
      <c r="S3693" s="24"/>
      <c r="T3693" s="24"/>
    </row>
    <row r="3694">
      <c r="A3694" s="12" t="s">
        <v>3781</v>
      </c>
      <c r="F3694" s="19">
        <f>IFERROR(__xludf.DUMMYFUNCTION("SPLIT(A3690, "" |"")"),3688.0)</f>
        <v>3688</v>
      </c>
      <c r="G3694" s="19">
        <f>IFERROR(__xludf.DUMMYFUNCTION("""COMPUTED_VALUE"""),0.00234)</f>
        <v>0.00234</v>
      </c>
      <c r="H3694" s="19" t="str">
        <f>IFERROR(__xludf.DUMMYFUNCTION("""COMPUTED_VALUE"""),"-")</f>
        <v>-</v>
      </c>
      <c r="I3694" s="19">
        <f>IFERROR(__xludf.DUMMYFUNCTION("""COMPUTED_VALUE"""),0.00222)</f>
        <v>0.00222</v>
      </c>
      <c r="J3694" s="19">
        <f>IFERROR(__xludf.DUMMYFUNCTION("""COMPUTED_VALUE"""),0.04748)</f>
        <v>0.04748</v>
      </c>
      <c r="K3694" s="19" t="str">
        <f>IFERROR(__xludf.DUMMYFUNCTION("""COMPUTED_VALUE"""),"-")</f>
        <v>-</v>
      </c>
      <c r="L3694" s="19" t="str">
        <f>IFERROR(__xludf.DUMMYFUNCTION("""COMPUTED_VALUE"""),"-")</f>
        <v>-</v>
      </c>
      <c r="O3694" s="24">
        <f t="shared" si="4"/>
        <v>0</v>
      </c>
      <c r="P3694" s="24"/>
      <c r="Q3694" s="24">
        <f t="shared" si="6"/>
        <v>0</v>
      </c>
      <c r="R3694" s="24">
        <f t="shared" si="7"/>
        <v>0</v>
      </c>
      <c r="S3694" s="24"/>
      <c r="T3694" s="24"/>
    </row>
    <row r="3695">
      <c r="A3695" s="12" t="s">
        <v>3782</v>
      </c>
      <c r="F3695" s="19">
        <f>IFERROR(__xludf.DUMMYFUNCTION("SPLIT(A3691, "" |"")"),3689.0)</f>
        <v>3689</v>
      </c>
      <c r="G3695" s="19">
        <f>IFERROR(__xludf.DUMMYFUNCTION("""COMPUTED_VALUE"""),0.00236)</f>
        <v>0.00236</v>
      </c>
      <c r="H3695" s="19" t="str">
        <f>IFERROR(__xludf.DUMMYFUNCTION("""COMPUTED_VALUE"""),"-")</f>
        <v>-</v>
      </c>
      <c r="I3695" s="19">
        <f>IFERROR(__xludf.DUMMYFUNCTION("""COMPUTED_VALUE"""),0.00217)</f>
        <v>0.00217</v>
      </c>
      <c r="J3695" s="19">
        <f>IFERROR(__xludf.DUMMYFUNCTION("""COMPUTED_VALUE"""),0.0471)</f>
        <v>0.0471</v>
      </c>
      <c r="K3695" s="19" t="str">
        <f>IFERROR(__xludf.DUMMYFUNCTION("""COMPUTED_VALUE"""),"-")</f>
        <v>-</v>
      </c>
      <c r="L3695" s="19" t="str">
        <f>IFERROR(__xludf.DUMMYFUNCTION("""COMPUTED_VALUE"""),"-")</f>
        <v>-</v>
      </c>
      <c r="O3695" s="24">
        <f t="shared" si="4"/>
        <v>0</v>
      </c>
      <c r="P3695" s="24"/>
      <c r="Q3695" s="24">
        <f t="shared" si="6"/>
        <v>0</v>
      </c>
      <c r="R3695" s="24">
        <f t="shared" si="7"/>
        <v>0</v>
      </c>
      <c r="S3695" s="24"/>
      <c r="T3695" s="24"/>
    </row>
    <row r="3696">
      <c r="A3696" s="12" t="s">
        <v>3783</v>
      </c>
      <c r="F3696" s="19">
        <f>IFERROR(__xludf.DUMMYFUNCTION("SPLIT(A3692, "" |"")"),3690.0)</f>
        <v>3690</v>
      </c>
      <c r="G3696" s="19">
        <f>IFERROR(__xludf.DUMMYFUNCTION("""COMPUTED_VALUE"""),0.00254)</f>
        <v>0.00254</v>
      </c>
      <c r="H3696" s="19" t="str">
        <f>IFERROR(__xludf.DUMMYFUNCTION("""COMPUTED_VALUE"""),"-")</f>
        <v>-</v>
      </c>
      <c r="I3696" s="19">
        <f>IFERROR(__xludf.DUMMYFUNCTION("""COMPUTED_VALUE"""),0.00229)</f>
        <v>0.00229</v>
      </c>
      <c r="J3696" s="19">
        <f>IFERROR(__xludf.DUMMYFUNCTION("""COMPUTED_VALUE"""),0.04497)</f>
        <v>0.04497</v>
      </c>
      <c r="K3696" s="19" t="str">
        <f>IFERROR(__xludf.DUMMYFUNCTION("""COMPUTED_VALUE"""),"-")</f>
        <v>-</v>
      </c>
      <c r="L3696" s="19" t="str">
        <f>IFERROR(__xludf.DUMMYFUNCTION("""COMPUTED_VALUE"""),"-")</f>
        <v>-</v>
      </c>
      <c r="O3696" s="24">
        <f t="shared" si="4"/>
        <v>0</v>
      </c>
      <c r="P3696" s="24"/>
      <c r="Q3696" s="24">
        <f t="shared" si="6"/>
        <v>0</v>
      </c>
      <c r="R3696" s="24">
        <f t="shared" si="7"/>
        <v>0</v>
      </c>
      <c r="S3696" s="24"/>
      <c r="T3696" s="24"/>
    </row>
    <row r="3697">
      <c r="A3697" s="12" t="s">
        <v>3784</v>
      </c>
      <c r="F3697" s="19">
        <f>IFERROR(__xludf.DUMMYFUNCTION("SPLIT(A3693, "" |"")"),3691.0)</f>
        <v>3691</v>
      </c>
      <c r="G3697" s="19">
        <f>IFERROR(__xludf.DUMMYFUNCTION("""COMPUTED_VALUE"""),0.00229)</f>
        <v>0.00229</v>
      </c>
      <c r="H3697" s="19" t="str">
        <f>IFERROR(__xludf.DUMMYFUNCTION("""COMPUTED_VALUE"""),"-")</f>
        <v>-</v>
      </c>
      <c r="I3697" s="19">
        <f>IFERROR(__xludf.DUMMYFUNCTION("""COMPUTED_VALUE"""),0.00223)</f>
        <v>0.00223</v>
      </c>
      <c r="J3697" s="19">
        <f>IFERROR(__xludf.DUMMYFUNCTION("""COMPUTED_VALUE"""),0.04704)</f>
        <v>0.04704</v>
      </c>
      <c r="K3697" s="19" t="str">
        <f>IFERROR(__xludf.DUMMYFUNCTION("""COMPUTED_VALUE"""),"-")</f>
        <v>-</v>
      </c>
      <c r="L3697" s="19" t="str">
        <f>IFERROR(__xludf.DUMMYFUNCTION("""COMPUTED_VALUE"""),"-")</f>
        <v>-</v>
      </c>
      <c r="O3697" s="24">
        <f t="shared" si="4"/>
        <v>0</v>
      </c>
      <c r="P3697" s="24"/>
      <c r="Q3697" s="24">
        <f t="shared" si="6"/>
        <v>0</v>
      </c>
      <c r="R3697" s="24">
        <f t="shared" si="7"/>
        <v>0</v>
      </c>
      <c r="S3697" s="24"/>
      <c r="T3697" s="24"/>
    </row>
    <row r="3698">
      <c r="A3698" s="12" t="s">
        <v>3785</v>
      </c>
      <c r="F3698" s="19">
        <f>IFERROR(__xludf.DUMMYFUNCTION("SPLIT(A3694, "" |"")"),3692.0)</f>
        <v>3692</v>
      </c>
      <c r="G3698" s="19">
        <f>IFERROR(__xludf.DUMMYFUNCTION("""COMPUTED_VALUE"""),0.00235)</f>
        <v>0.00235</v>
      </c>
      <c r="H3698" s="19" t="str">
        <f>IFERROR(__xludf.DUMMYFUNCTION("""COMPUTED_VALUE"""),"-")</f>
        <v>-</v>
      </c>
      <c r="I3698" s="19">
        <f>IFERROR(__xludf.DUMMYFUNCTION("""COMPUTED_VALUE"""),0.00223)</f>
        <v>0.00223</v>
      </c>
      <c r="J3698" s="19">
        <f>IFERROR(__xludf.DUMMYFUNCTION("""COMPUTED_VALUE"""),0.04638)</f>
        <v>0.04638</v>
      </c>
      <c r="K3698" s="19" t="str">
        <f>IFERROR(__xludf.DUMMYFUNCTION("""COMPUTED_VALUE"""),"-")</f>
        <v>-</v>
      </c>
      <c r="L3698" s="19" t="str">
        <f>IFERROR(__xludf.DUMMYFUNCTION("""COMPUTED_VALUE"""),"-")</f>
        <v>-</v>
      </c>
      <c r="O3698" s="24">
        <f t="shared" si="4"/>
        <v>0</v>
      </c>
      <c r="P3698" s="24"/>
      <c r="Q3698" s="24">
        <f t="shared" si="6"/>
        <v>0</v>
      </c>
      <c r="R3698" s="24">
        <f t="shared" si="7"/>
        <v>0</v>
      </c>
      <c r="S3698" s="24"/>
      <c r="T3698" s="24"/>
    </row>
    <row r="3699">
      <c r="A3699" s="12" t="s">
        <v>3786</v>
      </c>
      <c r="F3699" s="19">
        <f>IFERROR(__xludf.DUMMYFUNCTION("SPLIT(A3695, "" |"")"),3693.0)</f>
        <v>3693</v>
      </c>
      <c r="G3699" s="19">
        <f>IFERROR(__xludf.DUMMYFUNCTION("""COMPUTED_VALUE"""),0.00229)</f>
        <v>0.00229</v>
      </c>
      <c r="H3699" s="19" t="str">
        <f>IFERROR(__xludf.DUMMYFUNCTION("""COMPUTED_VALUE"""),"-")</f>
        <v>-</v>
      </c>
      <c r="I3699" s="19">
        <f>IFERROR(__xludf.DUMMYFUNCTION("""COMPUTED_VALUE"""),0.00218)</f>
        <v>0.00218</v>
      </c>
      <c r="J3699" s="19">
        <f>IFERROR(__xludf.DUMMYFUNCTION("""COMPUTED_VALUE"""),0.04409)</f>
        <v>0.04409</v>
      </c>
      <c r="K3699" s="19" t="str">
        <f>IFERROR(__xludf.DUMMYFUNCTION("""COMPUTED_VALUE"""),"-")</f>
        <v>-</v>
      </c>
      <c r="L3699" s="19" t="str">
        <f>IFERROR(__xludf.DUMMYFUNCTION("""COMPUTED_VALUE"""),"-")</f>
        <v>-</v>
      </c>
      <c r="O3699" s="24">
        <f t="shared" si="4"/>
        <v>0</v>
      </c>
      <c r="P3699" s="24"/>
      <c r="Q3699" s="24">
        <f t="shared" si="6"/>
        <v>0</v>
      </c>
      <c r="R3699" s="24">
        <f t="shared" si="7"/>
        <v>1</v>
      </c>
      <c r="S3699" s="24"/>
      <c r="T3699" s="24"/>
    </row>
    <row r="3700">
      <c r="A3700" s="12" t="s">
        <v>3787</v>
      </c>
      <c r="F3700" s="19">
        <f>IFERROR(__xludf.DUMMYFUNCTION("SPLIT(A3696, "" |"")"),3694.0)</f>
        <v>3694</v>
      </c>
      <c r="G3700" s="19">
        <f>IFERROR(__xludf.DUMMYFUNCTION("""COMPUTED_VALUE"""),0.00235)</f>
        <v>0.00235</v>
      </c>
      <c r="H3700" s="19" t="str">
        <f>IFERROR(__xludf.DUMMYFUNCTION("""COMPUTED_VALUE"""),"-")</f>
        <v>-</v>
      </c>
      <c r="I3700" s="19">
        <f>IFERROR(__xludf.DUMMYFUNCTION("""COMPUTED_VALUE"""),0.00222)</f>
        <v>0.00222</v>
      </c>
      <c r="J3700" s="19">
        <f>IFERROR(__xludf.DUMMYFUNCTION("""COMPUTED_VALUE"""),0.04744)</f>
        <v>0.04744</v>
      </c>
      <c r="K3700" s="19" t="str">
        <f>IFERROR(__xludf.DUMMYFUNCTION("""COMPUTED_VALUE"""),"-")</f>
        <v>-</v>
      </c>
      <c r="L3700" s="19" t="str">
        <f>IFERROR(__xludf.DUMMYFUNCTION("""COMPUTED_VALUE"""),"-")</f>
        <v>-</v>
      </c>
      <c r="O3700" s="24">
        <f t="shared" si="4"/>
        <v>0</v>
      </c>
      <c r="P3700" s="24"/>
      <c r="Q3700" s="24">
        <f t="shared" si="6"/>
        <v>0</v>
      </c>
      <c r="R3700" s="24">
        <f t="shared" si="7"/>
        <v>0</v>
      </c>
      <c r="S3700" s="24"/>
      <c r="T3700" s="24"/>
    </row>
    <row r="3701">
      <c r="A3701" s="12" t="s">
        <v>3788</v>
      </c>
      <c r="F3701" s="19">
        <f>IFERROR(__xludf.DUMMYFUNCTION("SPLIT(A3697, "" |"")"),3695.0)</f>
        <v>3695</v>
      </c>
      <c r="G3701" s="19">
        <f>IFERROR(__xludf.DUMMYFUNCTION("""COMPUTED_VALUE"""),0.0023)</f>
        <v>0.0023</v>
      </c>
      <c r="H3701" s="19" t="str">
        <f>IFERROR(__xludf.DUMMYFUNCTION("""COMPUTED_VALUE"""),"-")</f>
        <v>-</v>
      </c>
      <c r="I3701" s="19">
        <f>IFERROR(__xludf.DUMMYFUNCTION("""COMPUTED_VALUE"""),0.00225)</f>
        <v>0.00225</v>
      </c>
      <c r="J3701" s="19">
        <f>IFERROR(__xludf.DUMMYFUNCTION("""COMPUTED_VALUE"""),0.04398)</f>
        <v>0.04398</v>
      </c>
      <c r="K3701" s="19" t="str">
        <f>IFERROR(__xludf.DUMMYFUNCTION("""COMPUTED_VALUE"""),"-")</f>
        <v>-</v>
      </c>
      <c r="L3701" s="19" t="str">
        <f>IFERROR(__xludf.DUMMYFUNCTION("""COMPUTED_VALUE"""),"-")</f>
        <v>-</v>
      </c>
      <c r="O3701" s="24">
        <f t="shared" si="4"/>
        <v>0</v>
      </c>
      <c r="P3701" s="24"/>
      <c r="Q3701" s="24">
        <f t="shared" si="6"/>
        <v>0</v>
      </c>
      <c r="R3701" s="24">
        <f t="shared" si="7"/>
        <v>1</v>
      </c>
      <c r="S3701" s="24"/>
      <c r="T3701" s="24"/>
    </row>
    <row r="3702">
      <c r="A3702" s="12" t="s">
        <v>3789</v>
      </c>
      <c r="F3702" s="19">
        <f>IFERROR(__xludf.DUMMYFUNCTION("SPLIT(A3698, "" |"")"),3696.0)</f>
        <v>3696</v>
      </c>
      <c r="G3702" s="19">
        <f>IFERROR(__xludf.DUMMYFUNCTION("""COMPUTED_VALUE"""),0.00239)</f>
        <v>0.00239</v>
      </c>
      <c r="H3702" s="19" t="str">
        <f>IFERROR(__xludf.DUMMYFUNCTION("""COMPUTED_VALUE"""),"-")</f>
        <v>-</v>
      </c>
      <c r="I3702" s="19">
        <f>IFERROR(__xludf.DUMMYFUNCTION("""COMPUTED_VALUE"""),0.00224)</f>
        <v>0.00224</v>
      </c>
      <c r="J3702" s="19">
        <f>IFERROR(__xludf.DUMMYFUNCTION("""COMPUTED_VALUE"""),0.04618)</f>
        <v>0.04618</v>
      </c>
      <c r="K3702" s="19" t="str">
        <f>IFERROR(__xludf.DUMMYFUNCTION("""COMPUTED_VALUE"""),"-")</f>
        <v>-</v>
      </c>
      <c r="L3702" s="19" t="str">
        <f>IFERROR(__xludf.DUMMYFUNCTION("""COMPUTED_VALUE"""),"-")</f>
        <v>-</v>
      </c>
      <c r="O3702" s="24">
        <f t="shared" si="4"/>
        <v>0</v>
      </c>
      <c r="P3702" s="24"/>
      <c r="Q3702" s="24">
        <f t="shared" si="6"/>
        <v>0</v>
      </c>
      <c r="R3702" s="24">
        <f t="shared" si="7"/>
        <v>0</v>
      </c>
      <c r="S3702" s="24"/>
      <c r="T3702" s="24"/>
    </row>
    <row r="3703">
      <c r="A3703" s="12" t="s">
        <v>3790</v>
      </c>
      <c r="F3703" s="19">
        <f>IFERROR(__xludf.DUMMYFUNCTION("SPLIT(A3699, "" |"")"),3697.0)</f>
        <v>3697</v>
      </c>
      <c r="G3703" s="19">
        <f>IFERROR(__xludf.DUMMYFUNCTION("""COMPUTED_VALUE"""),0.00223)</f>
        <v>0.00223</v>
      </c>
      <c r="H3703" s="19" t="str">
        <f>IFERROR(__xludf.DUMMYFUNCTION("""COMPUTED_VALUE"""),"-")</f>
        <v>-</v>
      </c>
      <c r="I3703" s="19">
        <f>IFERROR(__xludf.DUMMYFUNCTION("""COMPUTED_VALUE"""),0.00209)</f>
        <v>0.00209</v>
      </c>
      <c r="J3703" s="19">
        <f>IFERROR(__xludf.DUMMYFUNCTION("""COMPUTED_VALUE"""),0.04737)</f>
        <v>0.04737</v>
      </c>
      <c r="K3703" s="19" t="str">
        <f>IFERROR(__xludf.DUMMYFUNCTION("""COMPUTED_VALUE"""),"-")</f>
        <v>-</v>
      </c>
      <c r="L3703" s="19" t="str">
        <f>IFERROR(__xludf.DUMMYFUNCTION("""COMPUTED_VALUE"""),"-")</f>
        <v>-</v>
      </c>
      <c r="O3703" s="24">
        <f t="shared" si="4"/>
        <v>0</v>
      </c>
      <c r="P3703" s="24"/>
      <c r="Q3703" s="24">
        <f t="shared" si="6"/>
        <v>0</v>
      </c>
      <c r="R3703" s="24">
        <f t="shared" si="7"/>
        <v>0</v>
      </c>
      <c r="S3703" s="24"/>
      <c r="T3703" s="24"/>
    </row>
    <row r="3704">
      <c r="A3704" s="12" t="s">
        <v>3791</v>
      </c>
      <c r="F3704" s="19">
        <f>IFERROR(__xludf.DUMMYFUNCTION("SPLIT(A3700, "" |"")"),3698.0)</f>
        <v>3698</v>
      </c>
      <c r="G3704" s="19">
        <f>IFERROR(__xludf.DUMMYFUNCTION("""COMPUTED_VALUE"""),0.00248)</f>
        <v>0.00248</v>
      </c>
      <c r="H3704" s="19" t="str">
        <f>IFERROR(__xludf.DUMMYFUNCTION("""COMPUTED_VALUE"""),"-")</f>
        <v>-</v>
      </c>
      <c r="I3704" s="19">
        <f>IFERROR(__xludf.DUMMYFUNCTION("""COMPUTED_VALUE"""),0.00228)</f>
        <v>0.00228</v>
      </c>
      <c r="J3704" s="19">
        <f>IFERROR(__xludf.DUMMYFUNCTION("""COMPUTED_VALUE"""),0.0475)</f>
        <v>0.0475</v>
      </c>
      <c r="K3704" s="19" t="str">
        <f>IFERROR(__xludf.DUMMYFUNCTION("""COMPUTED_VALUE"""),"-")</f>
        <v>-</v>
      </c>
      <c r="L3704" s="19" t="str">
        <f>IFERROR(__xludf.DUMMYFUNCTION("""COMPUTED_VALUE"""),"-")</f>
        <v>-</v>
      </c>
      <c r="O3704" s="24">
        <f t="shared" si="4"/>
        <v>0</v>
      </c>
      <c r="P3704" s="24"/>
      <c r="Q3704" s="24">
        <f t="shared" si="6"/>
        <v>0</v>
      </c>
      <c r="R3704" s="24">
        <f t="shared" si="7"/>
        <v>0</v>
      </c>
      <c r="S3704" s="24"/>
      <c r="T3704" s="24"/>
    </row>
    <row r="3705">
      <c r="A3705" s="12" t="s">
        <v>3792</v>
      </c>
      <c r="F3705" s="19">
        <f>IFERROR(__xludf.DUMMYFUNCTION("SPLIT(A3701, "" |"")"),3699.0)</f>
        <v>3699</v>
      </c>
      <c r="G3705" s="19">
        <f>IFERROR(__xludf.DUMMYFUNCTION("""COMPUTED_VALUE"""),0.00238)</f>
        <v>0.00238</v>
      </c>
      <c r="H3705" s="19" t="str">
        <f>IFERROR(__xludf.DUMMYFUNCTION("""COMPUTED_VALUE"""),"-")</f>
        <v>-</v>
      </c>
      <c r="I3705" s="19">
        <f>IFERROR(__xludf.DUMMYFUNCTION("""COMPUTED_VALUE"""),0.00222)</f>
        <v>0.00222</v>
      </c>
      <c r="J3705" s="19">
        <f>IFERROR(__xludf.DUMMYFUNCTION("""COMPUTED_VALUE"""),0.0474)</f>
        <v>0.0474</v>
      </c>
      <c r="K3705" s="19" t="str">
        <f>IFERROR(__xludf.DUMMYFUNCTION("""COMPUTED_VALUE"""),"-")</f>
        <v>-</v>
      </c>
      <c r="L3705" s="19" t="str">
        <f>IFERROR(__xludf.DUMMYFUNCTION("""COMPUTED_VALUE"""),"-")</f>
        <v>-</v>
      </c>
      <c r="O3705" s="24">
        <f t="shared" si="4"/>
        <v>0</v>
      </c>
      <c r="P3705" s="24"/>
      <c r="Q3705" s="24">
        <f t="shared" si="6"/>
        <v>0</v>
      </c>
      <c r="R3705" s="24">
        <f t="shared" si="7"/>
        <v>0</v>
      </c>
      <c r="S3705" s="24"/>
      <c r="T3705" s="24"/>
    </row>
    <row r="3706">
      <c r="A3706" s="12" t="s">
        <v>3793</v>
      </c>
      <c r="F3706" s="19">
        <f>IFERROR(__xludf.DUMMYFUNCTION("SPLIT(A3702, "" |"")"),3700.0)</f>
        <v>3700</v>
      </c>
      <c r="G3706" s="19">
        <f>IFERROR(__xludf.DUMMYFUNCTION("""COMPUTED_VALUE"""),0.00234)</f>
        <v>0.00234</v>
      </c>
      <c r="H3706" s="19" t="str">
        <f>IFERROR(__xludf.DUMMYFUNCTION("""COMPUTED_VALUE"""),"-")</f>
        <v>-</v>
      </c>
      <c r="I3706" s="19">
        <f>IFERROR(__xludf.DUMMYFUNCTION("""COMPUTED_VALUE"""),0.00222)</f>
        <v>0.00222</v>
      </c>
      <c r="J3706" s="19">
        <f>IFERROR(__xludf.DUMMYFUNCTION("""COMPUTED_VALUE"""),0.04466)</f>
        <v>0.04466</v>
      </c>
      <c r="K3706" s="19" t="str">
        <f>IFERROR(__xludf.DUMMYFUNCTION("""COMPUTED_VALUE"""),"-")</f>
        <v>-</v>
      </c>
      <c r="L3706" s="19" t="str">
        <f>IFERROR(__xludf.DUMMYFUNCTION("""COMPUTED_VALUE"""),"-")</f>
        <v>-</v>
      </c>
      <c r="O3706" s="24">
        <f t="shared" si="4"/>
        <v>0</v>
      </c>
      <c r="P3706" s="24"/>
      <c r="Q3706" s="24">
        <f t="shared" si="6"/>
        <v>0</v>
      </c>
      <c r="R3706" s="24">
        <f t="shared" si="7"/>
        <v>1</v>
      </c>
      <c r="S3706" s="24"/>
      <c r="T3706" s="24"/>
    </row>
    <row r="3707">
      <c r="A3707" s="12" t="s">
        <v>3794</v>
      </c>
      <c r="F3707" s="19">
        <f>IFERROR(__xludf.DUMMYFUNCTION("SPLIT(A3703, "" |"")"),3701.0)</f>
        <v>3701</v>
      </c>
      <c r="G3707" s="19">
        <f>IFERROR(__xludf.DUMMYFUNCTION("""COMPUTED_VALUE"""),0.00241)</f>
        <v>0.00241</v>
      </c>
      <c r="H3707" s="19" t="str">
        <f>IFERROR(__xludf.DUMMYFUNCTION("""COMPUTED_VALUE"""),"-")</f>
        <v>-</v>
      </c>
      <c r="I3707" s="19">
        <f>IFERROR(__xludf.DUMMYFUNCTION("""COMPUTED_VALUE"""),0.00225)</f>
        <v>0.00225</v>
      </c>
      <c r="J3707" s="19">
        <f>IFERROR(__xludf.DUMMYFUNCTION("""COMPUTED_VALUE"""),0.04735)</f>
        <v>0.04735</v>
      </c>
      <c r="K3707" s="19" t="str">
        <f>IFERROR(__xludf.DUMMYFUNCTION("""COMPUTED_VALUE"""),"-")</f>
        <v>-</v>
      </c>
      <c r="L3707" s="19" t="str">
        <f>IFERROR(__xludf.DUMMYFUNCTION("""COMPUTED_VALUE"""),"-")</f>
        <v>-</v>
      </c>
      <c r="O3707" s="24">
        <f t="shared" si="4"/>
        <v>0</v>
      </c>
      <c r="P3707" s="24"/>
      <c r="Q3707" s="24">
        <f t="shared" si="6"/>
        <v>0</v>
      </c>
      <c r="R3707" s="24">
        <f t="shared" si="7"/>
        <v>0</v>
      </c>
      <c r="S3707" s="24"/>
      <c r="T3707" s="24"/>
    </row>
    <row r="3708">
      <c r="A3708" s="12" t="s">
        <v>3795</v>
      </c>
      <c r="F3708" s="19">
        <f>IFERROR(__xludf.DUMMYFUNCTION("SPLIT(A3704, "" |"")"),3702.0)</f>
        <v>3702</v>
      </c>
      <c r="G3708" s="19">
        <f>IFERROR(__xludf.DUMMYFUNCTION("""COMPUTED_VALUE"""),0.00221)</f>
        <v>0.00221</v>
      </c>
      <c r="H3708" s="19" t="str">
        <f>IFERROR(__xludf.DUMMYFUNCTION("""COMPUTED_VALUE"""),"-")</f>
        <v>-</v>
      </c>
      <c r="I3708" s="19">
        <f>IFERROR(__xludf.DUMMYFUNCTION("""COMPUTED_VALUE"""),0.00219)</f>
        <v>0.00219</v>
      </c>
      <c r="J3708" s="19">
        <f>IFERROR(__xludf.DUMMYFUNCTION("""COMPUTED_VALUE"""),0.04747)</f>
        <v>0.04747</v>
      </c>
      <c r="K3708" s="19" t="str">
        <f>IFERROR(__xludf.DUMMYFUNCTION("""COMPUTED_VALUE"""),"-")</f>
        <v>-</v>
      </c>
      <c r="L3708" s="19" t="str">
        <f>IFERROR(__xludf.DUMMYFUNCTION("""COMPUTED_VALUE"""),"-")</f>
        <v>-</v>
      </c>
      <c r="O3708" s="24">
        <f t="shared" si="4"/>
        <v>0</v>
      </c>
      <c r="P3708" s="24"/>
      <c r="Q3708" s="24">
        <f t="shared" si="6"/>
        <v>0</v>
      </c>
      <c r="R3708" s="24">
        <f t="shared" si="7"/>
        <v>0</v>
      </c>
      <c r="S3708" s="24"/>
      <c r="T3708" s="24"/>
    </row>
    <row r="3709">
      <c r="A3709" s="12" t="s">
        <v>3796</v>
      </c>
      <c r="F3709" s="19">
        <f>IFERROR(__xludf.DUMMYFUNCTION("SPLIT(A3705, "" |"")"),3703.0)</f>
        <v>3703</v>
      </c>
      <c r="G3709" s="19">
        <f>IFERROR(__xludf.DUMMYFUNCTION("""COMPUTED_VALUE"""),0.00238)</f>
        <v>0.00238</v>
      </c>
      <c r="H3709" s="19" t="str">
        <f>IFERROR(__xludf.DUMMYFUNCTION("""COMPUTED_VALUE"""),"-")</f>
        <v>-</v>
      </c>
      <c r="I3709" s="19">
        <f>IFERROR(__xludf.DUMMYFUNCTION("""COMPUTED_VALUE"""),0.00222)</f>
        <v>0.00222</v>
      </c>
      <c r="J3709" s="19">
        <f>IFERROR(__xludf.DUMMYFUNCTION("""COMPUTED_VALUE"""),0.04742)</f>
        <v>0.04742</v>
      </c>
      <c r="K3709" s="19" t="str">
        <f>IFERROR(__xludf.DUMMYFUNCTION("""COMPUTED_VALUE"""),"-")</f>
        <v>-</v>
      </c>
      <c r="L3709" s="19" t="str">
        <f>IFERROR(__xludf.DUMMYFUNCTION("""COMPUTED_VALUE"""),"-")</f>
        <v>-</v>
      </c>
      <c r="O3709" s="24">
        <f t="shared" si="4"/>
        <v>0</v>
      </c>
      <c r="P3709" s="24"/>
      <c r="Q3709" s="24">
        <f t="shared" si="6"/>
        <v>0</v>
      </c>
      <c r="R3709" s="24">
        <f t="shared" si="7"/>
        <v>0</v>
      </c>
      <c r="S3709" s="24"/>
      <c r="T3709" s="24"/>
    </row>
    <row r="3710">
      <c r="A3710" s="12" t="s">
        <v>3797</v>
      </c>
      <c r="F3710" s="19">
        <f>IFERROR(__xludf.DUMMYFUNCTION("SPLIT(A3706, "" |"")"),3704.0)</f>
        <v>3704</v>
      </c>
      <c r="G3710" s="19">
        <f>IFERROR(__xludf.DUMMYFUNCTION("""COMPUTED_VALUE"""),0.00225)</f>
        <v>0.00225</v>
      </c>
      <c r="H3710" s="19" t="str">
        <f>IFERROR(__xludf.DUMMYFUNCTION("""COMPUTED_VALUE"""),"-")</f>
        <v>-</v>
      </c>
      <c r="I3710" s="19">
        <f>IFERROR(__xludf.DUMMYFUNCTION("""COMPUTED_VALUE"""),0.00217)</f>
        <v>0.00217</v>
      </c>
      <c r="J3710" s="19">
        <f>IFERROR(__xludf.DUMMYFUNCTION("""COMPUTED_VALUE"""),0.04752)</f>
        <v>0.04752</v>
      </c>
      <c r="K3710" s="19" t="str">
        <f>IFERROR(__xludf.DUMMYFUNCTION("""COMPUTED_VALUE"""),"-")</f>
        <v>-</v>
      </c>
      <c r="L3710" s="19" t="str">
        <f>IFERROR(__xludf.DUMMYFUNCTION("""COMPUTED_VALUE"""),"-")</f>
        <v>-</v>
      </c>
      <c r="O3710" s="24">
        <f t="shared" si="4"/>
        <v>0</v>
      </c>
      <c r="P3710" s="24"/>
      <c r="Q3710" s="24">
        <f t="shared" si="6"/>
        <v>0</v>
      </c>
      <c r="R3710" s="24">
        <f t="shared" si="7"/>
        <v>0</v>
      </c>
      <c r="S3710" s="24"/>
      <c r="T3710" s="24"/>
    </row>
    <row r="3711">
      <c r="A3711" s="12" t="s">
        <v>3798</v>
      </c>
      <c r="F3711" s="19">
        <f>IFERROR(__xludf.DUMMYFUNCTION("SPLIT(A3707, "" |"")"),3705.0)</f>
        <v>3705</v>
      </c>
      <c r="G3711" s="19">
        <f>IFERROR(__xludf.DUMMYFUNCTION("""COMPUTED_VALUE"""),0.00245)</f>
        <v>0.00245</v>
      </c>
      <c r="H3711" s="19" t="str">
        <f>IFERROR(__xludf.DUMMYFUNCTION("""COMPUTED_VALUE"""),"-")</f>
        <v>-</v>
      </c>
      <c r="I3711" s="19">
        <f>IFERROR(__xludf.DUMMYFUNCTION("""COMPUTED_VALUE"""),0.00228)</f>
        <v>0.00228</v>
      </c>
      <c r="J3711" s="19">
        <f>IFERROR(__xludf.DUMMYFUNCTION("""COMPUTED_VALUE"""),0.04751)</f>
        <v>0.04751</v>
      </c>
      <c r="K3711" s="19" t="str">
        <f>IFERROR(__xludf.DUMMYFUNCTION("""COMPUTED_VALUE"""),"-")</f>
        <v>-</v>
      </c>
      <c r="L3711" s="19" t="str">
        <f>IFERROR(__xludf.DUMMYFUNCTION("""COMPUTED_VALUE"""),"-")</f>
        <v>-</v>
      </c>
      <c r="O3711" s="24">
        <f t="shared" si="4"/>
        <v>0</v>
      </c>
      <c r="P3711" s="24"/>
      <c r="Q3711" s="24">
        <f t="shared" si="6"/>
        <v>0</v>
      </c>
      <c r="R3711" s="24">
        <f t="shared" si="7"/>
        <v>0</v>
      </c>
      <c r="S3711" s="24"/>
      <c r="T3711" s="24"/>
    </row>
    <row r="3712">
      <c r="A3712" s="12" t="s">
        <v>3799</v>
      </c>
      <c r="F3712" s="19">
        <f>IFERROR(__xludf.DUMMYFUNCTION("SPLIT(A3708, "" |"")"),3706.0)</f>
        <v>3706</v>
      </c>
      <c r="G3712" s="19">
        <f>IFERROR(__xludf.DUMMYFUNCTION("""COMPUTED_VALUE"""),0.00244)</f>
        <v>0.00244</v>
      </c>
      <c r="H3712" s="19" t="str">
        <f>IFERROR(__xludf.DUMMYFUNCTION("""COMPUTED_VALUE"""),"-")</f>
        <v>-</v>
      </c>
      <c r="I3712" s="19">
        <f>IFERROR(__xludf.DUMMYFUNCTION("""COMPUTED_VALUE"""),0.00228)</f>
        <v>0.00228</v>
      </c>
      <c r="J3712" s="19">
        <f>IFERROR(__xludf.DUMMYFUNCTION("""COMPUTED_VALUE"""),0.04749)</f>
        <v>0.04749</v>
      </c>
      <c r="K3712" s="19" t="str">
        <f>IFERROR(__xludf.DUMMYFUNCTION("""COMPUTED_VALUE"""),"-")</f>
        <v>-</v>
      </c>
      <c r="L3712" s="19" t="str">
        <f>IFERROR(__xludf.DUMMYFUNCTION("""COMPUTED_VALUE"""),"-")</f>
        <v>-</v>
      </c>
      <c r="O3712" s="24">
        <f t="shared" si="4"/>
        <v>0</v>
      </c>
      <c r="P3712" s="24"/>
      <c r="Q3712" s="24">
        <f t="shared" si="6"/>
        <v>0</v>
      </c>
      <c r="R3712" s="24">
        <f t="shared" si="7"/>
        <v>0</v>
      </c>
      <c r="S3712" s="24"/>
      <c r="T3712" s="24"/>
    </row>
    <row r="3713">
      <c r="A3713" s="12" t="s">
        <v>3800</v>
      </c>
      <c r="F3713" s="19">
        <f>IFERROR(__xludf.DUMMYFUNCTION("SPLIT(A3709, "" |"")"),3707.0)</f>
        <v>3707</v>
      </c>
      <c r="G3713" s="19">
        <f>IFERROR(__xludf.DUMMYFUNCTION("""COMPUTED_VALUE"""),0.00226)</f>
        <v>0.00226</v>
      </c>
      <c r="H3713" s="19" t="str">
        <f>IFERROR(__xludf.DUMMYFUNCTION("""COMPUTED_VALUE"""),"-")</f>
        <v>-</v>
      </c>
      <c r="I3713" s="19">
        <f>IFERROR(__xludf.DUMMYFUNCTION("""COMPUTED_VALUE"""),0.00212)</f>
        <v>0.00212</v>
      </c>
      <c r="J3713" s="19">
        <f>IFERROR(__xludf.DUMMYFUNCTION("""COMPUTED_VALUE"""),0.04729)</f>
        <v>0.04729</v>
      </c>
      <c r="K3713" s="19" t="str">
        <f>IFERROR(__xludf.DUMMYFUNCTION("""COMPUTED_VALUE"""),"-")</f>
        <v>-</v>
      </c>
      <c r="L3713" s="19" t="str">
        <f>IFERROR(__xludf.DUMMYFUNCTION("""COMPUTED_VALUE"""),"-")</f>
        <v>-</v>
      </c>
      <c r="O3713" s="24">
        <f t="shared" si="4"/>
        <v>0</v>
      </c>
      <c r="P3713" s="24"/>
      <c r="Q3713" s="24">
        <f t="shared" si="6"/>
        <v>0</v>
      </c>
      <c r="R3713" s="24">
        <f t="shared" si="7"/>
        <v>0</v>
      </c>
      <c r="S3713" s="24"/>
      <c r="T3713" s="24"/>
    </row>
    <row r="3714">
      <c r="A3714" s="12" t="s">
        <v>3801</v>
      </c>
      <c r="F3714" s="19">
        <f>IFERROR(__xludf.DUMMYFUNCTION("SPLIT(A3710, "" |"")"),3708.0)</f>
        <v>3708</v>
      </c>
      <c r="G3714" s="19">
        <f>IFERROR(__xludf.DUMMYFUNCTION("""COMPUTED_VALUE"""),0.0023)</f>
        <v>0.0023</v>
      </c>
      <c r="H3714" s="19" t="str">
        <f>IFERROR(__xludf.DUMMYFUNCTION("""COMPUTED_VALUE"""),"-")</f>
        <v>-</v>
      </c>
      <c r="I3714" s="19">
        <f>IFERROR(__xludf.DUMMYFUNCTION("""COMPUTED_VALUE"""),0.0021)</f>
        <v>0.0021</v>
      </c>
      <c r="J3714" s="19">
        <f>IFERROR(__xludf.DUMMYFUNCTION("""COMPUTED_VALUE"""),0.04737)</f>
        <v>0.04737</v>
      </c>
      <c r="K3714" s="19" t="str">
        <f>IFERROR(__xludf.DUMMYFUNCTION("""COMPUTED_VALUE"""),"-")</f>
        <v>-</v>
      </c>
      <c r="L3714" s="19" t="str">
        <f>IFERROR(__xludf.DUMMYFUNCTION("""COMPUTED_VALUE"""),"-")</f>
        <v>-</v>
      </c>
      <c r="O3714" s="24">
        <f t="shared" si="4"/>
        <v>0</v>
      </c>
      <c r="P3714" s="24"/>
      <c r="Q3714" s="24">
        <f t="shared" si="6"/>
        <v>0</v>
      </c>
      <c r="R3714" s="24">
        <f t="shared" si="7"/>
        <v>0</v>
      </c>
      <c r="S3714" s="24"/>
      <c r="T3714" s="24"/>
    </row>
    <row r="3715">
      <c r="A3715" s="12" t="s">
        <v>3802</v>
      </c>
      <c r="F3715" s="19">
        <f>IFERROR(__xludf.DUMMYFUNCTION("SPLIT(A3711, "" |"")"),3709.0)</f>
        <v>3709</v>
      </c>
      <c r="G3715" s="19">
        <f>IFERROR(__xludf.DUMMYFUNCTION("""COMPUTED_VALUE"""),0.00248)</f>
        <v>0.00248</v>
      </c>
      <c r="H3715" s="19" t="str">
        <f>IFERROR(__xludf.DUMMYFUNCTION("""COMPUTED_VALUE"""),"-")</f>
        <v>-</v>
      </c>
      <c r="I3715" s="19">
        <f>IFERROR(__xludf.DUMMYFUNCTION("""COMPUTED_VALUE"""),0.00214)</f>
        <v>0.00214</v>
      </c>
      <c r="J3715" s="19">
        <f>IFERROR(__xludf.DUMMYFUNCTION("""COMPUTED_VALUE"""),0.04739)</f>
        <v>0.04739</v>
      </c>
      <c r="K3715" s="19" t="str">
        <f>IFERROR(__xludf.DUMMYFUNCTION("""COMPUTED_VALUE"""),"-")</f>
        <v>-</v>
      </c>
      <c r="L3715" s="19" t="str">
        <f>IFERROR(__xludf.DUMMYFUNCTION("""COMPUTED_VALUE"""),"-")</f>
        <v>-</v>
      </c>
      <c r="O3715" s="24">
        <f t="shared" si="4"/>
        <v>0</v>
      </c>
      <c r="P3715" s="24"/>
      <c r="Q3715" s="24">
        <f t="shared" si="6"/>
        <v>0</v>
      </c>
      <c r="R3715" s="24">
        <f t="shared" si="7"/>
        <v>0</v>
      </c>
      <c r="S3715" s="24"/>
      <c r="T3715" s="24"/>
    </row>
    <row r="3716">
      <c r="A3716" s="12" t="s">
        <v>3803</v>
      </c>
      <c r="F3716" s="19">
        <f>IFERROR(__xludf.DUMMYFUNCTION("SPLIT(A3712, "" |"")"),3710.0)</f>
        <v>3710</v>
      </c>
      <c r="G3716" s="19">
        <f>IFERROR(__xludf.DUMMYFUNCTION("""COMPUTED_VALUE"""),0.0024)</f>
        <v>0.0024</v>
      </c>
      <c r="H3716" s="19" t="str">
        <f>IFERROR(__xludf.DUMMYFUNCTION("""COMPUTED_VALUE"""),"-")</f>
        <v>-</v>
      </c>
      <c r="I3716" s="19">
        <f>IFERROR(__xludf.DUMMYFUNCTION("""COMPUTED_VALUE"""),0.00224)</f>
        <v>0.00224</v>
      </c>
      <c r="J3716" s="19">
        <f>IFERROR(__xludf.DUMMYFUNCTION("""COMPUTED_VALUE"""),0.04743)</f>
        <v>0.04743</v>
      </c>
      <c r="K3716" s="19" t="str">
        <f>IFERROR(__xludf.DUMMYFUNCTION("""COMPUTED_VALUE"""),"-")</f>
        <v>-</v>
      </c>
      <c r="L3716" s="19" t="str">
        <f>IFERROR(__xludf.DUMMYFUNCTION("""COMPUTED_VALUE"""),"-")</f>
        <v>-</v>
      </c>
      <c r="O3716" s="24">
        <f t="shared" si="4"/>
        <v>0</v>
      </c>
      <c r="P3716" s="24"/>
      <c r="Q3716" s="24">
        <f t="shared" si="6"/>
        <v>0</v>
      </c>
      <c r="R3716" s="24">
        <f t="shared" si="7"/>
        <v>0</v>
      </c>
      <c r="S3716" s="24"/>
      <c r="T3716" s="24"/>
    </row>
    <row r="3717">
      <c r="A3717" s="12" t="s">
        <v>3804</v>
      </c>
      <c r="F3717" s="19">
        <f>IFERROR(__xludf.DUMMYFUNCTION("SPLIT(A3713, "" |"")"),3711.0)</f>
        <v>3711</v>
      </c>
      <c r="G3717" s="19">
        <f>IFERROR(__xludf.DUMMYFUNCTION("""COMPUTED_VALUE"""),0.00234)</f>
        <v>0.00234</v>
      </c>
      <c r="H3717" s="19" t="str">
        <f>IFERROR(__xludf.DUMMYFUNCTION("""COMPUTED_VALUE"""),"-")</f>
        <v>-</v>
      </c>
      <c r="I3717" s="19">
        <f>IFERROR(__xludf.DUMMYFUNCTION("""COMPUTED_VALUE"""),0.00223)</f>
        <v>0.00223</v>
      </c>
      <c r="J3717" s="19">
        <f>IFERROR(__xludf.DUMMYFUNCTION("""COMPUTED_VALUE"""),0.04742)</f>
        <v>0.04742</v>
      </c>
      <c r="K3717" s="19" t="str">
        <f>IFERROR(__xludf.DUMMYFUNCTION("""COMPUTED_VALUE"""),"-")</f>
        <v>-</v>
      </c>
      <c r="L3717" s="19" t="str">
        <f>IFERROR(__xludf.DUMMYFUNCTION("""COMPUTED_VALUE"""),"-")</f>
        <v>-</v>
      </c>
      <c r="O3717" s="24">
        <f t="shared" si="4"/>
        <v>0</v>
      </c>
      <c r="P3717" s="24"/>
      <c r="Q3717" s="24">
        <f t="shared" si="6"/>
        <v>0</v>
      </c>
      <c r="R3717" s="24">
        <f t="shared" si="7"/>
        <v>0</v>
      </c>
      <c r="S3717" s="24"/>
      <c r="T3717" s="24"/>
    </row>
    <row r="3718">
      <c r="A3718" s="12" t="s">
        <v>3805</v>
      </c>
      <c r="F3718" s="19">
        <f>IFERROR(__xludf.DUMMYFUNCTION("SPLIT(A3714, "" |"")"),3712.0)</f>
        <v>3712</v>
      </c>
      <c r="G3718" s="19">
        <f>IFERROR(__xludf.DUMMYFUNCTION("""COMPUTED_VALUE"""),0.00233)</f>
        <v>0.00233</v>
      </c>
      <c r="H3718" s="19" t="str">
        <f>IFERROR(__xludf.DUMMYFUNCTION("""COMPUTED_VALUE"""),"-")</f>
        <v>-</v>
      </c>
      <c r="I3718" s="19">
        <f>IFERROR(__xludf.DUMMYFUNCTION("""COMPUTED_VALUE"""),0.00222)</f>
        <v>0.00222</v>
      </c>
      <c r="J3718" s="19">
        <f>IFERROR(__xludf.DUMMYFUNCTION("""COMPUTED_VALUE"""),0.0475)</f>
        <v>0.0475</v>
      </c>
      <c r="K3718" s="19" t="str">
        <f>IFERROR(__xludf.DUMMYFUNCTION("""COMPUTED_VALUE"""),"-")</f>
        <v>-</v>
      </c>
      <c r="L3718" s="19" t="str">
        <f>IFERROR(__xludf.DUMMYFUNCTION("""COMPUTED_VALUE"""),"-")</f>
        <v>-</v>
      </c>
      <c r="O3718" s="24">
        <f t="shared" si="4"/>
        <v>0</v>
      </c>
      <c r="P3718" s="24"/>
      <c r="Q3718" s="24">
        <f t="shared" si="6"/>
        <v>0</v>
      </c>
      <c r="R3718" s="24">
        <f t="shared" si="7"/>
        <v>0</v>
      </c>
      <c r="S3718" s="24"/>
      <c r="T3718" s="24"/>
    </row>
    <row r="3719">
      <c r="A3719" s="12" t="s">
        <v>3806</v>
      </c>
      <c r="F3719" s="19">
        <f>IFERROR(__xludf.DUMMYFUNCTION("SPLIT(A3715, "" |"")"),3713.0)</f>
        <v>3713</v>
      </c>
      <c r="G3719" s="19">
        <f>IFERROR(__xludf.DUMMYFUNCTION("""COMPUTED_VALUE"""),0.00237)</f>
        <v>0.00237</v>
      </c>
      <c r="H3719" s="19" t="str">
        <f>IFERROR(__xludf.DUMMYFUNCTION("""COMPUTED_VALUE"""),"-")</f>
        <v>-</v>
      </c>
      <c r="I3719" s="19">
        <f>IFERROR(__xludf.DUMMYFUNCTION("""COMPUTED_VALUE"""),0.00226)</f>
        <v>0.00226</v>
      </c>
      <c r="J3719" s="19">
        <f>IFERROR(__xludf.DUMMYFUNCTION("""COMPUTED_VALUE"""),0.04718)</f>
        <v>0.04718</v>
      </c>
      <c r="K3719" s="19" t="str">
        <f>IFERROR(__xludf.DUMMYFUNCTION("""COMPUTED_VALUE"""),"-")</f>
        <v>-</v>
      </c>
      <c r="L3719" s="19" t="str">
        <f>IFERROR(__xludf.DUMMYFUNCTION("""COMPUTED_VALUE"""),"-")</f>
        <v>-</v>
      </c>
      <c r="O3719" s="24">
        <f t="shared" si="4"/>
        <v>0</v>
      </c>
      <c r="P3719" s="24"/>
      <c r="Q3719" s="24">
        <f t="shared" si="6"/>
        <v>0</v>
      </c>
      <c r="R3719" s="24">
        <f t="shared" si="7"/>
        <v>0</v>
      </c>
      <c r="S3719" s="24"/>
      <c r="T3719" s="24"/>
    </row>
    <row r="3720">
      <c r="A3720" s="12" t="s">
        <v>3807</v>
      </c>
      <c r="F3720" s="19">
        <f>IFERROR(__xludf.DUMMYFUNCTION("SPLIT(A3716, "" |"")"),3714.0)</f>
        <v>3714</v>
      </c>
      <c r="G3720" s="19">
        <f>IFERROR(__xludf.DUMMYFUNCTION("""COMPUTED_VALUE"""),0.00236)</f>
        <v>0.00236</v>
      </c>
      <c r="H3720" s="19" t="str">
        <f>IFERROR(__xludf.DUMMYFUNCTION("""COMPUTED_VALUE"""),"-")</f>
        <v>-</v>
      </c>
      <c r="I3720" s="19">
        <f>IFERROR(__xludf.DUMMYFUNCTION("""COMPUTED_VALUE"""),0.00223)</f>
        <v>0.00223</v>
      </c>
      <c r="J3720" s="19">
        <f>IFERROR(__xludf.DUMMYFUNCTION("""COMPUTED_VALUE"""),0.04748)</f>
        <v>0.04748</v>
      </c>
      <c r="K3720" s="19" t="str">
        <f>IFERROR(__xludf.DUMMYFUNCTION("""COMPUTED_VALUE"""),"-")</f>
        <v>-</v>
      </c>
      <c r="L3720" s="19" t="str">
        <f>IFERROR(__xludf.DUMMYFUNCTION("""COMPUTED_VALUE"""),"-")</f>
        <v>-</v>
      </c>
      <c r="O3720" s="24">
        <f t="shared" si="4"/>
        <v>0</v>
      </c>
      <c r="P3720" s="24"/>
      <c r="Q3720" s="24">
        <f t="shared" si="6"/>
        <v>0</v>
      </c>
      <c r="R3720" s="24">
        <f t="shared" si="7"/>
        <v>0</v>
      </c>
      <c r="S3720" s="24"/>
      <c r="T3720" s="24"/>
    </row>
    <row r="3721">
      <c r="A3721" s="12" t="s">
        <v>3808</v>
      </c>
      <c r="F3721" s="19">
        <f>IFERROR(__xludf.DUMMYFUNCTION("SPLIT(A3717, "" |"")"),3715.0)</f>
        <v>3715</v>
      </c>
      <c r="G3721" s="19">
        <f>IFERROR(__xludf.DUMMYFUNCTION("""COMPUTED_VALUE"""),0.00231)</f>
        <v>0.00231</v>
      </c>
      <c r="H3721" s="19" t="str">
        <f>IFERROR(__xludf.DUMMYFUNCTION("""COMPUTED_VALUE"""),"-")</f>
        <v>-</v>
      </c>
      <c r="I3721" s="19">
        <f>IFERROR(__xludf.DUMMYFUNCTION("""COMPUTED_VALUE"""),0.00219)</f>
        <v>0.00219</v>
      </c>
      <c r="J3721" s="19">
        <f>IFERROR(__xludf.DUMMYFUNCTION("""COMPUTED_VALUE"""),0.04743)</f>
        <v>0.04743</v>
      </c>
      <c r="K3721" s="19" t="str">
        <f>IFERROR(__xludf.DUMMYFUNCTION("""COMPUTED_VALUE"""),"-")</f>
        <v>-</v>
      </c>
      <c r="L3721" s="19" t="str">
        <f>IFERROR(__xludf.DUMMYFUNCTION("""COMPUTED_VALUE"""),"-")</f>
        <v>-</v>
      </c>
      <c r="O3721" s="24">
        <f t="shared" si="4"/>
        <v>0</v>
      </c>
      <c r="P3721" s="24"/>
      <c r="Q3721" s="24">
        <f t="shared" si="6"/>
        <v>0</v>
      </c>
      <c r="R3721" s="24">
        <f t="shared" si="7"/>
        <v>0</v>
      </c>
      <c r="S3721" s="24"/>
      <c r="T3721" s="24"/>
    </row>
    <row r="3722">
      <c r="A3722" s="12" t="s">
        <v>3809</v>
      </c>
      <c r="F3722" s="19">
        <f>IFERROR(__xludf.DUMMYFUNCTION("SPLIT(A3718, "" |"")"),3716.0)</f>
        <v>3716</v>
      </c>
      <c r="G3722" s="19">
        <f>IFERROR(__xludf.DUMMYFUNCTION("""COMPUTED_VALUE"""),0.00237)</f>
        <v>0.00237</v>
      </c>
      <c r="H3722" s="19" t="str">
        <f>IFERROR(__xludf.DUMMYFUNCTION("""COMPUTED_VALUE"""),"-")</f>
        <v>-</v>
      </c>
      <c r="I3722" s="19">
        <f>IFERROR(__xludf.DUMMYFUNCTION("""COMPUTED_VALUE"""),0.00225)</f>
        <v>0.00225</v>
      </c>
      <c r="J3722" s="19">
        <f>IFERROR(__xludf.DUMMYFUNCTION("""COMPUTED_VALUE"""),0.04747)</f>
        <v>0.04747</v>
      </c>
      <c r="K3722" s="19" t="str">
        <f>IFERROR(__xludf.DUMMYFUNCTION("""COMPUTED_VALUE"""),"-")</f>
        <v>-</v>
      </c>
      <c r="L3722" s="19" t="str">
        <f>IFERROR(__xludf.DUMMYFUNCTION("""COMPUTED_VALUE"""),"-")</f>
        <v>-</v>
      </c>
      <c r="O3722" s="24">
        <f t="shared" si="4"/>
        <v>0</v>
      </c>
      <c r="P3722" s="24"/>
      <c r="Q3722" s="24">
        <f t="shared" si="6"/>
        <v>0</v>
      </c>
      <c r="R3722" s="24">
        <f t="shared" si="7"/>
        <v>0</v>
      </c>
      <c r="S3722" s="24"/>
      <c r="T3722" s="24"/>
    </row>
    <row r="3723">
      <c r="A3723" s="12" t="s">
        <v>3810</v>
      </c>
      <c r="F3723" s="19">
        <f>IFERROR(__xludf.DUMMYFUNCTION("SPLIT(A3719, "" |"")"),3717.0)</f>
        <v>3717</v>
      </c>
      <c r="G3723" s="19">
        <f>IFERROR(__xludf.DUMMYFUNCTION("""COMPUTED_VALUE"""),0.00235)</f>
        <v>0.00235</v>
      </c>
      <c r="H3723" s="19" t="str">
        <f>IFERROR(__xludf.DUMMYFUNCTION("""COMPUTED_VALUE"""),"-")</f>
        <v>-</v>
      </c>
      <c r="I3723" s="19">
        <f>IFERROR(__xludf.DUMMYFUNCTION("""COMPUTED_VALUE"""),0.00223)</f>
        <v>0.00223</v>
      </c>
      <c r="J3723" s="19">
        <f>IFERROR(__xludf.DUMMYFUNCTION("""COMPUTED_VALUE"""),0.04748)</f>
        <v>0.04748</v>
      </c>
      <c r="K3723" s="19" t="str">
        <f>IFERROR(__xludf.DUMMYFUNCTION("""COMPUTED_VALUE"""),"-")</f>
        <v>-</v>
      </c>
      <c r="L3723" s="19" t="str">
        <f>IFERROR(__xludf.DUMMYFUNCTION("""COMPUTED_VALUE"""),"-")</f>
        <v>-</v>
      </c>
      <c r="O3723" s="24">
        <f t="shared" si="4"/>
        <v>0</v>
      </c>
      <c r="P3723" s="24"/>
      <c r="Q3723" s="24">
        <f t="shared" si="6"/>
        <v>0</v>
      </c>
      <c r="R3723" s="24">
        <f t="shared" si="7"/>
        <v>0</v>
      </c>
      <c r="S3723" s="24"/>
      <c r="T3723" s="24"/>
    </row>
    <row r="3724">
      <c r="A3724" s="12" t="s">
        <v>3811</v>
      </c>
      <c r="F3724" s="19">
        <f>IFERROR(__xludf.DUMMYFUNCTION("SPLIT(A3720, "" |"")"),3718.0)</f>
        <v>3718</v>
      </c>
      <c r="G3724" s="19">
        <f>IFERROR(__xludf.DUMMYFUNCTION("""COMPUTED_VALUE"""),0.00236)</f>
        <v>0.00236</v>
      </c>
      <c r="H3724" s="19" t="str">
        <f>IFERROR(__xludf.DUMMYFUNCTION("""COMPUTED_VALUE"""),"-")</f>
        <v>-</v>
      </c>
      <c r="I3724" s="19">
        <f>IFERROR(__xludf.DUMMYFUNCTION("""COMPUTED_VALUE"""),0.00218)</f>
        <v>0.00218</v>
      </c>
      <c r="J3724" s="19">
        <f>IFERROR(__xludf.DUMMYFUNCTION("""COMPUTED_VALUE"""),0.04525)</f>
        <v>0.04525</v>
      </c>
      <c r="K3724" s="19" t="str">
        <f>IFERROR(__xludf.DUMMYFUNCTION("""COMPUTED_VALUE"""),"-")</f>
        <v>-</v>
      </c>
      <c r="L3724" s="19" t="str">
        <f>IFERROR(__xludf.DUMMYFUNCTION("""COMPUTED_VALUE"""),"-")</f>
        <v>-</v>
      </c>
      <c r="O3724" s="24">
        <f t="shared" si="4"/>
        <v>0</v>
      </c>
      <c r="P3724" s="24"/>
      <c r="Q3724" s="24">
        <f t="shared" si="6"/>
        <v>0</v>
      </c>
      <c r="R3724" s="24">
        <f t="shared" si="7"/>
        <v>0</v>
      </c>
      <c r="S3724" s="24"/>
      <c r="T3724" s="24"/>
    </row>
    <row r="3725">
      <c r="A3725" s="12" t="s">
        <v>3812</v>
      </c>
      <c r="F3725" s="19">
        <f>IFERROR(__xludf.DUMMYFUNCTION("SPLIT(A3721, "" |"")"),3719.0)</f>
        <v>3719</v>
      </c>
      <c r="G3725" s="19">
        <f>IFERROR(__xludf.DUMMYFUNCTION("""COMPUTED_VALUE"""),0.00237)</f>
        <v>0.00237</v>
      </c>
      <c r="H3725" s="19" t="str">
        <f>IFERROR(__xludf.DUMMYFUNCTION("""COMPUTED_VALUE"""),"-")</f>
        <v>-</v>
      </c>
      <c r="I3725" s="19">
        <f>IFERROR(__xludf.DUMMYFUNCTION("""COMPUTED_VALUE"""),0.00224)</f>
        <v>0.00224</v>
      </c>
      <c r="J3725" s="19">
        <f>IFERROR(__xludf.DUMMYFUNCTION("""COMPUTED_VALUE"""),0.04607)</f>
        <v>0.04607</v>
      </c>
      <c r="K3725" s="19" t="str">
        <f>IFERROR(__xludf.DUMMYFUNCTION("""COMPUTED_VALUE"""),"-")</f>
        <v>-</v>
      </c>
      <c r="L3725" s="19" t="str">
        <f>IFERROR(__xludf.DUMMYFUNCTION("""COMPUTED_VALUE"""),"-")</f>
        <v>-</v>
      </c>
      <c r="O3725" s="24">
        <f t="shared" si="4"/>
        <v>0</v>
      </c>
      <c r="P3725" s="24"/>
      <c r="Q3725" s="24">
        <f t="shared" si="6"/>
        <v>0</v>
      </c>
      <c r="R3725" s="24">
        <f t="shared" si="7"/>
        <v>0</v>
      </c>
      <c r="S3725" s="24"/>
      <c r="T3725" s="24"/>
    </row>
    <row r="3726">
      <c r="A3726" s="12" t="s">
        <v>3813</v>
      </c>
      <c r="F3726" s="19">
        <f>IFERROR(__xludf.DUMMYFUNCTION("SPLIT(A3722, "" |"")"),3720.0)</f>
        <v>3720</v>
      </c>
      <c r="G3726" s="19">
        <f>IFERROR(__xludf.DUMMYFUNCTION("""COMPUTED_VALUE"""),0.00235)</f>
        <v>0.00235</v>
      </c>
      <c r="H3726" s="19" t="str">
        <f>IFERROR(__xludf.DUMMYFUNCTION("""COMPUTED_VALUE"""),"-")</f>
        <v>-</v>
      </c>
      <c r="I3726" s="19">
        <f>IFERROR(__xludf.DUMMYFUNCTION("""COMPUTED_VALUE"""),0.00226)</f>
        <v>0.00226</v>
      </c>
      <c r="J3726" s="19">
        <f>IFERROR(__xludf.DUMMYFUNCTION("""COMPUTED_VALUE"""),0.04742)</f>
        <v>0.04742</v>
      </c>
      <c r="K3726" s="19" t="str">
        <f>IFERROR(__xludf.DUMMYFUNCTION("""COMPUTED_VALUE"""),"-")</f>
        <v>-</v>
      </c>
      <c r="L3726" s="19" t="str">
        <f>IFERROR(__xludf.DUMMYFUNCTION("""COMPUTED_VALUE"""),"-")</f>
        <v>-</v>
      </c>
      <c r="O3726" s="24">
        <f t="shared" si="4"/>
        <v>0</v>
      </c>
      <c r="P3726" s="24"/>
      <c r="Q3726" s="24">
        <f t="shared" si="6"/>
        <v>0</v>
      </c>
      <c r="R3726" s="24">
        <f t="shared" si="7"/>
        <v>0</v>
      </c>
      <c r="S3726" s="24"/>
      <c r="T3726" s="24"/>
    </row>
    <row r="3727">
      <c r="A3727" s="12" t="s">
        <v>3814</v>
      </c>
      <c r="F3727" s="19">
        <f>IFERROR(__xludf.DUMMYFUNCTION("SPLIT(A3723, "" |"")"),3721.0)</f>
        <v>3721</v>
      </c>
      <c r="G3727" s="19">
        <f>IFERROR(__xludf.DUMMYFUNCTION("""COMPUTED_VALUE"""),0.00237)</f>
        <v>0.00237</v>
      </c>
      <c r="H3727" s="19" t="str">
        <f>IFERROR(__xludf.DUMMYFUNCTION("""COMPUTED_VALUE"""),"-")</f>
        <v>-</v>
      </c>
      <c r="I3727" s="19">
        <f>IFERROR(__xludf.DUMMYFUNCTION("""COMPUTED_VALUE"""),0.00224)</f>
        <v>0.00224</v>
      </c>
      <c r="J3727" s="19">
        <f>IFERROR(__xludf.DUMMYFUNCTION("""COMPUTED_VALUE"""),0.04749)</f>
        <v>0.04749</v>
      </c>
      <c r="K3727" s="19" t="str">
        <f>IFERROR(__xludf.DUMMYFUNCTION("""COMPUTED_VALUE"""),"-")</f>
        <v>-</v>
      </c>
      <c r="L3727" s="19" t="str">
        <f>IFERROR(__xludf.DUMMYFUNCTION("""COMPUTED_VALUE"""),"-")</f>
        <v>-</v>
      </c>
      <c r="O3727" s="24">
        <f t="shared" si="4"/>
        <v>0</v>
      </c>
      <c r="P3727" s="24"/>
      <c r="Q3727" s="24">
        <f t="shared" si="6"/>
        <v>0</v>
      </c>
      <c r="R3727" s="24">
        <f t="shared" si="7"/>
        <v>0</v>
      </c>
      <c r="S3727" s="24"/>
      <c r="T3727" s="24"/>
    </row>
    <row r="3728">
      <c r="A3728" s="12" t="s">
        <v>3815</v>
      </c>
      <c r="F3728" s="19">
        <f>IFERROR(__xludf.DUMMYFUNCTION("SPLIT(A3724, "" |"")"),3722.0)</f>
        <v>3722</v>
      </c>
      <c r="G3728" s="19">
        <f>IFERROR(__xludf.DUMMYFUNCTION("""COMPUTED_VALUE"""),0.00239)</f>
        <v>0.00239</v>
      </c>
      <c r="H3728" s="19" t="str">
        <f>IFERROR(__xludf.DUMMYFUNCTION("""COMPUTED_VALUE"""),"-")</f>
        <v>-</v>
      </c>
      <c r="I3728" s="19">
        <f>IFERROR(__xludf.DUMMYFUNCTION("""COMPUTED_VALUE"""),0.00221)</f>
        <v>0.00221</v>
      </c>
      <c r="J3728" s="19">
        <f>IFERROR(__xludf.DUMMYFUNCTION("""COMPUTED_VALUE"""),0.04748)</f>
        <v>0.04748</v>
      </c>
      <c r="K3728" s="19" t="str">
        <f>IFERROR(__xludf.DUMMYFUNCTION("""COMPUTED_VALUE"""),"-")</f>
        <v>-</v>
      </c>
      <c r="L3728" s="19" t="str">
        <f>IFERROR(__xludf.DUMMYFUNCTION("""COMPUTED_VALUE"""),"-")</f>
        <v>-</v>
      </c>
      <c r="O3728" s="24">
        <f t="shared" si="4"/>
        <v>0</v>
      </c>
      <c r="P3728" s="24"/>
      <c r="Q3728" s="24">
        <f t="shared" si="6"/>
        <v>0</v>
      </c>
      <c r="R3728" s="24">
        <f t="shared" si="7"/>
        <v>0</v>
      </c>
      <c r="S3728" s="24"/>
      <c r="T3728" s="24"/>
    </row>
    <row r="3729">
      <c r="A3729" s="12" t="s">
        <v>3816</v>
      </c>
      <c r="F3729" s="19">
        <f>IFERROR(__xludf.DUMMYFUNCTION("SPLIT(A3725, "" |"")"),3723.0)</f>
        <v>3723</v>
      </c>
      <c r="G3729" s="19">
        <f>IFERROR(__xludf.DUMMYFUNCTION("""COMPUTED_VALUE"""),0.00232)</f>
        <v>0.00232</v>
      </c>
      <c r="H3729" s="19" t="str">
        <f>IFERROR(__xludf.DUMMYFUNCTION("""COMPUTED_VALUE"""),"-")</f>
        <v>-</v>
      </c>
      <c r="I3729" s="19">
        <f>IFERROR(__xludf.DUMMYFUNCTION("""COMPUTED_VALUE"""),0.00223)</f>
        <v>0.00223</v>
      </c>
      <c r="J3729" s="19">
        <f>IFERROR(__xludf.DUMMYFUNCTION("""COMPUTED_VALUE"""),0.04747)</f>
        <v>0.04747</v>
      </c>
      <c r="K3729" s="19" t="str">
        <f>IFERROR(__xludf.DUMMYFUNCTION("""COMPUTED_VALUE"""),"-")</f>
        <v>-</v>
      </c>
      <c r="L3729" s="19" t="str">
        <f>IFERROR(__xludf.DUMMYFUNCTION("""COMPUTED_VALUE"""),"-")</f>
        <v>-</v>
      </c>
      <c r="O3729" s="24">
        <f t="shared" si="4"/>
        <v>0</v>
      </c>
      <c r="P3729" s="24"/>
      <c r="Q3729" s="24">
        <f t="shared" si="6"/>
        <v>0</v>
      </c>
      <c r="R3729" s="24">
        <f t="shared" si="7"/>
        <v>0</v>
      </c>
      <c r="S3729" s="24"/>
      <c r="T3729" s="24"/>
    </row>
    <row r="3730">
      <c r="A3730" s="12" t="s">
        <v>3817</v>
      </c>
      <c r="F3730" s="19">
        <f>IFERROR(__xludf.DUMMYFUNCTION("SPLIT(A3726, "" |"")"),3724.0)</f>
        <v>3724</v>
      </c>
      <c r="G3730" s="19">
        <f>IFERROR(__xludf.DUMMYFUNCTION("""COMPUTED_VALUE"""),0.00232)</f>
        <v>0.00232</v>
      </c>
      <c r="H3730" s="19" t="str">
        <f>IFERROR(__xludf.DUMMYFUNCTION("""COMPUTED_VALUE"""),"-")</f>
        <v>-</v>
      </c>
      <c r="I3730" s="19">
        <f>IFERROR(__xludf.DUMMYFUNCTION("""COMPUTED_VALUE"""),0.0022)</f>
        <v>0.0022</v>
      </c>
      <c r="J3730" s="19">
        <f>IFERROR(__xludf.DUMMYFUNCTION("""COMPUTED_VALUE"""),0.04747)</f>
        <v>0.04747</v>
      </c>
      <c r="K3730" s="19" t="str">
        <f>IFERROR(__xludf.DUMMYFUNCTION("""COMPUTED_VALUE"""),"-")</f>
        <v>-</v>
      </c>
      <c r="L3730" s="19" t="str">
        <f>IFERROR(__xludf.DUMMYFUNCTION("""COMPUTED_VALUE"""),"-")</f>
        <v>-</v>
      </c>
      <c r="O3730" s="24">
        <f t="shared" si="4"/>
        <v>0</v>
      </c>
      <c r="P3730" s="24"/>
      <c r="Q3730" s="24">
        <f t="shared" si="6"/>
        <v>0</v>
      </c>
      <c r="R3730" s="24">
        <f t="shared" si="7"/>
        <v>0</v>
      </c>
      <c r="S3730" s="24"/>
      <c r="T3730" s="24"/>
    </row>
    <row r="3731">
      <c r="A3731" s="12" t="s">
        <v>3818</v>
      </c>
      <c r="F3731" s="19">
        <f>IFERROR(__xludf.DUMMYFUNCTION("SPLIT(A3727, "" |"")"),3725.0)</f>
        <v>3725</v>
      </c>
      <c r="G3731" s="19">
        <f>IFERROR(__xludf.DUMMYFUNCTION("""COMPUTED_VALUE"""),0.00232)</f>
        <v>0.00232</v>
      </c>
      <c r="H3731" s="19" t="str">
        <f>IFERROR(__xludf.DUMMYFUNCTION("""COMPUTED_VALUE"""),"-")</f>
        <v>-</v>
      </c>
      <c r="I3731" s="19">
        <f>IFERROR(__xludf.DUMMYFUNCTION("""COMPUTED_VALUE"""),0.00223)</f>
        <v>0.00223</v>
      </c>
      <c r="J3731" s="19">
        <f>IFERROR(__xludf.DUMMYFUNCTION("""COMPUTED_VALUE"""),0.04747)</f>
        <v>0.04747</v>
      </c>
      <c r="K3731" s="19" t="str">
        <f>IFERROR(__xludf.DUMMYFUNCTION("""COMPUTED_VALUE"""),"-")</f>
        <v>-</v>
      </c>
      <c r="L3731" s="19" t="str">
        <f>IFERROR(__xludf.DUMMYFUNCTION("""COMPUTED_VALUE"""),"-")</f>
        <v>-</v>
      </c>
      <c r="O3731" s="24">
        <f t="shared" si="4"/>
        <v>0</v>
      </c>
      <c r="P3731" s="24"/>
      <c r="Q3731" s="24">
        <f t="shared" si="6"/>
        <v>0</v>
      </c>
      <c r="R3731" s="24">
        <f t="shared" si="7"/>
        <v>0</v>
      </c>
      <c r="S3731" s="24"/>
      <c r="T3731" s="24"/>
    </row>
    <row r="3732">
      <c r="A3732" s="12" t="s">
        <v>3819</v>
      </c>
      <c r="F3732" s="19">
        <f>IFERROR(__xludf.DUMMYFUNCTION("SPLIT(A3728, "" |"")"),3726.0)</f>
        <v>3726</v>
      </c>
      <c r="G3732" s="19">
        <f>IFERROR(__xludf.DUMMYFUNCTION("""COMPUTED_VALUE"""),0.00238)</f>
        <v>0.00238</v>
      </c>
      <c r="H3732" s="19" t="str">
        <f>IFERROR(__xludf.DUMMYFUNCTION("""COMPUTED_VALUE"""),"-")</f>
        <v>-</v>
      </c>
      <c r="I3732" s="19">
        <f>IFERROR(__xludf.DUMMYFUNCTION("""COMPUTED_VALUE"""),0.00221)</f>
        <v>0.00221</v>
      </c>
      <c r="J3732" s="19">
        <f>IFERROR(__xludf.DUMMYFUNCTION("""COMPUTED_VALUE"""),0.04742)</f>
        <v>0.04742</v>
      </c>
      <c r="K3732" s="19" t="str">
        <f>IFERROR(__xludf.DUMMYFUNCTION("""COMPUTED_VALUE"""),"-")</f>
        <v>-</v>
      </c>
      <c r="L3732" s="19" t="str">
        <f>IFERROR(__xludf.DUMMYFUNCTION("""COMPUTED_VALUE"""),"-")</f>
        <v>-</v>
      </c>
      <c r="O3732" s="24">
        <f t="shared" si="4"/>
        <v>0</v>
      </c>
      <c r="P3732" s="24"/>
      <c r="Q3732" s="24">
        <f t="shared" si="6"/>
        <v>0</v>
      </c>
      <c r="R3732" s="24">
        <f t="shared" si="7"/>
        <v>0</v>
      </c>
      <c r="S3732" s="24"/>
      <c r="T3732" s="24"/>
    </row>
    <row r="3733">
      <c r="A3733" s="12" t="s">
        <v>3820</v>
      </c>
      <c r="F3733" s="19">
        <f>IFERROR(__xludf.DUMMYFUNCTION("SPLIT(A3729, "" |"")"),3727.0)</f>
        <v>3727</v>
      </c>
      <c r="G3733" s="19">
        <f>IFERROR(__xludf.DUMMYFUNCTION("""COMPUTED_VALUE"""),0.00226)</f>
        <v>0.00226</v>
      </c>
      <c r="H3733" s="19" t="str">
        <f>IFERROR(__xludf.DUMMYFUNCTION("""COMPUTED_VALUE"""),"-")</f>
        <v>-</v>
      </c>
      <c r="I3733" s="19">
        <f>IFERROR(__xludf.DUMMYFUNCTION("""COMPUTED_VALUE"""),0.00229)</f>
        <v>0.00229</v>
      </c>
      <c r="J3733" s="19">
        <f>IFERROR(__xludf.DUMMYFUNCTION("""COMPUTED_VALUE"""),0.04142)</f>
        <v>0.04142</v>
      </c>
      <c r="K3733" s="19" t="str">
        <f>IFERROR(__xludf.DUMMYFUNCTION("""COMPUTED_VALUE"""),"-")</f>
        <v>-</v>
      </c>
      <c r="L3733" s="19" t="str">
        <f>IFERROR(__xludf.DUMMYFUNCTION("""COMPUTED_VALUE"""),"-")</f>
        <v>-</v>
      </c>
      <c r="O3733" s="24">
        <f t="shared" si="4"/>
        <v>0</v>
      </c>
      <c r="P3733" s="24"/>
      <c r="Q3733" s="24">
        <f t="shared" si="6"/>
        <v>0</v>
      </c>
      <c r="R3733" s="24">
        <f t="shared" si="7"/>
        <v>1</v>
      </c>
      <c r="S3733" s="24"/>
      <c r="T3733" s="24"/>
    </row>
    <row r="3734">
      <c r="A3734" s="12" t="s">
        <v>3821</v>
      </c>
      <c r="F3734" s="19">
        <f>IFERROR(__xludf.DUMMYFUNCTION("SPLIT(A3730, "" |"")"),3728.0)</f>
        <v>3728</v>
      </c>
      <c r="G3734" s="19">
        <f>IFERROR(__xludf.DUMMYFUNCTION("""COMPUTED_VALUE"""),0.00233)</f>
        <v>0.00233</v>
      </c>
      <c r="H3734" s="19" t="str">
        <f>IFERROR(__xludf.DUMMYFUNCTION("""COMPUTED_VALUE"""),"-")</f>
        <v>-</v>
      </c>
      <c r="I3734" s="19">
        <f>IFERROR(__xludf.DUMMYFUNCTION("""COMPUTED_VALUE"""),0.00222)</f>
        <v>0.00222</v>
      </c>
      <c r="J3734" s="19">
        <f>IFERROR(__xludf.DUMMYFUNCTION("""COMPUTED_VALUE"""),0.04462)</f>
        <v>0.04462</v>
      </c>
      <c r="K3734" s="19" t="str">
        <f>IFERROR(__xludf.DUMMYFUNCTION("""COMPUTED_VALUE"""),"-")</f>
        <v>-</v>
      </c>
      <c r="L3734" s="19" t="str">
        <f>IFERROR(__xludf.DUMMYFUNCTION("""COMPUTED_VALUE"""),"-")</f>
        <v>-</v>
      </c>
      <c r="O3734" s="24">
        <f t="shared" si="4"/>
        <v>0</v>
      </c>
      <c r="P3734" s="24"/>
      <c r="Q3734" s="24">
        <f t="shared" si="6"/>
        <v>0</v>
      </c>
      <c r="R3734" s="24">
        <f t="shared" si="7"/>
        <v>1</v>
      </c>
      <c r="S3734" s="24"/>
      <c r="T3734" s="24"/>
    </row>
    <row r="3735">
      <c r="A3735" s="12" t="s">
        <v>3822</v>
      </c>
      <c r="F3735" s="19">
        <f>IFERROR(__xludf.DUMMYFUNCTION("SPLIT(A3731, "" |"")"),3729.0)</f>
        <v>3729</v>
      </c>
      <c r="G3735" s="19">
        <f>IFERROR(__xludf.DUMMYFUNCTION("""COMPUTED_VALUE"""),0.00241)</f>
        <v>0.00241</v>
      </c>
      <c r="H3735" s="19" t="str">
        <f>IFERROR(__xludf.DUMMYFUNCTION("""COMPUTED_VALUE"""),"-")</f>
        <v>-</v>
      </c>
      <c r="I3735" s="19">
        <f>IFERROR(__xludf.DUMMYFUNCTION("""COMPUTED_VALUE"""),0.00221)</f>
        <v>0.00221</v>
      </c>
      <c r="J3735" s="19">
        <f>IFERROR(__xludf.DUMMYFUNCTION("""COMPUTED_VALUE"""),0.04748)</f>
        <v>0.04748</v>
      </c>
      <c r="K3735" s="19" t="str">
        <f>IFERROR(__xludf.DUMMYFUNCTION("""COMPUTED_VALUE"""),"-")</f>
        <v>-</v>
      </c>
      <c r="L3735" s="19" t="str">
        <f>IFERROR(__xludf.DUMMYFUNCTION("""COMPUTED_VALUE"""),"-")</f>
        <v>-</v>
      </c>
      <c r="O3735" s="24">
        <f t="shared" si="4"/>
        <v>0</v>
      </c>
      <c r="P3735" s="24"/>
      <c r="Q3735" s="24">
        <f t="shared" si="6"/>
        <v>0</v>
      </c>
      <c r="R3735" s="24">
        <f t="shared" si="7"/>
        <v>0</v>
      </c>
      <c r="S3735" s="24"/>
      <c r="T3735" s="24"/>
    </row>
    <row r="3736">
      <c r="A3736" s="12" t="s">
        <v>3823</v>
      </c>
      <c r="F3736" s="19">
        <f>IFERROR(__xludf.DUMMYFUNCTION("SPLIT(A3732, "" |"")"),3730.0)</f>
        <v>3730</v>
      </c>
      <c r="G3736" s="19">
        <f>IFERROR(__xludf.DUMMYFUNCTION("""COMPUTED_VALUE"""),0.00233)</f>
        <v>0.00233</v>
      </c>
      <c r="H3736" s="19" t="str">
        <f>IFERROR(__xludf.DUMMYFUNCTION("""COMPUTED_VALUE"""),"-")</f>
        <v>-</v>
      </c>
      <c r="I3736" s="19">
        <f>IFERROR(__xludf.DUMMYFUNCTION("""COMPUTED_VALUE"""),0.00224)</f>
        <v>0.00224</v>
      </c>
      <c r="J3736" s="19">
        <f>IFERROR(__xludf.DUMMYFUNCTION("""COMPUTED_VALUE"""),0.04746)</f>
        <v>0.04746</v>
      </c>
      <c r="K3736" s="19" t="str">
        <f>IFERROR(__xludf.DUMMYFUNCTION("""COMPUTED_VALUE"""),"-")</f>
        <v>-</v>
      </c>
      <c r="L3736" s="19" t="str">
        <f>IFERROR(__xludf.DUMMYFUNCTION("""COMPUTED_VALUE"""),"-")</f>
        <v>-</v>
      </c>
      <c r="O3736" s="24">
        <f t="shared" si="4"/>
        <v>0</v>
      </c>
      <c r="P3736" s="24"/>
      <c r="Q3736" s="24">
        <f t="shared" si="6"/>
        <v>0</v>
      </c>
      <c r="R3736" s="24">
        <f t="shared" si="7"/>
        <v>0</v>
      </c>
      <c r="S3736" s="24"/>
      <c r="T3736" s="24"/>
    </row>
    <row r="3737">
      <c r="A3737" s="12" t="s">
        <v>3824</v>
      </c>
      <c r="F3737" s="19">
        <f>IFERROR(__xludf.DUMMYFUNCTION("SPLIT(A3733, "" |"")"),3731.0)</f>
        <v>3731</v>
      </c>
      <c r="G3737" s="19">
        <f>IFERROR(__xludf.DUMMYFUNCTION("""COMPUTED_VALUE"""),0.00221)</f>
        <v>0.00221</v>
      </c>
      <c r="H3737" s="19" t="str">
        <f>IFERROR(__xludf.DUMMYFUNCTION("""COMPUTED_VALUE"""),"-")</f>
        <v>-</v>
      </c>
      <c r="I3737" s="19">
        <f>IFERROR(__xludf.DUMMYFUNCTION("""COMPUTED_VALUE"""),0.0021)</f>
        <v>0.0021</v>
      </c>
      <c r="J3737" s="19">
        <f>IFERROR(__xludf.DUMMYFUNCTION("""COMPUTED_VALUE"""),0.04729)</f>
        <v>0.04729</v>
      </c>
      <c r="K3737" s="19" t="str">
        <f>IFERROR(__xludf.DUMMYFUNCTION("""COMPUTED_VALUE"""),"-")</f>
        <v>-</v>
      </c>
      <c r="L3737" s="19" t="str">
        <f>IFERROR(__xludf.DUMMYFUNCTION("""COMPUTED_VALUE"""),"-")</f>
        <v>-</v>
      </c>
      <c r="O3737" s="24">
        <f t="shared" si="4"/>
        <v>0</v>
      </c>
      <c r="P3737" s="24"/>
      <c r="Q3737" s="24">
        <f t="shared" si="6"/>
        <v>0</v>
      </c>
      <c r="R3737" s="24">
        <f t="shared" si="7"/>
        <v>0</v>
      </c>
      <c r="S3737" s="24"/>
      <c r="T3737" s="24"/>
    </row>
    <row r="3738">
      <c r="A3738" s="12" t="s">
        <v>3825</v>
      </c>
      <c r="F3738" s="19">
        <f>IFERROR(__xludf.DUMMYFUNCTION("SPLIT(A3734, "" |"")"),3732.0)</f>
        <v>3732</v>
      </c>
      <c r="G3738" s="19">
        <f>IFERROR(__xludf.DUMMYFUNCTION("""COMPUTED_VALUE"""),0.00241)</f>
        <v>0.00241</v>
      </c>
      <c r="H3738" s="19" t="str">
        <f>IFERROR(__xludf.DUMMYFUNCTION("""COMPUTED_VALUE"""),"-")</f>
        <v>-</v>
      </c>
      <c r="I3738" s="19">
        <f>IFERROR(__xludf.DUMMYFUNCTION("""COMPUTED_VALUE"""),0.00228)</f>
        <v>0.00228</v>
      </c>
      <c r="J3738" s="19">
        <f>IFERROR(__xludf.DUMMYFUNCTION("""COMPUTED_VALUE"""),0.04751)</f>
        <v>0.04751</v>
      </c>
      <c r="K3738" s="19" t="str">
        <f>IFERROR(__xludf.DUMMYFUNCTION("""COMPUTED_VALUE"""),"-")</f>
        <v>-</v>
      </c>
      <c r="L3738" s="19" t="str">
        <f>IFERROR(__xludf.DUMMYFUNCTION("""COMPUTED_VALUE"""),"-")</f>
        <v>-</v>
      </c>
      <c r="O3738" s="24">
        <f t="shared" si="4"/>
        <v>0</v>
      </c>
      <c r="P3738" s="24"/>
      <c r="Q3738" s="24">
        <f t="shared" si="6"/>
        <v>0</v>
      </c>
      <c r="R3738" s="24">
        <f t="shared" si="7"/>
        <v>0</v>
      </c>
      <c r="S3738" s="24"/>
      <c r="T3738" s="24"/>
    </row>
    <row r="3739">
      <c r="A3739" s="12" t="s">
        <v>3826</v>
      </c>
      <c r="F3739" s="19">
        <f>IFERROR(__xludf.DUMMYFUNCTION("SPLIT(A3735, "" |"")"),3733.0)</f>
        <v>3733</v>
      </c>
      <c r="G3739" s="19">
        <f>IFERROR(__xludf.DUMMYFUNCTION("""COMPUTED_VALUE"""),0.00232)</f>
        <v>0.00232</v>
      </c>
      <c r="H3739" s="19" t="str">
        <f>IFERROR(__xludf.DUMMYFUNCTION("""COMPUTED_VALUE"""),"-")</f>
        <v>-</v>
      </c>
      <c r="I3739" s="19">
        <f>IFERROR(__xludf.DUMMYFUNCTION("""COMPUTED_VALUE"""),0.00227)</f>
        <v>0.00227</v>
      </c>
      <c r="J3739" s="19">
        <f>IFERROR(__xludf.DUMMYFUNCTION("""COMPUTED_VALUE"""),0.04746)</f>
        <v>0.04746</v>
      </c>
      <c r="K3739" s="19" t="str">
        <f>IFERROR(__xludf.DUMMYFUNCTION("""COMPUTED_VALUE"""),"-")</f>
        <v>-</v>
      </c>
      <c r="L3739" s="19" t="str">
        <f>IFERROR(__xludf.DUMMYFUNCTION("""COMPUTED_VALUE"""),"-")</f>
        <v>-</v>
      </c>
      <c r="O3739" s="24">
        <f t="shared" si="4"/>
        <v>0</v>
      </c>
      <c r="P3739" s="24"/>
      <c r="Q3739" s="24">
        <f t="shared" si="6"/>
        <v>0</v>
      </c>
      <c r="R3739" s="24">
        <f t="shared" si="7"/>
        <v>0</v>
      </c>
      <c r="S3739" s="24"/>
      <c r="T3739" s="24"/>
    </row>
    <row r="3740">
      <c r="A3740" s="12" t="s">
        <v>3827</v>
      </c>
      <c r="F3740" s="19">
        <f>IFERROR(__xludf.DUMMYFUNCTION("SPLIT(A3736, "" |"")"),3734.0)</f>
        <v>3734</v>
      </c>
      <c r="G3740" s="19">
        <f>IFERROR(__xludf.DUMMYFUNCTION("""COMPUTED_VALUE"""),0.00237)</f>
        <v>0.00237</v>
      </c>
      <c r="H3740" s="19" t="str">
        <f>IFERROR(__xludf.DUMMYFUNCTION("""COMPUTED_VALUE"""),"-")</f>
        <v>-</v>
      </c>
      <c r="I3740" s="19">
        <f>IFERROR(__xludf.DUMMYFUNCTION("""COMPUTED_VALUE"""),0.00221)</f>
        <v>0.00221</v>
      </c>
      <c r="J3740" s="19">
        <f>IFERROR(__xludf.DUMMYFUNCTION("""COMPUTED_VALUE"""),0.04748)</f>
        <v>0.04748</v>
      </c>
      <c r="K3740" s="19" t="str">
        <f>IFERROR(__xludf.DUMMYFUNCTION("""COMPUTED_VALUE"""),"-")</f>
        <v>-</v>
      </c>
      <c r="L3740" s="19" t="str">
        <f>IFERROR(__xludf.DUMMYFUNCTION("""COMPUTED_VALUE"""),"-")</f>
        <v>-</v>
      </c>
      <c r="O3740" s="24">
        <f t="shared" si="4"/>
        <v>0</v>
      </c>
      <c r="P3740" s="24"/>
      <c r="Q3740" s="24">
        <f t="shared" si="6"/>
        <v>0</v>
      </c>
      <c r="R3740" s="24">
        <f t="shared" si="7"/>
        <v>0</v>
      </c>
      <c r="S3740" s="24"/>
      <c r="T3740" s="24"/>
    </row>
    <row r="3741">
      <c r="A3741" s="12" t="s">
        <v>3828</v>
      </c>
      <c r="F3741" s="19">
        <f>IFERROR(__xludf.DUMMYFUNCTION("SPLIT(A3737, "" |"")"),3735.0)</f>
        <v>3735</v>
      </c>
      <c r="G3741" s="19">
        <f>IFERROR(__xludf.DUMMYFUNCTION("""COMPUTED_VALUE"""),0.00231)</f>
        <v>0.00231</v>
      </c>
      <c r="H3741" s="19" t="str">
        <f>IFERROR(__xludf.DUMMYFUNCTION("""COMPUTED_VALUE"""),"-")</f>
        <v>-</v>
      </c>
      <c r="I3741" s="19">
        <f>IFERROR(__xludf.DUMMYFUNCTION("""COMPUTED_VALUE"""),0.00213)</f>
        <v>0.00213</v>
      </c>
      <c r="J3741" s="19">
        <f>IFERROR(__xludf.DUMMYFUNCTION("""COMPUTED_VALUE"""),0.0475)</f>
        <v>0.0475</v>
      </c>
      <c r="K3741" s="19" t="str">
        <f>IFERROR(__xludf.DUMMYFUNCTION("""COMPUTED_VALUE"""),"-")</f>
        <v>-</v>
      </c>
      <c r="L3741" s="19" t="str">
        <f>IFERROR(__xludf.DUMMYFUNCTION("""COMPUTED_VALUE"""),"-")</f>
        <v>-</v>
      </c>
      <c r="O3741" s="24">
        <f t="shared" si="4"/>
        <v>0</v>
      </c>
      <c r="P3741" s="24"/>
      <c r="Q3741" s="24">
        <f t="shared" si="6"/>
        <v>0</v>
      </c>
      <c r="R3741" s="24">
        <f t="shared" si="7"/>
        <v>0</v>
      </c>
      <c r="S3741" s="24"/>
      <c r="T3741" s="24"/>
    </row>
    <row r="3742">
      <c r="A3742" s="12" t="s">
        <v>3829</v>
      </c>
      <c r="F3742" s="19">
        <f>IFERROR(__xludf.DUMMYFUNCTION("SPLIT(A3738, "" |"")"),3736.0)</f>
        <v>3736</v>
      </c>
      <c r="G3742" s="19">
        <f>IFERROR(__xludf.DUMMYFUNCTION("""COMPUTED_VALUE"""),0.00221)</f>
        <v>0.00221</v>
      </c>
      <c r="H3742" s="19" t="str">
        <f>IFERROR(__xludf.DUMMYFUNCTION("""COMPUTED_VALUE"""),"-")</f>
        <v>-</v>
      </c>
      <c r="I3742" s="19">
        <f>IFERROR(__xludf.DUMMYFUNCTION("""COMPUTED_VALUE"""),0.00214)</f>
        <v>0.00214</v>
      </c>
      <c r="J3742" s="19">
        <f>IFERROR(__xludf.DUMMYFUNCTION("""COMPUTED_VALUE"""),0.04728)</f>
        <v>0.04728</v>
      </c>
      <c r="K3742" s="19" t="str">
        <f>IFERROR(__xludf.DUMMYFUNCTION("""COMPUTED_VALUE"""),"-")</f>
        <v>-</v>
      </c>
      <c r="L3742" s="19" t="str">
        <f>IFERROR(__xludf.DUMMYFUNCTION("""COMPUTED_VALUE"""),"-")</f>
        <v>-</v>
      </c>
      <c r="O3742" s="24">
        <f t="shared" si="4"/>
        <v>0</v>
      </c>
      <c r="P3742" s="24"/>
      <c r="Q3742" s="24">
        <f t="shared" si="6"/>
        <v>0</v>
      </c>
      <c r="R3742" s="24">
        <f t="shared" si="7"/>
        <v>0</v>
      </c>
      <c r="S3742" s="24"/>
      <c r="T3742" s="24"/>
    </row>
    <row r="3743">
      <c r="A3743" s="12" t="s">
        <v>3830</v>
      </c>
      <c r="F3743" s="19">
        <f>IFERROR(__xludf.DUMMYFUNCTION("SPLIT(A3739, "" |"")"),3737.0)</f>
        <v>3737</v>
      </c>
      <c r="G3743" s="19">
        <f>IFERROR(__xludf.DUMMYFUNCTION("""COMPUTED_VALUE"""),0.00225)</f>
        <v>0.00225</v>
      </c>
      <c r="H3743" s="19" t="str">
        <f>IFERROR(__xludf.DUMMYFUNCTION("""COMPUTED_VALUE"""),"-")</f>
        <v>-</v>
      </c>
      <c r="I3743" s="19">
        <f>IFERROR(__xludf.DUMMYFUNCTION("""COMPUTED_VALUE"""),0.00213)</f>
        <v>0.00213</v>
      </c>
      <c r="J3743" s="19">
        <f>IFERROR(__xludf.DUMMYFUNCTION("""COMPUTED_VALUE"""),0.04756)</f>
        <v>0.04756</v>
      </c>
      <c r="K3743" s="19" t="str">
        <f>IFERROR(__xludf.DUMMYFUNCTION("""COMPUTED_VALUE"""),"-")</f>
        <v>-</v>
      </c>
      <c r="L3743" s="19" t="str">
        <f>IFERROR(__xludf.DUMMYFUNCTION("""COMPUTED_VALUE"""),"-")</f>
        <v>-</v>
      </c>
      <c r="O3743" s="24">
        <f t="shared" si="4"/>
        <v>0</v>
      </c>
      <c r="P3743" s="24"/>
      <c r="Q3743" s="24">
        <f t="shared" si="6"/>
        <v>0</v>
      </c>
      <c r="R3743" s="24">
        <f t="shared" si="7"/>
        <v>0</v>
      </c>
      <c r="S3743" s="24"/>
      <c r="T3743" s="24"/>
    </row>
    <row r="3744">
      <c r="A3744" s="12" t="s">
        <v>3831</v>
      </c>
      <c r="F3744" s="19">
        <f>IFERROR(__xludf.DUMMYFUNCTION("SPLIT(A3740, "" |"")"),3738.0)</f>
        <v>3738</v>
      </c>
      <c r="G3744" s="19">
        <f>IFERROR(__xludf.DUMMYFUNCTION("""COMPUTED_VALUE"""),0.00238)</f>
        <v>0.00238</v>
      </c>
      <c r="H3744" s="19" t="str">
        <f>IFERROR(__xludf.DUMMYFUNCTION("""COMPUTED_VALUE"""),"-")</f>
        <v>-</v>
      </c>
      <c r="I3744" s="19">
        <f>IFERROR(__xludf.DUMMYFUNCTION("""COMPUTED_VALUE"""),0.00227)</f>
        <v>0.00227</v>
      </c>
      <c r="J3744" s="19">
        <f>IFERROR(__xludf.DUMMYFUNCTION("""COMPUTED_VALUE"""),0.04747)</f>
        <v>0.04747</v>
      </c>
      <c r="K3744" s="19" t="str">
        <f>IFERROR(__xludf.DUMMYFUNCTION("""COMPUTED_VALUE"""),"-")</f>
        <v>-</v>
      </c>
      <c r="L3744" s="19" t="str">
        <f>IFERROR(__xludf.DUMMYFUNCTION("""COMPUTED_VALUE"""),"-")</f>
        <v>-</v>
      </c>
      <c r="O3744" s="24">
        <f t="shared" si="4"/>
        <v>0</v>
      </c>
      <c r="P3744" s="24"/>
      <c r="Q3744" s="24">
        <f t="shared" si="6"/>
        <v>0</v>
      </c>
      <c r="R3744" s="24">
        <f t="shared" si="7"/>
        <v>0</v>
      </c>
      <c r="S3744" s="24"/>
      <c r="T3744" s="24"/>
    </row>
    <row r="3745">
      <c r="A3745" s="12" t="s">
        <v>3832</v>
      </c>
      <c r="F3745" s="19">
        <f>IFERROR(__xludf.DUMMYFUNCTION("SPLIT(A3741, "" |"")"),3739.0)</f>
        <v>3739</v>
      </c>
      <c r="G3745" s="19">
        <f>IFERROR(__xludf.DUMMYFUNCTION("""COMPUTED_VALUE"""),0.00232)</f>
        <v>0.00232</v>
      </c>
      <c r="H3745" s="19" t="str">
        <f>IFERROR(__xludf.DUMMYFUNCTION("""COMPUTED_VALUE"""),"-")</f>
        <v>-</v>
      </c>
      <c r="I3745" s="19">
        <f>IFERROR(__xludf.DUMMYFUNCTION("""COMPUTED_VALUE"""),0.00216)</f>
        <v>0.00216</v>
      </c>
      <c r="J3745" s="19">
        <f>IFERROR(__xludf.DUMMYFUNCTION("""COMPUTED_VALUE"""),0.04592)</f>
        <v>0.04592</v>
      </c>
      <c r="K3745" s="19" t="str">
        <f>IFERROR(__xludf.DUMMYFUNCTION("""COMPUTED_VALUE"""),"-")</f>
        <v>-</v>
      </c>
      <c r="L3745" s="19" t="str">
        <f>IFERROR(__xludf.DUMMYFUNCTION("""COMPUTED_VALUE"""),"-")</f>
        <v>-</v>
      </c>
      <c r="O3745" s="24">
        <f t="shared" si="4"/>
        <v>0</v>
      </c>
      <c r="P3745" s="24"/>
      <c r="Q3745" s="24">
        <f t="shared" si="6"/>
        <v>0</v>
      </c>
      <c r="R3745" s="24">
        <f t="shared" si="7"/>
        <v>0</v>
      </c>
      <c r="S3745" s="24"/>
      <c r="T3745" s="24"/>
    </row>
    <row r="3746">
      <c r="A3746" s="12" t="s">
        <v>3833</v>
      </c>
      <c r="F3746" s="19">
        <f>IFERROR(__xludf.DUMMYFUNCTION("SPLIT(A3742, "" |"")"),3740.0)</f>
        <v>3740</v>
      </c>
      <c r="G3746" s="19">
        <f>IFERROR(__xludf.DUMMYFUNCTION("""COMPUTED_VALUE"""),0.00228)</f>
        <v>0.00228</v>
      </c>
      <c r="H3746" s="19" t="str">
        <f>IFERROR(__xludf.DUMMYFUNCTION("""COMPUTED_VALUE"""),"-")</f>
        <v>-</v>
      </c>
      <c r="I3746" s="19">
        <f>IFERROR(__xludf.DUMMYFUNCTION("""COMPUTED_VALUE"""),0.0022)</f>
        <v>0.0022</v>
      </c>
      <c r="J3746" s="19">
        <f>IFERROR(__xludf.DUMMYFUNCTION("""COMPUTED_VALUE"""),0.04744)</f>
        <v>0.04744</v>
      </c>
      <c r="K3746" s="19" t="str">
        <f>IFERROR(__xludf.DUMMYFUNCTION("""COMPUTED_VALUE"""),"-")</f>
        <v>-</v>
      </c>
      <c r="L3746" s="19" t="str">
        <f>IFERROR(__xludf.DUMMYFUNCTION("""COMPUTED_VALUE"""),"-")</f>
        <v>-</v>
      </c>
      <c r="O3746" s="24">
        <f t="shared" si="4"/>
        <v>0</v>
      </c>
      <c r="P3746" s="24"/>
      <c r="Q3746" s="24">
        <f t="shared" si="6"/>
        <v>0</v>
      </c>
      <c r="R3746" s="24">
        <f t="shared" si="7"/>
        <v>0</v>
      </c>
      <c r="S3746" s="24"/>
      <c r="T3746" s="24"/>
    </row>
    <row r="3747">
      <c r="A3747" s="12" t="s">
        <v>3834</v>
      </c>
      <c r="F3747" s="19">
        <f>IFERROR(__xludf.DUMMYFUNCTION("SPLIT(A3743, "" |"")"),3741.0)</f>
        <v>3741</v>
      </c>
      <c r="G3747" s="19">
        <f>IFERROR(__xludf.DUMMYFUNCTION("""COMPUTED_VALUE"""),0.0025)</f>
        <v>0.0025</v>
      </c>
      <c r="H3747" s="19" t="str">
        <f>IFERROR(__xludf.DUMMYFUNCTION("""COMPUTED_VALUE"""),"-")</f>
        <v>-</v>
      </c>
      <c r="I3747" s="19">
        <f>IFERROR(__xludf.DUMMYFUNCTION("""COMPUTED_VALUE"""),0.00229)</f>
        <v>0.00229</v>
      </c>
      <c r="J3747" s="19">
        <f>IFERROR(__xludf.DUMMYFUNCTION("""COMPUTED_VALUE"""),0.04745)</f>
        <v>0.04745</v>
      </c>
      <c r="K3747" s="19" t="str">
        <f>IFERROR(__xludf.DUMMYFUNCTION("""COMPUTED_VALUE"""),"-")</f>
        <v>-</v>
      </c>
      <c r="L3747" s="19" t="str">
        <f>IFERROR(__xludf.DUMMYFUNCTION("""COMPUTED_VALUE"""),"-")</f>
        <v>-</v>
      </c>
      <c r="O3747" s="24">
        <f t="shared" si="4"/>
        <v>0</v>
      </c>
      <c r="P3747" s="24"/>
      <c r="Q3747" s="24">
        <f t="shared" si="6"/>
        <v>0</v>
      </c>
      <c r="R3747" s="24">
        <f t="shared" si="7"/>
        <v>0</v>
      </c>
      <c r="S3747" s="24"/>
      <c r="T3747" s="24"/>
    </row>
    <row r="3748">
      <c r="A3748" s="12" t="s">
        <v>3835</v>
      </c>
      <c r="F3748" s="19">
        <f>IFERROR(__xludf.DUMMYFUNCTION("SPLIT(A3744, "" |"")"),3742.0)</f>
        <v>3742</v>
      </c>
      <c r="G3748" s="19">
        <f>IFERROR(__xludf.DUMMYFUNCTION("""COMPUTED_VALUE"""),0.00242)</f>
        <v>0.00242</v>
      </c>
      <c r="H3748" s="19" t="str">
        <f>IFERROR(__xludf.DUMMYFUNCTION("""COMPUTED_VALUE"""),"-")</f>
        <v>-</v>
      </c>
      <c r="I3748" s="19">
        <f>IFERROR(__xludf.DUMMYFUNCTION("""COMPUTED_VALUE"""),0.00224)</f>
        <v>0.00224</v>
      </c>
      <c r="J3748" s="19">
        <f>IFERROR(__xludf.DUMMYFUNCTION("""COMPUTED_VALUE"""),0.04744)</f>
        <v>0.04744</v>
      </c>
      <c r="K3748" s="19" t="str">
        <f>IFERROR(__xludf.DUMMYFUNCTION("""COMPUTED_VALUE"""),"-")</f>
        <v>-</v>
      </c>
      <c r="L3748" s="19" t="str">
        <f>IFERROR(__xludf.DUMMYFUNCTION("""COMPUTED_VALUE"""),"-")</f>
        <v>-</v>
      </c>
      <c r="O3748" s="24">
        <f t="shared" si="4"/>
        <v>0</v>
      </c>
      <c r="P3748" s="24"/>
      <c r="Q3748" s="24">
        <f t="shared" si="6"/>
        <v>0</v>
      </c>
      <c r="R3748" s="24">
        <f t="shared" si="7"/>
        <v>0</v>
      </c>
      <c r="S3748" s="24"/>
      <c r="T3748" s="24"/>
    </row>
    <row r="3749">
      <c r="A3749" s="12" t="s">
        <v>3836</v>
      </c>
      <c r="F3749" s="19">
        <f>IFERROR(__xludf.DUMMYFUNCTION("SPLIT(A3745, "" |"")"),3743.0)</f>
        <v>3743</v>
      </c>
      <c r="G3749" s="19">
        <f>IFERROR(__xludf.DUMMYFUNCTION("""COMPUTED_VALUE"""),0.00242)</f>
        <v>0.00242</v>
      </c>
      <c r="H3749" s="19" t="str">
        <f>IFERROR(__xludf.DUMMYFUNCTION("""COMPUTED_VALUE"""),"-")</f>
        <v>-</v>
      </c>
      <c r="I3749" s="19">
        <f>IFERROR(__xludf.DUMMYFUNCTION("""COMPUTED_VALUE"""),0.00227)</f>
        <v>0.00227</v>
      </c>
      <c r="J3749" s="19">
        <f>IFERROR(__xludf.DUMMYFUNCTION("""COMPUTED_VALUE"""),0.04743)</f>
        <v>0.04743</v>
      </c>
      <c r="K3749" s="19" t="str">
        <f>IFERROR(__xludf.DUMMYFUNCTION("""COMPUTED_VALUE"""),"-")</f>
        <v>-</v>
      </c>
      <c r="L3749" s="19" t="str">
        <f>IFERROR(__xludf.DUMMYFUNCTION("""COMPUTED_VALUE"""),"-")</f>
        <v>-</v>
      </c>
      <c r="O3749" s="24">
        <f t="shared" si="4"/>
        <v>0</v>
      </c>
      <c r="P3749" s="24"/>
      <c r="Q3749" s="24">
        <f t="shared" si="6"/>
        <v>0</v>
      </c>
      <c r="R3749" s="24">
        <f t="shared" si="7"/>
        <v>0</v>
      </c>
      <c r="S3749" s="24"/>
      <c r="T3749" s="24"/>
    </row>
    <row r="3750">
      <c r="A3750" s="12" t="s">
        <v>3837</v>
      </c>
      <c r="F3750" s="19">
        <f>IFERROR(__xludf.DUMMYFUNCTION("SPLIT(A3746, "" |"")"),3744.0)</f>
        <v>3744</v>
      </c>
      <c r="G3750" s="19">
        <f>IFERROR(__xludf.DUMMYFUNCTION("""COMPUTED_VALUE"""),0.00237)</f>
        <v>0.00237</v>
      </c>
      <c r="H3750" s="19" t="str">
        <f>IFERROR(__xludf.DUMMYFUNCTION("""COMPUTED_VALUE"""),"-")</f>
        <v>-</v>
      </c>
      <c r="I3750" s="19">
        <f>IFERROR(__xludf.DUMMYFUNCTION("""COMPUTED_VALUE"""),0.00224)</f>
        <v>0.00224</v>
      </c>
      <c r="J3750" s="19">
        <f>IFERROR(__xludf.DUMMYFUNCTION("""COMPUTED_VALUE"""),0.04744)</f>
        <v>0.04744</v>
      </c>
      <c r="K3750" s="19" t="str">
        <f>IFERROR(__xludf.DUMMYFUNCTION("""COMPUTED_VALUE"""),"-")</f>
        <v>-</v>
      </c>
      <c r="L3750" s="19" t="str">
        <f>IFERROR(__xludf.DUMMYFUNCTION("""COMPUTED_VALUE"""),"-")</f>
        <v>-</v>
      </c>
      <c r="O3750" s="24">
        <f t="shared" si="4"/>
        <v>0</v>
      </c>
      <c r="P3750" s="24"/>
      <c r="Q3750" s="24">
        <f t="shared" si="6"/>
        <v>0</v>
      </c>
      <c r="R3750" s="24">
        <f t="shared" si="7"/>
        <v>0</v>
      </c>
      <c r="S3750" s="24"/>
      <c r="T3750" s="24"/>
    </row>
    <row r="3751">
      <c r="A3751" s="12" t="s">
        <v>3838</v>
      </c>
      <c r="F3751" s="19">
        <f>IFERROR(__xludf.DUMMYFUNCTION("SPLIT(A3747, "" |"")"),3745.0)</f>
        <v>3745</v>
      </c>
      <c r="G3751" s="19">
        <f>IFERROR(__xludf.DUMMYFUNCTION("""COMPUTED_VALUE"""),0.00239)</f>
        <v>0.00239</v>
      </c>
      <c r="H3751" s="19" t="str">
        <f>IFERROR(__xludf.DUMMYFUNCTION("""COMPUTED_VALUE"""),"-")</f>
        <v>-</v>
      </c>
      <c r="I3751" s="19">
        <f>IFERROR(__xludf.DUMMYFUNCTION("""COMPUTED_VALUE"""),0.00221)</f>
        <v>0.00221</v>
      </c>
      <c r="J3751" s="19">
        <f>IFERROR(__xludf.DUMMYFUNCTION("""COMPUTED_VALUE"""),0.04751)</f>
        <v>0.04751</v>
      </c>
      <c r="K3751" s="19" t="str">
        <f>IFERROR(__xludf.DUMMYFUNCTION("""COMPUTED_VALUE"""),"-")</f>
        <v>-</v>
      </c>
      <c r="L3751" s="19" t="str">
        <f>IFERROR(__xludf.DUMMYFUNCTION("""COMPUTED_VALUE"""),"-")</f>
        <v>-</v>
      </c>
      <c r="O3751" s="24">
        <f t="shared" si="4"/>
        <v>0</v>
      </c>
      <c r="P3751" s="24"/>
      <c r="Q3751" s="24">
        <f t="shared" si="6"/>
        <v>0</v>
      </c>
      <c r="R3751" s="24">
        <f t="shared" si="7"/>
        <v>0</v>
      </c>
      <c r="S3751" s="24"/>
      <c r="T3751" s="24"/>
    </row>
    <row r="3752">
      <c r="A3752" s="12" t="s">
        <v>3839</v>
      </c>
      <c r="F3752" s="19">
        <f>IFERROR(__xludf.DUMMYFUNCTION("SPLIT(A3748, "" |"")"),3746.0)</f>
        <v>3746</v>
      </c>
      <c r="G3752" s="19">
        <f>IFERROR(__xludf.DUMMYFUNCTION("""COMPUTED_VALUE"""),0.0024)</f>
        <v>0.0024</v>
      </c>
      <c r="H3752" s="19" t="str">
        <f>IFERROR(__xludf.DUMMYFUNCTION("""COMPUTED_VALUE"""),"-")</f>
        <v>-</v>
      </c>
      <c r="I3752" s="19">
        <f>IFERROR(__xludf.DUMMYFUNCTION("""COMPUTED_VALUE"""),0.00231)</f>
        <v>0.00231</v>
      </c>
      <c r="J3752" s="19">
        <f>IFERROR(__xludf.DUMMYFUNCTION("""COMPUTED_VALUE"""),0.04746)</f>
        <v>0.04746</v>
      </c>
      <c r="K3752" s="19" t="str">
        <f>IFERROR(__xludf.DUMMYFUNCTION("""COMPUTED_VALUE"""),"-")</f>
        <v>-</v>
      </c>
      <c r="L3752" s="19" t="str">
        <f>IFERROR(__xludf.DUMMYFUNCTION("""COMPUTED_VALUE"""),"-")</f>
        <v>-</v>
      </c>
      <c r="O3752" s="24">
        <f t="shared" si="4"/>
        <v>0</v>
      </c>
      <c r="P3752" s="24"/>
      <c r="Q3752" s="24">
        <f t="shared" si="6"/>
        <v>0</v>
      </c>
      <c r="R3752" s="24">
        <f t="shared" si="7"/>
        <v>0</v>
      </c>
      <c r="S3752" s="24"/>
      <c r="T3752" s="24"/>
    </row>
    <row r="3753">
      <c r="A3753" s="12" t="s">
        <v>3840</v>
      </c>
      <c r="F3753" s="19">
        <f>IFERROR(__xludf.DUMMYFUNCTION("SPLIT(A3749, "" |"")"),3747.0)</f>
        <v>3747</v>
      </c>
      <c r="G3753" s="19">
        <f>IFERROR(__xludf.DUMMYFUNCTION("""COMPUTED_VALUE"""),0.00238)</f>
        <v>0.00238</v>
      </c>
      <c r="H3753" s="19" t="str">
        <f>IFERROR(__xludf.DUMMYFUNCTION("""COMPUTED_VALUE"""),"-")</f>
        <v>-</v>
      </c>
      <c r="I3753" s="19">
        <f>IFERROR(__xludf.DUMMYFUNCTION("""COMPUTED_VALUE"""),0.00222)</f>
        <v>0.00222</v>
      </c>
      <c r="J3753" s="19">
        <f>IFERROR(__xludf.DUMMYFUNCTION("""COMPUTED_VALUE"""),0.04742)</f>
        <v>0.04742</v>
      </c>
      <c r="K3753" s="19" t="str">
        <f>IFERROR(__xludf.DUMMYFUNCTION("""COMPUTED_VALUE"""),"-")</f>
        <v>-</v>
      </c>
      <c r="L3753" s="19" t="str">
        <f>IFERROR(__xludf.DUMMYFUNCTION("""COMPUTED_VALUE"""),"-")</f>
        <v>-</v>
      </c>
      <c r="O3753" s="24">
        <f t="shared" si="4"/>
        <v>0</v>
      </c>
      <c r="P3753" s="24"/>
      <c r="Q3753" s="24">
        <f t="shared" si="6"/>
        <v>0</v>
      </c>
      <c r="R3753" s="24">
        <f t="shared" si="7"/>
        <v>0</v>
      </c>
      <c r="S3753" s="24"/>
      <c r="T3753" s="24"/>
    </row>
    <row r="3754">
      <c r="A3754" s="12" t="s">
        <v>3841</v>
      </c>
      <c r="F3754" s="19">
        <f>IFERROR(__xludf.DUMMYFUNCTION("SPLIT(A3750, "" |"")"),3748.0)</f>
        <v>3748</v>
      </c>
      <c r="G3754" s="19">
        <f>IFERROR(__xludf.DUMMYFUNCTION("""COMPUTED_VALUE"""),0.00245)</f>
        <v>0.00245</v>
      </c>
      <c r="H3754" s="19" t="str">
        <f>IFERROR(__xludf.DUMMYFUNCTION("""COMPUTED_VALUE"""),"-")</f>
        <v>-</v>
      </c>
      <c r="I3754" s="19">
        <f>IFERROR(__xludf.DUMMYFUNCTION("""COMPUTED_VALUE"""),0.00229)</f>
        <v>0.00229</v>
      </c>
      <c r="J3754" s="19">
        <f>IFERROR(__xludf.DUMMYFUNCTION("""COMPUTED_VALUE"""),0.04748)</f>
        <v>0.04748</v>
      </c>
      <c r="K3754" s="19" t="str">
        <f>IFERROR(__xludf.DUMMYFUNCTION("""COMPUTED_VALUE"""),"-")</f>
        <v>-</v>
      </c>
      <c r="L3754" s="19" t="str">
        <f>IFERROR(__xludf.DUMMYFUNCTION("""COMPUTED_VALUE"""),"-")</f>
        <v>-</v>
      </c>
      <c r="O3754" s="24">
        <f t="shared" si="4"/>
        <v>0</v>
      </c>
      <c r="P3754" s="24"/>
      <c r="Q3754" s="24">
        <f t="shared" si="6"/>
        <v>0</v>
      </c>
      <c r="R3754" s="24">
        <f t="shared" si="7"/>
        <v>0</v>
      </c>
      <c r="S3754" s="24"/>
      <c r="T3754" s="24"/>
    </row>
    <row r="3755">
      <c r="A3755" s="12" t="s">
        <v>3842</v>
      </c>
      <c r="F3755" s="19">
        <f>IFERROR(__xludf.DUMMYFUNCTION("SPLIT(A3751, "" |"")"),3749.0)</f>
        <v>3749</v>
      </c>
      <c r="G3755" s="19">
        <f>IFERROR(__xludf.DUMMYFUNCTION("""COMPUTED_VALUE"""),0.00238)</f>
        <v>0.00238</v>
      </c>
      <c r="H3755" s="19" t="str">
        <f>IFERROR(__xludf.DUMMYFUNCTION("""COMPUTED_VALUE"""),"-")</f>
        <v>-</v>
      </c>
      <c r="I3755" s="19">
        <f>IFERROR(__xludf.DUMMYFUNCTION("""COMPUTED_VALUE"""),0.00225)</f>
        <v>0.00225</v>
      </c>
      <c r="J3755" s="19">
        <f>IFERROR(__xludf.DUMMYFUNCTION("""COMPUTED_VALUE"""),0.04752)</f>
        <v>0.04752</v>
      </c>
      <c r="K3755" s="19" t="str">
        <f>IFERROR(__xludf.DUMMYFUNCTION("""COMPUTED_VALUE"""),"-")</f>
        <v>-</v>
      </c>
      <c r="L3755" s="19" t="str">
        <f>IFERROR(__xludf.DUMMYFUNCTION("""COMPUTED_VALUE"""),"-")</f>
        <v>-</v>
      </c>
      <c r="O3755" s="24">
        <f t="shared" si="4"/>
        <v>0</v>
      </c>
      <c r="P3755" s="24"/>
      <c r="Q3755" s="24">
        <f t="shared" si="6"/>
        <v>0</v>
      </c>
      <c r="R3755" s="24">
        <f t="shared" si="7"/>
        <v>0</v>
      </c>
      <c r="S3755" s="24"/>
      <c r="T3755" s="24"/>
    </row>
    <row r="3756">
      <c r="A3756" s="12" t="s">
        <v>3843</v>
      </c>
      <c r="F3756" s="19">
        <f>IFERROR(__xludf.DUMMYFUNCTION("SPLIT(A3752, "" |"")"),3750.0)</f>
        <v>3750</v>
      </c>
      <c r="G3756" s="19">
        <f>IFERROR(__xludf.DUMMYFUNCTION("""COMPUTED_VALUE"""),0.00235)</f>
        <v>0.00235</v>
      </c>
      <c r="H3756" s="19" t="str">
        <f>IFERROR(__xludf.DUMMYFUNCTION("""COMPUTED_VALUE"""),"-")</f>
        <v>-</v>
      </c>
      <c r="I3756" s="19">
        <f>IFERROR(__xludf.DUMMYFUNCTION("""COMPUTED_VALUE"""),0.00222)</f>
        <v>0.00222</v>
      </c>
      <c r="J3756" s="19">
        <f>IFERROR(__xludf.DUMMYFUNCTION("""COMPUTED_VALUE"""),0.0474)</f>
        <v>0.0474</v>
      </c>
      <c r="K3756" s="19" t="str">
        <f>IFERROR(__xludf.DUMMYFUNCTION("""COMPUTED_VALUE"""),"-")</f>
        <v>-</v>
      </c>
      <c r="L3756" s="19" t="str">
        <f>IFERROR(__xludf.DUMMYFUNCTION("""COMPUTED_VALUE"""),"-")</f>
        <v>-</v>
      </c>
      <c r="O3756" s="24">
        <f t="shared" si="4"/>
        <v>0</v>
      </c>
      <c r="P3756" s="24"/>
      <c r="Q3756" s="24">
        <f t="shared" si="6"/>
        <v>0</v>
      </c>
      <c r="R3756" s="24">
        <f t="shared" si="7"/>
        <v>0</v>
      </c>
      <c r="S3756" s="24"/>
      <c r="T3756" s="24"/>
    </row>
    <row r="3757">
      <c r="A3757" s="12" t="s">
        <v>3844</v>
      </c>
      <c r="F3757" s="19">
        <f>IFERROR(__xludf.DUMMYFUNCTION("SPLIT(A3753, "" |"")"),3751.0)</f>
        <v>3751</v>
      </c>
      <c r="G3757" s="19">
        <f>IFERROR(__xludf.DUMMYFUNCTION("""COMPUTED_VALUE"""),0.00232)</f>
        <v>0.00232</v>
      </c>
      <c r="H3757" s="19" t="str">
        <f>IFERROR(__xludf.DUMMYFUNCTION("""COMPUTED_VALUE"""),"-")</f>
        <v>-</v>
      </c>
      <c r="I3757" s="19">
        <f>IFERROR(__xludf.DUMMYFUNCTION("""COMPUTED_VALUE"""),0.00216)</f>
        <v>0.00216</v>
      </c>
      <c r="J3757" s="19">
        <f>IFERROR(__xludf.DUMMYFUNCTION("""COMPUTED_VALUE"""),0.04743)</f>
        <v>0.04743</v>
      </c>
      <c r="K3757" s="19" t="str">
        <f>IFERROR(__xludf.DUMMYFUNCTION("""COMPUTED_VALUE"""),"-")</f>
        <v>-</v>
      </c>
      <c r="L3757" s="19" t="str">
        <f>IFERROR(__xludf.DUMMYFUNCTION("""COMPUTED_VALUE"""),"-")</f>
        <v>-</v>
      </c>
      <c r="O3757" s="24">
        <f t="shared" si="4"/>
        <v>0</v>
      </c>
      <c r="P3757" s="24"/>
      <c r="Q3757" s="24">
        <f t="shared" si="6"/>
        <v>0</v>
      </c>
      <c r="R3757" s="24">
        <f t="shared" si="7"/>
        <v>0</v>
      </c>
      <c r="S3757" s="24"/>
      <c r="T3757" s="24"/>
    </row>
    <row r="3758">
      <c r="A3758" s="12" t="s">
        <v>3845</v>
      </c>
      <c r="F3758" s="19">
        <f>IFERROR(__xludf.DUMMYFUNCTION("SPLIT(A3754, "" |"")"),3752.0)</f>
        <v>3752</v>
      </c>
      <c r="G3758" s="19">
        <f>IFERROR(__xludf.DUMMYFUNCTION("""COMPUTED_VALUE"""),0.00239)</f>
        <v>0.00239</v>
      </c>
      <c r="H3758" s="19" t="str">
        <f>IFERROR(__xludf.DUMMYFUNCTION("""COMPUTED_VALUE"""),"-")</f>
        <v>-</v>
      </c>
      <c r="I3758" s="19">
        <f>IFERROR(__xludf.DUMMYFUNCTION("""COMPUTED_VALUE"""),0.00223)</f>
        <v>0.00223</v>
      </c>
      <c r="J3758" s="19">
        <f>IFERROR(__xludf.DUMMYFUNCTION("""COMPUTED_VALUE"""),0.0475)</f>
        <v>0.0475</v>
      </c>
      <c r="K3758" s="19" t="str">
        <f>IFERROR(__xludf.DUMMYFUNCTION("""COMPUTED_VALUE"""),"-")</f>
        <v>-</v>
      </c>
      <c r="L3758" s="19" t="str">
        <f>IFERROR(__xludf.DUMMYFUNCTION("""COMPUTED_VALUE"""),"-")</f>
        <v>-</v>
      </c>
      <c r="O3758" s="24">
        <f t="shared" si="4"/>
        <v>0</v>
      </c>
      <c r="P3758" s="24"/>
      <c r="Q3758" s="24">
        <f t="shared" si="6"/>
        <v>0</v>
      </c>
      <c r="R3758" s="24">
        <f t="shared" si="7"/>
        <v>0</v>
      </c>
      <c r="S3758" s="24"/>
      <c r="T3758" s="24"/>
    </row>
    <row r="3759">
      <c r="A3759" s="12" t="s">
        <v>3846</v>
      </c>
      <c r="F3759" s="19">
        <f>IFERROR(__xludf.DUMMYFUNCTION("SPLIT(A3755, "" |"")"),3753.0)</f>
        <v>3753</v>
      </c>
      <c r="G3759" s="19">
        <f>IFERROR(__xludf.DUMMYFUNCTION("""COMPUTED_VALUE"""),0.00234)</f>
        <v>0.00234</v>
      </c>
      <c r="H3759" s="19" t="str">
        <f>IFERROR(__xludf.DUMMYFUNCTION("""COMPUTED_VALUE"""),"-")</f>
        <v>-</v>
      </c>
      <c r="I3759" s="19">
        <f>IFERROR(__xludf.DUMMYFUNCTION("""COMPUTED_VALUE"""),0.00222)</f>
        <v>0.00222</v>
      </c>
      <c r="J3759" s="19">
        <f>IFERROR(__xludf.DUMMYFUNCTION("""COMPUTED_VALUE"""),0.0475)</f>
        <v>0.0475</v>
      </c>
      <c r="K3759" s="19" t="str">
        <f>IFERROR(__xludf.DUMMYFUNCTION("""COMPUTED_VALUE"""),"-")</f>
        <v>-</v>
      </c>
      <c r="L3759" s="19" t="str">
        <f>IFERROR(__xludf.DUMMYFUNCTION("""COMPUTED_VALUE"""),"-")</f>
        <v>-</v>
      </c>
      <c r="O3759" s="24">
        <f t="shared" si="4"/>
        <v>0</v>
      </c>
      <c r="P3759" s="24"/>
      <c r="Q3759" s="24">
        <f t="shared" si="6"/>
        <v>0</v>
      </c>
      <c r="R3759" s="24">
        <f t="shared" si="7"/>
        <v>0</v>
      </c>
      <c r="S3759" s="24"/>
      <c r="T3759" s="24"/>
    </row>
    <row r="3760">
      <c r="A3760" s="12" t="s">
        <v>3847</v>
      </c>
      <c r="F3760" s="19">
        <f>IFERROR(__xludf.DUMMYFUNCTION("SPLIT(A3756, "" |"")"),3754.0)</f>
        <v>3754</v>
      </c>
      <c r="G3760" s="19">
        <f>IFERROR(__xludf.DUMMYFUNCTION("""COMPUTED_VALUE"""),0.00235)</f>
        <v>0.00235</v>
      </c>
      <c r="H3760" s="19" t="str">
        <f>IFERROR(__xludf.DUMMYFUNCTION("""COMPUTED_VALUE"""),"-")</f>
        <v>-</v>
      </c>
      <c r="I3760" s="19">
        <f>IFERROR(__xludf.DUMMYFUNCTION("""COMPUTED_VALUE"""),0.00223)</f>
        <v>0.00223</v>
      </c>
      <c r="J3760" s="19">
        <f>IFERROR(__xludf.DUMMYFUNCTION("""COMPUTED_VALUE"""),0.04745)</f>
        <v>0.04745</v>
      </c>
      <c r="K3760" s="19" t="str">
        <f>IFERROR(__xludf.DUMMYFUNCTION("""COMPUTED_VALUE"""),"-")</f>
        <v>-</v>
      </c>
      <c r="L3760" s="19" t="str">
        <f>IFERROR(__xludf.DUMMYFUNCTION("""COMPUTED_VALUE"""),"-")</f>
        <v>-</v>
      </c>
      <c r="O3760" s="24">
        <f t="shared" si="4"/>
        <v>0</v>
      </c>
      <c r="P3760" s="24"/>
      <c r="Q3760" s="24">
        <f t="shared" si="6"/>
        <v>0</v>
      </c>
      <c r="R3760" s="24">
        <f t="shared" si="7"/>
        <v>0</v>
      </c>
      <c r="S3760" s="24"/>
      <c r="T3760" s="24"/>
    </row>
    <row r="3761">
      <c r="A3761" s="12" t="s">
        <v>3848</v>
      </c>
      <c r="F3761" s="19">
        <f>IFERROR(__xludf.DUMMYFUNCTION("SPLIT(A3757, "" |"")"),3755.0)</f>
        <v>3755</v>
      </c>
      <c r="G3761" s="19">
        <f>IFERROR(__xludf.DUMMYFUNCTION("""COMPUTED_VALUE"""),0.00235)</f>
        <v>0.00235</v>
      </c>
      <c r="H3761" s="19" t="str">
        <f>IFERROR(__xludf.DUMMYFUNCTION("""COMPUTED_VALUE"""),"-")</f>
        <v>-</v>
      </c>
      <c r="I3761" s="19">
        <f>IFERROR(__xludf.DUMMYFUNCTION("""COMPUTED_VALUE"""),0.00213)</f>
        <v>0.00213</v>
      </c>
      <c r="J3761" s="19">
        <f>IFERROR(__xludf.DUMMYFUNCTION("""COMPUTED_VALUE"""),0.04752)</f>
        <v>0.04752</v>
      </c>
      <c r="K3761" s="19" t="str">
        <f>IFERROR(__xludf.DUMMYFUNCTION("""COMPUTED_VALUE"""),"-")</f>
        <v>-</v>
      </c>
      <c r="L3761" s="19" t="str">
        <f>IFERROR(__xludf.DUMMYFUNCTION("""COMPUTED_VALUE"""),"-")</f>
        <v>-</v>
      </c>
      <c r="O3761" s="24">
        <f t="shared" si="4"/>
        <v>0</v>
      </c>
      <c r="P3761" s="24"/>
      <c r="Q3761" s="24">
        <f t="shared" si="6"/>
        <v>0</v>
      </c>
      <c r="R3761" s="24">
        <f t="shared" si="7"/>
        <v>0</v>
      </c>
      <c r="S3761" s="24"/>
      <c r="T3761" s="24"/>
    </row>
    <row r="3762">
      <c r="A3762" s="12" t="s">
        <v>3849</v>
      </c>
      <c r="F3762" s="19">
        <f>IFERROR(__xludf.DUMMYFUNCTION("SPLIT(A3758, "" |"")"),3756.0)</f>
        <v>3756</v>
      </c>
      <c r="G3762" s="19">
        <f>IFERROR(__xludf.DUMMYFUNCTION("""COMPUTED_VALUE"""),0.00235)</f>
        <v>0.00235</v>
      </c>
      <c r="H3762" s="19" t="str">
        <f>IFERROR(__xludf.DUMMYFUNCTION("""COMPUTED_VALUE"""),"-")</f>
        <v>-</v>
      </c>
      <c r="I3762" s="19">
        <f>IFERROR(__xludf.DUMMYFUNCTION("""COMPUTED_VALUE"""),0.00222)</f>
        <v>0.00222</v>
      </c>
      <c r="J3762" s="19">
        <f>IFERROR(__xludf.DUMMYFUNCTION("""COMPUTED_VALUE"""),0.04753)</f>
        <v>0.04753</v>
      </c>
      <c r="K3762" s="19" t="str">
        <f>IFERROR(__xludf.DUMMYFUNCTION("""COMPUTED_VALUE"""),"-")</f>
        <v>-</v>
      </c>
      <c r="L3762" s="19" t="str">
        <f>IFERROR(__xludf.DUMMYFUNCTION("""COMPUTED_VALUE"""),"-")</f>
        <v>-</v>
      </c>
      <c r="O3762" s="24">
        <f t="shared" si="4"/>
        <v>0</v>
      </c>
      <c r="P3762" s="24"/>
      <c r="Q3762" s="24">
        <f t="shared" si="6"/>
        <v>0</v>
      </c>
      <c r="R3762" s="24">
        <f t="shared" si="7"/>
        <v>0</v>
      </c>
      <c r="S3762" s="24"/>
      <c r="T3762" s="24"/>
    </row>
    <row r="3763">
      <c r="A3763" s="12" t="s">
        <v>3850</v>
      </c>
      <c r="F3763" s="19">
        <f>IFERROR(__xludf.DUMMYFUNCTION("SPLIT(A3759, "" |"")"),3757.0)</f>
        <v>3757</v>
      </c>
      <c r="G3763" s="19">
        <f>IFERROR(__xludf.DUMMYFUNCTION("""COMPUTED_VALUE"""),0.00232)</f>
        <v>0.00232</v>
      </c>
      <c r="H3763" s="19" t="str">
        <f>IFERROR(__xludf.DUMMYFUNCTION("""COMPUTED_VALUE"""),"-")</f>
        <v>-</v>
      </c>
      <c r="I3763" s="19">
        <f>IFERROR(__xludf.DUMMYFUNCTION("""COMPUTED_VALUE"""),0.00224)</f>
        <v>0.00224</v>
      </c>
      <c r="J3763" s="19">
        <f>IFERROR(__xludf.DUMMYFUNCTION("""COMPUTED_VALUE"""),0.04744)</f>
        <v>0.04744</v>
      </c>
      <c r="K3763" s="19" t="str">
        <f>IFERROR(__xludf.DUMMYFUNCTION("""COMPUTED_VALUE"""),"-")</f>
        <v>-</v>
      </c>
      <c r="L3763" s="19" t="str">
        <f>IFERROR(__xludf.DUMMYFUNCTION("""COMPUTED_VALUE"""),"-")</f>
        <v>-</v>
      </c>
      <c r="O3763" s="24">
        <f t="shared" si="4"/>
        <v>0</v>
      </c>
      <c r="P3763" s="24"/>
      <c r="Q3763" s="24">
        <f t="shared" si="6"/>
        <v>0</v>
      </c>
      <c r="R3763" s="24">
        <f t="shared" si="7"/>
        <v>0</v>
      </c>
      <c r="S3763" s="24"/>
      <c r="T3763" s="24"/>
    </row>
    <row r="3764">
      <c r="A3764" s="12" t="s">
        <v>3851</v>
      </c>
      <c r="F3764" s="19">
        <f>IFERROR(__xludf.DUMMYFUNCTION("SPLIT(A3760, "" |"")"),3758.0)</f>
        <v>3758</v>
      </c>
      <c r="G3764" s="19">
        <f>IFERROR(__xludf.DUMMYFUNCTION("""COMPUTED_VALUE"""),0.0024)</f>
        <v>0.0024</v>
      </c>
      <c r="H3764" s="19" t="str">
        <f>IFERROR(__xludf.DUMMYFUNCTION("""COMPUTED_VALUE"""),"-")</f>
        <v>-</v>
      </c>
      <c r="I3764" s="19">
        <f>IFERROR(__xludf.DUMMYFUNCTION("""COMPUTED_VALUE"""),0.00221)</f>
        <v>0.00221</v>
      </c>
      <c r="J3764" s="19">
        <f>IFERROR(__xludf.DUMMYFUNCTION("""COMPUTED_VALUE"""),0.04044)</f>
        <v>0.04044</v>
      </c>
      <c r="K3764" s="19" t="str">
        <f>IFERROR(__xludf.DUMMYFUNCTION("""COMPUTED_VALUE"""),"-")</f>
        <v>-</v>
      </c>
      <c r="L3764" s="19" t="str">
        <f>IFERROR(__xludf.DUMMYFUNCTION("""COMPUTED_VALUE"""),"-")</f>
        <v>-</v>
      </c>
      <c r="O3764" s="24">
        <f t="shared" si="4"/>
        <v>0</v>
      </c>
      <c r="P3764" s="24"/>
      <c r="Q3764" s="24">
        <f t="shared" si="6"/>
        <v>0</v>
      </c>
      <c r="R3764" s="24">
        <f t="shared" si="7"/>
        <v>1</v>
      </c>
      <c r="S3764" s="24"/>
      <c r="T3764" s="24"/>
    </row>
    <row r="3765">
      <c r="A3765" s="12" t="s">
        <v>3852</v>
      </c>
      <c r="F3765" s="19">
        <f>IFERROR(__xludf.DUMMYFUNCTION("SPLIT(A3761, "" |"")"),3759.0)</f>
        <v>3759</v>
      </c>
      <c r="G3765" s="19">
        <f>IFERROR(__xludf.DUMMYFUNCTION("""COMPUTED_VALUE"""),0.0023)</f>
        <v>0.0023</v>
      </c>
      <c r="H3765" s="19" t="str">
        <f>IFERROR(__xludf.DUMMYFUNCTION("""COMPUTED_VALUE"""),"-")</f>
        <v>-</v>
      </c>
      <c r="I3765" s="19">
        <f>IFERROR(__xludf.DUMMYFUNCTION("""COMPUTED_VALUE"""),0.00219)</f>
        <v>0.00219</v>
      </c>
      <c r="J3765" s="19">
        <f>IFERROR(__xludf.DUMMYFUNCTION("""COMPUTED_VALUE"""),0.04743)</f>
        <v>0.04743</v>
      </c>
      <c r="K3765" s="19" t="str">
        <f>IFERROR(__xludf.DUMMYFUNCTION("""COMPUTED_VALUE"""),"-")</f>
        <v>-</v>
      </c>
      <c r="L3765" s="19" t="str">
        <f>IFERROR(__xludf.DUMMYFUNCTION("""COMPUTED_VALUE"""),"-")</f>
        <v>-</v>
      </c>
      <c r="O3765" s="24">
        <f t="shared" si="4"/>
        <v>0</v>
      </c>
      <c r="P3765" s="24"/>
      <c r="Q3765" s="24">
        <f t="shared" si="6"/>
        <v>0</v>
      </c>
      <c r="R3765" s="24">
        <f t="shared" si="7"/>
        <v>0</v>
      </c>
      <c r="S3765" s="24"/>
      <c r="T3765" s="24"/>
    </row>
    <row r="3766">
      <c r="A3766" s="12" t="s">
        <v>3853</v>
      </c>
      <c r="F3766" s="19">
        <f>IFERROR(__xludf.DUMMYFUNCTION("SPLIT(A3762, "" |"")"),3760.0)</f>
        <v>3760</v>
      </c>
      <c r="G3766" s="19">
        <f>IFERROR(__xludf.DUMMYFUNCTION("""COMPUTED_VALUE"""),0.00223)</f>
        <v>0.00223</v>
      </c>
      <c r="H3766" s="19" t="str">
        <f>IFERROR(__xludf.DUMMYFUNCTION("""COMPUTED_VALUE"""),"-")</f>
        <v>-</v>
      </c>
      <c r="I3766" s="19">
        <f>IFERROR(__xludf.DUMMYFUNCTION("""COMPUTED_VALUE"""),0.0021)</f>
        <v>0.0021</v>
      </c>
      <c r="J3766" s="19">
        <f>IFERROR(__xludf.DUMMYFUNCTION("""COMPUTED_VALUE"""),0.04734)</f>
        <v>0.04734</v>
      </c>
      <c r="K3766" s="19" t="str">
        <f>IFERROR(__xludf.DUMMYFUNCTION("""COMPUTED_VALUE"""),"-")</f>
        <v>-</v>
      </c>
      <c r="L3766" s="19" t="str">
        <f>IFERROR(__xludf.DUMMYFUNCTION("""COMPUTED_VALUE"""),"-")</f>
        <v>-</v>
      </c>
      <c r="O3766" s="24">
        <f t="shared" si="4"/>
        <v>0</v>
      </c>
      <c r="P3766" s="24"/>
      <c r="Q3766" s="24">
        <f t="shared" si="6"/>
        <v>0</v>
      </c>
      <c r="R3766" s="24">
        <f t="shared" si="7"/>
        <v>0</v>
      </c>
      <c r="S3766" s="24"/>
      <c r="T3766" s="24"/>
    </row>
    <row r="3767">
      <c r="A3767" s="12" t="s">
        <v>3854</v>
      </c>
      <c r="F3767" s="19">
        <f>IFERROR(__xludf.DUMMYFUNCTION("SPLIT(A3763, "" |"")"),3761.0)</f>
        <v>3761</v>
      </c>
      <c r="G3767" s="19">
        <f>IFERROR(__xludf.DUMMYFUNCTION("""COMPUTED_VALUE"""),0.00233)</f>
        <v>0.00233</v>
      </c>
      <c r="H3767" s="19" t="str">
        <f>IFERROR(__xludf.DUMMYFUNCTION("""COMPUTED_VALUE"""),"-")</f>
        <v>-</v>
      </c>
      <c r="I3767" s="19">
        <f>IFERROR(__xludf.DUMMYFUNCTION("""COMPUTED_VALUE"""),0.00224)</f>
        <v>0.00224</v>
      </c>
      <c r="J3767" s="19">
        <f>IFERROR(__xludf.DUMMYFUNCTION("""COMPUTED_VALUE"""),0.04742)</f>
        <v>0.04742</v>
      </c>
      <c r="K3767" s="19" t="str">
        <f>IFERROR(__xludf.DUMMYFUNCTION("""COMPUTED_VALUE"""),"-")</f>
        <v>-</v>
      </c>
      <c r="L3767" s="19" t="str">
        <f>IFERROR(__xludf.DUMMYFUNCTION("""COMPUTED_VALUE"""),"-")</f>
        <v>-</v>
      </c>
      <c r="O3767" s="24">
        <f t="shared" si="4"/>
        <v>0</v>
      </c>
      <c r="P3767" s="24"/>
      <c r="Q3767" s="24">
        <f t="shared" si="6"/>
        <v>0</v>
      </c>
      <c r="R3767" s="24">
        <f t="shared" si="7"/>
        <v>0</v>
      </c>
      <c r="S3767" s="24"/>
      <c r="T3767" s="24"/>
    </row>
    <row r="3768">
      <c r="A3768" s="12" t="s">
        <v>3855</v>
      </c>
      <c r="F3768" s="19">
        <f>IFERROR(__xludf.DUMMYFUNCTION("SPLIT(A3764, "" |"")"),3762.0)</f>
        <v>3762</v>
      </c>
      <c r="G3768" s="19">
        <f>IFERROR(__xludf.DUMMYFUNCTION("""COMPUTED_VALUE"""),0.00238)</f>
        <v>0.00238</v>
      </c>
      <c r="H3768" s="19" t="str">
        <f>IFERROR(__xludf.DUMMYFUNCTION("""COMPUTED_VALUE"""),"-")</f>
        <v>-</v>
      </c>
      <c r="I3768" s="19">
        <f>IFERROR(__xludf.DUMMYFUNCTION("""COMPUTED_VALUE"""),0.00217)</f>
        <v>0.00217</v>
      </c>
      <c r="J3768" s="19">
        <f>IFERROR(__xludf.DUMMYFUNCTION("""COMPUTED_VALUE"""),0.04749)</f>
        <v>0.04749</v>
      </c>
      <c r="K3768" s="19" t="str">
        <f>IFERROR(__xludf.DUMMYFUNCTION("""COMPUTED_VALUE"""),"-")</f>
        <v>-</v>
      </c>
      <c r="L3768" s="19" t="str">
        <f>IFERROR(__xludf.DUMMYFUNCTION("""COMPUTED_VALUE"""),"-")</f>
        <v>-</v>
      </c>
      <c r="O3768" s="24">
        <f t="shared" si="4"/>
        <v>0</v>
      </c>
      <c r="P3768" s="24"/>
      <c r="Q3768" s="24">
        <f t="shared" si="6"/>
        <v>0</v>
      </c>
      <c r="R3768" s="24">
        <f t="shared" si="7"/>
        <v>0</v>
      </c>
      <c r="S3768" s="24"/>
      <c r="T3768" s="24"/>
    </row>
    <row r="3769">
      <c r="A3769" s="12" t="s">
        <v>3856</v>
      </c>
      <c r="F3769" s="19">
        <f>IFERROR(__xludf.DUMMYFUNCTION("SPLIT(A3765, "" |"")"),3763.0)</f>
        <v>3763</v>
      </c>
      <c r="G3769" s="19">
        <f>IFERROR(__xludf.DUMMYFUNCTION("""COMPUTED_VALUE"""),0.00233)</f>
        <v>0.00233</v>
      </c>
      <c r="H3769" s="19" t="str">
        <f>IFERROR(__xludf.DUMMYFUNCTION("""COMPUTED_VALUE"""),"-")</f>
        <v>-</v>
      </c>
      <c r="I3769" s="19">
        <f>IFERROR(__xludf.DUMMYFUNCTION("""COMPUTED_VALUE"""),0.00224)</f>
        <v>0.00224</v>
      </c>
      <c r="J3769" s="19">
        <f>IFERROR(__xludf.DUMMYFUNCTION("""COMPUTED_VALUE"""),0.04391)</f>
        <v>0.04391</v>
      </c>
      <c r="K3769" s="19" t="str">
        <f>IFERROR(__xludf.DUMMYFUNCTION("""COMPUTED_VALUE"""),"-")</f>
        <v>-</v>
      </c>
      <c r="L3769" s="19" t="str">
        <f>IFERROR(__xludf.DUMMYFUNCTION("""COMPUTED_VALUE"""),"-")</f>
        <v>-</v>
      </c>
      <c r="O3769" s="24">
        <f t="shared" si="4"/>
        <v>0</v>
      </c>
      <c r="P3769" s="24"/>
      <c r="Q3769" s="24">
        <f t="shared" si="6"/>
        <v>0</v>
      </c>
      <c r="R3769" s="24">
        <f t="shared" si="7"/>
        <v>1</v>
      </c>
      <c r="S3769" s="24"/>
      <c r="T3769" s="24"/>
    </row>
    <row r="3770">
      <c r="A3770" s="12" t="s">
        <v>3857</v>
      </c>
      <c r="F3770" s="19">
        <f>IFERROR(__xludf.DUMMYFUNCTION("SPLIT(A3766, "" |"")"),3764.0)</f>
        <v>3764</v>
      </c>
      <c r="G3770" s="19">
        <f>IFERROR(__xludf.DUMMYFUNCTION("""COMPUTED_VALUE"""),0.0023)</f>
        <v>0.0023</v>
      </c>
      <c r="H3770" s="19" t="str">
        <f>IFERROR(__xludf.DUMMYFUNCTION("""COMPUTED_VALUE"""),"-")</f>
        <v>-</v>
      </c>
      <c r="I3770" s="19">
        <f>IFERROR(__xludf.DUMMYFUNCTION("""COMPUTED_VALUE"""),0.00221)</f>
        <v>0.00221</v>
      </c>
      <c r="J3770" s="19">
        <f>IFERROR(__xludf.DUMMYFUNCTION("""COMPUTED_VALUE"""),0.0474)</f>
        <v>0.0474</v>
      </c>
      <c r="K3770" s="19" t="str">
        <f>IFERROR(__xludf.DUMMYFUNCTION("""COMPUTED_VALUE"""),"-")</f>
        <v>-</v>
      </c>
      <c r="L3770" s="19" t="str">
        <f>IFERROR(__xludf.DUMMYFUNCTION("""COMPUTED_VALUE"""),"-")</f>
        <v>-</v>
      </c>
      <c r="O3770" s="24">
        <f t="shared" si="4"/>
        <v>0</v>
      </c>
      <c r="P3770" s="24"/>
      <c r="Q3770" s="24">
        <f t="shared" si="6"/>
        <v>0</v>
      </c>
      <c r="R3770" s="24">
        <f t="shared" si="7"/>
        <v>0</v>
      </c>
      <c r="S3770" s="24"/>
      <c r="T3770" s="24"/>
    </row>
    <row r="3771">
      <c r="A3771" s="12" t="s">
        <v>3858</v>
      </c>
      <c r="F3771" s="19">
        <f>IFERROR(__xludf.DUMMYFUNCTION("SPLIT(A3767, "" |"")"),3765.0)</f>
        <v>3765</v>
      </c>
      <c r="G3771" s="19">
        <f>IFERROR(__xludf.DUMMYFUNCTION("""COMPUTED_VALUE"""),0.00236)</f>
        <v>0.00236</v>
      </c>
      <c r="H3771" s="19" t="str">
        <f>IFERROR(__xludf.DUMMYFUNCTION("""COMPUTED_VALUE"""),"-")</f>
        <v>-</v>
      </c>
      <c r="I3771" s="19">
        <f>IFERROR(__xludf.DUMMYFUNCTION("""COMPUTED_VALUE"""),0.00222)</f>
        <v>0.00222</v>
      </c>
      <c r="J3771" s="19">
        <f>IFERROR(__xludf.DUMMYFUNCTION("""COMPUTED_VALUE"""),0.04748)</f>
        <v>0.04748</v>
      </c>
      <c r="K3771" s="19" t="str">
        <f>IFERROR(__xludf.DUMMYFUNCTION("""COMPUTED_VALUE"""),"-")</f>
        <v>-</v>
      </c>
      <c r="L3771" s="19" t="str">
        <f>IFERROR(__xludf.DUMMYFUNCTION("""COMPUTED_VALUE"""),"-")</f>
        <v>-</v>
      </c>
      <c r="O3771" s="24">
        <f t="shared" si="4"/>
        <v>0</v>
      </c>
      <c r="P3771" s="24"/>
      <c r="Q3771" s="24">
        <f t="shared" si="6"/>
        <v>0</v>
      </c>
      <c r="R3771" s="24">
        <f t="shared" si="7"/>
        <v>0</v>
      </c>
      <c r="S3771" s="24"/>
      <c r="T3771" s="24"/>
    </row>
    <row r="3772">
      <c r="A3772" s="12" t="s">
        <v>3859</v>
      </c>
      <c r="F3772" s="19">
        <f>IFERROR(__xludf.DUMMYFUNCTION("SPLIT(A3768, "" |"")"),3766.0)</f>
        <v>3766</v>
      </c>
      <c r="G3772" s="19">
        <f>IFERROR(__xludf.DUMMYFUNCTION("""COMPUTED_VALUE"""),0.00236)</f>
        <v>0.00236</v>
      </c>
      <c r="H3772" s="19" t="str">
        <f>IFERROR(__xludf.DUMMYFUNCTION("""COMPUTED_VALUE"""),"-")</f>
        <v>-</v>
      </c>
      <c r="I3772" s="19">
        <f>IFERROR(__xludf.DUMMYFUNCTION("""COMPUTED_VALUE"""),0.00221)</f>
        <v>0.00221</v>
      </c>
      <c r="J3772" s="19">
        <f>IFERROR(__xludf.DUMMYFUNCTION("""COMPUTED_VALUE"""),0.04766)</f>
        <v>0.04766</v>
      </c>
      <c r="K3772" s="19" t="str">
        <f>IFERROR(__xludf.DUMMYFUNCTION("""COMPUTED_VALUE"""),"-")</f>
        <v>-</v>
      </c>
      <c r="L3772" s="19" t="str">
        <f>IFERROR(__xludf.DUMMYFUNCTION("""COMPUTED_VALUE"""),"-")</f>
        <v>-</v>
      </c>
      <c r="O3772" s="24">
        <f t="shared" si="4"/>
        <v>0</v>
      </c>
      <c r="P3772" s="24"/>
      <c r="Q3772" s="24">
        <f t="shared" si="6"/>
        <v>0</v>
      </c>
      <c r="R3772" s="24">
        <f t="shared" si="7"/>
        <v>0</v>
      </c>
      <c r="S3772" s="24"/>
      <c r="T3772" s="24"/>
    </row>
    <row r="3773">
      <c r="A3773" s="12" t="s">
        <v>3860</v>
      </c>
      <c r="F3773" s="19">
        <f>IFERROR(__xludf.DUMMYFUNCTION("SPLIT(A3769, "" |"")"),3767.0)</f>
        <v>3767</v>
      </c>
      <c r="G3773" s="19">
        <f>IFERROR(__xludf.DUMMYFUNCTION("""COMPUTED_VALUE"""),0.00237)</f>
        <v>0.00237</v>
      </c>
      <c r="H3773" s="19" t="str">
        <f>IFERROR(__xludf.DUMMYFUNCTION("""COMPUTED_VALUE"""),"-")</f>
        <v>-</v>
      </c>
      <c r="I3773" s="19">
        <f>IFERROR(__xludf.DUMMYFUNCTION("""COMPUTED_VALUE"""),0.00226)</f>
        <v>0.00226</v>
      </c>
      <c r="J3773" s="19">
        <f>IFERROR(__xludf.DUMMYFUNCTION("""COMPUTED_VALUE"""),0.04752)</f>
        <v>0.04752</v>
      </c>
      <c r="K3773" s="19" t="str">
        <f>IFERROR(__xludf.DUMMYFUNCTION("""COMPUTED_VALUE"""),"-")</f>
        <v>-</v>
      </c>
      <c r="L3773" s="19" t="str">
        <f>IFERROR(__xludf.DUMMYFUNCTION("""COMPUTED_VALUE"""),"-")</f>
        <v>-</v>
      </c>
      <c r="O3773" s="24">
        <f t="shared" si="4"/>
        <v>0</v>
      </c>
      <c r="P3773" s="24"/>
      <c r="Q3773" s="24">
        <f t="shared" si="6"/>
        <v>0</v>
      </c>
      <c r="R3773" s="24">
        <f t="shared" si="7"/>
        <v>0</v>
      </c>
      <c r="S3773" s="24"/>
      <c r="T3773" s="24"/>
    </row>
    <row r="3774">
      <c r="A3774" s="12" t="s">
        <v>3861</v>
      </c>
      <c r="F3774" s="19">
        <f>IFERROR(__xludf.DUMMYFUNCTION("SPLIT(A3770, "" |"")"),3768.0)</f>
        <v>3768</v>
      </c>
      <c r="G3774" s="19">
        <f>IFERROR(__xludf.DUMMYFUNCTION("""COMPUTED_VALUE"""),0.00244)</f>
        <v>0.00244</v>
      </c>
      <c r="H3774" s="19" t="str">
        <f>IFERROR(__xludf.DUMMYFUNCTION("""COMPUTED_VALUE"""),"-")</f>
        <v>-</v>
      </c>
      <c r="I3774" s="19">
        <f>IFERROR(__xludf.DUMMYFUNCTION("""COMPUTED_VALUE"""),0.00224)</f>
        <v>0.00224</v>
      </c>
      <c r="J3774" s="19">
        <f>IFERROR(__xludf.DUMMYFUNCTION("""COMPUTED_VALUE"""),0.04751)</f>
        <v>0.04751</v>
      </c>
      <c r="K3774" s="19" t="str">
        <f>IFERROR(__xludf.DUMMYFUNCTION("""COMPUTED_VALUE"""),"-")</f>
        <v>-</v>
      </c>
      <c r="L3774" s="19" t="str">
        <f>IFERROR(__xludf.DUMMYFUNCTION("""COMPUTED_VALUE"""),"-")</f>
        <v>-</v>
      </c>
      <c r="O3774" s="24">
        <f t="shared" si="4"/>
        <v>0</v>
      </c>
      <c r="P3774" s="24"/>
      <c r="Q3774" s="24">
        <f t="shared" si="6"/>
        <v>0</v>
      </c>
      <c r="R3774" s="24">
        <f t="shared" si="7"/>
        <v>0</v>
      </c>
      <c r="S3774" s="24"/>
      <c r="T3774" s="24"/>
    </row>
    <row r="3775">
      <c r="A3775" s="12" t="s">
        <v>3862</v>
      </c>
      <c r="F3775" s="19">
        <f>IFERROR(__xludf.DUMMYFUNCTION("SPLIT(A3771, "" |"")"),3769.0)</f>
        <v>3769</v>
      </c>
      <c r="G3775" s="19">
        <f>IFERROR(__xludf.DUMMYFUNCTION("""COMPUTED_VALUE"""),0.00236)</f>
        <v>0.00236</v>
      </c>
      <c r="H3775" s="19" t="str">
        <f>IFERROR(__xludf.DUMMYFUNCTION("""COMPUTED_VALUE"""),"-")</f>
        <v>-</v>
      </c>
      <c r="I3775" s="19">
        <f>IFERROR(__xludf.DUMMYFUNCTION("""COMPUTED_VALUE"""),0.00226)</f>
        <v>0.00226</v>
      </c>
      <c r="J3775" s="19">
        <f>IFERROR(__xludf.DUMMYFUNCTION("""COMPUTED_VALUE"""),0.03991)</f>
        <v>0.03991</v>
      </c>
      <c r="K3775" s="19" t="str">
        <f>IFERROR(__xludf.DUMMYFUNCTION("""COMPUTED_VALUE"""),"-")</f>
        <v>-</v>
      </c>
      <c r="L3775" s="19" t="str">
        <f>IFERROR(__xludf.DUMMYFUNCTION("""COMPUTED_VALUE"""),"-")</f>
        <v>-</v>
      </c>
      <c r="O3775" s="24">
        <f t="shared" si="4"/>
        <v>0</v>
      </c>
      <c r="P3775" s="24"/>
      <c r="Q3775" s="24">
        <f t="shared" si="6"/>
        <v>0</v>
      </c>
      <c r="R3775" s="24">
        <f t="shared" si="7"/>
        <v>1</v>
      </c>
      <c r="S3775" s="24"/>
      <c r="T3775" s="24"/>
    </row>
    <row r="3776">
      <c r="A3776" s="12" t="s">
        <v>3863</v>
      </c>
      <c r="F3776" s="19">
        <f>IFERROR(__xludf.DUMMYFUNCTION("SPLIT(A3772, "" |"")"),3770.0)</f>
        <v>3770</v>
      </c>
      <c r="G3776" s="19">
        <f>IFERROR(__xludf.DUMMYFUNCTION("""COMPUTED_VALUE"""),0.00243)</f>
        <v>0.00243</v>
      </c>
      <c r="H3776" s="19" t="str">
        <f>IFERROR(__xludf.DUMMYFUNCTION("""COMPUTED_VALUE"""),"-")</f>
        <v>-</v>
      </c>
      <c r="I3776" s="19">
        <f>IFERROR(__xludf.DUMMYFUNCTION("""COMPUTED_VALUE"""),0.00215)</f>
        <v>0.00215</v>
      </c>
      <c r="J3776" s="19">
        <f>IFERROR(__xludf.DUMMYFUNCTION("""COMPUTED_VALUE"""),0.0472)</f>
        <v>0.0472</v>
      </c>
      <c r="K3776" s="19" t="str">
        <f>IFERROR(__xludf.DUMMYFUNCTION("""COMPUTED_VALUE"""),"-")</f>
        <v>-</v>
      </c>
      <c r="L3776" s="19" t="str">
        <f>IFERROR(__xludf.DUMMYFUNCTION("""COMPUTED_VALUE"""),"-")</f>
        <v>-</v>
      </c>
      <c r="O3776" s="24">
        <f t="shared" si="4"/>
        <v>0</v>
      </c>
      <c r="P3776" s="24"/>
      <c r="Q3776" s="24">
        <f t="shared" si="6"/>
        <v>0</v>
      </c>
      <c r="R3776" s="24">
        <f t="shared" si="7"/>
        <v>0</v>
      </c>
      <c r="S3776" s="24"/>
      <c r="T3776" s="24"/>
    </row>
    <row r="3777">
      <c r="A3777" s="12" t="s">
        <v>3864</v>
      </c>
      <c r="F3777" s="19">
        <f>IFERROR(__xludf.DUMMYFUNCTION("SPLIT(A3773, "" |"")"),3771.0)</f>
        <v>3771</v>
      </c>
      <c r="G3777" s="19">
        <f>IFERROR(__xludf.DUMMYFUNCTION("""COMPUTED_VALUE"""),0.00238)</f>
        <v>0.00238</v>
      </c>
      <c r="H3777" s="19" t="str">
        <f>IFERROR(__xludf.DUMMYFUNCTION("""COMPUTED_VALUE"""),"-")</f>
        <v>-</v>
      </c>
      <c r="I3777" s="19">
        <f>IFERROR(__xludf.DUMMYFUNCTION("""COMPUTED_VALUE"""),0.00226)</f>
        <v>0.00226</v>
      </c>
      <c r="J3777" s="19">
        <f>IFERROR(__xludf.DUMMYFUNCTION("""COMPUTED_VALUE"""),0.0475)</f>
        <v>0.0475</v>
      </c>
      <c r="K3777" s="19" t="str">
        <f>IFERROR(__xludf.DUMMYFUNCTION("""COMPUTED_VALUE"""),"-")</f>
        <v>-</v>
      </c>
      <c r="L3777" s="19" t="str">
        <f>IFERROR(__xludf.DUMMYFUNCTION("""COMPUTED_VALUE"""),"-")</f>
        <v>-</v>
      </c>
      <c r="O3777" s="24">
        <f t="shared" si="4"/>
        <v>0</v>
      </c>
      <c r="P3777" s="24"/>
      <c r="Q3777" s="24">
        <f t="shared" si="6"/>
        <v>0</v>
      </c>
      <c r="R3777" s="24">
        <f t="shared" si="7"/>
        <v>0</v>
      </c>
      <c r="S3777" s="24"/>
      <c r="T3777" s="24"/>
    </row>
    <row r="3778">
      <c r="A3778" s="12" t="s">
        <v>3865</v>
      </c>
      <c r="F3778" s="19">
        <f>IFERROR(__xludf.DUMMYFUNCTION("SPLIT(A3774, "" |"")"),3772.0)</f>
        <v>3772</v>
      </c>
      <c r="G3778" s="19">
        <f>IFERROR(__xludf.DUMMYFUNCTION("""COMPUTED_VALUE"""),0.00232)</f>
        <v>0.00232</v>
      </c>
      <c r="H3778" s="19" t="str">
        <f>IFERROR(__xludf.DUMMYFUNCTION("""COMPUTED_VALUE"""),"-")</f>
        <v>-</v>
      </c>
      <c r="I3778" s="19">
        <f>IFERROR(__xludf.DUMMYFUNCTION("""COMPUTED_VALUE"""),0.00228)</f>
        <v>0.00228</v>
      </c>
      <c r="J3778" s="19">
        <f>IFERROR(__xludf.DUMMYFUNCTION("""COMPUTED_VALUE"""),0.04745)</f>
        <v>0.04745</v>
      </c>
      <c r="K3778" s="19" t="str">
        <f>IFERROR(__xludf.DUMMYFUNCTION("""COMPUTED_VALUE"""),"-")</f>
        <v>-</v>
      </c>
      <c r="L3778" s="19" t="str">
        <f>IFERROR(__xludf.DUMMYFUNCTION("""COMPUTED_VALUE"""),"-")</f>
        <v>-</v>
      </c>
      <c r="O3778" s="24">
        <f t="shared" si="4"/>
        <v>0</v>
      </c>
      <c r="P3778" s="24"/>
      <c r="Q3778" s="24">
        <f t="shared" si="6"/>
        <v>0</v>
      </c>
      <c r="R3778" s="24">
        <f t="shared" si="7"/>
        <v>0</v>
      </c>
      <c r="S3778" s="24"/>
      <c r="T3778" s="24"/>
    </row>
    <row r="3779">
      <c r="A3779" s="12" t="s">
        <v>3866</v>
      </c>
      <c r="F3779" s="19">
        <f>IFERROR(__xludf.DUMMYFUNCTION("SPLIT(A3775, "" |"")"),3773.0)</f>
        <v>3773</v>
      </c>
      <c r="G3779" s="19">
        <f>IFERROR(__xludf.DUMMYFUNCTION("""COMPUTED_VALUE"""),0.00232)</f>
        <v>0.00232</v>
      </c>
      <c r="H3779" s="19" t="str">
        <f>IFERROR(__xludf.DUMMYFUNCTION("""COMPUTED_VALUE"""),"-")</f>
        <v>-</v>
      </c>
      <c r="I3779" s="19">
        <f>IFERROR(__xludf.DUMMYFUNCTION("""COMPUTED_VALUE"""),0.00224)</f>
        <v>0.00224</v>
      </c>
      <c r="J3779" s="19">
        <f>IFERROR(__xludf.DUMMYFUNCTION("""COMPUTED_VALUE"""),0.04748)</f>
        <v>0.04748</v>
      </c>
      <c r="K3779" s="19" t="str">
        <f>IFERROR(__xludf.DUMMYFUNCTION("""COMPUTED_VALUE"""),"-")</f>
        <v>-</v>
      </c>
      <c r="L3779" s="19" t="str">
        <f>IFERROR(__xludf.DUMMYFUNCTION("""COMPUTED_VALUE"""),"-")</f>
        <v>-</v>
      </c>
      <c r="O3779" s="24">
        <f t="shared" si="4"/>
        <v>0</v>
      </c>
      <c r="P3779" s="24"/>
      <c r="Q3779" s="24">
        <f t="shared" si="6"/>
        <v>0</v>
      </c>
      <c r="R3779" s="24">
        <f t="shared" si="7"/>
        <v>0</v>
      </c>
      <c r="S3779" s="24"/>
      <c r="T3779" s="24"/>
    </row>
    <row r="3780">
      <c r="A3780" s="12" t="s">
        <v>3867</v>
      </c>
      <c r="F3780" s="19">
        <f>IFERROR(__xludf.DUMMYFUNCTION("SPLIT(A3776, "" |"")"),3774.0)</f>
        <v>3774</v>
      </c>
      <c r="G3780" s="19">
        <f>IFERROR(__xludf.DUMMYFUNCTION("""COMPUTED_VALUE"""),0.00236)</f>
        <v>0.00236</v>
      </c>
      <c r="H3780" s="19" t="str">
        <f>IFERROR(__xludf.DUMMYFUNCTION("""COMPUTED_VALUE"""),"-")</f>
        <v>-</v>
      </c>
      <c r="I3780" s="19">
        <f>IFERROR(__xludf.DUMMYFUNCTION("""COMPUTED_VALUE"""),0.00217)</f>
        <v>0.00217</v>
      </c>
      <c r="J3780" s="19">
        <f>IFERROR(__xludf.DUMMYFUNCTION("""COMPUTED_VALUE"""),0.04123)</f>
        <v>0.04123</v>
      </c>
      <c r="K3780" s="19" t="str">
        <f>IFERROR(__xludf.DUMMYFUNCTION("""COMPUTED_VALUE"""),"-")</f>
        <v>-</v>
      </c>
      <c r="L3780" s="19" t="str">
        <f>IFERROR(__xludf.DUMMYFUNCTION("""COMPUTED_VALUE"""),"-")</f>
        <v>-</v>
      </c>
      <c r="O3780" s="24">
        <f t="shared" si="4"/>
        <v>0</v>
      </c>
      <c r="P3780" s="24"/>
      <c r="Q3780" s="24">
        <f t="shared" si="6"/>
        <v>0</v>
      </c>
      <c r="R3780" s="24">
        <f t="shared" si="7"/>
        <v>1</v>
      </c>
      <c r="S3780" s="24"/>
      <c r="T3780" s="24"/>
    </row>
    <row r="3781">
      <c r="A3781" s="12" t="s">
        <v>3868</v>
      </c>
      <c r="F3781" s="19">
        <f>IFERROR(__xludf.DUMMYFUNCTION("SPLIT(A3777, "" |"")"),3775.0)</f>
        <v>3775</v>
      </c>
      <c r="G3781" s="19">
        <f>IFERROR(__xludf.DUMMYFUNCTION("""COMPUTED_VALUE"""),0.00236)</f>
        <v>0.00236</v>
      </c>
      <c r="H3781" s="19" t="str">
        <f>IFERROR(__xludf.DUMMYFUNCTION("""COMPUTED_VALUE"""),"-")</f>
        <v>-</v>
      </c>
      <c r="I3781" s="19">
        <f>IFERROR(__xludf.DUMMYFUNCTION("""COMPUTED_VALUE"""),0.00224)</f>
        <v>0.00224</v>
      </c>
      <c r="J3781" s="19">
        <f>IFERROR(__xludf.DUMMYFUNCTION("""COMPUTED_VALUE"""),0.04748)</f>
        <v>0.04748</v>
      </c>
      <c r="K3781" s="19" t="str">
        <f>IFERROR(__xludf.DUMMYFUNCTION("""COMPUTED_VALUE"""),"-")</f>
        <v>-</v>
      </c>
      <c r="L3781" s="19" t="str">
        <f>IFERROR(__xludf.DUMMYFUNCTION("""COMPUTED_VALUE"""),"-")</f>
        <v>-</v>
      </c>
      <c r="O3781" s="24">
        <f t="shared" si="4"/>
        <v>0</v>
      </c>
      <c r="P3781" s="24"/>
      <c r="Q3781" s="24">
        <f t="shared" si="6"/>
        <v>0</v>
      </c>
      <c r="R3781" s="24">
        <f t="shared" si="7"/>
        <v>0</v>
      </c>
      <c r="S3781" s="24"/>
      <c r="T3781" s="24"/>
    </row>
    <row r="3782">
      <c r="A3782" s="12" t="s">
        <v>3869</v>
      </c>
      <c r="F3782" s="19">
        <f>IFERROR(__xludf.DUMMYFUNCTION("SPLIT(A3778, "" |"")"),3776.0)</f>
        <v>3776</v>
      </c>
      <c r="G3782" s="19">
        <f>IFERROR(__xludf.DUMMYFUNCTION("""COMPUTED_VALUE"""),0.0023)</f>
        <v>0.0023</v>
      </c>
      <c r="H3782" s="19" t="str">
        <f>IFERROR(__xludf.DUMMYFUNCTION("""COMPUTED_VALUE"""),"-")</f>
        <v>-</v>
      </c>
      <c r="I3782" s="19">
        <f>IFERROR(__xludf.DUMMYFUNCTION("""COMPUTED_VALUE"""),0.00228)</f>
        <v>0.00228</v>
      </c>
      <c r="J3782" s="19">
        <f>IFERROR(__xludf.DUMMYFUNCTION("""COMPUTED_VALUE"""),0.0475)</f>
        <v>0.0475</v>
      </c>
      <c r="K3782" s="19" t="str">
        <f>IFERROR(__xludf.DUMMYFUNCTION("""COMPUTED_VALUE"""),"-")</f>
        <v>-</v>
      </c>
      <c r="L3782" s="19" t="str">
        <f>IFERROR(__xludf.DUMMYFUNCTION("""COMPUTED_VALUE"""),"-")</f>
        <v>-</v>
      </c>
      <c r="O3782" s="24">
        <f t="shared" si="4"/>
        <v>0</v>
      </c>
      <c r="P3782" s="24"/>
      <c r="Q3782" s="24">
        <f t="shared" si="6"/>
        <v>0</v>
      </c>
      <c r="R3782" s="24">
        <f t="shared" si="7"/>
        <v>0</v>
      </c>
      <c r="S3782" s="24"/>
      <c r="T3782" s="24"/>
    </row>
    <row r="3783">
      <c r="A3783" s="12" t="s">
        <v>3870</v>
      </c>
      <c r="F3783" s="19">
        <f>IFERROR(__xludf.DUMMYFUNCTION("SPLIT(A3779, "" |"")"),3777.0)</f>
        <v>3777</v>
      </c>
      <c r="G3783" s="19">
        <f>IFERROR(__xludf.DUMMYFUNCTION("""COMPUTED_VALUE"""),0.00231)</f>
        <v>0.00231</v>
      </c>
      <c r="H3783" s="19" t="str">
        <f>IFERROR(__xludf.DUMMYFUNCTION("""COMPUTED_VALUE"""),"-")</f>
        <v>-</v>
      </c>
      <c r="I3783" s="19">
        <f>IFERROR(__xludf.DUMMYFUNCTION("""COMPUTED_VALUE"""),0.00223)</f>
        <v>0.00223</v>
      </c>
      <c r="J3783" s="19">
        <f>IFERROR(__xludf.DUMMYFUNCTION("""COMPUTED_VALUE"""),0.04749)</f>
        <v>0.04749</v>
      </c>
      <c r="K3783" s="19" t="str">
        <f>IFERROR(__xludf.DUMMYFUNCTION("""COMPUTED_VALUE"""),"-")</f>
        <v>-</v>
      </c>
      <c r="L3783" s="19" t="str">
        <f>IFERROR(__xludf.DUMMYFUNCTION("""COMPUTED_VALUE"""),"-")</f>
        <v>-</v>
      </c>
      <c r="O3783" s="24">
        <f t="shared" si="4"/>
        <v>0</v>
      </c>
      <c r="P3783" s="24"/>
      <c r="Q3783" s="24">
        <f t="shared" si="6"/>
        <v>0</v>
      </c>
      <c r="R3783" s="24">
        <f t="shared" si="7"/>
        <v>0</v>
      </c>
      <c r="S3783" s="24"/>
      <c r="T3783" s="24"/>
    </row>
    <row r="3784">
      <c r="A3784" s="12" t="s">
        <v>3871</v>
      </c>
      <c r="F3784" s="19">
        <f>IFERROR(__xludf.DUMMYFUNCTION("SPLIT(A3780, "" |"")"),3778.0)</f>
        <v>3778</v>
      </c>
      <c r="G3784" s="19">
        <f>IFERROR(__xludf.DUMMYFUNCTION("""COMPUTED_VALUE"""),0.00237)</f>
        <v>0.00237</v>
      </c>
      <c r="H3784" s="19" t="str">
        <f>IFERROR(__xludf.DUMMYFUNCTION("""COMPUTED_VALUE"""),"-")</f>
        <v>-</v>
      </c>
      <c r="I3784" s="19">
        <f>IFERROR(__xludf.DUMMYFUNCTION("""COMPUTED_VALUE"""),0.00221)</f>
        <v>0.00221</v>
      </c>
      <c r="J3784" s="19">
        <f>IFERROR(__xludf.DUMMYFUNCTION("""COMPUTED_VALUE"""),0.04268)</f>
        <v>0.04268</v>
      </c>
      <c r="K3784" s="19" t="str">
        <f>IFERROR(__xludf.DUMMYFUNCTION("""COMPUTED_VALUE"""),"-")</f>
        <v>-</v>
      </c>
      <c r="L3784" s="19" t="str">
        <f>IFERROR(__xludf.DUMMYFUNCTION("""COMPUTED_VALUE"""),"-")</f>
        <v>-</v>
      </c>
      <c r="O3784" s="24">
        <f t="shared" si="4"/>
        <v>0</v>
      </c>
      <c r="P3784" s="24"/>
      <c r="Q3784" s="24">
        <f t="shared" si="6"/>
        <v>0</v>
      </c>
      <c r="R3784" s="24">
        <f t="shared" si="7"/>
        <v>1</v>
      </c>
      <c r="S3784" s="24"/>
      <c r="T3784" s="24"/>
    </row>
    <row r="3785">
      <c r="A3785" s="12" t="s">
        <v>3872</v>
      </c>
      <c r="F3785" s="19">
        <f>IFERROR(__xludf.DUMMYFUNCTION("SPLIT(A3781, "" |"")"),3779.0)</f>
        <v>3779</v>
      </c>
      <c r="G3785" s="19">
        <f>IFERROR(__xludf.DUMMYFUNCTION("""COMPUTED_VALUE"""),0.0023)</f>
        <v>0.0023</v>
      </c>
      <c r="H3785" s="19" t="str">
        <f>IFERROR(__xludf.DUMMYFUNCTION("""COMPUTED_VALUE"""),"-")</f>
        <v>-</v>
      </c>
      <c r="I3785" s="19">
        <f>IFERROR(__xludf.DUMMYFUNCTION("""COMPUTED_VALUE"""),0.00221)</f>
        <v>0.00221</v>
      </c>
      <c r="J3785" s="19">
        <f>IFERROR(__xludf.DUMMYFUNCTION("""COMPUTED_VALUE"""),0.04748)</f>
        <v>0.04748</v>
      </c>
      <c r="K3785" s="19" t="str">
        <f>IFERROR(__xludf.DUMMYFUNCTION("""COMPUTED_VALUE"""),"-")</f>
        <v>-</v>
      </c>
      <c r="L3785" s="19" t="str">
        <f>IFERROR(__xludf.DUMMYFUNCTION("""COMPUTED_VALUE"""),"-")</f>
        <v>-</v>
      </c>
      <c r="O3785" s="24">
        <f t="shared" si="4"/>
        <v>0</v>
      </c>
      <c r="P3785" s="24"/>
      <c r="Q3785" s="24">
        <f t="shared" si="6"/>
        <v>0</v>
      </c>
      <c r="R3785" s="24">
        <f t="shared" si="7"/>
        <v>0</v>
      </c>
      <c r="S3785" s="24"/>
      <c r="T3785" s="24"/>
    </row>
    <row r="3786">
      <c r="A3786" s="12" t="s">
        <v>3873</v>
      </c>
      <c r="F3786" s="19">
        <f>IFERROR(__xludf.DUMMYFUNCTION("SPLIT(A3782, "" |"")"),3780.0)</f>
        <v>3780</v>
      </c>
      <c r="G3786" s="19">
        <f>IFERROR(__xludf.DUMMYFUNCTION("""COMPUTED_VALUE"""),0.00233)</f>
        <v>0.00233</v>
      </c>
      <c r="H3786" s="19" t="str">
        <f>IFERROR(__xludf.DUMMYFUNCTION("""COMPUTED_VALUE"""),"-")</f>
        <v>-</v>
      </c>
      <c r="I3786" s="19">
        <f>IFERROR(__xludf.DUMMYFUNCTION("""COMPUTED_VALUE"""),0.0022)</f>
        <v>0.0022</v>
      </c>
      <c r="J3786" s="19">
        <f>IFERROR(__xludf.DUMMYFUNCTION("""COMPUTED_VALUE"""),0.04748)</f>
        <v>0.04748</v>
      </c>
      <c r="K3786" s="19" t="str">
        <f>IFERROR(__xludf.DUMMYFUNCTION("""COMPUTED_VALUE"""),"-")</f>
        <v>-</v>
      </c>
      <c r="L3786" s="19" t="str">
        <f>IFERROR(__xludf.DUMMYFUNCTION("""COMPUTED_VALUE"""),"-")</f>
        <v>-</v>
      </c>
      <c r="O3786" s="24">
        <f t="shared" si="4"/>
        <v>0</v>
      </c>
      <c r="P3786" s="24"/>
      <c r="Q3786" s="24">
        <f t="shared" si="6"/>
        <v>0</v>
      </c>
      <c r="R3786" s="24">
        <f t="shared" si="7"/>
        <v>0</v>
      </c>
      <c r="S3786" s="24"/>
      <c r="T3786" s="24"/>
    </row>
    <row r="3787">
      <c r="A3787" s="12" t="s">
        <v>3874</v>
      </c>
      <c r="F3787" s="19">
        <f>IFERROR(__xludf.DUMMYFUNCTION("SPLIT(A3783, "" |"")"),3781.0)</f>
        <v>3781</v>
      </c>
      <c r="G3787" s="19">
        <f>IFERROR(__xludf.DUMMYFUNCTION("""COMPUTED_VALUE"""),0.00231)</f>
        <v>0.00231</v>
      </c>
      <c r="H3787" s="19" t="str">
        <f>IFERROR(__xludf.DUMMYFUNCTION("""COMPUTED_VALUE"""),"-")</f>
        <v>-</v>
      </c>
      <c r="I3787" s="19">
        <f>IFERROR(__xludf.DUMMYFUNCTION("""COMPUTED_VALUE"""),0.00223)</f>
        <v>0.00223</v>
      </c>
      <c r="J3787" s="19">
        <f>IFERROR(__xludf.DUMMYFUNCTION("""COMPUTED_VALUE"""),0.04745)</f>
        <v>0.04745</v>
      </c>
      <c r="K3787" s="19" t="str">
        <f>IFERROR(__xludf.DUMMYFUNCTION("""COMPUTED_VALUE"""),"-")</f>
        <v>-</v>
      </c>
      <c r="L3787" s="19" t="str">
        <f>IFERROR(__xludf.DUMMYFUNCTION("""COMPUTED_VALUE"""),"-")</f>
        <v>-</v>
      </c>
      <c r="O3787" s="24">
        <f t="shared" si="4"/>
        <v>0</v>
      </c>
      <c r="P3787" s="24"/>
      <c r="Q3787" s="24">
        <f t="shared" si="6"/>
        <v>0</v>
      </c>
      <c r="R3787" s="24">
        <f t="shared" si="7"/>
        <v>0</v>
      </c>
      <c r="S3787" s="24"/>
      <c r="T3787" s="24"/>
    </row>
    <row r="3788">
      <c r="A3788" s="12" t="s">
        <v>3875</v>
      </c>
      <c r="F3788" s="19">
        <f>IFERROR(__xludf.DUMMYFUNCTION("SPLIT(A3784, "" |"")"),3782.0)</f>
        <v>3782</v>
      </c>
      <c r="G3788" s="19">
        <f>IFERROR(__xludf.DUMMYFUNCTION("""COMPUTED_VALUE"""),0.00241)</f>
        <v>0.00241</v>
      </c>
      <c r="H3788" s="19" t="str">
        <f>IFERROR(__xludf.DUMMYFUNCTION("""COMPUTED_VALUE"""),"-")</f>
        <v>-</v>
      </c>
      <c r="I3788" s="19">
        <f>IFERROR(__xludf.DUMMYFUNCTION("""COMPUTED_VALUE"""),0.00225)</f>
        <v>0.00225</v>
      </c>
      <c r="J3788" s="19">
        <f>IFERROR(__xludf.DUMMYFUNCTION("""COMPUTED_VALUE"""),0.03977)</f>
        <v>0.03977</v>
      </c>
      <c r="K3788" s="19" t="str">
        <f>IFERROR(__xludf.DUMMYFUNCTION("""COMPUTED_VALUE"""),"-")</f>
        <v>-</v>
      </c>
      <c r="L3788" s="19" t="str">
        <f>IFERROR(__xludf.DUMMYFUNCTION("""COMPUTED_VALUE"""),"-")</f>
        <v>-</v>
      </c>
      <c r="O3788" s="24">
        <f t="shared" si="4"/>
        <v>0</v>
      </c>
      <c r="P3788" s="24"/>
      <c r="Q3788" s="24">
        <f t="shared" si="6"/>
        <v>0</v>
      </c>
      <c r="R3788" s="24">
        <f t="shared" si="7"/>
        <v>1</v>
      </c>
      <c r="S3788" s="24"/>
      <c r="T3788" s="24"/>
    </row>
    <row r="3789">
      <c r="A3789" s="12" t="s">
        <v>3876</v>
      </c>
      <c r="F3789" s="19">
        <f>IFERROR(__xludf.DUMMYFUNCTION("SPLIT(A3785, "" |"")"),3783.0)</f>
        <v>3783</v>
      </c>
      <c r="G3789" s="19">
        <f>IFERROR(__xludf.DUMMYFUNCTION("""COMPUTED_VALUE"""),0.00228)</f>
        <v>0.00228</v>
      </c>
      <c r="H3789" s="19" t="str">
        <f>IFERROR(__xludf.DUMMYFUNCTION("""COMPUTED_VALUE"""),"-")</f>
        <v>-</v>
      </c>
      <c r="I3789" s="19">
        <f>IFERROR(__xludf.DUMMYFUNCTION("""COMPUTED_VALUE"""),0.00221)</f>
        <v>0.00221</v>
      </c>
      <c r="J3789" s="19">
        <f>IFERROR(__xludf.DUMMYFUNCTION("""COMPUTED_VALUE"""),0.04741)</f>
        <v>0.04741</v>
      </c>
      <c r="K3789" s="19" t="str">
        <f>IFERROR(__xludf.DUMMYFUNCTION("""COMPUTED_VALUE"""),"-")</f>
        <v>-</v>
      </c>
      <c r="L3789" s="19" t="str">
        <f>IFERROR(__xludf.DUMMYFUNCTION("""COMPUTED_VALUE"""),"-")</f>
        <v>-</v>
      </c>
      <c r="O3789" s="24">
        <f t="shared" si="4"/>
        <v>0</v>
      </c>
      <c r="P3789" s="24"/>
      <c r="Q3789" s="24">
        <f t="shared" si="6"/>
        <v>0</v>
      </c>
      <c r="R3789" s="24">
        <f t="shared" si="7"/>
        <v>0</v>
      </c>
      <c r="S3789" s="24"/>
      <c r="T3789" s="24"/>
    </row>
    <row r="3790">
      <c r="A3790" s="12" t="s">
        <v>3877</v>
      </c>
      <c r="F3790" s="19">
        <f>IFERROR(__xludf.DUMMYFUNCTION("SPLIT(A3786, "" |"")"),3784.0)</f>
        <v>3784</v>
      </c>
      <c r="G3790" s="19">
        <f>IFERROR(__xludf.DUMMYFUNCTION("""COMPUTED_VALUE"""),0.00238)</f>
        <v>0.00238</v>
      </c>
      <c r="H3790" s="19" t="str">
        <f>IFERROR(__xludf.DUMMYFUNCTION("""COMPUTED_VALUE"""),"-")</f>
        <v>-</v>
      </c>
      <c r="I3790" s="19">
        <f>IFERROR(__xludf.DUMMYFUNCTION("""COMPUTED_VALUE"""),0.00223)</f>
        <v>0.00223</v>
      </c>
      <c r="J3790" s="19">
        <f>IFERROR(__xludf.DUMMYFUNCTION("""COMPUTED_VALUE"""),0.04749)</f>
        <v>0.04749</v>
      </c>
      <c r="K3790" s="19" t="str">
        <f>IFERROR(__xludf.DUMMYFUNCTION("""COMPUTED_VALUE"""),"-")</f>
        <v>-</v>
      </c>
      <c r="L3790" s="19" t="str">
        <f>IFERROR(__xludf.DUMMYFUNCTION("""COMPUTED_VALUE"""),"-")</f>
        <v>-</v>
      </c>
      <c r="O3790" s="24">
        <f t="shared" si="4"/>
        <v>0</v>
      </c>
      <c r="P3790" s="24"/>
      <c r="Q3790" s="24">
        <f t="shared" si="6"/>
        <v>0</v>
      </c>
      <c r="R3790" s="24">
        <f t="shared" si="7"/>
        <v>0</v>
      </c>
      <c r="S3790" s="24"/>
      <c r="T3790" s="24"/>
    </row>
    <row r="3791">
      <c r="A3791" s="12" t="s">
        <v>3878</v>
      </c>
      <c r="F3791" s="19">
        <f>IFERROR(__xludf.DUMMYFUNCTION("SPLIT(A3787, "" |"")"),3785.0)</f>
        <v>3785</v>
      </c>
      <c r="G3791" s="19">
        <f>IFERROR(__xludf.DUMMYFUNCTION("""COMPUTED_VALUE"""),0.00229)</f>
        <v>0.00229</v>
      </c>
      <c r="H3791" s="19" t="str">
        <f>IFERROR(__xludf.DUMMYFUNCTION("""COMPUTED_VALUE"""),"-")</f>
        <v>-</v>
      </c>
      <c r="I3791" s="19">
        <f>IFERROR(__xludf.DUMMYFUNCTION("""COMPUTED_VALUE"""),0.00221)</f>
        <v>0.00221</v>
      </c>
      <c r="J3791" s="19">
        <f>IFERROR(__xludf.DUMMYFUNCTION("""COMPUTED_VALUE"""),0.03969)</f>
        <v>0.03969</v>
      </c>
      <c r="K3791" s="19" t="str">
        <f>IFERROR(__xludf.DUMMYFUNCTION("""COMPUTED_VALUE"""),"-")</f>
        <v>-</v>
      </c>
      <c r="L3791" s="19" t="str">
        <f>IFERROR(__xludf.DUMMYFUNCTION("""COMPUTED_VALUE"""),"-")</f>
        <v>-</v>
      </c>
      <c r="O3791" s="24">
        <f t="shared" si="4"/>
        <v>0</v>
      </c>
      <c r="P3791" s="24"/>
      <c r="Q3791" s="24">
        <f t="shared" si="6"/>
        <v>0</v>
      </c>
      <c r="R3791" s="24">
        <f t="shared" si="7"/>
        <v>1</v>
      </c>
      <c r="S3791" s="24"/>
      <c r="T3791" s="24"/>
    </row>
    <row r="3792">
      <c r="A3792" s="12" t="s">
        <v>3879</v>
      </c>
      <c r="F3792" s="19">
        <f>IFERROR(__xludf.DUMMYFUNCTION("SPLIT(A3788, "" |"")"),3786.0)</f>
        <v>3786</v>
      </c>
      <c r="G3792" s="19">
        <f>IFERROR(__xludf.DUMMYFUNCTION("""COMPUTED_VALUE"""),0.00245)</f>
        <v>0.00245</v>
      </c>
      <c r="H3792" s="19" t="str">
        <f>IFERROR(__xludf.DUMMYFUNCTION("""COMPUTED_VALUE"""),"-")</f>
        <v>-</v>
      </c>
      <c r="I3792" s="19">
        <f>IFERROR(__xludf.DUMMYFUNCTION("""COMPUTED_VALUE"""),0.00227)</f>
        <v>0.00227</v>
      </c>
      <c r="J3792" s="19">
        <f>IFERROR(__xludf.DUMMYFUNCTION("""COMPUTED_VALUE"""),0.04062)</f>
        <v>0.04062</v>
      </c>
      <c r="K3792" s="19" t="str">
        <f>IFERROR(__xludf.DUMMYFUNCTION("""COMPUTED_VALUE"""),"-")</f>
        <v>-</v>
      </c>
      <c r="L3792" s="19" t="str">
        <f>IFERROR(__xludf.DUMMYFUNCTION("""COMPUTED_VALUE"""),"-")</f>
        <v>-</v>
      </c>
      <c r="O3792" s="24">
        <f t="shared" si="4"/>
        <v>0</v>
      </c>
      <c r="P3792" s="24"/>
      <c r="Q3792" s="24">
        <f t="shared" si="6"/>
        <v>0</v>
      </c>
      <c r="R3792" s="24">
        <f t="shared" si="7"/>
        <v>1</v>
      </c>
      <c r="S3792" s="24"/>
      <c r="T3792" s="24"/>
    </row>
    <row r="3793">
      <c r="A3793" s="12" t="s">
        <v>3880</v>
      </c>
      <c r="F3793" s="19">
        <f>IFERROR(__xludf.DUMMYFUNCTION("SPLIT(A3789, "" |"")"),3787.0)</f>
        <v>3787</v>
      </c>
      <c r="G3793" s="19">
        <f>IFERROR(__xludf.DUMMYFUNCTION("""COMPUTED_VALUE"""),0.00242)</f>
        <v>0.00242</v>
      </c>
      <c r="H3793" s="19" t="str">
        <f>IFERROR(__xludf.DUMMYFUNCTION("""COMPUTED_VALUE"""),"-")</f>
        <v>-</v>
      </c>
      <c r="I3793" s="19">
        <f>IFERROR(__xludf.DUMMYFUNCTION("""COMPUTED_VALUE"""),0.00224)</f>
        <v>0.00224</v>
      </c>
      <c r="J3793" s="19">
        <f>IFERROR(__xludf.DUMMYFUNCTION("""COMPUTED_VALUE"""),0.04752)</f>
        <v>0.04752</v>
      </c>
      <c r="K3793" s="19" t="str">
        <f>IFERROR(__xludf.DUMMYFUNCTION("""COMPUTED_VALUE"""),"-")</f>
        <v>-</v>
      </c>
      <c r="L3793" s="19" t="str">
        <f>IFERROR(__xludf.DUMMYFUNCTION("""COMPUTED_VALUE"""),"-")</f>
        <v>-</v>
      </c>
      <c r="O3793" s="24">
        <f t="shared" si="4"/>
        <v>0</v>
      </c>
      <c r="P3793" s="24"/>
      <c r="Q3793" s="24">
        <f t="shared" si="6"/>
        <v>0</v>
      </c>
      <c r="R3793" s="24">
        <f t="shared" si="7"/>
        <v>0</v>
      </c>
      <c r="S3793" s="24"/>
      <c r="T3793" s="24"/>
    </row>
    <row r="3794">
      <c r="A3794" s="12" t="s">
        <v>3881</v>
      </c>
      <c r="F3794" s="19">
        <f>IFERROR(__xludf.DUMMYFUNCTION("SPLIT(A3790, "" |"")"),3788.0)</f>
        <v>3788</v>
      </c>
      <c r="G3794" s="19">
        <f>IFERROR(__xludf.DUMMYFUNCTION("""COMPUTED_VALUE"""),0.00249)</f>
        <v>0.00249</v>
      </c>
      <c r="H3794" s="19" t="str">
        <f>IFERROR(__xludf.DUMMYFUNCTION("""COMPUTED_VALUE"""),"-")</f>
        <v>-</v>
      </c>
      <c r="I3794" s="19">
        <f>IFERROR(__xludf.DUMMYFUNCTION("""COMPUTED_VALUE"""),0.00228)</f>
        <v>0.00228</v>
      </c>
      <c r="J3794" s="19">
        <f>IFERROR(__xludf.DUMMYFUNCTION("""COMPUTED_VALUE"""),0.04747)</f>
        <v>0.04747</v>
      </c>
      <c r="K3794" s="19" t="str">
        <f>IFERROR(__xludf.DUMMYFUNCTION("""COMPUTED_VALUE"""),"-")</f>
        <v>-</v>
      </c>
      <c r="L3794" s="19" t="str">
        <f>IFERROR(__xludf.DUMMYFUNCTION("""COMPUTED_VALUE"""),"-")</f>
        <v>-</v>
      </c>
      <c r="O3794" s="24">
        <f t="shared" si="4"/>
        <v>0</v>
      </c>
      <c r="P3794" s="24"/>
      <c r="Q3794" s="24">
        <f t="shared" si="6"/>
        <v>0</v>
      </c>
      <c r="R3794" s="24">
        <f t="shared" si="7"/>
        <v>0</v>
      </c>
      <c r="S3794" s="24"/>
      <c r="T3794" s="24"/>
    </row>
    <row r="3795">
      <c r="A3795" s="12" t="s">
        <v>3882</v>
      </c>
      <c r="F3795" s="19">
        <f>IFERROR(__xludf.DUMMYFUNCTION("SPLIT(A3791, "" |"")"),3789.0)</f>
        <v>3789</v>
      </c>
      <c r="G3795" s="19">
        <f>IFERROR(__xludf.DUMMYFUNCTION("""COMPUTED_VALUE"""),0.00235)</f>
        <v>0.00235</v>
      </c>
      <c r="H3795" s="19" t="str">
        <f>IFERROR(__xludf.DUMMYFUNCTION("""COMPUTED_VALUE"""),"-")</f>
        <v>-</v>
      </c>
      <c r="I3795" s="19">
        <f>IFERROR(__xludf.DUMMYFUNCTION("""COMPUTED_VALUE"""),0.00225)</f>
        <v>0.00225</v>
      </c>
      <c r="J3795" s="19">
        <f>IFERROR(__xludf.DUMMYFUNCTION("""COMPUTED_VALUE"""),0.04737)</f>
        <v>0.04737</v>
      </c>
      <c r="K3795" s="19" t="str">
        <f>IFERROR(__xludf.DUMMYFUNCTION("""COMPUTED_VALUE"""),"-")</f>
        <v>-</v>
      </c>
      <c r="L3795" s="19" t="str">
        <f>IFERROR(__xludf.DUMMYFUNCTION("""COMPUTED_VALUE"""),"-")</f>
        <v>-</v>
      </c>
      <c r="O3795" s="24">
        <f t="shared" si="4"/>
        <v>0</v>
      </c>
      <c r="P3795" s="24"/>
      <c r="Q3795" s="24">
        <f t="shared" si="6"/>
        <v>0</v>
      </c>
      <c r="R3795" s="24">
        <f t="shared" si="7"/>
        <v>0</v>
      </c>
      <c r="S3795" s="24"/>
      <c r="T3795" s="24"/>
    </row>
    <row r="3796">
      <c r="A3796" s="12" t="s">
        <v>3883</v>
      </c>
      <c r="F3796" s="19">
        <f>IFERROR(__xludf.DUMMYFUNCTION("SPLIT(A3792, "" |"")"),3790.0)</f>
        <v>3790</v>
      </c>
      <c r="G3796" s="19">
        <f>IFERROR(__xludf.DUMMYFUNCTION("""COMPUTED_VALUE"""),0.00235)</f>
        <v>0.00235</v>
      </c>
      <c r="H3796" s="19" t="str">
        <f>IFERROR(__xludf.DUMMYFUNCTION("""COMPUTED_VALUE"""),"-")</f>
        <v>-</v>
      </c>
      <c r="I3796" s="19">
        <f>IFERROR(__xludf.DUMMYFUNCTION("""COMPUTED_VALUE"""),0.00227)</f>
        <v>0.00227</v>
      </c>
      <c r="J3796" s="19">
        <f>IFERROR(__xludf.DUMMYFUNCTION("""COMPUTED_VALUE"""),0.04751)</f>
        <v>0.04751</v>
      </c>
      <c r="K3796" s="19" t="str">
        <f>IFERROR(__xludf.DUMMYFUNCTION("""COMPUTED_VALUE"""),"-")</f>
        <v>-</v>
      </c>
      <c r="L3796" s="19" t="str">
        <f>IFERROR(__xludf.DUMMYFUNCTION("""COMPUTED_VALUE"""),"-")</f>
        <v>-</v>
      </c>
      <c r="O3796" s="24">
        <f t="shared" si="4"/>
        <v>0</v>
      </c>
      <c r="P3796" s="24"/>
      <c r="Q3796" s="24">
        <f t="shared" si="6"/>
        <v>0</v>
      </c>
      <c r="R3796" s="24">
        <f t="shared" si="7"/>
        <v>0</v>
      </c>
      <c r="S3796" s="24"/>
      <c r="T3796" s="24"/>
    </row>
    <row r="3797">
      <c r="A3797" s="12" t="s">
        <v>3884</v>
      </c>
      <c r="F3797" s="19">
        <f>IFERROR(__xludf.DUMMYFUNCTION("SPLIT(A3793, "" |"")"),3791.0)</f>
        <v>3791</v>
      </c>
      <c r="G3797" s="19">
        <f>IFERROR(__xludf.DUMMYFUNCTION("""COMPUTED_VALUE"""),0.00234)</f>
        <v>0.00234</v>
      </c>
      <c r="H3797" s="19" t="str">
        <f>IFERROR(__xludf.DUMMYFUNCTION("""COMPUTED_VALUE"""),"-")</f>
        <v>-</v>
      </c>
      <c r="I3797" s="19">
        <f>IFERROR(__xludf.DUMMYFUNCTION("""COMPUTED_VALUE"""),0.00221)</f>
        <v>0.00221</v>
      </c>
      <c r="J3797" s="19">
        <f>IFERROR(__xludf.DUMMYFUNCTION("""COMPUTED_VALUE"""),0.04745)</f>
        <v>0.04745</v>
      </c>
      <c r="K3797" s="19" t="str">
        <f>IFERROR(__xludf.DUMMYFUNCTION("""COMPUTED_VALUE"""),"-")</f>
        <v>-</v>
      </c>
      <c r="L3797" s="19" t="str">
        <f>IFERROR(__xludf.DUMMYFUNCTION("""COMPUTED_VALUE"""),"-")</f>
        <v>-</v>
      </c>
      <c r="O3797" s="24">
        <f t="shared" si="4"/>
        <v>0</v>
      </c>
      <c r="P3797" s="24"/>
      <c r="Q3797" s="24">
        <f t="shared" si="6"/>
        <v>0</v>
      </c>
      <c r="R3797" s="24">
        <f t="shared" si="7"/>
        <v>0</v>
      </c>
      <c r="S3797" s="24"/>
      <c r="T3797" s="24"/>
    </row>
    <row r="3798">
      <c r="A3798" s="12" t="s">
        <v>3885</v>
      </c>
      <c r="F3798" s="19">
        <f>IFERROR(__xludf.DUMMYFUNCTION("SPLIT(A3794, "" |"")"),3792.0)</f>
        <v>3792</v>
      </c>
      <c r="G3798" s="19">
        <f>IFERROR(__xludf.DUMMYFUNCTION("""COMPUTED_VALUE"""),0.00229)</f>
        <v>0.00229</v>
      </c>
      <c r="H3798" s="19" t="str">
        <f>IFERROR(__xludf.DUMMYFUNCTION("""COMPUTED_VALUE"""),"-")</f>
        <v>-</v>
      </c>
      <c r="I3798" s="19">
        <f>IFERROR(__xludf.DUMMYFUNCTION("""COMPUTED_VALUE"""),0.00229)</f>
        <v>0.00229</v>
      </c>
      <c r="J3798" s="19">
        <f>IFERROR(__xludf.DUMMYFUNCTION("""COMPUTED_VALUE"""),0.04751)</f>
        <v>0.04751</v>
      </c>
      <c r="K3798" s="19" t="str">
        <f>IFERROR(__xludf.DUMMYFUNCTION("""COMPUTED_VALUE"""),"-")</f>
        <v>-</v>
      </c>
      <c r="L3798" s="19" t="str">
        <f>IFERROR(__xludf.DUMMYFUNCTION("""COMPUTED_VALUE"""),"-")</f>
        <v>-</v>
      </c>
      <c r="O3798" s="24">
        <f t="shared" si="4"/>
        <v>0</v>
      </c>
      <c r="P3798" s="24"/>
      <c r="Q3798" s="24">
        <f t="shared" si="6"/>
        <v>0</v>
      </c>
      <c r="R3798" s="24">
        <f t="shared" si="7"/>
        <v>0</v>
      </c>
      <c r="S3798" s="24"/>
      <c r="T3798" s="24"/>
    </row>
    <row r="3799">
      <c r="A3799" s="12" t="s">
        <v>3886</v>
      </c>
      <c r="F3799" s="19">
        <f>IFERROR(__xludf.DUMMYFUNCTION("SPLIT(A3795, "" |"")"),3793.0)</f>
        <v>3793</v>
      </c>
      <c r="G3799" s="19">
        <f>IFERROR(__xludf.DUMMYFUNCTION("""COMPUTED_VALUE"""),0.00233)</f>
        <v>0.00233</v>
      </c>
      <c r="H3799" s="19" t="str">
        <f>IFERROR(__xludf.DUMMYFUNCTION("""COMPUTED_VALUE"""),"-")</f>
        <v>-</v>
      </c>
      <c r="I3799" s="19">
        <f>IFERROR(__xludf.DUMMYFUNCTION("""COMPUTED_VALUE"""),0.00221)</f>
        <v>0.00221</v>
      </c>
      <c r="J3799" s="19">
        <f>IFERROR(__xludf.DUMMYFUNCTION("""COMPUTED_VALUE"""),0.03992)</f>
        <v>0.03992</v>
      </c>
      <c r="K3799" s="19" t="str">
        <f>IFERROR(__xludf.DUMMYFUNCTION("""COMPUTED_VALUE"""),"-")</f>
        <v>-</v>
      </c>
      <c r="L3799" s="19" t="str">
        <f>IFERROR(__xludf.DUMMYFUNCTION("""COMPUTED_VALUE"""),"-")</f>
        <v>-</v>
      </c>
      <c r="O3799" s="24">
        <f t="shared" si="4"/>
        <v>0</v>
      </c>
      <c r="P3799" s="24"/>
      <c r="Q3799" s="24">
        <f t="shared" si="6"/>
        <v>0</v>
      </c>
      <c r="R3799" s="24">
        <f t="shared" si="7"/>
        <v>1</v>
      </c>
      <c r="S3799" s="24"/>
      <c r="T3799" s="24"/>
    </row>
    <row r="3800">
      <c r="A3800" s="12" t="s">
        <v>3887</v>
      </c>
      <c r="F3800" s="19">
        <f>IFERROR(__xludf.DUMMYFUNCTION("SPLIT(A3796, "" |"")"),3794.0)</f>
        <v>3794</v>
      </c>
      <c r="G3800" s="19">
        <f>IFERROR(__xludf.DUMMYFUNCTION("""COMPUTED_VALUE"""),0.00219)</f>
        <v>0.00219</v>
      </c>
      <c r="H3800" s="19" t="str">
        <f>IFERROR(__xludf.DUMMYFUNCTION("""COMPUTED_VALUE"""),"-")</f>
        <v>-</v>
      </c>
      <c r="I3800" s="19">
        <f>IFERROR(__xludf.DUMMYFUNCTION("""COMPUTED_VALUE"""),0.00209)</f>
        <v>0.00209</v>
      </c>
      <c r="J3800" s="19">
        <f>IFERROR(__xludf.DUMMYFUNCTION("""COMPUTED_VALUE"""),0.04737)</f>
        <v>0.04737</v>
      </c>
      <c r="K3800" s="19" t="str">
        <f>IFERROR(__xludf.DUMMYFUNCTION("""COMPUTED_VALUE"""),"-")</f>
        <v>-</v>
      </c>
      <c r="L3800" s="19" t="str">
        <f>IFERROR(__xludf.DUMMYFUNCTION("""COMPUTED_VALUE"""),"-")</f>
        <v>-</v>
      </c>
      <c r="O3800" s="24">
        <f t="shared" si="4"/>
        <v>0</v>
      </c>
      <c r="P3800" s="24"/>
      <c r="Q3800" s="24">
        <f t="shared" si="6"/>
        <v>0</v>
      </c>
      <c r="R3800" s="24">
        <f t="shared" si="7"/>
        <v>0</v>
      </c>
      <c r="S3800" s="24"/>
      <c r="T3800" s="24"/>
    </row>
    <row r="3801">
      <c r="A3801" s="12" t="s">
        <v>3888</v>
      </c>
      <c r="F3801" s="19">
        <f>IFERROR(__xludf.DUMMYFUNCTION("SPLIT(A3797, "" |"")"),3795.0)</f>
        <v>3795</v>
      </c>
      <c r="G3801" s="19">
        <f>IFERROR(__xludf.DUMMYFUNCTION("""COMPUTED_VALUE"""),0.00238)</f>
        <v>0.00238</v>
      </c>
      <c r="H3801" s="19" t="str">
        <f>IFERROR(__xludf.DUMMYFUNCTION("""COMPUTED_VALUE"""),"-")</f>
        <v>-</v>
      </c>
      <c r="I3801" s="19">
        <f>IFERROR(__xludf.DUMMYFUNCTION("""COMPUTED_VALUE"""),0.00228)</f>
        <v>0.00228</v>
      </c>
      <c r="J3801" s="19">
        <f>IFERROR(__xludf.DUMMYFUNCTION("""COMPUTED_VALUE"""),0.04753)</f>
        <v>0.04753</v>
      </c>
      <c r="K3801" s="19" t="str">
        <f>IFERROR(__xludf.DUMMYFUNCTION("""COMPUTED_VALUE"""),"-")</f>
        <v>-</v>
      </c>
      <c r="L3801" s="19" t="str">
        <f>IFERROR(__xludf.DUMMYFUNCTION("""COMPUTED_VALUE"""),"-")</f>
        <v>-</v>
      </c>
      <c r="O3801" s="24">
        <f t="shared" si="4"/>
        <v>0</v>
      </c>
      <c r="P3801" s="24"/>
      <c r="Q3801" s="24">
        <f t="shared" si="6"/>
        <v>0</v>
      </c>
      <c r="R3801" s="24">
        <f t="shared" si="7"/>
        <v>0</v>
      </c>
      <c r="S3801" s="24"/>
      <c r="T3801" s="24"/>
    </row>
    <row r="3802">
      <c r="A3802" s="12" t="s">
        <v>3889</v>
      </c>
      <c r="F3802" s="19">
        <f>IFERROR(__xludf.DUMMYFUNCTION("SPLIT(A3798, "" |"")"),3796.0)</f>
        <v>3796</v>
      </c>
      <c r="G3802" s="19">
        <f>IFERROR(__xludf.DUMMYFUNCTION("""COMPUTED_VALUE"""),0.00235)</f>
        <v>0.00235</v>
      </c>
      <c r="H3802" s="19" t="str">
        <f>IFERROR(__xludf.DUMMYFUNCTION("""COMPUTED_VALUE"""),"-")</f>
        <v>-</v>
      </c>
      <c r="I3802" s="19">
        <f>IFERROR(__xludf.DUMMYFUNCTION("""COMPUTED_VALUE"""),0.00224)</f>
        <v>0.00224</v>
      </c>
      <c r="J3802" s="19">
        <f>IFERROR(__xludf.DUMMYFUNCTION("""COMPUTED_VALUE"""),0.04746)</f>
        <v>0.04746</v>
      </c>
      <c r="K3802" s="19" t="str">
        <f>IFERROR(__xludf.DUMMYFUNCTION("""COMPUTED_VALUE"""),"-")</f>
        <v>-</v>
      </c>
      <c r="L3802" s="19" t="str">
        <f>IFERROR(__xludf.DUMMYFUNCTION("""COMPUTED_VALUE"""),"-")</f>
        <v>-</v>
      </c>
      <c r="O3802" s="24">
        <f t="shared" si="4"/>
        <v>0</v>
      </c>
      <c r="P3802" s="24"/>
      <c r="Q3802" s="24">
        <f t="shared" si="6"/>
        <v>0</v>
      </c>
      <c r="R3802" s="24">
        <f t="shared" si="7"/>
        <v>0</v>
      </c>
      <c r="S3802" s="24"/>
      <c r="T3802" s="24"/>
    </row>
    <row r="3803">
      <c r="A3803" s="12" t="s">
        <v>3890</v>
      </c>
      <c r="F3803" s="19">
        <f>IFERROR(__xludf.DUMMYFUNCTION("SPLIT(A3799, "" |"")"),3797.0)</f>
        <v>3797</v>
      </c>
      <c r="G3803" s="19">
        <f>IFERROR(__xludf.DUMMYFUNCTION("""COMPUTED_VALUE"""),0.0023)</f>
        <v>0.0023</v>
      </c>
      <c r="H3803" s="19" t="str">
        <f>IFERROR(__xludf.DUMMYFUNCTION("""COMPUTED_VALUE"""),"-")</f>
        <v>-</v>
      </c>
      <c r="I3803" s="19">
        <f>IFERROR(__xludf.DUMMYFUNCTION("""COMPUTED_VALUE"""),0.00222)</f>
        <v>0.00222</v>
      </c>
      <c r="J3803" s="19">
        <f>IFERROR(__xludf.DUMMYFUNCTION("""COMPUTED_VALUE"""),0.04749)</f>
        <v>0.04749</v>
      </c>
      <c r="K3803" s="19" t="str">
        <f>IFERROR(__xludf.DUMMYFUNCTION("""COMPUTED_VALUE"""),"-")</f>
        <v>-</v>
      </c>
      <c r="L3803" s="19" t="str">
        <f>IFERROR(__xludf.DUMMYFUNCTION("""COMPUTED_VALUE"""),"-")</f>
        <v>-</v>
      </c>
      <c r="O3803" s="24">
        <f t="shared" si="4"/>
        <v>0</v>
      </c>
      <c r="P3803" s="24"/>
      <c r="Q3803" s="24">
        <f t="shared" si="6"/>
        <v>0</v>
      </c>
      <c r="R3803" s="24">
        <f t="shared" si="7"/>
        <v>0</v>
      </c>
      <c r="S3803" s="24"/>
      <c r="T3803" s="24"/>
    </row>
    <row r="3804">
      <c r="A3804" s="12" t="s">
        <v>3891</v>
      </c>
      <c r="F3804" s="19">
        <f>IFERROR(__xludf.DUMMYFUNCTION("SPLIT(A3800, "" |"")"),3798.0)</f>
        <v>3798</v>
      </c>
      <c r="G3804" s="19">
        <f>IFERROR(__xludf.DUMMYFUNCTION("""COMPUTED_VALUE"""),0.00235)</f>
        <v>0.00235</v>
      </c>
      <c r="H3804" s="19" t="str">
        <f>IFERROR(__xludf.DUMMYFUNCTION("""COMPUTED_VALUE"""),"-")</f>
        <v>-</v>
      </c>
      <c r="I3804" s="19">
        <f>IFERROR(__xludf.DUMMYFUNCTION("""COMPUTED_VALUE"""),0.00222)</f>
        <v>0.00222</v>
      </c>
      <c r="J3804" s="19">
        <f>IFERROR(__xludf.DUMMYFUNCTION("""COMPUTED_VALUE"""),0.04165)</f>
        <v>0.04165</v>
      </c>
      <c r="K3804" s="19" t="str">
        <f>IFERROR(__xludf.DUMMYFUNCTION("""COMPUTED_VALUE"""),"-")</f>
        <v>-</v>
      </c>
      <c r="L3804" s="19" t="str">
        <f>IFERROR(__xludf.DUMMYFUNCTION("""COMPUTED_VALUE"""),"-")</f>
        <v>-</v>
      </c>
      <c r="O3804" s="24">
        <f t="shared" si="4"/>
        <v>0</v>
      </c>
      <c r="P3804" s="24"/>
      <c r="Q3804" s="24">
        <f t="shared" si="6"/>
        <v>0</v>
      </c>
      <c r="R3804" s="24">
        <f t="shared" si="7"/>
        <v>1</v>
      </c>
      <c r="S3804" s="24"/>
      <c r="T3804" s="24"/>
    </row>
    <row r="3805">
      <c r="A3805" s="12" t="s">
        <v>3892</v>
      </c>
      <c r="F3805" s="19">
        <f>IFERROR(__xludf.DUMMYFUNCTION("SPLIT(A3801, "" |"")"),3799.0)</f>
        <v>3799</v>
      </c>
      <c r="G3805" s="19">
        <f>IFERROR(__xludf.DUMMYFUNCTION("""COMPUTED_VALUE"""),0.00235)</f>
        <v>0.00235</v>
      </c>
      <c r="H3805" s="19" t="str">
        <f>IFERROR(__xludf.DUMMYFUNCTION("""COMPUTED_VALUE"""),"-")</f>
        <v>-</v>
      </c>
      <c r="I3805" s="19">
        <f>IFERROR(__xludf.DUMMYFUNCTION("""COMPUTED_VALUE"""),0.0022)</f>
        <v>0.0022</v>
      </c>
      <c r="J3805" s="19">
        <f>IFERROR(__xludf.DUMMYFUNCTION("""COMPUTED_VALUE"""),0.04748)</f>
        <v>0.04748</v>
      </c>
      <c r="K3805" s="19" t="str">
        <f>IFERROR(__xludf.DUMMYFUNCTION("""COMPUTED_VALUE"""),"-")</f>
        <v>-</v>
      </c>
      <c r="L3805" s="19" t="str">
        <f>IFERROR(__xludf.DUMMYFUNCTION("""COMPUTED_VALUE"""),"-")</f>
        <v>-</v>
      </c>
      <c r="O3805" s="24">
        <f t="shared" si="4"/>
        <v>0</v>
      </c>
      <c r="P3805" s="24"/>
      <c r="Q3805" s="24">
        <f t="shared" si="6"/>
        <v>0</v>
      </c>
      <c r="R3805" s="24">
        <f t="shared" si="7"/>
        <v>0</v>
      </c>
      <c r="S3805" s="24"/>
      <c r="T3805" s="24"/>
    </row>
    <row r="3806">
      <c r="A3806" s="12" t="s">
        <v>3893</v>
      </c>
      <c r="F3806" s="19">
        <f>IFERROR(__xludf.DUMMYFUNCTION("SPLIT(A3802, "" |"")"),3800.0)</f>
        <v>3800</v>
      </c>
      <c r="G3806" s="19">
        <f>IFERROR(__xludf.DUMMYFUNCTION("""COMPUTED_VALUE"""),0.00236)</f>
        <v>0.00236</v>
      </c>
      <c r="H3806" s="19" t="str">
        <f>IFERROR(__xludf.DUMMYFUNCTION("""COMPUTED_VALUE"""),"-")</f>
        <v>-</v>
      </c>
      <c r="I3806" s="19">
        <f>IFERROR(__xludf.DUMMYFUNCTION("""COMPUTED_VALUE"""),0.00221)</f>
        <v>0.00221</v>
      </c>
      <c r="J3806" s="19">
        <f>IFERROR(__xludf.DUMMYFUNCTION("""COMPUTED_VALUE"""),0.04749)</f>
        <v>0.04749</v>
      </c>
      <c r="K3806" s="19" t="str">
        <f>IFERROR(__xludf.DUMMYFUNCTION("""COMPUTED_VALUE"""),"-")</f>
        <v>-</v>
      </c>
      <c r="L3806" s="19" t="str">
        <f>IFERROR(__xludf.DUMMYFUNCTION("""COMPUTED_VALUE"""),"-")</f>
        <v>-</v>
      </c>
      <c r="O3806" s="24">
        <f t="shared" si="4"/>
        <v>0</v>
      </c>
      <c r="P3806" s="24"/>
      <c r="Q3806" s="24">
        <f t="shared" si="6"/>
        <v>0</v>
      </c>
      <c r="R3806" s="24">
        <f t="shared" si="7"/>
        <v>0</v>
      </c>
      <c r="S3806" s="24"/>
      <c r="T3806" s="24"/>
    </row>
    <row r="3807">
      <c r="A3807" s="12" t="s">
        <v>3894</v>
      </c>
      <c r="F3807" s="19">
        <f>IFERROR(__xludf.DUMMYFUNCTION("SPLIT(A3803, "" |"")"),3801.0)</f>
        <v>3801</v>
      </c>
      <c r="G3807" s="19">
        <f>IFERROR(__xludf.DUMMYFUNCTION("""COMPUTED_VALUE"""),0.00235)</f>
        <v>0.00235</v>
      </c>
      <c r="H3807" s="19" t="str">
        <f>IFERROR(__xludf.DUMMYFUNCTION("""COMPUTED_VALUE"""),"-")</f>
        <v>-</v>
      </c>
      <c r="I3807" s="19">
        <f>IFERROR(__xludf.DUMMYFUNCTION("""COMPUTED_VALUE"""),0.00222)</f>
        <v>0.00222</v>
      </c>
      <c r="J3807" s="19">
        <f>IFERROR(__xludf.DUMMYFUNCTION("""COMPUTED_VALUE"""),0.04748)</f>
        <v>0.04748</v>
      </c>
      <c r="K3807" s="19" t="str">
        <f>IFERROR(__xludf.DUMMYFUNCTION("""COMPUTED_VALUE"""),"-")</f>
        <v>-</v>
      </c>
      <c r="L3807" s="19" t="str">
        <f>IFERROR(__xludf.DUMMYFUNCTION("""COMPUTED_VALUE"""),"-")</f>
        <v>-</v>
      </c>
      <c r="O3807" s="24">
        <f t="shared" si="4"/>
        <v>0</v>
      </c>
      <c r="P3807" s="24"/>
      <c r="Q3807" s="24">
        <f t="shared" si="6"/>
        <v>0</v>
      </c>
      <c r="R3807" s="24">
        <f t="shared" si="7"/>
        <v>0</v>
      </c>
      <c r="S3807" s="24"/>
      <c r="T3807" s="24"/>
    </row>
    <row r="3808">
      <c r="A3808" s="12" t="s">
        <v>3895</v>
      </c>
      <c r="F3808" s="19">
        <f>IFERROR(__xludf.DUMMYFUNCTION("SPLIT(A3804, "" |"")"),3802.0)</f>
        <v>3802</v>
      </c>
      <c r="G3808" s="19">
        <f>IFERROR(__xludf.DUMMYFUNCTION("""COMPUTED_VALUE"""),0.0024)</f>
        <v>0.0024</v>
      </c>
      <c r="H3808" s="19" t="str">
        <f>IFERROR(__xludf.DUMMYFUNCTION("""COMPUTED_VALUE"""),"-")</f>
        <v>-</v>
      </c>
      <c r="I3808" s="19">
        <f>IFERROR(__xludf.DUMMYFUNCTION("""COMPUTED_VALUE"""),0.00228)</f>
        <v>0.00228</v>
      </c>
      <c r="J3808" s="19">
        <f>IFERROR(__xludf.DUMMYFUNCTION("""COMPUTED_VALUE"""),0.04104)</f>
        <v>0.04104</v>
      </c>
      <c r="K3808" s="19" t="str">
        <f>IFERROR(__xludf.DUMMYFUNCTION("""COMPUTED_VALUE"""),"-")</f>
        <v>-</v>
      </c>
      <c r="L3808" s="19" t="str">
        <f>IFERROR(__xludf.DUMMYFUNCTION("""COMPUTED_VALUE"""),"-")</f>
        <v>-</v>
      </c>
      <c r="O3808" s="24">
        <f t="shared" si="4"/>
        <v>0</v>
      </c>
      <c r="P3808" s="24"/>
      <c r="Q3808" s="24">
        <f t="shared" si="6"/>
        <v>0</v>
      </c>
      <c r="R3808" s="24">
        <f t="shared" si="7"/>
        <v>1</v>
      </c>
      <c r="S3808" s="24"/>
      <c r="T3808" s="24"/>
    </row>
    <row r="3809">
      <c r="A3809" s="12" t="s">
        <v>3896</v>
      </c>
      <c r="F3809" s="19">
        <f>IFERROR(__xludf.DUMMYFUNCTION("SPLIT(A3805, "" |"")"),3803.0)</f>
        <v>3803</v>
      </c>
      <c r="G3809" s="19">
        <f>IFERROR(__xludf.DUMMYFUNCTION("""COMPUTED_VALUE"""),0.00235)</f>
        <v>0.00235</v>
      </c>
      <c r="H3809" s="19" t="str">
        <f>IFERROR(__xludf.DUMMYFUNCTION("""COMPUTED_VALUE"""),"-")</f>
        <v>-</v>
      </c>
      <c r="I3809" s="19">
        <f>IFERROR(__xludf.DUMMYFUNCTION("""COMPUTED_VALUE"""),0.00223)</f>
        <v>0.00223</v>
      </c>
      <c r="J3809" s="19">
        <f>IFERROR(__xludf.DUMMYFUNCTION("""COMPUTED_VALUE"""),0.04747)</f>
        <v>0.04747</v>
      </c>
      <c r="K3809" s="19" t="str">
        <f>IFERROR(__xludf.DUMMYFUNCTION("""COMPUTED_VALUE"""),"-")</f>
        <v>-</v>
      </c>
      <c r="L3809" s="19" t="str">
        <f>IFERROR(__xludf.DUMMYFUNCTION("""COMPUTED_VALUE"""),"-")</f>
        <v>-</v>
      </c>
      <c r="O3809" s="24">
        <f t="shared" si="4"/>
        <v>0</v>
      </c>
      <c r="P3809" s="24"/>
      <c r="Q3809" s="24">
        <f t="shared" si="6"/>
        <v>0</v>
      </c>
      <c r="R3809" s="24">
        <f t="shared" si="7"/>
        <v>0</v>
      </c>
      <c r="S3809" s="24"/>
      <c r="T3809" s="24"/>
    </row>
    <row r="3810">
      <c r="A3810" s="12" t="s">
        <v>3897</v>
      </c>
      <c r="F3810" s="19">
        <f>IFERROR(__xludf.DUMMYFUNCTION("SPLIT(A3806, "" |"")"),3804.0)</f>
        <v>3804</v>
      </c>
      <c r="G3810" s="19">
        <f>IFERROR(__xludf.DUMMYFUNCTION("""COMPUTED_VALUE"""),0.00237)</f>
        <v>0.00237</v>
      </c>
      <c r="H3810" s="19" t="str">
        <f>IFERROR(__xludf.DUMMYFUNCTION("""COMPUTED_VALUE"""),"-")</f>
        <v>-</v>
      </c>
      <c r="I3810" s="19">
        <f>IFERROR(__xludf.DUMMYFUNCTION("""COMPUTED_VALUE"""),0.00223)</f>
        <v>0.00223</v>
      </c>
      <c r="J3810" s="19">
        <f>IFERROR(__xludf.DUMMYFUNCTION("""COMPUTED_VALUE"""),0.04751)</f>
        <v>0.04751</v>
      </c>
      <c r="K3810" s="19" t="str">
        <f>IFERROR(__xludf.DUMMYFUNCTION("""COMPUTED_VALUE"""),"-")</f>
        <v>-</v>
      </c>
      <c r="L3810" s="19" t="str">
        <f>IFERROR(__xludf.DUMMYFUNCTION("""COMPUTED_VALUE"""),"-")</f>
        <v>-</v>
      </c>
      <c r="O3810" s="24">
        <f t="shared" si="4"/>
        <v>0</v>
      </c>
      <c r="P3810" s="24"/>
      <c r="Q3810" s="24">
        <f t="shared" si="6"/>
        <v>0</v>
      </c>
      <c r="R3810" s="24">
        <f t="shared" si="7"/>
        <v>0</v>
      </c>
      <c r="S3810" s="24"/>
      <c r="T3810" s="24"/>
    </row>
    <row r="3811">
      <c r="A3811" s="12" t="s">
        <v>3898</v>
      </c>
      <c r="F3811" s="19">
        <f>IFERROR(__xludf.DUMMYFUNCTION("SPLIT(A3807, "" |"")"),3805.0)</f>
        <v>3805</v>
      </c>
      <c r="G3811" s="19">
        <f>IFERROR(__xludf.DUMMYFUNCTION("""COMPUTED_VALUE"""),0.00233)</f>
        <v>0.00233</v>
      </c>
      <c r="H3811" s="19" t="str">
        <f>IFERROR(__xludf.DUMMYFUNCTION("""COMPUTED_VALUE"""),"-")</f>
        <v>-</v>
      </c>
      <c r="I3811" s="19">
        <f>IFERROR(__xludf.DUMMYFUNCTION("""COMPUTED_VALUE"""),0.00221)</f>
        <v>0.00221</v>
      </c>
      <c r="J3811" s="19">
        <f>IFERROR(__xludf.DUMMYFUNCTION("""COMPUTED_VALUE"""),0.04744)</f>
        <v>0.04744</v>
      </c>
      <c r="K3811" s="19" t="str">
        <f>IFERROR(__xludf.DUMMYFUNCTION("""COMPUTED_VALUE"""),"-")</f>
        <v>-</v>
      </c>
      <c r="L3811" s="19" t="str">
        <f>IFERROR(__xludf.DUMMYFUNCTION("""COMPUTED_VALUE"""),"-")</f>
        <v>-</v>
      </c>
      <c r="O3811" s="24">
        <f t="shared" si="4"/>
        <v>0</v>
      </c>
      <c r="P3811" s="24"/>
      <c r="Q3811" s="24">
        <f t="shared" si="6"/>
        <v>0</v>
      </c>
      <c r="R3811" s="24">
        <f t="shared" si="7"/>
        <v>0</v>
      </c>
      <c r="S3811" s="24"/>
      <c r="T3811" s="24"/>
    </row>
    <row r="3812">
      <c r="A3812" s="12" t="s">
        <v>3899</v>
      </c>
      <c r="F3812" s="19">
        <f>IFERROR(__xludf.DUMMYFUNCTION("SPLIT(A3808, "" |"")"),3806.0)</f>
        <v>3806</v>
      </c>
      <c r="G3812" s="19">
        <f>IFERROR(__xludf.DUMMYFUNCTION("""COMPUTED_VALUE"""),0.00233)</f>
        <v>0.00233</v>
      </c>
      <c r="H3812" s="19" t="str">
        <f>IFERROR(__xludf.DUMMYFUNCTION("""COMPUTED_VALUE"""),"-")</f>
        <v>-</v>
      </c>
      <c r="I3812" s="19">
        <f>IFERROR(__xludf.DUMMYFUNCTION("""COMPUTED_VALUE"""),0.00223)</f>
        <v>0.00223</v>
      </c>
      <c r="J3812" s="19">
        <f>IFERROR(__xludf.DUMMYFUNCTION("""COMPUTED_VALUE"""),0.04124)</f>
        <v>0.04124</v>
      </c>
      <c r="K3812" s="19" t="str">
        <f>IFERROR(__xludf.DUMMYFUNCTION("""COMPUTED_VALUE"""),"-")</f>
        <v>-</v>
      </c>
      <c r="L3812" s="19" t="str">
        <f>IFERROR(__xludf.DUMMYFUNCTION("""COMPUTED_VALUE"""),"-")</f>
        <v>-</v>
      </c>
      <c r="O3812" s="24">
        <f t="shared" si="4"/>
        <v>0</v>
      </c>
      <c r="P3812" s="24"/>
      <c r="Q3812" s="24">
        <f t="shared" si="6"/>
        <v>0</v>
      </c>
      <c r="R3812" s="24">
        <f t="shared" si="7"/>
        <v>1</v>
      </c>
      <c r="S3812" s="24"/>
      <c r="T3812" s="24"/>
    </row>
    <row r="3813">
      <c r="A3813" s="12" t="s">
        <v>3900</v>
      </c>
      <c r="F3813" s="19">
        <f>IFERROR(__xludf.DUMMYFUNCTION("SPLIT(A3809, "" |"")"),3807.0)</f>
        <v>3807</v>
      </c>
      <c r="G3813" s="19">
        <f>IFERROR(__xludf.DUMMYFUNCTION("""COMPUTED_VALUE"""),0.00242)</f>
        <v>0.00242</v>
      </c>
      <c r="H3813" s="19" t="str">
        <f>IFERROR(__xludf.DUMMYFUNCTION("""COMPUTED_VALUE"""),"-")</f>
        <v>-</v>
      </c>
      <c r="I3813" s="19">
        <f>IFERROR(__xludf.DUMMYFUNCTION("""COMPUTED_VALUE"""),0.00227)</f>
        <v>0.00227</v>
      </c>
      <c r="J3813" s="19">
        <f>IFERROR(__xludf.DUMMYFUNCTION("""COMPUTED_VALUE"""),0.04749)</f>
        <v>0.04749</v>
      </c>
      <c r="K3813" s="19" t="str">
        <f>IFERROR(__xludf.DUMMYFUNCTION("""COMPUTED_VALUE"""),"-")</f>
        <v>-</v>
      </c>
      <c r="L3813" s="19" t="str">
        <f>IFERROR(__xludf.DUMMYFUNCTION("""COMPUTED_VALUE"""),"-")</f>
        <v>-</v>
      </c>
      <c r="O3813" s="24">
        <f t="shared" si="4"/>
        <v>0</v>
      </c>
      <c r="P3813" s="24"/>
      <c r="Q3813" s="24">
        <f t="shared" si="6"/>
        <v>0</v>
      </c>
      <c r="R3813" s="24">
        <f t="shared" si="7"/>
        <v>0</v>
      </c>
      <c r="S3813" s="24"/>
      <c r="T3813" s="24"/>
    </row>
    <row r="3814">
      <c r="A3814" s="12" t="s">
        <v>3901</v>
      </c>
      <c r="F3814" s="19">
        <f>IFERROR(__xludf.DUMMYFUNCTION("SPLIT(A3810, "" |"")"),3808.0)</f>
        <v>3808</v>
      </c>
      <c r="G3814" s="19">
        <f>IFERROR(__xludf.DUMMYFUNCTION("""COMPUTED_VALUE"""),0.00236)</f>
        <v>0.00236</v>
      </c>
      <c r="H3814" s="19" t="str">
        <f>IFERROR(__xludf.DUMMYFUNCTION("""COMPUTED_VALUE"""),"-")</f>
        <v>-</v>
      </c>
      <c r="I3814" s="19">
        <f>IFERROR(__xludf.DUMMYFUNCTION("""COMPUTED_VALUE"""),0.00223)</f>
        <v>0.00223</v>
      </c>
      <c r="J3814" s="19">
        <f>IFERROR(__xludf.DUMMYFUNCTION("""COMPUTED_VALUE"""),0.04748)</f>
        <v>0.04748</v>
      </c>
      <c r="K3814" s="19" t="str">
        <f>IFERROR(__xludf.DUMMYFUNCTION("""COMPUTED_VALUE"""),"-")</f>
        <v>-</v>
      </c>
      <c r="L3814" s="19" t="str">
        <f>IFERROR(__xludf.DUMMYFUNCTION("""COMPUTED_VALUE"""),"-")</f>
        <v>-</v>
      </c>
      <c r="O3814" s="24">
        <f t="shared" si="4"/>
        <v>0</v>
      </c>
      <c r="P3814" s="24"/>
      <c r="Q3814" s="24">
        <f t="shared" si="6"/>
        <v>0</v>
      </c>
      <c r="R3814" s="24">
        <f t="shared" si="7"/>
        <v>0</v>
      </c>
      <c r="S3814" s="24"/>
      <c r="T3814" s="24"/>
    </row>
    <row r="3815">
      <c r="A3815" s="12" t="s">
        <v>3902</v>
      </c>
      <c r="F3815" s="19">
        <f>IFERROR(__xludf.DUMMYFUNCTION("SPLIT(A3811, "" |"")"),3809.0)</f>
        <v>3809</v>
      </c>
      <c r="G3815" s="19">
        <f>IFERROR(__xludf.DUMMYFUNCTION("""COMPUTED_VALUE"""),0.00242)</f>
        <v>0.00242</v>
      </c>
      <c r="H3815" s="19" t="str">
        <f>IFERROR(__xludf.DUMMYFUNCTION("""COMPUTED_VALUE"""),"-")</f>
        <v>-</v>
      </c>
      <c r="I3815" s="19">
        <f>IFERROR(__xludf.DUMMYFUNCTION("""COMPUTED_VALUE"""),0.0022)</f>
        <v>0.0022</v>
      </c>
      <c r="J3815" s="19">
        <f>IFERROR(__xludf.DUMMYFUNCTION("""COMPUTED_VALUE"""),0.04752)</f>
        <v>0.04752</v>
      </c>
      <c r="K3815" s="19" t="str">
        <f>IFERROR(__xludf.DUMMYFUNCTION("""COMPUTED_VALUE"""),"-")</f>
        <v>-</v>
      </c>
      <c r="L3815" s="19" t="str">
        <f>IFERROR(__xludf.DUMMYFUNCTION("""COMPUTED_VALUE"""),"-")</f>
        <v>-</v>
      </c>
      <c r="O3815" s="24">
        <f t="shared" si="4"/>
        <v>0</v>
      </c>
      <c r="P3815" s="24"/>
      <c r="Q3815" s="24">
        <f t="shared" si="6"/>
        <v>0</v>
      </c>
      <c r="R3815" s="24">
        <f t="shared" si="7"/>
        <v>0</v>
      </c>
      <c r="S3815" s="24"/>
      <c r="T3815" s="24"/>
    </row>
    <row r="3816">
      <c r="A3816" s="12" t="s">
        <v>3903</v>
      </c>
      <c r="F3816" s="19">
        <f>IFERROR(__xludf.DUMMYFUNCTION("SPLIT(A3812, "" |"")"),3810.0)</f>
        <v>3810</v>
      </c>
      <c r="G3816" s="19">
        <f>IFERROR(__xludf.DUMMYFUNCTION("""COMPUTED_VALUE"""),0.00237)</f>
        <v>0.00237</v>
      </c>
      <c r="H3816" s="19" t="str">
        <f>IFERROR(__xludf.DUMMYFUNCTION("""COMPUTED_VALUE"""),"-")</f>
        <v>-</v>
      </c>
      <c r="I3816" s="19">
        <f>IFERROR(__xludf.DUMMYFUNCTION("""COMPUTED_VALUE"""),0.00227)</f>
        <v>0.00227</v>
      </c>
      <c r="J3816" s="19">
        <f>IFERROR(__xludf.DUMMYFUNCTION("""COMPUTED_VALUE"""),0.04086)</f>
        <v>0.04086</v>
      </c>
      <c r="K3816" s="19" t="str">
        <f>IFERROR(__xludf.DUMMYFUNCTION("""COMPUTED_VALUE"""),"-")</f>
        <v>-</v>
      </c>
      <c r="L3816" s="19" t="str">
        <f>IFERROR(__xludf.DUMMYFUNCTION("""COMPUTED_VALUE"""),"-")</f>
        <v>-</v>
      </c>
      <c r="O3816" s="24">
        <f t="shared" si="4"/>
        <v>0</v>
      </c>
      <c r="P3816" s="24"/>
      <c r="Q3816" s="24">
        <f t="shared" si="6"/>
        <v>0</v>
      </c>
      <c r="R3816" s="24">
        <f t="shared" si="7"/>
        <v>1</v>
      </c>
      <c r="S3816" s="24"/>
      <c r="T3816" s="24"/>
    </row>
    <row r="3817">
      <c r="A3817" s="12" t="s">
        <v>3904</v>
      </c>
      <c r="F3817" s="19">
        <f>IFERROR(__xludf.DUMMYFUNCTION("SPLIT(A3813, "" |"")"),3811.0)</f>
        <v>3811</v>
      </c>
      <c r="G3817" s="19">
        <f>IFERROR(__xludf.DUMMYFUNCTION("""COMPUTED_VALUE"""),0.0023)</f>
        <v>0.0023</v>
      </c>
      <c r="H3817" s="19" t="str">
        <f>IFERROR(__xludf.DUMMYFUNCTION("""COMPUTED_VALUE"""),"-")</f>
        <v>-</v>
      </c>
      <c r="I3817" s="19">
        <f>IFERROR(__xludf.DUMMYFUNCTION("""COMPUTED_VALUE"""),0.00223)</f>
        <v>0.00223</v>
      </c>
      <c r="J3817" s="19">
        <f>IFERROR(__xludf.DUMMYFUNCTION("""COMPUTED_VALUE"""),0.04738)</f>
        <v>0.04738</v>
      </c>
      <c r="K3817" s="19" t="str">
        <f>IFERROR(__xludf.DUMMYFUNCTION("""COMPUTED_VALUE"""),"-")</f>
        <v>-</v>
      </c>
      <c r="L3817" s="19" t="str">
        <f>IFERROR(__xludf.DUMMYFUNCTION("""COMPUTED_VALUE"""),"-")</f>
        <v>-</v>
      </c>
      <c r="O3817" s="24">
        <f t="shared" si="4"/>
        <v>0</v>
      </c>
      <c r="P3817" s="24"/>
      <c r="Q3817" s="24">
        <f t="shared" si="6"/>
        <v>0</v>
      </c>
      <c r="R3817" s="24">
        <f t="shared" si="7"/>
        <v>0</v>
      </c>
      <c r="S3817" s="24"/>
      <c r="T3817" s="24"/>
    </row>
    <row r="3818">
      <c r="A3818" s="12" t="s">
        <v>3905</v>
      </c>
      <c r="F3818" s="19">
        <f>IFERROR(__xludf.DUMMYFUNCTION("SPLIT(A3814, "" |"")"),3812.0)</f>
        <v>3812</v>
      </c>
      <c r="G3818" s="19">
        <f>IFERROR(__xludf.DUMMYFUNCTION("""COMPUTED_VALUE"""),0.00225)</f>
        <v>0.00225</v>
      </c>
      <c r="H3818" s="19" t="str">
        <f>IFERROR(__xludf.DUMMYFUNCTION("""COMPUTED_VALUE"""),"-")</f>
        <v>-</v>
      </c>
      <c r="I3818" s="19">
        <f>IFERROR(__xludf.DUMMYFUNCTION("""COMPUTED_VALUE"""),0.0021)</f>
        <v>0.0021</v>
      </c>
      <c r="J3818" s="19">
        <f>IFERROR(__xludf.DUMMYFUNCTION("""COMPUTED_VALUE"""),0.04737)</f>
        <v>0.04737</v>
      </c>
      <c r="K3818" s="19" t="str">
        <f>IFERROR(__xludf.DUMMYFUNCTION("""COMPUTED_VALUE"""),"-")</f>
        <v>-</v>
      </c>
      <c r="L3818" s="19" t="str">
        <f>IFERROR(__xludf.DUMMYFUNCTION("""COMPUTED_VALUE"""),"-")</f>
        <v>-</v>
      </c>
      <c r="O3818" s="24">
        <f t="shared" si="4"/>
        <v>0</v>
      </c>
      <c r="P3818" s="24"/>
      <c r="Q3818" s="24">
        <f t="shared" si="6"/>
        <v>0</v>
      </c>
      <c r="R3818" s="24">
        <f t="shared" si="7"/>
        <v>0</v>
      </c>
      <c r="S3818" s="24"/>
      <c r="T3818" s="24"/>
    </row>
    <row r="3819">
      <c r="A3819" s="12" t="s">
        <v>3906</v>
      </c>
      <c r="F3819" s="19">
        <f>IFERROR(__xludf.DUMMYFUNCTION("SPLIT(A3815, "" |"")"),3813.0)</f>
        <v>3813</v>
      </c>
      <c r="G3819" s="19">
        <f>IFERROR(__xludf.DUMMYFUNCTION("""COMPUTED_VALUE"""),0.00234)</f>
        <v>0.00234</v>
      </c>
      <c r="H3819" s="19" t="str">
        <f>IFERROR(__xludf.DUMMYFUNCTION("""COMPUTED_VALUE"""),"-")</f>
        <v>-</v>
      </c>
      <c r="I3819" s="19">
        <f>IFERROR(__xludf.DUMMYFUNCTION("""COMPUTED_VALUE"""),0.00223)</f>
        <v>0.00223</v>
      </c>
      <c r="J3819" s="19">
        <f>IFERROR(__xludf.DUMMYFUNCTION("""COMPUTED_VALUE"""),0.04748)</f>
        <v>0.04748</v>
      </c>
      <c r="K3819" s="19" t="str">
        <f>IFERROR(__xludf.DUMMYFUNCTION("""COMPUTED_VALUE"""),"-")</f>
        <v>-</v>
      </c>
      <c r="L3819" s="19" t="str">
        <f>IFERROR(__xludf.DUMMYFUNCTION("""COMPUTED_VALUE"""),"-")</f>
        <v>-</v>
      </c>
      <c r="O3819" s="24">
        <f t="shared" si="4"/>
        <v>0</v>
      </c>
      <c r="P3819" s="24"/>
      <c r="Q3819" s="24">
        <f t="shared" si="6"/>
        <v>0</v>
      </c>
      <c r="R3819" s="24">
        <f t="shared" si="7"/>
        <v>0</v>
      </c>
      <c r="S3819" s="24"/>
      <c r="T3819" s="24"/>
    </row>
    <row r="3820">
      <c r="A3820" s="12" t="s">
        <v>3907</v>
      </c>
      <c r="F3820" s="19">
        <f>IFERROR(__xludf.DUMMYFUNCTION("SPLIT(A3816, "" |"")"),3814.0)</f>
        <v>3814</v>
      </c>
      <c r="G3820" s="19">
        <f>IFERROR(__xludf.DUMMYFUNCTION("""COMPUTED_VALUE"""),0.00236)</f>
        <v>0.00236</v>
      </c>
      <c r="H3820" s="19" t="str">
        <f>IFERROR(__xludf.DUMMYFUNCTION("""COMPUTED_VALUE"""),"-")</f>
        <v>-</v>
      </c>
      <c r="I3820" s="19">
        <f>IFERROR(__xludf.DUMMYFUNCTION("""COMPUTED_VALUE"""),0.00222)</f>
        <v>0.00222</v>
      </c>
      <c r="J3820" s="19">
        <f>IFERROR(__xludf.DUMMYFUNCTION("""COMPUTED_VALUE"""),0.0416)</f>
        <v>0.0416</v>
      </c>
      <c r="K3820" s="19" t="str">
        <f>IFERROR(__xludf.DUMMYFUNCTION("""COMPUTED_VALUE"""),"-")</f>
        <v>-</v>
      </c>
      <c r="L3820" s="19" t="str">
        <f>IFERROR(__xludf.DUMMYFUNCTION("""COMPUTED_VALUE"""),"-")</f>
        <v>-</v>
      </c>
      <c r="O3820" s="24">
        <f t="shared" si="4"/>
        <v>0</v>
      </c>
      <c r="P3820" s="24"/>
      <c r="Q3820" s="24">
        <f t="shared" si="6"/>
        <v>0</v>
      </c>
      <c r="R3820" s="24">
        <f t="shared" si="7"/>
        <v>1</v>
      </c>
      <c r="S3820" s="24"/>
      <c r="T3820" s="24"/>
    </row>
    <row r="3821">
      <c r="A3821" s="12" t="s">
        <v>3908</v>
      </c>
      <c r="F3821" s="19">
        <f>IFERROR(__xludf.DUMMYFUNCTION("SPLIT(A3817, "" |"")"),3815.0)</f>
        <v>3815</v>
      </c>
      <c r="G3821" s="19">
        <f>IFERROR(__xludf.DUMMYFUNCTION("""COMPUTED_VALUE"""),0.00233)</f>
        <v>0.00233</v>
      </c>
      <c r="H3821" s="19" t="str">
        <f>IFERROR(__xludf.DUMMYFUNCTION("""COMPUTED_VALUE"""),"-")</f>
        <v>-</v>
      </c>
      <c r="I3821" s="19">
        <f>IFERROR(__xludf.DUMMYFUNCTION("""COMPUTED_VALUE"""),0.0023)</f>
        <v>0.0023</v>
      </c>
      <c r="J3821" s="19">
        <f>IFERROR(__xludf.DUMMYFUNCTION("""COMPUTED_VALUE"""),0.04748)</f>
        <v>0.04748</v>
      </c>
      <c r="K3821" s="19" t="str">
        <f>IFERROR(__xludf.DUMMYFUNCTION("""COMPUTED_VALUE"""),"-")</f>
        <v>-</v>
      </c>
      <c r="L3821" s="19" t="str">
        <f>IFERROR(__xludf.DUMMYFUNCTION("""COMPUTED_VALUE"""),"-")</f>
        <v>-</v>
      </c>
      <c r="O3821" s="24">
        <f t="shared" si="4"/>
        <v>0</v>
      </c>
      <c r="P3821" s="24"/>
      <c r="Q3821" s="24">
        <f t="shared" si="6"/>
        <v>0</v>
      </c>
      <c r="R3821" s="24">
        <f t="shared" si="7"/>
        <v>0</v>
      </c>
      <c r="S3821" s="24"/>
      <c r="T3821" s="24"/>
    </row>
    <row r="3822">
      <c r="A3822" s="12" t="s">
        <v>3909</v>
      </c>
      <c r="F3822" s="19">
        <f>IFERROR(__xludf.DUMMYFUNCTION("SPLIT(A3818, "" |"")"),3816.0)</f>
        <v>3816</v>
      </c>
      <c r="G3822" s="19">
        <f>IFERROR(__xludf.DUMMYFUNCTION("""COMPUTED_VALUE"""),0.00234)</f>
        <v>0.00234</v>
      </c>
      <c r="H3822" s="19" t="str">
        <f>IFERROR(__xludf.DUMMYFUNCTION("""COMPUTED_VALUE"""),"-")</f>
        <v>-</v>
      </c>
      <c r="I3822" s="19">
        <f>IFERROR(__xludf.DUMMYFUNCTION("""COMPUTED_VALUE"""),0.00223)</f>
        <v>0.00223</v>
      </c>
      <c r="J3822" s="19">
        <f>IFERROR(__xludf.DUMMYFUNCTION("""COMPUTED_VALUE"""),0.04745)</f>
        <v>0.04745</v>
      </c>
      <c r="K3822" s="19" t="str">
        <f>IFERROR(__xludf.DUMMYFUNCTION("""COMPUTED_VALUE"""),"-")</f>
        <v>-</v>
      </c>
      <c r="L3822" s="19" t="str">
        <f>IFERROR(__xludf.DUMMYFUNCTION("""COMPUTED_VALUE"""),"-")</f>
        <v>-</v>
      </c>
      <c r="O3822" s="24">
        <f t="shared" si="4"/>
        <v>0</v>
      </c>
      <c r="P3822" s="24"/>
      <c r="Q3822" s="24">
        <f t="shared" si="6"/>
        <v>0</v>
      </c>
      <c r="R3822" s="24">
        <f t="shared" si="7"/>
        <v>0</v>
      </c>
      <c r="S3822" s="24"/>
      <c r="T3822" s="24"/>
    </row>
    <row r="3823">
      <c r="A3823" s="12" t="s">
        <v>3910</v>
      </c>
      <c r="F3823" s="19">
        <f>IFERROR(__xludf.DUMMYFUNCTION("SPLIT(A3819, "" |"")"),3817.0)</f>
        <v>3817</v>
      </c>
      <c r="G3823" s="19">
        <f>IFERROR(__xludf.DUMMYFUNCTION("""COMPUTED_VALUE"""),0.00233)</f>
        <v>0.00233</v>
      </c>
      <c r="H3823" s="19" t="str">
        <f>IFERROR(__xludf.DUMMYFUNCTION("""COMPUTED_VALUE"""),"-")</f>
        <v>-</v>
      </c>
      <c r="I3823" s="19">
        <f>IFERROR(__xludf.DUMMYFUNCTION("""COMPUTED_VALUE"""),0.00222)</f>
        <v>0.00222</v>
      </c>
      <c r="J3823" s="19">
        <f>IFERROR(__xludf.DUMMYFUNCTION("""COMPUTED_VALUE"""),0.0475)</f>
        <v>0.0475</v>
      </c>
      <c r="K3823" s="19" t="str">
        <f>IFERROR(__xludf.DUMMYFUNCTION("""COMPUTED_VALUE"""),"-")</f>
        <v>-</v>
      </c>
      <c r="L3823" s="19" t="str">
        <f>IFERROR(__xludf.DUMMYFUNCTION("""COMPUTED_VALUE"""),"-")</f>
        <v>-</v>
      </c>
      <c r="O3823" s="24">
        <f t="shared" si="4"/>
        <v>0</v>
      </c>
      <c r="P3823" s="24"/>
      <c r="Q3823" s="24">
        <f t="shared" si="6"/>
        <v>0</v>
      </c>
      <c r="R3823" s="24">
        <f t="shared" si="7"/>
        <v>0</v>
      </c>
      <c r="S3823" s="24"/>
      <c r="T3823" s="24"/>
    </row>
    <row r="3824">
      <c r="A3824" s="12" t="s">
        <v>3911</v>
      </c>
      <c r="F3824" s="19">
        <f>IFERROR(__xludf.DUMMYFUNCTION("SPLIT(A3820, "" |"")"),3818.0)</f>
        <v>3818</v>
      </c>
      <c r="G3824" s="19">
        <f>IFERROR(__xludf.DUMMYFUNCTION("""COMPUTED_VALUE"""),0.00237)</f>
        <v>0.00237</v>
      </c>
      <c r="H3824" s="19" t="str">
        <f>IFERROR(__xludf.DUMMYFUNCTION("""COMPUTED_VALUE"""),"-")</f>
        <v>-</v>
      </c>
      <c r="I3824" s="19">
        <f>IFERROR(__xludf.DUMMYFUNCTION("""COMPUTED_VALUE"""),0.00219)</f>
        <v>0.00219</v>
      </c>
      <c r="J3824" s="19">
        <f>IFERROR(__xludf.DUMMYFUNCTION("""COMPUTED_VALUE"""),0.04116)</f>
        <v>0.04116</v>
      </c>
      <c r="K3824" s="19" t="str">
        <f>IFERROR(__xludf.DUMMYFUNCTION("""COMPUTED_VALUE"""),"-")</f>
        <v>-</v>
      </c>
      <c r="L3824" s="19" t="str">
        <f>IFERROR(__xludf.DUMMYFUNCTION("""COMPUTED_VALUE"""),"-")</f>
        <v>-</v>
      </c>
      <c r="O3824" s="24">
        <f t="shared" si="4"/>
        <v>0</v>
      </c>
      <c r="P3824" s="24"/>
      <c r="Q3824" s="24">
        <f t="shared" si="6"/>
        <v>0</v>
      </c>
      <c r="R3824" s="24">
        <f t="shared" si="7"/>
        <v>1</v>
      </c>
      <c r="S3824" s="24"/>
      <c r="T3824" s="24"/>
    </row>
    <row r="3825">
      <c r="A3825" s="12" t="s">
        <v>3912</v>
      </c>
      <c r="F3825" s="19">
        <f>IFERROR(__xludf.DUMMYFUNCTION("SPLIT(A3821, "" |"")"),3819.0)</f>
        <v>3819</v>
      </c>
      <c r="G3825" s="19">
        <f>IFERROR(__xludf.DUMMYFUNCTION("""COMPUTED_VALUE"""),0.00236)</f>
        <v>0.00236</v>
      </c>
      <c r="H3825" s="19" t="str">
        <f>IFERROR(__xludf.DUMMYFUNCTION("""COMPUTED_VALUE"""),"-")</f>
        <v>-</v>
      </c>
      <c r="I3825" s="19">
        <f>IFERROR(__xludf.DUMMYFUNCTION("""COMPUTED_VALUE"""),0.00225)</f>
        <v>0.00225</v>
      </c>
      <c r="J3825" s="19">
        <f>IFERROR(__xludf.DUMMYFUNCTION("""COMPUTED_VALUE"""),0.0475)</f>
        <v>0.0475</v>
      </c>
      <c r="K3825" s="19" t="str">
        <f>IFERROR(__xludf.DUMMYFUNCTION("""COMPUTED_VALUE"""),"-")</f>
        <v>-</v>
      </c>
      <c r="L3825" s="19" t="str">
        <f>IFERROR(__xludf.DUMMYFUNCTION("""COMPUTED_VALUE"""),"-")</f>
        <v>-</v>
      </c>
      <c r="O3825" s="24">
        <f t="shared" si="4"/>
        <v>0</v>
      </c>
      <c r="P3825" s="24"/>
      <c r="Q3825" s="24">
        <f t="shared" si="6"/>
        <v>0</v>
      </c>
      <c r="R3825" s="24">
        <f t="shared" si="7"/>
        <v>0</v>
      </c>
      <c r="S3825" s="24"/>
      <c r="T3825" s="24"/>
    </row>
    <row r="3826">
      <c r="A3826" s="12" t="s">
        <v>3913</v>
      </c>
      <c r="F3826" s="19">
        <f>IFERROR(__xludf.DUMMYFUNCTION("SPLIT(A3822, "" |"")"),3820.0)</f>
        <v>3820</v>
      </c>
      <c r="G3826" s="19">
        <f>IFERROR(__xludf.DUMMYFUNCTION("""COMPUTED_VALUE"""),0.00237)</f>
        <v>0.00237</v>
      </c>
      <c r="H3826" s="19" t="str">
        <f>IFERROR(__xludf.DUMMYFUNCTION("""COMPUTED_VALUE"""),"-")</f>
        <v>-</v>
      </c>
      <c r="I3826" s="19">
        <f>IFERROR(__xludf.DUMMYFUNCTION("""COMPUTED_VALUE"""),0.00222)</f>
        <v>0.00222</v>
      </c>
      <c r="J3826" s="19">
        <f>IFERROR(__xludf.DUMMYFUNCTION("""COMPUTED_VALUE"""),0.04747)</f>
        <v>0.04747</v>
      </c>
      <c r="K3826" s="19" t="str">
        <f>IFERROR(__xludf.DUMMYFUNCTION("""COMPUTED_VALUE"""),"-")</f>
        <v>-</v>
      </c>
      <c r="L3826" s="19" t="str">
        <f>IFERROR(__xludf.DUMMYFUNCTION("""COMPUTED_VALUE"""),"-")</f>
        <v>-</v>
      </c>
      <c r="O3826" s="24">
        <f t="shared" si="4"/>
        <v>0</v>
      </c>
      <c r="P3826" s="24"/>
      <c r="Q3826" s="24">
        <f t="shared" si="6"/>
        <v>0</v>
      </c>
      <c r="R3826" s="24">
        <f t="shared" si="7"/>
        <v>0</v>
      </c>
      <c r="S3826" s="24"/>
      <c r="T3826" s="24"/>
    </row>
    <row r="3827">
      <c r="A3827" s="12" t="s">
        <v>3914</v>
      </c>
      <c r="F3827" s="19">
        <f>IFERROR(__xludf.DUMMYFUNCTION("SPLIT(A3823, "" |"")"),3821.0)</f>
        <v>3821</v>
      </c>
      <c r="G3827" s="19">
        <f>IFERROR(__xludf.DUMMYFUNCTION("""COMPUTED_VALUE"""),0.00233)</f>
        <v>0.00233</v>
      </c>
      <c r="H3827" s="19" t="str">
        <f>IFERROR(__xludf.DUMMYFUNCTION("""COMPUTED_VALUE"""),"-")</f>
        <v>-</v>
      </c>
      <c r="I3827" s="19">
        <f>IFERROR(__xludf.DUMMYFUNCTION("""COMPUTED_VALUE"""),0.00222)</f>
        <v>0.00222</v>
      </c>
      <c r="J3827" s="19">
        <f>IFERROR(__xludf.DUMMYFUNCTION("""COMPUTED_VALUE"""),0.04747)</f>
        <v>0.04747</v>
      </c>
      <c r="K3827" s="19" t="str">
        <f>IFERROR(__xludf.DUMMYFUNCTION("""COMPUTED_VALUE"""),"-")</f>
        <v>-</v>
      </c>
      <c r="L3827" s="19" t="str">
        <f>IFERROR(__xludf.DUMMYFUNCTION("""COMPUTED_VALUE"""),"-")</f>
        <v>-</v>
      </c>
      <c r="O3827" s="24">
        <f t="shared" si="4"/>
        <v>0</v>
      </c>
      <c r="P3827" s="24"/>
      <c r="Q3827" s="24">
        <f t="shared" si="6"/>
        <v>0</v>
      </c>
      <c r="R3827" s="24">
        <f t="shared" si="7"/>
        <v>0</v>
      </c>
      <c r="S3827" s="24"/>
      <c r="T3827" s="24"/>
    </row>
    <row r="3828">
      <c r="A3828" s="12" t="s">
        <v>3915</v>
      </c>
      <c r="F3828" s="19">
        <f>IFERROR(__xludf.DUMMYFUNCTION("SPLIT(A3824, "" |"")"),3822.0)</f>
        <v>3822</v>
      </c>
      <c r="G3828" s="19">
        <f>IFERROR(__xludf.DUMMYFUNCTION("""COMPUTED_VALUE"""),0.00236)</f>
        <v>0.00236</v>
      </c>
      <c r="H3828" s="19" t="str">
        <f>IFERROR(__xludf.DUMMYFUNCTION("""COMPUTED_VALUE"""),"-")</f>
        <v>-</v>
      </c>
      <c r="I3828" s="19">
        <f>IFERROR(__xludf.DUMMYFUNCTION("""COMPUTED_VALUE"""),0.00221)</f>
        <v>0.00221</v>
      </c>
      <c r="J3828" s="19">
        <f>IFERROR(__xludf.DUMMYFUNCTION("""COMPUTED_VALUE"""),0.04475)</f>
        <v>0.04475</v>
      </c>
      <c r="K3828" s="19" t="str">
        <f>IFERROR(__xludf.DUMMYFUNCTION("""COMPUTED_VALUE"""),"-")</f>
        <v>-</v>
      </c>
      <c r="L3828" s="19" t="str">
        <f>IFERROR(__xludf.DUMMYFUNCTION("""COMPUTED_VALUE"""),"-")</f>
        <v>-</v>
      </c>
      <c r="O3828" s="24">
        <f t="shared" si="4"/>
        <v>0</v>
      </c>
      <c r="P3828" s="24"/>
      <c r="Q3828" s="24">
        <f t="shared" si="6"/>
        <v>0</v>
      </c>
      <c r="R3828" s="24">
        <f t="shared" si="7"/>
        <v>1</v>
      </c>
      <c r="S3828" s="24"/>
      <c r="T3828" s="24"/>
    </row>
    <row r="3829">
      <c r="A3829" s="12" t="s">
        <v>3916</v>
      </c>
      <c r="F3829" s="19">
        <f>IFERROR(__xludf.DUMMYFUNCTION("SPLIT(A3825, "" |"")"),3823.0)</f>
        <v>3823</v>
      </c>
      <c r="G3829" s="19">
        <f>IFERROR(__xludf.DUMMYFUNCTION("""COMPUTED_VALUE"""),0.00243)</f>
        <v>0.00243</v>
      </c>
      <c r="H3829" s="19" t="str">
        <f>IFERROR(__xludf.DUMMYFUNCTION("""COMPUTED_VALUE"""),"-")</f>
        <v>-</v>
      </c>
      <c r="I3829" s="19">
        <f>IFERROR(__xludf.DUMMYFUNCTION("""COMPUTED_VALUE"""),0.00227)</f>
        <v>0.00227</v>
      </c>
      <c r="J3829" s="19">
        <f>IFERROR(__xludf.DUMMYFUNCTION("""COMPUTED_VALUE"""),0.04747)</f>
        <v>0.04747</v>
      </c>
      <c r="K3829" s="19" t="str">
        <f>IFERROR(__xludf.DUMMYFUNCTION("""COMPUTED_VALUE"""),"-")</f>
        <v>-</v>
      </c>
      <c r="L3829" s="19" t="str">
        <f>IFERROR(__xludf.DUMMYFUNCTION("""COMPUTED_VALUE"""),"-")</f>
        <v>-</v>
      </c>
      <c r="O3829" s="24">
        <f t="shared" si="4"/>
        <v>0</v>
      </c>
      <c r="P3829" s="24"/>
      <c r="Q3829" s="24">
        <f t="shared" si="6"/>
        <v>0</v>
      </c>
      <c r="R3829" s="24">
        <f t="shared" si="7"/>
        <v>0</v>
      </c>
      <c r="S3829" s="24"/>
      <c r="T3829" s="24"/>
    </row>
    <row r="3830">
      <c r="A3830" s="12" t="s">
        <v>3917</v>
      </c>
      <c r="F3830" s="19">
        <f>IFERROR(__xludf.DUMMYFUNCTION("SPLIT(A3826, "" |"")"),3824.0)</f>
        <v>3824</v>
      </c>
      <c r="G3830" s="19">
        <f>IFERROR(__xludf.DUMMYFUNCTION("""COMPUTED_VALUE"""),0.00227)</f>
        <v>0.00227</v>
      </c>
      <c r="H3830" s="19" t="str">
        <f>IFERROR(__xludf.DUMMYFUNCTION("""COMPUTED_VALUE"""),"-")</f>
        <v>-</v>
      </c>
      <c r="I3830" s="19">
        <f>IFERROR(__xludf.DUMMYFUNCTION("""COMPUTED_VALUE"""),0.00231)</f>
        <v>0.00231</v>
      </c>
      <c r="J3830" s="19">
        <f>IFERROR(__xludf.DUMMYFUNCTION("""COMPUTED_VALUE"""),0.04403)</f>
        <v>0.04403</v>
      </c>
      <c r="K3830" s="19" t="str">
        <f>IFERROR(__xludf.DUMMYFUNCTION("""COMPUTED_VALUE"""),"-")</f>
        <v>-</v>
      </c>
      <c r="L3830" s="19" t="str">
        <f>IFERROR(__xludf.DUMMYFUNCTION("""COMPUTED_VALUE"""),"-")</f>
        <v>-</v>
      </c>
      <c r="O3830" s="24">
        <f t="shared" si="4"/>
        <v>0</v>
      </c>
      <c r="P3830" s="24"/>
      <c r="Q3830" s="24">
        <f t="shared" si="6"/>
        <v>0</v>
      </c>
      <c r="R3830" s="24">
        <f t="shared" si="7"/>
        <v>1</v>
      </c>
      <c r="S3830" s="24"/>
      <c r="T3830" s="24"/>
    </row>
    <row r="3831">
      <c r="A3831" s="12" t="s">
        <v>3918</v>
      </c>
      <c r="F3831" s="19">
        <f>IFERROR(__xludf.DUMMYFUNCTION("SPLIT(A3827, "" |"")"),3825.0)</f>
        <v>3825</v>
      </c>
      <c r="G3831" s="19">
        <f>IFERROR(__xludf.DUMMYFUNCTION("""COMPUTED_VALUE"""),0.00233)</f>
        <v>0.00233</v>
      </c>
      <c r="H3831" s="19" t="str">
        <f>IFERROR(__xludf.DUMMYFUNCTION("""COMPUTED_VALUE"""),"-")</f>
        <v>-</v>
      </c>
      <c r="I3831" s="19">
        <f>IFERROR(__xludf.DUMMYFUNCTION("""COMPUTED_VALUE"""),0.00223)</f>
        <v>0.00223</v>
      </c>
      <c r="J3831" s="19">
        <f>IFERROR(__xludf.DUMMYFUNCTION("""COMPUTED_VALUE"""),0.04746)</f>
        <v>0.04746</v>
      </c>
      <c r="K3831" s="19" t="str">
        <f>IFERROR(__xludf.DUMMYFUNCTION("""COMPUTED_VALUE"""),"-")</f>
        <v>-</v>
      </c>
      <c r="L3831" s="19" t="str">
        <f>IFERROR(__xludf.DUMMYFUNCTION("""COMPUTED_VALUE"""),"-")</f>
        <v>-</v>
      </c>
      <c r="O3831" s="24">
        <f t="shared" si="4"/>
        <v>0</v>
      </c>
      <c r="P3831" s="24"/>
      <c r="Q3831" s="24">
        <f t="shared" si="6"/>
        <v>0</v>
      </c>
      <c r="R3831" s="24">
        <f t="shared" si="7"/>
        <v>0</v>
      </c>
      <c r="S3831" s="24"/>
      <c r="T3831" s="24"/>
    </row>
    <row r="3832">
      <c r="A3832" s="12" t="s">
        <v>3919</v>
      </c>
      <c r="F3832" s="19">
        <f>IFERROR(__xludf.DUMMYFUNCTION("SPLIT(A3828, "" |"")"),3826.0)</f>
        <v>3826</v>
      </c>
      <c r="G3832" s="19">
        <f>IFERROR(__xludf.DUMMYFUNCTION("""COMPUTED_VALUE"""),0.0024)</f>
        <v>0.0024</v>
      </c>
      <c r="H3832" s="19" t="str">
        <f>IFERROR(__xludf.DUMMYFUNCTION("""COMPUTED_VALUE"""),"-")</f>
        <v>-</v>
      </c>
      <c r="I3832" s="19">
        <f>IFERROR(__xludf.DUMMYFUNCTION("""COMPUTED_VALUE"""),0.00219)</f>
        <v>0.00219</v>
      </c>
      <c r="J3832" s="19">
        <f>IFERROR(__xludf.DUMMYFUNCTION("""COMPUTED_VALUE"""),0.03979)</f>
        <v>0.03979</v>
      </c>
      <c r="K3832" s="19" t="str">
        <f>IFERROR(__xludf.DUMMYFUNCTION("""COMPUTED_VALUE"""),"-")</f>
        <v>-</v>
      </c>
      <c r="L3832" s="19" t="str">
        <f>IFERROR(__xludf.DUMMYFUNCTION("""COMPUTED_VALUE"""),"-")</f>
        <v>-</v>
      </c>
      <c r="O3832" s="24">
        <f t="shared" si="4"/>
        <v>0</v>
      </c>
      <c r="P3832" s="24"/>
      <c r="Q3832" s="24">
        <f t="shared" si="6"/>
        <v>0</v>
      </c>
      <c r="R3832" s="24">
        <f t="shared" si="7"/>
        <v>1</v>
      </c>
      <c r="S3832" s="24"/>
      <c r="T3832" s="24"/>
    </row>
    <row r="3833">
      <c r="A3833" s="12" t="s">
        <v>3920</v>
      </c>
      <c r="F3833" s="19">
        <f>IFERROR(__xludf.DUMMYFUNCTION("SPLIT(A3829, "" |"")"),3827.0)</f>
        <v>3827</v>
      </c>
      <c r="G3833" s="19">
        <f>IFERROR(__xludf.DUMMYFUNCTION("""COMPUTED_VALUE"""),0.00236)</f>
        <v>0.00236</v>
      </c>
      <c r="H3833" s="19" t="str">
        <f>IFERROR(__xludf.DUMMYFUNCTION("""COMPUTED_VALUE"""),"-")</f>
        <v>-</v>
      </c>
      <c r="I3833" s="19">
        <f>IFERROR(__xludf.DUMMYFUNCTION("""COMPUTED_VALUE"""),0.00225)</f>
        <v>0.00225</v>
      </c>
      <c r="J3833" s="19">
        <f>IFERROR(__xludf.DUMMYFUNCTION("""COMPUTED_VALUE"""),0.04752)</f>
        <v>0.04752</v>
      </c>
      <c r="K3833" s="19" t="str">
        <f>IFERROR(__xludf.DUMMYFUNCTION("""COMPUTED_VALUE"""),"-")</f>
        <v>-</v>
      </c>
      <c r="L3833" s="19" t="str">
        <f>IFERROR(__xludf.DUMMYFUNCTION("""COMPUTED_VALUE"""),"-")</f>
        <v>-</v>
      </c>
      <c r="O3833" s="24">
        <f t="shared" si="4"/>
        <v>0</v>
      </c>
      <c r="P3833" s="24"/>
      <c r="Q3833" s="24">
        <f t="shared" si="6"/>
        <v>0</v>
      </c>
      <c r="R3833" s="24">
        <f t="shared" si="7"/>
        <v>0</v>
      </c>
      <c r="S3833" s="24"/>
      <c r="T3833" s="24"/>
    </row>
    <row r="3834">
      <c r="A3834" s="12" t="s">
        <v>3921</v>
      </c>
      <c r="F3834" s="19">
        <f>IFERROR(__xludf.DUMMYFUNCTION("SPLIT(A3830, "" |"")"),3828.0)</f>
        <v>3828</v>
      </c>
      <c r="G3834" s="19">
        <f>IFERROR(__xludf.DUMMYFUNCTION("""COMPUTED_VALUE"""),0.00235)</f>
        <v>0.00235</v>
      </c>
      <c r="H3834" s="19" t="str">
        <f>IFERROR(__xludf.DUMMYFUNCTION("""COMPUTED_VALUE"""),"-")</f>
        <v>-</v>
      </c>
      <c r="I3834" s="19">
        <f>IFERROR(__xludf.DUMMYFUNCTION("""COMPUTED_VALUE"""),0.00223)</f>
        <v>0.00223</v>
      </c>
      <c r="J3834" s="19">
        <f>IFERROR(__xludf.DUMMYFUNCTION("""COMPUTED_VALUE"""),0.04747)</f>
        <v>0.04747</v>
      </c>
      <c r="K3834" s="19" t="str">
        <f>IFERROR(__xludf.DUMMYFUNCTION("""COMPUTED_VALUE"""),"-")</f>
        <v>-</v>
      </c>
      <c r="L3834" s="19" t="str">
        <f>IFERROR(__xludf.DUMMYFUNCTION("""COMPUTED_VALUE"""),"-")</f>
        <v>-</v>
      </c>
      <c r="O3834" s="24">
        <f t="shared" si="4"/>
        <v>0</v>
      </c>
      <c r="P3834" s="24"/>
      <c r="Q3834" s="24">
        <f t="shared" si="6"/>
        <v>0</v>
      </c>
      <c r="R3834" s="24">
        <f t="shared" si="7"/>
        <v>0</v>
      </c>
      <c r="S3834" s="24"/>
      <c r="T3834" s="24"/>
    </row>
    <row r="3835">
      <c r="A3835" s="12" t="s">
        <v>3922</v>
      </c>
      <c r="F3835" s="19">
        <f>IFERROR(__xludf.DUMMYFUNCTION("SPLIT(A3831, "" |"")"),3829.0)</f>
        <v>3829</v>
      </c>
      <c r="G3835" s="19">
        <f>IFERROR(__xludf.DUMMYFUNCTION("""COMPUTED_VALUE"""),0.00234)</f>
        <v>0.00234</v>
      </c>
      <c r="H3835" s="19" t="str">
        <f>IFERROR(__xludf.DUMMYFUNCTION("""COMPUTED_VALUE"""),"-")</f>
        <v>-</v>
      </c>
      <c r="I3835" s="19">
        <f>IFERROR(__xludf.DUMMYFUNCTION("""COMPUTED_VALUE"""),0.00221)</f>
        <v>0.00221</v>
      </c>
      <c r="J3835" s="19">
        <f>IFERROR(__xludf.DUMMYFUNCTION("""COMPUTED_VALUE"""),0.04743)</f>
        <v>0.04743</v>
      </c>
      <c r="K3835" s="19" t="str">
        <f>IFERROR(__xludf.DUMMYFUNCTION("""COMPUTED_VALUE"""),"-")</f>
        <v>-</v>
      </c>
      <c r="L3835" s="19" t="str">
        <f>IFERROR(__xludf.DUMMYFUNCTION("""COMPUTED_VALUE"""),"-")</f>
        <v>-</v>
      </c>
      <c r="O3835" s="24">
        <f t="shared" si="4"/>
        <v>0</v>
      </c>
      <c r="P3835" s="24"/>
      <c r="Q3835" s="24">
        <f t="shared" si="6"/>
        <v>0</v>
      </c>
      <c r="R3835" s="24">
        <f t="shared" si="7"/>
        <v>0</v>
      </c>
      <c r="S3835" s="24"/>
      <c r="T3835" s="24"/>
    </row>
    <row r="3836">
      <c r="A3836" s="12" t="s">
        <v>3923</v>
      </c>
      <c r="F3836" s="19">
        <f>IFERROR(__xludf.DUMMYFUNCTION("SPLIT(A3832, "" |"")"),3830.0)</f>
        <v>3830</v>
      </c>
      <c r="G3836" s="19">
        <f>IFERROR(__xludf.DUMMYFUNCTION("""COMPUTED_VALUE"""),0.00239)</f>
        <v>0.00239</v>
      </c>
      <c r="H3836" s="19" t="str">
        <f>IFERROR(__xludf.DUMMYFUNCTION("""COMPUTED_VALUE"""),"-")</f>
        <v>-</v>
      </c>
      <c r="I3836" s="19">
        <f>IFERROR(__xludf.DUMMYFUNCTION("""COMPUTED_VALUE"""),0.0022)</f>
        <v>0.0022</v>
      </c>
      <c r="J3836" s="19">
        <f>IFERROR(__xludf.DUMMYFUNCTION("""COMPUTED_VALUE"""),0.04746)</f>
        <v>0.04746</v>
      </c>
      <c r="K3836" s="19" t="str">
        <f>IFERROR(__xludf.DUMMYFUNCTION("""COMPUTED_VALUE"""),"-")</f>
        <v>-</v>
      </c>
      <c r="L3836" s="19" t="str">
        <f>IFERROR(__xludf.DUMMYFUNCTION("""COMPUTED_VALUE"""),"-")</f>
        <v>-</v>
      </c>
      <c r="O3836" s="24">
        <f t="shared" si="4"/>
        <v>0</v>
      </c>
      <c r="P3836" s="24"/>
      <c r="Q3836" s="24">
        <f t="shared" si="6"/>
        <v>0</v>
      </c>
      <c r="R3836" s="24">
        <f t="shared" si="7"/>
        <v>0</v>
      </c>
      <c r="S3836" s="24"/>
      <c r="T3836" s="24"/>
    </row>
    <row r="3837">
      <c r="A3837" s="12" t="s">
        <v>3924</v>
      </c>
      <c r="F3837" s="19">
        <f>IFERROR(__xludf.DUMMYFUNCTION("SPLIT(A3833, "" |"")"),3831.0)</f>
        <v>3831</v>
      </c>
      <c r="G3837" s="19">
        <f>IFERROR(__xludf.DUMMYFUNCTION("""COMPUTED_VALUE"""),0.0023)</f>
        <v>0.0023</v>
      </c>
      <c r="H3837" s="19" t="str">
        <f>IFERROR(__xludf.DUMMYFUNCTION("""COMPUTED_VALUE"""),"-")</f>
        <v>-</v>
      </c>
      <c r="I3837" s="19">
        <f>IFERROR(__xludf.DUMMYFUNCTION("""COMPUTED_VALUE"""),0.00222)</f>
        <v>0.00222</v>
      </c>
      <c r="J3837" s="19">
        <f>IFERROR(__xludf.DUMMYFUNCTION("""COMPUTED_VALUE"""),0.04736)</f>
        <v>0.04736</v>
      </c>
      <c r="K3837" s="19" t="str">
        <f>IFERROR(__xludf.DUMMYFUNCTION("""COMPUTED_VALUE"""),"-")</f>
        <v>-</v>
      </c>
      <c r="L3837" s="19" t="str">
        <f>IFERROR(__xludf.DUMMYFUNCTION("""COMPUTED_VALUE"""),"-")</f>
        <v>-</v>
      </c>
      <c r="O3837" s="24">
        <f t="shared" si="4"/>
        <v>0</v>
      </c>
      <c r="P3837" s="24"/>
      <c r="Q3837" s="24">
        <f t="shared" si="6"/>
        <v>0</v>
      </c>
      <c r="R3837" s="24">
        <f t="shared" si="7"/>
        <v>0</v>
      </c>
      <c r="S3837" s="24"/>
      <c r="T3837" s="24"/>
    </row>
    <row r="3838">
      <c r="A3838" s="12" t="s">
        <v>3925</v>
      </c>
      <c r="F3838" s="19">
        <f>IFERROR(__xludf.DUMMYFUNCTION("SPLIT(A3834, "" |"")"),3832.0)</f>
        <v>3832</v>
      </c>
      <c r="G3838" s="19">
        <f>IFERROR(__xludf.DUMMYFUNCTION("""COMPUTED_VALUE"""),0.00239)</f>
        <v>0.00239</v>
      </c>
      <c r="H3838" s="19" t="str">
        <f>IFERROR(__xludf.DUMMYFUNCTION("""COMPUTED_VALUE"""),"-")</f>
        <v>-</v>
      </c>
      <c r="I3838" s="19">
        <f>IFERROR(__xludf.DUMMYFUNCTION("""COMPUTED_VALUE"""),0.00224)</f>
        <v>0.00224</v>
      </c>
      <c r="J3838" s="19">
        <f>IFERROR(__xludf.DUMMYFUNCTION("""COMPUTED_VALUE"""),0.04743)</f>
        <v>0.04743</v>
      </c>
      <c r="K3838" s="19" t="str">
        <f>IFERROR(__xludf.DUMMYFUNCTION("""COMPUTED_VALUE"""),"-")</f>
        <v>-</v>
      </c>
      <c r="L3838" s="19" t="str">
        <f>IFERROR(__xludf.DUMMYFUNCTION("""COMPUTED_VALUE"""),"-")</f>
        <v>-</v>
      </c>
      <c r="O3838" s="24">
        <f t="shared" si="4"/>
        <v>0</v>
      </c>
      <c r="P3838" s="24"/>
      <c r="Q3838" s="24">
        <f t="shared" si="6"/>
        <v>0</v>
      </c>
      <c r="R3838" s="24">
        <f t="shared" si="7"/>
        <v>0</v>
      </c>
      <c r="S3838" s="24"/>
      <c r="T3838" s="24"/>
    </row>
    <row r="3839">
      <c r="A3839" s="12" t="s">
        <v>3926</v>
      </c>
      <c r="F3839" s="19">
        <f>IFERROR(__xludf.DUMMYFUNCTION("SPLIT(A3835, "" |"")"),3833.0)</f>
        <v>3833</v>
      </c>
      <c r="G3839" s="19">
        <f>IFERROR(__xludf.DUMMYFUNCTION("""COMPUTED_VALUE"""),0.00233)</f>
        <v>0.00233</v>
      </c>
      <c r="H3839" s="19" t="str">
        <f>IFERROR(__xludf.DUMMYFUNCTION("""COMPUTED_VALUE"""),"-")</f>
        <v>-</v>
      </c>
      <c r="I3839" s="19">
        <f>IFERROR(__xludf.DUMMYFUNCTION("""COMPUTED_VALUE"""),0.00222)</f>
        <v>0.00222</v>
      </c>
      <c r="J3839" s="19">
        <f>IFERROR(__xludf.DUMMYFUNCTION("""COMPUTED_VALUE"""),0.04748)</f>
        <v>0.04748</v>
      </c>
      <c r="K3839" s="19" t="str">
        <f>IFERROR(__xludf.DUMMYFUNCTION("""COMPUTED_VALUE"""),"-")</f>
        <v>-</v>
      </c>
      <c r="L3839" s="19" t="str">
        <f>IFERROR(__xludf.DUMMYFUNCTION("""COMPUTED_VALUE"""),"-")</f>
        <v>-</v>
      </c>
      <c r="O3839" s="24">
        <f t="shared" si="4"/>
        <v>0</v>
      </c>
      <c r="P3839" s="24"/>
      <c r="Q3839" s="24">
        <f t="shared" si="6"/>
        <v>0</v>
      </c>
      <c r="R3839" s="24">
        <f t="shared" si="7"/>
        <v>0</v>
      </c>
      <c r="S3839" s="24"/>
      <c r="T3839" s="24"/>
    </row>
    <row r="3840">
      <c r="A3840" s="12" t="s">
        <v>3927</v>
      </c>
      <c r="F3840" s="19">
        <f>IFERROR(__xludf.DUMMYFUNCTION("SPLIT(A3836, "" |"")"),3834.0)</f>
        <v>3834</v>
      </c>
      <c r="G3840" s="19">
        <f>IFERROR(__xludf.DUMMYFUNCTION("""COMPUTED_VALUE"""),0.00242)</f>
        <v>0.00242</v>
      </c>
      <c r="H3840" s="19" t="str">
        <f>IFERROR(__xludf.DUMMYFUNCTION("""COMPUTED_VALUE"""),"-")</f>
        <v>-</v>
      </c>
      <c r="I3840" s="19">
        <f>IFERROR(__xludf.DUMMYFUNCTION("""COMPUTED_VALUE"""),0.00222)</f>
        <v>0.00222</v>
      </c>
      <c r="J3840" s="19">
        <f>IFERROR(__xludf.DUMMYFUNCTION("""COMPUTED_VALUE"""),0.04739)</f>
        <v>0.04739</v>
      </c>
      <c r="K3840" s="19" t="str">
        <f>IFERROR(__xludf.DUMMYFUNCTION("""COMPUTED_VALUE"""),"-")</f>
        <v>-</v>
      </c>
      <c r="L3840" s="19" t="str">
        <f>IFERROR(__xludf.DUMMYFUNCTION("""COMPUTED_VALUE"""),"-")</f>
        <v>-</v>
      </c>
      <c r="O3840" s="24">
        <f t="shared" si="4"/>
        <v>0</v>
      </c>
      <c r="P3840" s="24"/>
      <c r="Q3840" s="24">
        <f t="shared" si="6"/>
        <v>0</v>
      </c>
      <c r="R3840" s="24">
        <f t="shared" si="7"/>
        <v>0</v>
      </c>
      <c r="S3840" s="24"/>
      <c r="T3840" s="24"/>
    </row>
    <row r="3841">
      <c r="A3841" s="12" t="s">
        <v>3928</v>
      </c>
      <c r="F3841" s="19">
        <f>IFERROR(__xludf.DUMMYFUNCTION("SPLIT(A3837, "" |"")"),3835.0)</f>
        <v>3835</v>
      </c>
      <c r="G3841" s="19">
        <f>IFERROR(__xludf.DUMMYFUNCTION("""COMPUTED_VALUE"""),0.00228)</f>
        <v>0.00228</v>
      </c>
      <c r="H3841" s="19" t="str">
        <f>IFERROR(__xludf.DUMMYFUNCTION("""COMPUTED_VALUE"""),"-")</f>
        <v>-</v>
      </c>
      <c r="I3841" s="19">
        <f>IFERROR(__xludf.DUMMYFUNCTION("""COMPUTED_VALUE"""),0.00227)</f>
        <v>0.00227</v>
      </c>
      <c r="J3841" s="19">
        <f>IFERROR(__xludf.DUMMYFUNCTION("""COMPUTED_VALUE"""),0.04749)</f>
        <v>0.04749</v>
      </c>
      <c r="K3841" s="19" t="str">
        <f>IFERROR(__xludf.DUMMYFUNCTION("""COMPUTED_VALUE"""),"-")</f>
        <v>-</v>
      </c>
      <c r="L3841" s="19" t="str">
        <f>IFERROR(__xludf.DUMMYFUNCTION("""COMPUTED_VALUE"""),"-")</f>
        <v>-</v>
      </c>
      <c r="O3841" s="24">
        <f t="shared" si="4"/>
        <v>0</v>
      </c>
      <c r="P3841" s="24"/>
      <c r="Q3841" s="24">
        <f t="shared" si="6"/>
        <v>0</v>
      </c>
      <c r="R3841" s="24">
        <f t="shared" si="7"/>
        <v>0</v>
      </c>
      <c r="S3841" s="24"/>
      <c r="T3841" s="24"/>
    </row>
    <row r="3842">
      <c r="A3842" s="12" t="s">
        <v>3929</v>
      </c>
      <c r="F3842" s="19">
        <f>IFERROR(__xludf.DUMMYFUNCTION("SPLIT(A3838, "" |"")"),3836.0)</f>
        <v>3836</v>
      </c>
      <c r="G3842" s="19">
        <f>IFERROR(__xludf.DUMMYFUNCTION("""COMPUTED_VALUE"""),0.00254)</f>
        <v>0.00254</v>
      </c>
      <c r="H3842" s="19" t="str">
        <f>IFERROR(__xludf.DUMMYFUNCTION("""COMPUTED_VALUE"""),"-")</f>
        <v>-</v>
      </c>
      <c r="I3842" s="19">
        <f>IFERROR(__xludf.DUMMYFUNCTION("""COMPUTED_VALUE"""),0.00244)</f>
        <v>0.00244</v>
      </c>
      <c r="J3842" s="19">
        <f>IFERROR(__xludf.DUMMYFUNCTION("""COMPUTED_VALUE"""),0.0475)</f>
        <v>0.0475</v>
      </c>
      <c r="K3842" s="19" t="str">
        <f>IFERROR(__xludf.DUMMYFUNCTION("""COMPUTED_VALUE"""),"-")</f>
        <v>-</v>
      </c>
      <c r="L3842" s="19" t="str">
        <f>IFERROR(__xludf.DUMMYFUNCTION("""COMPUTED_VALUE"""),"-")</f>
        <v>-</v>
      </c>
      <c r="O3842" s="24">
        <f t="shared" si="4"/>
        <v>0</v>
      </c>
      <c r="P3842" s="24"/>
      <c r="Q3842" s="24">
        <f t="shared" si="6"/>
        <v>0</v>
      </c>
      <c r="R3842" s="24">
        <f t="shared" si="7"/>
        <v>0</v>
      </c>
      <c r="S3842" s="24"/>
      <c r="T3842" s="24"/>
    </row>
    <row r="3843">
      <c r="A3843" s="12" t="s">
        <v>3930</v>
      </c>
      <c r="F3843" s="19">
        <f>IFERROR(__xludf.DUMMYFUNCTION("SPLIT(A3839, "" |"")"),3837.0)</f>
        <v>3837</v>
      </c>
      <c r="G3843" s="19">
        <f>IFERROR(__xludf.DUMMYFUNCTION("""COMPUTED_VALUE"""),0.00239)</f>
        <v>0.00239</v>
      </c>
      <c r="H3843" s="19" t="str">
        <f>IFERROR(__xludf.DUMMYFUNCTION("""COMPUTED_VALUE"""),"-")</f>
        <v>-</v>
      </c>
      <c r="I3843" s="19">
        <f>IFERROR(__xludf.DUMMYFUNCTION("""COMPUTED_VALUE"""),0.00225)</f>
        <v>0.00225</v>
      </c>
      <c r="J3843" s="19">
        <f>IFERROR(__xludf.DUMMYFUNCTION("""COMPUTED_VALUE"""),0.04749)</f>
        <v>0.04749</v>
      </c>
      <c r="K3843" s="19" t="str">
        <f>IFERROR(__xludf.DUMMYFUNCTION("""COMPUTED_VALUE"""),"-")</f>
        <v>-</v>
      </c>
      <c r="L3843" s="19" t="str">
        <f>IFERROR(__xludf.DUMMYFUNCTION("""COMPUTED_VALUE"""),"-")</f>
        <v>-</v>
      </c>
      <c r="O3843" s="24">
        <f t="shared" si="4"/>
        <v>0</v>
      </c>
      <c r="P3843" s="24"/>
      <c r="Q3843" s="24">
        <f t="shared" si="6"/>
        <v>0</v>
      </c>
      <c r="R3843" s="24">
        <f t="shared" si="7"/>
        <v>0</v>
      </c>
      <c r="S3843" s="24"/>
      <c r="T3843" s="24"/>
    </row>
    <row r="3844">
      <c r="A3844" s="12" t="s">
        <v>3931</v>
      </c>
      <c r="F3844" s="19">
        <f>IFERROR(__xludf.DUMMYFUNCTION("SPLIT(A3840, "" |"")"),3838.0)</f>
        <v>3838</v>
      </c>
      <c r="G3844" s="19">
        <f>IFERROR(__xludf.DUMMYFUNCTION("""COMPUTED_VALUE"""),0.00249)</f>
        <v>0.00249</v>
      </c>
      <c r="H3844" s="19" t="str">
        <f>IFERROR(__xludf.DUMMYFUNCTION("""COMPUTED_VALUE"""),"-")</f>
        <v>-</v>
      </c>
      <c r="I3844" s="19">
        <f>IFERROR(__xludf.DUMMYFUNCTION("""COMPUTED_VALUE"""),0.00222)</f>
        <v>0.00222</v>
      </c>
      <c r="J3844" s="19">
        <f>IFERROR(__xludf.DUMMYFUNCTION("""COMPUTED_VALUE"""),0.04745)</f>
        <v>0.04745</v>
      </c>
      <c r="K3844" s="19" t="str">
        <f>IFERROR(__xludf.DUMMYFUNCTION("""COMPUTED_VALUE"""),"-")</f>
        <v>-</v>
      </c>
      <c r="L3844" s="19" t="str">
        <f>IFERROR(__xludf.DUMMYFUNCTION("""COMPUTED_VALUE"""),"-")</f>
        <v>-</v>
      </c>
      <c r="O3844" s="24">
        <f t="shared" si="4"/>
        <v>0</v>
      </c>
      <c r="P3844" s="24"/>
      <c r="Q3844" s="24">
        <f t="shared" si="6"/>
        <v>0</v>
      </c>
      <c r="R3844" s="24">
        <f t="shared" si="7"/>
        <v>0</v>
      </c>
      <c r="S3844" s="24"/>
      <c r="T3844" s="24"/>
    </row>
    <row r="3845">
      <c r="A3845" s="12" t="s">
        <v>3932</v>
      </c>
      <c r="F3845" s="19">
        <f>IFERROR(__xludf.DUMMYFUNCTION("SPLIT(A3841, "" |"")"),3839.0)</f>
        <v>3839</v>
      </c>
      <c r="G3845" s="19">
        <f>IFERROR(__xludf.DUMMYFUNCTION("""COMPUTED_VALUE"""),0.00237)</f>
        <v>0.00237</v>
      </c>
      <c r="H3845" s="19" t="str">
        <f>IFERROR(__xludf.DUMMYFUNCTION("""COMPUTED_VALUE"""),"-")</f>
        <v>-</v>
      </c>
      <c r="I3845" s="19">
        <f>IFERROR(__xludf.DUMMYFUNCTION("""COMPUTED_VALUE"""),0.00223)</f>
        <v>0.00223</v>
      </c>
      <c r="J3845" s="19">
        <f>IFERROR(__xludf.DUMMYFUNCTION("""COMPUTED_VALUE"""),0.04744)</f>
        <v>0.04744</v>
      </c>
      <c r="K3845" s="19" t="str">
        <f>IFERROR(__xludf.DUMMYFUNCTION("""COMPUTED_VALUE"""),"-")</f>
        <v>-</v>
      </c>
      <c r="L3845" s="19" t="str">
        <f>IFERROR(__xludf.DUMMYFUNCTION("""COMPUTED_VALUE"""),"-")</f>
        <v>-</v>
      </c>
      <c r="O3845" s="24">
        <f t="shared" si="4"/>
        <v>0</v>
      </c>
      <c r="P3845" s="24"/>
      <c r="Q3845" s="24">
        <f t="shared" si="6"/>
        <v>0</v>
      </c>
      <c r="R3845" s="24">
        <f t="shared" si="7"/>
        <v>0</v>
      </c>
      <c r="S3845" s="24"/>
      <c r="T3845" s="24"/>
    </row>
    <row r="3846">
      <c r="A3846" s="12" t="s">
        <v>3933</v>
      </c>
      <c r="F3846" s="19">
        <f>IFERROR(__xludf.DUMMYFUNCTION("SPLIT(A3842, "" |"")"),3840.0)</f>
        <v>3840</v>
      </c>
      <c r="G3846" s="19">
        <f>IFERROR(__xludf.DUMMYFUNCTION("""COMPUTED_VALUE"""),0.00239)</f>
        <v>0.00239</v>
      </c>
      <c r="H3846" s="19" t="str">
        <f>IFERROR(__xludf.DUMMYFUNCTION("""COMPUTED_VALUE"""),"-")</f>
        <v>-</v>
      </c>
      <c r="I3846" s="19">
        <f>IFERROR(__xludf.DUMMYFUNCTION("""COMPUTED_VALUE"""),0.00227)</f>
        <v>0.00227</v>
      </c>
      <c r="J3846" s="19">
        <f>IFERROR(__xludf.DUMMYFUNCTION("""COMPUTED_VALUE"""),0.04752)</f>
        <v>0.04752</v>
      </c>
      <c r="K3846" s="19" t="str">
        <f>IFERROR(__xludf.DUMMYFUNCTION("""COMPUTED_VALUE"""),"-")</f>
        <v>-</v>
      </c>
      <c r="L3846" s="19" t="str">
        <f>IFERROR(__xludf.DUMMYFUNCTION("""COMPUTED_VALUE"""),"-")</f>
        <v>-</v>
      </c>
      <c r="O3846" s="24">
        <f t="shared" si="4"/>
        <v>0</v>
      </c>
      <c r="P3846" s="24"/>
      <c r="Q3846" s="24">
        <f t="shared" si="6"/>
        <v>0</v>
      </c>
      <c r="R3846" s="24">
        <f t="shared" si="7"/>
        <v>0</v>
      </c>
      <c r="S3846" s="24"/>
      <c r="T3846" s="24"/>
    </row>
    <row r="3847">
      <c r="A3847" s="12" t="s">
        <v>3934</v>
      </c>
      <c r="F3847" s="19">
        <f>IFERROR(__xludf.DUMMYFUNCTION("SPLIT(A3843, "" |"")"),3841.0)</f>
        <v>3841</v>
      </c>
      <c r="G3847" s="19">
        <f>IFERROR(__xludf.DUMMYFUNCTION("""COMPUTED_VALUE"""),0.00236)</f>
        <v>0.00236</v>
      </c>
      <c r="H3847" s="19" t="str">
        <f>IFERROR(__xludf.DUMMYFUNCTION("""COMPUTED_VALUE"""),"-")</f>
        <v>-</v>
      </c>
      <c r="I3847" s="19">
        <f>IFERROR(__xludf.DUMMYFUNCTION("""COMPUTED_VALUE"""),0.00217)</f>
        <v>0.00217</v>
      </c>
      <c r="J3847" s="19">
        <f>IFERROR(__xludf.DUMMYFUNCTION("""COMPUTED_VALUE"""),0.04753)</f>
        <v>0.04753</v>
      </c>
      <c r="K3847" s="19" t="str">
        <f>IFERROR(__xludf.DUMMYFUNCTION("""COMPUTED_VALUE"""),"-")</f>
        <v>-</v>
      </c>
      <c r="L3847" s="19" t="str">
        <f>IFERROR(__xludf.DUMMYFUNCTION("""COMPUTED_VALUE"""),"-")</f>
        <v>-</v>
      </c>
      <c r="O3847" s="24">
        <f t="shared" si="4"/>
        <v>0</v>
      </c>
      <c r="P3847" s="24"/>
      <c r="Q3847" s="24">
        <f t="shared" si="6"/>
        <v>0</v>
      </c>
      <c r="R3847" s="24">
        <f t="shared" si="7"/>
        <v>0</v>
      </c>
      <c r="S3847" s="24"/>
      <c r="T3847" s="24"/>
    </row>
    <row r="3848">
      <c r="A3848" s="12" t="s">
        <v>3935</v>
      </c>
      <c r="F3848" s="19">
        <f>IFERROR(__xludf.DUMMYFUNCTION("SPLIT(A3844, "" |"")"),3842.0)</f>
        <v>3842</v>
      </c>
      <c r="G3848" s="19">
        <f>IFERROR(__xludf.DUMMYFUNCTION("""COMPUTED_VALUE"""),0.00237)</f>
        <v>0.00237</v>
      </c>
      <c r="H3848" s="19" t="str">
        <f>IFERROR(__xludf.DUMMYFUNCTION("""COMPUTED_VALUE"""),"-")</f>
        <v>-</v>
      </c>
      <c r="I3848" s="19">
        <f>IFERROR(__xludf.DUMMYFUNCTION("""COMPUTED_VALUE"""),0.00224)</f>
        <v>0.00224</v>
      </c>
      <c r="J3848" s="19">
        <f>IFERROR(__xludf.DUMMYFUNCTION("""COMPUTED_VALUE"""),0.04747)</f>
        <v>0.04747</v>
      </c>
      <c r="K3848" s="19" t="str">
        <f>IFERROR(__xludf.DUMMYFUNCTION("""COMPUTED_VALUE"""),"-")</f>
        <v>-</v>
      </c>
      <c r="L3848" s="19" t="str">
        <f>IFERROR(__xludf.DUMMYFUNCTION("""COMPUTED_VALUE"""),"-")</f>
        <v>-</v>
      </c>
      <c r="O3848" s="24">
        <f t="shared" si="4"/>
        <v>0</v>
      </c>
      <c r="P3848" s="24"/>
      <c r="Q3848" s="24">
        <f t="shared" si="6"/>
        <v>0</v>
      </c>
      <c r="R3848" s="24">
        <f t="shared" si="7"/>
        <v>0</v>
      </c>
      <c r="S3848" s="24"/>
      <c r="T3848" s="24"/>
    </row>
    <row r="3849">
      <c r="A3849" s="12" t="s">
        <v>3936</v>
      </c>
      <c r="F3849" s="19">
        <f>IFERROR(__xludf.DUMMYFUNCTION("SPLIT(A3845, "" |"")"),3843.0)</f>
        <v>3843</v>
      </c>
      <c r="G3849" s="19">
        <f>IFERROR(__xludf.DUMMYFUNCTION("""COMPUTED_VALUE"""),0.00232)</f>
        <v>0.00232</v>
      </c>
      <c r="H3849" s="19" t="str">
        <f>IFERROR(__xludf.DUMMYFUNCTION("""COMPUTED_VALUE"""),"-")</f>
        <v>-</v>
      </c>
      <c r="I3849" s="19">
        <f>IFERROR(__xludf.DUMMYFUNCTION("""COMPUTED_VALUE"""),0.00222)</f>
        <v>0.00222</v>
      </c>
      <c r="J3849" s="19">
        <f>IFERROR(__xludf.DUMMYFUNCTION("""COMPUTED_VALUE"""),0.04741)</f>
        <v>0.04741</v>
      </c>
      <c r="K3849" s="19" t="str">
        <f>IFERROR(__xludf.DUMMYFUNCTION("""COMPUTED_VALUE"""),"-")</f>
        <v>-</v>
      </c>
      <c r="L3849" s="19" t="str">
        <f>IFERROR(__xludf.DUMMYFUNCTION("""COMPUTED_VALUE"""),"-")</f>
        <v>-</v>
      </c>
      <c r="O3849" s="24">
        <f t="shared" si="4"/>
        <v>0</v>
      </c>
      <c r="P3849" s="24"/>
      <c r="Q3849" s="24">
        <f t="shared" si="6"/>
        <v>0</v>
      </c>
      <c r="R3849" s="24">
        <f t="shared" si="7"/>
        <v>0</v>
      </c>
      <c r="S3849" s="24"/>
      <c r="T3849" s="24"/>
    </row>
    <row r="3850">
      <c r="A3850" s="12" t="s">
        <v>3937</v>
      </c>
      <c r="F3850" s="19">
        <f>IFERROR(__xludf.DUMMYFUNCTION("SPLIT(A3846, "" |"")"),3844.0)</f>
        <v>3844</v>
      </c>
      <c r="G3850" s="19">
        <f>IFERROR(__xludf.DUMMYFUNCTION("""COMPUTED_VALUE"""),0.00234)</f>
        <v>0.00234</v>
      </c>
      <c r="H3850" s="19" t="str">
        <f>IFERROR(__xludf.DUMMYFUNCTION("""COMPUTED_VALUE"""),"-")</f>
        <v>-</v>
      </c>
      <c r="I3850" s="19">
        <f>IFERROR(__xludf.DUMMYFUNCTION("""COMPUTED_VALUE"""),0.00221)</f>
        <v>0.00221</v>
      </c>
      <c r="J3850" s="19">
        <f>IFERROR(__xludf.DUMMYFUNCTION("""COMPUTED_VALUE"""),0.04603)</f>
        <v>0.04603</v>
      </c>
      <c r="K3850" s="19" t="str">
        <f>IFERROR(__xludf.DUMMYFUNCTION("""COMPUTED_VALUE"""),"-")</f>
        <v>-</v>
      </c>
      <c r="L3850" s="19" t="str">
        <f>IFERROR(__xludf.DUMMYFUNCTION("""COMPUTED_VALUE"""),"-")</f>
        <v>-</v>
      </c>
      <c r="O3850" s="24">
        <f t="shared" si="4"/>
        <v>0</v>
      </c>
      <c r="P3850" s="24"/>
      <c r="Q3850" s="24">
        <f t="shared" si="6"/>
        <v>0</v>
      </c>
      <c r="R3850" s="24">
        <f t="shared" si="7"/>
        <v>0</v>
      </c>
      <c r="S3850" s="24"/>
      <c r="T3850" s="24"/>
    </row>
    <row r="3851">
      <c r="A3851" s="12" t="s">
        <v>3938</v>
      </c>
      <c r="F3851" s="19">
        <f>IFERROR(__xludf.DUMMYFUNCTION("SPLIT(A3847, "" |"")"),3845.0)</f>
        <v>3845</v>
      </c>
      <c r="G3851" s="19">
        <f>IFERROR(__xludf.DUMMYFUNCTION("""COMPUTED_VALUE"""),0.00238)</f>
        <v>0.00238</v>
      </c>
      <c r="H3851" s="19" t="str">
        <f>IFERROR(__xludf.DUMMYFUNCTION("""COMPUTED_VALUE"""),"-")</f>
        <v>-</v>
      </c>
      <c r="I3851" s="19">
        <f>IFERROR(__xludf.DUMMYFUNCTION("""COMPUTED_VALUE"""),0.00223)</f>
        <v>0.00223</v>
      </c>
      <c r="J3851" s="19">
        <f>IFERROR(__xludf.DUMMYFUNCTION("""COMPUTED_VALUE"""),0.03965)</f>
        <v>0.03965</v>
      </c>
      <c r="K3851" s="19" t="str">
        <f>IFERROR(__xludf.DUMMYFUNCTION("""COMPUTED_VALUE"""),"-")</f>
        <v>-</v>
      </c>
      <c r="L3851" s="19" t="str">
        <f>IFERROR(__xludf.DUMMYFUNCTION("""COMPUTED_VALUE"""),"-")</f>
        <v>-</v>
      </c>
      <c r="O3851" s="24">
        <f t="shared" si="4"/>
        <v>0</v>
      </c>
      <c r="P3851" s="24"/>
      <c r="Q3851" s="24">
        <f t="shared" si="6"/>
        <v>0</v>
      </c>
      <c r="R3851" s="24">
        <f t="shared" si="7"/>
        <v>1</v>
      </c>
      <c r="S3851" s="24"/>
      <c r="T3851" s="24"/>
    </row>
    <row r="3852">
      <c r="A3852" s="12" t="s">
        <v>3939</v>
      </c>
      <c r="F3852" s="19">
        <f>IFERROR(__xludf.DUMMYFUNCTION("SPLIT(A3848, "" |"")"),3846.0)</f>
        <v>3846</v>
      </c>
      <c r="G3852" s="19">
        <f>IFERROR(__xludf.DUMMYFUNCTION("""COMPUTED_VALUE"""),0.00236)</f>
        <v>0.00236</v>
      </c>
      <c r="H3852" s="19" t="str">
        <f>IFERROR(__xludf.DUMMYFUNCTION("""COMPUTED_VALUE"""),"-")</f>
        <v>-</v>
      </c>
      <c r="I3852" s="19">
        <f>IFERROR(__xludf.DUMMYFUNCTION("""COMPUTED_VALUE"""),0.00224)</f>
        <v>0.00224</v>
      </c>
      <c r="J3852" s="19">
        <f>IFERROR(__xludf.DUMMYFUNCTION("""COMPUTED_VALUE"""),0.03965)</f>
        <v>0.03965</v>
      </c>
      <c r="K3852" s="19" t="str">
        <f>IFERROR(__xludf.DUMMYFUNCTION("""COMPUTED_VALUE"""),"-")</f>
        <v>-</v>
      </c>
      <c r="L3852" s="19" t="str">
        <f>IFERROR(__xludf.DUMMYFUNCTION("""COMPUTED_VALUE"""),"-")</f>
        <v>-</v>
      </c>
      <c r="O3852" s="24">
        <f t="shared" si="4"/>
        <v>0</v>
      </c>
      <c r="P3852" s="24"/>
      <c r="Q3852" s="24">
        <f t="shared" si="6"/>
        <v>0</v>
      </c>
      <c r="R3852" s="24">
        <f t="shared" si="7"/>
        <v>1</v>
      </c>
      <c r="S3852" s="24"/>
      <c r="T3852" s="24"/>
    </row>
    <row r="3853">
      <c r="A3853" s="12" t="s">
        <v>3940</v>
      </c>
      <c r="F3853" s="19">
        <f>IFERROR(__xludf.DUMMYFUNCTION("SPLIT(A3849, "" |"")"),3847.0)</f>
        <v>3847</v>
      </c>
      <c r="G3853" s="19">
        <f>IFERROR(__xludf.DUMMYFUNCTION("""COMPUTED_VALUE"""),0.00228)</f>
        <v>0.00228</v>
      </c>
      <c r="H3853" s="19" t="str">
        <f>IFERROR(__xludf.DUMMYFUNCTION("""COMPUTED_VALUE"""),"-")</f>
        <v>-</v>
      </c>
      <c r="I3853" s="19">
        <f>IFERROR(__xludf.DUMMYFUNCTION("""COMPUTED_VALUE"""),0.0022)</f>
        <v>0.0022</v>
      </c>
      <c r="J3853" s="19">
        <f>IFERROR(__xludf.DUMMYFUNCTION("""COMPUTED_VALUE"""),0.04744)</f>
        <v>0.04744</v>
      </c>
      <c r="K3853" s="19" t="str">
        <f>IFERROR(__xludf.DUMMYFUNCTION("""COMPUTED_VALUE"""),"-")</f>
        <v>-</v>
      </c>
      <c r="L3853" s="19" t="str">
        <f>IFERROR(__xludf.DUMMYFUNCTION("""COMPUTED_VALUE"""),"-")</f>
        <v>-</v>
      </c>
      <c r="O3853" s="24">
        <f t="shared" si="4"/>
        <v>0</v>
      </c>
      <c r="P3853" s="24"/>
      <c r="Q3853" s="24">
        <f t="shared" si="6"/>
        <v>0</v>
      </c>
      <c r="R3853" s="24">
        <f t="shared" si="7"/>
        <v>0</v>
      </c>
      <c r="S3853" s="24"/>
      <c r="T3853" s="24"/>
    </row>
    <row r="3854">
      <c r="A3854" s="12" t="s">
        <v>3941</v>
      </c>
      <c r="F3854" s="19">
        <f>IFERROR(__xludf.DUMMYFUNCTION("SPLIT(A3850, "" |"")"),3848.0)</f>
        <v>3848</v>
      </c>
      <c r="G3854" s="19">
        <f>IFERROR(__xludf.DUMMYFUNCTION("""COMPUTED_VALUE"""),0.00232)</f>
        <v>0.00232</v>
      </c>
      <c r="H3854" s="19" t="str">
        <f>IFERROR(__xludf.DUMMYFUNCTION("""COMPUTED_VALUE"""),"-")</f>
        <v>-</v>
      </c>
      <c r="I3854" s="19">
        <f>IFERROR(__xludf.DUMMYFUNCTION("""COMPUTED_VALUE"""),0.00223)</f>
        <v>0.00223</v>
      </c>
      <c r="J3854" s="19">
        <f>IFERROR(__xludf.DUMMYFUNCTION("""COMPUTED_VALUE"""),0.04156)</f>
        <v>0.04156</v>
      </c>
      <c r="K3854" s="19" t="str">
        <f>IFERROR(__xludf.DUMMYFUNCTION("""COMPUTED_VALUE"""),"-")</f>
        <v>-</v>
      </c>
      <c r="L3854" s="19" t="str">
        <f>IFERROR(__xludf.DUMMYFUNCTION("""COMPUTED_VALUE"""),"-")</f>
        <v>-</v>
      </c>
      <c r="O3854" s="24">
        <f t="shared" si="4"/>
        <v>0</v>
      </c>
      <c r="P3854" s="24"/>
      <c r="Q3854" s="24">
        <f t="shared" si="6"/>
        <v>0</v>
      </c>
      <c r="R3854" s="24">
        <f t="shared" si="7"/>
        <v>1</v>
      </c>
      <c r="S3854" s="24"/>
      <c r="T3854" s="24"/>
    </row>
    <row r="3855">
      <c r="A3855" s="12" t="s">
        <v>3942</v>
      </c>
      <c r="F3855" s="19">
        <f>IFERROR(__xludf.DUMMYFUNCTION("SPLIT(A3851, "" |"")"),3849.0)</f>
        <v>3849</v>
      </c>
      <c r="G3855" s="19">
        <f>IFERROR(__xludf.DUMMYFUNCTION("""COMPUTED_VALUE"""),0.00224)</f>
        <v>0.00224</v>
      </c>
      <c r="H3855" s="19" t="str">
        <f>IFERROR(__xludf.DUMMYFUNCTION("""COMPUTED_VALUE"""),"-")</f>
        <v>-</v>
      </c>
      <c r="I3855" s="19">
        <f>IFERROR(__xludf.DUMMYFUNCTION("""COMPUTED_VALUE"""),0.00224)</f>
        <v>0.00224</v>
      </c>
      <c r="J3855" s="19">
        <f>IFERROR(__xludf.DUMMYFUNCTION("""COMPUTED_VALUE"""),0.0474)</f>
        <v>0.0474</v>
      </c>
      <c r="K3855" s="19" t="str">
        <f>IFERROR(__xludf.DUMMYFUNCTION("""COMPUTED_VALUE"""),"-")</f>
        <v>-</v>
      </c>
      <c r="L3855" s="19" t="str">
        <f>IFERROR(__xludf.DUMMYFUNCTION("""COMPUTED_VALUE"""),"-")</f>
        <v>-</v>
      </c>
      <c r="O3855" s="24">
        <f t="shared" si="4"/>
        <v>0</v>
      </c>
      <c r="P3855" s="24"/>
      <c r="Q3855" s="24">
        <f t="shared" si="6"/>
        <v>0</v>
      </c>
      <c r="R3855" s="24">
        <f t="shared" si="7"/>
        <v>0</v>
      </c>
      <c r="S3855" s="24"/>
      <c r="T3855" s="24"/>
    </row>
    <row r="3856">
      <c r="A3856" s="12" t="s">
        <v>3943</v>
      </c>
      <c r="F3856" s="19">
        <f>IFERROR(__xludf.DUMMYFUNCTION("SPLIT(A3852, "" |"")"),3850.0)</f>
        <v>3850</v>
      </c>
      <c r="G3856" s="19">
        <f>IFERROR(__xludf.DUMMYFUNCTION("""COMPUTED_VALUE"""),0.0023)</f>
        <v>0.0023</v>
      </c>
      <c r="H3856" s="19" t="str">
        <f>IFERROR(__xludf.DUMMYFUNCTION("""COMPUTED_VALUE"""),"-")</f>
        <v>-</v>
      </c>
      <c r="I3856" s="19">
        <f>IFERROR(__xludf.DUMMYFUNCTION("""COMPUTED_VALUE"""),0.00214)</f>
        <v>0.00214</v>
      </c>
      <c r="J3856" s="19">
        <f>IFERROR(__xludf.DUMMYFUNCTION("""COMPUTED_VALUE"""),0.04737)</f>
        <v>0.04737</v>
      </c>
      <c r="K3856" s="19" t="str">
        <f>IFERROR(__xludf.DUMMYFUNCTION("""COMPUTED_VALUE"""),"-")</f>
        <v>-</v>
      </c>
      <c r="L3856" s="19" t="str">
        <f>IFERROR(__xludf.DUMMYFUNCTION("""COMPUTED_VALUE"""),"-")</f>
        <v>-</v>
      </c>
      <c r="O3856" s="24">
        <f t="shared" si="4"/>
        <v>0</v>
      </c>
      <c r="P3856" s="24"/>
      <c r="Q3856" s="24">
        <f t="shared" si="6"/>
        <v>0</v>
      </c>
      <c r="R3856" s="24">
        <f t="shared" si="7"/>
        <v>0</v>
      </c>
      <c r="S3856" s="24"/>
      <c r="T3856" s="24"/>
    </row>
    <row r="3857">
      <c r="A3857" s="12" t="s">
        <v>3944</v>
      </c>
      <c r="F3857" s="19">
        <f>IFERROR(__xludf.DUMMYFUNCTION("SPLIT(A3853, "" |"")"),3851.0)</f>
        <v>3851</v>
      </c>
      <c r="G3857" s="19">
        <f>IFERROR(__xludf.DUMMYFUNCTION("""COMPUTED_VALUE"""),0.00219)</f>
        <v>0.00219</v>
      </c>
      <c r="H3857" s="19" t="str">
        <f>IFERROR(__xludf.DUMMYFUNCTION("""COMPUTED_VALUE"""),"-")</f>
        <v>-</v>
      </c>
      <c r="I3857" s="19">
        <f>IFERROR(__xludf.DUMMYFUNCTION("""COMPUTED_VALUE"""),0.00221)</f>
        <v>0.00221</v>
      </c>
      <c r="J3857" s="19">
        <f>IFERROR(__xludf.DUMMYFUNCTION("""COMPUTED_VALUE"""),0.04583)</f>
        <v>0.04583</v>
      </c>
      <c r="K3857" s="19" t="str">
        <f>IFERROR(__xludf.DUMMYFUNCTION("""COMPUTED_VALUE"""),"-")</f>
        <v>-</v>
      </c>
      <c r="L3857" s="19" t="str">
        <f>IFERROR(__xludf.DUMMYFUNCTION("""COMPUTED_VALUE"""),"-")</f>
        <v>-</v>
      </c>
      <c r="O3857" s="24">
        <f t="shared" si="4"/>
        <v>0</v>
      </c>
      <c r="P3857" s="24"/>
      <c r="Q3857" s="24">
        <f t="shared" si="6"/>
        <v>0</v>
      </c>
      <c r="R3857" s="24">
        <f t="shared" si="7"/>
        <v>0</v>
      </c>
      <c r="S3857" s="24"/>
      <c r="T3857" s="24"/>
    </row>
    <row r="3858">
      <c r="A3858" s="12" t="s">
        <v>3945</v>
      </c>
      <c r="F3858" s="19">
        <f>IFERROR(__xludf.DUMMYFUNCTION("SPLIT(A3854, "" |"")"),3852.0)</f>
        <v>3852</v>
      </c>
      <c r="G3858" s="19">
        <f>IFERROR(__xludf.DUMMYFUNCTION("""COMPUTED_VALUE"""),0.00236)</f>
        <v>0.00236</v>
      </c>
      <c r="H3858" s="19" t="str">
        <f>IFERROR(__xludf.DUMMYFUNCTION("""COMPUTED_VALUE"""),"-")</f>
        <v>-</v>
      </c>
      <c r="I3858" s="19">
        <f>IFERROR(__xludf.DUMMYFUNCTION("""COMPUTED_VALUE"""),0.00223)</f>
        <v>0.00223</v>
      </c>
      <c r="J3858" s="19">
        <f>IFERROR(__xludf.DUMMYFUNCTION("""COMPUTED_VALUE"""),0.04745)</f>
        <v>0.04745</v>
      </c>
      <c r="K3858" s="19" t="str">
        <f>IFERROR(__xludf.DUMMYFUNCTION("""COMPUTED_VALUE"""),"-")</f>
        <v>-</v>
      </c>
      <c r="L3858" s="19" t="str">
        <f>IFERROR(__xludf.DUMMYFUNCTION("""COMPUTED_VALUE"""),"-")</f>
        <v>-</v>
      </c>
      <c r="O3858" s="24">
        <f t="shared" si="4"/>
        <v>0</v>
      </c>
      <c r="P3858" s="24"/>
      <c r="Q3858" s="24">
        <f t="shared" si="6"/>
        <v>0</v>
      </c>
      <c r="R3858" s="24">
        <f t="shared" si="7"/>
        <v>0</v>
      </c>
      <c r="S3858" s="24"/>
      <c r="T3858" s="24"/>
    </row>
    <row r="3859">
      <c r="A3859" s="12" t="s">
        <v>3946</v>
      </c>
      <c r="F3859" s="19">
        <f>IFERROR(__xludf.DUMMYFUNCTION("SPLIT(A3855, "" |"")"),3853.0)</f>
        <v>3853</v>
      </c>
      <c r="G3859" s="19">
        <f>IFERROR(__xludf.DUMMYFUNCTION("""COMPUTED_VALUE"""),0.00223)</f>
        <v>0.00223</v>
      </c>
      <c r="H3859" s="19" t="str">
        <f>IFERROR(__xludf.DUMMYFUNCTION("""COMPUTED_VALUE"""),"-")</f>
        <v>-</v>
      </c>
      <c r="I3859" s="19">
        <f>IFERROR(__xludf.DUMMYFUNCTION("""COMPUTED_VALUE"""),0.00209)</f>
        <v>0.00209</v>
      </c>
      <c r="J3859" s="19">
        <f>IFERROR(__xludf.DUMMYFUNCTION("""COMPUTED_VALUE"""),0.04733)</f>
        <v>0.04733</v>
      </c>
      <c r="K3859" s="19" t="str">
        <f>IFERROR(__xludf.DUMMYFUNCTION("""COMPUTED_VALUE"""),"-")</f>
        <v>-</v>
      </c>
      <c r="L3859" s="19" t="str">
        <f>IFERROR(__xludf.DUMMYFUNCTION("""COMPUTED_VALUE"""),"-")</f>
        <v>-</v>
      </c>
      <c r="O3859" s="24">
        <f t="shared" si="4"/>
        <v>0</v>
      </c>
      <c r="P3859" s="24"/>
      <c r="Q3859" s="24">
        <f t="shared" si="6"/>
        <v>0</v>
      </c>
      <c r="R3859" s="24">
        <f t="shared" si="7"/>
        <v>0</v>
      </c>
      <c r="S3859" s="24"/>
      <c r="T3859" s="24"/>
    </row>
    <row r="3860">
      <c r="A3860" s="12" t="s">
        <v>3947</v>
      </c>
      <c r="F3860" s="19">
        <f>IFERROR(__xludf.DUMMYFUNCTION("SPLIT(A3856, "" |"")"),3854.0)</f>
        <v>3854</v>
      </c>
      <c r="G3860" s="19">
        <f>IFERROR(__xludf.DUMMYFUNCTION("""COMPUTED_VALUE"""),0.0024)</f>
        <v>0.0024</v>
      </c>
      <c r="H3860" s="19" t="str">
        <f>IFERROR(__xludf.DUMMYFUNCTION("""COMPUTED_VALUE"""),"-")</f>
        <v>-</v>
      </c>
      <c r="I3860" s="19">
        <f>IFERROR(__xludf.DUMMYFUNCTION("""COMPUTED_VALUE"""),0.00227)</f>
        <v>0.00227</v>
      </c>
      <c r="J3860" s="19">
        <f>IFERROR(__xludf.DUMMYFUNCTION("""COMPUTED_VALUE"""),0.04748)</f>
        <v>0.04748</v>
      </c>
      <c r="K3860" s="19" t="str">
        <f>IFERROR(__xludf.DUMMYFUNCTION("""COMPUTED_VALUE"""),"-")</f>
        <v>-</v>
      </c>
      <c r="L3860" s="19" t="str">
        <f>IFERROR(__xludf.DUMMYFUNCTION("""COMPUTED_VALUE"""),"-")</f>
        <v>-</v>
      </c>
      <c r="O3860" s="24">
        <f t="shared" si="4"/>
        <v>0</v>
      </c>
      <c r="P3860" s="24"/>
      <c r="Q3860" s="24">
        <f t="shared" si="6"/>
        <v>0</v>
      </c>
      <c r="R3860" s="24">
        <f t="shared" si="7"/>
        <v>0</v>
      </c>
      <c r="S3860" s="24"/>
      <c r="T3860" s="24"/>
    </row>
    <row r="3861">
      <c r="A3861" s="12" t="s">
        <v>3948</v>
      </c>
      <c r="F3861" s="19">
        <f>IFERROR(__xludf.DUMMYFUNCTION("SPLIT(A3857, "" |"")"),3855.0)</f>
        <v>3855</v>
      </c>
      <c r="G3861" s="19">
        <f>IFERROR(__xludf.DUMMYFUNCTION("""COMPUTED_VALUE"""),0.00235)</f>
        <v>0.00235</v>
      </c>
      <c r="H3861" s="19" t="str">
        <f>IFERROR(__xludf.DUMMYFUNCTION("""COMPUTED_VALUE"""),"-")</f>
        <v>-</v>
      </c>
      <c r="I3861" s="19">
        <f>IFERROR(__xludf.DUMMYFUNCTION("""COMPUTED_VALUE"""),0.00227)</f>
        <v>0.00227</v>
      </c>
      <c r="J3861" s="19">
        <f>IFERROR(__xludf.DUMMYFUNCTION("""COMPUTED_VALUE"""),0.04744)</f>
        <v>0.04744</v>
      </c>
      <c r="K3861" s="19" t="str">
        <f>IFERROR(__xludf.DUMMYFUNCTION("""COMPUTED_VALUE"""),"-")</f>
        <v>-</v>
      </c>
      <c r="L3861" s="19" t="str">
        <f>IFERROR(__xludf.DUMMYFUNCTION("""COMPUTED_VALUE"""),"-")</f>
        <v>-</v>
      </c>
      <c r="O3861" s="24">
        <f t="shared" si="4"/>
        <v>0</v>
      </c>
      <c r="P3861" s="24"/>
      <c r="Q3861" s="24">
        <f t="shared" si="6"/>
        <v>0</v>
      </c>
      <c r="R3861" s="24">
        <f t="shared" si="7"/>
        <v>0</v>
      </c>
      <c r="S3861" s="24"/>
      <c r="T3861" s="24"/>
    </row>
    <row r="3862">
      <c r="A3862" s="12" t="s">
        <v>3949</v>
      </c>
      <c r="F3862" s="19">
        <f>IFERROR(__xludf.DUMMYFUNCTION("SPLIT(A3858, "" |"")"),3856.0)</f>
        <v>3856</v>
      </c>
      <c r="G3862" s="19">
        <f>IFERROR(__xludf.DUMMYFUNCTION("""COMPUTED_VALUE"""),0.0023)</f>
        <v>0.0023</v>
      </c>
      <c r="H3862" s="19" t="str">
        <f>IFERROR(__xludf.DUMMYFUNCTION("""COMPUTED_VALUE"""),"-")</f>
        <v>-</v>
      </c>
      <c r="I3862" s="19">
        <f>IFERROR(__xludf.DUMMYFUNCTION("""COMPUTED_VALUE"""),0.00225)</f>
        <v>0.00225</v>
      </c>
      <c r="J3862" s="19">
        <f>IFERROR(__xludf.DUMMYFUNCTION("""COMPUTED_VALUE"""),0.04743)</f>
        <v>0.04743</v>
      </c>
      <c r="K3862" s="19" t="str">
        <f>IFERROR(__xludf.DUMMYFUNCTION("""COMPUTED_VALUE"""),"-")</f>
        <v>-</v>
      </c>
      <c r="L3862" s="19" t="str">
        <f>IFERROR(__xludf.DUMMYFUNCTION("""COMPUTED_VALUE"""),"-")</f>
        <v>-</v>
      </c>
      <c r="O3862" s="24">
        <f t="shared" si="4"/>
        <v>0</v>
      </c>
      <c r="P3862" s="24"/>
      <c r="Q3862" s="24">
        <f t="shared" si="6"/>
        <v>0</v>
      </c>
      <c r="R3862" s="24">
        <f t="shared" si="7"/>
        <v>0</v>
      </c>
      <c r="S3862" s="24"/>
      <c r="T3862" s="24"/>
    </row>
    <row r="3863">
      <c r="A3863" s="12" t="s">
        <v>3950</v>
      </c>
      <c r="F3863" s="19">
        <f>IFERROR(__xludf.DUMMYFUNCTION("SPLIT(A3859, "" |"")"),3857.0)</f>
        <v>3857</v>
      </c>
      <c r="G3863" s="19">
        <f>IFERROR(__xludf.DUMMYFUNCTION("""COMPUTED_VALUE"""),0.00236)</f>
        <v>0.00236</v>
      </c>
      <c r="H3863" s="19" t="str">
        <f>IFERROR(__xludf.DUMMYFUNCTION("""COMPUTED_VALUE"""),"-")</f>
        <v>-</v>
      </c>
      <c r="I3863" s="19">
        <f>IFERROR(__xludf.DUMMYFUNCTION("""COMPUTED_VALUE"""),0.00224)</f>
        <v>0.00224</v>
      </c>
      <c r="J3863" s="19">
        <f>IFERROR(__xludf.DUMMYFUNCTION("""COMPUTED_VALUE"""),0.04752)</f>
        <v>0.04752</v>
      </c>
      <c r="K3863" s="19" t="str">
        <f>IFERROR(__xludf.DUMMYFUNCTION("""COMPUTED_VALUE"""),"-")</f>
        <v>-</v>
      </c>
      <c r="L3863" s="19" t="str">
        <f>IFERROR(__xludf.DUMMYFUNCTION("""COMPUTED_VALUE"""),"-")</f>
        <v>-</v>
      </c>
      <c r="O3863" s="24">
        <f t="shared" si="4"/>
        <v>0</v>
      </c>
      <c r="P3863" s="24"/>
      <c r="Q3863" s="24">
        <f t="shared" si="6"/>
        <v>0</v>
      </c>
      <c r="R3863" s="24">
        <f t="shared" si="7"/>
        <v>0</v>
      </c>
      <c r="S3863" s="24"/>
      <c r="T3863" s="24"/>
    </row>
    <row r="3864">
      <c r="A3864" s="12" t="s">
        <v>3951</v>
      </c>
      <c r="F3864" s="19">
        <f>IFERROR(__xludf.DUMMYFUNCTION("SPLIT(A3860, "" |"")"),3858.0)</f>
        <v>3858</v>
      </c>
      <c r="G3864" s="19">
        <f>IFERROR(__xludf.DUMMYFUNCTION("""COMPUTED_VALUE"""),0.00238)</f>
        <v>0.00238</v>
      </c>
      <c r="H3864" s="19" t="str">
        <f>IFERROR(__xludf.DUMMYFUNCTION("""COMPUTED_VALUE"""),"-")</f>
        <v>-</v>
      </c>
      <c r="I3864" s="19">
        <f>IFERROR(__xludf.DUMMYFUNCTION("""COMPUTED_VALUE"""),0.00218)</f>
        <v>0.00218</v>
      </c>
      <c r="J3864" s="19">
        <f>IFERROR(__xludf.DUMMYFUNCTION("""COMPUTED_VALUE"""),0.04744)</f>
        <v>0.04744</v>
      </c>
      <c r="K3864" s="19" t="str">
        <f>IFERROR(__xludf.DUMMYFUNCTION("""COMPUTED_VALUE"""),"-")</f>
        <v>-</v>
      </c>
      <c r="L3864" s="19" t="str">
        <f>IFERROR(__xludf.DUMMYFUNCTION("""COMPUTED_VALUE"""),"-")</f>
        <v>-</v>
      </c>
      <c r="O3864" s="24">
        <f t="shared" si="4"/>
        <v>0</v>
      </c>
      <c r="P3864" s="24"/>
      <c r="Q3864" s="24">
        <f t="shared" si="6"/>
        <v>0</v>
      </c>
      <c r="R3864" s="24">
        <f t="shared" si="7"/>
        <v>0</v>
      </c>
      <c r="S3864" s="24"/>
      <c r="T3864" s="24"/>
    </row>
    <row r="3865">
      <c r="A3865" s="12" t="s">
        <v>3952</v>
      </c>
      <c r="F3865" s="19">
        <f>IFERROR(__xludf.DUMMYFUNCTION("SPLIT(A3861, "" |"")"),3859.0)</f>
        <v>3859</v>
      </c>
      <c r="G3865" s="19">
        <f>IFERROR(__xludf.DUMMYFUNCTION("""COMPUTED_VALUE"""),0.00237)</f>
        <v>0.00237</v>
      </c>
      <c r="H3865" s="19" t="str">
        <f>IFERROR(__xludf.DUMMYFUNCTION("""COMPUTED_VALUE"""),"-")</f>
        <v>-</v>
      </c>
      <c r="I3865" s="19">
        <f>IFERROR(__xludf.DUMMYFUNCTION("""COMPUTED_VALUE"""),0.0022)</f>
        <v>0.0022</v>
      </c>
      <c r="J3865" s="19">
        <f>IFERROR(__xludf.DUMMYFUNCTION("""COMPUTED_VALUE"""),0.04742)</f>
        <v>0.04742</v>
      </c>
      <c r="K3865" s="19" t="str">
        <f>IFERROR(__xludf.DUMMYFUNCTION("""COMPUTED_VALUE"""),"-")</f>
        <v>-</v>
      </c>
      <c r="L3865" s="19" t="str">
        <f>IFERROR(__xludf.DUMMYFUNCTION("""COMPUTED_VALUE"""),"-")</f>
        <v>-</v>
      </c>
      <c r="O3865" s="24">
        <f t="shared" si="4"/>
        <v>0</v>
      </c>
      <c r="P3865" s="24"/>
      <c r="Q3865" s="24">
        <f t="shared" si="6"/>
        <v>0</v>
      </c>
      <c r="R3865" s="24">
        <f t="shared" si="7"/>
        <v>0</v>
      </c>
      <c r="S3865" s="24"/>
      <c r="T3865" s="24"/>
    </row>
    <row r="3866">
      <c r="A3866" s="12" t="s">
        <v>3953</v>
      </c>
      <c r="F3866" s="19">
        <f>IFERROR(__xludf.DUMMYFUNCTION("SPLIT(A3862, "" |"")"),3860.0)</f>
        <v>3860</v>
      </c>
      <c r="G3866" s="19">
        <f>IFERROR(__xludf.DUMMYFUNCTION("""COMPUTED_VALUE"""),0.00235)</f>
        <v>0.00235</v>
      </c>
      <c r="H3866" s="19" t="str">
        <f>IFERROR(__xludf.DUMMYFUNCTION("""COMPUTED_VALUE"""),"-")</f>
        <v>-</v>
      </c>
      <c r="I3866" s="19">
        <f>IFERROR(__xludf.DUMMYFUNCTION("""COMPUTED_VALUE"""),0.0022)</f>
        <v>0.0022</v>
      </c>
      <c r="J3866" s="19">
        <f>IFERROR(__xludf.DUMMYFUNCTION("""COMPUTED_VALUE"""),0.04747)</f>
        <v>0.04747</v>
      </c>
      <c r="K3866" s="19" t="str">
        <f>IFERROR(__xludf.DUMMYFUNCTION("""COMPUTED_VALUE"""),"-")</f>
        <v>-</v>
      </c>
      <c r="L3866" s="19" t="str">
        <f>IFERROR(__xludf.DUMMYFUNCTION("""COMPUTED_VALUE"""),"-")</f>
        <v>-</v>
      </c>
      <c r="O3866" s="24">
        <f t="shared" si="4"/>
        <v>0</v>
      </c>
      <c r="P3866" s="24"/>
      <c r="Q3866" s="24">
        <f t="shared" si="6"/>
        <v>0</v>
      </c>
      <c r="R3866" s="24">
        <f t="shared" si="7"/>
        <v>0</v>
      </c>
      <c r="S3866" s="24"/>
      <c r="T3866" s="24"/>
    </row>
    <row r="3867">
      <c r="A3867" s="12" t="s">
        <v>3954</v>
      </c>
      <c r="F3867" s="19">
        <f>IFERROR(__xludf.DUMMYFUNCTION("SPLIT(A3863, "" |"")"),3861.0)</f>
        <v>3861</v>
      </c>
      <c r="G3867" s="19">
        <f>IFERROR(__xludf.DUMMYFUNCTION("""COMPUTED_VALUE"""),0.0033)</f>
        <v>0.0033</v>
      </c>
      <c r="H3867" s="19" t="str">
        <f>IFERROR(__xludf.DUMMYFUNCTION("""COMPUTED_VALUE"""),"-")</f>
        <v>-</v>
      </c>
      <c r="I3867" s="19">
        <f>IFERROR(__xludf.DUMMYFUNCTION("""COMPUTED_VALUE"""),0.00245)</f>
        <v>0.00245</v>
      </c>
      <c r="J3867" s="19">
        <f>IFERROR(__xludf.DUMMYFUNCTION("""COMPUTED_VALUE"""),0.04757)</f>
        <v>0.04757</v>
      </c>
      <c r="K3867" s="19" t="str">
        <f>IFERROR(__xludf.DUMMYFUNCTION("""COMPUTED_VALUE"""),"-")</f>
        <v>-</v>
      </c>
      <c r="L3867" s="19" t="str">
        <f>IFERROR(__xludf.DUMMYFUNCTION("""COMPUTED_VALUE"""),"-")</f>
        <v>-</v>
      </c>
      <c r="O3867" s="24">
        <f t="shared" si="4"/>
        <v>1</v>
      </c>
      <c r="P3867" s="24"/>
      <c r="Q3867" s="24">
        <f t="shared" si="6"/>
        <v>0</v>
      </c>
      <c r="R3867" s="24">
        <f t="shared" si="7"/>
        <v>0</v>
      </c>
      <c r="S3867" s="24"/>
      <c r="T3867" s="24"/>
    </row>
    <row r="3868">
      <c r="A3868" s="12" t="s">
        <v>3955</v>
      </c>
      <c r="F3868" s="19">
        <f>IFERROR(__xludf.DUMMYFUNCTION("SPLIT(A3864, "" |"")"),3862.0)</f>
        <v>3862</v>
      </c>
      <c r="G3868" s="19">
        <f>IFERROR(__xludf.DUMMYFUNCTION("""COMPUTED_VALUE"""),0.00249)</f>
        <v>0.00249</v>
      </c>
      <c r="H3868" s="19" t="str">
        <f>IFERROR(__xludf.DUMMYFUNCTION("""COMPUTED_VALUE"""),"-")</f>
        <v>-</v>
      </c>
      <c r="I3868" s="19">
        <f>IFERROR(__xludf.DUMMYFUNCTION("""COMPUTED_VALUE"""),0.00232)</f>
        <v>0.00232</v>
      </c>
      <c r="J3868" s="19">
        <f>IFERROR(__xludf.DUMMYFUNCTION("""COMPUTED_VALUE"""),0.04747)</f>
        <v>0.04747</v>
      </c>
      <c r="K3868" s="19" t="str">
        <f>IFERROR(__xludf.DUMMYFUNCTION("""COMPUTED_VALUE"""),"-")</f>
        <v>-</v>
      </c>
      <c r="L3868" s="19" t="str">
        <f>IFERROR(__xludf.DUMMYFUNCTION("""COMPUTED_VALUE"""),"-")</f>
        <v>-</v>
      </c>
      <c r="O3868" s="24">
        <f t="shared" si="4"/>
        <v>0</v>
      </c>
      <c r="P3868" s="24"/>
      <c r="Q3868" s="24">
        <f t="shared" si="6"/>
        <v>0</v>
      </c>
      <c r="R3868" s="24">
        <f t="shared" si="7"/>
        <v>0</v>
      </c>
      <c r="S3868" s="24"/>
      <c r="T3868" s="24"/>
    </row>
    <row r="3869">
      <c r="A3869" s="12" t="s">
        <v>3956</v>
      </c>
      <c r="F3869" s="19">
        <f>IFERROR(__xludf.DUMMYFUNCTION("SPLIT(A3865, "" |"")"),3863.0)</f>
        <v>3863</v>
      </c>
      <c r="G3869" s="19">
        <f>IFERROR(__xludf.DUMMYFUNCTION("""COMPUTED_VALUE"""),0.00233)</f>
        <v>0.00233</v>
      </c>
      <c r="H3869" s="19" t="str">
        <f>IFERROR(__xludf.DUMMYFUNCTION("""COMPUTED_VALUE"""),"-")</f>
        <v>-</v>
      </c>
      <c r="I3869" s="19">
        <f>IFERROR(__xludf.DUMMYFUNCTION("""COMPUTED_VALUE"""),0.00225)</f>
        <v>0.00225</v>
      </c>
      <c r="J3869" s="19">
        <f>IFERROR(__xludf.DUMMYFUNCTION("""COMPUTED_VALUE"""),0.04743)</f>
        <v>0.04743</v>
      </c>
      <c r="K3869" s="19" t="str">
        <f>IFERROR(__xludf.DUMMYFUNCTION("""COMPUTED_VALUE"""),"-")</f>
        <v>-</v>
      </c>
      <c r="L3869" s="19" t="str">
        <f>IFERROR(__xludf.DUMMYFUNCTION("""COMPUTED_VALUE"""),"-")</f>
        <v>-</v>
      </c>
      <c r="O3869" s="24">
        <f t="shared" si="4"/>
        <v>0</v>
      </c>
      <c r="P3869" s="24"/>
      <c r="Q3869" s="24">
        <f t="shared" si="6"/>
        <v>0</v>
      </c>
      <c r="R3869" s="24">
        <f t="shared" si="7"/>
        <v>0</v>
      </c>
      <c r="S3869" s="24"/>
      <c r="T3869" s="24"/>
    </row>
    <row r="3870">
      <c r="A3870" s="12" t="s">
        <v>3957</v>
      </c>
      <c r="F3870" s="19">
        <f>IFERROR(__xludf.DUMMYFUNCTION("SPLIT(A3866, "" |"")"),3864.0)</f>
        <v>3864</v>
      </c>
      <c r="G3870" s="19">
        <f>IFERROR(__xludf.DUMMYFUNCTION("""COMPUTED_VALUE"""),0.00232)</f>
        <v>0.00232</v>
      </c>
      <c r="H3870" s="19" t="str">
        <f>IFERROR(__xludf.DUMMYFUNCTION("""COMPUTED_VALUE"""),"-")</f>
        <v>-</v>
      </c>
      <c r="I3870" s="19">
        <f>IFERROR(__xludf.DUMMYFUNCTION("""COMPUTED_VALUE"""),0.00221)</f>
        <v>0.00221</v>
      </c>
      <c r="J3870" s="19">
        <f>IFERROR(__xludf.DUMMYFUNCTION("""COMPUTED_VALUE"""),0.04751)</f>
        <v>0.04751</v>
      </c>
      <c r="K3870" s="19" t="str">
        <f>IFERROR(__xludf.DUMMYFUNCTION("""COMPUTED_VALUE"""),"-")</f>
        <v>-</v>
      </c>
      <c r="L3870" s="19" t="str">
        <f>IFERROR(__xludf.DUMMYFUNCTION("""COMPUTED_VALUE"""),"-")</f>
        <v>-</v>
      </c>
      <c r="O3870" s="24">
        <f t="shared" si="4"/>
        <v>0</v>
      </c>
      <c r="P3870" s="24"/>
      <c r="Q3870" s="24">
        <f t="shared" si="6"/>
        <v>0</v>
      </c>
      <c r="R3870" s="24">
        <f t="shared" si="7"/>
        <v>0</v>
      </c>
      <c r="S3870" s="24"/>
      <c r="T3870" s="24"/>
    </row>
    <row r="3871">
      <c r="A3871" s="12" t="s">
        <v>3958</v>
      </c>
      <c r="F3871" s="19">
        <f>IFERROR(__xludf.DUMMYFUNCTION("SPLIT(A3867, "" |"")"),3865.0)</f>
        <v>3865</v>
      </c>
      <c r="G3871" s="19">
        <f>IFERROR(__xludf.DUMMYFUNCTION("""COMPUTED_VALUE"""),0.00234)</f>
        <v>0.00234</v>
      </c>
      <c r="H3871" s="19" t="str">
        <f>IFERROR(__xludf.DUMMYFUNCTION("""COMPUTED_VALUE"""),"-")</f>
        <v>-</v>
      </c>
      <c r="I3871" s="19">
        <f>IFERROR(__xludf.DUMMYFUNCTION("""COMPUTED_VALUE"""),0.00218)</f>
        <v>0.00218</v>
      </c>
      <c r="J3871" s="19">
        <f>IFERROR(__xludf.DUMMYFUNCTION("""COMPUTED_VALUE"""),0.04756)</f>
        <v>0.04756</v>
      </c>
      <c r="K3871" s="19" t="str">
        <f>IFERROR(__xludf.DUMMYFUNCTION("""COMPUTED_VALUE"""),"-")</f>
        <v>-</v>
      </c>
      <c r="L3871" s="19" t="str">
        <f>IFERROR(__xludf.DUMMYFUNCTION("""COMPUTED_VALUE"""),"-")</f>
        <v>-</v>
      </c>
      <c r="O3871" s="24">
        <f t="shared" si="4"/>
        <v>0</v>
      </c>
      <c r="P3871" s="24"/>
      <c r="Q3871" s="24">
        <f t="shared" si="6"/>
        <v>0</v>
      </c>
      <c r="R3871" s="24">
        <f t="shared" si="7"/>
        <v>0</v>
      </c>
      <c r="S3871" s="24"/>
      <c r="T3871" s="24"/>
    </row>
    <row r="3872">
      <c r="A3872" s="12" t="s">
        <v>3959</v>
      </c>
      <c r="F3872" s="19">
        <f>IFERROR(__xludf.DUMMYFUNCTION("SPLIT(A3868, "" |"")"),3866.0)</f>
        <v>3866</v>
      </c>
      <c r="G3872" s="19">
        <f>IFERROR(__xludf.DUMMYFUNCTION("""COMPUTED_VALUE"""),0.00248)</f>
        <v>0.00248</v>
      </c>
      <c r="H3872" s="19" t="str">
        <f>IFERROR(__xludf.DUMMYFUNCTION("""COMPUTED_VALUE"""),"-")</f>
        <v>-</v>
      </c>
      <c r="I3872" s="19">
        <f>IFERROR(__xludf.DUMMYFUNCTION("""COMPUTED_VALUE"""),0.00226)</f>
        <v>0.00226</v>
      </c>
      <c r="J3872" s="19">
        <f>IFERROR(__xludf.DUMMYFUNCTION("""COMPUTED_VALUE"""),0.04751)</f>
        <v>0.04751</v>
      </c>
      <c r="K3872" s="19" t="str">
        <f>IFERROR(__xludf.DUMMYFUNCTION("""COMPUTED_VALUE"""),"-")</f>
        <v>-</v>
      </c>
      <c r="L3872" s="19" t="str">
        <f>IFERROR(__xludf.DUMMYFUNCTION("""COMPUTED_VALUE"""),"-")</f>
        <v>-</v>
      </c>
      <c r="O3872" s="24">
        <f t="shared" si="4"/>
        <v>0</v>
      </c>
      <c r="P3872" s="24"/>
      <c r="Q3872" s="24">
        <f t="shared" si="6"/>
        <v>0</v>
      </c>
      <c r="R3872" s="24">
        <f t="shared" si="7"/>
        <v>0</v>
      </c>
      <c r="S3872" s="24"/>
      <c r="T3872" s="24"/>
    </row>
    <row r="3873">
      <c r="A3873" s="12" t="s">
        <v>3960</v>
      </c>
      <c r="F3873" s="19">
        <f>IFERROR(__xludf.DUMMYFUNCTION("SPLIT(A3869, "" |"")"),3867.0)</f>
        <v>3867</v>
      </c>
      <c r="G3873" s="19">
        <f>IFERROR(__xludf.DUMMYFUNCTION("""COMPUTED_VALUE"""),0.0024)</f>
        <v>0.0024</v>
      </c>
      <c r="H3873" s="19" t="str">
        <f>IFERROR(__xludf.DUMMYFUNCTION("""COMPUTED_VALUE"""),"-")</f>
        <v>-</v>
      </c>
      <c r="I3873" s="19">
        <f>IFERROR(__xludf.DUMMYFUNCTION("""COMPUTED_VALUE"""),0.00224)</f>
        <v>0.00224</v>
      </c>
      <c r="J3873" s="19">
        <f>IFERROR(__xludf.DUMMYFUNCTION("""COMPUTED_VALUE"""),0.04752)</f>
        <v>0.04752</v>
      </c>
      <c r="K3873" s="19" t="str">
        <f>IFERROR(__xludf.DUMMYFUNCTION("""COMPUTED_VALUE"""),"-")</f>
        <v>-</v>
      </c>
      <c r="L3873" s="19" t="str">
        <f>IFERROR(__xludf.DUMMYFUNCTION("""COMPUTED_VALUE"""),"-")</f>
        <v>-</v>
      </c>
      <c r="O3873" s="24">
        <f t="shared" si="4"/>
        <v>0</v>
      </c>
      <c r="P3873" s="24"/>
      <c r="Q3873" s="24">
        <f t="shared" si="6"/>
        <v>0</v>
      </c>
      <c r="R3873" s="24">
        <f t="shared" si="7"/>
        <v>0</v>
      </c>
      <c r="S3873" s="24"/>
      <c r="T3873" s="24"/>
    </row>
    <row r="3874">
      <c r="A3874" s="12" t="s">
        <v>3961</v>
      </c>
      <c r="F3874" s="19">
        <f>IFERROR(__xludf.DUMMYFUNCTION("SPLIT(A3870, "" |"")"),3868.0)</f>
        <v>3868</v>
      </c>
      <c r="G3874" s="19">
        <f>IFERROR(__xludf.DUMMYFUNCTION("""COMPUTED_VALUE"""),0.00235)</f>
        <v>0.00235</v>
      </c>
      <c r="H3874" s="19" t="str">
        <f>IFERROR(__xludf.DUMMYFUNCTION("""COMPUTED_VALUE"""),"-")</f>
        <v>-</v>
      </c>
      <c r="I3874" s="19">
        <f>IFERROR(__xludf.DUMMYFUNCTION("""COMPUTED_VALUE"""),0.00222)</f>
        <v>0.00222</v>
      </c>
      <c r="J3874" s="19">
        <f>IFERROR(__xludf.DUMMYFUNCTION("""COMPUTED_VALUE"""),0.04747)</f>
        <v>0.04747</v>
      </c>
      <c r="K3874" s="19" t="str">
        <f>IFERROR(__xludf.DUMMYFUNCTION("""COMPUTED_VALUE"""),"-")</f>
        <v>-</v>
      </c>
      <c r="L3874" s="19" t="str">
        <f>IFERROR(__xludf.DUMMYFUNCTION("""COMPUTED_VALUE"""),"-")</f>
        <v>-</v>
      </c>
      <c r="O3874" s="24">
        <f t="shared" si="4"/>
        <v>0</v>
      </c>
      <c r="P3874" s="24"/>
      <c r="Q3874" s="24">
        <f t="shared" si="6"/>
        <v>0</v>
      </c>
      <c r="R3874" s="24">
        <f t="shared" si="7"/>
        <v>0</v>
      </c>
      <c r="S3874" s="24"/>
      <c r="T3874" s="24"/>
    </row>
    <row r="3875">
      <c r="A3875" s="12" t="s">
        <v>3962</v>
      </c>
      <c r="F3875" s="19">
        <f>IFERROR(__xludf.DUMMYFUNCTION("SPLIT(A3871, "" |"")"),3869.0)</f>
        <v>3869</v>
      </c>
      <c r="G3875" s="19">
        <f>IFERROR(__xludf.DUMMYFUNCTION("""COMPUTED_VALUE"""),0.00234)</f>
        <v>0.00234</v>
      </c>
      <c r="H3875" s="19" t="str">
        <f>IFERROR(__xludf.DUMMYFUNCTION("""COMPUTED_VALUE"""),"-")</f>
        <v>-</v>
      </c>
      <c r="I3875" s="19">
        <f>IFERROR(__xludf.DUMMYFUNCTION("""COMPUTED_VALUE"""),0.00224)</f>
        <v>0.00224</v>
      </c>
      <c r="J3875" s="19">
        <f>IFERROR(__xludf.DUMMYFUNCTION("""COMPUTED_VALUE"""),0.03908)</f>
        <v>0.03908</v>
      </c>
      <c r="K3875" s="19" t="str">
        <f>IFERROR(__xludf.DUMMYFUNCTION("""COMPUTED_VALUE"""),"-")</f>
        <v>-</v>
      </c>
      <c r="L3875" s="19" t="str">
        <f>IFERROR(__xludf.DUMMYFUNCTION("""COMPUTED_VALUE"""),"-")</f>
        <v>-</v>
      </c>
      <c r="O3875" s="24">
        <f t="shared" si="4"/>
        <v>0</v>
      </c>
      <c r="P3875" s="24"/>
      <c r="Q3875" s="24">
        <f t="shared" si="6"/>
        <v>0</v>
      </c>
      <c r="R3875" s="24">
        <f t="shared" si="7"/>
        <v>1</v>
      </c>
      <c r="S3875" s="24"/>
      <c r="T3875" s="24"/>
    </row>
    <row r="3876">
      <c r="A3876" s="12" t="s">
        <v>3963</v>
      </c>
      <c r="F3876" s="19">
        <f>IFERROR(__xludf.DUMMYFUNCTION("SPLIT(A3872, "" |"")"),3870.0)</f>
        <v>3870</v>
      </c>
      <c r="G3876" s="19">
        <f>IFERROR(__xludf.DUMMYFUNCTION("""COMPUTED_VALUE"""),0.00238)</f>
        <v>0.00238</v>
      </c>
      <c r="H3876" s="19" t="str">
        <f>IFERROR(__xludf.DUMMYFUNCTION("""COMPUTED_VALUE"""),"-")</f>
        <v>-</v>
      </c>
      <c r="I3876" s="19">
        <f>IFERROR(__xludf.DUMMYFUNCTION("""COMPUTED_VALUE"""),0.00219)</f>
        <v>0.00219</v>
      </c>
      <c r="J3876" s="19">
        <f>IFERROR(__xludf.DUMMYFUNCTION("""COMPUTED_VALUE"""),0.04759)</f>
        <v>0.04759</v>
      </c>
      <c r="K3876" s="19" t="str">
        <f>IFERROR(__xludf.DUMMYFUNCTION("""COMPUTED_VALUE"""),"-")</f>
        <v>-</v>
      </c>
      <c r="L3876" s="19" t="str">
        <f>IFERROR(__xludf.DUMMYFUNCTION("""COMPUTED_VALUE"""),"-")</f>
        <v>-</v>
      </c>
      <c r="O3876" s="24">
        <f t="shared" si="4"/>
        <v>0</v>
      </c>
      <c r="P3876" s="24"/>
      <c r="Q3876" s="24">
        <f t="shared" si="6"/>
        <v>0</v>
      </c>
      <c r="R3876" s="24">
        <f t="shared" si="7"/>
        <v>0</v>
      </c>
      <c r="S3876" s="24"/>
      <c r="T3876" s="24"/>
    </row>
    <row r="3877">
      <c r="A3877" s="12" t="s">
        <v>3964</v>
      </c>
      <c r="F3877" s="19">
        <f>IFERROR(__xludf.DUMMYFUNCTION("SPLIT(A3873, "" |"")"),3871.0)</f>
        <v>3871</v>
      </c>
      <c r="G3877" s="19">
        <f>IFERROR(__xludf.DUMMYFUNCTION("""COMPUTED_VALUE"""),0.00193)</f>
        <v>0.00193</v>
      </c>
      <c r="H3877" s="19" t="str">
        <f>IFERROR(__xludf.DUMMYFUNCTION("""COMPUTED_VALUE"""),"-")</f>
        <v>-</v>
      </c>
      <c r="I3877" s="19">
        <f>IFERROR(__xludf.DUMMYFUNCTION("""COMPUTED_VALUE"""),0.00223)</f>
        <v>0.00223</v>
      </c>
      <c r="J3877" s="19">
        <f>IFERROR(__xludf.DUMMYFUNCTION("""COMPUTED_VALUE"""),0.04781)</f>
        <v>0.04781</v>
      </c>
      <c r="K3877" s="19" t="str">
        <f>IFERROR(__xludf.DUMMYFUNCTION("""COMPUTED_VALUE"""),"-")</f>
        <v>-</v>
      </c>
      <c r="L3877" s="19" t="str">
        <f>IFERROR(__xludf.DUMMYFUNCTION("""COMPUTED_VALUE"""),"-")</f>
        <v>-</v>
      </c>
      <c r="O3877" s="24">
        <f t="shared" si="4"/>
        <v>0</v>
      </c>
      <c r="P3877" s="24"/>
      <c r="Q3877" s="24">
        <f t="shared" si="6"/>
        <v>0</v>
      </c>
      <c r="R3877" s="24">
        <f t="shared" si="7"/>
        <v>0</v>
      </c>
      <c r="S3877" s="24"/>
      <c r="T3877" s="24"/>
    </row>
    <row r="3878">
      <c r="A3878" s="12" t="s">
        <v>3965</v>
      </c>
      <c r="F3878" s="19">
        <f>IFERROR(__xludf.DUMMYFUNCTION("SPLIT(A3874, "" |"")"),3872.0)</f>
        <v>3872</v>
      </c>
      <c r="G3878" s="19">
        <f>IFERROR(__xludf.DUMMYFUNCTION("""COMPUTED_VALUE"""),0.00239)</f>
        <v>0.00239</v>
      </c>
      <c r="H3878" s="19" t="str">
        <f>IFERROR(__xludf.DUMMYFUNCTION("""COMPUTED_VALUE"""),"-")</f>
        <v>-</v>
      </c>
      <c r="I3878" s="19">
        <f>IFERROR(__xludf.DUMMYFUNCTION("""COMPUTED_VALUE"""),0.00228)</f>
        <v>0.00228</v>
      </c>
      <c r="J3878" s="19">
        <f>IFERROR(__xludf.DUMMYFUNCTION("""COMPUTED_VALUE"""),0.04746)</f>
        <v>0.04746</v>
      </c>
      <c r="K3878" s="19" t="str">
        <f>IFERROR(__xludf.DUMMYFUNCTION("""COMPUTED_VALUE"""),"-")</f>
        <v>-</v>
      </c>
      <c r="L3878" s="19" t="str">
        <f>IFERROR(__xludf.DUMMYFUNCTION("""COMPUTED_VALUE"""),"-")</f>
        <v>-</v>
      </c>
      <c r="O3878" s="24">
        <f t="shared" si="4"/>
        <v>0</v>
      </c>
      <c r="P3878" s="24"/>
      <c r="Q3878" s="24">
        <f t="shared" si="6"/>
        <v>0</v>
      </c>
      <c r="R3878" s="24">
        <f t="shared" si="7"/>
        <v>0</v>
      </c>
      <c r="S3878" s="24"/>
      <c r="T3878" s="24"/>
    </row>
    <row r="3879">
      <c r="A3879" s="12" t="s">
        <v>3966</v>
      </c>
      <c r="F3879" s="19">
        <f>IFERROR(__xludf.DUMMYFUNCTION("SPLIT(A3875, "" |"")"),3873.0)</f>
        <v>3873</v>
      </c>
      <c r="G3879" s="19">
        <f>IFERROR(__xludf.DUMMYFUNCTION("""COMPUTED_VALUE"""),0.00238)</f>
        <v>0.00238</v>
      </c>
      <c r="H3879" s="19" t="str">
        <f>IFERROR(__xludf.DUMMYFUNCTION("""COMPUTED_VALUE"""),"-")</f>
        <v>-</v>
      </c>
      <c r="I3879" s="19">
        <f>IFERROR(__xludf.DUMMYFUNCTION("""COMPUTED_VALUE"""),0.00226)</f>
        <v>0.00226</v>
      </c>
      <c r="J3879" s="19">
        <f>IFERROR(__xludf.DUMMYFUNCTION("""COMPUTED_VALUE"""),0.04742)</f>
        <v>0.04742</v>
      </c>
      <c r="K3879" s="19" t="str">
        <f>IFERROR(__xludf.DUMMYFUNCTION("""COMPUTED_VALUE"""),"-")</f>
        <v>-</v>
      </c>
      <c r="L3879" s="19" t="str">
        <f>IFERROR(__xludf.DUMMYFUNCTION("""COMPUTED_VALUE"""),"-")</f>
        <v>-</v>
      </c>
      <c r="O3879" s="24">
        <f t="shared" si="4"/>
        <v>0</v>
      </c>
      <c r="P3879" s="24"/>
      <c r="Q3879" s="24">
        <f t="shared" si="6"/>
        <v>0</v>
      </c>
      <c r="R3879" s="24">
        <f t="shared" si="7"/>
        <v>0</v>
      </c>
      <c r="S3879" s="24"/>
      <c r="T3879" s="24"/>
    </row>
    <row r="3880">
      <c r="A3880" s="12" t="s">
        <v>3967</v>
      </c>
      <c r="F3880" s="19">
        <f>IFERROR(__xludf.DUMMYFUNCTION("SPLIT(A3876, "" |"")"),3874.0)</f>
        <v>3874</v>
      </c>
      <c r="G3880" s="19">
        <f>IFERROR(__xludf.DUMMYFUNCTION("""COMPUTED_VALUE"""),0.00241)</f>
        <v>0.00241</v>
      </c>
      <c r="H3880" s="19" t="str">
        <f>IFERROR(__xludf.DUMMYFUNCTION("""COMPUTED_VALUE"""),"-")</f>
        <v>-</v>
      </c>
      <c r="I3880" s="19">
        <f>IFERROR(__xludf.DUMMYFUNCTION("""COMPUTED_VALUE"""),0.00225)</f>
        <v>0.00225</v>
      </c>
      <c r="J3880" s="19">
        <f>IFERROR(__xludf.DUMMYFUNCTION("""COMPUTED_VALUE"""),0.04749)</f>
        <v>0.04749</v>
      </c>
      <c r="K3880" s="19" t="str">
        <f>IFERROR(__xludf.DUMMYFUNCTION("""COMPUTED_VALUE"""),"-")</f>
        <v>-</v>
      </c>
      <c r="L3880" s="19" t="str">
        <f>IFERROR(__xludf.DUMMYFUNCTION("""COMPUTED_VALUE"""),"-")</f>
        <v>-</v>
      </c>
      <c r="O3880" s="24">
        <f t="shared" si="4"/>
        <v>0</v>
      </c>
      <c r="P3880" s="24"/>
      <c r="Q3880" s="24">
        <f t="shared" si="6"/>
        <v>0</v>
      </c>
      <c r="R3880" s="24">
        <f t="shared" si="7"/>
        <v>0</v>
      </c>
      <c r="S3880" s="24"/>
      <c r="T3880" s="24"/>
    </row>
    <row r="3881">
      <c r="A3881" s="12" t="s">
        <v>3968</v>
      </c>
      <c r="F3881" s="19">
        <f>IFERROR(__xludf.DUMMYFUNCTION("SPLIT(A3877, "" |"")"),3875.0)</f>
        <v>3875</v>
      </c>
      <c r="G3881" s="19">
        <f>IFERROR(__xludf.DUMMYFUNCTION("""COMPUTED_VALUE"""),0.00232)</f>
        <v>0.00232</v>
      </c>
      <c r="H3881" s="19" t="str">
        <f>IFERROR(__xludf.DUMMYFUNCTION("""COMPUTED_VALUE"""),"-")</f>
        <v>-</v>
      </c>
      <c r="I3881" s="19">
        <f>IFERROR(__xludf.DUMMYFUNCTION("""COMPUTED_VALUE"""),0.00222)</f>
        <v>0.00222</v>
      </c>
      <c r="J3881" s="19">
        <f>IFERROR(__xludf.DUMMYFUNCTION("""COMPUTED_VALUE"""),0.04747)</f>
        <v>0.04747</v>
      </c>
      <c r="K3881" s="19" t="str">
        <f>IFERROR(__xludf.DUMMYFUNCTION("""COMPUTED_VALUE"""),"-")</f>
        <v>-</v>
      </c>
      <c r="L3881" s="19" t="str">
        <f>IFERROR(__xludf.DUMMYFUNCTION("""COMPUTED_VALUE"""),"-")</f>
        <v>-</v>
      </c>
      <c r="O3881" s="24">
        <f t="shared" si="4"/>
        <v>0</v>
      </c>
      <c r="P3881" s="24"/>
      <c r="Q3881" s="24">
        <f t="shared" si="6"/>
        <v>0</v>
      </c>
      <c r="R3881" s="24">
        <f t="shared" si="7"/>
        <v>0</v>
      </c>
      <c r="S3881" s="24"/>
      <c r="T3881" s="24"/>
    </row>
    <row r="3882">
      <c r="A3882" s="12" t="s">
        <v>3969</v>
      </c>
      <c r="F3882" s="19">
        <f>IFERROR(__xludf.DUMMYFUNCTION("SPLIT(A3878, "" |"")"),3876.0)</f>
        <v>3876</v>
      </c>
      <c r="G3882" s="19">
        <f>IFERROR(__xludf.DUMMYFUNCTION("""COMPUTED_VALUE"""),0.00235)</f>
        <v>0.00235</v>
      </c>
      <c r="H3882" s="19" t="str">
        <f>IFERROR(__xludf.DUMMYFUNCTION("""COMPUTED_VALUE"""),"-")</f>
        <v>-</v>
      </c>
      <c r="I3882" s="19">
        <f>IFERROR(__xludf.DUMMYFUNCTION("""COMPUTED_VALUE"""),0.00221)</f>
        <v>0.00221</v>
      </c>
      <c r="J3882" s="19">
        <f>IFERROR(__xludf.DUMMYFUNCTION("""COMPUTED_VALUE"""),0.04748)</f>
        <v>0.04748</v>
      </c>
      <c r="K3882" s="19" t="str">
        <f>IFERROR(__xludf.DUMMYFUNCTION("""COMPUTED_VALUE"""),"-")</f>
        <v>-</v>
      </c>
      <c r="L3882" s="19" t="str">
        <f>IFERROR(__xludf.DUMMYFUNCTION("""COMPUTED_VALUE"""),"-")</f>
        <v>-</v>
      </c>
      <c r="O3882" s="24">
        <f t="shared" si="4"/>
        <v>0</v>
      </c>
      <c r="P3882" s="24"/>
      <c r="Q3882" s="24">
        <f t="shared" si="6"/>
        <v>0</v>
      </c>
      <c r="R3882" s="24">
        <f t="shared" si="7"/>
        <v>0</v>
      </c>
      <c r="S3882" s="24"/>
      <c r="T3882" s="24"/>
    </row>
    <row r="3883">
      <c r="A3883" s="12" t="s">
        <v>3970</v>
      </c>
      <c r="F3883" s="19">
        <f>IFERROR(__xludf.DUMMYFUNCTION("SPLIT(A3879, "" |"")"),3877.0)</f>
        <v>3877</v>
      </c>
      <c r="G3883" s="19">
        <f>IFERROR(__xludf.DUMMYFUNCTION("""COMPUTED_VALUE"""),0.00233)</f>
        <v>0.00233</v>
      </c>
      <c r="H3883" s="19" t="str">
        <f>IFERROR(__xludf.DUMMYFUNCTION("""COMPUTED_VALUE"""),"-")</f>
        <v>-</v>
      </c>
      <c r="I3883" s="19">
        <f>IFERROR(__xludf.DUMMYFUNCTION("""COMPUTED_VALUE"""),0.00224)</f>
        <v>0.00224</v>
      </c>
      <c r="J3883" s="19">
        <f>IFERROR(__xludf.DUMMYFUNCTION("""COMPUTED_VALUE"""),0.04738)</f>
        <v>0.04738</v>
      </c>
      <c r="K3883" s="19" t="str">
        <f>IFERROR(__xludf.DUMMYFUNCTION("""COMPUTED_VALUE"""),"-")</f>
        <v>-</v>
      </c>
      <c r="L3883" s="19" t="str">
        <f>IFERROR(__xludf.DUMMYFUNCTION("""COMPUTED_VALUE"""),"-")</f>
        <v>-</v>
      </c>
      <c r="O3883" s="24">
        <f t="shared" si="4"/>
        <v>0</v>
      </c>
      <c r="P3883" s="24"/>
      <c r="Q3883" s="24">
        <f t="shared" si="6"/>
        <v>0</v>
      </c>
      <c r="R3883" s="24">
        <f t="shared" si="7"/>
        <v>0</v>
      </c>
      <c r="S3883" s="24"/>
      <c r="T3883" s="24"/>
    </row>
    <row r="3884">
      <c r="A3884" s="12" t="s">
        <v>3971</v>
      </c>
      <c r="F3884" s="19">
        <f>IFERROR(__xludf.DUMMYFUNCTION("SPLIT(A3880, "" |"")"),3878.0)</f>
        <v>3878</v>
      </c>
      <c r="G3884" s="19">
        <f>IFERROR(__xludf.DUMMYFUNCTION("""COMPUTED_VALUE"""),0.00242)</f>
        <v>0.00242</v>
      </c>
      <c r="H3884" s="19" t="str">
        <f>IFERROR(__xludf.DUMMYFUNCTION("""COMPUTED_VALUE"""),"-")</f>
        <v>-</v>
      </c>
      <c r="I3884" s="19">
        <f>IFERROR(__xludf.DUMMYFUNCTION("""COMPUTED_VALUE"""),0.00222)</f>
        <v>0.00222</v>
      </c>
      <c r="J3884" s="19">
        <f>IFERROR(__xludf.DUMMYFUNCTION("""COMPUTED_VALUE"""),0.04747)</f>
        <v>0.04747</v>
      </c>
      <c r="K3884" s="19" t="str">
        <f>IFERROR(__xludf.DUMMYFUNCTION("""COMPUTED_VALUE"""),"-")</f>
        <v>-</v>
      </c>
      <c r="L3884" s="19" t="str">
        <f>IFERROR(__xludf.DUMMYFUNCTION("""COMPUTED_VALUE"""),"-")</f>
        <v>-</v>
      </c>
      <c r="O3884" s="24">
        <f t="shared" si="4"/>
        <v>0</v>
      </c>
      <c r="P3884" s="24"/>
      <c r="Q3884" s="24">
        <f t="shared" si="6"/>
        <v>0</v>
      </c>
      <c r="R3884" s="24">
        <f t="shared" si="7"/>
        <v>0</v>
      </c>
      <c r="S3884" s="24"/>
      <c r="T3884" s="24"/>
    </row>
    <row r="3885">
      <c r="A3885" s="12" t="s">
        <v>3972</v>
      </c>
      <c r="F3885" s="19">
        <f>IFERROR(__xludf.DUMMYFUNCTION("SPLIT(A3881, "" |"")"),3879.0)</f>
        <v>3879</v>
      </c>
      <c r="G3885" s="19">
        <f>IFERROR(__xludf.DUMMYFUNCTION("""COMPUTED_VALUE"""),0.00241)</f>
        <v>0.00241</v>
      </c>
      <c r="H3885" s="19" t="str">
        <f>IFERROR(__xludf.DUMMYFUNCTION("""COMPUTED_VALUE"""),"-")</f>
        <v>-</v>
      </c>
      <c r="I3885" s="19">
        <f>IFERROR(__xludf.DUMMYFUNCTION("""COMPUTED_VALUE"""),0.00227)</f>
        <v>0.00227</v>
      </c>
      <c r="J3885" s="19">
        <f>IFERROR(__xludf.DUMMYFUNCTION("""COMPUTED_VALUE"""),0.04748)</f>
        <v>0.04748</v>
      </c>
      <c r="K3885" s="19" t="str">
        <f>IFERROR(__xludf.DUMMYFUNCTION("""COMPUTED_VALUE"""),"-")</f>
        <v>-</v>
      </c>
      <c r="L3885" s="19" t="str">
        <f>IFERROR(__xludf.DUMMYFUNCTION("""COMPUTED_VALUE"""),"-")</f>
        <v>-</v>
      </c>
      <c r="O3885" s="24">
        <f t="shared" si="4"/>
        <v>0</v>
      </c>
      <c r="P3885" s="24"/>
      <c r="Q3885" s="24">
        <f t="shared" si="6"/>
        <v>0</v>
      </c>
      <c r="R3885" s="24">
        <f t="shared" si="7"/>
        <v>0</v>
      </c>
      <c r="S3885" s="24"/>
      <c r="T3885" s="24"/>
    </row>
    <row r="3886">
      <c r="A3886" s="12" t="s">
        <v>3973</v>
      </c>
      <c r="F3886" s="19">
        <f>IFERROR(__xludf.DUMMYFUNCTION("SPLIT(A3882, "" |"")"),3880.0)</f>
        <v>3880</v>
      </c>
      <c r="G3886" s="19">
        <f>IFERROR(__xludf.DUMMYFUNCTION("""COMPUTED_VALUE"""),0.00233)</f>
        <v>0.00233</v>
      </c>
      <c r="H3886" s="19" t="str">
        <f>IFERROR(__xludf.DUMMYFUNCTION("""COMPUTED_VALUE"""),"-")</f>
        <v>-</v>
      </c>
      <c r="I3886" s="19">
        <f>IFERROR(__xludf.DUMMYFUNCTION("""COMPUTED_VALUE"""),0.00225)</f>
        <v>0.00225</v>
      </c>
      <c r="J3886" s="19">
        <f>IFERROR(__xludf.DUMMYFUNCTION("""COMPUTED_VALUE"""),0.04748)</f>
        <v>0.04748</v>
      </c>
      <c r="K3886" s="19" t="str">
        <f>IFERROR(__xludf.DUMMYFUNCTION("""COMPUTED_VALUE"""),"-")</f>
        <v>-</v>
      </c>
      <c r="L3886" s="19" t="str">
        <f>IFERROR(__xludf.DUMMYFUNCTION("""COMPUTED_VALUE"""),"-")</f>
        <v>-</v>
      </c>
      <c r="O3886" s="24">
        <f t="shared" si="4"/>
        <v>0</v>
      </c>
      <c r="P3886" s="24"/>
      <c r="Q3886" s="24">
        <f t="shared" si="6"/>
        <v>0</v>
      </c>
      <c r="R3886" s="24">
        <f t="shared" si="7"/>
        <v>0</v>
      </c>
      <c r="S3886" s="24"/>
      <c r="T3886" s="24"/>
    </row>
    <row r="3887">
      <c r="A3887" s="12" t="s">
        <v>3974</v>
      </c>
      <c r="F3887" s="19">
        <f>IFERROR(__xludf.DUMMYFUNCTION("SPLIT(A3883, "" |"")"),3881.0)</f>
        <v>3881</v>
      </c>
      <c r="G3887" s="19">
        <f>IFERROR(__xludf.DUMMYFUNCTION("""COMPUTED_VALUE"""),0.00233)</f>
        <v>0.00233</v>
      </c>
      <c r="H3887" s="19" t="str">
        <f>IFERROR(__xludf.DUMMYFUNCTION("""COMPUTED_VALUE"""),"-")</f>
        <v>-</v>
      </c>
      <c r="I3887" s="19">
        <f>IFERROR(__xludf.DUMMYFUNCTION("""COMPUTED_VALUE"""),0.00223)</f>
        <v>0.00223</v>
      </c>
      <c r="J3887" s="19">
        <f>IFERROR(__xludf.DUMMYFUNCTION("""COMPUTED_VALUE"""),0.04743)</f>
        <v>0.04743</v>
      </c>
      <c r="K3887" s="19" t="str">
        <f>IFERROR(__xludf.DUMMYFUNCTION("""COMPUTED_VALUE"""),"-")</f>
        <v>-</v>
      </c>
      <c r="L3887" s="19" t="str">
        <f>IFERROR(__xludf.DUMMYFUNCTION("""COMPUTED_VALUE"""),"-")</f>
        <v>-</v>
      </c>
      <c r="O3887" s="24">
        <f t="shared" si="4"/>
        <v>0</v>
      </c>
      <c r="P3887" s="24"/>
      <c r="Q3887" s="24">
        <f t="shared" si="6"/>
        <v>0</v>
      </c>
      <c r="R3887" s="24">
        <f t="shared" si="7"/>
        <v>0</v>
      </c>
      <c r="S3887" s="24"/>
      <c r="T3887" s="24"/>
    </row>
    <row r="3888">
      <c r="A3888" s="12" t="s">
        <v>3975</v>
      </c>
      <c r="F3888" s="19">
        <f>IFERROR(__xludf.DUMMYFUNCTION("SPLIT(A3884, "" |"")"),3882.0)</f>
        <v>3882</v>
      </c>
      <c r="G3888" s="19">
        <f>IFERROR(__xludf.DUMMYFUNCTION("""COMPUTED_VALUE"""),0.00237)</f>
        <v>0.00237</v>
      </c>
      <c r="H3888" s="19" t="str">
        <f>IFERROR(__xludf.DUMMYFUNCTION("""COMPUTED_VALUE"""),"-")</f>
        <v>-</v>
      </c>
      <c r="I3888" s="19">
        <f>IFERROR(__xludf.DUMMYFUNCTION("""COMPUTED_VALUE"""),0.00222)</f>
        <v>0.00222</v>
      </c>
      <c r="J3888" s="19">
        <f>IFERROR(__xludf.DUMMYFUNCTION("""COMPUTED_VALUE"""),0.04746)</f>
        <v>0.04746</v>
      </c>
      <c r="K3888" s="19" t="str">
        <f>IFERROR(__xludf.DUMMYFUNCTION("""COMPUTED_VALUE"""),"-")</f>
        <v>-</v>
      </c>
      <c r="L3888" s="19" t="str">
        <f>IFERROR(__xludf.DUMMYFUNCTION("""COMPUTED_VALUE"""),"-")</f>
        <v>-</v>
      </c>
      <c r="O3888" s="24">
        <f t="shared" si="4"/>
        <v>0</v>
      </c>
      <c r="P3888" s="24"/>
      <c r="Q3888" s="24">
        <f t="shared" si="6"/>
        <v>0</v>
      </c>
      <c r="R3888" s="24">
        <f t="shared" si="7"/>
        <v>0</v>
      </c>
      <c r="S3888" s="24"/>
      <c r="T3888" s="24"/>
    </row>
    <row r="3889">
      <c r="A3889" s="12" t="s">
        <v>3976</v>
      </c>
      <c r="F3889" s="19">
        <f>IFERROR(__xludf.DUMMYFUNCTION("SPLIT(A3885, "" |"")"),3883.0)</f>
        <v>3883</v>
      </c>
      <c r="G3889" s="19">
        <f>IFERROR(__xludf.DUMMYFUNCTION("""COMPUTED_VALUE"""),0.00232)</f>
        <v>0.00232</v>
      </c>
      <c r="H3889" s="19" t="str">
        <f>IFERROR(__xludf.DUMMYFUNCTION("""COMPUTED_VALUE"""),"-")</f>
        <v>-</v>
      </c>
      <c r="I3889" s="19">
        <f>IFERROR(__xludf.DUMMYFUNCTION("""COMPUTED_VALUE"""),0.00223)</f>
        <v>0.00223</v>
      </c>
      <c r="J3889" s="19">
        <f>IFERROR(__xludf.DUMMYFUNCTION("""COMPUTED_VALUE"""),0.03815)</f>
        <v>0.03815</v>
      </c>
      <c r="K3889" s="19" t="str">
        <f>IFERROR(__xludf.DUMMYFUNCTION("""COMPUTED_VALUE"""),"-")</f>
        <v>-</v>
      </c>
      <c r="L3889" s="19" t="str">
        <f>IFERROR(__xludf.DUMMYFUNCTION("""COMPUTED_VALUE"""),"-")</f>
        <v>-</v>
      </c>
      <c r="O3889" s="24">
        <f t="shared" si="4"/>
        <v>0</v>
      </c>
      <c r="P3889" s="24"/>
      <c r="Q3889" s="24">
        <f t="shared" si="6"/>
        <v>0</v>
      </c>
      <c r="R3889" s="24">
        <f t="shared" si="7"/>
        <v>1</v>
      </c>
      <c r="S3889" s="24"/>
      <c r="T3889" s="24"/>
    </row>
    <row r="3890">
      <c r="A3890" s="12" t="s">
        <v>3977</v>
      </c>
      <c r="F3890" s="19">
        <f>IFERROR(__xludf.DUMMYFUNCTION("SPLIT(A3886, "" |"")"),3884.0)</f>
        <v>3884</v>
      </c>
      <c r="G3890" s="19">
        <f>IFERROR(__xludf.DUMMYFUNCTION("""COMPUTED_VALUE"""),0.00226)</f>
        <v>0.00226</v>
      </c>
      <c r="H3890" s="19" t="str">
        <f>IFERROR(__xludf.DUMMYFUNCTION("""COMPUTED_VALUE"""),"-")</f>
        <v>-</v>
      </c>
      <c r="I3890" s="19">
        <f>IFERROR(__xludf.DUMMYFUNCTION("""COMPUTED_VALUE"""),0.00221)</f>
        <v>0.00221</v>
      </c>
      <c r="J3890" s="19">
        <f>IFERROR(__xludf.DUMMYFUNCTION("""COMPUTED_VALUE"""),0.04379)</f>
        <v>0.04379</v>
      </c>
      <c r="K3890" s="19" t="str">
        <f>IFERROR(__xludf.DUMMYFUNCTION("""COMPUTED_VALUE"""),"-")</f>
        <v>-</v>
      </c>
      <c r="L3890" s="19" t="str">
        <f>IFERROR(__xludf.DUMMYFUNCTION("""COMPUTED_VALUE"""),"-")</f>
        <v>-</v>
      </c>
      <c r="O3890" s="24">
        <f t="shared" si="4"/>
        <v>0</v>
      </c>
      <c r="P3890" s="24"/>
      <c r="Q3890" s="24">
        <f t="shared" si="6"/>
        <v>0</v>
      </c>
      <c r="R3890" s="24">
        <f t="shared" si="7"/>
        <v>1</v>
      </c>
      <c r="S3890" s="24"/>
      <c r="T3890" s="24"/>
    </row>
    <row r="3891">
      <c r="A3891" s="12" t="s">
        <v>3978</v>
      </c>
      <c r="F3891" s="19">
        <f>IFERROR(__xludf.DUMMYFUNCTION("SPLIT(A3887, "" |"")"),3885.0)</f>
        <v>3885</v>
      </c>
      <c r="G3891" s="19">
        <f>IFERROR(__xludf.DUMMYFUNCTION("""COMPUTED_VALUE"""),0.00236)</f>
        <v>0.00236</v>
      </c>
      <c r="H3891" s="19" t="str">
        <f>IFERROR(__xludf.DUMMYFUNCTION("""COMPUTED_VALUE"""),"-")</f>
        <v>-</v>
      </c>
      <c r="I3891" s="19">
        <f>IFERROR(__xludf.DUMMYFUNCTION("""COMPUTED_VALUE"""),0.00225)</f>
        <v>0.00225</v>
      </c>
      <c r="J3891" s="19">
        <f>IFERROR(__xludf.DUMMYFUNCTION("""COMPUTED_VALUE"""),0.04572)</f>
        <v>0.04572</v>
      </c>
      <c r="K3891" s="19" t="str">
        <f>IFERROR(__xludf.DUMMYFUNCTION("""COMPUTED_VALUE"""),"-")</f>
        <v>-</v>
      </c>
      <c r="L3891" s="19" t="str">
        <f>IFERROR(__xludf.DUMMYFUNCTION("""COMPUTED_VALUE"""),"-")</f>
        <v>-</v>
      </c>
      <c r="O3891" s="24">
        <f t="shared" si="4"/>
        <v>0</v>
      </c>
      <c r="P3891" s="24"/>
      <c r="Q3891" s="24">
        <f t="shared" si="6"/>
        <v>0</v>
      </c>
      <c r="R3891" s="24">
        <f t="shared" si="7"/>
        <v>0</v>
      </c>
      <c r="S3891" s="24"/>
      <c r="T3891" s="24"/>
    </row>
    <row r="3892">
      <c r="A3892" s="12" t="s">
        <v>3979</v>
      </c>
      <c r="F3892" s="19">
        <f>IFERROR(__xludf.DUMMYFUNCTION("SPLIT(A3888, "" |"")"),3886.0)</f>
        <v>3886</v>
      </c>
      <c r="G3892" s="19">
        <f>IFERROR(__xludf.DUMMYFUNCTION("""COMPUTED_VALUE"""),0.00239)</f>
        <v>0.00239</v>
      </c>
      <c r="H3892" s="19" t="str">
        <f>IFERROR(__xludf.DUMMYFUNCTION("""COMPUTED_VALUE"""),"-")</f>
        <v>-</v>
      </c>
      <c r="I3892" s="19">
        <f>IFERROR(__xludf.DUMMYFUNCTION("""COMPUTED_VALUE"""),0.00229)</f>
        <v>0.00229</v>
      </c>
      <c r="J3892" s="19">
        <f>IFERROR(__xludf.DUMMYFUNCTION("""COMPUTED_VALUE"""),0.04746)</f>
        <v>0.04746</v>
      </c>
      <c r="K3892" s="19" t="str">
        <f>IFERROR(__xludf.DUMMYFUNCTION("""COMPUTED_VALUE"""),"-")</f>
        <v>-</v>
      </c>
      <c r="L3892" s="19" t="str">
        <f>IFERROR(__xludf.DUMMYFUNCTION("""COMPUTED_VALUE"""),"-")</f>
        <v>-</v>
      </c>
      <c r="O3892" s="24">
        <f t="shared" si="4"/>
        <v>0</v>
      </c>
      <c r="P3892" s="24"/>
      <c r="Q3892" s="24">
        <f t="shared" si="6"/>
        <v>0</v>
      </c>
      <c r="R3892" s="24">
        <f t="shared" si="7"/>
        <v>0</v>
      </c>
      <c r="S3892" s="24"/>
      <c r="T3892" s="24"/>
    </row>
    <row r="3893">
      <c r="A3893" s="12" t="s">
        <v>3980</v>
      </c>
      <c r="F3893" s="19">
        <f>IFERROR(__xludf.DUMMYFUNCTION("SPLIT(A3889, "" |"")"),3887.0)</f>
        <v>3887</v>
      </c>
      <c r="G3893" s="19">
        <f>IFERROR(__xludf.DUMMYFUNCTION("""COMPUTED_VALUE"""),0.00232)</f>
        <v>0.00232</v>
      </c>
      <c r="H3893" s="19" t="str">
        <f>IFERROR(__xludf.DUMMYFUNCTION("""COMPUTED_VALUE"""),"-")</f>
        <v>-</v>
      </c>
      <c r="I3893" s="19">
        <f>IFERROR(__xludf.DUMMYFUNCTION("""COMPUTED_VALUE"""),0.00221)</f>
        <v>0.00221</v>
      </c>
      <c r="J3893" s="19">
        <f>IFERROR(__xludf.DUMMYFUNCTION("""COMPUTED_VALUE"""),0.04751)</f>
        <v>0.04751</v>
      </c>
      <c r="K3893" s="19" t="str">
        <f>IFERROR(__xludf.DUMMYFUNCTION("""COMPUTED_VALUE"""),"-")</f>
        <v>-</v>
      </c>
      <c r="L3893" s="19" t="str">
        <f>IFERROR(__xludf.DUMMYFUNCTION("""COMPUTED_VALUE"""),"-")</f>
        <v>-</v>
      </c>
      <c r="O3893" s="24">
        <f t="shared" si="4"/>
        <v>0</v>
      </c>
      <c r="P3893" s="24"/>
      <c r="Q3893" s="24">
        <f t="shared" si="6"/>
        <v>0</v>
      </c>
      <c r="R3893" s="24">
        <f t="shared" si="7"/>
        <v>0</v>
      </c>
      <c r="S3893" s="24"/>
      <c r="T3893" s="24"/>
    </row>
    <row r="3894">
      <c r="A3894" s="12" t="s">
        <v>3981</v>
      </c>
      <c r="F3894" s="19">
        <f>IFERROR(__xludf.DUMMYFUNCTION("SPLIT(A3890, "" |"")"),3888.0)</f>
        <v>3888</v>
      </c>
      <c r="G3894" s="19">
        <f>IFERROR(__xludf.DUMMYFUNCTION("""COMPUTED_VALUE"""),0.00234)</f>
        <v>0.00234</v>
      </c>
      <c r="H3894" s="19" t="str">
        <f>IFERROR(__xludf.DUMMYFUNCTION("""COMPUTED_VALUE"""),"-")</f>
        <v>-</v>
      </c>
      <c r="I3894" s="19">
        <f>IFERROR(__xludf.DUMMYFUNCTION("""COMPUTED_VALUE"""),0.00223)</f>
        <v>0.00223</v>
      </c>
      <c r="J3894" s="19">
        <f>IFERROR(__xludf.DUMMYFUNCTION("""COMPUTED_VALUE"""),0.0412)</f>
        <v>0.0412</v>
      </c>
      <c r="K3894" s="19" t="str">
        <f>IFERROR(__xludf.DUMMYFUNCTION("""COMPUTED_VALUE"""),"-")</f>
        <v>-</v>
      </c>
      <c r="L3894" s="19" t="str">
        <f>IFERROR(__xludf.DUMMYFUNCTION("""COMPUTED_VALUE"""),"-")</f>
        <v>-</v>
      </c>
      <c r="O3894" s="24">
        <f t="shared" si="4"/>
        <v>0</v>
      </c>
      <c r="P3894" s="24"/>
      <c r="Q3894" s="24">
        <f t="shared" si="6"/>
        <v>0</v>
      </c>
      <c r="R3894" s="24">
        <f t="shared" si="7"/>
        <v>1</v>
      </c>
      <c r="S3894" s="24"/>
      <c r="T3894" s="24"/>
    </row>
    <row r="3895">
      <c r="A3895" s="12" t="s">
        <v>3982</v>
      </c>
      <c r="F3895" s="19">
        <f>IFERROR(__xludf.DUMMYFUNCTION("SPLIT(A3891, "" |"")"),3889.0)</f>
        <v>3889</v>
      </c>
      <c r="G3895" s="19">
        <f>IFERROR(__xludf.DUMMYFUNCTION("""COMPUTED_VALUE"""),0.00228)</f>
        <v>0.00228</v>
      </c>
      <c r="H3895" s="19" t="str">
        <f>IFERROR(__xludf.DUMMYFUNCTION("""COMPUTED_VALUE"""),"-")</f>
        <v>-</v>
      </c>
      <c r="I3895" s="19">
        <f>IFERROR(__xludf.DUMMYFUNCTION("""COMPUTED_VALUE"""),0.0021)</f>
        <v>0.0021</v>
      </c>
      <c r="J3895" s="19">
        <f>IFERROR(__xludf.DUMMYFUNCTION("""COMPUTED_VALUE"""),0.0473)</f>
        <v>0.0473</v>
      </c>
      <c r="K3895" s="19" t="str">
        <f>IFERROR(__xludf.DUMMYFUNCTION("""COMPUTED_VALUE"""),"-")</f>
        <v>-</v>
      </c>
      <c r="L3895" s="19" t="str">
        <f>IFERROR(__xludf.DUMMYFUNCTION("""COMPUTED_VALUE"""),"-")</f>
        <v>-</v>
      </c>
      <c r="O3895" s="24">
        <f t="shared" si="4"/>
        <v>0</v>
      </c>
      <c r="P3895" s="24"/>
      <c r="Q3895" s="24">
        <f t="shared" si="6"/>
        <v>0</v>
      </c>
      <c r="R3895" s="24">
        <f t="shared" si="7"/>
        <v>0</v>
      </c>
      <c r="S3895" s="24"/>
      <c r="T3895" s="24"/>
    </row>
    <row r="3896">
      <c r="A3896" s="12" t="s">
        <v>3983</v>
      </c>
      <c r="F3896" s="19">
        <f>IFERROR(__xludf.DUMMYFUNCTION("SPLIT(A3892, "" |"")"),3890.0)</f>
        <v>3890</v>
      </c>
      <c r="G3896" s="19">
        <f>IFERROR(__xludf.DUMMYFUNCTION("""COMPUTED_VALUE"""),0.00228)</f>
        <v>0.00228</v>
      </c>
      <c r="H3896" s="19" t="str">
        <f>IFERROR(__xludf.DUMMYFUNCTION("""COMPUTED_VALUE"""),"-")</f>
        <v>-</v>
      </c>
      <c r="I3896" s="19">
        <f>IFERROR(__xludf.DUMMYFUNCTION("""COMPUTED_VALUE"""),0.00218)</f>
        <v>0.00218</v>
      </c>
      <c r="J3896" s="19">
        <f>IFERROR(__xludf.DUMMYFUNCTION("""COMPUTED_VALUE"""),0.04754)</f>
        <v>0.04754</v>
      </c>
      <c r="K3896" s="19" t="str">
        <f>IFERROR(__xludf.DUMMYFUNCTION("""COMPUTED_VALUE"""),"-")</f>
        <v>-</v>
      </c>
      <c r="L3896" s="19" t="str">
        <f>IFERROR(__xludf.DUMMYFUNCTION("""COMPUTED_VALUE"""),"-")</f>
        <v>-</v>
      </c>
      <c r="O3896" s="24">
        <f t="shared" si="4"/>
        <v>0</v>
      </c>
      <c r="P3896" s="24"/>
      <c r="Q3896" s="24">
        <f t="shared" si="6"/>
        <v>0</v>
      </c>
      <c r="R3896" s="24">
        <f t="shared" si="7"/>
        <v>0</v>
      </c>
      <c r="S3896" s="24"/>
      <c r="T3896" s="24"/>
    </row>
    <row r="3897">
      <c r="A3897" s="12" t="s">
        <v>3984</v>
      </c>
      <c r="F3897" s="19">
        <f>IFERROR(__xludf.DUMMYFUNCTION("SPLIT(A3893, "" |"")"),3891.0)</f>
        <v>3891</v>
      </c>
      <c r="G3897" s="19">
        <f>IFERROR(__xludf.DUMMYFUNCTION("""COMPUTED_VALUE"""),0.00234)</f>
        <v>0.00234</v>
      </c>
      <c r="H3897" s="19" t="str">
        <f>IFERROR(__xludf.DUMMYFUNCTION("""COMPUTED_VALUE"""),"-")</f>
        <v>-</v>
      </c>
      <c r="I3897" s="19">
        <f>IFERROR(__xludf.DUMMYFUNCTION("""COMPUTED_VALUE"""),0.00224)</f>
        <v>0.00224</v>
      </c>
      <c r="J3897" s="19">
        <f>IFERROR(__xludf.DUMMYFUNCTION("""COMPUTED_VALUE"""),0.04744)</f>
        <v>0.04744</v>
      </c>
      <c r="K3897" s="19" t="str">
        <f>IFERROR(__xludf.DUMMYFUNCTION("""COMPUTED_VALUE"""),"-")</f>
        <v>-</v>
      </c>
      <c r="L3897" s="19" t="str">
        <f>IFERROR(__xludf.DUMMYFUNCTION("""COMPUTED_VALUE"""),"-")</f>
        <v>-</v>
      </c>
      <c r="O3897" s="24">
        <f t="shared" si="4"/>
        <v>0</v>
      </c>
      <c r="P3897" s="24"/>
      <c r="Q3897" s="24">
        <f t="shared" si="6"/>
        <v>0</v>
      </c>
      <c r="R3897" s="24">
        <f t="shared" si="7"/>
        <v>0</v>
      </c>
      <c r="S3897" s="24"/>
      <c r="T3897" s="24"/>
    </row>
    <row r="3898">
      <c r="A3898" s="12" t="s">
        <v>3985</v>
      </c>
      <c r="F3898" s="19">
        <f>IFERROR(__xludf.DUMMYFUNCTION("SPLIT(A3894, "" |"")"),3892.0)</f>
        <v>3892</v>
      </c>
      <c r="G3898" s="19">
        <f>IFERROR(__xludf.DUMMYFUNCTION("""COMPUTED_VALUE"""),0.0022)</f>
        <v>0.0022</v>
      </c>
      <c r="H3898" s="19" t="str">
        <f>IFERROR(__xludf.DUMMYFUNCTION("""COMPUTED_VALUE"""),"-")</f>
        <v>-</v>
      </c>
      <c r="I3898" s="19">
        <f>IFERROR(__xludf.DUMMYFUNCTION("""COMPUTED_VALUE"""),0.0021)</f>
        <v>0.0021</v>
      </c>
      <c r="J3898" s="19">
        <f>IFERROR(__xludf.DUMMYFUNCTION("""COMPUTED_VALUE"""),0.04735)</f>
        <v>0.04735</v>
      </c>
      <c r="K3898" s="19" t="str">
        <f>IFERROR(__xludf.DUMMYFUNCTION("""COMPUTED_VALUE"""),"-")</f>
        <v>-</v>
      </c>
      <c r="L3898" s="19" t="str">
        <f>IFERROR(__xludf.DUMMYFUNCTION("""COMPUTED_VALUE"""),"-")</f>
        <v>-</v>
      </c>
      <c r="O3898" s="24">
        <f t="shared" si="4"/>
        <v>0</v>
      </c>
      <c r="P3898" s="24"/>
      <c r="Q3898" s="24">
        <f t="shared" si="6"/>
        <v>0</v>
      </c>
      <c r="R3898" s="24">
        <f t="shared" si="7"/>
        <v>0</v>
      </c>
      <c r="S3898" s="24"/>
      <c r="T3898" s="24"/>
    </row>
    <row r="3899">
      <c r="A3899" s="12" t="s">
        <v>3986</v>
      </c>
      <c r="F3899" s="19">
        <f>IFERROR(__xludf.DUMMYFUNCTION("SPLIT(A3895, "" |"")"),3893.0)</f>
        <v>3893</v>
      </c>
      <c r="G3899" s="19">
        <f>IFERROR(__xludf.DUMMYFUNCTION("""COMPUTED_VALUE"""),0.00236)</f>
        <v>0.00236</v>
      </c>
      <c r="H3899" s="19" t="str">
        <f>IFERROR(__xludf.DUMMYFUNCTION("""COMPUTED_VALUE"""),"-")</f>
        <v>-</v>
      </c>
      <c r="I3899" s="19">
        <f>IFERROR(__xludf.DUMMYFUNCTION("""COMPUTED_VALUE"""),0.0023)</f>
        <v>0.0023</v>
      </c>
      <c r="J3899" s="19">
        <f>IFERROR(__xludf.DUMMYFUNCTION("""COMPUTED_VALUE"""),0.04748)</f>
        <v>0.04748</v>
      </c>
      <c r="K3899" s="19" t="str">
        <f>IFERROR(__xludf.DUMMYFUNCTION("""COMPUTED_VALUE"""),"-")</f>
        <v>-</v>
      </c>
      <c r="L3899" s="19" t="str">
        <f>IFERROR(__xludf.DUMMYFUNCTION("""COMPUTED_VALUE"""),"-")</f>
        <v>-</v>
      </c>
      <c r="O3899" s="24">
        <f t="shared" si="4"/>
        <v>0</v>
      </c>
      <c r="P3899" s="24"/>
      <c r="Q3899" s="24">
        <f t="shared" si="6"/>
        <v>0</v>
      </c>
      <c r="R3899" s="24">
        <f t="shared" si="7"/>
        <v>0</v>
      </c>
      <c r="S3899" s="24"/>
      <c r="T3899" s="24"/>
    </row>
    <row r="3900">
      <c r="A3900" s="12" t="s">
        <v>3987</v>
      </c>
      <c r="F3900" s="19">
        <f>IFERROR(__xludf.DUMMYFUNCTION("SPLIT(A3896, "" |"")"),3894.0)</f>
        <v>3894</v>
      </c>
      <c r="G3900" s="19">
        <f>IFERROR(__xludf.DUMMYFUNCTION("""COMPUTED_VALUE"""),0.00244)</f>
        <v>0.00244</v>
      </c>
      <c r="H3900" s="19" t="str">
        <f>IFERROR(__xludf.DUMMYFUNCTION("""COMPUTED_VALUE"""),"-")</f>
        <v>-</v>
      </c>
      <c r="I3900" s="19">
        <f>IFERROR(__xludf.DUMMYFUNCTION("""COMPUTED_VALUE"""),0.00221)</f>
        <v>0.00221</v>
      </c>
      <c r="J3900" s="19">
        <f>IFERROR(__xludf.DUMMYFUNCTION("""COMPUTED_VALUE"""),0.04647)</f>
        <v>0.04647</v>
      </c>
      <c r="K3900" s="19" t="str">
        <f>IFERROR(__xludf.DUMMYFUNCTION("""COMPUTED_VALUE"""),"-")</f>
        <v>-</v>
      </c>
      <c r="L3900" s="19" t="str">
        <f>IFERROR(__xludf.DUMMYFUNCTION("""COMPUTED_VALUE"""),"-")</f>
        <v>-</v>
      </c>
      <c r="O3900" s="24">
        <f t="shared" si="4"/>
        <v>0</v>
      </c>
      <c r="P3900" s="24"/>
      <c r="Q3900" s="24">
        <f t="shared" si="6"/>
        <v>0</v>
      </c>
      <c r="R3900" s="24">
        <f t="shared" si="7"/>
        <v>0</v>
      </c>
      <c r="S3900" s="24"/>
      <c r="T3900" s="24"/>
    </row>
    <row r="3901">
      <c r="A3901" s="12" t="s">
        <v>3988</v>
      </c>
      <c r="F3901" s="19">
        <f>IFERROR(__xludf.DUMMYFUNCTION("SPLIT(A3897, "" |"")"),3895.0)</f>
        <v>3895</v>
      </c>
      <c r="G3901" s="19">
        <f>IFERROR(__xludf.DUMMYFUNCTION("""COMPUTED_VALUE"""),0.00233)</f>
        <v>0.00233</v>
      </c>
      <c r="H3901" s="19" t="str">
        <f>IFERROR(__xludf.DUMMYFUNCTION("""COMPUTED_VALUE"""),"-")</f>
        <v>-</v>
      </c>
      <c r="I3901" s="19">
        <f>IFERROR(__xludf.DUMMYFUNCTION("""COMPUTED_VALUE"""),0.00221)</f>
        <v>0.00221</v>
      </c>
      <c r="J3901" s="19">
        <f>IFERROR(__xludf.DUMMYFUNCTION("""COMPUTED_VALUE"""),0.04745)</f>
        <v>0.04745</v>
      </c>
      <c r="K3901" s="19" t="str">
        <f>IFERROR(__xludf.DUMMYFUNCTION("""COMPUTED_VALUE"""),"-")</f>
        <v>-</v>
      </c>
      <c r="L3901" s="19" t="str">
        <f>IFERROR(__xludf.DUMMYFUNCTION("""COMPUTED_VALUE"""),"-")</f>
        <v>-</v>
      </c>
      <c r="O3901" s="24">
        <f t="shared" si="4"/>
        <v>0</v>
      </c>
      <c r="P3901" s="24"/>
      <c r="Q3901" s="24">
        <f t="shared" si="6"/>
        <v>0</v>
      </c>
      <c r="R3901" s="24">
        <f t="shared" si="7"/>
        <v>0</v>
      </c>
      <c r="S3901" s="24"/>
      <c r="T3901" s="24"/>
    </row>
    <row r="3902">
      <c r="A3902" s="12" t="s">
        <v>3989</v>
      </c>
      <c r="F3902" s="19">
        <f>IFERROR(__xludf.DUMMYFUNCTION("SPLIT(A3898, "" |"")"),3896.0)</f>
        <v>3896</v>
      </c>
      <c r="G3902" s="19">
        <f>IFERROR(__xludf.DUMMYFUNCTION("""COMPUTED_VALUE"""),0.00235)</f>
        <v>0.00235</v>
      </c>
      <c r="H3902" s="19" t="str">
        <f>IFERROR(__xludf.DUMMYFUNCTION("""COMPUTED_VALUE"""),"-")</f>
        <v>-</v>
      </c>
      <c r="I3902" s="19">
        <f>IFERROR(__xludf.DUMMYFUNCTION("""COMPUTED_VALUE"""),0.00221)</f>
        <v>0.00221</v>
      </c>
      <c r="J3902" s="19">
        <f>IFERROR(__xludf.DUMMYFUNCTION("""COMPUTED_VALUE"""),0.04746)</f>
        <v>0.04746</v>
      </c>
      <c r="K3902" s="19" t="str">
        <f>IFERROR(__xludf.DUMMYFUNCTION("""COMPUTED_VALUE"""),"-")</f>
        <v>-</v>
      </c>
      <c r="L3902" s="19" t="str">
        <f>IFERROR(__xludf.DUMMYFUNCTION("""COMPUTED_VALUE"""),"-")</f>
        <v>-</v>
      </c>
      <c r="O3902" s="24">
        <f t="shared" si="4"/>
        <v>0</v>
      </c>
      <c r="P3902" s="24"/>
      <c r="Q3902" s="24">
        <f t="shared" si="6"/>
        <v>0</v>
      </c>
      <c r="R3902" s="24">
        <f t="shared" si="7"/>
        <v>0</v>
      </c>
      <c r="S3902" s="24"/>
      <c r="T3902" s="24"/>
    </row>
    <row r="3903">
      <c r="A3903" s="12" t="s">
        <v>3990</v>
      </c>
      <c r="F3903" s="19">
        <f>IFERROR(__xludf.DUMMYFUNCTION("SPLIT(A3899, "" |"")"),3897.0)</f>
        <v>3897</v>
      </c>
      <c r="G3903" s="19">
        <f>IFERROR(__xludf.DUMMYFUNCTION("""COMPUTED_VALUE"""),0.00231)</f>
        <v>0.00231</v>
      </c>
      <c r="H3903" s="19" t="str">
        <f>IFERROR(__xludf.DUMMYFUNCTION("""COMPUTED_VALUE"""),"-")</f>
        <v>-</v>
      </c>
      <c r="I3903" s="19">
        <f>IFERROR(__xludf.DUMMYFUNCTION("""COMPUTED_VALUE"""),0.00224)</f>
        <v>0.00224</v>
      </c>
      <c r="J3903" s="19">
        <f>IFERROR(__xludf.DUMMYFUNCTION("""COMPUTED_VALUE"""),0.04749)</f>
        <v>0.04749</v>
      </c>
      <c r="K3903" s="19" t="str">
        <f>IFERROR(__xludf.DUMMYFUNCTION("""COMPUTED_VALUE"""),"-")</f>
        <v>-</v>
      </c>
      <c r="L3903" s="19" t="str">
        <f>IFERROR(__xludf.DUMMYFUNCTION("""COMPUTED_VALUE"""),"-")</f>
        <v>-</v>
      </c>
      <c r="O3903" s="24">
        <f t="shared" si="4"/>
        <v>0</v>
      </c>
      <c r="P3903" s="24"/>
      <c r="Q3903" s="24">
        <f t="shared" si="6"/>
        <v>0</v>
      </c>
      <c r="R3903" s="24">
        <f t="shared" si="7"/>
        <v>0</v>
      </c>
      <c r="S3903" s="24"/>
      <c r="T3903" s="24"/>
    </row>
    <row r="3904">
      <c r="A3904" s="12" t="s">
        <v>3991</v>
      </c>
      <c r="F3904" s="19">
        <f>IFERROR(__xludf.DUMMYFUNCTION("SPLIT(A3900, "" |"")"),3898.0)</f>
        <v>3898</v>
      </c>
      <c r="G3904" s="19">
        <f>IFERROR(__xludf.DUMMYFUNCTION("""COMPUTED_VALUE"""),0.00238)</f>
        <v>0.00238</v>
      </c>
      <c r="H3904" s="19" t="str">
        <f>IFERROR(__xludf.DUMMYFUNCTION("""COMPUTED_VALUE"""),"-")</f>
        <v>-</v>
      </c>
      <c r="I3904" s="19">
        <f>IFERROR(__xludf.DUMMYFUNCTION("""COMPUTED_VALUE"""),0.00221)</f>
        <v>0.00221</v>
      </c>
      <c r="J3904" s="19">
        <f>IFERROR(__xludf.DUMMYFUNCTION("""COMPUTED_VALUE"""),0.04746)</f>
        <v>0.04746</v>
      </c>
      <c r="K3904" s="19" t="str">
        <f>IFERROR(__xludf.DUMMYFUNCTION("""COMPUTED_VALUE"""),"-")</f>
        <v>-</v>
      </c>
      <c r="L3904" s="19" t="str">
        <f>IFERROR(__xludf.DUMMYFUNCTION("""COMPUTED_VALUE"""),"-")</f>
        <v>-</v>
      </c>
      <c r="O3904" s="24">
        <f t="shared" si="4"/>
        <v>0</v>
      </c>
      <c r="P3904" s="24"/>
      <c r="Q3904" s="24">
        <f t="shared" si="6"/>
        <v>0</v>
      </c>
      <c r="R3904" s="24">
        <f t="shared" si="7"/>
        <v>0</v>
      </c>
      <c r="S3904" s="24"/>
      <c r="T3904" s="24"/>
    </row>
    <row r="3905">
      <c r="A3905" s="12" t="s">
        <v>3992</v>
      </c>
      <c r="F3905" s="19">
        <f>IFERROR(__xludf.DUMMYFUNCTION("SPLIT(A3901, "" |"")"),3899.0)</f>
        <v>3899</v>
      </c>
      <c r="G3905" s="19">
        <f>IFERROR(__xludf.DUMMYFUNCTION("""COMPUTED_VALUE"""),0.00231)</f>
        <v>0.00231</v>
      </c>
      <c r="H3905" s="19" t="str">
        <f>IFERROR(__xludf.DUMMYFUNCTION("""COMPUTED_VALUE"""),"-")</f>
        <v>-</v>
      </c>
      <c r="I3905" s="19">
        <f>IFERROR(__xludf.DUMMYFUNCTION("""COMPUTED_VALUE"""),0.00219)</f>
        <v>0.00219</v>
      </c>
      <c r="J3905" s="19">
        <f>IFERROR(__xludf.DUMMYFUNCTION("""COMPUTED_VALUE"""),0.04746)</f>
        <v>0.04746</v>
      </c>
      <c r="K3905" s="19" t="str">
        <f>IFERROR(__xludf.DUMMYFUNCTION("""COMPUTED_VALUE"""),"-")</f>
        <v>-</v>
      </c>
      <c r="L3905" s="19" t="str">
        <f>IFERROR(__xludf.DUMMYFUNCTION("""COMPUTED_VALUE"""),"-")</f>
        <v>-</v>
      </c>
      <c r="O3905" s="24">
        <f t="shared" si="4"/>
        <v>0</v>
      </c>
      <c r="P3905" s="24"/>
      <c r="Q3905" s="24">
        <f t="shared" si="6"/>
        <v>0</v>
      </c>
      <c r="R3905" s="24">
        <f t="shared" si="7"/>
        <v>0</v>
      </c>
      <c r="S3905" s="24"/>
      <c r="T3905" s="24"/>
    </row>
    <row r="3906">
      <c r="A3906" s="12" t="s">
        <v>3993</v>
      </c>
      <c r="F3906" s="19">
        <f>IFERROR(__xludf.DUMMYFUNCTION("SPLIT(A3902, "" |"")"),3900.0)</f>
        <v>3900</v>
      </c>
      <c r="G3906" s="19">
        <f>IFERROR(__xludf.DUMMYFUNCTION("""COMPUTED_VALUE"""),0.00234)</f>
        <v>0.00234</v>
      </c>
      <c r="H3906" s="19" t="str">
        <f>IFERROR(__xludf.DUMMYFUNCTION("""COMPUTED_VALUE"""),"-")</f>
        <v>-</v>
      </c>
      <c r="I3906" s="19">
        <f>IFERROR(__xludf.DUMMYFUNCTION("""COMPUTED_VALUE"""),0.00222)</f>
        <v>0.00222</v>
      </c>
      <c r="J3906" s="19">
        <f>IFERROR(__xludf.DUMMYFUNCTION("""COMPUTED_VALUE"""),0.04746)</f>
        <v>0.04746</v>
      </c>
      <c r="K3906" s="19" t="str">
        <f>IFERROR(__xludf.DUMMYFUNCTION("""COMPUTED_VALUE"""),"-")</f>
        <v>-</v>
      </c>
      <c r="L3906" s="19" t="str">
        <f>IFERROR(__xludf.DUMMYFUNCTION("""COMPUTED_VALUE"""),"-")</f>
        <v>-</v>
      </c>
      <c r="O3906" s="24">
        <f t="shared" si="4"/>
        <v>0</v>
      </c>
      <c r="P3906" s="24"/>
      <c r="Q3906" s="24">
        <f t="shared" si="6"/>
        <v>0</v>
      </c>
      <c r="R3906" s="24">
        <f t="shared" si="7"/>
        <v>0</v>
      </c>
      <c r="S3906" s="24"/>
      <c r="T3906" s="24"/>
    </row>
    <row r="3907">
      <c r="A3907" s="12" t="s">
        <v>3994</v>
      </c>
      <c r="F3907" s="19">
        <f>IFERROR(__xludf.DUMMYFUNCTION("SPLIT(A3903, "" |"")"),3901.0)</f>
        <v>3901</v>
      </c>
      <c r="G3907" s="19">
        <f>IFERROR(__xludf.DUMMYFUNCTION("""COMPUTED_VALUE"""),0.00235)</f>
        <v>0.00235</v>
      </c>
      <c r="H3907" s="19" t="str">
        <f>IFERROR(__xludf.DUMMYFUNCTION("""COMPUTED_VALUE"""),"-")</f>
        <v>-</v>
      </c>
      <c r="I3907" s="19">
        <f>IFERROR(__xludf.DUMMYFUNCTION("""COMPUTED_VALUE"""),0.0022)</f>
        <v>0.0022</v>
      </c>
      <c r="J3907" s="19">
        <f>IFERROR(__xludf.DUMMYFUNCTION("""COMPUTED_VALUE"""),0.0475)</f>
        <v>0.0475</v>
      </c>
      <c r="K3907" s="19" t="str">
        <f>IFERROR(__xludf.DUMMYFUNCTION("""COMPUTED_VALUE"""),"-")</f>
        <v>-</v>
      </c>
      <c r="L3907" s="19" t="str">
        <f>IFERROR(__xludf.DUMMYFUNCTION("""COMPUTED_VALUE"""),"-")</f>
        <v>-</v>
      </c>
      <c r="O3907" s="24">
        <f t="shared" si="4"/>
        <v>0</v>
      </c>
      <c r="P3907" s="24"/>
      <c r="Q3907" s="24">
        <f t="shared" si="6"/>
        <v>0</v>
      </c>
      <c r="R3907" s="24">
        <f t="shared" si="7"/>
        <v>0</v>
      </c>
      <c r="S3907" s="24"/>
      <c r="T3907" s="24"/>
    </row>
    <row r="3908">
      <c r="A3908" s="12" t="s">
        <v>3995</v>
      </c>
      <c r="F3908" s="19">
        <f>IFERROR(__xludf.DUMMYFUNCTION("SPLIT(A3904, "" |"")"),3902.0)</f>
        <v>3902</v>
      </c>
      <c r="G3908" s="19">
        <f>IFERROR(__xludf.DUMMYFUNCTION("""COMPUTED_VALUE"""),0.00232)</f>
        <v>0.00232</v>
      </c>
      <c r="H3908" s="19" t="str">
        <f>IFERROR(__xludf.DUMMYFUNCTION("""COMPUTED_VALUE"""),"-")</f>
        <v>-</v>
      </c>
      <c r="I3908" s="19">
        <f>IFERROR(__xludf.DUMMYFUNCTION("""COMPUTED_VALUE"""),0.00223)</f>
        <v>0.00223</v>
      </c>
      <c r="J3908" s="19">
        <f>IFERROR(__xludf.DUMMYFUNCTION("""COMPUTED_VALUE"""),0.04747)</f>
        <v>0.04747</v>
      </c>
      <c r="K3908" s="19" t="str">
        <f>IFERROR(__xludf.DUMMYFUNCTION("""COMPUTED_VALUE"""),"-")</f>
        <v>-</v>
      </c>
      <c r="L3908" s="19" t="str">
        <f>IFERROR(__xludf.DUMMYFUNCTION("""COMPUTED_VALUE"""),"-")</f>
        <v>-</v>
      </c>
      <c r="O3908" s="24">
        <f t="shared" si="4"/>
        <v>0</v>
      </c>
      <c r="P3908" s="24"/>
      <c r="Q3908" s="24">
        <f t="shared" si="6"/>
        <v>0</v>
      </c>
      <c r="R3908" s="24">
        <f t="shared" si="7"/>
        <v>0</v>
      </c>
      <c r="S3908" s="24"/>
      <c r="T3908" s="24"/>
    </row>
    <row r="3909">
      <c r="A3909" s="12" t="s">
        <v>3996</v>
      </c>
      <c r="F3909" s="19">
        <f>IFERROR(__xludf.DUMMYFUNCTION("SPLIT(A3905, "" |"")"),3903.0)</f>
        <v>3903</v>
      </c>
      <c r="G3909" s="19">
        <f>IFERROR(__xludf.DUMMYFUNCTION("""COMPUTED_VALUE"""),0.00232)</f>
        <v>0.00232</v>
      </c>
      <c r="H3909" s="19" t="str">
        <f>IFERROR(__xludf.DUMMYFUNCTION("""COMPUTED_VALUE"""),"-")</f>
        <v>-</v>
      </c>
      <c r="I3909" s="19">
        <f>IFERROR(__xludf.DUMMYFUNCTION("""COMPUTED_VALUE"""),0.00223)</f>
        <v>0.00223</v>
      </c>
      <c r="J3909" s="19">
        <f>IFERROR(__xludf.DUMMYFUNCTION("""COMPUTED_VALUE"""),0.04743)</f>
        <v>0.04743</v>
      </c>
      <c r="K3909" s="19" t="str">
        <f>IFERROR(__xludf.DUMMYFUNCTION("""COMPUTED_VALUE"""),"-")</f>
        <v>-</v>
      </c>
      <c r="L3909" s="19" t="str">
        <f>IFERROR(__xludf.DUMMYFUNCTION("""COMPUTED_VALUE"""),"-")</f>
        <v>-</v>
      </c>
      <c r="O3909" s="24">
        <f t="shared" si="4"/>
        <v>0</v>
      </c>
      <c r="P3909" s="24"/>
      <c r="Q3909" s="24">
        <f t="shared" si="6"/>
        <v>0</v>
      </c>
      <c r="R3909" s="24">
        <f t="shared" si="7"/>
        <v>0</v>
      </c>
      <c r="S3909" s="24"/>
      <c r="T3909" s="24"/>
    </row>
    <row r="3910">
      <c r="A3910" s="12" t="s">
        <v>3997</v>
      </c>
      <c r="F3910" s="19">
        <f>IFERROR(__xludf.DUMMYFUNCTION("SPLIT(A3906, "" |"")"),3904.0)</f>
        <v>3904</v>
      </c>
      <c r="G3910" s="19">
        <f>IFERROR(__xludf.DUMMYFUNCTION("""COMPUTED_VALUE"""),0.00229)</f>
        <v>0.00229</v>
      </c>
      <c r="H3910" s="19" t="str">
        <f>IFERROR(__xludf.DUMMYFUNCTION("""COMPUTED_VALUE"""),"-")</f>
        <v>-</v>
      </c>
      <c r="I3910" s="19">
        <f>IFERROR(__xludf.DUMMYFUNCTION("""COMPUTED_VALUE"""),0.00226)</f>
        <v>0.00226</v>
      </c>
      <c r="J3910" s="19">
        <f>IFERROR(__xludf.DUMMYFUNCTION("""COMPUTED_VALUE"""),0.04751)</f>
        <v>0.04751</v>
      </c>
      <c r="K3910" s="19" t="str">
        <f>IFERROR(__xludf.DUMMYFUNCTION("""COMPUTED_VALUE"""),"-")</f>
        <v>-</v>
      </c>
      <c r="L3910" s="19" t="str">
        <f>IFERROR(__xludf.DUMMYFUNCTION("""COMPUTED_VALUE"""),"-")</f>
        <v>-</v>
      </c>
      <c r="O3910" s="24">
        <f t="shared" si="4"/>
        <v>0</v>
      </c>
      <c r="P3910" s="24"/>
      <c r="Q3910" s="24">
        <f t="shared" si="6"/>
        <v>0</v>
      </c>
      <c r="R3910" s="24">
        <f t="shared" si="7"/>
        <v>0</v>
      </c>
      <c r="S3910" s="24"/>
      <c r="T3910" s="24"/>
    </row>
    <row r="3911">
      <c r="A3911" s="12" t="s">
        <v>3998</v>
      </c>
      <c r="F3911" s="19">
        <f>IFERROR(__xludf.DUMMYFUNCTION("SPLIT(A3907, "" |"")"),3905.0)</f>
        <v>3905</v>
      </c>
      <c r="G3911" s="19">
        <f>IFERROR(__xludf.DUMMYFUNCTION("""COMPUTED_VALUE"""),0.00246)</f>
        <v>0.00246</v>
      </c>
      <c r="H3911" s="19" t="str">
        <f>IFERROR(__xludf.DUMMYFUNCTION("""COMPUTED_VALUE"""),"-")</f>
        <v>-</v>
      </c>
      <c r="I3911" s="19">
        <f>IFERROR(__xludf.DUMMYFUNCTION("""COMPUTED_VALUE"""),0.00225)</f>
        <v>0.00225</v>
      </c>
      <c r="J3911" s="19">
        <f>IFERROR(__xludf.DUMMYFUNCTION("""COMPUTED_VALUE"""),0.0461)</f>
        <v>0.0461</v>
      </c>
      <c r="K3911" s="19" t="str">
        <f>IFERROR(__xludf.DUMMYFUNCTION("""COMPUTED_VALUE"""),"-")</f>
        <v>-</v>
      </c>
      <c r="L3911" s="19" t="str">
        <f>IFERROR(__xludf.DUMMYFUNCTION("""COMPUTED_VALUE"""),"-")</f>
        <v>-</v>
      </c>
      <c r="O3911" s="24">
        <f t="shared" si="4"/>
        <v>0</v>
      </c>
      <c r="P3911" s="24"/>
      <c r="Q3911" s="24">
        <f t="shared" si="6"/>
        <v>0</v>
      </c>
      <c r="R3911" s="24">
        <f t="shared" si="7"/>
        <v>0</v>
      </c>
      <c r="S3911" s="24"/>
      <c r="T3911" s="24"/>
    </row>
    <row r="3912">
      <c r="A3912" s="12" t="s">
        <v>3999</v>
      </c>
      <c r="F3912" s="19">
        <f>IFERROR(__xludf.DUMMYFUNCTION("SPLIT(A3908, "" |"")"),3906.0)</f>
        <v>3906</v>
      </c>
      <c r="G3912" s="19">
        <f>IFERROR(__xludf.DUMMYFUNCTION("""COMPUTED_VALUE"""),0.00237)</f>
        <v>0.00237</v>
      </c>
      <c r="H3912" s="19" t="str">
        <f>IFERROR(__xludf.DUMMYFUNCTION("""COMPUTED_VALUE"""),"-")</f>
        <v>-</v>
      </c>
      <c r="I3912" s="19">
        <f>IFERROR(__xludf.DUMMYFUNCTION("""COMPUTED_VALUE"""),0.00223)</f>
        <v>0.00223</v>
      </c>
      <c r="J3912" s="19">
        <f>IFERROR(__xludf.DUMMYFUNCTION("""COMPUTED_VALUE"""),0.04746)</f>
        <v>0.04746</v>
      </c>
      <c r="K3912" s="19" t="str">
        <f>IFERROR(__xludf.DUMMYFUNCTION("""COMPUTED_VALUE"""),"-")</f>
        <v>-</v>
      </c>
      <c r="L3912" s="19" t="str">
        <f>IFERROR(__xludf.DUMMYFUNCTION("""COMPUTED_VALUE"""),"-")</f>
        <v>-</v>
      </c>
      <c r="O3912" s="24">
        <f t="shared" si="4"/>
        <v>0</v>
      </c>
      <c r="P3912" s="24"/>
      <c r="Q3912" s="24">
        <f t="shared" si="6"/>
        <v>0</v>
      </c>
      <c r="R3912" s="24">
        <f t="shared" si="7"/>
        <v>0</v>
      </c>
      <c r="S3912" s="24"/>
      <c r="T3912" s="24"/>
    </row>
    <row r="3913">
      <c r="A3913" s="12" t="s">
        <v>4000</v>
      </c>
      <c r="F3913" s="19">
        <f>IFERROR(__xludf.DUMMYFUNCTION("SPLIT(A3909, "" |"")"),3907.0)</f>
        <v>3907</v>
      </c>
      <c r="G3913" s="19">
        <f>IFERROR(__xludf.DUMMYFUNCTION("""COMPUTED_VALUE"""),0.00233)</f>
        <v>0.00233</v>
      </c>
      <c r="H3913" s="19" t="str">
        <f>IFERROR(__xludf.DUMMYFUNCTION("""COMPUTED_VALUE"""),"-")</f>
        <v>-</v>
      </c>
      <c r="I3913" s="19">
        <f>IFERROR(__xludf.DUMMYFUNCTION("""COMPUTED_VALUE"""),0.00223)</f>
        <v>0.00223</v>
      </c>
      <c r="J3913" s="19">
        <f>IFERROR(__xludf.DUMMYFUNCTION("""COMPUTED_VALUE"""),0.04739)</f>
        <v>0.04739</v>
      </c>
      <c r="K3913" s="19" t="str">
        <f>IFERROR(__xludf.DUMMYFUNCTION("""COMPUTED_VALUE"""),"-")</f>
        <v>-</v>
      </c>
      <c r="L3913" s="19" t="str">
        <f>IFERROR(__xludf.DUMMYFUNCTION("""COMPUTED_VALUE"""),"-")</f>
        <v>-</v>
      </c>
      <c r="O3913" s="24">
        <f t="shared" si="4"/>
        <v>0</v>
      </c>
      <c r="P3913" s="24"/>
      <c r="Q3913" s="24">
        <f t="shared" si="6"/>
        <v>0</v>
      </c>
      <c r="R3913" s="24">
        <f t="shared" si="7"/>
        <v>0</v>
      </c>
      <c r="S3913" s="24"/>
      <c r="T3913" s="24"/>
    </row>
    <row r="3914">
      <c r="A3914" s="12" t="s">
        <v>4001</v>
      </c>
      <c r="F3914" s="19">
        <f>IFERROR(__xludf.DUMMYFUNCTION("SPLIT(A3910, "" |"")"),3908.0)</f>
        <v>3908</v>
      </c>
      <c r="G3914" s="19">
        <f>IFERROR(__xludf.DUMMYFUNCTION("""COMPUTED_VALUE"""),0.00233)</f>
        <v>0.00233</v>
      </c>
      <c r="H3914" s="19" t="str">
        <f>IFERROR(__xludf.DUMMYFUNCTION("""COMPUTED_VALUE"""),"-")</f>
        <v>-</v>
      </c>
      <c r="I3914" s="19">
        <f>IFERROR(__xludf.DUMMYFUNCTION("""COMPUTED_VALUE"""),0.00222)</f>
        <v>0.00222</v>
      </c>
      <c r="J3914" s="19">
        <f>IFERROR(__xludf.DUMMYFUNCTION("""COMPUTED_VALUE"""),0.04746)</f>
        <v>0.04746</v>
      </c>
      <c r="K3914" s="19" t="str">
        <f>IFERROR(__xludf.DUMMYFUNCTION("""COMPUTED_VALUE"""),"-")</f>
        <v>-</v>
      </c>
      <c r="L3914" s="19" t="str">
        <f>IFERROR(__xludf.DUMMYFUNCTION("""COMPUTED_VALUE"""),"-")</f>
        <v>-</v>
      </c>
      <c r="O3914" s="24">
        <f t="shared" si="4"/>
        <v>0</v>
      </c>
      <c r="P3914" s="24"/>
      <c r="Q3914" s="24">
        <f t="shared" si="6"/>
        <v>0</v>
      </c>
      <c r="R3914" s="24">
        <f t="shared" si="7"/>
        <v>0</v>
      </c>
      <c r="S3914" s="24"/>
      <c r="T3914" s="24"/>
    </row>
    <row r="3915">
      <c r="A3915" s="12" t="s">
        <v>4002</v>
      </c>
      <c r="F3915" s="19">
        <f>IFERROR(__xludf.DUMMYFUNCTION("SPLIT(A3911, "" |"")"),3909.0)</f>
        <v>3909</v>
      </c>
      <c r="G3915" s="19">
        <f>IFERROR(__xludf.DUMMYFUNCTION("""COMPUTED_VALUE"""),0.00237)</f>
        <v>0.00237</v>
      </c>
      <c r="H3915" s="19" t="str">
        <f>IFERROR(__xludf.DUMMYFUNCTION("""COMPUTED_VALUE"""),"-")</f>
        <v>-</v>
      </c>
      <c r="I3915" s="19">
        <f>IFERROR(__xludf.DUMMYFUNCTION("""COMPUTED_VALUE"""),0.00216)</f>
        <v>0.00216</v>
      </c>
      <c r="J3915" s="19">
        <f>IFERROR(__xludf.DUMMYFUNCTION("""COMPUTED_VALUE"""),0.04476)</f>
        <v>0.04476</v>
      </c>
      <c r="K3915" s="19" t="str">
        <f>IFERROR(__xludf.DUMMYFUNCTION("""COMPUTED_VALUE"""),"-")</f>
        <v>-</v>
      </c>
      <c r="L3915" s="19" t="str">
        <f>IFERROR(__xludf.DUMMYFUNCTION("""COMPUTED_VALUE"""),"-")</f>
        <v>-</v>
      </c>
      <c r="O3915" s="24">
        <f t="shared" si="4"/>
        <v>0</v>
      </c>
      <c r="P3915" s="24"/>
      <c r="Q3915" s="24">
        <f t="shared" si="6"/>
        <v>0</v>
      </c>
      <c r="R3915" s="24">
        <f t="shared" si="7"/>
        <v>1</v>
      </c>
      <c r="S3915" s="24"/>
      <c r="T3915" s="24"/>
    </row>
    <row r="3916">
      <c r="A3916" s="12" t="s">
        <v>4003</v>
      </c>
      <c r="F3916" s="19">
        <f>IFERROR(__xludf.DUMMYFUNCTION("SPLIT(A3912, "" |"")"),3910.0)</f>
        <v>3910</v>
      </c>
      <c r="G3916" s="19">
        <f>IFERROR(__xludf.DUMMYFUNCTION("""COMPUTED_VALUE"""),0.00236)</f>
        <v>0.00236</v>
      </c>
      <c r="H3916" s="19" t="str">
        <f>IFERROR(__xludf.DUMMYFUNCTION("""COMPUTED_VALUE"""),"-")</f>
        <v>-</v>
      </c>
      <c r="I3916" s="19">
        <f>IFERROR(__xludf.DUMMYFUNCTION("""COMPUTED_VALUE"""),0.00221)</f>
        <v>0.00221</v>
      </c>
      <c r="J3916" s="19">
        <f>IFERROR(__xludf.DUMMYFUNCTION("""COMPUTED_VALUE"""),0.04746)</f>
        <v>0.04746</v>
      </c>
      <c r="K3916" s="19" t="str">
        <f>IFERROR(__xludf.DUMMYFUNCTION("""COMPUTED_VALUE"""),"-")</f>
        <v>-</v>
      </c>
      <c r="L3916" s="19" t="str">
        <f>IFERROR(__xludf.DUMMYFUNCTION("""COMPUTED_VALUE"""),"-")</f>
        <v>-</v>
      </c>
      <c r="O3916" s="24">
        <f t="shared" si="4"/>
        <v>0</v>
      </c>
      <c r="P3916" s="24"/>
      <c r="Q3916" s="24">
        <f t="shared" si="6"/>
        <v>0</v>
      </c>
      <c r="R3916" s="24">
        <f t="shared" si="7"/>
        <v>0</v>
      </c>
      <c r="S3916" s="24"/>
      <c r="T3916" s="24"/>
    </row>
    <row r="3917">
      <c r="A3917" s="12" t="s">
        <v>4004</v>
      </c>
      <c r="F3917" s="19">
        <f>IFERROR(__xludf.DUMMYFUNCTION("SPLIT(A3913, "" |"")"),3911.0)</f>
        <v>3911</v>
      </c>
      <c r="G3917" s="19">
        <f>IFERROR(__xludf.DUMMYFUNCTION("""COMPUTED_VALUE"""),0.00234)</f>
        <v>0.00234</v>
      </c>
      <c r="H3917" s="19" t="str">
        <f>IFERROR(__xludf.DUMMYFUNCTION("""COMPUTED_VALUE"""),"-")</f>
        <v>-</v>
      </c>
      <c r="I3917" s="19">
        <f>IFERROR(__xludf.DUMMYFUNCTION("""COMPUTED_VALUE"""),0.00222)</f>
        <v>0.00222</v>
      </c>
      <c r="J3917" s="19">
        <f>IFERROR(__xludf.DUMMYFUNCTION("""COMPUTED_VALUE"""),0.04746)</f>
        <v>0.04746</v>
      </c>
      <c r="K3917" s="19" t="str">
        <f>IFERROR(__xludf.DUMMYFUNCTION("""COMPUTED_VALUE"""),"-")</f>
        <v>-</v>
      </c>
      <c r="L3917" s="19" t="str">
        <f>IFERROR(__xludf.DUMMYFUNCTION("""COMPUTED_VALUE"""),"-")</f>
        <v>-</v>
      </c>
      <c r="O3917" s="24">
        <f t="shared" si="4"/>
        <v>0</v>
      </c>
      <c r="P3917" s="24"/>
      <c r="Q3917" s="24">
        <f t="shared" si="6"/>
        <v>0</v>
      </c>
      <c r="R3917" s="24">
        <f t="shared" si="7"/>
        <v>0</v>
      </c>
      <c r="S3917" s="24"/>
      <c r="T3917" s="24"/>
    </row>
    <row r="3918">
      <c r="A3918" s="12" t="s">
        <v>4005</v>
      </c>
      <c r="F3918" s="19">
        <f>IFERROR(__xludf.DUMMYFUNCTION("SPLIT(A3914, "" |"")"),3912.0)</f>
        <v>3912</v>
      </c>
      <c r="G3918" s="19">
        <f>IFERROR(__xludf.DUMMYFUNCTION("""COMPUTED_VALUE"""),0.00231)</f>
        <v>0.00231</v>
      </c>
      <c r="H3918" s="19" t="str">
        <f>IFERROR(__xludf.DUMMYFUNCTION("""COMPUTED_VALUE"""),"-")</f>
        <v>-</v>
      </c>
      <c r="I3918" s="19">
        <f>IFERROR(__xludf.DUMMYFUNCTION("""COMPUTED_VALUE"""),0.00223)</f>
        <v>0.00223</v>
      </c>
      <c r="J3918" s="19">
        <f>IFERROR(__xludf.DUMMYFUNCTION("""COMPUTED_VALUE"""),0.04745)</f>
        <v>0.04745</v>
      </c>
      <c r="K3918" s="19" t="str">
        <f>IFERROR(__xludf.DUMMYFUNCTION("""COMPUTED_VALUE"""),"-")</f>
        <v>-</v>
      </c>
      <c r="L3918" s="19" t="str">
        <f>IFERROR(__xludf.DUMMYFUNCTION("""COMPUTED_VALUE"""),"-")</f>
        <v>-</v>
      </c>
      <c r="O3918" s="24">
        <f t="shared" si="4"/>
        <v>0</v>
      </c>
      <c r="P3918" s="24"/>
      <c r="Q3918" s="24">
        <f t="shared" si="6"/>
        <v>0</v>
      </c>
      <c r="R3918" s="24">
        <f t="shared" si="7"/>
        <v>0</v>
      </c>
      <c r="S3918" s="24"/>
      <c r="T3918" s="24"/>
    </row>
    <row r="3919">
      <c r="A3919" s="12" t="s">
        <v>4006</v>
      </c>
      <c r="F3919" s="19">
        <f>IFERROR(__xludf.DUMMYFUNCTION("SPLIT(A3915, "" |"")"),3913.0)</f>
        <v>3913</v>
      </c>
      <c r="G3919" s="19">
        <f>IFERROR(__xludf.DUMMYFUNCTION("""COMPUTED_VALUE"""),0.00224)</f>
        <v>0.00224</v>
      </c>
      <c r="H3919" s="19" t="str">
        <f>IFERROR(__xludf.DUMMYFUNCTION("""COMPUTED_VALUE"""),"-")</f>
        <v>-</v>
      </c>
      <c r="I3919" s="19">
        <f>IFERROR(__xludf.DUMMYFUNCTION("""COMPUTED_VALUE"""),0.0022)</f>
        <v>0.0022</v>
      </c>
      <c r="J3919" s="19">
        <f>IFERROR(__xludf.DUMMYFUNCTION("""COMPUTED_VALUE"""),0.04742)</f>
        <v>0.04742</v>
      </c>
      <c r="K3919" s="19" t="str">
        <f>IFERROR(__xludf.DUMMYFUNCTION("""COMPUTED_VALUE"""),"-")</f>
        <v>-</v>
      </c>
      <c r="L3919" s="19" t="str">
        <f>IFERROR(__xludf.DUMMYFUNCTION("""COMPUTED_VALUE"""),"-")</f>
        <v>-</v>
      </c>
      <c r="O3919" s="24">
        <f t="shared" si="4"/>
        <v>0</v>
      </c>
      <c r="P3919" s="24"/>
      <c r="Q3919" s="24">
        <f t="shared" si="6"/>
        <v>0</v>
      </c>
      <c r="R3919" s="24">
        <f t="shared" si="7"/>
        <v>0</v>
      </c>
      <c r="S3919" s="24"/>
      <c r="T3919" s="24"/>
    </row>
    <row r="3920">
      <c r="A3920" s="12" t="s">
        <v>4007</v>
      </c>
      <c r="F3920" s="19">
        <f>IFERROR(__xludf.DUMMYFUNCTION("SPLIT(A3916, "" |"")"),3914.0)</f>
        <v>3914</v>
      </c>
      <c r="G3920" s="19">
        <f>IFERROR(__xludf.DUMMYFUNCTION("""COMPUTED_VALUE"""),0.00238)</f>
        <v>0.00238</v>
      </c>
      <c r="H3920" s="19" t="str">
        <f>IFERROR(__xludf.DUMMYFUNCTION("""COMPUTED_VALUE"""),"-")</f>
        <v>-</v>
      </c>
      <c r="I3920" s="19">
        <f>IFERROR(__xludf.DUMMYFUNCTION("""COMPUTED_VALUE"""),0.0022)</f>
        <v>0.0022</v>
      </c>
      <c r="J3920" s="19">
        <f>IFERROR(__xludf.DUMMYFUNCTION("""COMPUTED_VALUE"""),0.04749)</f>
        <v>0.04749</v>
      </c>
      <c r="K3920" s="19" t="str">
        <f>IFERROR(__xludf.DUMMYFUNCTION("""COMPUTED_VALUE"""),"-")</f>
        <v>-</v>
      </c>
      <c r="L3920" s="19" t="str">
        <f>IFERROR(__xludf.DUMMYFUNCTION("""COMPUTED_VALUE"""),"-")</f>
        <v>-</v>
      </c>
      <c r="O3920" s="24">
        <f t="shared" si="4"/>
        <v>0</v>
      </c>
      <c r="P3920" s="24"/>
      <c r="Q3920" s="24">
        <f t="shared" si="6"/>
        <v>0</v>
      </c>
      <c r="R3920" s="24">
        <f t="shared" si="7"/>
        <v>0</v>
      </c>
      <c r="S3920" s="24"/>
      <c r="T3920" s="24"/>
    </row>
    <row r="3921">
      <c r="A3921" s="12" t="s">
        <v>4008</v>
      </c>
      <c r="F3921" s="19">
        <f>IFERROR(__xludf.DUMMYFUNCTION("SPLIT(A3917, "" |"")"),3915.0)</f>
        <v>3915</v>
      </c>
      <c r="G3921" s="19">
        <f>IFERROR(__xludf.DUMMYFUNCTION("""COMPUTED_VALUE"""),0.00239)</f>
        <v>0.00239</v>
      </c>
      <c r="H3921" s="19" t="str">
        <f>IFERROR(__xludf.DUMMYFUNCTION("""COMPUTED_VALUE"""),"-")</f>
        <v>-</v>
      </c>
      <c r="I3921" s="19">
        <f>IFERROR(__xludf.DUMMYFUNCTION("""COMPUTED_VALUE"""),0.00225)</f>
        <v>0.00225</v>
      </c>
      <c r="J3921" s="19">
        <f>IFERROR(__xludf.DUMMYFUNCTION("""COMPUTED_VALUE"""),0.04747)</f>
        <v>0.04747</v>
      </c>
      <c r="K3921" s="19" t="str">
        <f>IFERROR(__xludf.DUMMYFUNCTION("""COMPUTED_VALUE"""),"-")</f>
        <v>-</v>
      </c>
      <c r="L3921" s="19" t="str">
        <f>IFERROR(__xludf.DUMMYFUNCTION("""COMPUTED_VALUE"""),"-")</f>
        <v>-</v>
      </c>
      <c r="O3921" s="24">
        <f t="shared" si="4"/>
        <v>0</v>
      </c>
      <c r="P3921" s="24"/>
      <c r="Q3921" s="24">
        <f t="shared" si="6"/>
        <v>0</v>
      </c>
      <c r="R3921" s="24">
        <f t="shared" si="7"/>
        <v>0</v>
      </c>
      <c r="S3921" s="24"/>
      <c r="T3921" s="24"/>
    </row>
    <row r="3922">
      <c r="A3922" s="12" t="s">
        <v>4009</v>
      </c>
      <c r="F3922" s="19">
        <f>IFERROR(__xludf.DUMMYFUNCTION("SPLIT(A3918, "" |"")"),3916.0)</f>
        <v>3916</v>
      </c>
      <c r="G3922" s="19">
        <f>IFERROR(__xludf.DUMMYFUNCTION("""COMPUTED_VALUE"""),0.00232)</f>
        <v>0.00232</v>
      </c>
      <c r="H3922" s="19" t="str">
        <f>IFERROR(__xludf.DUMMYFUNCTION("""COMPUTED_VALUE"""),"-")</f>
        <v>-</v>
      </c>
      <c r="I3922" s="19">
        <f>IFERROR(__xludf.DUMMYFUNCTION("""COMPUTED_VALUE"""),0.00222)</f>
        <v>0.00222</v>
      </c>
      <c r="J3922" s="19">
        <f>IFERROR(__xludf.DUMMYFUNCTION("""COMPUTED_VALUE"""),0.04746)</f>
        <v>0.04746</v>
      </c>
      <c r="K3922" s="19" t="str">
        <f>IFERROR(__xludf.DUMMYFUNCTION("""COMPUTED_VALUE"""),"-")</f>
        <v>-</v>
      </c>
      <c r="L3922" s="19" t="str">
        <f>IFERROR(__xludf.DUMMYFUNCTION("""COMPUTED_VALUE"""),"-")</f>
        <v>-</v>
      </c>
      <c r="O3922" s="24">
        <f t="shared" si="4"/>
        <v>0</v>
      </c>
      <c r="P3922" s="24"/>
      <c r="Q3922" s="24">
        <f t="shared" si="6"/>
        <v>0</v>
      </c>
      <c r="R3922" s="24">
        <f t="shared" si="7"/>
        <v>0</v>
      </c>
      <c r="S3922" s="24"/>
      <c r="T3922" s="24"/>
    </row>
    <row r="3923">
      <c r="A3923" s="12" t="s">
        <v>4010</v>
      </c>
      <c r="F3923" s="19">
        <f>IFERROR(__xludf.DUMMYFUNCTION("SPLIT(A3919, "" |"")"),3917.0)</f>
        <v>3917</v>
      </c>
      <c r="G3923" s="19">
        <f>IFERROR(__xludf.DUMMYFUNCTION("""COMPUTED_VALUE"""),0.00234)</f>
        <v>0.00234</v>
      </c>
      <c r="H3923" s="19" t="str">
        <f>IFERROR(__xludf.DUMMYFUNCTION("""COMPUTED_VALUE"""),"-")</f>
        <v>-</v>
      </c>
      <c r="I3923" s="19">
        <f>IFERROR(__xludf.DUMMYFUNCTION("""COMPUTED_VALUE"""),0.00224)</f>
        <v>0.00224</v>
      </c>
      <c r="J3923" s="19">
        <f>IFERROR(__xludf.DUMMYFUNCTION("""COMPUTED_VALUE"""),0.04749)</f>
        <v>0.04749</v>
      </c>
      <c r="K3923" s="19" t="str">
        <f>IFERROR(__xludf.DUMMYFUNCTION("""COMPUTED_VALUE"""),"-")</f>
        <v>-</v>
      </c>
      <c r="L3923" s="19" t="str">
        <f>IFERROR(__xludf.DUMMYFUNCTION("""COMPUTED_VALUE"""),"-")</f>
        <v>-</v>
      </c>
      <c r="O3923" s="24">
        <f t="shared" si="4"/>
        <v>0</v>
      </c>
      <c r="P3923" s="24"/>
      <c r="Q3923" s="24">
        <f t="shared" si="6"/>
        <v>0</v>
      </c>
      <c r="R3923" s="24">
        <f t="shared" si="7"/>
        <v>0</v>
      </c>
      <c r="S3923" s="24"/>
      <c r="T3923" s="24"/>
    </row>
    <row r="3924">
      <c r="A3924" s="12" t="s">
        <v>4011</v>
      </c>
      <c r="F3924" s="19">
        <f>IFERROR(__xludf.DUMMYFUNCTION("SPLIT(A3920, "" |"")"),3918.0)</f>
        <v>3918</v>
      </c>
      <c r="G3924" s="19">
        <f>IFERROR(__xludf.DUMMYFUNCTION("""COMPUTED_VALUE"""),0.00236)</f>
        <v>0.00236</v>
      </c>
      <c r="H3924" s="19" t="str">
        <f>IFERROR(__xludf.DUMMYFUNCTION("""COMPUTED_VALUE"""),"-")</f>
        <v>-</v>
      </c>
      <c r="I3924" s="19">
        <f>IFERROR(__xludf.DUMMYFUNCTION("""COMPUTED_VALUE"""),0.0022)</f>
        <v>0.0022</v>
      </c>
      <c r="J3924" s="19">
        <f>IFERROR(__xludf.DUMMYFUNCTION("""COMPUTED_VALUE"""),0.04734)</f>
        <v>0.04734</v>
      </c>
      <c r="K3924" s="19" t="str">
        <f>IFERROR(__xludf.DUMMYFUNCTION("""COMPUTED_VALUE"""),"-")</f>
        <v>-</v>
      </c>
      <c r="L3924" s="19" t="str">
        <f>IFERROR(__xludf.DUMMYFUNCTION("""COMPUTED_VALUE"""),"-")</f>
        <v>-</v>
      </c>
      <c r="O3924" s="24">
        <f t="shared" si="4"/>
        <v>0</v>
      </c>
      <c r="P3924" s="24"/>
      <c r="Q3924" s="24">
        <f t="shared" si="6"/>
        <v>0</v>
      </c>
      <c r="R3924" s="24">
        <f t="shared" si="7"/>
        <v>0</v>
      </c>
      <c r="S3924" s="24"/>
      <c r="T3924" s="24"/>
    </row>
    <row r="3925">
      <c r="A3925" s="12" t="s">
        <v>4012</v>
      </c>
      <c r="F3925" s="19">
        <f>IFERROR(__xludf.DUMMYFUNCTION("SPLIT(A3921, "" |"")"),3919.0)</f>
        <v>3919</v>
      </c>
      <c r="G3925" s="19">
        <f>IFERROR(__xludf.DUMMYFUNCTION("""COMPUTED_VALUE"""),0.00225)</f>
        <v>0.00225</v>
      </c>
      <c r="H3925" s="19" t="str">
        <f>IFERROR(__xludf.DUMMYFUNCTION("""COMPUTED_VALUE"""),"-")</f>
        <v>-</v>
      </c>
      <c r="I3925" s="19">
        <f>IFERROR(__xludf.DUMMYFUNCTION("""COMPUTED_VALUE"""),0.00209)</f>
        <v>0.00209</v>
      </c>
      <c r="J3925" s="19">
        <f>IFERROR(__xludf.DUMMYFUNCTION("""COMPUTED_VALUE"""),0.04729)</f>
        <v>0.04729</v>
      </c>
      <c r="K3925" s="19" t="str">
        <f>IFERROR(__xludf.DUMMYFUNCTION("""COMPUTED_VALUE"""),"-")</f>
        <v>-</v>
      </c>
      <c r="L3925" s="19" t="str">
        <f>IFERROR(__xludf.DUMMYFUNCTION("""COMPUTED_VALUE"""),"-")</f>
        <v>-</v>
      </c>
      <c r="O3925" s="24">
        <f t="shared" si="4"/>
        <v>0</v>
      </c>
      <c r="P3925" s="24"/>
      <c r="Q3925" s="24">
        <f t="shared" si="6"/>
        <v>0</v>
      </c>
      <c r="R3925" s="24">
        <f t="shared" si="7"/>
        <v>0</v>
      </c>
      <c r="S3925" s="24"/>
      <c r="T3925" s="24"/>
    </row>
    <row r="3926">
      <c r="A3926" s="12" t="s">
        <v>4013</v>
      </c>
      <c r="F3926" s="19">
        <f>IFERROR(__xludf.DUMMYFUNCTION("SPLIT(A3922, "" |"")"),3920.0)</f>
        <v>3920</v>
      </c>
      <c r="G3926" s="19">
        <f>IFERROR(__xludf.DUMMYFUNCTION("""COMPUTED_VALUE"""),0.00223)</f>
        <v>0.00223</v>
      </c>
      <c r="H3926" s="19" t="str">
        <f>IFERROR(__xludf.DUMMYFUNCTION("""COMPUTED_VALUE"""),"-")</f>
        <v>-</v>
      </c>
      <c r="I3926" s="19">
        <f>IFERROR(__xludf.DUMMYFUNCTION("""COMPUTED_VALUE"""),0.00222)</f>
        <v>0.00222</v>
      </c>
      <c r="J3926" s="19">
        <f>IFERROR(__xludf.DUMMYFUNCTION("""COMPUTED_VALUE"""),0.04727)</f>
        <v>0.04727</v>
      </c>
      <c r="K3926" s="19" t="str">
        <f>IFERROR(__xludf.DUMMYFUNCTION("""COMPUTED_VALUE"""),"-")</f>
        <v>-</v>
      </c>
      <c r="L3926" s="19" t="str">
        <f>IFERROR(__xludf.DUMMYFUNCTION("""COMPUTED_VALUE"""),"-")</f>
        <v>-</v>
      </c>
      <c r="O3926" s="24">
        <f t="shared" si="4"/>
        <v>0</v>
      </c>
      <c r="P3926" s="24"/>
      <c r="Q3926" s="24">
        <f t="shared" si="6"/>
        <v>0</v>
      </c>
      <c r="R3926" s="24">
        <f t="shared" si="7"/>
        <v>0</v>
      </c>
      <c r="S3926" s="24"/>
      <c r="T3926" s="24"/>
    </row>
    <row r="3927">
      <c r="A3927" s="12" t="s">
        <v>4014</v>
      </c>
      <c r="F3927" s="19">
        <f>IFERROR(__xludf.DUMMYFUNCTION("SPLIT(A3923, "" |"")"),3921.0)</f>
        <v>3921</v>
      </c>
      <c r="G3927" s="19">
        <f>IFERROR(__xludf.DUMMYFUNCTION("""COMPUTED_VALUE"""),0.00236)</f>
        <v>0.00236</v>
      </c>
      <c r="H3927" s="19" t="str">
        <f>IFERROR(__xludf.DUMMYFUNCTION("""COMPUTED_VALUE"""),"-")</f>
        <v>-</v>
      </c>
      <c r="I3927" s="19">
        <f>IFERROR(__xludf.DUMMYFUNCTION("""COMPUTED_VALUE"""),0.00226)</f>
        <v>0.00226</v>
      </c>
      <c r="J3927" s="19">
        <f>IFERROR(__xludf.DUMMYFUNCTION("""COMPUTED_VALUE"""),0.04739)</f>
        <v>0.04739</v>
      </c>
      <c r="K3927" s="19" t="str">
        <f>IFERROR(__xludf.DUMMYFUNCTION("""COMPUTED_VALUE"""),"-")</f>
        <v>-</v>
      </c>
      <c r="L3927" s="19" t="str">
        <f>IFERROR(__xludf.DUMMYFUNCTION("""COMPUTED_VALUE"""),"-")</f>
        <v>-</v>
      </c>
      <c r="O3927" s="24">
        <f t="shared" si="4"/>
        <v>0</v>
      </c>
      <c r="P3927" s="24"/>
      <c r="Q3927" s="24">
        <f t="shared" si="6"/>
        <v>0</v>
      </c>
      <c r="R3927" s="24">
        <f t="shared" si="7"/>
        <v>0</v>
      </c>
      <c r="S3927" s="24"/>
      <c r="T3927" s="24"/>
    </row>
    <row r="3928">
      <c r="A3928" s="12" t="s">
        <v>4015</v>
      </c>
      <c r="F3928" s="19">
        <f>IFERROR(__xludf.DUMMYFUNCTION("SPLIT(A3924, "" |"")"),3922.0)</f>
        <v>3922</v>
      </c>
      <c r="G3928" s="19">
        <f>IFERROR(__xludf.DUMMYFUNCTION("""COMPUTED_VALUE"""),0.00234)</f>
        <v>0.00234</v>
      </c>
      <c r="H3928" s="19" t="str">
        <f>IFERROR(__xludf.DUMMYFUNCTION("""COMPUTED_VALUE"""),"-")</f>
        <v>-</v>
      </c>
      <c r="I3928" s="19">
        <f>IFERROR(__xludf.DUMMYFUNCTION("""COMPUTED_VALUE"""),0.00219)</f>
        <v>0.00219</v>
      </c>
      <c r="J3928" s="19">
        <f>IFERROR(__xludf.DUMMYFUNCTION("""COMPUTED_VALUE"""),0.04145)</f>
        <v>0.04145</v>
      </c>
      <c r="K3928" s="19" t="str">
        <f>IFERROR(__xludf.DUMMYFUNCTION("""COMPUTED_VALUE"""),"-")</f>
        <v>-</v>
      </c>
      <c r="L3928" s="19" t="str">
        <f>IFERROR(__xludf.DUMMYFUNCTION("""COMPUTED_VALUE"""),"-")</f>
        <v>-</v>
      </c>
      <c r="O3928" s="24">
        <f t="shared" si="4"/>
        <v>0</v>
      </c>
      <c r="P3928" s="24"/>
      <c r="Q3928" s="24">
        <f t="shared" si="6"/>
        <v>0</v>
      </c>
      <c r="R3928" s="24">
        <f t="shared" si="7"/>
        <v>1</v>
      </c>
      <c r="S3928" s="24"/>
      <c r="T3928" s="24"/>
    </row>
    <row r="3929">
      <c r="A3929" s="12" t="s">
        <v>4016</v>
      </c>
      <c r="F3929" s="19">
        <f>IFERROR(__xludf.DUMMYFUNCTION("SPLIT(A3925, "" |"")"),3923.0)</f>
        <v>3923</v>
      </c>
      <c r="G3929" s="19">
        <f>IFERROR(__xludf.DUMMYFUNCTION("""COMPUTED_VALUE"""),0.00232)</f>
        <v>0.00232</v>
      </c>
      <c r="H3929" s="19" t="str">
        <f>IFERROR(__xludf.DUMMYFUNCTION("""COMPUTED_VALUE"""),"-")</f>
        <v>-</v>
      </c>
      <c r="I3929" s="19">
        <f>IFERROR(__xludf.DUMMYFUNCTION("""COMPUTED_VALUE"""),0.00221)</f>
        <v>0.00221</v>
      </c>
      <c r="J3929" s="19">
        <f>IFERROR(__xludf.DUMMYFUNCTION("""COMPUTED_VALUE"""),0.04567)</f>
        <v>0.04567</v>
      </c>
      <c r="K3929" s="19" t="str">
        <f>IFERROR(__xludf.DUMMYFUNCTION("""COMPUTED_VALUE"""),"-")</f>
        <v>-</v>
      </c>
      <c r="L3929" s="19" t="str">
        <f>IFERROR(__xludf.DUMMYFUNCTION("""COMPUTED_VALUE"""),"-")</f>
        <v>-</v>
      </c>
      <c r="O3929" s="24">
        <f t="shared" si="4"/>
        <v>0</v>
      </c>
      <c r="P3929" s="24"/>
      <c r="Q3929" s="24">
        <f t="shared" si="6"/>
        <v>0</v>
      </c>
      <c r="R3929" s="24">
        <f t="shared" si="7"/>
        <v>0</v>
      </c>
      <c r="S3929" s="24"/>
      <c r="T3929" s="24"/>
    </row>
    <row r="3930">
      <c r="A3930" s="12" t="s">
        <v>4017</v>
      </c>
      <c r="F3930" s="19">
        <f>IFERROR(__xludf.DUMMYFUNCTION("SPLIT(A3926, "" |"")"),3924.0)</f>
        <v>3924</v>
      </c>
      <c r="G3930" s="19">
        <f>IFERROR(__xludf.DUMMYFUNCTION("""COMPUTED_VALUE"""),0.00243)</f>
        <v>0.00243</v>
      </c>
      <c r="H3930" s="19" t="str">
        <f>IFERROR(__xludf.DUMMYFUNCTION("""COMPUTED_VALUE"""),"-")</f>
        <v>-</v>
      </c>
      <c r="I3930" s="19">
        <f>IFERROR(__xludf.DUMMYFUNCTION("""COMPUTED_VALUE"""),0.00229)</f>
        <v>0.00229</v>
      </c>
      <c r="J3930" s="19">
        <f>IFERROR(__xludf.DUMMYFUNCTION("""COMPUTED_VALUE"""),0.04457)</f>
        <v>0.04457</v>
      </c>
      <c r="K3930" s="19" t="str">
        <f>IFERROR(__xludf.DUMMYFUNCTION("""COMPUTED_VALUE"""),"-")</f>
        <v>-</v>
      </c>
      <c r="L3930" s="19" t="str">
        <f>IFERROR(__xludf.DUMMYFUNCTION("""COMPUTED_VALUE"""),"-")</f>
        <v>-</v>
      </c>
      <c r="O3930" s="24">
        <f t="shared" si="4"/>
        <v>0</v>
      </c>
      <c r="P3930" s="24"/>
      <c r="Q3930" s="24">
        <f t="shared" si="6"/>
        <v>0</v>
      </c>
      <c r="R3930" s="24">
        <f t="shared" si="7"/>
        <v>1</v>
      </c>
      <c r="S3930" s="24"/>
      <c r="T3930" s="24"/>
    </row>
    <row r="3931">
      <c r="A3931" s="12" t="s">
        <v>4018</v>
      </c>
      <c r="F3931" s="19">
        <f>IFERROR(__xludf.DUMMYFUNCTION("SPLIT(A3927, "" |"")"),3925.0)</f>
        <v>3925</v>
      </c>
      <c r="G3931" s="19">
        <f>IFERROR(__xludf.DUMMYFUNCTION("""COMPUTED_VALUE"""),0.00238)</f>
        <v>0.00238</v>
      </c>
      <c r="H3931" s="19" t="str">
        <f>IFERROR(__xludf.DUMMYFUNCTION("""COMPUTED_VALUE"""),"-")</f>
        <v>-</v>
      </c>
      <c r="I3931" s="19">
        <f>IFERROR(__xludf.DUMMYFUNCTION("""COMPUTED_VALUE"""),0.00221)</f>
        <v>0.00221</v>
      </c>
      <c r="J3931" s="19">
        <f>IFERROR(__xludf.DUMMYFUNCTION("""COMPUTED_VALUE"""),0.04613)</f>
        <v>0.04613</v>
      </c>
      <c r="K3931" s="19" t="str">
        <f>IFERROR(__xludf.DUMMYFUNCTION("""COMPUTED_VALUE"""),"-")</f>
        <v>-</v>
      </c>
      <c r="L3931" s="19" t="str">
        <f>IFERROR(__xludf.DUMMYFUNCTION("""COMPUTED_VALUE"""),"-")</f>
        <v>-</v>
      </c>
      <c r="O3931" s="24">
        <f t="shared" si="4"/>
        <v>0</v>
      </c>
      <c r="P3931" s="24"/>
      <c r="Q3931" s="24">
        <f t="shared" si="6"/>
        <v>0</v>
      </c>
      <c r="R3931" s="24">
        <f t="shared" si="7"/>
        <v>0</v>
      </c>
      <c r="S3931" s="24"/>
      <c r="T3931" s="24"/>
    </row>
    <row r="3932">
      <c r="A3932" s="12" t="s">
        <v>4019</v>
      </c>
      <c r="F3932" s="19">
        <f>IFERROR(__xludf.DUMMYFUNCTION("SPLIT(A3928, "" |"")"),3926.0)</f>
        <v>3926</v>
      </c>
      <c r="G3932" s="19">
        <f>IFERROR(__xludf.DUMMYFUNCTION("""COMPUTED_VALUE"""),0.00237)</f>
        <v>0.00237</v>
      </c>
      <c r="H3932" s="19" t="str">
        <f>IFERROR(__xludf.DUMMYFUNCTION("""COMPUTED_VALUE"""),"-")</f>
        <v>-</v>
      </c>
      <c r="I3932" s="19">
        <f>IFERROR(__xludf.DUMMYFUNCTION("""COMPUTED_VALUE"""),0.00227)</f>
        <v>0.00227</v>
      </c>
      <c r="J3932" s="19">
        <f>IFERROR(__xludf.DUMMYFUNCTION("""COMPUTED_VALUE"""),0.04738)</f>
        <v>0.04738</v>
      </c>
      <c r="K3932" s="19" t="str">
        <f>IFERROR(__xludf.DUMMYFUNCTION("""COMPUTED_VALUE"""),"-")</f>
        <v>-</v>
      </c>
      <c r="L3932" s="19" t="str">
        <f>IFERROR(__xludf.DUMMYFUNCTION("""COMPUTED_VALUE"""),"-")</f>
        <v>-</v>
      </c>
      <c r="O3932" s="24">
        <f t="shared" si="4"/>
        <v>0</v>
      </c>
      <c r="P3932" s="24"/>
      <c r="Q3932" s="24">
        <f t="shared" si="6"/>
        <v>0</v>
      </c>
      <c r="R3932" s="24">
        <f t="shared" si="7"/>
        <v>0</v>
      </c>
      <c r="S3932" s="24"/>
      <c r="T3932" s="24"/>
    </row>
    <row r="3933">
      <c r="A3933" s="12" t="s">
        <v>4020</v>
      </c>
      <c r="F3933" s="19">
        <f>IFERROR(__xludf.DUMMYFUNCTION("SPLIT(A3929, "" |"")"),3927.0)</f>
        <v>3927</v>
      </c>
      <c r="G3933" s="19">
        <f>IFERROR(__xludf.DUMMYFUNCTION("""COMPUTED_VALUE"""),0.0023)</f>
        <v>0.0023</v>
      </c>
      <c r="H3933" s="19" t="str">
        <f>IFERROR(__xludf.DUMMYFUNCTION("""COMPUTED_VALUE"""),"-")</f>
        <v>-</v>
      </c>
      <c r="I3933" s="19">
        <f>IFERROR(__xludf.DUMMYFUNCTION("""COMPUTED_VALUE"""),0.00222)</f>
        <v>0.00222</v>
      </c>
      <c r="J3933" s="19">
        <f>IFERROR(__xludf.DUMMYFUNCTION("""COMPUTED_VALUE"""),0.04737)</f>
        <v>0.04737</v>
      </c>
      <c r="K3933" s="19" t="str">
        <f>IFERROR(__xludf.DUMMYFUNCTION("""COMPUTED_VALUE"""),"-")</f>
        <v>-</v>
      </c>
      <c r="L3933" s="19" t="str">
        <f>IFERROR(__xludf.DUMMYFUNCTION("""COMPUTED_VALUE"""),"-")</f>
        <v>-</v>
      </c>
      <c r="O3933" s="24">
        <f t="shared" si="4"/>
        <v>0</v>
      </c>
      <c r="P3933" s="24"/>
      <c r="Q3933" s="24">
        <f t="shared" si="6"/>
        <v>0</v>
      </c>
      <c r="R3933" s="24">
        <f t="shared" si="7"/>
        <v>0</v>
      </c>
      <c r="S3933" s="24"/>
      <c r="T3933" s="24"/>
    </row>
    <row r="3934">
      <c r="A3934" s="12" t="s">
        <v>4021</v>
      </c>
      <c r="F3934" s="19">
        <f>IFERROR(__xludf.DUMMYFUNCTION("SPLIT(A3930, "" |"")"),3928.0)</f>
        <v>3928</v>
      </c>
      <c r="G3934" s="19">
        <f>IFERROR(__xludf.DUMMYFUNCTION("""COMPUTED_VALUE"""),0.00233)</f>
        <v>0.00233</v>
      </c>
      <c r="H3934" s="19" t="str">
        <f>IFERROR(__xludf.DUMMYFUNCTION("""COMPUTED_VALUE"""),"-")</f>
        <v>-</v>
      </c>
      <c r="I3934" s="19">
        <f>IFERROR(__xludf.DUMMYFUNCTION("""COMPUTED_VALUE"""),0.00227)</f>
        <v>0.00227</v>
      </c>
      <c r="J3934" s="19">
        <f>IFERROR(__xludf.DUMMYFUNCTION("""COMPUTED_VALUE"""),0.04283)</f>
        <v>0.04283</v>
      </c>
      <c r="K3934" s="19" t="str">
        <f>IFERROR(__xludf.DUMMYFUNCTION("""COMPUTED_VALUE"""),"-")</f>
        <v>-</v>
      </c>
      <c r="L3934" s="19" t="str">
        <f>IFERROR(__xludf.DUMMYFUNCTION("""COMPUTED_VALUE"""),"-")</f>
        <v>-</v>
      </c>
      <c r="O3934" s="24">
        <f t="shared" si="4"/>
        <v>0</v>
      </c>
      <c r="P3934" s="24"/>
      <c r="Q3934" s="24">
        <f t="shared" si="6"/>
        <v>0</v>
      </c>
      <c r="R3934" s="24">
        <f t="shared" si="7"/>
        <v>1</v>
      </c>
      <c r="S3934" s="24"/>
      <c r="T3934" s="24"/>
    </row>
    <row r="3935">
      <c r="A3935" s="12" t="s">
        <v>4022</v>
      </c>
      <c r="F3935" s="19">
        <f>IFERROR(__xludf.DUMMYFUNCTION("SPLIT(A3931, "" |"")"),3929.0)</f>
        <v>3929</v>
      </c>
      <c r="G3935" s="19">
        <f>IFERROR(__xludf.DUMMYFUNCTION("""COMPUTED_VALUE"""),0.00252)</f>
        <v>0.00252</v>
      </c>
      <c r="H3935" s="19" t="str">
        <f>IFERROR(__xludf.DUMMYFUNCTION("""COMPUTED_VALUE"""),"-")</f>
        <v>-</v>
      </c>
      <c r="I3935" s="19">
        <f>IFERROR(__xludf.DUMMYFUNCTION("""COMPUTED_VALUE"""),0.00228)</f>
        <v>0.00228</v>
      </c>
      <c r="J3935" s="19">
        <f>IFERROR(__xludf.DUMMYFUNCTION("""COMPUTED_VALUE"""),0.04752)</f>
        <v>0.04752</v>
      </c>
      <c r="K3935" s="19" t="str">
        <f>IFERROR(__xludf.DUMMYFUNCTION("""COMPUTED_VALUE"""),"-")</f>
        <v>-</v>
      </c>
      <c r="L3935" s="19" t="str">
        <f>IFERROR(__xludf.DUMMYFUNCTION("""COMPUTED_VALUE"""),"-")</f>
        <v>-</v>
      </c>
      <c r="O3935" s="24">
        <f t="shared" si="4"/>
        <v>0</v>
      </c>
      <c r="P3935" s="24"/>
      <c r="Q3935" s="24">
        <f t="shared" si="6"/>
        <v>0</v>
      </c>
      <c r="R3935" s="24">
        <f t="shared" si="7"/>
        <v>0</v>
      </c>
      <c r="S3935" s="24"/>
      <c r="T3935" s="24"/>
    </row>
    <row r="3936">
      <c r="A3936" s="12" t="s">
        <v>4023</v>
      </c>
      <c r="F3936" s="19">
        <f>IFERROR(__xludf.DUMMYFUNCTION("SPLIT(A3932, "" |"")"),3930.0)</f>
        <v>3930</v>
      </c>
      <c r="G3936" s="19">
        <f>IFERROR(__xludf.DUMMYFUNCTION("""COMPUTED_VALUE"""),0.00236)</f>
        <v>0.00236</v>
      </c>
      <c r="H3936" s="19" t="str">
        <f>IFERROR(__xludf.DUMMYFUNCTION("""COMPUTED_VALUE"""),"-")</f>
        <v>-</v>
      </c>
      <c r="I3936" s="19">
        <f>IFERROR(__xludf.DUMMYFUNCTION("""COMPUTED_VALUE"""),0.00223)</f>
        <v>0.00223</v>
      </c>
      <c r="J3936" s="19">
        <f>IFERROR(__xludf.DUMMYFUNCTION("""COMPUTED_VALUE"""),0.04749)</f>
        <v>0.04749</v>
      </c>
      <c r="K3936" s="19" t="str">
        <f>IFERROR(__xludf.DUMMYFUNCTION("""COMPUTED_VALUE"""),"-")</f>
        <v>-</v>
      </c>
      <c r="L3936" s="19" t="str">
        <f>IFERROR(__xludf.DUMMYFUNCTION("""COMPUTED_VALUE"""),"-")</f>
        <v>-</v>
      </c>
      <c r="O3936" s="24">
        <f t="shared" si="4"/>
        <v>0</v>
      </c>
      <c r="P3936" s="24"/>
      <c r="Q3936" s="24">
        <f t="shared" si="6"/>
        <v>0</v>
      </c>
      <c r="R3936" s="24">
        <f t="shared" si="7"/>
        <v>0</v>
      </c>
      <c r="S3936" s="24"/>
      <c r="T3936" s="24"/>
    </row>
    <row r="3937">
      <c r="A3937" s="12" t="s">
        <v>4024</v>
      </c>
      <c r="F3937" s="19">
        <f>IFERROR(__xludf.DUMMYFUNCTION("SPLIT(A3933, "" |"")"),3931.0)</f>
        <v>3931</v>
      </c>
      <c r="G3937" s="19">
        <f>IFERROR(__xludf.DUMMYFUNCTION("""COMPUTED_VALUE"""),0.00237)</f>
        <v>0.00237</v>
      </c>
      <c r="H3937" s="19" t="str">
        <f>IFERROR(__xludf.DUMMYFUNCTION("""COMPUTED_VALUE"""),"-")</f>
        <v>-</v>
      </c>
      <c r="I3937" s="19">
        <f>IFERROR(__xludf.DUMMYFUNCTION("""COMPUTED_VALUE"""),0.00229)</f>
        <v>0.00229</v>
      </c>
      <c r="J3937" s="19">
        <f>IFERROR(__xludf.DUMMYFUNCTION("""COMPUTED_VALUE"""),0.04739)</f>
        <v>0.04739</v>
      </c>
      <c r="K3937" s="19" t="str">
        <f>IFERROR(__xludf.DUMMYFUNCTION("""COMPUTED_VALUE"""),"-")</f>
        <v>-</v>
      </c>
      <c r="L3937" s="19" t="str">
        <f>IFERROR(__xludf.DUMMYFUNCTION("""COMPUTED_VALUE"""),"-")</f>
        <v>-</v>
      </c>
      <c r="O3937" s="24">
        <f t="shared" si="4"/>
        <v>0</v>
      </c>
      <c r="P3937" s="24"/>
      <c r="Q3937" s="24">
        <f t="shared" si="6"/>
        <v>0</v>
      </c>
      <c r="R3937" s="24">
        <f t="shared" si="7"/>
        <v>0</v>
      </c>
      <c r="S3937" s="24"/>
      <c r="T3937" s="24"/>
    </row>
    <row r="3938">
      <c r="A3938" s="12" t="s">
        <v>4025</v>
      </c>
      <c r="F3938" s="19">
        <f>IFERROR(__xludf.DUMMYFUNCTION("SPLIT(A3934, "" |"")"),3932.0)</f>
        <v>3932</v>
      </c>
      <c r="G3938" s="19">
        <f>IFERROR(__xludf.DUMMYFUNCTION("""COMPUTED_VALUE"""),0.00236)</f>
        <v>0.00236</v>
      </c>
      <c r="H3938" s="19" t="str">
        <f>IFERROR(__xludf.DUMMYFUNCTION("""COMPUTED_VALUE"""),"-")</f>
        <v>-</v>
      </c>
      <c r="I3938" s="19">
        <f>IFERROR(__xludf.DUMMYFUNCTION("""COMPUTED_VALUE"""),0.00225)</f>
        <v>0.00225</v>
      </c>
      <c r="J3938" s="19">
        <f>IFERROR(__xludf.DUMMYFUNCTION("""COMPUTED_VALUE"""),0.04743)</f>
        <v>0.04743</v>
      </c>
      <c r="K3938" s="19" t="str">
        <f>IFERROR(__xludf.DUMMYFUNCTION("""COMPUTED_VALUE"""),"-")</f>
        <v>-</v>
      </c>
      <c r="L3938" s="19" t="str">
        <f>IFERROR(__xludf.DUMMYFUNCTION("""COMPUTED_VALUE"""),"-")</f>
        <v>-</v>
      </c>
      <c r="O3938" s="24">
        <f t="shared" si="4"/>
        <v>0</v>
      </c>
      <c r="P3938" s="24"/>
      <c r="Q3938" s="24">
        <f t="shared" si="6"/>
        <v>0</v>
      </c>
      <c r="R3938" s="24">
        <f t="shared" si="7"/>
        <v>0</v>
      </c>
      <c r="S3938" s="24"/>
      <c r="T3938" s="24"/>
    </row>
    <row r="3939">
      <c r="A3939" s="12" t="s">
        <v>4026</v>
      </c>
      <c r="F3939" s="19">
        <f>IFERROR(__xludf.DUMMYFUNCTION("SPLIT(A3935, "" |"")"),3933.0)</f>
        <v>3933</v>
      </c>
      <c r="G3939" s="19">
        <f>IFERROR(__xludf.DUMMYFUNCTION("""COMPUTED_VALUE"""),0.00236)</f>
        <v>0.00236</v>
      </c>
      <c r="H3939" s="19" t="str">
        <f>IFERROR(__xludf.DUMMYFUNCTION("""COMPUTED_VALUE"""),"-")</f>
        <v>-</v>
      </c>
      <c r="I3939" s="19">
        <f>IFERROR(__xludf.DUMMYFUNCTION("""COMPUTED_VALUE"""),0.00226)</f>
        <v>0.00226</v>
      </c>
      <c r="J3939" s="19">
        <f>IFERROR(__xludf.DUMMYFUNCTION("""COMPUTED_VALUE"""),0.04745)</f>
        <v>0.04745</v>
      </c>
      <c r="K3939" s="19" t="str">
        <f>IFERROR(__xludf.DUMMYFUNCTION("""COMPUTED_VALUE"""),"-")</f>
        <v>-</v>
      </c>
      <c r="L3939" s="19" t="str">
        <f>IFERROR(__xludf.DUMMYFUNCTION("""COMPUTED_VALUE"""),"-")</f>
        <v>-</v>
      </c>
      <c r="O3939" s="24">
        <f t="shared" si="4"/>
        <v>0</v>
      </c>
      <c r="P3939" s="24"/>
      <c r="Q3939" s="24">
        <f t="shared" si="6"/>
        <v>0</v>
      </c>
      <c r="R3939" s="24">
        <f t="shared" si="7"/>
        <v>0</v>
      </c>
      <c r="S3939" s="24"/>
      <c r="T3939" s="24"/>
    </row>
    <row r="3940">
      <c r="A3940" s="12" t="s">
        <v>4027</v>
      </c>
      <c r="F3940" s="19">
        <f>IFERROR(__xludf.DUMMYFUNCTION("SPLIT(A3936, "" |"")"),3934.0)</f>
        <v>3934</v>
      </c>
      <c r="G3940" s="19">
        <f>IFERROR(__xludf.DUMMYFUNCTION("""COMPUTED_VALUE"""),0.00241)</f>
        <v>0.00241</v>
      </c>
      <c r="H3940" s="19" t="str">
        <f>IFERROR(__xludf.DUMMYFUNCTION("""COMPUTED_VALUE"""),"-")</f>
        <v>-</v>
      </c>
      <c r="I3940" s="19">
        <f>IFERROR(__xludf.DUMMYFUNCTION("""COMPUTED_VALUE"""),0.0022)</f>
        <v>0.0022</v>
      </c>
      <c r="J3940" s="19">
        <f>IFERROR(__xludf.DUMMYFUNCTION("""COMPUTED_VALUE"""),0.03948)</f>
        <v>0.03948</v>
      </c>
      <c r="K3940" s="19" t="str">
        <f>IFERROR(__xludf.DUMMYFUNCTION("""COMPUTED_VALUE"""),"-")</f>
        <v>-</v>
      </c>
      <c r="L3940" s="19" t="str">
        <f>IFERROR(__xludf.DUMMYFUNCTION("""COMPUTED_VALUE"""),"-")</f>
        <v>-</v>
      </c>
      <c r="O3940" s="24">
        <f t="shared" si="4"/>
        <v>0</v>
      </c>
      <c r="P3940" s="24"/>
      <c r="Q3940" s="24">
        <f t="shared" si="6"/>
        <v>0</v>
      </c>
      <c r="R3940" s="24">
        <f t="shared" si="7"/>
        <v>1</v>
      </c>
      <c r="S3940" s="24"/>
      <c r="T3940" s="24"/>
    </row>
    <row r="3941">
      <c r="A3941" s="12" t="s">
        <v>4028</v>
      </c>
      <c r="F3941" s="19">
        <f>IFERROR(__xludf.DUMMYFUNCTION("SPLIT(A3937, "" |"")"),3935.0)</f>
        <v>3935</v>
      </c>
      <c r="G3941" s="19">
        <f>IFERROR(__xludf.DUMMYFUNCTION("""COMPUTED_VALUE"""),0.00232)</f>
        <v>0.00232</v>
      </c>
      <c r="H3941" s="19" t="str">
        <f>IFERROR(__xludf.DUMMYFUNCTION("""COMPUTED_VALUE"""),"-")</f>
        <v>-</v>
      </c>
      <c r="I3941" s="19">
        <f>IFERROR(__xludf.DUMMYFUNCTION("""COMPUTED_VALUE"""),0.00222)</f>
        <v>0.00222</v>
      </c>
      <c r="J3941" s="19">
        <f>IFERROR(__xludf.DUMMYFUNCTION("""COMPUTED_VALUE"""),0.04742)</f>
        <v>0.04742</v>
      </c>
      <c r="K3941" s="19" t="str">
        <f>IFERROR(__xludf.DUMMYFUNCTION("""COMPUTED_VALUE"""),"-")</f>
        <v>-</v>
      </c>
      <c r="L3941" s="19" t="str">
        <f>IFERROR(__xludf.DUMMYFUNCTION("""COMPUTED_VALUE"""),"-")</f>
        <v>-</v>
      </c>
      <c r="O3941" s="24">
        <f t="shared" si="4"/>
        <v>0</v>
      </c>
      <c r="P3941" s="24"/>
      <c r="Q3941" s="24">
        <f t="shared" si="6"/>
        <v>0</v>
      </c>
      <c r="R3941" s="24">
        <f t="shared" si="7"/>
        <v>0</v>
      </c>
      <c r="S3941" s="24"/>
      <c r="T3941" s="24"/>
    </row>
    <row r="3942">
      <c r="A3942" s="12" t="s">
        <v>4029</v>
      </c>
      <c r="F3942" s="19">
        <f>IFERROR(__xludf.DUMMYFUNCTION("SPLIT(A3938, "" |"")"),3936.0)</f>
        <v>3936</v>
      </c>
      <c r="G3942" s="19">
        <f>IFERROR(__xludf.DUMMYFUNCTION("""COMPUTED_VALUE"""),0.00236)</f>
        <v>0.00236</v>
      </c>
      <c r="H3942" s="19" t="str">
        <f>IFERROR(__xludf.DUMMYFUNCTION("""COMPUTED_VALUE"""),"-")</f>
        <v>-</v>
      </c>
      <c r="I3942" s="19">
        <f>IFERROR(__xludf.DUMMYFUNCTION("""COMPUTED_VALUE"""),0.00223)</f>
        <v>0.00223</v>
      </c>
      <c r="J3942" s="19">
        <f>IFERROR(__xludf.DUMMYFUNCTION("""COMPUTED_VALUE"""),0.04747)</f>
        <v>0.04747</v>
      </c>
      <c r="K3942" s="19" t="str">
        <f>IFERROR(__xludf.DUMMYFUNCTION("""COMPUTED_VALUE"""),"-")</f>
        <v>-</v>
      </c>
      <c r="L3942" s="19" t="str">
        <f>IFERROR(__xludf.DUMMYFUNCTION("""COMPUTED_VALUE"""),"-")</f>
        <v>-</v>
      </c>
      <c r="O3942" s="24">
        <f t="shared" si="4"/>
        <v>0</v>
      </c>
      <c r="P3942" s="24"/>
      <c r="Q3942" s="24">
        <f t="shared" si="6"/>
        <v>0</v>
      </c>
      <c r="R3942" s="24">
        <f t="shared" si="7"/>
        <v>0</v>
      </c>
      <c r="S3942" s="24"/>
      <c r="T3942" s="24"/>
    </row>
    <row r="3943">
      <c r="A3943" s="12" t="s">
        <v>4030</v>
      </c>
      <c r="F3943" s="19">
        <f>IFERROR(__xludf.DUMMYFUNCTION("SPLIT(A3939, "" |"")"),3937.0)</f>
        <v>3937</v>
      </c>
      <c r="G3943" s="19">
        <f>IFERROR(__xludf.DUMMYFUNCTION("""COMPUTED_VALUE"""),0.00232)</f>
        <v>0.00232</v>
      </c>
      <c r="H3943" s="19" t="str">
        <f>IFERROR(__xludf.DUMMYFUNCTION("""COMPUTED_VALUE"""),"-")</f>
        <v>-</v>
      </c>
      <c r="I3943" s="19">
        <f>IFERROR(__xludf.DUMMYFUNCTION("""COMPUTED_VALUE"""),0.00221)</f>
        <v>0.00221</v>
      </c>
      <c r="J3943" s="19">
        <f>IFERROR(__xludf.DUMMYFUNCTION("""COMPUTED_VALUE"""),0.04638)</f>
        <v>0.04638</v>
      </c>
      <c r="K3943" s="19" t="str">
        <f>IFERROR(__xludf.DUMMYFUNCTION("""COMPUTED_VALUE"""),"-")</f>
        <v>-</v>
      </c>
      <c r="L3943" s="19" t="str">
        <f>IFERROR(__xludf.DUMMYFUNCTION("""COMPUTED_VALUE"""),"-")</f>
        <v>-</v>
      </c>
      <c r="O3943" s="24">
        <f t="shared" si="4"/>
        <v>0</v>
      </c>
      <c r="P3943" s="24"/>
      <c r="Q3943" s="24">
        <f t="shared" si="6"/>
        <v>0</v>
      </c>
      <c r="R3943" s="24">
        <f t="shared" si="7"/>
        <v>0</v>
      </c>
      <c r="S3943" s="24"/>
      <c r="T3943" s="24"/>
    </row>
    <row r="3944">
      <c r="A3944" s="12" t="s">
        <v>4031</v>
      </c>
      <c r="F3944" s="19">
        <f>IFERROR(__xludf.DUMMYFUNCTION("SPLIT(A3940, "" |"")"),3938.0)</f>
        <v>3938</v>
      </c>
      <c r="G3944" s="19">
        <f>IFERROR(__xludf.DUMMYFUNCTION("""COMPUTED_VALUE"""),0.00247)</f>
        <v>0.00247</v>
      </c>
      <c r="H3944" s="19" t="str">
        <f>IFERROR(__xludf.DUMMYFUNCTION("""COMPUTED_VALUE"""),"-")</f>
        <v>-</v>
      </c>
      <c r="I3944" s="19">
        <f>IFERROR(__xludf.DUMMYFUNCTION("""COMPUTED_VALUE"""),0.00246)</f>
        <v>0.00246</v>
      </c>
      <c r="J3944" s="19">
        <f>IFERROR(__xludf.DUMMYFUNCTION("""COMPUTED_VALUE"""),0.04751)</f>
        <v>0.04751</v>
      </c>
      <c r="K3944" s="19" t="str">
        <f>IFERROR(__xludf.DUMMYFUNCTION("""COMPUTED_VALUE"""),"-")</f>
        <v>-</v>
      </c>
      <c r="L3944" s="19" t="str">
        <f>IFERROR(__xludf.DUMMYFUNCTION("""COMPUTED_VALUE"""),"-")</f>
        <v>-</v>
      </c>
      <c r="O3944" s="24">
        <f t="shared" si="4"/>
        <v>0</v>
      </c>
      <c r="P3944" s="24"/>
      <c r="Q3944" s="24">
        <f t="shared" si="6"/>
        <v>0</v>
      </c>
      <c r="R3944" s="24">
        <f t="shared" si="7"/>
        <v>0</v>
      </c>
      <c r="S3944" s="24"/>
      <c r="T3944" s="24"/>
    </row>
    <row r="3945">
      <c r="A3945" s="12" t="s">
        <v>4032</v>
      </c>
      <c r="F3945" s="19">
        <f>IFERROR(__xludf.DUMMYFUNCTION("SPLIT(A3941, "" |"")"),3939.0)</f>
        <v>3939</v>
      </c>
      <c r="G3945" s="19">
        <f>IFERROR(__xludf.DUMMYFUNCTION("""COMPUTED_VALUE"""),0.00245)</f>
        <v>0.00245</v>
      </c>
      <c r="H3945" s="19" t="str">
        <f>IFERROR(__xludf.DUMMYFUNCTION("""COMPUTED_VALUE"""),"-")</f>
        <v>-</v>
      </c>
      <c r="I3945" s="19">
        <f>IFERROR(__xludf.DUMMYFUNCTION("""COMPUTED_VALUE"""),0.00225)</f>
        <v>0.00225</v>
      </c>
      <c r="J3945" s="19">
        <f>IFERROR(__xludf.DUMMYFUNCTION("""COMPUTED_VALUE"""),0.04749)</f>
        <v>0.04749</v>
      </c>
      <c r="K3945" s="19" t="str">
        <f>IFERROR(__xludf.DUMMYFUNCTION("""COMPUTED_VALUE"""),"-")</f>
        <v>-</v>
      </c>
      <c r="L3945" s="19" t="str">
        <f>IFERROR(__xludf.DUMMYFUNCTION("""COMPUTED_VALUE"""),"-")</f>
        <v>-</v>
      </c>
      <c r="O3945" s="24">
        <f t="shared" si="4"/>
        <v>0</v>
      </c>
      <c r="P3945" s="24"/>
      <c r="Q3945" s="24">
        <f t="shared" si="6"/>
        <v>0</v>
      </c>
      <c r="R3945" s="24">
        <f t="shared" si="7"/>
        <v>0</v>
      </c>
      <c r="S3945" s="24"/>
      <c r="T3945" s="24"/>
    </row>
    <row r="3946">
      <c r="A3946" s="12" t="s">
        <v>4033</v>
      </c>
      <c r="F3946" s="19">
        <f>IFERROR(__xludf.DUMMYFUNCTION("SPLIT(A3942, "" |"")"),3940.0)</f>
        <v>3940</v>
      </c>
      <c r="G3946" s="19">
        <f>IFERROR(__xludf.DUMMYFUNCTION("""COMPUTED_VALUE"""),0.00235)</f>
        <v>0.00235</v>
      </c>
      <c r="H3946" s="19" t="str">
        <f>IFERROR(__xludf.DUMMYFUNCTION("""COMPUTED_VALUE"""),"-")</f>
        <v>-</v>
      </c>
      <c r="I3946" s="19">
        <f>IFERROR(__xludf.DUMMYFUNCTION("""COMPUTED_VALUE"""),0.00225)</f>
        <v>0.00225</v>
      </c>
      <c r="J3946" s="19">
        <f>IFERROR(__xludf.DUMMYFUNCTION("""COMPUTED_VALUE"""),0.04742)</f>
        <v>0.04742</v>
      </c>
      <c r="K3946" s="19" t="str">
        <f>IFERROR(__xludf.DUMMYFUNCTION("""COMPUTED_VALUE"""),"-")</f>
        <v>-</v>
      </c>
      <c r="L3946" s="19" t="str">
        <f>IFERROR(__xludf.DUMMYFUNCTION("""COMPUTED_VALUE"""),"-")</f>
        <v>-</v>
      </c>
      <c r="O3946" s="24">
        <f t="shared" si="4"/>
        <v>0</v>
      </c>
      <c r="P3946" s="24"/>
      <c r="Q3946" s="24">
        <f t="shared" si="6"/>
        <v>0</v>
      </c>
      <c r="R3946" s="24">
        <f t="shared" si="7"/>
        <v>0</v>
      </c>
      <c r="S3946" s="24"/>
      <c r="T3946" s="24"/>
    </row>
    <row r="3947">
      <c r="A3947" s="12" t="s">
        <v>4034</v>
      </c>
      <c r="F3947" s="19">
        <f>IFERROR(__xludf.DUMMYFUNCTION("SPLIT(A3943, "" |"")"),3941.0)</f>
        <v>3941</v>
      </c>
      <c r="G3947" s="19">
        <f>IFERROR(__xludf.DUMMYFUNCTION("""COMPUTED_VALUE"""),0.00244)</f>
        <v>0.00244</v>
      </c>
      <c r="H3947" s="19" t="str">
        <f>IFERROR(__xludf.DUMMYFUNCTION("""COMPUTED_VALUE"""),"-")</f>
        <v>-</v>
      </c>
      <c r="I3947" s="19">
        <f>IFERROR(__xludf.DUMMYFUNCTION("""COMPUTED_VALUE"""),0.00222)</f>
        <v>0.00222</v>
      </c>
      <c r="J3947" s="19">
        <f>IFERROR(__xludf.DUMMYFUNCTION("""COMPUTED_VALUE"""),0.0475)</f>
        <v>0.0475</v>
      </c>
      <c r="K3947" s="19" t="str">
        <f>IFERROR(__xludf.DUMMYFUNCTION("""COMPUTED_VALUE"""),"-")</f>
        <v>-</v>
      </c>
      <c r="L3947" s="19" t="str">
        <f>IFERROR(__xludf.DUMMYFUNCTION("""COMPUTED_VALUE"""),"-")</f>
        <v>-</v>
      </c>
      <c r="O3947" s="24">
        <f t="shared" si="4"/>
        <v>0</v>
      </c>
      <c r="P3947" s="24"/>
      <c r="Q3947" s="24">
        <f t="shared" si="6"/>
        <v>0</v>
      </c>
      <c r="R3947" s="24">
        <f t="shared" si="7"/>
        <v>0</v>
      </c>
      <c r="S3947" s="24"/>
      <c r="T3947" s="24"/>
    </row>
    <row r="3948">
      <c r="A3948" s="12" t="s">
        <v>4035</v>
      </c>
      <c r="F3948" s="19">
        <f>IFERROR(__xludf.DUMMYFUNCTION("SPLIT(A3944, "" |"")"),3942.0)</f>
        <v>3942</v>
      </c>
      <c r="G3948" s="19">
        <f>IFERROR(__xludf.DUMMYFUNCTION("""COMPUTED_VALUE"""),0.00232)</f>
        <v>0.00232</v>
      </c>
      <c r="H3948" s="19" t="str">
        <f>IFERROR(__xludf.DUMMYFUNCTION("""COMPUTED_VALUE"""),"-")</f>
        <v>-</v>
      </c>
      <c r="I3948" s="19">
        <f>IFERROR(__xludf.DUMMYFUNCTION("""COMPUTED_VALUE"""),0.00225)</f>
        <v>0.00225</v>
      </c>
      <c r="J3948" s="19">
        <f>IFERROR(__xludf.DUMMYFUNCTION("""COMPUTED_VALUE"""),0.04734)</f>
        <v>0.04734</v>
      </c>
      <c r="K3948" s="19" t="str">
        <f>IFERROR(__xludf.DUMMYFUNCTION("""COMPUTED_VALUE"""),"-")</f>
        <v>-</v>
      </c>
      <c r="L3948" s="19" t="str">
        <f>IFERROR(__xludf.DUMMYFUNCTION("""COMPUTED_VALUE"""),"-")</f>
        <v>-</v>
      </c>
      <c r="O3948" s="24">
        <f t="shared" si="4"/>
        <v>0</v>
      </c>
      <c r="P3948" s="24"/>
      <c r="Q3948" s="24">
        <f t="shared" si="6"/>
        <v>0</v>
      </c>
      <c r="R3948" s="24">
        <f t="shared" si="7"/>
        <v>0</v>
      </c>
      <c r="S3948" s="24"/>
      <c r="T3948" s="24"/>
    </row>
    <row r="3949">
      <c r="A3949" s="12" t="s">
        <v>4036</v>
      </c>
      <c r="F3949" s="19">
        <f>IFERROR(__xludf.DUMMYFUNCTION("SPLIT(A3945, "" |"")"),3943.0)</f>
        <v>3943</v>
      </c>
      <c r="G3949" s="19">
        <f>IFERROR(__xludf.DUMMYFUNCTION("""COMPUTED_VALUE"""),0.00226)</f>
        <v>0.00226</v>
      </c>
      <c r="H3949" s="19" t="str">
        <f>IFERROR(__xludf.DUMMYFUNCTION("""COMPUTED_VALUE"""),"-")</f>
        <v>-</v>
      </c>
      <c r="I3949" s="19">
        <f>IFERROR(__xludf.DUMMYFUNCTION("""COMPUTED_VALUE"""),0.00226)</f>
        <v>0.00226</v>
      </c>
      <c r="J3949" s="19">
        <f>IFERROR(__xludf.DUMMYFUNCTION("""COMPUTED_VALUE"""),0.04184)</f>
        <v>0.04184</v>
      </c>
      <c r="K3949" s="19" t="str">
        <f>IFERROR(__xludf.DUMMYFUNCTION("""COMPUTED_VALUE"""),"-")</f>
        <v>-</v>
      </c>
      <c r="L3949" s="19" t="str">
        <f>IFERROR(__xludf.DUMMYFUNCTION("""COMPUTED_VALUE"""),"-")</f>
        <v>-</v>
      </c>
      <c r="O3949" s="24">
        <f t="shared" si="4"/>
        <v>0</v>
      </c>
      <c r="P3949" s="24"/>
      <c r="Q3949" s="24">
        <f t="shared" si="6"/>
        <v>0</v>
      </c>
      <c r="R3949" s="24">
        <f t="shared" si="7"/>
        <v>1</v>
      </c>
      <c r="S3949" s="24"/>
      <c r="T3949" s="24"/>
    </row>
    <row r="3950">
      <c r="A3950" s="12" t="s">
        <v>4037</v>
      </c>
      <c r="F3950" s="19">
        <f>IFERROR(__xludf.DUMMYFUNCTION("SPLIT(A3946, "" |"")"),3944.0)</f>
        <v>3944</v>
      </c>
      <c r="G3950" s="19">
        <f>IFERROR(__xludf.DUMMYFUNCTION("""COMPUTED_VALUE"""),0.00234)</f>
        <v>0.00234</v>
      </c>
      <c r="H3950" s="19" t="str">
        <f>IFERROR(__xludf.DUMMYFUNCTION("""COMPUTED_VALUE"""),"-")</f>
        <v>-</v>
      </c>
      <c r="I3950" s="19">
        <f>IFERROR(__xludf.DUMMYFUNCTION("""COMPUTED_VALUE"""),0.00221)</f>
        <v>0.00221</v>
      </c>
      <c r="J3950" s="19">
        <f>IFERROR(__xludf.DUMMYFUNCTION("""COMPUTED_VALUE"""),0.04739)</f>
        <v>0.04739</v>
      </c>
      <c r="K3950" s="19" t="str">
        <f>IFERROR(__xludf.DUMMYFUNCTION("""COMPUTED_VALUE"""),"-")</f>
        <v>-</v>
      </c>
      <c r="L3950" s="19" t="str">
        <f>IFERROR(__xludf.DUMMYFUNCTION("""COMPUTED_VALUE"""),"-")</f>
        <v>-</v>
      </c>
      <c r="O3950" s="24">
        <f t="shared" si="4"/>
        <v>0</v>
      </c>
      <c r="P3950" s="24"/>
      <c r="Q3950" s="24">
        <f t="shared" si="6"/>
        <v>0</v>
      </c>
      <c r="R3950" s="24">
        <f t="shared" si="7"/>
        <v>0</v>
      </c>
      <c r="S3950" s="24"/>
      <c r="T3950" s="24"/>
    </row>
    <row r="3951">
      <c r="A3951" s="12" t="s">
        <v>4038</v>
      </c>
      <c r="F3951" s="19">
        <f>IFERROR(__xludf.DUMMYFUNCTION("SPLIT(A3947, "" |"")"),3945.0)</f>
        <v>3945</v>
      </c>
      <c r="G3951" s="19">
        <f>IFERROR(__xludf.DUMMYFUNCTION("""COMPUTED_VALUE"""),0.00245)</f>
        <v>0.00245</v>
      </c>
      <c r="H3951" s="19" t="str">
        <f>IFERROR(__xludf.DUMMYFUNCTION("""COMPUTED_VALUE"""),"-")</f>
        <v>-</v>
      </c>
      <c r="I3951" s="19">
        <f>IFERROR(__xludf.DUMMYFUNCTION("""COMPUTED_VALUE"""),0.00228)</f>
        <v>0.00228</v>
      </c>
      <c r="J3951" s="19">
        <f>IFERROR(__xludf.DUMMYFUNCTION("""COMPUTED_VALUE"""),0.04689)</f>
        <v>0.04689</v>
      </c>
      <c r="K3951" s="19" t="str">
        <f>IFERROR(__xludf.DUMMYFUNCTION("""COMPUTED_VALUE"""),"-")</f>
        <v>-</v>
      </c>
      <c r="L3951" s="19" t="str">
        <f>IFERROR(__xludf.DUMMYFUNCTION("""COMPUTED_VALUE"""),"-")</f>
        <v>-</v>
      </c>
      <c r="O3951" s="24">
        <f t="shared" si="4"/>
        <v>0</v>
      </c>
      <c r="P3951" s="24"/>
      <c r="Q3951" s="24">
        <f t="shared" si="6"/>
        <v>0</v>
      </c>
      <c r="R3951" s="24">
        <f t="shared" si="7"/>
        <v>0</v>
      </c>
      <c r="S3951" s="24"/>
      <c r="T3951" s="24"/>
    </row>
    <row r="3952">
      <c r="A3952" s="12" t="s">
        <v>4039</v>
      </c>
      <c r="F3952" s="19">
        <f>IFERROR(__xludf.DUMMYFUNCTION("SPLIT(A3948, "" |"")"),3946.0)</f>
        <v>3946</v>
      </c>
      <c r="G3952" s="19">
        <f>IFERROR(__xludf.DUMMYFUNCTION("""COMPUTED_VALUE"""),0.00239)</f>
        <v>0.00239</v>
      </c>
      <c r="H3952" s="19" t="str">
        <f>IFERROR(__xludf.DUMMYFUNCTION("""COMPUTED_VALUE"""),"-")</f>
        <v>-</v>
      </c>
      <c r="I3952" s="19">
        <f>IFERROR(__xludf.DUMMYFUNCTION("""COMPUTED_VALUE"""),0.00229)</f>
        <v>0.00229</v>
      </c>
      <c r="J3952" s="19">
        <f>IFERROR(__xludf.DUMMYFUNCTION("""COMPUTED_VALUE"""),0.04741)</f>
        <v>0.04741</v>
      </c>
      <c r="K3952" s="19" t="str">
        <f>IFERROR(__xludf.DUMMYFUNCTION("""COMPUTED_VALUE"""),"-")</f>
        <v>-</v>
      </c>
      <c r="L3952" s="19" t="str">
        <f>IFERROR(__xludf.DUMMYFUNCTION("""COMPUTED_VALUE"""),"-")</f>
        <v>-</v>
      </c>
      <c r="O3952" s="24">
        <f t="shared" si="4"/>
        <v>0</v>
      </c>
      <c r="P3952" s="24"/>
      <c r="Q3952" s="24">
        <f t="shared" si="6"/>
        <v>0</v>
      </c>
      <c r="R3952" s="24">
        <f t="shared" si="7"/>
        <v>0</v>
      </c>
      <c r="S3952" s="24"/>
      <c r="T3952" s="24"/>
    </row>
    <row r="3953">
      <c r="A3953" s="12" t="s">
        <v>4040</v>
      </c>
      <c r="F3953" s="19">
        <f>IFERROR(__xludf.DUMMYFUNCTION("SPLIT(A3949, "" |"")"),3947.0)</f>
        <v>3947</v>
      </c>
      <c r="G3953" s="19">
        <f>IFERROR(__xludf.DUMMYFUNCTION("""COMPUTED_VALUE"""),0.00235)</f>
        <v>0.00235</v>
      </c>
      <c r="H3953" s="19" t="str">
        <f>IFERROR(__xludf.DUMMYFUNCTION("""COMPUTED_VALUE"""),"-")</f>
        <v>-</v>
      </c>
      <c r="I3953" s="19">
        <f>IFERROR(__xludf.DUMMYFUNCTION("""COMPUTED_VALUE"""),0.00217)</f>
        <v>0.00217</v>
      </c>
      <c r="J3953" s="19">
        <f>IFERROR(__xludf.DUMMYFUNCTION("""COMPUTED_VALUE"""),0.04712)</f>
        <v>0.04712</v>
      </c>
      <c r="K3953" s="19" t="str">
        <f>IFERROR(__xludf.DUMMYFUNCTION("""COMPUTED_VALUE"""),"-")</f>
        <v>-</v>
      </c>
      <c r="L3953" s="19" t="str">
        <f>IFERROR(__xludf.DUMMYFUNCTION("""COMPUTED_VALUE"""),"-")</f>
        <v>-</v>
      </c>
      <c r="O3953" s="24">
        <f t="shared" si="4"/>
        <v>0</v>
      </c>
      <c r="P3953" s="24"/>
      <c r="Q3953" s="24">
        <f t="shared" si="6"/>
        <v>0</v>
      </c>
      <c r="R3953" s="24">
        <f t="shared" si="7"/>
        <v>0</v>
      </c>
      <c r="S3953" s="24"/>
      <c r="T3953" s="24"/>
    </row>
    <row r="3954">
      <c r="A3954" s="12" t="s">
        <v>4041</v>
      </c>
      <c r="F3954" s="19">
        <f>IFERROR(__xludf.DUMMYFUNCTION("SPLIT(A3950, "" |"")"),3948.0)</f>
        <v>3948</v>
      </c>
      <c r="G3954" s="19">
        <f>IFERROR(__xludf.DUMMYFUNCTION("""COMPUTED_VALUE"""),0.00231)</f>
        <v>0.00231</v>
      </c>
      <c r="H3954" s="19" t="str">
        <f>IFERROR(__xludf.DUMMYFUNCTION("""COMPUTED_VALUE"""),"-")</f>
        <v>-</v>
      </c>
      <c r="I3954" s="19">
        <f>IFERROR(__xludf.DUMMYFUNCTION("""COMPUTED_VALUE"""),0.00222)</f>
        <v>0.00222</v>
      </c>
      <c r="J3954" s="19">
        <f>IFERROR(__xludf.DUMMYFUNCTION("""COMPUTED_VALUE"""),0.03962)</f>
        <v>0.03962</v>
      </c>
      <c r="K3954" s="19" t="str">
        <f>IFERROR(__xludf.DUMMYFUNCTION("""COMPUTED_VALUE"""),"-")</f>
        <v>-</v>
      </c>
      <c r="L3954" s="19" t="str">
        <f>IFERROR(__xludf.DUMMYFUNCTION("""COMPUTED_VALUE"""),"-")</f>
        <v>-</v>
      </c>
      <c r="O3954" s="24">
        <f t="shared" si="4"/>
        <v>0</v>
      </c>
      <c r="P3954" s="24"/>
      <c r="Q3954" s="24">
        <f t="shared" si="6"/>
        <v>0</v>
      </c>
      <c r="R3954" s="24">
        <f t="shared" si="7"/>
        <v>1</v>
      </c>
      <c r="S3954" s="24"/>
      <c r="T3954" s="24"/>
    </row>
    <row r="3955">
      <c r="A3955" s="12" t="s">
        <v>4042</v>
      </c>
      <c r="F3955" s="19">
        <f>IFERROR(__xludf.DUMMYFUNCTION("SPLIT(A3951, "" |"")"),3949.0)</f>
        <v>3949</v>
      </c>
      <c r="G3955" s="19">
        <f>IFERROR(__xludf.DUMMYFUNCTION("""COMPUTED_VALUE"""),0.00249)</f>
        <v>0.00249</v>
      </c>
      <c r="H3955" s="19" t="str">
        <f>IFERROR(__xludf.DUMMYFUNCTION("""COMPUTED_VALUE"""),"-")</f>
        <v>-</v>
      </c>
      <c r="I3955" s="19">
        <f>IFERROR(__xludf.DUMMYFUNCTION("""COMPUTED_VALUE"""),0.0023)</f>
        <v>0.0023</v>
      </c>
      <c r="J3955" s="19">
        <f>IFERROR(__xludf.DUMMYFUNCTION("""COMPUTED_VALUE"""),0.04747)</f>
        <v>0.04747</v>
      </c>
      <c r="K3955" s="19" t="str">
        <f>IFERROR(__xludf.DUMMYFUNCTION("""COMPUTED_VALUE"""),"-")</f>
        <v>-</v>
      </c>
      <c r="L3955" s="19" t="str">
        <f>IFERROR(__xludf.DUMMYFUNCTION("""COMPUTED_VALUE"""),"-")</f>
        <v>-</v>
      </c>
      <c r="O3955" s="24">
        <f t="shared" si="4"/>
        <v>0</v>
      </c>
      <c r="P3955" s="24"/>
      <c r="Q3955" s="24">
        <f t="shared" si="6"/>
        <v>0</v>
      </c>
      <c r="R3955" s="24">
        <f t="shared" si="7"/>
        <v>0</v>
      </c>
      <c r="S3955" s="24"/>
      <c r="T3955" s="24"/>
    </row>
    <row r="3956">
      <c r="A3956" s="12" t="s">
        <v>4043</v>
      </c>
      <c r="F3956" s="19">
        <f>IFERROR(__xludf.DUMMYFUNCTION("SPLIT(A3952, "" |"")"),3950.0)</f>
        <v>3950</v>
      </c>
      <c r="G3956" s="19">
        <f>IFERROR(__xludf.DUMMYFUNCTION("""COMPUTED_VALUE"""),0.00236)</f>
        <v>0.00236</v>
      </c>
      <c r="H3956" s="19" t="str">
        <f>IFERROR(__xludf.DUMMYFUNCTION("""COMPUTED_VALUE"""),"-")</f>
        <v>-</v>
      </c>
      <c r="I3956" s="19">
        <f>IFERROR(__xludf.DUMMYFUNCTION("""COMPUTED_VALUE"""),0.00211)</f>
        <v>0.00211</v>
      </c>
      <c r="J3956" s="19">
        <f>IFERROR(__xludf.DUMMYFUNCTION("""COMPUTED_VALUE"""),0.04736)</f>
        <v>0.04736</v>
      </c>
      <c r="K3956" s="19" t="str">
        <f>IFERROR(__xludf.DUMMYFUNCTION("""COMPUTED_VALUE"""),"-")</f>
        <v>-</v>
      </c>
      <c r="L3956" s="19" t="str">
        <f>IFERROR(__xludf.DUMMYFUNCTION("""COMPUTED_VALUE"""),"-")</f>
        <v>-</v>
      </c>
      <c r="O3956" s="24">
        <f t="shared" si="4"/>
        <v>0</v>
      </c>
      <c r="P3956" s="24"/>
      <c r="Q3956" s="24">
        <f t="shared" si="6"/>
        <v>0</v>
      </c>
      <c r="R3956" s="24">
        <f t="shared" si="7"/>
        <v>0</v>
      </c>
      <c r="S3956" s="24"/>
      <c r="T3956" s="24"/>
    </row>
    <row r="3957">
      <c r="A3957" s="12" t="s">
        <v>4044</v>
      </c>
      <c r="F3957" s="19">
        <f>IFERROR(__xludf.DUMMYFUNCTION("SPLIT(A3953, "" |"")"),3951.0)</f>
        <v>3951</v>
      </c>
      <c r="G3957" s="19">
        <f>IFERROR(__xludf.DUMMYFUNCTION("""COMPUTED_VALUE"""),0.00235)</f>
        <v>0.00235</v>
      </c>
      <c r="H3957" s="19" t="str">
        <f>IFERROR(__xludf.DUMMYFUNCTION("""COMPUTED_VALUE"""),"-")</f>
        <v>-</v>
      </c>
      <c r="I3957" s="19">
        <f>IFERROR(__xludf.DUMMYFUNCTION("""COMPUTED_VALUE"""),0.00222)</f>
        <v>0.00222</v>
      </c>
      <c r="J3957" s="19">
        <f>IFERROR(__xludf.DUMMYFUNCTION("""COMPUTED_VALUE"""),0.04748)</f>
        <v>0.04748</v>
      </c>
      <c r="K3957" s="19" t="str">
        <f>IFERROR(__xludf.DUMMYFUNCTION("""COMPUTED_VALUE"""),"-")</f>
        <v>-</v>
      </c>
      <c r="L3957" s="19" t="str">
        <f>IFERROR(__xludf.DUMMYFUNCTION("""COMPUTED_VALUE"""),"-")</f>
        <v>-</v>
      </c>
      <c r="O3957" s="24">
        <f t="shared" si="4"/>
        <v>0</v>
      </c>
      <c r="P3957" s="24"/>
      <c r="Q3957" s="24">
        <f t="shared" si="6"/>
        <v>0</v>
      </c>
      <c r="R3957" s="24">
        <f t="shared" si="7"/>
        <v>0</v>
      </c>
      <c r="S3957" s="24"/>
      <c r="T3957" s="24"/>
    </row>
    <row r="3958">
      <c r="A3958" s="12" t="s">
        <v>4045</v>
      </c>
      <c r="F3958" s="19">
        <f>IFERROR(__xludf.DUMMYFUNCTION("SPLIT(A3954, "" |"")"),3952.0)</f>
        <v>3952</v>
      </c>
      <c r="G3958" s="19">
        <f>IFERROR(__xludf.DUMMYFUNCTION("""COMPUTED_VALUE"""),0.00242)</f>
        <v>0.00242</v>
      </c>
      <c r="H3958" s="19" t="str">
        <f>IFERROR(__xludf.DUMMYFUNCTION("""COMPUTED_VALUE"""),"-")</f>
        <v>-</v>
      </c>
      <c r="I3958" s="19">
        <f>IFERROR(__xludf.DUMMYFUNCTION("""COMPUTED_VALUE"""),0.00225)</f>
        <v>0.00225</v>
      </c>
      <c r="J3958" s="19">
        <f>IFERROR(__xludf.DUMMYFUNCTION("""COMPUTED_VALUE"""),0.04752)</f>
        <v>0.04752</v>
      </c>
      <c r="K3958" s="19" t="str">
        <f>IFERROR(__xludf.DUMMYFUNCTION("""COMPUTED_VALUE"""),"-")</f>
        <v>-</v>
      </c>
      <c r="L3958" s="19" t="str">
        <f>IFERROR(__xludf.DUMMYFUNCTION("""COMPUTED_VALUE"""),"-")</f>
        <v>-</v>
      </c>
      <c r="O3958" s="24">
        <f t="shared" si="4"/>
        <v>0</v>
      </c>
      <c r="P3958" s="24"/>
      <c r="Q3958" s="24">
        <f t="shared" si="6"/>
        <v>0</v>
      </c>
      <c r="R3958" s="24">
        <f t="shared" si="7"/>
        <v>0</v>
      </c>
      <c r="S3958" s="24"/>
      <c r="T3958" s="24"/>
    </row>
    <row r="3959">
      <c r="A3959" s="12" t="s">
        <v>4046</v>
      </c>
      <c r="F3959" s="19">
        <f>IFERROR(__xludf.DUMMYFUNCTION("SPLIT(A3955, "" |"")"),3953.0)</f>
        <v>3953</v>
      </c>
      <c r="G3959" s="19">
        <f>IFERROR(__xludf.DUMMYFUNCTION("""COMPUTED_VALUE"""),0.00232)</f>
        <v>0.00232</v>
      </c>
      <c r="H3959" s="19" t="str">
        <f>IFERROR(__xludf.DUMMYFUNCTION("""COMPUTED_VALUE"""),"-")</f>
        <v>-</v>
      </c>
      <c r="I3959" s="19">
        <f>IFERROR(__xludf.DUMMYFUNCTION("""COMPUTED_VALUE"""),0.0022)</f>
        <v>0.0022</v>
      </c>
      <c r="J3959" s="19">
        <f>IFERROR(__xludf.DUMMYFUNCTION("""COMPUTED_VALUE"""),0.0447)</f>
        <v>0.0447</v>
      </c>
      <c r="K3959" s="19" t="str">
        <f>IFERROR(__xludf.DUMMYFUNCTION("""COMPUTED_VALUE"""),"-")</f>
        <v>-</v>
      </c>
      <c r="L3959" s="19" t="str">
        <f>IFERROR(__xludf.DUMMYFUNCTION("""COMPUTED_VALUE"""),"-")</f>
        <v>-</v>
      </c>
      <c r="O3959" s="24">
        <f t="shared" si="4"/>
        <v>0</v>
      </c>
      <c r="P3959" s="24"/>
      <c r="Q3959" s="24">
        <f t="shared" si="6"/>
        <v>0</v>
      </c>
      <c r="R3959" s="24">
        <f t="shared" si="7"/>
        <v>1</v>
      </c>
      <c r="S3959" s="24"/>
      <c r="T3959" s="24"/>
    </row>
    <row r="3960">
      <c r="A3960" s="12" t="s">
        <v>4047</v>
      </c>
      <c r="F3960" s="19">
        <f>IFERROR(__xludf.DUMMYFUNCTION("SPLIT(A3956, "" |"")"),3954.0)</f>
        <v>3954</v>
      </c>
      <c r="G3960" s="19">
        <f>IFERROR(__xludf.DUMMYFUNCTION("""COMPUTED_VALUE"""),0.00254)</f>
        <v>0.00254</v>
      </c>
      <c r="H3960" s="19" t="str">
        <f>IFERROR(__xludf.DUMMYFUNCTION("""COMPUTED_VALUE"""),"-")</f>
        <v>-</v>
      </c>
      <c r="I3960" s="19">
        <f>IFERROR(__xludf.DUMMYFUNCTION("""COMPUTED_VALUE"""),0.00235)</f>
        <v>0.00235</v>
      </c>
      <c r="J3960" s="19">
        <f>IFERROR(__xludf.DUMMYFUNCTION("""COMPUTED_VALUE"""),0.04743)</f>
        <v>0.04743</v>
      </c>
      <c r="K3960" s="19" t="str">
        <f>IFERROR(__xludf.DUMMYFUNCTION("""COMPUTED_VALUE"""),"-")</f>
        <v>-</v>
      </c>
      <c r="L3960" s="19" t="str">
        <f>IFERROR(__xludf.DUMMYFUNCTION("""COMPUTED_VALUE"""),"-")</f>
        <v>-</v>
      </c>
      <c r="O3960" s="24">
        <f t="shared" si="4"/>
        <v>0</v>
      </c>
      <c r="P3960" s="24"/>
      <c r="Q3960" s="24">
        <f t="shared" si="6"/>
        <v>0</v>
      </c>
      <c r="R3960" s="24">
        <f t="shared" si="7"/>
        <v>0</v>
      </c>
      <c r="S3960" s="24"/>
      <c r="T3960" s="24"/>
    </row>
    <row r="3961">
      <c r="A3961" s="12" t="s">
        <v>4048</v>
      </c>
      <c r="F3961" s="19">
        <f>IFERROR(__xludf.DUMMYFUNCTION("SPLIT(A3957, "" |"")"),3955.0)</f>
        <v>3955</v>
      </c>
      <c r="G3961" s="19">
        <f>IFERROR(__xludf.DUMMYFUNCTION("""COMPUTED_VALUE"""),0.00233)</f>
        <v>0.00233</v>
      </c>
      <c r="H3961" s="19" t="str">
        <f>IFERROR(__xludf.DUMMYFUNCTION("""COMPUTED_VALUE"""),"-")</f>
        <v>-</v>
      </c>
      <c r="I3961" s="19">
        <f>IFERROR(__xludf.DUMMYFUNCTION("""COMPUTED_VALUE"""),0.00226)</f>
        <v>0.00226</v>
      </c>
      <c r="J3961" s="19">
        <f>IFERROR(__xludf.DUMMYFUNCTION("""COMPUTED_VALUE"""),0.04748)</f>
        <v>0.04748</v>
      </c>
      <c r="K3961" s="19" t="str">
        <f>IFERROR(__xludf.DUMMYFUNCTION("""COMPUTED_VALUE"""),"-")</f>
        <v>-</v>
      </c>
      <c r="L3961" s="19" t="str">
        <f>IFERROR(__xludf.DUMMYFUNCTION("""COMPUTED_VALUE"""),"-")</f>
        <v>-</v>
      </c>
      <c r="O3961" s="24">
        <f t="shared" si="4"/>
        <v>0</v>
      </c>
      <c r="P3961" s="24"/>
      <c r="Q3961" s="24">
        <f t="shared" si="6"/>
        <v>0</v>
      </c>
      <c r="R3961" s="24">
        <f t="shared" si="7"/>
        <v>0</v>
      </c>
      <c r="S3961" s="24"/>
      <c r="T3961" s="24"/>
    </row>
    <row r="3962">
      <c r="A3962" s="12" t="s">
        <v>4049</v>
      </c>
      <c r="F3962" s="19">
        <f>IFERROR(__xludf.DUMMYFUNCTION("SPLIT(A3958, "" |"")"),3956.0)</f>
        <v>3956</v>
      </c>
      <c r="G3962" s="19">
        <f>IFERROR(__xludf.DUMMYFUNCTION("""COMPUTED_VALUE"""),0.00221)</f>
        <v>0.00221</v>
      </c>
      <c r="H3962" s="19" t="str">
        <f>IFERROR(__xludf.DUMMYFUNCTION("""COMPUTED_VALUE"""),"-")</f>
        <v>-</v>
      </c>
      <c r="I3962" s="19">
        <f>IFERROR(__xludf.DUMMYFUNCTION("""COMPUTED_VALUE"""),0.0021)</f>
        <v>0.0021</v>
      </c>
      <c r="J3962" s="19">
        <f>IFERROR(__xludf.DUMMYFUNCTION("""COMPUTED_VALUE"""),0.04749)</f>
        <v>0.04749</v>
      </c>
      <c r="K3962" s="19" t="str">
        <f>IFERROR(__xludf.DUMMYFUNCTION("""COMPUTED_VALUE"""),"-")</f>
        <v>-</v>
      </c>
      <c r="L3962" s="19" t="str">
        <f>IFERROR(__xludf.DUMMYFUNCTION("""COMPUTED_VALUE"""),"-")</f>
        <v>-</v>
      </c>
      <c r="O3962" s="24">
        <f t="shared" si="4"/>
        <v>0</v>
      </c>
      <c r="P3962" s="24"/>
      <c r="Q3962" s="24">
        <f t="shared" si="6"/>
        <v>0</v>
      </c>
      <c r="R3962" s="24">
        <f t="shared" si="7"/>
        <v>0</v>
      </c>
      <c r="S3962" s="24"/>
      <c r="T3962" s="24"/>
    </row>
    <row r="3963">
      <c r="A3963" s="12" t="s">
        <v>4050</v>
      </c>
      <c r="F3963" s="19">
        <f>IFERROR(__xludf.DUMMYFUNCTION("SPLIT(A3959, "" |"")"),3957.0)</f>
        <v>3957</v>
      </c>
      <c r="G3963" s="19">
        <f>IFERROR(__xludf.DUMMYFUNCTION("""COMPUTED_VALUE"""),0.00241)</f>
        <v>0.00241</v>
      </c>
      <c r="H3963" s="19" t="str">
        <f>IFERROR(__xludf.DUMMYFUNCTION("""COMPUTED_VALUE"""),"-")</f>
        <v>-</v>
      </c>
      <c r="I3963" s="19">
        <f>IFERROR(__xludf.DUMMYFUNCTION("""COMPUTED_VALUE"""),0.00228)</f>
        <v>0.00228</v>
      </c>
      <c r="J3963" s="19">
        <f>IFERROR(__xludf.DUMMYFUNCTION("""COMPUTED_VALUE"""),0.04745)</f>
        <v>0.04745</v>
      </c>
      <c r="K3963" s="19" t="str">
        <f>IFERROR(__xludf.DUMMYFUNCTION("""COMPUTED_VALUE"""),"-")</f>
        <v>-</v>
      </c>
      <c r="L3963" s="19" t="str">
        <f>IFERROR(__xludf.DUMMYFUNCTION("""COMPUTED_VALUE"""),"-")</f>
        <v>-</v>
      </c>
      <c r="O3963" s="24">
        <f t="shared" si="4"/>
        <v>0</v>
      </c>
      <c r="P3963" s="24"/>
      <c r="Q3963" s="24">
        <f t="shared" si="6"/>
        <v>0</v>
      </c>
      <c r="R3963" s="24">
        <f t="shared" si="7"/>
        <v>0</v>
      </c>
      <c r="S3963" s="24"/>
      <c r="T3963" s="24"/>
    </row>
    <row r="3964">
      <c r="A3964" s="12" t="s">
        <v>4051</v>
      </c>
      <c r="F3964" s="19">
        <f>IFERROR(__xludf.DUMMYFUNCTION("SPLIT(A3960, "" |"")"),3958.0)</f>
        <v>3958</v>
      </c>
      <c r="G3964" s="19">
        <f>IFERROR(__xludf.DUMMYFUNCTION("""COMPUTED_VALUE"""),0.00236)</f>
        <v>0.00236</v>
      </c>
      <c r="H3964" s="19" t="str">
        <f>IFERROR(__xludf.DUMMYFUNCTION("""COMPUTED_VALUE"""),"-")</f>
        <v>-</v>
      </c>
      <c r="I3964" s="19">
        <f>IFERROR(__xludf.DUMMYFUNCTION("""COMPUTED_VALUE"""),0.00221)</f>
        <v>0.00221</v>
      </c>
      <c r="J3964" s="19">
        <f>IFERROR(__xludf.DUMMYFUNCTION("""COMPUTED_VALUE"""),0.04606)</f>
        <v>0.04606</v>
      </c>
      <c r="K3964" s="19" t="str">
        <f>IFERROR(__xludf.DUMMYFUNCTION("""COMPUTED_VALUE"""),"-")</f>
        <v>-</v>
      </c>
      <c r="L3964" s="19" t="str">
        <f>IFERROR(__xludf.DUMMYFUNCTION("""COMPUTED_VALUE"""),"-")</f>
        <v>-</v>
      </c>
      <c r="O3964" s="24">
        <f t="shared" si="4"/>
        <v>0</v>
      </c>
      <c r="P3964" s="24"/>
      <c r="Q3964" s="24">
        <f t="shared" si="6"/>
        <v>0</v>
      </c>
      <c r="R3964" s="24">
        <f t="shared" si="7"/>
        <v>0</v>
      </c>
      <c r="S3964" s="24"/>
      <c r="T3964" s="24"/>
    </row>
    <row r="3965">
      <c r="A3965" s="12" t="s">
        <v>4052</v>
      </c>
      <c r="F3965" s="19">
        <f>IFERROR(__xludf.DUMMYFUNCTION("SPLIT(A3961, "" |"")"),3959.0)</f>
        <v>3959</v>
      </c>
      <c r="G3965" s="19">
        <f>IFERROR(__xludf.DUMMYFUNCTION("""COMPUTED_VALUE"""),0.00238)</f>
        <v>0.00238</v>
      </c>
      <c r="H3965" s="19" t="str">
        <f>IFERROR(__xludf.DUMMYFUNCTION("""COMPUTED_VALUE"""),"-")</f>
        <v>-</v>
      </c>
      <c r="I3965" s="19">
        <f>IFERROR(__xludf.DUMMYFUNCTION("""COMPUTED_VALUE"""),0.00226)</f>
        <v>0.00226</v>
      </c>
      <c r="J3965" s="19">
        <f>IFERROR(__xludf.DUMMYFUNCTION("""COMPUTED_VALUE"""),0.04746)</f>
        <v>0.04746</v>
      </c>
      <c r="K3965" s="19" t="str">
        <f>IFERROR(__xludf.DUMMYFUNCTION("""COMPUTED_VALUE"""),"-")</f>
        <v>-</v>
      </c>
      <c r="L3965" s="19" t="str">
        <f>IFERROR(__xludf.DUMMYFUNCTION("""COMPUTED_VALUE"""),"-")</f>
        <v>-</v>
      </c>
      <c r="O3965" s="24">
        <f t="shared" si="4"/>
        <v>0</v>
      </c>
      <c r="P3965" s="24"/>
      <c r="Q3965" s="24">
        <f t="shared" si="6"/>
        <v>0</v>
      </c>
      <c r="R3965" s="24">
        <f t="shared" si="7"/>
        <v>0</v>
      </c>
      <c r="S3965" s="24"/>
      <c r="T3965" s="24"/>
    </row>
    <row r="3966">
      <c r="A3966" s="12" t="s">
        <v>4053</v>
      </c>
      <c r="F3966" s="19">
        <f>IFERROR(__xludf.DUMMYFUNCTION("SPLIT(A3962, "" |"")"),3960.0)</f>
        <v>3960</v>
      </c>
      <c r="G3966" s="19">
        <f>IFERROR(__xludf.DUMMYFUNCTION("""COMPUTED_VALUE"""),0.00237)</f>
        <v>0.00237</v>
      </c>
      <c r="H3966" s="19" t="str">
        <f>IFERROR(__xludf.DUMMYFUNCTION("""COMPUTED_VALUE"""),"-")</f>
        <v>-</v>
      </c>
      <c r="I3966" s="19">
        <f>IFERROR(__xludf.DUMMYFUNCTION("""COMPUTED_VALUE"""),0.00223)</f>
        <v>0.00223</v>
      </c>
      <c r="J3966" s="19">
        <f>IFERROR(__xludf.DUMMYFUNCTION("""COMPUTED_VALUE"""),0.04748)</f>
        <v>0.04748</v>
      </c>
      <c r="K3966" s="19" t="str">
        <f>IFERROR(__xludf.DUMMYFUNCTION("""COMPUTED_VALUE"""),"-")</f>
        <v>-</v>
      </c>
      <c r="L3966" s="19" t="str">
        <f>IFERROR(__xludf.DUMMYFUNCTION("""COMPUTED_VALUE"""),"-")</f>
        <v>-</v>
      </c>
      <c r="O3966" s="24">
        <f t="shared" si="4"/>
        <v>0</v>
      </c>
      <c r="P3966" s="24"/>
      <c r="Q3966" s="24">
        <f t="shared" si="6"/>
        <v>0</v>
      </c>
      <c r="R3966" s="24">
        <f t="shared" si="7"/>
        <v>0</v>
      </c>
      <c r="S3966" s="24"/>
      <c r="T3966" s="24"/>
    </row>
    <row r="3967">
      <c r="A3967" s="12" t="s">
        <v>4054</v>
      </c>
      <c r="F3967" s="19">
        <f>IFERROR(__xludf.DUMMYFUNCTION("SPLIT(A3963, "" |"")"),3961.0)</f>
        <v>3961</v>
      </c>
      <c r="G3967" s="19">
        <f>IFERROR(__xludf.DUMMYFUNCTION("""COMPUTED_VALUE"""),0.00234)</f>
        <v>0.00234</v>
      </c>
      <c r="H3967" s="19" t="str">
        <f>IFERROR(__xludf.DUMMYFUNCTION("""COMPUTED_VALUE"""),"-")</f>
        <v>-</v>
      </c>
      <c r="I3967" s="19">
        <f>IFERROR(__xludf.DUMMYFUNCTION("""COMPUTED_VALUE"""),0.00224)</f>
        <v>0.00224</v>
      </c>
      <c r="J3967" s="19">
        <f>IFERROR(__xludf.DUMMYFUNCTION("""COMPUTED_VALUE"""),0.04747)</f>
        <v>0.04747</v>
      </c>
      <c r="K3967" s="19" t="str">
        <f>IFERROR(__xludf.DUMMYFUNCTION("""COMPUTED_VALUE"""),"-")</f>
        <v>-</v>
      </c>
      <c r="L3967" s="19" t="str">
        <f>IFERROR(__xludf.DUMMYFUNCTION("""COMPUTED_VALUE"""),"-")</f>
        <v>-</v>
      </c>
      <c r="O3967" s="24">
        <f t="shared" si="4"/>
        <v>0</v>
      </c>
      <c r="P3967" s="24"/>
      <c r="Q3967" s="24">
        <f t="shared" si="6"/>
        <v>0</v>
      </c>
      <c r="R3967" s="24">
        <f t="shared" si="7"/>
        <v>0</v>
      </c>
      <c r="S3967" s="24"/>
      <c r="T3967" s="24"/>
    </row>
    <row r="3968">
      <c r="A3968" s="12" t="s">
        <v>4055</v>
      </c>
      <c r="F3968" s="19">
        <f>IFERROR(__xludf.DUMMYFUNCTION("SPLIT(A3964, "" |"")"),3962.0)</f>
        <v>3962</v>
      </c>
      <c r="G3968" s="19">
        <f>IFERROR(__xludf.DUMMYFUNCTION("""COMPUTED_VALUE"""),0.00234)</f>
        <v>0.00234</v>
      </c>
      <c r="H3968" s="19" t="str">
        <f>IFERROR(__xludf.DUMMYFUNCTION("""COMPUTED_VALUE"""),"-")</f>
        <v>-</v>
      </c>
      <c r="I3968" s="19">
        <f>IFERROR(__xludf.DUMMYFUNCTION("""COMPUTED_VALUE"""),0.00214)</f>
        <v>0.00214</v>
      </c>
      <c r="J3968" s="19">
        <f>IFERROR(__xludf.DUMMYFUNCTION("""COMPUTED_VALUE"""),0.04444)</f>
        <v>0.04444</v>
      </c>
      <c r="K3968" s="19" t="str">
        <f>IFERROR(__xludf.DUMMYFUNCTION("""COMPUTED_VALUE"""),"-")</f>
        <v>-</v>
      </c>
      <c r="L3968" s="19" t="str">
        <f>IFERROR(__xludf.DUMMYFUNCTION("""COMPUTED_VALUE"""),"-")</f>
        <v>-</v>
      </c>
      <c r="O3968" s="24">
        <f t="shared" si="4"/>
        <v>0</v>
      </c>
      <c r="P3968" s="24"/>
      <c r="Q3968" s="24">
        <f t="shared" si="6"/>
        <v>0</v>
      </c>
      <c r="R3968" s="24">
        <f t="shared" si="7"/>
        <v>1</v>
      </c>
      <c r="S3968" s="24"/>
      <c r="T3968" s="24"/>
    </row>
    <row r="3969">
      <c r="A3969" s="12" t="s">
        <v>4056</v>
      </c>
      <c r="F3969" s="19">
        <f>IFERROR(__xludf.DUMMYFUNCTION("SPLIT(A3965, "" |"")"),3963.0)</f>
        <v>3963</v>
      </c>
      <c r="G3969" s="19">
        <f>IFERROR(__xludf.DUMMYFUNCTION("""COMPUTED_VALUE"""),0.00244)</f>
        <v>0.00244</v>
      </c>
      <c r="H3969" s="19" t="str">
        <f>IFERROR(__xludf.DUMMYFUNCTION("""COMPUTED_VALUE"""),"-")</f>
        <v>-</v>
      </c>
      <c r="I3969" s="19">
        <f>IFERROR(__xludf.DUMMYFUNCTION("""COMPUTED_VALUE"""),0.00215)</f>
        <v>0.00215</v>
      </c>
      <c r="J3969" s="19">
        <f>IFERROR(__xludf.DUMMYFUNCTION("""COMPUTED_VALUE"""),0.0403)</f>
        <v>0.0403</v>
      </c>
      <c r="K3969" s="19" t="str">
        <f>IFERROR(__xludf.DUMMYFUNCTION("""COMPUTED_VALUE"""),"-")</f>
        <v>-</v>
      </c>
      <c r="L3969" s="19" t="str">
        <f>IFERROR(__xludf.DUMMYFUNCTION("""COMPUTED_VALUE"""),"-")</f>
        <v>-</v>
      </c>
      <c r="O3969" s="24">
        <f t="shared" si="4"/>
        <v>0</v>
      </c>
      <c r="P3969" s="24"/>
      <c r="Q3969" s="24">
        <f t="shared" si="6"/>
        <v>0</v>
      </c>
      <c r="R3969" s="24">
        <f t="shared" si="7"/>
        <v>1</v>
      </c>
      <c r="S3969" s="24"/>
      <c r="T3969" s="24"/>
    </row>
    <row r="3970">
      <c r="A3970" s="12" t="s">
        <v>4057</v>
      </c>
      <c r="F3970" s="19">
        <f>IFERROR(__xludf.DUMMYFUNCTION("SPLIT(A3966, "" |"")"),3964.0)</f>
        <v>3964</v>
      </c>
      <c r="G3970" s="19">
        <f>IFERROR(__xludf.DUMMYFUNCTION("""COMPUTED_VALUE"""),0.00237)</f>
        <v>0.00237</v>
      </c>
      <c r="H3970" s="19" t="str">
        <f>IFERROR(__xludf.DUMMYFUNCTION("""COMPUTED_VALUE"""),"-")</f>
        <v>-</v>
      </c>
      <c r="I3970" s="19">
        <f>IFERROR(__xludf.DUMMYFUNCTION("""COMPUTED_VALUE"""),0.00226)</f>
        <v>0.00226</v>
      </c>
      <c r="J3970" s="19">
        <f>IFERROR(__xludf.DUMMYFUNCTION("""COMPUTED_VALUE"""),0.04753)</f>
        <v>0.04753</v>
      </c>
      <c r="K3970" s="19" t="str">
        <f>IFERROR(__xludf.DUMMYFUNCTION("""COMPUTED_VALUE"""),"-")</f>
        <v>-</v>
      </c>
      <c r="L3970" s="19" t="str">
        <f>IFERROR(__xludf.DUMMYFUNCTION("""COMPUTED_VALUE"""),"-")</f>
        <v>-</v>
      </c>
      <c r="O3970" s="24">
        <f t="shared" si="4"/>
        <v>0</v>
      </c>
      <c r="P3970" s="24"/>
      <c r="Q3970" s="24">
        <f t="shared" si="6"/>
        <v>0</v>
      </c>
      <c r="R3970" s="24">
        <f t="shared" si="7"/>
        <v>0</v>
      </c>
      <c r="S3970" s="24"/>
      <c r="T3970" s="24"/>
    </row>
    <row r="3971">
      <c r="A3971" s="12" t="s">
        <v>4058</v>
      </c>
      <c r="F3971" s="19">
        <f>IFERROR(__xludf.DUMMYFUNCTION("SPLIT(A3967, "" |"")"),3965.0)</f>
        <v>3965</v>
      </c>
      <c r="G3971" s="19">
        <f>IFERROR(__xludf.DUMMYFUNCTION("""COMPUTED_VALUE"""),0.00249)</f>
        <v>0.00249</v>
      </c>
      <c r="H3971" s="19" t="str">
        <f>IFERROR(__xludf.DUMMYFUNCTION("""COMPUTED_VALUE"""),"-")</f>
        <v>-</v>
      </c>
      <c r="I3971" s="19">
        <f>IFERROR(__xludf.DUMMYFUNCTION("""COMPUTED_VALUE"""),0.00228)</f>
        <v>0.00228</v>
      </c>
      <c r="J3971" s="19">
        <f>IFERROR(__xludf.DUMMYFUNCTION("""COMPUTED_VALUE"""),0.04746)</f>
        <v>0.04746</v>
      </c>
      <c r="K3971" s="19" t="str">
        <f>IFERROR(__xludf.DUMMYFUNCTION("""COMPUTED_VALUE"""),"-")</f>
        <v>-</v>
      </c>
      <c r="L3971" s="19" t="str">
        <f>IFERROR(__xludf.DUMMYFUNCTION("""COMPUTED_VALUE"""),"-")</f>
        <v>-</v>
      </c>
      <c r="O3971" s="24">
        <f t="shared" si="4"/>
        <v>0</v>
      </c>
      <c r="P3971" s="24"/>
      <c r="Q3971" s="24">
        <f t="shared" si="6"/>
        <v>0</v>
      </c>
      <c r="R3971" s="24">
        <f t="shared" si="7"/>
        <v>0</v>
      </c>
      <c r="S3971" s="24"/>
      <c r="T3971" s="24"/>
    </row>
    <row r="3972">
      <c r="A3972" s="12" t="s">
        <v>4059</v>
      </c>
      <c r="F3972" s="19">
        <f>IFERROR(__xludf.DUMMYFUNCTION("SPLIT(A3968, "" |"")"),3966.0)</f>
        <v>3966</v>
      </c>
      <c r="G3972" s="19">
        <f>IFERROR(__xludf.DUMMYFUNCTION("""COMPUTED_VALUE"""),0.00236)</f>
        <v>0.00236</v>
      </c>
      <c r="H3972" s="19" t="str">
        <f>IFERROR(__xludf.DUMMYFUNCTION("""COMPUTED_VALUE"""),"-")</f>
        <v>-</v>
      </c>
      <c r="I3972" s="19">
        <f>IFERROR(__xludf.DUMMYFUNCTION("""COMPUTED_VALUE"""),0.00224)</f>
        <v>0.00224</v>
      </c>
      <c r="J3972" s="19">
        <f>IFERROR(__xludf.DUMMYFUNCTION("""COMPUTED_VALUE"""),0.04746)</f>
        <v>0.04746</v>
      </c>
      <c r="K3972" s="19" t="str">
        <f>IFERROR(__xludf.DUMMYFUNCTION("""COMPUTED_VALUE"""),"-")</f>
        <v>-</v>
      </c>
      <c r="L3972" s="19" t="str">
        <f>IFERROR(__xludf.DUMMYFUNCTION("""COMPUTED_VALUE"""),"-")</f>
        <v>-</v>
      </c>
      <c r="O3972" s="24">
        <f t="shared" si="4"/>
        <v>0</v>
      </c>
      <c r="P3972" s="24"/>
      <c r="Q3972" s="24">
        <f t="shared" si="6"/>
        <v>0</v>
      </c>
      <c r="R3972" s="24">
        <f t="shared" si="7"/>
        <v>0</v>
      </c>
      <c r="S3972" s="24"/>
      <c r="T3972" s="24"/>
    </row>
    <row r="3973">
      <c r="A3973" s="12" t="s">
        <v>4060</v>
      </c>
      <c r="F3973" s="19">
        <f>IFERROR(__xludf.DUMMYFUNCTION("SPLIT(A3969, "" |"")"),3967.0)</f>
        <v>3967</v>
      </c>
      <c r="G3973" s="19">
        <f>IFERROR(__xludf.DUMMYFUNCTION("""COMPUTED_VALUE"""),0.00231)</f>
        <v>0.00231</v>
      </c>
      <c r="H3973" s="19" t="str">
        <f>IFERROR(__xludf.DUMMYFUNCTION("""COMPUTED_VALUE"""),"-")</f>
        <v>-</v>
      </c>
      <c r="I3973" s="19">
        <f>IFERROR(__xludf.DUMMYFUNCTION("""COMPUTED_VALUE"""),0.00227)</f>
        <v>0.00227</v>
      </c>
      <c r="J3973" s="19">
        <f>IFERROR(__xludf.DUMMYFUNCTION("""COMPUTED_VALUE"""),0.0474)</f>
        <v>0.0474</v>
      </c>
      <c r="K3973" s="19" t="str">
        <f>IFERROR(__xludf.DUMMYFUNCTION("""COMPUTED_VALUE"""),"-")</f>
        <v>-</v>
      </c>
      <c r="L3973" s="19" t="str">
        <f>IFERROR(__xludf.DUMMYFUNCTION("""COMPUTED_VALUE"""),"-")</f>
        <v>-</v>
      </c>
      <c r="O3973" s="24">
        <f t="shared" si="4"/>
        <v>0</v>
      </c>
      <c r="P3973" s="24"/>
      <c r="Q3973" s="24">
        <f t="shared" si="6"/>
        <v>0</v>
      </c>
      <c r="R3973" s="24">
        <f t="shared" si="7"/>
        <v>0</v>
      </c>
      <c r="S3973" s="24"/>
      <c r="T3973" s="24"/>
    </row>
    <row r="3974">
      <c r="A3974" s="12" t="s">
        <v>4061</v>
      </c>
      <c r="F3974" s="19">
        <f>IFERROR(__xludf.DUMMYFUNCTION("SPLIT(A3970, "" |"")"),3968.0)</f>
        <v>3968</v>
      </c>
      <c r="G3974" s="19">
        <f>IFERROR(__xludf.DUMMYFUNCTION("""COMPUTED_VALUE"""),0.00237)</f>
        <v>0.00237</v>
      </c>
      <c r="H3974" s="19" t="str">
        <f>IFERROR(__xludf.DUMMYFUNCTION("""COMPUTED_VALUE"""),"-")</f>
        <v>-</v>
      </c>
      <c r="I3974" s="19">
        <f>IFERROR(__xludf.DUMMYFUNCTION("""COMPUTED_VALUE"""),0.00214)</f>
        <v>0.00214</v>
      </c>
      <c r="J3974" s="19">
        <f>IFERROR(__xludf.DUMMYFUNCTION("""COMPUTED_VALUE"""),0.04682)</f>
        <v>0.04682</v>
      </c>
      <c r="K3974" s="19" t="str">
        <f>IFERROR(__xludf.DUMMYFUNCTION("""COMPUTED_VALUE"""),"-")</f>
        <v>-</v>
      </c>
      <c r="L3974" s="19" t="str">
        <f>IFERROR(__xludf.DUMMYFUNCTION("""COMPUTED_VALUE"""),"-")</f>
        <v>-</v>
      </c>
      <c r="O3974" s="24">
        <f t="shared" si="4"/>
        <v>0</v>
      </c>
      <c r="P3974" s="24"/>
      <c r="Q3974" s="24">
        <f t="shared" si="6"/>
        <v>0</v>
      </c>
      <c r="R3974" s="24">
        <f t="shared" si="7"/>
        <v>0</v>
      </c>
      <c r="S3974" s="24"/>
      <c r="T3974" s="24"/>
    </row>
    <row r="3975">
      <c r="A3975" s="12" t="s">
        <v>4062</v>
      </c>
      <c r="F3975" s="19">
        <f>IFERROR(__xludf.DUMMYFUNCTION("SPLIT(A3971, "" |"")"),3969.0)</f>
        <v>3969</v>
      </c>
      <c r="G3975" s="19">
        <f>IFERROR(__xludf.DUMMYFUNCTION("""COMPUTED_VALUE"""),0.00236)</f>
        <v>0.00236</v>
      </c>
      <c r="H3975" s="19" t="str">
        <f>IFERROR(__xludf.DUMMYFUNCTION("""COMPUTED_VALUE"""),"-")</f>
        <v>-</v>
      </c>
      <c r="I3975" s="19">
        <f>IFERROR(__xludf.DUMMYFUNCTION("""COMPUTED_VALUE"""),0.00222)</f>
        <v>0.00222</v>
      </c>
      <c r="J3975" s="19">
        <f>IFERROR(__xludf.DUMMYFUNCTION("""COMPUTED_VALUE"""),0.04745)</f>
        <v>0.04745</v>
      </c>
      <c r="K3975" s="19" t="str">
        <f>IFERROR(__xludf.DUMMYFUNCTION("""COMPUTED_VALUE"""),"-")</f>
        <v>-</v>
      </c>
      <c r="L3975" s="19" t="str">
        <f>IFERROR(__xludf.DUMMYFUNCTION("""COMPUTED_VALUE"""),"-")</f>
        <v>-</v>
      </c>
      <c r="O3975" s="24">
        <f t="shared" si="4"/>
        <v>0</v>
      </c>
      <c r="P3975" s="24"/>
      <c r="Q3975" s="24">
        <f t="shared" si="6"/>
        <v>0</v>
      </c>
      <c r="R3975" s="24">
        <f t="shared" si="7"/>
        <v>0</v>
      </c>
      <c r="S3975" s="24"/>
      <c r="T3975" s="24"/>
    </row>
    <row r="3976">
      <c r="A3976" s="12" t="s">
        <v>4063</v>
      </c>
      <c r="F3976" s="19">
        <f>IFERROR(__xludf.DUMMYFUNCTION("SPLIT(A3972, "" |"")"),3970.0)</f>
        <v>3970</v>
      </c>
      <c r="G3976" s="19">
        <f>IFERROR(__xludf.DUMMYFUNCTION("""COMPUTED_VALUE"""),0.00243)</f>
        <v>0.00243</v>
      </c>
      <c r="H3976" s="19" t="str">
        <f>IFERROR(__xludf.DUMMYFUNCTION("""COMPUTED_VALUE"""),"-")</f>
        <v>-</v>
      </c>
      <c r="I3976" s="19">
        <f>IFERROR(__xludf.DUMMYFUNCTION("""COMPUTED_VALUE"""),0.00221)</f>
        <v>0.00221</v>
      </c>
      <c r="J3976" s="19">
        <f>IFERROR(__xludf.DUMMYFUNCTION("""COMPUTED_VALUE"""),0.04749)</f>
        <v>0.04749</v>
      </c>
      <c r="K3976" s="19" t="str">
        <f>IFERROR(__xludf.DUMMYFUNCTION("""COMPUTED_VALUE"""),"-")</f>
        <v>-</v>
      </c>
      <c r="L3976" s="19" t="str">
        <f>IFERROR(__xludf.DUMMYFUNCTION("""COMPUTED_VALUE"""),"-")</f>
        <v>-</v>
      </c>
      <c r="O3976" s="24">
        <f t="shared" si="4"/>
        <v>0</v>
      </c>
      <c r="P3976" s="24"/>
      <c r="Q3976" s="24">
        <f t="shared" si="6"/>
        <v>0</v>
      </c>
      <c r="R3976" s="24">
        <f t="shared" si="7"/>
        <v>0</v>
      </c>
      <c r="S3976" s="24"/>
      <c r="T3976" s="24"/>
    </row>
    <row r="3977">
      <c r="A3977" s="12" t="s">
        <v>4064</v>
      </c>
      <c r="F3977" s="19">
        <f>IFERROR(__xludf.DUMMYFUNCTION("SPLIT(A3973, "" |"")"),3971.0)</f>
        <v>3971</v>
      </c>
      <c r="G3977" s="19">
        <f>IFERROR(__xludf.DUMMYFUNCTION("""COMPUTED_VALUE"""),0.00233)</f>
        <v>0.00233</v>
      </c>
      <c r="H3977" s="19" t="str">
        <f>IFERROR(__xludf.DUMMYFUNCTION("""COMPUTED_VALUE"""),"-")</f>
        <v>-</v>
      </c>
      <c r="I3977" s="19">
        <f>IFERROR(__xludf.DUMMYFUNCTION("""COMPUTED_VALUE"""),0.00224)</f>
        <v>0.00224</v>
      </c>
      <c r="J3977" s="19">
        <f>IFERROR(__xludf.DUMMYFUNCTION("""COMPUTED_VALUE"""),0.04748)</f>
        <v>0.04748</v>
      </c>
      <c r="K3977" s="19" t="str">
        <f>IFERROR(__xludf.DUMMYFUNCTION("""COMPUTED_VALUE"""),"-")</f>
        <v>-</v>
      </c>
      <c r="L3977" s="19" t="str">
        <f>IFERROR(__xludf.DUMMYFUNCTION("""COMPUTED_VALUE"""),"-")</f>
        <v>-</v>
      </c>
      <c r="O3977" s="24">
        <f t="shared" si="4"/>
        <v>0</v>
      </c>
      <c r="P3977" s="24"/>
      <c r="Q3977" s="24">
        <f t="shared" si="6"/>
        <v>0</v>
      </c>
      <c r="R3977" s="24">
        <f t="shared" si="7"/>
        <v>0</v>
      </c>
      <c r="S3977" s="24"/>
      <c r="T3977" s="24"/>
    </row>
    <row r="3978">
      <c r="A3978" s="12" t="s">
        <v>4065</v>
      </c>
      <c r="F3978" s="19">
        <f>IFERROR(__xludf.DUMMYFUNCTION("SPLIT(A3974, "" |"")"),3972.0)</f>
        <v>3972</v>
      </c>
      <c r="G3978" s="19">
        <f>IFERROR(__xludf.DUMMYFUNCTION("""COMPUTED_VALUE"""),0.00234)</f>
        <v>0.00234</v>
      </c>
      <c r="H3978" s="19" t="str">
        <f>IFERROR(__xludf.DUMMYFUNCTION("""COMPUTED_VALUE"""),"-")</f>
        <v>-</v>
      </c>
      <c r="I3978" s="19">
        <f>IFERROR(__xludf.DUMMYFUNCTION("""COMPUTED_VALUE"""),0.0022)</f>
        <v>0.0022</v>
      </c>
      <c r="J3978" s="19">
        <f>IFERROR(__xludf.DUMMYFUNCTION("""COMPUTED_VALUE"""),0.04618)</f>
        <v>0.04618</v>
      </c>
      <c r="K3978" s="19" t="str">
        <f>IFERROR(__xludf.DUMMYFUNCTION("""COMPUTED_VALUE"""),"-")</f>
        <v>-</v>
      </c>
      <c r="L3978" s="19" t="str">
        <f>IFERROR(__xludf.DUMMYFUNCTION("""COMPUTED_VALUE"""),"-")</f>
        <v>-</v>
      </c>
      <c r="O3978" s="24">
        <f t="shared" si="4"/>
        <v>0</v>
      </c>
      <c r="P3978" s="24"/>
      <c r="Q3978" s="24">
        <f t="shared" si="6"/>
        <v>0</v>
      </c>
      <c r="R3978" s="24">
        <f t="shared" si="7"/>
        <v>0</v>
      </c>
      <c r="S3978" s="24"/>
      <c r="T3978" s="24"/>
    </row>
    <row r="3979">
      <c r="A3979" s="12" t="s">
        <v>4066</v>
      </c>
      <c r="F3979" s="19">
        <f>IFERROR(__xludf.DUMMYFUNCTION("SPLIT(A3975, "" |"")"),3973.0)</f>
        <v>3973</v>
      </c>
      <c r="G3979" s="19">
        <f>IFERROR(__xludf.DUMMYFUNCTION("""COMPUTED_VALUE"""),0.00246)</f>
        <v>0.00246</v>
      </c>
      <c r="H3979" s="19" t="str">
        <f>IFERROR(__xludf.DUMMYFUNCTION("""COMPUTED_VALUE"""),"-")</f>
        <v>-</v>
      </c>
      <c r="I3979" s="19">
        <f>IFERROR(__xludf.DUMMYFUNCTION("""COMPUTED_VALUE"""),0.00223)</f>
        <v>0.00223</v>
      </c>
      <c r="J3979" s="19">
        <f>IFERROR(__xludf.DUMMYFUNCTION("""COMPUTED_VALUE"""),0.04749)</f>
        <v>0.04749</v>
      </c>
      <c r="K3979" s="19" t="str">
        <f>IFERROR(__xludf.DUMMYFUNCTION("""COMPUTED_VALUE"""),"-")</f>
        <v>-</v>
      </c>
      <c r="L3979" s="19" t="str">
        <f>IFERROR(__xludf.DUMMYFUNCTION("""COMPUTED_VALUE"""),"-")</f>
        <v>-</v>
      </c>
      <c r="O3979" s="24">
        <f t="shared" si="4"/>
        <v>0</v>
      </c>
      <c r="P3979" s="24"/>
      <c r="Q3979" s="24">
        <f t="shared" si="6"/>
        <v>0</v>
      </c>
      <c r="R3979" s="24">
        <f t="shared" si="7"/>
        <v>0</v>
      </c>
      <c r="S3979" s="24"/>
      <c r="T3979" s="24"/>
    </row>
    <row r="3980">
      <c r="A3980" s="12" t="s">
        <v>4067</v>
      </c>
      <c r="F3980" s="19">
        <f>IFERROR(__xludf.DUMMYFUNCTION("SPLIT(A3976, "" |"")"),3974.0)</f>
        <v>3974</v>
      </c>
      <c r="G3980" s="19">
        <f>IFERROR(__xludf.DUMMYFUNCTION("""COMPUTED_VALUE"""),0.00237)</f>
        <v>0.00237</v>
      </c>
      <c r="H3980" s="19" t="str">
        <f>IFERROR(__xludf.DUMMYFUNCTION("""COMPUTED_VALUE"""),"-")</f>
        <v>-</v>
      </c>
      <c r="I3980" s="19">
        <f>IFERROR(__xludf.DUMMYFUNCTION("""COMPUTED_VALUE"""),0.00226)</f>
        <v>0.00226</v>
      </c>
      <c r="J3980" s="19">
        <f>IFERROR(__xludf.DUMMYFUNCTION("""COMPUTED_VALUE"""),0.04751)</f>
        <v>0.04751</v>
      </c>
      <c r="K3980" s="19" t="str">
        <f>IFERROR(__xludf.DUMMYFUNCTION("""COMPUTED_VALUE"""),"-")</f>
        <v>-</v>
      </c>
      <c r="L3980" s="19" t="str">
        <f>IFERROR(__xludf.DUMMYFUNCTION("""COMPUTED_VALUE"""),"-")</f>
        <v>-</v>
      </c>
      <c r="O3980" s="24">
        <f t="shared" si="4"/>
        <v>0</v>
      </c>
      <c r="P3980" s="24"/>
      <c r="Q3980" s="24">
        <f t="shared" si="6"/>
        <v>0</v>
      </c>
      <c r="R3980" s="24">
        <f t="shared" si="7"/>
        <v>0</v>
      </c>
      <c r="S3980" s="24"/>
      <c r="T3980" s="24"/>
    </row>
    <row r="3981">
      <c r="A3981" s="12" t="s">
        <v>4068</v>
      </c>
      <c r="F3981" s="19">
        <f>IFERROR(__xludf.DUMMYFUNCTION("SPLIT(A3977, "" |"")"),3975.0)</f>
        <v>3975</v>
      </c>
      <c r="G3981" s="19">
        <f>IFERROR(__xludf.DUMMYFUNCTION("""COMPUTED_VALUE"""),0.00236)</f>
        <v>0.00236</v>
      </c>
      <c r="H3981" s="19" t="str">
        <f>IFERROR(__xludf.DUMMYFUNCTION("""COMPUTED_VALUE"""),"-")</f>
        <v>-</v>
      </c>
      <c r="I3981" s="19">
        <f>IFERROR(__xludf.DUMMYFUNCTION("""COMPUTED_VALUE"""),0.00224)</f>
        <v>0.00224</v>
      </c>
      <c r="J3981" s="19">
        <f>IFERROR(__xludf.DUMMYFUNCTION("""COMPUTED_VALUE"""),0.04742)</f>
        <v>0.04742</v>
      </c>
      <c r="K3981" s="19" t="str">
        <f>IFERROR(__xludf.DUMMYFUNCTION("""COMPUTED_VALUE"""),"-")</f>
        <v>-</v>
      </c>
      <c r="L3981" s="19" t="str">
        <f>IFERROR(__xludf.DUMMYFUNCTION("""COMPUTED_VALUE"""),"-")</f>
        <v>-</v>
      </c>
      <c r="O3981" s="24">
        <f t="shared" si="4"/>
        <v>0</v>
      </c>
      <c r="P3981" s="24"/>
      <c r="Q3981" s="24">
        <f t="shared" si="6"/>
        <v>0</v>
      </c>
      <c r="R3981" s="24">
        <f t="shared" si="7"/>
        <v>0</v>
      </c>
      <c r="S3981" s="24"/>
      <c r="T3981" s="24"/>
    </row>
    <row r="3982">
      <c r="A3982" s="12" t="s">
        <v>4069</v>
      </c>
      <c r="F3982" s="19">
        <f>IFERROR(__xludf.DUMMYFUNCTION("SPLIT(A3978, "" |"")"),3976.0)</f>
        <v>3976</v>
      </c>
      <c r="G3982" s="19">
        <f>IFERROR(__xludf.DUMMYFUNCTION("""COMPUTED_VALUE"""),0.00233)</f>
        <v>0.00233</v>
      </c>
      <c r="H3982" s="19" t="str">
        <f>IFERROR(__xludf.DUMMYFUNCTION("""COMPUTED_VALUE"""),"-")</f>
        <v>-</v>
      </c>
      <c r="I3982" s="19">
        <f>IFERROR(__xludf.DUMMYFUNCTION("""COMPUTED_VALUE"""),0.00222)</f>
        <v>0.00222</v>
      </c>
      <c r="J3982" s="19">
        <f>IFERROR(__xludf.DUMMYFUNCTION("""COMPUTED_VALUE"""),0.04748)</f>
        <v>0.04748</v>
      </c>
      <c r="K3982" s="19" t="str">
        <f>IFERROR(__xludf.DUMMYFUNCTION("""COMPUTED_VALUE"""),"-")</f>
        <v>-</v>
      </c>
      <c r="L3982" s="19" t="str">
        <f>IFERROR(__xludf.DUMMYFUNCTION("""COMPUTED_VALUE"""),"-")</f>
        <v>-</v>
      </c>
      <c r="O3982" s="24">
        <f t="shared" si="4"/>
        <v>0</v>
      </c>
      <c r="P3982" s="24"/>
      <c r="Q3982" s="24">
        <f t="shared" si="6"/>
        <v>0</v>
      </c>
      <c r="R3982" s="24">
        <f t="shared" si="7"/>
        <v>0</v>
      </c>
      <c r="S3982" s="24"/>
      <c r="T3982" s="24"/>
    </row>
    <row r="3983">
      <c r="A3983" s="12" t="s">
        <v>4070</v>
      </c>
      <c r="F3983" s="19">
        <f>IFERROR(__xludf.DUMMYFUNCTION("SPLIT(A3979, "" |"")"),3977.0)</f>
        <v>3977</v>
      </c>
      <c r="G3983" s="19">
        <f>IFERROR(__xludf.DUMMYFUNCTION("""COMPUTED_VALUE"""),0.0024)</f>
        <v>0.0024</v>
      </c>
      <c r="H3983" s="19" t="str">
        <f>IFERROR(__xludf.DUMMYFUNCTION("""COMPUTED_VALUE"""),"-")</f>
        <v>-</v>
      </c>
      <c r="I3983" s="19">
        <f>IFERROR(__xludf.DUMMYFUNCTION("""COMPUTED_VALUE"""),0.00223)</f>
        <v>0.00223</v>
      </c>
      <c r="J3983" s="19">
        <f>IFERROR(__xludf.DUMMYFUNCTION("""COMPUTED_VALUE"""),0.04745)</f>
        <v>0.04745</v>
      </c>
      <c r="K3983" s="19" t="str">
        <f>IFERROR(__xludf.DUMMYFUNCTION("""COMPUTED_VALUE"""),"-")</f>
        <v>-</v>
      </c>
      <c r="L3983" s="19" t="str">
        <f>IFERROR(__xludf.DUMMYFUNCTION("""COMPUTED_VALUE"""),"-")</f>
        <v>-</v>
      </c>
      <c r="O3983" s="24">
        <f t="shared" si="4"/>
        <v>0</v>
      </c>
      <c r="P3983" s="24"/>
      <c r="Q3983" s="24">
        <f t="shared" si="6"/>
        <v>0</v>
      </c>
      <c r="R3983" s="24">
        <f t="shared" si="7"/>
        <v>0</v>
      </c>
      <c r="S3983" s="24"/>
      <c r="T3983" s="24"/>
    </row>
    <row r="3984">
      <c r="A3984" s="12" t="s">
        <v>4071</v>
      </c>
      <c r="F3984" s="19">
        <f>IFERROR(__xludf.DUMMYFUNCTION("SPLIT(A3980, "" |"")"),3978.0)</f>
        <v>3978</v>
      </c>
      <c r="G3984" s="19">
        <f>IFERROR(__xludf.DUMMYFUNCTION("""COMPUTED_VALUE"""),0.0023)</f>
        <v>0.0023</v>
      </c>
      <c r="H3984" s="19" t="str">
        <f>IFERROR(__xludf.DUMMYFUNCTION("""COMPUTED_VALUE"""),"-")</f>
        <v>-</v>
      </c>
      <c r="I3984" s="19">
        <f>IFERROR(__xludf.DUMMYFUNCTION("""COMPUTED_VALUE"""),0.00223)</f>
        <v>0.00223</v>
      </c>
      <c r="J3984" s="19">
        <f>IFERROR(__xludf.DUMMYFUNCTION("""COMPUTED_VALUE"""),0.04741)</f>
        <v>0.04741</v>
      </c>
      <c r="K3984" s="19" t="str">
        <f>IFERROR(__xludf.DUMMYFUNCTION("""COMPUTED_VALUE"""),"-")</f>
        <v>-</v>
      </c>
      <c r="L3984" s="19" t="str">
        <f>IFERROR(__xludf.DUMMYFUNCTION("""COMPUTED_VALUE"""),"-")</f>
        <v>-</v>
      </c>
      <c r="O3984" s="24">
        <f t="shared" si="4"/>
        <v>0</v>
      </c>
      <c r="P3984" s="24"/>
      <c r="Q3984" s="24">
        <f t="shared" si="6"/>
        <v>0</v>
      </c>
      <c r="R3984" s="24">
        <f t="shared" si="7"/>
        <v>0</v>
      </c>
      <c r="S3984" s="24"/>
      <c r="T3984" s="24"/>
    </row>
    <row r="3985">
      <c r="A3985" s="12" t="s">
        <v>4072</v>
      </c>
      <c r="F3985" s="19">
        <f>IFERROR(__xludf.DUMMYFUNCTION("SPLIT(A3981, "" |"")"),3979.0)</f>
        <v>3979</v>
      </c>
      <c r="G3985" s="19">
        <f>IFERROR(__xludf.DUMMYFUNCTION("""COMPUTED_VALUE"""),0.00233)</f>
        <v>0.00233</v>
      </c>
      <c r="H3985" s="19" t="str">
        <f>IFERROR(__xludf.DUMMYFUNCTION("""COMPUTED_VALUE"""),"-")</f>
        <v>-</v>
      </c>
      <c r="I3985" s="19">
        <f>IFERROR(__xludf.DUMMYFUNCTION("""COMPUTED_VALUE"""),0.00222)</f>
        <v>0.00222</v>
      </c>
      <c r="J3985" s="19">
        <f>IFERROR(__xludf.DUMMYFUNCTION("""COMPUTED_VALUE"""),0.04747)</f>
        <v>0.04747</v>
      </c>
      <c r="K3985" s="19" t="str">
        <f>IFERROR(__xludf.DUMMYFUNCTION("""COMPUTED_VALUE"""),"-")</f>
        <v>-</v>
      </c>
      <c r="L3985" s="19" t="str">
        <f>IFERROR(__xludf.DUMMYFUNCTION("""COMPUTED_VALUE"""),"-")</f>
        <v>-</v>
      </c>
      <c r="O3985" s="24">
        <f t="shared" si="4"/>
        <v>0</v>
      </c>
      <c r="P3985" s="24"/>
      <c r="Q3985" s="24">
        <f t="shared" si="6"/>
        <v>0</v>
      </c>
      <c r="R3985" s="24">
        <f t="shared" si="7"/>
        <v>0</v>
      </c>
      <c r="S3985" s="24"/>
      <c r="T3985" s="24"/>
    </row>
    <row r="3986">
      <c r="A3986" s="12" t="s">
        <v>4073</v>
      </c>
      <c r="F3986" s="19">
        <f>IFERROR(__xludf.DUMMYFUNCTION("SPLIT(A3982, "" |"")"),3980.0)</f>
        <v>3980</v>
      </c>
      <c r="G3986" s="19">
        <f>IFERROR(__xludf.DUMMYFUNCTION("""COMPUTED_VALUE"""),0.00237)</f>
        <v>0.00237</v>
      </c>
      <c r="H3986" s="19" t="str">
        <f>IFERROR(__xludf.DUMMYFUNCTION("""COMPUTED_VALUE"""),"-")</f>
        <v>-</v>
      </c>
      <c r="I3986" s="19">
        <f>IFERROR(__xludf.DUMMYFUNCTION("""COMPUTED_VALUE"""),0.00226)</f>
        <v>0.00226</v>
      </c>
      <c r="J3986" s="19">
        <f>IFERROR(__xludf.DUMMYFUNCTION("""COMPUTED_VALUE"""),0.04746)</f>
        <v>0.04746</v>
      </c>
      <c r="K3986" s="19" t="str">
        <f>IFERROR(__xludf.DUMMYFUNCTION("""COMPUTED_VALUE"""),"-")</f>
        <v>-</v>
      </c>
      <c r="L3986" s="19" t="str">
        <f>IFERROR(__xludf.DUMMYFUNCTION("""COMPUTED_VALUE"""),"-")</f>
        <v>-</v>
      </c>
      <c r="O3986" s="24">
        <f t="shared" si="4"/>
        <v>0</v>
      </c>
      <c r="P3986" s="24"/>
      <c r="Q3986" s="24">
        <f t="shared" si="6"/>
        <v>0</v>
      </c>
      <c r="R3986" s="24">
        <f t="shared" si="7"/>
        <v>0</v>
      </c>
      <c r="S3986" s="24"/>
      <c r="T3986" s="24"/>
    </row>
    <row r="3987">
      <c r="A3987" s="12" t="s">
        <v>4074</v>
      </c>
      <c r="F3987" s="19">
        <f>IFERROR(__xludf.DUMMYFUNCTION("SPLIT(A3983, "" |"")"),3981.0)</f>
        <v>3981</v>
      </c>
      <c r="G3987" s="19">
        <f>IFERROR(__xludf.DUMMYFUNCTION("""COMPUTED_VALUE"""),0.00233)</f>
        <v>0.00233</v>
      </c>
      <c r="H3987" s="19" t="str">
        <f>IFERROR(__xludf.DUMMYFUNCTION("""COMPUTED_VALUE"""),"-")</f>
        <v>-</v>
      </c>
      <c r="I3987" s="19">
        <f>IFERROR(__xludf.DUMMYFUNCTION("""COMPUTED_VALUE"""),0.00222)</f>
        <v>0.00222</v>
      </c>
      <c r="J3987" s="19">
        <f>IFERROR(__xludf.DUMMYFUNCTION("""COMPUTED_VALUE"""),0.04739)</f>
        <v>0.04739</v>
      </c>
      <c r="K3987" s="19" t="str">
        <f>IFERROR(__xludf.DUMMYFUNCTION("""COMPUTED_VALUE"""),"-")</f>
        <v>-</v>
      </c>
      <c r="L3987" s="19" t="str">
        <f>IFERROR(__xludf.DUMMYFUNCTION("""COMPUTED_VALUE"""),"-")</f>
        <v>-</v>
      </c>
      <c r="O3987" s="24">
        <f t="shared" si="4"/>
        <v>0</v>
      </c>
      <c r="P3987" s="24"/>
      <c r="Q3987" s="24">
        <f t="shared" si="6"/>
        <v>0</v>
      </c>
      <c r="R3987" s="24">
        <f t="shared" si="7"/>
        <v>0</v>
      </c>
      <c r="S3987" s="24"/>
      <c r="T3987" s="24"/>
    </row>
    <row r="3988">
      <c r="A3988" s="12" t="s">
        <v>4075</v>
      </c>
      <c r="F3988" s="19">
        <f>IFERROR(__xludf.DUMMYFUNCTION("SPLIT(A3984, "" |"")"),3982.0)</f>
        <v>3982</v>
      </c>
      <c r="G3988" s="19">
        <f>IFERROR(__xludf.DUMMYFUNCTION("""COMPUTED_VALUE"""),0.00225)</f>
        <v>0.00225</v>
      </c>
      <c r="H3988" s="19" t="str">
        <f>IFERROR(__xludf.DUMMYFUNCTION("""COMPUTED_VALUE"""),"-")</f>
        <v>-</v>
      </c>
      <c r="I3988" s="19">
        <f>IFERROR(__xludf.DUMMYFUNCTION("""COMPUTED_VALUE"""),0.00222)</f>
        <v>0.00222</v>
      </c>
      <c r="J3988" s="19">
        <f>IFERROR(__xludf.DUMMYFUNCTION("""COMPUTED_VALUE"""),0.04745)</f>
        <v>0.04745</v>
      </c>
      <c r="K3988" s="19" t="str">
        <f>IFERROR(__xludf.DUMMYFUNCTION("""COMPUTED_VALUE"""),"-")</f>
        <v>-</v>
      </c>
      <c r="L3988" s="19" t="str">
        <f>IFERROR(__xludf.DUMMYFUNCTION("""COMPUTED_VALUE"""),"-")</f>
        <v>-</v>
      </c>
      <c r="O3988" s="24">
        <f t="shared" si="4"/>
        <v>0</v>
      </c>
      <c r="P3988" s="24"/>
      <c r="Q3988" s="24">
        <f t="shared" si="6"/>
        <v>0</v>
      </c>
      <c r="R3988" s="24">
        <f t="shared" si="7"/>
        <v>0</v>
      </c>
      <c r="S3988" s="24"/>
      <c r="T3988" s="24"/>
    </row>
    <row r="3989">
      <c r="A3989" s="12" t="s">
        <v>4076</v>
      </c>
      <c r="F3989" s="19">
        <f>IFERROR(__xludf.DUMMYFUNCTION("SPLIT(A3985, "" |"")"),3983.0)</f>
        <v>3983</v>
      </c>
      <c r="G3989" s="19">
        <f>IFERROR(__xludf.DUMMYFUNCTION("""COMPUTED_VALUE"""),0.00243)</f>
        <v>0.00243</v>
      </c>
      <c r="H3989" s="19" t="str">
        <f>IFERROR(__xludf.DUMMYFUNCTION("""COMPUTED_VALUE"""),"-")</f>
        <v>-</v>
      </c>
      <c r="I3989" s="19">
        <f>IFERROR(__xludf.DUMMYFUNCTION("""COMPUTED_VALUE"""),0.00227)</f>
        <v>0.00227</v>
      </c>
      <c r="J3989" s="19">
        <f>IFERROR(__xludf.DUMMYFUNCTION("""COMPUTED_VALUE"""),0.04479)</f>
        <v>0.04479</v>
      </c>
      <c r="K3989" s="19" t="str">
        <f>IFERROR(__xludf.DUMMYFUNCTION("""COMPUTED_VALUE"""),"-")</f>
        <v>-</v>
      </c>
      <c r="L3989" s="19" t="str">
        <f>IFERROR(__xludf.DUMMYFUNCTION("""COMPUTED_VALUE"""),"-")</f>
        <v>-</v>
      </c>
      <c r="O3989" s="24">
        <f t="shared" si="4"/>
        <v>0</v>
      </c>
      <c r="P3989" s="24"/>
      <c r="Q3989" s="24">
        <f t="shared" si="6"/>
        <v>0</v>
      </c>
      <c r="R3989" s="24">
        <f t="shared" si="7"/>
        <v>1</v>
      </c>
      <c r="S3989" s="24"/>
      <c r="T3989" s="24"/>
    </row>
    <row r="3990">
      <c r="A3990" s="12" t="s">
        <v>4077</v>
      </c>
      <c r="F3990" s="19">
        <f>IFERROR(__xludf.DUMMYFUNCTION("SPLIT(A3986, "" |"")"),3984.0)</f>
        <v>3984</v>
      </c>
      <c r="G3990" s="19">
        <f>IFERROR(__xludf.DUMMYFUNCTION("""COMPUTED_VALUE"""),0.00233)</f>
        <v>0.00233</v>
      </c>
      <c r="H3990" s="19" t="str">
        <f>IFERROR(__xludf.DUMMYFUNCTION("""COMPUTED_VALUE"""),"-")</f>
        <v>-</v>
      </c>
      <c r="I3990" s="19">
        <f>IFERROR(__xludf.DUMMYFUNCTION("""COMPUTED_VALUE"""),0.00224)</f>
        <v>0.00224</v>
      </c>
      <c r="J3990" s="19">
        <f>IFERROR(__xludf.DUMMYFUNCTION("""COMPUTED_VALUE"""),0.04751)</f>
        <v>0.04751</v>
      </c>
      <c r="K3990" s="19" t="str">
        <f>IFERROR(__xludf.DUMMYFUNCTION("""COMPUTED_VALUE"""),"-")</f>
        <v>-</v>
      </c>
      <c r="L3990" s="19" t="str">
        <f>IFERROR(__xludf.DUMMYFUNCTION("""COMPUTED_VALUE"""),"-")</f>
        <v>-</v>
      </c>
      <c r="O3990" s="24">
        <f t="shared" si="4"/>
        <v>0</v>
      </c>
      <c r="P3990" s="24"/>
      <c r="Q3990" s="24">
        <f t="shared" si="6"/>
        <v>0</v>
      </c>
      <c r="R3990" s="24">
        <f t="shared" si="7"/>
        <v>0</v>
      </c>
      <c r="S3990" s="24"/>
      <c r="T3990" s="24"/>
    </row>
    <row r="3991">
      <c r="A3991" s="12" t="s">
        <v>4078</v>
      </c>
      <c r="F3991" s="19">
        <f>IFERROR(__xludf.DUMMYFUNCTION("SPLIT(A3987, "" |"")"),3985.0)</f>
        <v>3985</v>
      </c>
      <c r="G3991" s="19">
        <f>IFERROR(__xludf.DUMMYFUNCTION("""COMPUTED_VALUE"""),0.00238)</f>
        <v>0.00238</v>
      </c>
      <c r="H3991" s="19" t="str">
        <f>IFERROR(__xludf.DUMMYFUNCTION("""COMPUTED_VALUE"""),"-")</f>
        <v>-</v>
      </c>
      <c r="I3991" s="19">
        <f>IFERROR(__xludf.DUMMYFUNCTION("""COMPUTED_VALUE"""),0.00225)</f>
        <v>0.00225</v>
      </c>
      <c r="J3991" s="19">
        <f>IFERROR(__xludf.DUMMYFUNCTION("""COMPUTED_VALUE"""),0.04746)</f>
        <v>0.04746</v>
      </c>
      <c r="K3991" s="19" t="str">
        <f>IFERROR(__xludf.DUMMYFUNCTION("""COMPUTED_VALUE"""),"-")</f>
        <v>-</v>
      </c>
      <c r="L3991" s="19" t="str">
        <f>IFERROR(__xludf.DUMMYFUNCTION("""COMPUTED_VALUE"""),"-")</f>
        <v>-</v>
      </c>
      <c r="O3991" s="24">
        <f t="shared" si="4"/>
        <v>0</v>
      </c>
      <c r="P3991" s="24"/>
      <c r="Q3991" s="24">
        <f t="shared" si="6"/>
        <v>0</v>
      </c>
      <c r="R3991" s="24">
        <f t="shared" si="7"/>
        <v>0</v>
      </c>
      <c r="S3991" s="24"/>
      <c r="T3991" s="24"/>
    </row>
    <row r="3992">
      <c r="A3992" s="12" t="s">
        <v>4079</v>
      </c>
      <c r="F3992" s="19">
        <f>IFERROR(__xludf.DUMMYFUNCTION("SPLIT(A3988, "" |"")"),3986.0)</f>
        <v>3986</v>
      </c>
      <c r="G3992" s="19">
        <f>IFERROR(__xludf.DUMMYFUNCTION("""COMPUTED_VALUE"""),0.00241)</f>
        <v>0.00241</v>
      </c>
      <c r="H3992" s="19" t="str">
        <f>IFERROR(__xludf.DUMMYFUNCTION("""COMPUTED_VALUE"""),"-")</f>
        <v>-</v>
      </c>
      <c r="I3992" s="19">
        <f>IFERROR(__xludf.DUMMYFUNCTION("""COMPUTED_VALUE"""),0.0022)</f>
        <v>0.0022</v>
      </c>
      <c r="J3992" s="19">
        <f>IFERROR(__xludf.DUMMYFUNCTION("""COMPUTED_VALUE"""),0.04747)</f>
        <v>0.04747</v>
      </c>
      <c r="K3992" s="19" t="str">
        <f>IFERROR(__xludf.DUMMYFUNCTION("""COMPUTED_VALUE"""),"-")</f>
        <v>-</v>
      </c>
      <c r="L3992" s="19" t="str">
        <f>IFERROR(__xludf.DUMMYFUNCTION("""COMPUTED_VALUE"""),"-")</f>
        <v>-</v>
      </c>
      <c r="O3992" s="24">
        <f t="shared" si="4"/>
        <v>0</v>
      </c>
      <c r="P3992" s="24"/>
      <c r="Q3992" s="24">
        <f t="shared" si="6"/>
        <v>0</v>
      </c>
      <c r="R3992" s="24">
        <f t="shared" si="7"/>
        <v>0</v>
      </c>
      <c r="S3992" s="24"/>
      <c r="T3992" s="24"/>
    </row>
    <row r="3993">
      <c r="A3993" s="12" t="s">
        <v>4080</v>
      </c>
      <c r="F3993" s="19">
        <f>IFERROR(__xludf.DUMMYFUNCTION("SPLIT(A3989, "" |"")"),3987.0)</f>
        <v>3987</v>
      </c>
      <c r="G3993" s="19">
        <f>IFERROR(__xludf.DUMMYFUNCTION("""COMPUTED_VALUE"""),0.0023)</f>
        <v>0.0023</v>
      </c>
      <c r="H3993" s="19" t="str">
        <f>IFERROR(__xludf.DUMMYFUNCTION("""COMPUTED_VALUE"""),"-")</f>
        <v>-</v>
      </c>
      <c r="I3993" s="19">
        <f>IFERROR(__xludf.DUMMYFUNCTION("""COMPUTED_VALUE"""),0.00222)</f>
        <v>0.00222</v>
      </c>
      <c r="J3993" s="19">
        <f>IFERROR(__xludf.DUMMYFUNCTION("""COMPUTED_VALUE"""),0.04745)</f>
        <v>0.04745</v>
      </c>
      <c r="K3993" s="19" t="str">
        <f>IFERROR(__xludf.DUMMYFUNCTION("""COMPUTED_VALUE"""),"-")</f>
        <v>-</v>
      </c>
      <c r="L3993" s="19" t="str">
        <f>IFERROR(__xludf.DUMMYFUNCTION("""COMPUTED_VALUE"""),"-")</f>
        <v>-</v>
      </c>
      <c r="O3993" s="24">
        <f t="shared" si="4"/>
        <v>0</v>
      </c>
      <c r="P3993" s="24"/>
      <c r="Q3993" s="24">
        <f t="shared" si="6"/>
        <v>0</v>
      </c>
      <c r="R3993" s="24">
        <f t="shared" si="7"/>
        <v>0</v>
      </c>
      <c r="S3993" s="24"/>
      <c r="T3993" s="24"/>
    </row>
    <row r="3994">
      <c r="A3994" s="12" t="s">
        <v>4081</v>
      </c>
      <c r="F3994" s="19">
        <f>IFERROR(__xludf.DUMMYFUNCTION("SPLIT(A3990, "" |"")"),3988.0)</f>
        <v>3988</v>
      </c>
      <c r="G3994" s="19">
        <f>IFERROR(__xludf.DUMMYFUNCTION("""COMPUTED_VALUE"""),0.00233)</f>
        <v>0.00233</v>
      </c>
      <c r="H3994" s="19" t="str">
        <f>IFERROR(__xludf.DUMMYFUNCTION("""COMPUTED_VALUE"""),"-")</f>
        <v>-</v>
      </c>
      <c r="I3994" s="19">
        <f>IFERROR(__xludf.DUMMYFUNCTION("""COMPUTED_VALUE"""),0.00222)</f>
        <v>0.00222</v>
      </c>
      <c r="J3994" s="19">
        <f>IFERROR(__xludf.DUMMYFUNCTION("""COMPUTED_VALUE"""),0.0474)</f>
        <v>0.0474</v>
      </c>
      <c r="K3994" s="19" t="str">
        <f>IFERROR(__xludf.DUMMYFUNCTION("""COMPUTED_VALUE"""),"-")</f>
        <v>-</v>
      </c>
      <c r="L3994" s="19" t="str">
        <f>IFERROR(__xludf.DUMMYFUNCTION("""COMPUTED_VALUE"""),"-")</f>
        <v>-</v>
      </c>
      <c r="O3994" s="24">
        <f t="shared" si="4"/>
        <v>0</v>
      </c>
      <c r="P3994" s="24"/>
      <c r="Q3994" s="24">
        <f t="shared" si="6"/>
        <v>0</v>
      </c>
      <c r="R3994" s="24">
        <f t="shared" si="7"/>
        <v>0</v>
      </c>
      <c r="S3994" s="24"/>
      <c r="T3994" s="24"/>
    </row>
    <row r="3995">
      <c r="A3995" s="12" t="s">
        <v>4082</v>
      </c>
      <c r="F3995" s="19">
        <f>IFERROR(__xludf.DUMMYFUNCTION("SPLIT(A3991, "" |"")"),3989.0)</f>
        <v>3989</v>
      </c>
      <c r="G3995" s="19">
        <f>IFERROR(__xludf.DUMMYFUNCTION("""COMPUTED_VALUE"""),0.00217)</f>
        <v>0.00217</v>
      </c>
      <c r="H3995" s="19" t="str">
        <f>IFERROR(__xludf.DUMMYFUNCTION("""COMPUTED_VALUE"""),"-")</f>
        <v>-</v>
      </c>
      <c r="I3995" s="19">
        <f>IFERROR(__xludf.DUMMYFUNCTION("""COMPUTED_VALUE"""),0.00207)</f>
        <v>0.00207</v>
      </c>
      <c r="J3995" s="19">
        <f>IFERROR(__xludf.DUMMYFUNCTION("""COMPUTED_VALUE"""),0.04729)</f>
        <v>0.04729</v>
      </c>
      <c r="K3995" s="19" t="str">
        <f>IFERROR(__xludf.DUMMYFUNCTION("""COMPUTED_VALUE"""),"-")</f>
        <v>-</v>
      </c>
      <c r="L3995" s="19" t="str">
        <f>IFERROR(__xludf.DUMMYFUNCTION("""COMPUTED_VALUE"""),"-")</f>
        <v>-</v>
      </c>
      <c r="O3995" s="24">
        <f t="shared" si="4"/>
        <v>0</v>
      </c>
      <c r="P3995" s="24"/>
      <c r="Q3995" s="24">
        <f t="shared" si="6"/>
        <v>0</v>
      </c>
      <c r="R3995" s="24">
        <f t="shared" si="7"/>
        <v>0</v>
      </c>
      <c r="S3995" s="24"/>
      <c r="T3995" s="24"/>
    </row>
    <row r="3996">
      <c r="A3996" s="12" t="s">
        <v>4083</v>
      </c>
      <c r="F3996" s="19">
        <f>IFERROR(__xludf.DUMMYFUNCTION("SPLIT(A3992, "" |"")"),3990.0)</f>
        <v>3990</v>
      </c>
      <c r="G3996" s="19">
        <f>IFERROR(__xludf.DUMMYFUNCTION("""COMPUTED_VALUE"""),0.00226)</f>
        <v>0.00226</v>
      </c>
      <c r="H3996" s="19" t="str">
        <f>IFERROR(__xludf.DUMMYFUNCTION("""COMPUTED_VALUE"""),"-")</f>
        <v>-</v>
      </c>
      <c r="I3996" s="19">
        <f>IFERROR(__xludf.DUMMYFUNCTION("""COMPUTED_VALUE"""),0.00211)</f>
        <v>0.00211</v>
      </c>
      <c r="J3996" s="19">
        <f>IFERROR(__xludf.DUMMYFUNCTION("""COMPUTED_VALUE"""),0.04746)</f>
        <v>0.04746</v>
      </c>
      <c r="K3996" s="19" t="str">
        <f>IFERROR(__xludf.DUMMYFUNCTION("""COMPUTED_VALUE"""),"-")</f>
        <v>-</v>
      </c>
      <c r="L3996" s="19" t="str">
        <f>IFERROR(__xludf.DUMMYFUNCTION("""COMPUTED_VALUE"""),"-")</f>
        <v>-</v>
      </c>
      <c r="O3996" s="24">
        <f t="shared" si="4"/>
        <v>0</v>
      </c>
      <c r="P3996" s="24"/>
      <c r="Q3996" s="24">
        <f t="shared" si="6"/>
        <v>0</v>
      </c>
      <c r="R3996" s="24">
        <f t="shared" si="7"/>
        <v>0</v>
      </c>
      <c r="S3996" s="24"/>
      <c r="T3996" s="24"/>
    </row>
    <row r="3997">
      <c r="A3997" s="12" t="s">
        <v>4084</v>
      </c>
      <c r="F3997" s="19">
        <f>IFERROR(__xludf.DUMMYFUNCTION("SPLIT(A3993, "" |"")"),3991.0)</f>
        <v>3991</v>
      </c>
      <c r="G3997" s="19">
        <f>IFERROR(__xludf.DUMMYFUNCTION("""COMPUTED_VALUE"""),0.0024)</f>
        <v>0.0024</v>
      </c>
      <c r="H3997" s="19" t="str">
        <f>IFERROR(__xludf.DUMMYFUNCTION("""COMPUTED_VALUE"""),"-")</f>
        <v>-</v>
      </c>
      <c r="I3997" s="19">
        <f>IFERROR(__xludf.DUMMYFUNCTION("""COMPUTED_VALUE"""),0.00226)</f>
        <v>0.00226</v>
      </c>
      <c r="J3997" s="19">
        <f>IFERROR(__xludf.DUMMYFUNCTION("""COMPUTED_VALUE"""),0.04539)</f>
        <v>0.04539</v>
      </c>
      <c r="K3997" s="19" t="str">
        <f>IFERROR(__xludf.DUMMYFUNCTION("""COMPUTED_VALUE"""),"-")</f>
        <v>-</v>
      </c>
      <c r="L3997" s="19" t="str">
        <f>IFERROR(__xludf.DUMMYFUNCTION("""COMPUTED_VALUE"""),"-")</f>
        <v>-</v>
      </c>
      <c r="O3997" s="24">
        <f t="shared" si="4"/>
        <v>0</v>
      </c>
      <c r="P3997" s="24"/>
      <c r="Q3997" s="24">
        <f t="shared" si="6"/>
        <v>0</v>
      </c>
      <c r="R3997" s="24">
        <f t="shared" si="7"/>
        <v>0</v>
      </c>
      <c r="S3997" s="24"/>
      <c r="T3997" s="24"/>
    </row>
    <row r="3998">
      <c r="A3998" s="12" t="s">
        <v>4085</v>
      </c>
      <c r="F3998" s="19">
        <f>IFERROR(__xludf.DUMMYFUNCTION("SPLIT(A3994, "" |"")"),3992.0)</f>
        <v>3992</v>
      </c>
      <c r="G3998" s="19">
        <f>IFERROR(__xludf.DUMMYFUNCTION("""COMPUTED_VALUE"""),0.00233)</f>
        <v>0.00233</v>
      </c>
      <c r="H3998" s="19" t="str">
        <f>IFERROR(__xludf.DUMMYFUNCTION("""COMPUTED_VALUE"""),"-")</f>
        <v>-</v>
      </c>
      <c r="I3998" s="19">
        <f>IFERROR(__xludf.DUMMYFUNCTION("""COMPUTED_VALUE"""),0.00223)</f>
        <v>0.00223</v>
      </c>
      <c r="J3998" s="19">
        <f>IFERROR(__xludf.DUMMYFUNCTION("""COMPUTED_VALUE"""),0.0474)</f>
        <v>0.0474</v>
      </c>
      <c r="K3998" s="19" t="str">
        <f>IFERROR(__xludf.DUMMYFUNCTION("""COMPUTED_VALUE"""),"-")</f>
        <v>-</v>
      </c>
      <c r="L3998" s="19" t="str">
        <f>IFERROR(__xludf.DUMMYFUNCTION("""COMPUTED_VALUE"""),"-")</f>
        <v>-</v>
      </c>
      <c r="O3998" s="24">
        <f t="shared" si="4"/>
        <v>0</v>
      </c>
      <c r="P3998" s="24"/>
      <c r="Q3998" s="24">
        <f t="shared" si="6"/>
        <v>0</v>
      </c>
      <c r="R3998" s="24">
        <f t="shared" si="7"/>
        <v>0</v>
      </c>
      <c r="S3998" s="24"/>
      <c r="T3998" s="24"/>
    </row>
    <row r="3999">
      <c r="A3999" s="12" t="s">
        <v>4086</v>
      </c>
      <c r="F3999" s="19">
        <f>IFERROR(__xludf.DUMMYFUNCTION("SPLIT(A3995, "" |"")"),3993.0)</f>
        <v>3993</v>
      </c>
      <c r="G3999" s="19">
        <f>IFERROR(__xludf.DUMMYFUNCTION("""COMPUTED_VALUE"""),0.00234)</f>
        <v>0.00234</v>
      </c>
      <c r="H3999" s="19" t="str">
        <f>IFERROR(__xludf.DUMMYFUNCTION("""COMPUTED_VALUE"""),"-")</f>
        <v>-</v>
      </c>
      <c r="I3999" s="19">
        <f>IFERROR(__xludf.DUMMYFUNCTION("""COMPUTED_VALUE"""),0.00225)</f>
        <v>0.00225</v>
      </c>
      <c r="J3999" s="19">
        <f>IFERROR(__xludf.DUMMYFUNCTION("""COMPUTED_VALUE"""),0.04747)</f>
        <v>0.04747</v>
      </c>
      <c r="K3999" s="19" t="str">
        <f>IFERROR(__xludf.DUMMYFUNCTION("""COMPUTED_VALUE"""),"-")</f>
        <v>-</v>
      </c>
      <c r="L3999" s="19" t="str">
        <f>IFERROR(__xludf.DUMMYFUNCTION("""COMPUTED_VALUE"""),"-")</f>
        <v>-</v>
      </c>
      <c r="O3999" s="24">
        <f t="shared" si="4"/>
        <v>0</v>
      </c>
      <c r="P3999" s="24"/>
      <c r="Q3999" s="24">
        <f t="shared" si="6"/>
        <v>0</v>
      </c>
      <c r="R3999" s="24">
        <f t="shared" si="7"/>
        <v>0</v>
      </c>
      <c r="S3999" s="24"/>
      <c r="T3999" s="24"/>
    </row>
    <row r="4000">
      <c r="A4000" s="12" t="s">
        <v>4087</v>
      </c>
      <c r="F4000" s="19">
        <f>IFERROR(__xludf.DUMMYFUNCTION("SPLIT(A3996, "" |"")"),3994.0)</f>
        <v>3994</v>
      </c>
      <c r="G4000" s="19">
        <f>IFERROR(__xludf.DUMMYFUNCTION("""COMPUTED_VALUE"""),0.00243)</f>
        <v>0.00243</v>
      </c>
      <c r="H4000" s="19" t="str">
        <f>IFERROR(__xludf.DUMMYFUNCTION("""COMPUTED_VALUE"""),"-")</f>
        <v>-</v>
      </c>
      <c r="I4000" s="19">
        <f>IFERROR(__xludf.DUMMYFUNCTION("""COMPUTED_VALUE"""),0.00221)</f>
        <v>0.00221</v>
      </c>
      <c r="J4000" s="19">
        <f>IFERROR(__xludf.DUMMYFUNCTION("""COMPUTED_VALUE"""),0.04748)</f>
        <v>0.04748</v>
      </c>
      <c r="K4000" s="19" t="str">
        <f>IFERROR(__xludf.DUMMYFUNCTION("""COMPUTED_VALUE"""),"-")</f>
        <v>-</v>
      </c>
      <c r="L4000" s="19" t="str">
        <f>IFERROR(__xludf.DUMMYFUNCTION("""COMPUTED_VALUE"""),"-")</f>
        <v>-</v>
      </c>
      <c r="O4000" s="24">
        <f t="shared" si="4"/>
        <v>0</v>
      </c>
      <c r="P4000" s="24"/>
      <c r="Q4000" s="24">
        <f t="shared" si="6"/>
        <v>0</v>
      </c>
      <c r="R4000" s="24">
        <f t="shared" si="7"/>
        <v>0</v>
      </c>
      <c r="S4000" s="24"/>
      <c r="T4000" s="24"/>
    </row>
    <row r="4001">
      <c r="A4001" s="12" t="s">
        <v>4088</v>
      </c>
      <c r="F4001" s="19">
        <f>IFERROR(__xludf.DUMMYFUNCTION("SPLIT(A3997, "" |"")"),3995.0)</f>
        <v>3995</v>
      </c>
      <c r="G4001" s="19">
        <f>IFERROR(__xludf.DUMMYFUNCTION("""COMPUTED_VALUE"""),0.0023)</f>
        <v>0.0023</v>
      </c>
      <c r="H4001" s="19" t="str">
        <f>IFERROR(__xludf.DUMMYFUNCTION("""COMPUTED_VALUE"""),"-")</f>
        <v>-</v>
      </c>
      <c r="I4001" s="19">
        <f>IFERROR(__xludf.DUMMYFUNCTION("""COMPUTED_VALUE"""),0.00219)</f>
        <v>0.00219</v>
      </c>
      <c r="J4001" s="19">
        <f>IFERROR(__xludf.DUMMYFUNCTION("""COMPUTED_VALUE"""),0.04129)</f>
        <v>0.04129</v>
      </c>
      <c r="K4001" s="19" t="str">
        <f>IFERROR(__xludf.DUMMYFUNCTION("""COMPUTED_VALUE"""),"-")</f>
        <v>-</v>
      </c>
      <c r="L4001" s="19" t="str">
        <f>IFERROR(__xludf.DUMMYFUNCTION("""COMPUTED_VALUE"""),"-")</f>
        <v>-</v>
      </c>
      <c r="O4001" s="24">
        <f t="shared" si="4"/>
        <v>0</v>
      </c>
      <c r="P4001" s="24"/>
      <c r="Q4001" s="24">
        <f t="shared" si="6"/>
        <v>0</v>
      </c>
      <c r="R4001" s="24">
        <f t="shared" si="7"/>
        <v>1</v>
      </c>
      <c r="S4001" s="24"/>
      <c r="T4001" s="24"/>
    </row>
    <row r="4002">
      <c r="A4002" s="12" t="s">
        <v>4089</v>
      </c>
      <c r="F4002" s="19">
        <f>IFERROR(__xludf.DUMMYFUNCTION("SPLIT(A3998, "" |"")"),3996.0)</f>
        <v>3996</v>
      </c>
      <c r="G4002" s="19">
        <f>IFERROR(__xludf.DUMMYFUNCTION("""COMPUTED_VALUE"""),0.00232)</f>
        <v>0.00232</v>
      </c>
      <c r="H4002" s="19" t="str">
        <f>IFERROR(__xludf.DUMMYFUNCTION("""COMPUTED_VALUE"""),"-")</f>
        <v>-</v>
      </c>
      <c r="I4002" s="19">
        <f>IFERROR(__xludf.DUMMYFUNCTION("""COMPUTED_VALUE"""),0.00222)</f>
        <v>0.00222</v>
      </c>
      <c r="J4002" s="19">
        <f>IFERROR(__xludf.DUMMYFUNCTION("""COMPUTED_VALUE"""),0.04731)</f>
        <v>0.04731</v>
      </c>
      <c r="K4002" s="19" t="str">
        <f>IFERROR(__xludf.DUMMYFUNCTION("""COMPUTED_VALUE"""),"-")</f>
        <v>-</v>
      </c>
      <c r="L4002" s="19" t="str">
        <f>IFERROR(__xludf.DUMMYFUNCTION("""COMPUTED_VALUE"""),"-")</f>
        <v>-</v>
      </c>
      <c r="O4002" s="24">
        <f t="shared" si="4"/>
        <v>0</v>
      </c>
      <c r="P4002" s="24"/>
      <c r="Q4002" s="24">
        <f t="shared" si="6"/>
        <v>0</v>
      </c>
      <c r="R4002" s="24">
        <f t="shared" si="7"/>
        <v>0</v>
      </c>
      <c r="S4002" s="24"/>
      <c r="T4002" s="24"/>
    </row>
    <row r="4003">
      <c r="A4003" s="12" t="s">
        <v>4090</v>
      </c>
      <c r="F4003" s="19">
        <f>IFERROR(__xludf.DUMMYFUNCTION("SPLIT(A3999, "" |"")"),3997.0)</f>
        <v>3997</v>
      </c>
      <c r="G4003" s="19">
        <f>IFERROR(__xludf.DUMMYFUNCTION("""COMPUTED_VALUE"""),0.00228)</f>
        <v>0.00228</v>
      </c>
      <c r="H4003" s="19" t="str">
        <f>IFERROR(__xludf.DUMMYFUNCTION("""COMPUTED_VALUE"""),"-")</f>
        <v>-</v>
      </c>
      <c r="I4003" s="19">
        <f>IFERROR(__xludf.DUMMYFUNCTION("""COMPUTED_VALUE"""),0.00224)</f>
        <v>0.00224</v>
      </c>
      <c r="J4003" s="19">
        <f>IFERROR(__xludf.DUMMYFUNCTION("""COMPUTED_VALUE"""),0.04744)</f>
        <v>0.04744</v>
      </c>
      <c r="K4003" s="19" t="str">
        <f>IFERROR(__xludf.DUMMYFUNCTION("""COMPUTED_VALUE"""),"-")</f>
        <v>-</v>
      </c>
      <c r="L4003" s="19" t="str">
        <f>IFERROR(__xludf.DUMMYFUNCTION("""COMPUTED_VALUE"""),"-")</f>
        <v>-</v>
      </c>
      <c r="O4003" s="24">
        <f t="shared" si="4"/>
        <v>0</v>
      </c>
      <c r="P4003" s="24"/>
      <c r="Q4003" s="24">
        <f t="shared" si="6"/>
        <v>0</v>
      </c>
      <c r="R4003" s="24">
        <f t="shared" si="7"/>
        <v>0</v>
      </c>
      <c r="S4003" s="24"/>
      <c r="T4003" s="24"/>
    </row>
    <row r="4004">
      <c r="A4004" s="12" t="s">
        <v>4091</v>
      </c>
      <c r="F4004" s="19">
        <f>IFERROR(__xludf.DUMMYFUNCTION("SPLIT(A4000, "" |"")"),3998.0)</f>
        <v>3998</v>
      </c>
      <c r="G4004" s="19">
        <f>IFERROR(__xludf.DUMMYFUNCTION("""COMPUTED_VALUE"""),0.00238)</f>
        <v>0.00238</v>
      </c>
      <c r="H4004" s="19" t="str">
        <f>IFERROR(__xludf.DUMMYFUNCTION("""COMPUTED_VALUE"""),"-")</f>
        <v>-</v>
      </c>
      <c r="I4004" s="19">
        <f>IFERROR(__xludf.DUMMYFUNCTION("""COMPUTED_VALUE"""),0.00224)</f>
        <v>0.00224</v>
      </c>
      <c r="J4004" s="19">
        <f>IFERROR(__xludf.DUMMYFUNCTION("""COMPUTED_VALUE"""),0.04745)</f>
        <v>0.04745</v>
      </c>
      <c r="K4004" s="19" t="str">
        <f>IFERROR(__xludf.DUMMYFUNCTION("""COMPUTED_VALUE"""),"-")</f>
        <v>-</v>
      </c>
      <c r="L4004" s="19" t="str">
        <f>IFERROR(__xludf.DUMMYFUNCTION("""COMPUTED_VALUE"""),"-")</f>
        <v>-</v>
      </c>
      <c r="O4004" s="24">
        <f t="shared" si="4"/>
        <v>0</v>
      </c>
      <c r="P4004" s="24"/>
      <c r="Q4004" s="24">
        <f t="shared" si="6"/>
        <v>0</v>
      </c>
      <c r="R4004" s="24">
        <f t="shared" si="7"/>
        <v>0</v>
      </c>
      <c r="S4004" s="24"/>
      <c r="T4004" s="24"/>
    </row>
    <row r="4005">
      <c r="A4005" s="12" t="s">
        <v>4092</v>
      </c>
      <c r="F4005" s="19">
        <f>IFERROR(__xludf.DUMMYFUNCTION("SPLIT(A4001, "" |"")"),3999.0)</f>
        <v>3999</v>
      </c>
      <c r="G4005" s="19">
        <f>IFERROR(__xludf.DUMMYFUNCTION("""COMPUTED_VALUE"""),0.00232)</f>
        <v>0.00232</v>
      </c>
      <c r="H4005" s="19" t="str">
        <f>IFERROR(__xludf.DUMMYFUNCTION("""COMPUTED_VALUE"""),"-")</f>
        <v>-</v>
      </c>
      <c r="I4005" s="19">
        <f>IFERROR(__xludf.DUMMYFUNCTION("""COMPUTED_VALUE"""),0.00226)</f>
        <v>0.00226</v>
      </c>
      <c r="J4005" s="19">
        <f>IFERROR(__xludf.DUMMYFUNCTION("""COMPUTED_VALUE"""),0.04742)</f>
        <v>0.04742</v>
      </c>
      <c r="K4005" s="19" t="str">
        <f>IFERROR(__xludf.DUMMYFUNCTION("""COMPUTED_VALUE"""),"-")</f>
        <v>-</v>
      </c>
      <c r="L4005" s="19" t="str">
        <f>IFERROR(__xludf.DUMMYFUNCTION("""COMPUTED_VALUE"""),"-")</f>
        <v>-</v>
      </c>
      <c r="O4005" s="24">
        <f t="shared" si="4"/>
        <v>0</v>
      </c>
      <c r="P4005" s="24"/>
      <c r="Q4005" s="24">
        <f t="shared" si="6"/>
        <v>0</v>
      </c>
      <c r="R4005" s="24">
        <f t="shared" si="7"/>
        <v>0</v>
      </c>
      <c r="S4005" s="24"/>
      <c r="T4005" s="24"/>
    </row>
    <row r="4006">
      <c r="A4006" s="12" t="s">
        <v>4093</v>
      </c>
      <c r="F4006" s="19">
        <f>IFERROR(__xludf.DUMMYFUNCTION("SPLIT(A4002, "" |"")"),4000.0)</f>
        <v>4000</v>
      </c>
      <c r="G4006" s="19">
        <f>IFERROR(__xludf.DUMMYFUNCTION("""COMPUTED_VALUE"""),0.00229)</f>
        <v>0.00229</v>
      </c>
      <c r="H4006" s="19" t="str">
        <f>IFERROR(__xludf.DUMMYFUNCTION("""COMPUTED_VALUE"""),"-")</f>
        <v>-</v>
      </c>
      <c r="I4006" s="19">
        <f>IFERROR(__xludf.DUMMYFUNCTION("""COMPUTED_VALUE"""),0.00223)</f>
        <v>0.00223</v>
      </c>
      <c r="J4006" s="19">
        <f>IFERROR(__xludf.DUMMYFUNCTION("""COMPUTED_VALUE"""),0.04747)</f>
        <v>0.04747</v>
      </c>
      <c r="K4006" s="19" t="str">
        <f>IFERROR(__xludf.DUMMYFUNCTION("""COMPUTED_VALUE"""),"-")</f>
        <v>-</v>
      </c>
      <c r="L4006" s="19" t="str">
        <f>IFERROR(__xludf.DUMMYFUNCTION("""COMPUTED_VALUE"""),"-")</f>
        <v>-</v>
      </c>
      <c r="O4006" s="24">
        <f t="shared" si="4"/>
        <v>0</v>
      </c>
      <c r="P4006" s="24"/>
      <c r="Q4006" s="24">
        <f t="shared" si="6"/>
        <v>0</v>
      </c>
      <c r="R4006" s="24">
        <f t="shared" si="7"/>
        <v>0</v>
      </c>
      <c r="S4006" s="24"/>
      <c r="T4006" s="24"/>
    </row>
    <row r="4007">
      <c r="A4007" s="12" t="s">
        <v>4094</v>
      </c>
      <c r="F4007" s="19">
        <f>IFERROR(__xludf.DUMMYFUNCTION("SPLIT(A4003, "" |"")"),4001.0)</f>
        <v>4001</v>
      </c>
      <c r="G4007" s="19">
        <f>IFERROR(__xludf.DUMMYFUNCTION("""COMPUTED_VALUE"""),0.00233)</f>
        <v>0.00233</v>
      </c>
      <c r="H4007" s="19" t="str">
        <f>IFERROR(__xludf.DUMMYFUNCTION("""COMPUTED_VALUE"""),"-")</f>
        <v>-</v>
      </c>
      <c r="I4007" s="19">
        <f>IFERROR(__xludf.DUMMYFUNCTION("""COMPUTED_VALUE"""),0.00228)</f>
        <v>0.00228</v>
      </c>
      <c r="J4007" s="19">
        <f>IFERROR(__xludf.DUMMYFUNCTION("""COMPUTED_VALUE"""),0.04748)</f>
        <v>0.04748</v>
      </c>
      <c r="K4007" s="19" t="str">
        <f>IFERROR(__xludf.DUMMYFUNCTION("""COMPUTED_VALUE"""),"-")</f>
        <v>-</v>
      </c>
      <c r="L4007" s="19" t="str">
        <f>IFERROR(__xludf.DUMMYFUNCTION("""COMPUTED_VALUE"""),"-")</f>
        <v>-</v>
      </c>
      <c r="O4007" s="24">
        <f t="shared" si="4"/>
        <v>0</v>
      </c>
      <c r="P4007" s="24"/>
      <c r="Q4007" s="24">
        <f t="shared" si="6"/>
        <v>0</v>
      </c>
      <c r="R4007" s="24">
        <f t="shared" si="7"/>
        <v>0</v>
      </c>
      <c r="S4007" s="24"/>
      <c r="T4007" s="24"/>
    </row>
    <row r="4008">
      <c r="A4008" s="12" t="s">
        <v>4095</v>
      </c>
      <c r="F4008" s="19">
        <f>IFERROR(__xludf.DUMMYFUNCTION("SPLIT(A4004, "" |"")"),4002.0)</f>
        <v>4002</v>
      </c>
      <c r="G4008" s="19">
        <f>IFERROR(__xludf.DUMMYFUNCTION("""COMPUTED_VALUE"""),0.00238)</f>
        <v>0.00238</v>
      </c>
      <c r="H4008" s="19" t="str">
        <f>IFERROR(__xludf.DUMMYFUNCTION("""COMPUTED_VALUE"""),"-")</f>
        <v>-</v>
      </c>
      <c r="I4008" s="19">
        <f>IFERROR(__xludf.DUMMYFUNCTION("""COMPUTED_VALUE"""),0.00228)</f>
        <v>0.00228</v>
      </c>
      <c r="J4008" s="19">
        <f>IFERROR(__xludf.DUMMYFUNCTION("""COMPUTED_VALUE"""),0.04749)</f>
        <v>0.04749</v>
      </c>
      <c r="K4008" s="19" t="str">
        <f>IFERROR(__xludf.DUMMYFUNCTION("""COMPUTED_VALUE"""),"-")</f>
        <v>-</v>
      </c>
      <c r="L4008" s="19" t="str">
        <f>IFERROR(__xludf.DUMMYFUNCTION("""COMPUTED_VALUE"""),"-")</f>
        <v>-</v>
      </c>
      <c r="O4008" s="24">
        <f t="shared" si="4"/>
        <v>0</v>
      </c>
      <c r="P4008" s="24"/>
      <c r="Q4008" s="24">
        <f t="shared" si="6"/>
        <v>0</v>
      </c>
      <c r="R4008" s="24">
        <f t="shared" si="7"/>
        <v>0</v>
      </c>
      <c r="S4008" s="24"/>
      <c r="T4008" s="24"/>
    </row>
    <row r="4009">
      <c r="A4009" s="12" t="s">
        <v>4096</v>
      </c>
      <c r="F4009" s="19">
        <f>IFERROR(__xludf.DUMMYFUNCTION("SPLIT(A4005, "" |"")"),4003.0)</f>
        <v>4003</v>
      </c>
      <c r="G4009" s="19">
        <f>IFERROR(__xludf.DUMMYFUNCTION("""COMPUTED_VALUE"""),0.00235)</f>
        <v>0.00235</v>
      </c>
      <c r="H4009" s="19" t="str">
        <f>IFERROR(__xludf.DUMMYFUNCTION("""COMPUTED_VALUE"""),"-")</f>
        <v>-</v>
      </c>
      <c r="I4009" s="19">
        <f>IFERROR(__xludf.DUMMYFUNCTION("""COMPUTED_VALUE"""),0.00225)</f>
        <v>0.00225</v>
      </c>
      <c r="J4009" s="19">
        <f>IFERROR(__xludf.DUMMYFUNCTION("""COMPUTED_VALUE"""),0.04752)</f>
        <v>0.04752</v>
      </c>
      <c r="K4009" s="19" t="str">
        <f>IFERROR(__xludf.DUMMYFUNCTION("""COMPUTED_VALUE"""),"-")</f>
        <v>-</v>
      </c>
      <c r="L4009" s="19" t="str">
        <f>IFERROR(__xludf.DUMMYFUNCTION("""COMPUTED_VALUE"""),"-")</f>
        <v>-</v>
      </c>
      <c r="O4009" s="24">
        <f t="shared" si="4"/>
        <v>0</v>
      </c>
      <c r="P4009" s="24"/>
      <c r="Q4009" s="24">
        <f t="shared" si="6"/>
        <v>0</v>
      </c>
      <c r="R4009" s="24">
        <f t="shared" si="7"/>
        <v>0</v>
      </c>
      <c r="S4009" s="24"/>
      <c r="T4009" s="24"/>
    </row>
    <row r="4010">
      <c r="A4010" s="12" t="s">
        <v>4097</v>
      </c>
      <c r="F4010" s="19">
        <f>IFERROR(__xludf.DUMMYFUNCTION("SPLIT(A4006, "" |"")"),4004.0)</f>
        <v>4004</v>
      </c>
      <c r="G4010" s="19">
        <f>IFERROR(__xludf.DUMMYFUNCTION("""COMPUTED_VALUE"""),0.0023)</f>
        <v>0.0023</v>
      </c>
      <c r="H4010" s="19" t="str">
        <f>IFERROR(__xludf.DUMMYFUNCTION("""COMPUTED_VALUE"""),"-")</f>
        <v>-</v>
      </c>
      <c r="I4010" s="19">
        <f>IFERROR(__xludf.DUMMYFUNCTION("""COMPUTED_VALUE"""),0.00223)</f>
        <v>0.00223</v>
      </c>
      <c r="J4010" s="19">
        <f>IFERROR(__xludf.DUMMYFUNCTION("""COMPUTED_VALUE"""),0.04744)</f>
        <v>0.04744</v>
      </c>
      <c r="K4010" s="19" t="str">
        <f>IFERROR(__xludf.DUMMYFUNCTION("""COMPUTED_VALUE"""),"-")</f>
        <v>-</v>
      </c>
      <c r="L4010" s="19" t="str">
        <f>IFERROR(__xludf.DUMMYFUNCTION("""COMPUTED_VALUE"""),"-")</f>
        <v>-</v>
      </c>
      <c r="O4010" s="24">
        <f t="shared" si="4"/>
        <v>0</v>
      </c>
      <c r="P4010" s="24"/>
      <c r="Q4010" s="24">
        <f t="shared" si="6"/>
        <v>0</v>
      </c>
      <c r="R4010" s="24">
        <f t="shared" si="7"/>
        <v>0</v>
      </c>
      <c r="S4010" s="24"/>
      <c r="T4010" s="24"/>
    </row>
    <row r="4011">
      <c r="A4011" s="12" t="s">
        <v>4098</v>
      </c>
      <c r="F4011" s="19">
        <f>IFERROR(__xludf.DUMMYFUNCTION("SPLIT(A4007, "" |"")"),4005.0)</f>
        <v>4005</v>
      </c>
      <c r="G4011" s="19">
        <f>IFERROR(__xludf.DUMMYFUNCTION("""COMPUTED_VALUE"""),0.00242)</f>
        <v>0.00242</v>
      </c>
      <c r="H4011" s="19" t="str">
        <f>IFERROR(__xludf.DUMMYFUNCTION("""COMPUTED_VALUE"""),"-")</f>
        <v>-</v>
      </c>
      <c r="I4011" s="19">
        <f>IFERROR(__xludf.DUMMYFUNCTION("""COMPUTED_VALUE"""),0.00227)</f>
        <v>0.00227</v>
      </c>
      <c r="J4011" s="19">
        <f>IFERROR(__xludf.DUMMYFUNCTION("""COMPUTED_VALUE"""),0.04741)</f>
        <v>0.04741</v>
      </c>
      <c r="K4011" s="19" t="str">
        <f>IFERROR(__xludf.DUMMYFUNCTION("""COMPUTED_VALUE"""),"-")</f>
        <v>-</v>
      </c>
      <c r="L4011" s="19" t="str">
        <f>IFERROR(__xludf.DUMMYFUNCTION("""COMPUTED_VALUE"""),"-")</f>
        <v>-</v>
      </c>
      <c r="O4011" s="24">
        <f t="shared" si="4"/>
        <v>0</v>
      </c>
      <c r="P4011" s="24"/>
      <c r="Q4011" s="24">
        <f t="shared" si="6"/>
        <v>0</v>
      </c>
      <c r="R4011" s="24">
        <f t="shared" si="7"/>
        <v>0</v>
      </c>
      <c r="S4011" s="24"/>
      <c r="T4011" s="24"/>
    </row>
    <row r="4012">
      <c r="A4012" s="12" t="s">
        <v>4099</v>
      </c>
      <c r="F4012" s="19">
        <f>IFERROR(__xludf.DUMMYFUNCTION("SPLIT(A4008, "" |"")"),4006.0)</f>
        <v>4006</v>
      </c>
      <c r="G4012" s="19">
        <f>IFERROR(__xludf.DUMMYFUNCTION("""COMPUTED_VALUE"""),0.00238)</f>
        <v>0.00238</v>
      </c>
      <c r="H4012" s="19" t="str">
        <f>IFERROR(__xludf.DUMMYFUNCTION("""COMPUTED_VALUE"""),"-")</f>
        <v>-</v>
      </c>
      <c r="I4012" s="19">
        <f>IFERROR(__xludf.DUMMYFUNCTION("""COMPUTED_VALUE"""),0.00222)</f>
        <v>0.00222</v>
      </c>
      <c r="J4012" s="19">
        <f>IFERROR(__xludf.DUMMYFUNCTION("""COMPUTED_VALUE"""),0.04743)</f>
        <v>0.04743</v>
      </c>
      <c r="K4012" s="19" t="str">
        <f>IFERROR(__xludf.DUMMYFUNCTION("""COMPUTED_VALUE"""),"-")</f>
        <v>-</v>
      </c>
      <c r="L4012" s="19" t="str">
        <f>IFERROR(__xludf.DUMMYFUNCTION("""COMPUTED_VALUE"""),"-")</f>
        <v>-</v>
      </c>
      <c r="O4012" s="24">
        <f t="shared" si="4"/>
        <v>0</v>
      </c>
      <c r="P4012" s="24"/>
      <c r="Q4012" s="24">
        <f t="shared" si="6"/>
        <v>0</v>
      </c>
      <c r="R4012" s="24">
        <f t="shared" si="7"/>
        <v>0</v>
      </c>
      <c r="S4012" s="24"/>
      <c r="T4012" s="24"/>
    </row>
    <row r="4013">
      <c r="A4013" s="12" t="s">
        <v>4100</v>
      </c>
      <c r="F4013" s="19">
        <f>IFERROR(__xludf.DUMMYFUNCTION("SPLIT(A4009, "" |"")"),4007.0)</f>
        <v>4007</v>
      </c>
      <c r="G4013" s="19">
        <f>IFERROR(__xludf.DUMMYFUNCTION("""COMPUTED_VALUE"""),0.00226)</f>
        <v>0.00226</v>
      </c>
      <c r="H4013" s="19" t="str">
        <f>IFERROR(__xludf.DUMMYFUNCTION("""COMPUTED_VALUE"""),"-")</f>
        <v>-</v>
      </c>
      <c r="I4013" s="19">
        <f>IFERROR(__xludf.DUMMYFUNCTION("""COMPUTED_VALUE"""),0.00213)</f>
        <v>0.00213</v>
      </c>
      <c r="J4013" s="19">
        <f>IFERROR(__xludf.DUMMYFUNCTION("""COMPUTED_VALUE"""),0.04739)</f>
        <v>0.04739</v>
      </c>
      <c r="K4013" s="19" t="str">
        <f>IFERROR(__xludf.DUMMYFUNCTION("""COMPUTED_VALUE"""),"-")</f>
        <v>-</v>
      </c>
      <c r="L4013" s="19" t="str">
        <f>IFERROR(__xludf.DUMMYFUNCTION("""COMPUTED_VALUE"""),"-")</f>
        <v>-</v>
      </c>
      <c r="O4013" s="24">
        <f t="shared" si="4"/>
        <v>0</v>
      </c>
      <c r="P4013" s="24"/>
      <c r="Q4013" s="24">
        <f t="shared" si="6"/>
        <v>0</v>
      </c>
      <c r="R4013" s="24">
        <f t="shared" si="7"/>
        <v>0</v>
      </c>
      <c r="S4013" s="24"/>
      <c r="T4013" s="24"/>
    </row>
    <row r="4014">
      <c r="A4014" s="12" t="s">
        <v>4101</v>
      </c>
      <c r="F4014" s="19">
        <f>IFERROR(__xludf.DUMMYFUNCTION("SPLIT(A4010, "" |"")"),4008.0)</f>
        <v>4008</v>
      </c>
      <c r="G4014" s="19">
        <f>IFERROR(__xludf.DUMMYFUNCTION("""COMPUTED_VALUE"""),0.00233)</f>
        <v>0.00233</v>
      </c>
      <c r="H4014" s="19" t="str">
        <f>IFERROR(__xludf.DUMMYFUNCTION("""COMPUTED_VALUE"""),"-")</f>
        <v>-</v>
      </c>
      <c r="I4014" s="19">
        <f>IFERROR(__xludf.DUMMYFUNCTION("""COMPUTED_VALUE"""),0.00226)</f>
        <v>0.00226</v>
      </c>
      <c r="J4014" s="19">
        <f>IFERROR(__xludf.DUMMYFUNCTION("""COMPUTED_VALUE"""),0.04743)</f>
        <v>0.04743</v>
      </c>
      <c r="K4014" s="19" t="str">
        <f>IFERROR(__xludf.DUMMYFUNCTION("""COMPUTED_VALUE"""),"-")</f>
        <v>-</v>
      </c>
      <c r="L4014" s="19" t="str">
        <f>IFERROR(__xludf.DUMMYFUNCTION("""COMPUTED_VALUE"""),"-")</f>
        <v>-</v>
      </c>
      <c r="O4014" s="24">
        <f t="shared" si="4"/>
        <v>0</v>
      </c>
      <c r="P4014" s="24"/>
      <c r="Q4014" s="24">
        <f t="shared" si="6"/>
        <v>0</v>
      </c>
      <c r="R4014" s="24">
        <f t="shared" si="7"/>
        <v>0</v>
      </c>
      <c r="S4014" s="24"/>
      <c r="T4014" s="24"/>
    </row>
    <row r="4015">
      <c r="A4015" s="12" t="s">
        <v>4102</v>
      </c>
      <c r="F4015" s="19">
        <f>IFERROR(__xludf.DUMMYFUNCTION("SPLIT(A4011, "" |"")"),4009.0)</f>
        <v>4009</v>
      </c>
      <c r="G4015" s="19">
        <f>IFERROR(__xludf.DUMMYFUNCTION("""COMPUTED_VALUE"""),0.00235)</f>
        <v>0.00235</v>
      </c>
      <c r="H4015" s="19" t="str">
        <f>IFERROR(__xludf.DUMMYFUNCTION("""COMPUTED_VALUE"""),"-")</f>
        <v>-</v>
      </c>
      <c r="I4015" s="19">
        <f>IFERROR(__xludf.DUMMYFUNCTION("""COMPUTED_VALUE"""),0.00227)</f>
        <v>0.00227</v>
      </c>
      <c r="J4015" s="19">
        <f>IFERROR(__xludf.DUMMYFUNCTION("""COMPUTED_VALUE"""),0.04748)</f>
        <v>0.04748</v>
      </c>
      <c r="K4015" s="19" t="str">
        <f>IFERROR(__xludf.DUMMYFUNCTION("""COMPUTED_VALUE"""),"-")</f>
        <v>-</v>
      </c>
      <c r="L4015" s="19" t="str">
        <f>IFERROR(__xludf.DUMMYFUNCTION("""COMPUTED_VALUE"""),"-")</f>
        <v>-</v>
      </c>
      <c r="O4015" s="24">
        <f t="shared" si="4"/>
        <v>0</v>
      </c>
      <c r="P4015" s="24"/>
      <c r="Q4015" s="24">
        <f t="shared" si="6"/>
        <v>0</v>
      </c>
      <c r="R4015" s="24">
        <f t="shared" si="7"/>
        <v>0</v>
      </c>
      <c r="S4015" s="24"/>
      <c r="T4015" s="24"/>
    </row>
    <row r="4016">
      <c r="A4016" s="12" t="s">
        <v>4103</v>
      </c>
      <c r="F4016" s="19">
        <f>IFERROR(__xludf.DUMMYFUNCTION("SPLIT(A4012, "" |"")"),4010.0)</f>
        <v>4010</v>
      </c>
      <c r="G4016" s="19">
        <f>IFERROR(__xludf.DUMMYFUNCTION("""COMPUTED_VALUE"""),0.00234)</f>
        <v>0.00234</v>
      </c>
      <c r="H4016" s="19" t="str">
        <f>IFERROR(__xludf.DUMMYFUNCTION("""COMPUTED_VALUE"""),"-")</f>
        <v>-</v>
      </c>
      <c r="I4016" s="19">
        <f>IFERROR(__xludf.DUMMYFUNCTION("""COMPUTED_VALUE"""),0.00217)</f>
        <v>0.00217</v>
      </c>
      <c r="J4016" s="19">
        <f>IFERROR(__xludf.DUMMYFUNCTION("""COMPUTED_VALUE"""),0.04747)</f>
        <v>0.04747</v>
      </c>
      <c r="K4016" s="19" t="str">
        <f>IFERROR(__xludf.DUMMYFUNCTION("""COMPUTED_VALUE"""),"-")</f>
        <v>-</v>
      </c>
      <c r="L4016" s="19" t="str">
        <f>IFERROR(__xludf.DUMMYFUNCTION("""COMPUTED_VALUE"""),"-")</f>
        <v>-</v>
      </c>
      <c r="O4016" s="24">
        <f t="shared" si="4"/>
        <v>0</v>
      </c>
      <c r="P4016" s="24"/>
      <c r="Q4016" s="24">
        <f t="shared" si="6"/>
        <v>0</v>
      </c>
      <c r="R4016" s="24">
        <f t="shared" si="7"/>
        <v>0</v>
      </c>
      <c r="S4016" s="24"/>
      <c r="T4016" s="24"/>
    </row>
    <row r="4017">
      <c r="A4017" s="12" t="s">
        <v>4104</v>
      </c>
      <c r="F4017" s="19">
        <f>IFERROR(__xludf.DUMMYFUNCTION("SPLIT(A4013, "" |"")"),4011.0)</f>
        <v>4011</v>
      </c>
      <c r="G4017" s="19">
        <f>IFERROR(__xludf.DUMMYFUNCTION("""COMPUTED_VALUE"""),0.00242)</f>
        <v>0.00242</v>
      </c>
      <c r="H4017" s="19" t="str">
        <f>IFERROR(__xludf.DUMMYFUNCTION("""COMPUTED_VALUE"""),"-")</f>
        <v>-</v>
      </c>
      <c r="I4017" s="19">
        <f>IFERROR(__xludf.DUMMYFUNCTION("""COMPUTED_VALUE"""),0.0022)</f>
        <v>0.0022</v>
      </c>
      <c r="J4017" s="19">
        <f>IFERROR(__xludf.DUMMYFUNCTION("""COMPUTED_VALUE"""),0.04212)</f>
        <v>0.04212</v>
      </c>
      <c r="K4017" s="19" t="str">
        <f>IFERROR(__xludf.DUMMYFUNCTION("""COMPUTED_VALUE"""),"-")</f>
        <v>-</v>
      </c>
      <c r="L4017" s="19" t="str">
        <f>IFERROR(__xludf.DUMMYFUNCTION("""COMPUTED_VALUE"""),"-")</f>
        <v>-</v>
      </c>
      <c r="O4017" s="24">
        <f t="shared" si="4"/>
        <v>0</v>
      </c>
      <c r="P4017" s="24"/>
      <c r="Q4017" s="24">
        <f t="shared" si="6"/>
        <v>0</v>
      </c>
      <c r="R4017" s="24">
        <f t="shared" si="7"/>
        <v>1</v>
      </c>
      <c r="S4017" s="24"/>
      <c r="T4017" s="24"/>
    </row>
    <row r="4018">
      <c r="A4018" s="12" t="s">
        <v>4105</v>
      </c>
      <c r="F4018" s="19">
        <f>IFERROR(__xludf.DUMMYFUNCTION("SPLIT(A4014, "" |"")"),4012.0)</f>
        <v>4012</v>
      </c>
      <c r="G4018" s="19">
        <f>IFERROR(__xludf.DUMMYFUNCTION("""COMPUTED_VALUE"""),0.00237)</f>
        <v>0.00237</v>
      </c>
      <c r="H4018" s="19" t="str">
        <f>IFERROR(__xludf.DUMMYFUNCTION("""COMPUTED_VALUE"""),"-")</f>
        <v>-</v>
      </c>
      <c r="I4018" s="19">
        <f>IFERROR(__xludf.DUMMYFUNCTION("""COMPUTED_VALUE"""),0.00223)</f>
        <v>0.00223</v>
      </c>
      <c r="J4018" s="19">
        <f>IFERROR(__xludf.DUMMYFUNCTION("""COMPUTED_VALUE"""),0.0475)</f>
        <v>0.0475</v>
      </c>
      <c r="K4018" s="19" t="str">
        <f>IFERROR(__xludf.DUMMYFUNCTION("""COMPUTED_VALUE"""),"-")</f>
        <v>-</v>
      </c>
      <c r="L4018" s="19" t="str">
        <f>IFERROR(__xludf.DUMMYFUNCTION("""COMPUTED_VALUE"""),"-")</f>
        <v>-</v>
      </c>
      <c r="O4018" s="24">
        <f t="shared" si="4"/>
        <v>0</v>
      </c>
      <c r="P4018" s="24"/>
      <c r="Q4018" s="24">
        <f t="shared" si="6"/>
        <v>0</v>
      </c>
      <c r="R4018" s="24">
        <f t="shared" si="7"/>
        <v>0</v>
      </c>
      <c r="S4018" s="24"/>
      <c r="T4018" s="24"/>
    </row>
    <row r="4019">
      <c r="A4019" s="12" t="s">
        <v>4106</v>
      </c>
      <c r="F4019" s="19">
        <f>IFERROR(__xludf.DUMMYFUNCTION("SPLIT(A4015, "" |"")"),4013.0)</f>
        <v>4013</v>
      </c>
      <c r="G4019" s="19">
        <f>IFERROR(__xludf.DUMMYFUNCTION("""COMPUTED_VALUE"""),0.00233)</f>
        <v>0.00233</v>
      </c>
      <c r="H4019" s="19" t="str">
        <f>IFERROR(__xludf.DUMMYFUNCTION("""COMPUTED_VALUE"""),"-")</f>
        <v>-</v>
      </c>
      <c r="I4019" s="19">
        <f>IFERROR(__xludf.DUMMYFUNCTION("""COMPUTED_VALUE"""),0.00221)</f>
        <v>0.00221</v>
      </c>
      <c r="J4019" s="19">
        <f>IFERROR(__xludf.DUMMYFUNCTION("""COMPUTED_VALUE"""),0.04748)</f>
        <v>0.04748</v>
      </c>
      <c r="K4019" s="19" t="str">
        <f>IFERROR(__xludf.DUMMYFUNCTION("""COMPUTED_VALUE"""),"-")</f>
        <v>-</v>
      </c>
      <c r="L4019" s="19" t="str">
        <f>IFERROR(__xludf.DUMMYFUNCTION("""COMPUTED_VALUE"""),"-")</f>
        <v>-</v>
      </c>
      <c r="O4019" s="24">
        <f t="shared" si="4"/>
        <v>0</v>
      </c>
      <c r="P4019" s="24"/>
      <c r="Q4019" s="24">
        <f t="shared" si="6"/>
        <v>0</v>
      </c>
      <c r="R4019" s="24">
        <f t="shared" si="7"/>
        <v>0</v>
      </c>
      <c r="S4019" s="24"/>
      <c r="T4019" s="24"/>
    </row>
    <row r="4020">
      <c r="A4020" s="12" t="s">
        <v>4107</v>
      </c>
      <c r="F4020" s="19">
        <f>IFERROR(__xludf.DUMMYFUNCTION("SPLIT(A4016, "" |"")"),4014.0)</f>
        <v>4014</v>
      </c>
      <c r="G4020" s="19">
        <f>IFERROR(__xludf.DUMMYFUNCTION("""COMPUTED_VALUE"""),0.0024)</f>
        <v>0.0024</v>
      </c>
      <c r="H4020" s="19" t="str">
        <f>IFERROR(__xludf.DUMMYFUNCTION("""COMPUTED_VALUE"""),"-")</f>
        <v>-</v>
      </c>
      <c r="I4020" s="19">
        <f>IFERROR(__xludf.DUMMYFUNCTION("""COMPUTED_VALUE"""),0.00221)</f>
        <v>0.00221</v>
      </c>
      <c r="J4020" s="19">
        <f>IFERROR(__xludf.DUMMYFUNCTION("""COMPUTED_VALUE"""),0.04745)</f>
        <v>0.04745</v>
      </c>
      <c r="K4020" s="19" t="str">
        <f>IFERROR(__xludf.DUMMYFUNCTION("""COMPUTED_VALUE"""),"-")</f>
        <v>-</v>
      </c>
      <c r="L4020" s="19" t="str">
        <f>IFERROR(__xludf.DUMMYFUNCTION("""COMPUTED_VALUE"""),"-")</f>
        <v>-</v>
      </c>
      <c r="O4020" s="24">
        <f t="shared" si="4"/>
        <v>0</v>
      </c>
      <c r="P4020" s="24"/>
      <c r="Q4020" s="24">
        <f t="shared" si="6"/>
        <v>0</v>
      </c>
      <c r="R4020" s="24">
        <f t="shared" si="7"/>
        <v>0</v>
      </c>
      <c r="S4020" s="24"/>
      <c r="T4020" s="24"/>
    </row>
    <row r="4021">
      <c r="A4021" s="12" t="s">
        <v>4108</v>
      </c>
      <c r="F4021" s="19">
        <f>IFERROR(__xludf.DUMMYFUNCTION("SPLIT(A4017, "" |"")"),4015.0)</f>
        <v>4015</v>
      </c>
      <c r="G4021" s="19">
        <f>IFERROR(__xludf.DUMMYFUNCTION("""COMPUTED_VALUE"""),0.0024)</f>
        <v>0.0024</v>
      </c>
      <c r="H4021" s="19" t="str">
        <f>IFERROR(__xludf.DUMMYFUNCTION("""COMPUTED_VALUE"""),"-")</f>
        <v>-</v>
      </c>
      <c r="I4021" s="19">
        <f>IFERROR(__xludf.DUMMYFUNCTION("""COMPUTED_VALUE"""),0.00226)</f>
        <v>0.00226</v>
      </c>
      <c r="J4021" s="19">
        <f>IFERROR(__xludf.DUMMYFUNCTION("""COMPUTED_VALUE"""),0.04526)</f>
        <v>0.04526</v>
      </c>
      <c r="K4021" s="19" t="str">
        <f>IFERROR(__xludf.DUMMYFUNCTION("""COMPUTED_VALUE"""),"-")</f>
        <v>-</v>
      </c>
      <c r="L4021" s="19" t="str">
        <f>IFERROR(__xludf.DUMMYFUNCTION("""COMPUTED_VALUE"""),"-")</f>
        <v>-</v>
      </c>
      <c r="O4021" s="24">
        <f t="shared" si="4"/>
        <v>0</v>
      </c>
      <c r="P4021" s="24"/>
      <c r="Q4021" s="24">
        <f t="shared" si="6"/>
        <v>0</v>
      </c>
      <c r="R4021" s="24">
        <f t="shared" si="7"/>
        <v>0</v>
      </c>
      <c r="S4021" s="24"/>
      <c r="T4021" s="24"/>
    </row>
    <row r="4022">
      <c r="A4022" s="12" t="s">
        <v>4109</v>
      </c>
      <c r="F4022" s="19">
        <f>IFERROR(__xludf.DUMMYFUNCTION("SPLIT(A4018, "" |"")"),4016.0)</f>
        <v>4016</v>
      </c>
      <c r="G4022" s="19">
        <f>IFERROR(__xludf.DUMMYFUNCTION("""COMPUTED_VALUE"""),0.00235)</f>
        <v>0.00235</v>
      </c>
      <c r="H4022" s="19" t="str">
        <f>IFERROR(__xludf.DUMMYFUNCTION("""COMPUTED_VALUE"""),"-")</f>
        <v>-</v>
      </c>
      <c r="I4022" s="19">
        <f>IFERROR(__xludf.DUMMYFUNCTION("""COMPUTED_VALUE"""),0.00219)</f>
        <v>0.00219</v>
      </c>
      <c r="J4022" s="19">
        <f>IFERROR(__xludf.DUMMYFUNCTION("""COMPUTED_VALUE"""),0.04723)</f>
        <v>0.04723</v>
      </c>
      <c r="K4022" s="19" t="str">
        <f>IFERROR(__xludf.DUMMYFUNCTION("""COMPUTED_VALUE"""),"-")</f>
        <v>-</v>
      </c>
      <c r="L4022" s="19" t="str">
        <f>IFERROR(__xludf.DUMMYFUNCTION("""COMPUTED_VALUE"""),"-")</f>
        <v>-</v>
      </c>
      <c r="O4022" s="24">
        <f t="shared" si="4"/>
        <v>0</v>
      </c>
      <c r="P4022" s="24"/>
      <c r="Q4022" s="24">
        <f t="shared" si="6"/>
        <v>0</v>
      </c>
      <c r="R4022" s="24">
        <f t="shared" si="7"/>
        <v>0</v>
      </c>
      <c r="S4022" s="24"/>
      <c r="T4022" s="24"/>
    </row>
    <row r="4023">
      <c r="A4023" s="12" t="s">
        <v>4110</v>
      </c>
      <c r="F4023" s="19">
        <f>IFERROR(__xludf.DUMMYFUNCTION("SPLIT(A4019, "" |"")"),4017.0)</f>
        <v>4017</v>
      </c>
      <c r="G4023" s="19">
        <f>IFERROR(__xludf.DUMMYFUNCTION("""COMPUTED_VALUE"""),0.00244)</f>
        <v>0.00244</v>
      </c>
      <c r="H4023" s="19" t="str">
        <f>IFERROR(__xludf.DUMMYFUNCTION("""COMPUTED_VALUE"""),"-")</f>
        <v>-</v>
      </c>
      <c r="I4023" s="19">
        <f>IFERROR(__xludf.DUMMYFUNCTION("""COMPUTED_VALUE"""),0.00228)</f>
        <v>0.00228</v>
      </c>
      <c r="J4023" s="19">
        <f>IFERROR(__xludf.DUMMYFUNCTION("""COMPUTED_VALUE"""),0.04754)</f>
        <v>0.04754</v>
      </c>
      <c r="K4023" s="19" t="str">
        <f>IFERROR(__xludf.DUMMYFUNCTION("""COMPUTED_VALUE"""),"-")</f>
        <v>-</v>
      </c>
      <c r="L4023" s="19" t="str">
        <f>IFERROR(__xludf.DUMMYFUNCTION("""COMPUTED_VALUE"""),"-")</f>
        <v>-</v>
      </c>
      <c r="O4023" s="24">
        <f t="shared" si="4"/>
        <v>0</v>
      </c>
      <c r="P4023" s="24"/>
      <c r="Q4023" s="24">
        <f t="shared" si="6"/>
        <v>0</v>
      </c>
      <c r="R4023" s="24">
        <f t="shared" si="7"/>
        <v>0</v>
      </c>
      <c r="S4023" s="24"/>
      <c r="T4023" s="24"/>
    </row>
    <row r="4024">
      <c r="A4024" s="12" t="s">
        <v>4111</v>
      </c>
      <c r="F4024" s="19">
        <f>IFERROR(__xludf.DUMMYFUNCTION("SPLIT(A4020, "" |"")"),4018.0)</f>
        <v>4018</v>
      </c>
      <c r="G4024" s="19">
        <f>IFERROR(__xludf.DUMMYFUNCTION("""COMPUTED_VALUE"""),0.00248)</f>
        <v>0.00248</v>
      </c>
      <c r="H4024" s="19" t="str">
        <f>IFERROR(__xludf.DUMMYFUNCTION("""COMPUTED_VALUE"""),"-")</f>
        <v>-</v>
      </c>
      <c r="I4024" s="19">
        <f>IFERROR(__xludf.DUMMYFUNCTION("""COMPUTED_VALUE"""),0.00225)</f>
        <v>0.00225</v>
      </c>
      <c r="J4024" s="19">
        <f>IFERROR(__xludf.DUMMYFUNCTION("""COMPUTED_VALUE"""),0.04747)</f>
        <v>0.04747</v>
      </c>
      <c r="K4024" s="19" t="str">
        <f>IFERROR(__xludf.DUMMYFUNCTION("""COMPUTED_VALUE"""),"-")</f>
        <v>-</v>
      </c>
      <c r="L4024" s="19" t="str">
        <f>IFERROR(__xludf.DUMMYFUNCTION("""COMPUTED_VALUE"""),"-")</f>
        <v>-</v>
      </c>
      <c r="O4024" s="24">
        <f t="shared" si="4"/>
        <v>0</v>
      </c>
      <c r="P4024" s="24"/>
      <c r="Q4024" s="24">
        <f t="shared" si="6"/>
        <v>0</v>
      </c>
      <c r="R4024" s="24">
        <f t="shared" si="7"/>
        <v>0</v>
      </c>
      <c r="S4024" s="24"/>
      <c r="T4024" s="24"/>
    </row>
    <row r="4025">
      <c r="A4025" s="12" t="s">
        <v>4112</v>
      </c>
      <c r="F4025" s="19">
        <f>IFERROR(__xludf.DUMMYFUNCTION("SPLIT(A4021, "" |"")"),4019.0)</f>
        <v>4019</v>
      </c>
      <c r="G4025" s="19">
        <f>IFERROR(__xludf.DUMMYFUNCTION("""COMPUTED_VALUE"""),0.00231)</f>
        <v>0.00231</v>
      </c>
      <c r="H4025" s="19" t="str">
        <f>IFERROR(__xludf.DUMMYFUNCTION("""COMPUTED_VALUE"""),"-")</f>
        <v>-</v>
      </c>
      <c r="I4025" s="19">
        <f>IFERROR(__xludf.DUMMYFUNCTION("""COMPUTED_VALUE"""),0.00219)</f>
        <v>0.00219</v>
      </c>
      <c r="J4025" s="19">
        <f>IFERROR(__xludf.DUMMYFUNCTION("""COMPUTED_VALUE"""),0.04746)</f>
        <v>0.04746</v>
      </c>
      <c r="K4025" s="19" t="str">
        <f>IFERROR(__xludf.DUMMYFUNCTION("""COMPUTED_VALUE"""),"-")</f>
        <v>-</v>
      </c>
      <c r="L4025" s="19" t="str">
        <f>IFERROR(__xludf.DUMMYFUNCTION("""COMPUTED_VALUE"""),"-")</f>
        <v>-</v>
      </c>
      <c r="O4025" s="24">
        <f t="shared" si="4"/>
        <v>0</v>
      </c>
      <c r="P4025" s="24"/>
      <c r="Q4025" s="24">
        <f t="shared" si="6"/>
        <v>0</v>
      </c>
      <c r="R4025" s="24">
        <f t="shared" si="7"/>
        <v>0</v>
      </c>
      <c r="S4025" s="24"/>
      <c r="T4025" s="24"/>
    </row>
    <row r="4026">
      <c r="A4026" s="12" t="s">
        <v>4113</v>
      </c>
      <c r="F4026" s="19">
        <f>IFERROR(__xludf.DUMMYFUNCTION("SPLIT(A4022, "" |"")"),4020.0)</f>
        <v>4020</v>
      </c>
      <c r="G4026" s="19">
        <f>IFERROR(__xludf.DUMMYFUNCTION("""COMPUTED_VALUE"""),0.00232)</f>
        <v>0.00232</v>
      </c>
      <c r="H4026" s="19" t="str">
        <f>IFERROR(__xludf.DUMMYFUNCTION("""COMPUTED_VALUE"""),"-")</f>
        <v>-</v>
      </c>
      <c r="I4026" s="19">
        <f>IFERROR(__xludf.DUMMYFUNCTION("""COMPUTED_VALUE"""),0.00221)</f>
        <v>0.00221</v>
      </c>
      <c r="J4026" s="19">
        <f>IFERROR(__xludf.DUMMYFUNCTION("""COMPUTED_VALUE"""),0.04744)</f>
        <v>0.04744</v>
      </c>
      <c r="K4026" s="19" t="str">
        <f>IFERROR(__xludf.DUMMYFUNCTION("""COMPUTED_VALUE"""),"-")</f>
        <v>-</v>
      </c>
      <c r="L4026" s="19" t="str">
        <f>IFERROR(__xludf.DUMMYFUNCTION("""COMPUTED_VALUE"""),"-")</f>
        <v>-</v>
      </c>
      <c r="O4026" s="24">
        <f t="shared" si="4"/>
        <v>0</v>
      </c>
      <c r="P4026" s="24"/>
      <c r="Q4026" s="24">
        <f t="shared" si="6"/>
        <v>0</v>
      </c>
      <c r="R4026" s="24">
        <f t="shared" si="7"/>
        <v>0</v>
      </c>
      <c r="S4026" s="24"/>
      <c r="T4026" s="24"/>
    </row>
    <row r="4027">
      <c r="A4027" s="12" t="s">
        <v>4114</v>
      </c>
      <c r="F4027" s="19">
        <f>IFERROR(__xludf.DUMMYFUNCTION("SPLIT(A4023, "" |"")"),4021.0)</f>
        <v>4021</v>
      </c>
      <c r="G4027" s="19">
        <f>IFERROR(__xludf.DUMMYFUNCTION("""COMPUTED_VALUE"""),0.00242)</f>
        <v>0.00242</v>
      </c>
      <c r="H4027" s="19" t="str">
        <f>IFERROR(__xludf.DUMMYFUNCTION("""COMPUTED_VALUE"""),"-")</f>
        <v>-</v>
      </c>
      <c r="I4027" s="19">
        <f>IFERROR(__xludf.DUMMYFUNCTION("""COMPUTED_VALUE"""),0.00219)</f>
        <v>0.00219</v>
      </c>
      <c r="J4027" s="19">
        <f>IFERROR(__xludf.DUMMYFUNCTION("""COMPUTED_VALUE"""),0.04676)</f>
        <v>0.04676</v>
      </c>
      <c r="K4027" s="19" t="str">
        <f>IFERROR(__xludf.DUMMYFUNCTION("""COMPUTED_VALUE"""),"-")</f>
        <v>-</v>
      </c>
      <c r="L4027" s="19" t="str">
        <f>IFERROR(__xludf.DUMMYFUNCTION("""COMPUTED_VALUE"""),"-")</f>
        <v>-</v>
      </c>
      <c r="O4027" s="24">
        <f t="shared" si="4"/>
        <v>0</v>
      </c>
      <c r="P4027" s="24"/>
      <c r="Q4027" s="24">
        <f t="shared" si="6"/>
        <v>0</v>
      </c>
      <c r="R4027" s="24">
        <f t="shared" si="7"/>
        <v>0</v>
      </c>
      <c r="S4027" s="24"/>
      <c r="T4027" s="24"/>
    </row>
    <row r="4028">
      <c r="A4028" s="12" t="s">
        <v>4115</v>
      </c>
      <c r="F4028" s="19">
        <f>IFERROR(__xludf.DUMMYFUNCTION("SPLIT(A4024, "" |"")"),4022.0)</f>
        <v>4022</v>
      </c>
      <c r="G4028" s="19">
        <f>IFERROR(__xludf.DUMMYFUNCTION("""COMPUTED_VALUE"""),0.00249)</f>
        <v>0.00249</v>
      </c>
      <c r="H4028" s="19" t="str">
        <f>IFERROR(__xludf.DUMMYFUNCTION("""COMPUTED_VALUE"""),"-")</f>
        <v>-</v>
      </c>
      <c r="I4028" s="19">
        <f>IFERROR(__xludf.DUMMYFUNCTION("""COMPUTED_VALUE"""),0.00224)</f>
        <v>0.00224</v>
      </c>
      <c r="J4028" s="19">
        <f>IFERROR(__xludf.DUMMYFUNCTION("""COMPUTED_VALUE"""),0.04746)</f>
        <v>0.04746</v>
      </c>
      <c r="K4028" s="19" t="str">
        <f>IFERROR(__xludf.DUMMYFUNCTION("""COMPUTED_VALUE"""),"-")</f>
        <v>-</v>
      </c>
      <c r="L4028" s="19" t="str">
        <f>IFERROR(__xludf.DUMMYFUNCTION("""COMPUTED_VALUE"""),"-")</f>
        <v>-</v>
      </c>
      <c r="O4028" s="24">
        <f t="shared" si="4"/>
        <v>0</v>
      </c>
      <c r="P4028" s="24"/>
      <c r="Q4028" s="24">
        <f t="shared" si="6"/>
        <v>0</v>
      </c>
      <c r="R4028" s="24">
        <f t="shared" si="7"/>
        <v>0</v>
      </c>
      <c r="S4028" s="24"/>
      <c r="T4028" s="24"/>
    </row>
    <row r="4029">
      <c r="A4029" s="12" t="s">
        <v>4116</v>
      </c>
      <c r="F4029" s="19">
        <f>IFERROR(__xludf.DUMMYFUNCTION("SPLIT(A4025, "" |"")"),4023.0)</f>
        <v>4023</v>
      </c>
      <c r="G4029" s="19">
        <f>IFERROR(__xludf.DUMMYFUNCTION("""COMPUTED_VALUE"""),0.00226)</f>
        <v>0.00226</v>
      </c>
      <c r="H4029" s="19" t="str">
        <f>IFERROR(__xludf.DUMMYFUNCTION("""COMPUTED_VALUE"""),"-")</f>
        <v>-</v>
      </c>
      <c r="I4029" s="19">
        <f>IFERROR(__xludf.DUMMYFUNCTION("""COMPUTED_VALUE"""),0.0023)</f>
        <v>0.0023</v>
      </c>
      <c r="J4029" s="19">
        <f>IFERROR(__xludf.DUMMYFUNCTION("""COMPUTED_VALUE"""),0.0461)</f>
        <v>0.0461</v>
      </c>
      <c r="K4029" s="19" t="str">
        <f>IFERROR(__xludf.DUMMYFUNCTION("""COMPUTED_VALUE"""),"-")</f>
        <v>-</v>
      </c>
      <c r="L4029" s="19" t="str">
        <f>IFERROR(__xludf.DUMMYFUNCTION("""COMPUTED_VALUE"""),"-")</f>
        <v>-</v>
      </c>
      <c r="O4029" s="24">
        <f t="shared" si="4"/>
        <v>0</v>
      </c>
      <c r="P4029" s="24"/>
      <c r="Q4029" s="24">
        <f t="shared" si="6"/>
        <v>0</v>
      </c>
      <c r="R4029" s="24">
        <f t="shared" si="7"/>
        <v>0</v>
      </c>
      <c r="S4029" s="24"/>
      <c r="T4029" s="24"/>
    </row>
    <row r="4030">
      <c r="A4030" s="12" t="s">
        <v>4117</v>
      </c>
      <c r="F4030" s="19">
        <f>IFERROR(__xludf.DUMMYFUNCTION("SPLIT(A4026, "" |"")"),4024.0)</f>
        <v>4024</v>
      </c>
      <c r="G4030" s="19">
        <f>IFERROR(__xludf.DUMMYFUNCTION("""COMPUTED_VALUE"""),0.00232)</f>
        <v>0.00232</v>
      </c>
      <c r="H4030" s="19" t="str">
        <f>IFERROR(__xludf.DUMMYFUNCTION("""COMPUTED_VALUE"""),"-")</f>
        <v>-</v>
      </c>
      <c r="I4030" s="19">
        <f>IFERROR(__xludf.DUMMYFUNCTION("""COMPUTED_VALUE"""),0.0022)</f>
        <v>0.0022</v>
      </c>
      <c r="J4030" s="19">
        <f>IFERROR(__xludf.DUMMYFUNCTION("""COMPUTED_VALUE"""),0.04742)</f>
        <v>0.04742</v>
      </c>
      <c r="K4030" s="19" t="str">
        <f>IFERROR(__xludf.DUMMYFUNCTION("""COMPUTED_VALUE"""),"-")</f>
        <v>-</v>
      </c>
      <c r="L4030" s="19" t="str">
        <f>IFERROR(__xludf.DUMMYFUNCTION("""COMPUTED_VALUE"""),"-")</f>
        <v>-</v>
      </c>
      <c r="O4030" s="24">
        <f t="shared" si="4"/>
        <v>0</v>
      </c>
      <c r="P4030" s="24"/>
      <c r="Q4030" s="24">
        <f t="shared" si="6"/>
        <v>0</v>
      </c>
      <c r="R4030" s="24">
        <f t="shared" si="7"/>
        <v>0</v>
      </c>
      <c r="S4030" s="24"/>
      <c r="T4030" s="24"/>
    </row>
    <row r="4031">
      <c r="A4031" s="12" t="s">
        <v>4118</v>
      </c>
      <c r="F4031" s="19">
        <f>IFERROR(__xludf.DUMMYFUNCTION("SPLIT(A4027, "" |"")"),4025.0)</f>
        <v>4025</v>
      </c>
      <c r="G4031" s="19">
        <f>IFERROR(__xludf.DUMMYFUNCTION("""COMPUTED_VALUE"""),0.00225)</f>
        <v>0.00225</v>
      </c>
      <c r="H4031" s="19" t="str">
        <f>IFERROR(__xludf.DUMMYFUNCTION("""COMPUTED_VALUE"""),"-")</f>
        <v>-</v>
      </c>
      <c r="I4031" s="19">
        <f>IFERROR(__xludf.DUMMYFUNCTION("""COMPUTED_VALUE"""),0.00212)</f>
        <v>0.00212</v>
      </c>
      <c r="J4031" s="19">
        <f>IFERROR(__xludf.DUMMYFUNCTION("""COMPUTED_VALUE"""),0.04737)</f>
        <v>0.04737</v>
      </c>
      <c r="K4031" s="19" t="str">
        <f>IFERROR(__xludf.DUMMYFUNCTION("""COMPUTED_VALUE"""),"-")</f>
        <v>-</v>
      </c>
      <c r="L4031" s="19" t="str">
        <f>IFERROR(__xludf.DUMMYFUNCTION("""COMPUTED_VALUE"""),"-")</f>
        <v>-</v>
      </c>
      <c r="O4031" s="24">
        <f t="shared" si="4"/>
        <v>0</v>
      </c>
      <c r="P4031" s="24"/>
      <c r="Q4031" s="24">
        <f t="shared" si="6"/>
        <v>0</v>
      </c>
      <c r="R4031" s="24">
        <f t="shared" si="7"/>
        <v>0</v>
      </c>
      <c r="S4031" s="24"/>
      <c r="T4031" s="24"/>
    </row>
    <row r="4032">
      <c r="A4032" s="12" t="s">
        <v>4119</v>
      </c>
      <c r="F4032" s="19">
        <f>IFERROR(__xludf.DUMMYFUNCTION("SPLIT(A4028, "" |"")"),4026.0)</f>
        <v>4026</v>
      </c>
      <c r="G4032" s="19">
        <f>IFERROR(__xludf.DUMMYFUNCTION("""COMPUTED_VALUE"""),0.00223)</f>
        <v>0.00223</v>
      </c>
      <c r="H4032" s="19" t="str">
        <f>IFERROR(__xludf.DUMMYFUNCTION("""COMPUTED_VALUE"""),"-")</f>
        <v>-</v>
      </c>
      <c r="I4032" s="19">
        <f>IFERROR(__xludf.DUMMYFUNCTION("""COMPUTED_VALUE"""),0.00207)</f>
        <v>0.00207</v>
      </c>
      <c r="J4032" s="19">
        <f>IFERROR(__xludf.DUMMYFUNCTION("""COMPUTED_VALUE"""),0.04099)</f>
        <v>0.04099</v>
      </c>
      <c r="K4032" s="19" t="str">
        <f>IFERROR(__xludf.DUMMYFUNCTION("""COMPUTED_VALUE"""),"-")</f>
        <v>-</v>
      </c>
      <c r="L4032" s="19" t="str">
        <f>IFERROR(__xludf.DUMMYFUNCTION("""COMPUTED_VALUE"""),"-")</f>
        <v>-</v>
      </c>
      <c r="O4032" s="24">
        <f t="shared" si="4"/>
        <v>0</v>
      </c>
      <c r="P4032" s="24"/>
      <c r="Q4032" s="24">
        <f t="shared" si="6"/>
        <v>0</v>
      </c>
      <c r="R4032" s="24">
        <f t="shared" si="7"/>
        <v>1</v>
      </c>
      <c r="S4032" s="24"/>
      <c r="T4032" s="24"/>
    </row>
    <row r="4033">
      <c r="A4033" s="12" t="s">
        <v>4120</v>
      </c>
      <c r="F4033" s="19">
        <f>IFERROR(__xludf.DUMMYFUNCTION("SPLIT(A4029, "" |"")"),4027.0)</f>
        <v>4027</v>
      </c>
      <c r="G4033" s="19">
        <f>IFERROR(__xludf.DUMMYFUNCTION("""COMPUTED_VALUE"""),0.00234)</f>
        <v>0.00234</v>
      </c>
      <c r="H4033" s="19" t="str">
        <f>IFERROR(__xludf.DUMMYFUNCTION("""COMPUTED_VALUE"""),"-")</f>
        <v>-</v>
      </c>
      <c r="I4033" s="19">
        <f>IFERROR(__xludf.DUMMYFUNCTION("""COMPUTED_VALUE"""),0.00223)</f>
        <v>0.00223</v>
      </c>
      <c r="J4033" s="19">
        <f>IFERROR(__xludf.DUMMYFUNCTION("""COMPUTED_VALUE"""),0.0413)</f>
        <v>0.0413</v>
      </c>
      <c r="K4033" s="19" t="str">
        <f>IFERROR(__xludf.DUMMYFUNCTION("""COMPUTED_VALUE"""),"-")</f>
        <v>-</v>
      </c>
      <c r="L4033" s="19" t="str">
        <f>IFERROR(__xludf.DUMMYFUNCTION("""COMPUTED_VALUE"""),"-")</f>
        <v>-</v>
      </c>
      <c r="O4033" s="24">
        <f t="shared" si="4"/>
        <v>0</v>
      </c>
      <c r="P4033" s="24"/>
      <c r="Q4033" s="24">
        <f t="shared" si="6"/>
        <v>0</v>
      </c>
      <c r="R4033" s="24">
        <f t="shared" si="7"/>
        <v>1</v>
      </c>
      <c r="S4033" s="24"/>
      <c r="T4033" s="24"/>
    </row>
    <row r="4034">
      <c r="A4034" s="12" t="s">
        <v>4121</v>
      </c>
      <c r="F4034" s="19">
        <f>IFERROR(__xludf.DUMMYFUNCTION("SPLIT(A4030, "" |"")"),4028.0)</f>
        <v>4028</v>
      </c>
      <c r="G4034" s="19">
        <f>IFERROR(__xludf.DUMMYFUNCTION("""COMPUTED_VALUE"""),0.00239)</f>
        <v>0.00239</v>
      </c>
      <c r="H4034" s="19" t="str">
        <f>IFERROR(__xludf.DUMMYFUNCTION("""COMPUTED_VALUE"""),"-")</f>
        <v>-</v>
      </c>
      <c r="I4034" s="19">
        <f>IFERROR(__xludf.DUMMYFUNCTION("""COMPUTED_VALUE"""),0.00221)</f>
        <v>0.00221</v>
      </c>
      <c r="J4034" s="19">
        <f>IFERROR(__xludf.DUMMYFUNCTION("""COMPUTED_VALUE"""),0.04743)</f>
        <v>0.04743</v>
      </c>
      <c r="K4034" s="19" t="str">
        <f>IFERROR(__xludf.DUMMYFUNCTION("""COMPUTED_VALUE"""),"-")</f>
        <v>-</v>
      </c>
      <c r="L4034" s="19" t="str">
        <f>IFERROR(__xludf.DUMMYFUNCTION("""COMPUTED_VALUE"""),"-")</f>
        <v>-</v>
      </c>
      <c r="O4034" s="24">
        <f t="shared" si="4"/>
        <v>0</v>
      </c>
      <c r="P4034" s="24"/>
      <c r="Q4034" s="24">
        <f t="shared" si="6"/>
        <v>0</v>
      </c>
      <c r="R4034" s="24">
        <f t="shared" si="7"/>
        <v>0</v>
      </c>
      <c r="S4034" s="24"/>
      <c r="T4034" s="24"/>
    </row>
    <row r="4035">
      <c r="A4035" s="12" t="s">
        <v>4122</v>
      </c>
      <c r="F4035" s="19">
        <f>IFERROR(__xludf.DUMMYFUNCTION("SPLIT(A4031, "" |"")"),4029.0)</f>
        <v>4029</v>
      </c>
      <c r="G4035" s="19">
        <f>IFERROR(__xludf.DUMMYFUNCTION("""COMPUTED_VALUE"""),0.00234)</f>
        <v>0.00234</v>
      </c>
      <c r="H4035" s="19" t="str">
        <f>IFERROR(__xludf.DUMMYFUNCTION("""COMPUTED_VALUE"""),"-")</f>
        <v>-</v>
      </c>
      <c r="I4035" s="19">
        <f>IFERROR(__xludf.DUMMYFUNCTION("""COMPUTED_VALUE"""),0.00212)</f>
        <v>0.00212</v>
      </c>
      <c r="J4035" s="19">
        <f>IFERROR(__xludf.DUMMYFUNCTION("""COMPUTED_VALUE"""),0.04743)</f>
        <v>0.04743</v>
      </c>
      <c r="K4035" s="19" t="str">
        <f>IFERROR(__xludf.DUMMYFUNCTION("""COMPUTED_VALUE"""),"-")</f>
        <v>-</v>
      </c>
      <c r="L4035" s="19" t="str">
        <f>IFERROR(__xludf.DUMMYFUNCTION("""COMPUTED_VALUE"""),"-")</f>
        <v>-</v>
      </c>
      <c r="O4035" s="24">
        <f t="shared" si="4"/>
        <v>0</v>
      </c>
      <c r="P4035" s="24"/>
      <c r="Q4035" s="24">
        <f t="shared" si="6"/>
        <v>0</v>
      </c>
      <c r="R4035" s="24">
        <f t="shared" si="7"/>
        <v>0</v>
      </c>
      <c r="S4035" s="24"/>
      <c r="T4035" s="24"/>
    </row>
    <row r="4036">
      <c r="A4036" s="12" t="s">
        <v>4123</v>
      </c>
      <c r="F4036" s="19">
        <f>IFERROR(__xludf.DUMMYFUNCTION("SPLIT(A4032, "" |"")"),4030.0)</f>
        <v>4030</v>
      </c>
      <c r="G4036" s="19">
        <f>IFERROR(__xludf.DUMMYFUNCTION("""COMPUTED_VALUE"""),0.00237)</f>
        <v>0.00237</v>
      </c>
      <c r="H4036" s="19" t="str">
        <f>IFERROR(__xludf.DUMMYFUNCTION("""COMPUTED_VALUE"""),"-")</f>
        <v>-</v>
      </c>
      <c r="I4036" s="19">
        <f>IFERROR(__xludf.DUMMYFUNCTION("""COMPUTED_VALUE"""),0.00218)</f>
        <v>0.00218</v>
      </c>
      <c r="J4036" s="19">
        <f>IFERROR(__xludf.DUMMYFUNCTION("""COMPUTED_VALUE"""),0.04744)</f>
        <v>0.04744</v>
      </c>
      <c r="K4036" s="19" t="str">
        <f>IFERROR(__xludf.DUMMYFUNCTION("""COMPUTED_VALUE"""),"-")</f>
        <v>-</v>
      </c>
      <c r="L4036" s="19" t="str">
        <f>IFERROR(__xludf.DUMMYFUNCTION("""COMPUTED_VALUE"""),"-")</f>
        <v>-</v>
      </c>
      <c r="O4036" s="24">
        <f t="shared" si="4"/>
        <v>0</v>
      </c>
      <c r="P4036" s="24"/>
      <c r="Q4036" s="24">
        <f t="shared" si="6"/>
        <v>0</v>
      </c>
      <c r="R4036" s="24">
        <f t="shared" si="7"/>
        <v>0</v>
      </c>
      <c r="S4036" s="24"/>
      <c r="T4036" s="24"/>
    </row>
    <row r="4037">
      <c r="A4037" s="12" t="s">
        <v>4124</v>
      </c>
      <c r="F4037" s="19">
        <f>IFERROR(__xludf.DUMMYFUNCTION("SPLIT(A4033, "" |"")"),4031.0)</f>
        <v>4031</v>
      </c>
      <c r="G4037" s="19">
        <f>IFERROR(__xludf.DUMMYFUNCTION("""COMPUTED_VALUE"""),0.00233)</f>
        <v>0.00233</v>
      </c>
      <c r="H4037" s="19" t="str">
        <f>IFERROR(__xludf.DUMMYFUNCTION("""COMPUTED_VALUE"""),"-")</f>
        <v>-</v>
      </c>
      <c r="I4037" s="19">
        <f>IFERROR(__xludf.DUMMYFUNCTION("""COMPUTED_VALUE"""),0.0022)</f>
        <v>0.0022</v>
      </c>
      <c r="J4037" s="19">
        <f>IFERROR(__xludf.DUMMYFUNCTION("""COMPUTED_VALUE"""),0.04741)</f>
        <v>0.04741</v>
      </c>
      <c r="K4037" s="19" t="str">
        <f>IFERROR(__xludf.DUMMYFUNCTION("""COMPUTED_VALUE"""),"-")</f>
        <v>-</v>
      </c>
      <c r="L4037" s="19" t="str">
        <f>IFERROR(__xludf.DUMMYFUNCTION("""COMPUTED_VALUE"""),"-")</f>
        <v>-</v>
      </c>
      <c r="O4037" s="24">
        <f t="shared" si="4"/>
        <v>0</v>
      </c>
      <c r="P4037" s="24"/>
      <c r="Q4037" s="24">
        <f t="shared" si="6"/>
        <v>0</v>
      </c>
      <c r="R4037" s="24">
        <f t="shared" si="7"/>
        <v>0</v>
      </c>
      <c r="S4037" s="24"/>
      <c r="T4037" s="24"/>
    </row>
    <row r="4038">
      <c r="A4038" s="12" t="s">
        <v>4125</v>
      </c>
      <c r="F4038" s="19">
        <f>IFERROR(__xludf.DUMMYFUNCTION("SPLIT(A4034, "" |"")"),4032.0)</f>
        <v>4032</v>
      </c>
      <c r="G4038" s="19">
        <f>IFERROR(__xludf.DUMMYFUNCTION("""COMPUTED_VALUE"""),0.00239)</f>
        <v>0.00239</v>
      </c>
      <c r="H4038" s="19" t="str">
        <f>IFERROR(__xludf.DUMMYFUNCTION("""COMPUTED_VALUE"""),"-")</f>
        <v>-</v>
      </c>
      <c r="I4038" s="19">
        <f>IFERROR(__xludf.DUMMYFUNCTION("""COMPUTED_VALUE"""),0.00222)</f>
        <v>0.00222</v>
      </c>
      <c r="J4038" s="19">
        <f>IFERROR(__xludf.DUMMYFUNCTION("""COMPUTED_VALUE"""),0.04745)</f>
        <v>0.04745</v>
      </c>
      <c r="K4038" s="19" t="str">
        <f>IFERROR(__xludf.DUMMYFUNCTION("""COMPUTED_VALUE"""),"-")</f>
        <v>-</v>
      </c>
      <c r="L4038" s="19" t="str">
        <f>IFERROR(__xludf.DUMMYFUNCTION("""COMPUTED_VALUE"""),"-")</f>
        <v>-</v>
      </c>
      <c r="O4038" s="24">
        <f t="shared" si="4"/>
        <v>0</v>
      </c>
      <c r="P4038" s="24"/>
      <c r="Q4038" s="24">
        <f t="shared" si="6"/>
        <v>0</v>
      </c>
      <c r="R4038" s="24">
        <f t="shared" si="7"/>
        <v>0</v>
      </c>
      <c r="S4038" s="24"/>
      <c r="T4038" s="24"/>
    </row>
    <row r="4039">
      <c r="A4039" s="12" t="s">
        <v>4126</v>
      </c>
      <c r="F4039" s="19">
        <f>IFERROR(__xludf.DUMMYFUNCTION("SPLIT(A4035, "" |"")"),4033.0)</f>
        <v>4033</v>
      </c>
      <c r="G4039" s="19">
        <f>IFERROR(__xludf.DUMMYFUNCTION("""COMPUTED_VALUE"""),0.00233)</f>
        <v>0.00233</v>
      </c>
      <c r="H4039" s="19" t="str">
        <f>IFERROR(__xludf.DUMMYFUNCTION("""COMPUTED_VALUE"""),"-")</f>
        <v>-</v>
      </c>
      <c r="I4039" s="19">
        <f>IFERROR(__xludf.DUMMYFUNCTION("""COMPUTED_VALUE"""),0.00219)</f>
        <v>0.00219</v>
      </c>
      <c r="J4039" s="19">
        <f>IFERROR(__xludf.DUMMYFUNCTION("""COMPUTED_VALUE"""),0.04746)</f>
        <v>0.04746</v>
      </c>
      <c r="K4039" s="19" t="str">
        <f>IFERROR(__xludf.DUMMYFUNCTION("""COMPUTED_VALUE"""),"-")</f>
        <v>-</v>
      </c>
      <c r="L4039" s="19" t="str">
        <f>IFERROR(__xludf.DUMMYFUNCTION("""COMPUTED_VALUE"""),"-")</f>
        <v>-</v>
      </c>
      <c r="O4039" s="24">
        <f t="shared" si="4"/>
        <v>0</v>
      </c>
      <c r="P4039" s="24"/>
      <c r="Q4039" s="24">
        <f t="shared" si="6"/>
        <v>0</v>
      </c>
      <c r="R4039" s="24">
        <f t="shared" si="7"/>
        <v>0</v>
      </c>
      <c r="S4039" s="24"/>
      <c r="T4039" s="24"/>
    </row>
    <row r="4040">
      <c r="A4040" s="12" t="s">
        <v>4127</v>
      </c>
      <c r="F4040" s="19">
        <f>IFERROR(__xludf.DUMMYFUNCTION("SPLIT(A4036, "" |"")"),4034.0)</f>
        <v>4034</v>
      </c>
      <c r="G4040" s="19">
        <f>IFERROR(__xludf.DUMMYFUNCTION("""COMPUTED_VALUE"""),0.00237)</f>
        <v>0.00237</v>
      </c>
      <c r="H4040" s="19" t="str">
        <f>IFERROR(__xludf.DUMMYFUNCTION("""COMPUTED_VALUE"""),"-")</f>
        <v>-</v>
      </c>
      <c r="I4040" s="19">
        <f>IFERROR(__xludf.DUMMYFUNCTION("""COMPUTED_VALUE"""),0.00222)</f>
        <v>0.00222</v>
      </c>
      <c r="J4040" s="19">
        <f>IFERROR(__xludf.DUMMYFUNCTION("""COMPUTED_VALUE"""),0.04746)</f>
        <v>0.04746</v>
      </c>
      <c r="K4040" s="19" t="str">
        <f>IFERROR(__xludf.DUMMYFUNCTION("""COMPUTED_VALUE"""),"-")</f>
        <v>-</v>
      </c>
      <c r="L4040" s="19" t="str">
        <f>IFERROR(__xludf.DUMMYFUNCTION("""COMPUTED_VALUE"""),"-")</f>
        <v>-</v>
      </c>
      <c r="O4040" s="24">
        <f t="shared" si="4"/>
        <v>0</v>
      </c>
      <c r="P4040" s="24"/>
      <c r="Q4040" s="24">
        <f t="shared" si="6"/>
        <v>0</v>
      </c>
      <c r="R4040" s="24">
        <f t="shared" si="7"/>
        <v>0</v>
      </c>
      <c r="S4040" s="24"/>
      <c r="T4040" s="24"/>
    </row>
    <row r="4041">
      <c r="A4041" s="12" t="s">
        <v>4128</v>
      </c>
      <c r="F4041" s="19">
        <f>IFERROR(__xludf.DUMMYFUNCTION("SPLIT(A4037, "" |"")"),4035.0)</f>
        <v>4035</v>
      </c>
      <c r="G4041" s="19">
        <f>IFERROR(__xludf.DUMMYFUNCTION("""COMPUTED_VALUE"""),0.00236)</f>
        <v>0.00236</v>
      </c>
      <c r="H4041" s="19" t="str">
        <f>IFERROR(__xludf.DUMMYFUNCTION("""COMPUTED_VALUE"""),"-")</f>
        <v>-</v>
      </c>
      <c r="I4041" s="19">
        <f>IFERROR(__xludf.DUMMYFUNCTION("""COMPUTED_VALUE"""),0.0022)</f>
        <v>0.0022</v>
      </c>
      <c r="J4041" s="19">
        <f>IFERROR(__xludf.DUMMYFUNCTION("""COMPUTED_VALUE"""),0.04745)</f>
        <v>0.04745</v>
      </c>
      <c r="K4041" s="19" t="str">
        <f>IFERROR(__xludf.DUMMYFUNCTION("""COMPUTED_VALUE"""),"-")</f>
        <v>-</v>
      </c>
      <c r="L4041" s="19" t="str">
        <f>IFERROR(__xludf.DUMMYFUNCTION("""COMPUTED_VALUE"""),"-")</f>
        <v>-</v>
      </c>
      <c r="O4041" s="24">
        <f t="shared" si="4"/>
        <v>0</v>
      </c>
      <c r="P4041" s="24"/>
      <c r="Q4041" s="24">
        <f t="shared" si="6"/>
        <v>0</v>
      </c>
      <c r="R4041" s="24">
        <f t="shared" si="7"/>
        <v>0</v>
      </c>
      <c r="S4041" s="24"/>
      <c r="T4041" s="24"/>
    </row>
    <row r="4042">
      <c r="A4042" s="12" t="s">
        <v>4129</v>
      </c>
      <c r="F4042" s="19">
        <f>IFERROR(__xludf.DUMMYFUNCTION("SPLIT(A4038, "" |"")"),4036.0)</f>
        <v>4036</v>
      </c>
      <c r="G4042" s="19">
        <f>IFERROR(__xludf.DUMMYFUNCTION("""COMPUTED_VALUE"""),0.00239)</f>
        <v>0.00239</v>
      </c>
      <c r="H4042" s="19" t="str">
        <f>IFERROR(__xludf.DUMMYFUNCTION("""COMPUTED_VALUE"""),"-")</f>
        <v>-</v>
      </c>
      <c r="I4042" s="19">
        <f>IFERROR(__xludf.DUMMYFUNCTION("""COMPUTED_VALUE"""),0.00224)</f>
        <v>0.00224</v>
      </c>
      <c r="J4042" s="19">
        <f>IFERROR(__xludf.DUMMYFUNCTION("""COMPUTED_VALUE"""),0.04745)</f>
        <v>0.04745</v>
      </c>
      <c r="K4042" s="19" t="str">
        <f>IFERROR(__xludf.DUMMYFUNCTION("""COMPUTED_VALUE"""),"-")</f>
        <v>-</v>
      </c>
      <c r="L4042" s="19" t="str">
        <f>IFERROR(__xludf.DUMMYFUNCTION("""COMPUTED_VALUE"""),"-")</f>
        <v>-</v>
      </c>
      <c r="O4042" s="24">
        <f t="shared" si="4"/>
        <v>0</v>
      </c>
      <c r="P4042" s="24"/>
      <c r="Q4042" s="24">
        <f t="shared" si="6"/>
        <v>0</v>
      </c>
      <c r="R4042" s="24">
        <f t="shared" si="7"/>
        <v>0</v>
      </c>
      <c r="S4042" s="24"/>
      <c r="T4042" s="24"/>
    </row>
    <row r="4043">
      <c r="A4043" s="12" t="s">
        <v>4130</v>
      </c>
      <c r="F4043" s="19">
        <f>IFERROR(__xludf.DUMMYFUNCTION("SPLIT(A4039, "" |"")"),4037.0)</f>
        <v>4037</v>
      </c>
      <c r="G4043" s="19">
        <f>IFERROR(__xludf.DUMMYFUNCTION("""COMPUTED_VALUE"""),0.00243)</f>
        <v>0.00243</v>
      </c>
      <c r="H4043" s="19" t="str">
        <f>IFERROR(__xludf.DUMMYFUNCTION("""COMPUTED_VALUE"""),"-")</f>
        <v>-</v>
      </c>
      <c r="I4043" s="19">
        <f>IFERROR(__xludf.DUMMYFUNCTION("""COMPUTED_VALUE"""),0.00228)</f>
        <v>0.00228</v>
      </c>
      <c r="J4043" s="19">
        <f>IFERROR(__xludf.DUMMYFUNCTION("""COMPUTED_VALUE"""),0.04749)</f>
        <v>0.04749</v>
      </c>
      <c r="K4043" s="19" t="str">
        <f>IFERROR(__xludf.DUMMYFUNCTION("""COMPUTED_VALUE"""),"-")</f>
        <v>-</v>
      </c>
      <c r="L4043" s="19" t="str">
        <f>IFERROR(__xludf.DUMMYFUNCTION("""COMPUTED_VALUE"""),"-")</f>
        <v>-</v>
      </c>
      <c r="O4043" s="24">
        <f t="shared" si="4"/>
        <v>0</v>
      </c>
      <c r="P4043" s="24"/>
      <c r="Q4043" s="24">
        <f t="shared" si="6"/>
        <v>0</v>
      </c>
      <c r="R4043" s="24">
        <f t="shared" si="7"/>
        <v>0</v>
      </c>
      <c r="S4043" s="24"/>
      <c r="T4043" s="24"/>
    </row>
    <row r="4044">
      <c r="A4044" s="12" t="s">
        <v>4131</v>
      </c>
      <c r="F4044" s="19">
        <f>IFERROR(__xludf.DUMMYFUNCTION("SPLIT(A4040, "" |"")"),4038.0)</f>
        <v>4038</v>
      </c>
      <c r="G4044" s="19">
        <f>IFERROR(__xludf.DUMMYFUNCTION("""COMPUTED_VALUE"""),0.00237)</f>
        <v>0.00237</v>
      </c>
      <c r="H4044" s="19" t="str">
        <f>IFERROR(__xludf.DUMMYFUNCTION("""COMPUTED_VALUE"""),"-")</f>
        <v>-</v>
      </c>
      <c r="I4044" s="19">
        <f>IFERROR(__xludf.DUMMYFUNCTION("""COMPUTED_VALUE"""),0.00215)</f>
        <v>0.00215</v>
      </c>
      <c r="J4044" s="19">
        <f>IFERROR(__xludf.DUMMYFUNCTION("""COMPUTED_VALUE"""),0.04751)</f>
        <v>0.04751</v>
      </c>
      <c r="K4044" s="19" t="str">
        <f>IFERROR(__xludf.DUMMYFUNCTION("""COMPUTED_VALUE"""),"-")</f>
        <v>-</v>
      </c>
      <c r="L4044" s="19" t="str">
        <f>IFERROR(__xludf.DUMMYFUNCTION("""COMPUTED_VALUE"""),"-")</f>
        <v>-</v>
      </c>
      <c r="O4044" s="24">
        <f t="shared" si="4"/>
        <v>0</v>
      </c>
      <c r="P4044" s="24"/>
      <c r="Q4044" s="24">
        <f t="shared" si="6"/>
        <v>0</v>
      </c>
      <c r="R4044" s="24">
        <f t="shared" si="7"/>
        <v>0</v>
      </c>
      <c r="S4044" s="24"/>
      <c r="T4044" s="24"/>
    </row>
    <row r="4045">
      <c r="A4045" s="12" t="s">
        <v>4132</v>
      </c>
      <c r="F4045" s="19">
        <f>IFERROR(__xludf.DUMMYFUNCTION("SPLIT(A4041, "" |"")"),4039.0)</f>
        <v>4039</v>
      </c>
      <c r="G4045" s="19">
        <f>IFERROR(__xludf.DUMMYFUNCTION("""COMPUTED_VALUE"""),0.00233)</f>
        <v>0.00233</v>
      </c>
      <c r="H4045" s="19" t="str">
        <f>IFERROR(__xludf.DUMMYFUNCTION("""COMPUTED_VALUE"""),"-")</f>
        <v>-</v>
      </c>
      <c r="I4045" s="19">
        <f>IFERROR(__xludf.DUMMYFUNCTION("""COMPUTED_VALUE"""),0.0023)</f>
        <v>0.0023</v>
      </c>
      <c r="J4045" s="19">
        <f>IFERROR(__xludf.DUMMYFUNCTION("""COMPUTED_VALUE"""),0.04745)</f>
        <v>0.04745</v>
      </c>
      <c r="K4045" s="19" t="str">
        <f>IFERROR(__xludf.DUMMYFUNCTION("""COMPUTED_VALUE"""),"-")</f>
        <v>-</v>
      </c>
      <c r="L4045" s="19" t="str">
        <f>IFERROR(__xludf.DUMMYFUNCTION("""COMPUTED_VALUE"""),"-")</f>
        <v>-</v>
      </c>
      <c r="O4045" s="24">
        <f t="shared" si="4"/>
        <v>0</v>
      </c>
      <c r="P4045" s="24"/>
      <c r="Q4045" s="24">
        <f t="shared" si="6"/>
        <v>0</v>
      </c>
      <c r="R4045" s="24">
        <f t="shared" si="7"/>
        <v>0</v>
      </c>
      <c r="S4045" s="24"/>
      <c r="T4045" s="24"/>
    </row>
    <row r="4046">
      <c r="A4046" s="12" t="s">
        <v>4133</v>
      </c>
      <c r="F4046" s="19">
        <f>IFERROR(__xludf.DUMMYFUNCTION("SPLIT(A4042, "" |"")"),4040.0)</f>
        <v>4040</v>
      </c>
      <c r="G4046" s="19">
        <f>IFERROR(__xludf.DUMMYFUNCTION("""COMPUTED_VALUE"""),0.00238)</f>
        <v>0.00238</v>
      </c>
      <c r="H4046" s="19" t="str">
        <f>IFERROR(__xludf.DUMMYFUNCTION("""COMPUTED_VALUE"""),"-")</f>
        <v>-</v>
      </c>
      <c r="I4046" s="19">
        <f>IFERROR(__xludf.DUMMYFUNCTION("""COMPUTED_VALUE"""),0.00225)</f>
        <v>0.00225</v>
      </c>
      <c r="J4046" s="19">
        <f>IFERROR(__xludf.DUMMYFUNCTION("""COMPUTED_VALUE"""),0.04741)</f>
        <v>0.04741</v>
      </c>
      <c r="K4046" s="19" t="str">
        <f>IFERROR(__xludf.DUMMYFUNCTION("""COMPUTED_VALUE"""),"-")</f>
        <v>-</v>
      </c>
      <c r="L4046" s="19" t="str">
        <f>IFERROR(__xludf.DUMMYFUNCTION("""COMPUTED_VALUE"""),"-")</f>
        <v>-</v>
      </c>
      <c r="O4046" s="24">
        <f t="shared" si="4"/>
        <v>0</v>
      </c>
      <c r="P4046" s="24"/>
      <c r="Q4046" s="24">
        <f t="shared" si="6"/>
        <v>0</v>
      </c>
      <c r="R4046" s="24">
        <f t="shared" si="7"/>
        <v>0</v>
      </c>
      <c r="S4046" s="24"/>
      <c r="T4046" s="24"/>
    </row>
    <row r="4047">
      <c r="A4047" s="12" t="s">
        <v>4134</v>
      </c>
      <c r="F4047" s="19">
        <f>IFERROR(__xludf.DUMMYFUNCTION("SPLIT(A4043, "" |"")"),4041.0)</f>
        <v>4041</v>
      </c>
      <c r="G4047" s="19">
        <f>IFERROR(__xludf.DUMMYFUNCTION("""COMPUTED_VALUE"""),0.00245)</f>
        <v>0.00245</v>
      </c>
      <c r="H4047" s="19" t="str">
        <f>IFERROR(__xludf.DUMMYFUNCTION("""COMPUTED_VALUE"""),"-")</f>
        <v>-</v>
      </c>
      <c r="I4047" s="19">
        <f>IFERROR(__xludf.DUMMYFUNCTION("""COMPUTED_VALUE"""),0.00224)</f>
        <v>0.00224</v>
      </c>
      <c r="J4047" s="19">
        <f>IFERROR(__xludf.DUMMYFUNCTION("""COMPUTED_VALUE"""),0.04747)</f>
        <v>0.04747</v>
      </c>
      <c r="K4047" s="19" t="str">
        <f>IFERROR(__xludf.DUMMYFUNCTION("""COMPUTED_VALUE"""),"-")</f>
        <v>-</v>
      </c>
      <c r="L4047" s="19" t="str">
        <f>IFERROR(__xludf.DUMMYFUNCTION("""COMPUTED_VALUE"""),"-")</f>
        <v>-</v>
      </c>
      <c r="O4047" s="24">
        <f t="shared" si="4"/>
        <v>0</v>
      </c>
      <c r="P4047" s="24"/>
      <c r="Q4047" s="24">
        <f t="shared" si="6"/>
        <v>0</v>
      </c>
      <c r="R4047" s="24">
        <f t="shared" si="7"/>
        <v>0</v>
      </c>
      <c r="S4047" s="24"/>
      <c r="T4047" s="24"/>
    </row>
    <row r="4048">
      <c r="A4048" s="12" t="s">
        <v>4135</v>
      </c>
      <c r="F4048" s="19">
        <f>IFERROR(__xludf.DUMMYFUNCTION("SPLIT(A4044, "" |"")"),4042.0)</f>
        <v>4042</v>
      </c>
      <c r="G4048" s="19">
        <f>IFERROR(__xludf.DUMMYFUNCTION("""COMPUTED_VALUE"""),0.00244)</f>
        <v>0.00244</v>
      </c>
      <c r="H4048" s="19" t="str">
        <f>IFERROR(__xludf.DUMMYFUNCTION("""COMPUTED_VALUE"""),"-")</f>
        <v>-</v>
      </c>
      <c r="I4048" s="19">
        <f>IFERROR(__xludf.DUMMYFUNCTION("""COMPUTED_VALUE"""),0.00223)</f>
        <v>0.00223</v>
      </c>
      <c r="J4048" s="19">
        <f>IFERROR(__xludf.DUMMYFUNCTION("""COMPUTED_VALUE"""),0.04743)</f>
        <v>0.04743</v>
      </c>
      <c r="K4048" s="19" t="str">
        <f>IFERROR(__xludf.DUMMYFUNCTION("""COMPUTED_VALUE"""),"-")</f>
        <v>-</v>
      </c>
      <c r="L4048" s="19" t="str">
        <f>IFERROR(__xludf.DUMMYFUNCTION("""COMPUTED_VALUE"""),"-")</f>
        <v>-</v>
      </c>
      <c r="O4048" s="24">
        <f t="shared" si="4"/>
        <v>0</v>
      </c>
      <c r="P4048" s="24"/>
      <c r="Q4048" s="24">
        <f t="shared" si="6"/>
        <v>0</v>
      </c>
      <c r="R4048" s="24">
        <f t="shared" si="7"/>
        <v>0</v>
      </c>
      <c r="S4048" s="24"/>
      <c r="T4048" s="24"/>
    </row>
    <row r="4049">
      <c r="A4049" s="12" t="s">
        <v>4136</v>
      </c>
      <c r="F4049" s="19">
        <f>IFERROR(__xludf.DUMMYFUNCTION("SPLIT(A4045, "" |"")"),4043.0)</f>
        <v>4043</v>
      </c>
      <c r="G4049" s="19">
        <f>IFERROR(__xludf.DUMMYFUNCTION("""COMPUTED_VALUE"""),0.00234)</f>
        <v>0.00234</v>
      </c>
      <c r="H4049" s="19" t="str">
        <f>IFERROR(__xludf.DUMMYFUNCTION("""COMPUTED_VALUE"""),"-")</f>
        <v>-</v>
      </c>
      <c r="I4049" s="19">
        <f>IFERROR(__xludf.DUMMYFUNCTION("""COMPUTED_VALUE"""),0.00222)</f>
        <v>0.00222</v>
      </c>
      <c r="J4049" s="19">
        <f>IFERROR(__xludf.DUMMYFUNCTION("""COMPUTED_VALUE"""),0.04746)</f>
        <v>0.04746</v>
      </c>
      <c r="K4049" s="19" t="str">
        <f>IFERROR(__xludf.DUMMYFUNCTION("""COMPUTED_VALUE"""),"-")</f>
        <v>-</v>
      </c>
      <c r="L4049" s="19" t="str">
        <f>IFERROR(__xludf.DUMMYFUNCTION("""COMPUTED_VALUE"""),"-")</f>
        <v>-</v>
      </c>
      <c r="O4049" s="24">
        <f t="shared" si="4"/>
        <v>0</v>
      </c>
      <c r="P4049" s="24"/>
      <c r="Q4049" s="24">
        <f t="shared" si="6"/>
        <v>0</v>
      </c>
      <c r="R4049" s="24">
        <f t="shared" si="7"/>
        <v>0</v>
      </c>
      <c r="S4049" s="24"/>
      <c r="T4049" s="24"/>
    </row>
    <row r="4050">
      <c r="A4050" s="12" t="s">
        <v>4137</v>
      </c>
      <c r="F4050" s="19">
        <f>IFERROR(__xludf.DUMMYFUNCTION("SPLIT(A4046, "" |"")"),4044.0)</f>
        <v>4044</v>
      </c>
      <c r="G4050" s="19">
        <f>IFERROR(__xludf.DUMMYFUNCTION("""COMPUTED_VALUE"""),0.00224)</f>
        <v>0.00224</v>
      </c>
      <c r="H4050" s="19" t="str">
        <f>IFERROR(__xludf.DUMMYFUNCTION("""COMPUTED_VALUE"""),"-")</f>
        <v>-</v>
      </c>
      <c r="I4050" s="19">
        <f>IFERROR(__xludf.DUMMYFUNCTION("""COMPUTED_VALUE"""),0.00218)</f>
        <v>0.00218</v>
      </c>
      <c r="J4050" s="19">
        <f>IFERROR(__xludf.DUMMYFUNCTION("""COMPUTED_VALUE"""),0.04737)</f>
        <v>0.04737</v>
      </c>
      <c r="K4050" s="19" t="str">
        <f>IFERROR(__xludf.DUMMYFUNCTION("""COMPUTED_VALUE"""),"-")</f>
        <v>-</v>
      </c>
      <c r="L4050" s="19" t="str">
        <f>IFERROR(__xludf.DUMMYFUNCTION("""COMPUTED_VALUE"""),"-")</f>
        <v>-</v>
      </c>
      <c r="O4050" s="24">
        <f t="shared" si="4"/>
        <v>0</v>
      </c>
      <c r="P4050" s="24"/>
      <c r="Q4050" s="24">
        <f t="shared" si="6"/>
        <v>0</v>
      </c>
      <c r="R4050" s="24">
        <f t="shared" si="7"/>
        <v>0</v>
      </c>
      <c r="S4050" s="24"/>
      <c r="T4050" s="24"/>
    </row>
    <row r="4051">
      <c r="A4051" s="12" t="s">
        <v>4138</v>
      </c>
      <c r="F4051" s="19">
        <f>IFERROR(__xludf.DUMMYFUNCTION("SPLIT(A4047, "" |"")"),4045.0)</f>
        <v>4045</v>
      </c>
      <c r="G4051" s="19">
        <f>IFERROR(__xludf.DUMMYFUNCTION("""COMPUTED_VALUE"""),0.00235)</f>
        <v>0.00235</v>
      </c>
      <c r="H4051" s="19" t="str">
        <f>IFERROR(__xludf.DUMMYFUNCTION("""COMPUTED_VALUE"""),"-")</f>
        <v>-</v>
      </c>
      <c r="I4051" s="19">
        <f>IFERROR(__xludf.DUMMYFUNCTION("""COMPUTED_VALUE"""),0.00224)</f>
        <v>0.00224</v>
      </c>
      <c r="J4051" s="19">
        <f>IFERROR(__xludf.DUMMYFUNCTION("""COMPUTED_VALUE"""),0.04747)</f>
        <v>0.04747</v>
      </c>
      <c r="K4051" s="19" t="str">
        <f>IFERROR(__xludf.DUMMYFUNCTION("""COMPUTED_VALUE"""),"-")</f>
        <v>-</v>
      </c>
      <c r="L4051" s="19" t="str">
        <f>IFERROR(__xludf.DUMMYFUNCTION("""COMPUTED_VALUE"""),"-")</f>
        <v>-</v>
      </c>
      <c r="O4051" s="24">
        <f t="shared" si="4"/>
        <v>0</v>
      </c>
      <c r="P4051" s="24"/>
      <c r="Q4051" s="24">
        <f t="shared" si="6"/>
        <v>0</v>
      </c>
      <c r="R4051" s="24">
        <f t="shared" si="7"/>
        <v>0</v>
      </c>
      <c r="S4051" s="24"/>
      <c r="T4051" s="24"/>
    </row>
    <row r="4052">
      <c r="A4052" s="12" t="s">
        <v>4139</v>
      </c>
      <c r="F4052" s="19">
        <f>IFERROR(__xludf.DUMMYFUNCTION("SPLIT(A4048, "" |"")"),4046.0)</f>
        <v>4046</v>
      </c>
      <c r="G4052" s="19">
        <f>IFERROR(__xludf.DUMMYFUNCTION("""COMPUTED_VALUE"""),0.00238)</f>
        <v>0.00238</v>
      </c>
      <c r="H4052" s="19" t="str">
        <f>IFERROR(__xludf.DUMMYFUNCTION("""COMPUTED_VALUE"""),"-")</f>
        <v>-</v>
      </c>
      <c r="I4052" s="19">
        <f>IFERROR(__xludf.DUMMYFUNCTION("""COMPUTED_VALUE"""),0.00216)</f>
        <v>0.00216</v>
      </c>
      <c r="J4052" s="19">
        <f>IFERROR(__xludf.DUMMYFUNCTION("""COMPUTED_VALUE"""),0.04735)</f>
        <v>0.04735</v>
      </c>
      <c r="K4052" s="19" t="str">
        <f>IFERROR(__xludf.DUMMYFUNCTION("""COMPUTED_VALUE"""),"-")</f>
        <v>-</v>
      </c>
      <c r="L4052" s="19" t="str">
        <f>IFERROR(__xludf.DUMMYFUNCTION("""COMPUTED_VALUE"""),"-")</f>
        <v>-</v>
      </c>
      <c r="O4052" s="24">
        <f t="shared" si="4"/>
        <v>0</v>
      </c>
      <c r="P4052" s="24"/>
      <c r="Q4052" s="24">
        <f t="shared" si="6"/>
        <v>0</v>
      </c>
      <c r="R4052" s="24">
        <f t="shared" si="7"/>
        <v>0</v>
      </c>
      <c r="S4052" s="24"/>
      <c r="T4052" s="24"/>
    </row>
    <row r="4053">
      <c r="A4053" s="12" t="s">
        <v>4140</v>
      </c>
      <c r="F4053" s="19">
        <f>IFERROR(__xludf.DUMMYFUNCTION("SPLIT(A4049, "" |"")"),4047.0)</f>
        <v>4047</v>
      </c>
      <c r="G4053" s="19">
        <f>IFERROR(__xludf.DUMMYFUNCTION("""COMPUTED_VALUE"""),0.00219)</f>
        <v>0.00219</v>
      </c>
      <c r="H4053" s="19" t="str">
        <f>IFERROR(__xludf.DUMMYFUNCTION("""COMPUTED_VALUE"""),"-")</f>
        <v>-</v>
      </c>
      <c r="I4053" s="19">
        <f>IFERROR(__xludf.DUMMYFUNCTION("""COMPUTED_VALUE"""),0.00208)</f>
        <v>0.00208</v>
      </c>
      <c r="J4053" s="19">
        <f>IFERROR(__xludf.DUMMYFUNCTION("""COMPUTED_VALUE"""),0.04731)</f>
        <v>0.04731</v>
      </c>
      <c r="K4053" s="19" t="str">
        <f>IFERROR(__xludf.DUMMYFUNCTION("""COMPUTED_VALUE"""),"-")</f>
        <v>-</v>
      </c>
      <c r="L4053" s="19" t="str">
        <f>IFERROR(__xludf.DUMMYFUNCTION("""COMPUTED_VALUE"""),"-")</f>
        <v>-</v>
      </c>
      <c r="O4053" s="24">
        <f t="shared" si="4"/>
        <v>0</v>
      </c>
      <c r="P4053" s="24"/>
      <c r="Q4053" s="24">
        <f t="shared" si="6"/>
        <v>0</v>
      </c>
      <c r="R4053" s="24">
        <f t="shared" si="7"/>
        <v>0</v>
      </c>
      <c r="S4053" s="24"/>
      <c r="T4053" s="24"/>
    </row>
    <row r="4054">
      <c r="A4054" s="12" t="s">
        <v>4141</v>
      </c>
      <c r="F4054" s="19">
        <f>IFERROR(__xludf.DUMMYFUNCTION("SPLIT(A4050, "" |"")"),4048.0)</f>
        <v>4048</v>
      </c>
      <c r="G4054" s="19">
        <f>IFERROR(__xludf.DUMMYFUNCTION("""COMPUTED_VALUE"""),0.0024)</f>
        <v>0.0024</v>
      </c>
      <c r="H4054" s="19" t="str">
        <f>IFERROR(__xludf.DUMMYFUNCTION("""COMPUTED_VALUE"""),"-")</f>
        <v>-</v>
      </c>
      <c r="I4054" s="19">
        <f>IFERROR(__xludf.DUMMYFUNCTION("""COMPUTED_VALUE"""),0.00226)</f>
        <v>0.00226</v>
      </c>
      <c r="J4054" s="19">
        <f>IFERROR(__xludf.DUMMYFUNCTION("""COMPUTED_VALUE"""),0.04748)</f>
        <v>0.04748</v>
      </c>
      <c r="K4054" s="19" t="str">
        <f>IFERROR(__xludf.DUMMYFUNCTION("""COMPUTED_VALUE"""),"-")</f>
        <v>-</v>
      </c>
      <c r="L4054" s="19" t="str">
        <f>IFERROR(__xludf.DUMMYFUNCTION("""COMPUTED_VALUE"""),"-")</f>
        <v>-</v>
      </c>
      <c r="O4054" s="24">
        <f t="shared" si="4"/>
        <v>0</v>
      </c>
      <c r="P4054" s="24"/>
      <c r="Q4054" s="24">
        <f t="shared" si="6"/>
        <v>0</v>
      </c>
      <c r="R4054" s="24">
        <f t="shared" si="7"/>
        <v>0</v>
      </c>
      <c r="S4054" s="24"/>
      <c r="T4054" s="24"/>
    </row>
    <row r="4055">
      <c r="A4055" s="12" t="s">
        <v>4142</v>
      </c>
      <c r="F4055" s="19">
        <f>IFERROR(__xludf.DUMMYFUNCTION("SPLIT(A4051, "" |"")"),4049.0)</f>
        <v>4049</v>
      </c>
      <c r="G4055" s="19">
        <f>IFERROR(__xludf.DUMMYFUNCTION("""COMPUTED_VALUE"""),0.00232)</f>
        <v>0.00232</v>
      </c>
      <c r="H4055" s="19" t="str">
        <f>IFERROR(__xludf.DUMMYFUNCTION("""COMPUTED_VALUE"""),"-")</f>
        <v>-</v>
      </c>
      <c r="I4055" s="19">
        <f>IFERROR(__xludf.DUMMYFUNCTION("""COMPUTED_VALUE"""),0.00219)</f>
        <v>0.00219</v>
      </c>
      <c r="J4055" s="19">
        <f>IFERROR(__xludf.DUMMYFUNCTION("""COMPUTED_VALUE"""),0.04742)</f>
        <v>0.04742</v>
      </c>
      <c r="K4055" s="19" t="str">
        <f>IFERROR(__xludf.DUMMYFUNCTION("""COMPUTED_VALUE"""),"-")</f>
        <v>-</v>
      </c>
      <c r="L4055" s="19" t="str">
        <f>IFERROR(__xludf.DUMMYFUNCTION("""COMPUTED_VALUE"""),"-")</f>
        <v>-</v>
      </c>
      <c r="O4055" s="24">
        <f t="shared" si="4"/>
        <v>0</v>
      </c>
      <c r="P4055" s="24"/>
      <c r="Q4055" s="24">
        <f t="shared" si="6"/>
        <v>0</v>
      </c>
      <c r="R4055" s="24">
        <f t="shared" si="7"/>
        <v>0</v>
      </c>
      <c r="S4055" s="24"/>
      <c r="T4055" s="24"/>
    </row>
    <row r="4056">
      <c r="A4056" s="12" t="s">
        <v>4143</v>
      </c>
      <c r="F4056" s="19">
        <f>IFERROR(__xludf.DUMMYFUNCTION("SPLIT(A4052, "" |"")"),4050.0)</f>
        <v>4050</v>
      </c>
      <c r="G4056" s="19">
        <f>IFERROR(__xludf.DUMMYFUNCTION("""COMPUTED_VALUE"""),0.00243)</f>
        <v>0.00243</v>
      </c>
      <c r="H4056" s="19" t="str">
        <f>IFERROR(__xludf.DUMMYFUNCTION("""COMPUTED_VALUE"""),"-")</f>
        <v>-</v>
      </c>
      <c r="I4056" s="19">
        <f>IFERROR(__xludf.DUMMYFUNCTION("""COMPUTED_VALUE"""),0.00219)</f>
        <v>0.00219</v>
      </c>
      <c r="J4056" s="19">
        <f>IFERROR(__xludf.DUMMYFUNCTION("""COMPUTED_VALUE"""),0.04745)</f>
        <v>0.04745</v>
      </c>
      <c r="K4056" s="19" t="str">
        <f>IFERROR(__xludf.DUMMYFUNCTION("""COMPUTED_VALUE"""),"-")</f>
        <v>-</v>
      </c>
      <c r="L4056" s="19" t="str">
        <f>IFERROR(__xludf.DUMMYFUNCTION("""COMPUTED_VALUE"""),"-")</f>
        <v>-</v>
      </c>
      <c r="O4056" s="24">
        <f t="shared" si="4"/>
        <v>0</v>
      </c>
      <c r="P4056" s="24"/>
      <c r="Q4056" s="24">
        <f t="shared" si="6"/>
        <v>0</v>
      </c>
      <c r="R4056" s="24">
        <f t="shared" si="7"/>
        <v>0</v>
      </c>
      <c r="S4056" s="24"/>
      <c r="T4056" s="24"/>
    </row>
    <row r="4057">
      <c r="A4057" s="12" t="s">
        <v>4144</v>
      </c>
      <c r="F4057" s="19">
        <f>IFERROR(__xludf.DUMMYFUNCTION("SPLIT(A4053, "" |"")"),4051.0)</f>
        <v>4051</v>
      </c>
      <c r="G4057" s="19">
        <f>IFERROR(__xludf.DUMMYFUNCTION("""COMPUTED_VALUE"""),0.00229)</f>
        <v>0.00229</v>
      </c>
      <c r="H4057" s="19" t="str">
        <f>IFERROR(__xludf.DUMMYFUNCTION("""COMPUTED_VALUE"""),"-")</f>
        <v>-</v>
      </c>
      <c r="I4057" s="19">
        <f>IFERROR(__xludf.DUMMYFUNCTION("""COMPUTED_VALUE"""),0.00223)</f>
        <v>0.00223</v>
      </c>
      <c r="J4057" s="19">
        <f>IFERROR(__xludf.DUMMYFUNCTION("""COMPUTED_VALUE"""),0.04741)</f>
        <v>0.04741</v>
      </c>
      <c r="K4057" s="19" t="str">
        <f>IFERROR(__xludf.DUMMYFUNCTION("""COMPUTED_VALUE"""),"-")</f>
        <v>-</v>
      </c>
      <c r="L4057" s="19" t="str">
        <f>IFERROR(__xludf.DUMMYFUNCTION("""COMPUTED_VALUE"""),"-")</f>
        <v>-</v>
      </c>
      <c r="O4057" s="24">
        <f t="shared" si="4"/>
        <v>0</v>
      </c>
      <c r="P4057" s="24"/>
      <c r="Q4057" s="24">
        <f t="shared" si="6"/>
        <v>0</v>
      </c>
      <c r="R4057" s="24">
        <f t="shared" si="7"/>
        <v>0</v>
      </c>
      <c r="S4057" s="24"/>
      <c r="T4057" s="24"/>
    </row>
    <row r="4058">
      <c r="A4058" s="12" t="s">
        <v>4145</v>
      </c>
      <c r="F4058" s="19">
        <f>IFERROR(__xludf.DUMMYFUNCTION("SPLIT(A4054, "" |"")"),4052.0)</f>
        <v>4052</v>
      </c>
      <c r="G4058" s="19">
        <f>IFERROR(__xludf.DUMMYFUNCTION("""COMPUTED_VALUE"""),0.00243)</f>
        <v>0.00243</v>
      </c>
      <c r="H4058" s="19" t="str">
        <f>IFERROR(__xludf.DUMMYFUNCTION("""COMPUTED_VALUE"""),"-")</f>
        <v>-</v>
      </c>
      <c r="I4058" s="19">
        <f>IFERROR(__xludf.DUMMYFUNCTION("""COMPUTED_VALUE"""),0.00221)</f>
        <v>0.00221</v>
      </c>
      <c r="J4058" s="19">
        <f>IFERROR(__xludf.DUMMYFUNCTION("""COMPUTED_VALUE"""),0.04407)</f>
        <v>0.04407</v>
      </c>
      <c r="K4058" s="19" t="str">
        <f>IFERROR(__xludf.DUMMYFUNCTION("""COMPUTED_VALUE"""),"-")</f>
        <v>-</v>
      </c>
      <c r="L4058" s="19" t="str">
        <f>IFERROR(__xludf.DUMMYFUNCTION("""COMPUTED_VALUE"""),"-")</f>
        <v>-</v>
      </c>
      <c r="O4058" s="24">
        <f t="shared" si="4"/>
        <v>0</v>
      </c>
      <c r="P4058" s="24"/>
      <c r="Q4058" s="24">
        <f t="shared" si="6"/>
        <v>0</v>
      </c>
      <c r="R4058" s="24">
        <f t="shared" si="7"/>
        <v>1</v>
      </c>
      <c r="S4058" s="24"/>
      <c r="T4058" s="24"/>
    </row>
    <row r="4059">
      <c r="A4059" s="12" t="s">
        <v>4146</v>
      </c>
      <c r="F4059" s="19">
        <f>IFERROR(__xludf.DUMMYFUNCTION("SPLIT(A4055, "" |"")"),4053.0)</f>
        <v>4053</v>
      </c>
      <c r="G4059" s="19">
        <f>IFERROR(__xludf.DUMMYFUNCTION("""COMPUTED_VALUE"""),0.00233)</f>
        <v>0.00233</v>
      </c>
      <c r="H4059" s="19" t="str">
        <f>IFERROR(__xludf.DUMMYFUNCTION("""COMPUTED_VALUE"""),"-")</f>
        <v>-</v>
      </c>
      <c r="I4059" s="19">
        <f>IFERROR(__xludf.DUMMYFUNCTION("""COMPUTED_VALUE"""),0.0022)</f>
        <v>0.0022</v>
      </c>
      <c r="J4059" s="19">
        <f>IFERROR(__xludf.DUMMYFUNCTION("""COMPUTED_VALUE"""),0.0474)</f>
        <v>0.0474</v>
      </c>
      <c r="K4059" s="19" t="str">
        <f>IFERROR(__xludf.DUMMYFUNCTION("""COMPUTED_VALUE"""),"-")</f>
        <v>-</v>
      </c>
      <c r="L4059" s="19" t="str">
        <f>IFERROR(__xludf.DUMMYFUNCTION("""COMPUTED_VALUE"""),"-")</f>
        <v>-</v>
      </c>
      <c r="O4059" s="24">
        <f t="shared" si="4"/>
        <v>0</v>
      </c>
      <c r="P4059" s="24"/>
      <c r="Q4059" s="24">
        <f t="shared" si="6"/>
        <v>0</v>
      </c>
      <c r="R4059" s="24">
        <f t="shared" si="7"/>
        <v>0</v>
      </c>
      <c r="S4059" s="24"/>
      <c r="T4059" s="24"/>
    </row>
    <row r="4060">
      <c r="A4060" s="12" t="s">
        <v>4147</v>
      </c>
      <c r="F4060" s="19">
        <f>IFERROR(__xludf.DUMMYFUNCTION("SPLIT(A4056, "" |"")"),4054.0)</f>
        <v>4054</v>
      </c>
      <c r="G4060" s="19">
        <f>IFERROR(__xludf.DUMMYFUNCTION("""COMPUTED_VALUE"""),0.00238)</f>
        <v>0.00238</v>
      </c>
      <c r="H4060" s="19" t="str">
        <f>IFERROR(__xludf.DUMMYFUNCTION("""COMPUTED_VALUE"""),"-")</f>
        <v>-</v>
      </c>
      <c r="I4060" s="19">
        <f>IFERROR(__xludf.DUMMYFUNCTION("""COMPUTED_VALUE"""),0.0022)</f>
        <v>0.0022</v>
      </c>
      <c r="J4060" s="19">
        <f>IFERROR(__xludf.DUMMYFUNCTION("""COMPUTED_VALUE"""),0.04749)</f>
        <v>0.04749</v>
      </c>
      <c r="K4060" s="19" t="str">
        <f>IFERROR(__xludf.DUMMYFUNCTION("""COMPUTED_VALUE"""),"-")</f>
        <v>-</v>
      </c>
      <c r="L4060" s="19" t="str">
        <f>IFERROR(__xludf.DUMMYFUNCTION("""COMPUTED_VALUE"""),"-")</f>
        <v>-</v>
      </c>
      <c r="O4060" s="24">
        <f t="shared" si="4"/>
        <v>0</v>
      </c>
      <c r="P4060" s="24"/>
      <c r="Q4060" s="24">
        <f t="shared" si="6"/>
        <v>0</v>
      </c>
      <c r="R4060" s="24">
        <f t="shared" si="7"/>
        <v>0</v>
      </c>
      <c r="S4060" s="24"/>
      <c r="T4060" s="24"/>
    </row>
    <row r="4061">
      <c r="A4061" s="12" t="s">
        <v>4148</v>
      </c>
      <c r="F4061" s="19">
        <f>IFERROR(__xludf.DUMMYFUNCTION("SPLIT(A4057, "" |"")"),4055.0)</f>
        <v>4055</v>
      </c>
      <c r="G4061" s="19">
        <f>IFERROR(__xludf.DUMMYFUNCTION("""COMPUTED_VALUE"""),0.00232)</f>
        <v>0.00232</v>
      </c>
      <c r="H4061" s="19" t="str">
        <f>IFERROR(__xludf.DUMMYFUNCTION("""COMPUTED_VALUE"""),"-")</f>
        <v>-</v>
      </c>
      <c r="I4061" s="19">
        <f>IFERROR(__xludf.DUMMYFUNCTION("""COMPUTED_VALUE"""),0.00192)</f>
        <v>0.00192</v>
      </c>
      <c r="J4061" s="19">
        <f>IFERROR(__xludf.DUMMYFUNCTION("""COMPUTED_VALUE"""),0.0474)</f>
        <v>0.0474</v>
      </c>
      <c r="K4061" s="19" t="str">
        <f>IFERROR(__xludf.DUMMYFUNCTION("""COMPUTED_VALUE"""),"-")</f>
        <v>-</v>
      </c>
      <c r="L4061" s="19" t="str">
        <f>IFERROR(__xludf.DUMMYFUNCTION("""COMPUTED_VALUE"""),"-")</f>
        <v>-</v>
      </c>
      <c r="O4061" s="24">
        <f t="shared" si="4"/>
        <v>0</v>
      </c>
      <c r="P4061" s="24"/>
      <c r="Q4061" s="24">
        <f t="shared" si="6"/>
        <v>0</v>
      </c>
      <c r="R4061" s="24">
        <f t="shared" si="7"/>
        <v>0</v>
      </c>
      <c r="S4061" s="24"/>
      <c r="T4061" s="24"/>
    </row>
    <row r="4062">
      <c r="A4062" s="12" t="s">
        <v>4149</v>
      </c>
      <c r="F4062" s="19">
        <f>IFERROR(__xludf.DUMMYFUNCTION("SPLIT(A4058, "" |"")"),4056.0)</f>
        <v>4056</v>
      </c>
      <c r="G4062" s="19">
        <f>IFERROR(__xludf.DUMMYFUNCTION("""COMPUTED_VALUE"""),0.00236)</f>
        <v>0.00236</v>
      </c>
      <c r="H4062" s="19" t="str">
        <f>IFERROR(__xludf.DUMMYFUNCTION("""COMPUTED_VALUE"""),"-")</f>
        <v>-</v>
      </c>
      <c r="I4062" s="19">
        <f>IFERROR(__xludf.DUMMYFUNCTION("""COMPUTED_VALUE"""),0.00224)</f>
        <v>0.00224</v>
      </c>
      <c r="J4062" s="19">
        <f>IFERROR(__xludf.DUMMYFUNCTION("""COMPUTED_VALUE"""),0.04749)</f>
        <v>0.04749</v>
      </c>
      <c r="K4062" s="19" t="str">
        <f>IFERROR(__xludf.DUMMYFUNCTION("""COMPUTED_VALUE"""),"-")</f>
        <v>-</v>
      </c>
      <c r="L4062" s="19" t="str">
        <f>IFERROR(__xludf.DUMMYFUNCTION("""COMPUTED_VALUE"""),"-")</f>
        <v>-</v>
      </c>
      <c r="O4062" s="24">
        <f t="shared" si="4"/>
        <v>0</v>
      </c>
      <c r="P4062" s="24"/>
      <c r="Q4062" s="24">
        <f t="shared" si="6"/>
        <v>0</v>
      </c>
      <c r="R4062" s="24">
        <f t="shared" si="7"/>
        <v>0</v>
      </c>
      <c r="S4062" s="24"/>
      <c r="T4062" s="24"/>
    </row>
    <row r="4063">
      <c r="A4063" s="12" t="s">
        <v>4150</v>
      </c>
      <c r="F4063" s="19">
        <f>IFERROR(__xludf.DUMMYFUNCTION("SPLIT(A4059, "" |"")"),4057.0)</f>
        <v>4057</v>
      </c>
      <c r="G4063" s="19">
        <f>IFERROR(__xludf.DUMMYFUNCTION("""COMPUTED_VALUE"""),0.00236)</f>
        <v>0.00236</v>
      </c>
      <c r="H4063" s="19" t="str">
        <f>IFERROR(__xludf.DUMMYFUNCTION("""COMPUTED_VALUE"""),"-")</f>
        <v>-</v>
      </c>
      <c r="I4063" s="19">
        <f>IFERROR(__xludf.DUMMYFUNCTION("""COMPUTED_VALUE"""),0.00221)</f>
        <v>0.00221</v>
      </c>
      <c r="J4063" s="19">
        <f>IFERROR(__xludf.DUMMYFUNCTION("""COMPUTED_VALUE"""),0.04749)</f>
        <v>0.04749</v>
      </c>
      <c r="K4063" s="19" t="str">
        <f>IFERROR(__xludf.DUMMYFUNCTION("""COMPUTED_VALUE"""),"-")</f>
        <v>-</v>
      </c>
      <c r="L4063" s="19" t="str">
        <f>IFERROR(__xludf.DUMMYFUNCTION("""COMPUTED_VALUE"""),"-")</f>
        <v>-</v>
      </c>
      <c r="O4063" s="24">
        <f t="shared" si="4"/>
        <v>0</v>
      </c>
      <c r="P4063" s="24"/>
      <c r="Q4063" s="24">
        <f t="shared" si="6"/>
        <v>0</v>
      </c>
      <c r="R4063" s="24">
        <f t="shared" si="7"/>
        <v>0</v>
      </c>
      <c r="S4063" s="24"/>
      <c r="T4063" s="24"/>
    </row>
    <row r="4064">
      <c r="A4064" s="12" t="s">
        <v>4151</v>
      </c>
      <c r="F4064" s="19">
        <f>IFERROR(__xludf.DUMMYFUNCTION("SPLIT(A4060, "" |"")"),4058.0)</f>
        <v>4058</v>
      </c>
      <c r="G4064" s="19">
        <f>IFERROR(__xludf.DUMMYFUNCTION("""COMPUTED_VALUE"""),0.00238)</f>
        <v>0.00238</v>
      </c>
      <c r="H4064" s="19" t="str">
        <f>IFERROR(__xludf.DUMMYFUNCTION("""COMPUTED_VALUE"""),"-")</f>
        <v>-</v>
      </c>
      <c r="I4064" s="19">
        <f>IFERROR(__xludf.DUMMYFUNCTION("""COMPUTED_VALUE"""),0.00217)</f>
        <v>0.00217</v>
      </c>
      <c r="J4064" s="19">
        <f>IFERROR(__xludf.DUMMYFUNCTION("""COMPUTED_VALUE"""),0.04743)</f>
        <v>0.04743</v>
      </c>
      <c r="K4064" s="19" t="str">
        <f>IFERROR(__xludf.DUMMYFUNCTION("""COMPUTED_VALUE"""),"-")</f>
        <v>-</v>
      </c>
      <c r="L4064" s="19" t="str">
        <f>IFERROR(__xludf.DUMMYFUNCTION("""COMPUTED_VALUE"""),"-")</f>
        <v>-</v>
      </c>
      <c r="O4064" s="24">
        <f t="shared" si="4"/>
        <v>0</v>
      </c>
      <c r="P4064" s="24"/>
      <c r="Q4064" s="24">
        <f t="shared" si="6"/>
        <v>0</v>
      </c>
      <c r="R4064" s="24">
        <f t="shared" si="7"/>
        <v>0</v>
      </c>
      <c r="S4064" s="24"/>
      <c r="T4064" s="24"/>
    </row>
    <row r="4065">
      <c r="A4065" s="12" t="s">
        <v>4152</v>
      </c>
      <c r="F4065" s="19">
        <f>IFERROR(__xludf.DUMMYFUNCTION("SPLIT(A4061, "" |"")"),4059.0)</f>
        <v>4059</v>
      </c>
      <c r="G4065" s="19">
        <f>IFERROR(__xludf.DUMMYFUNCTION("""COMPUTED_VALUE"""),0.00236)</f>
        <v>0.00236</v>
      </c>
      <c r="H4065" s="19" t="str">
        <f>IFERROR(__xludf.DUMMYFUNCTION("""COMPUTED_VALUE"""),"-")</f>
        <v>-</v>
      </c>
      <c r="I4065" s="19">
        <f>IFERROR(__xludf.DUMMYFUNCTION("""COMPUTED_VALUE"""),0.0022)</f>
        <v>0.0022</v>
      </c>
      <c r="J4065" s="19">
        <f>IFERROR(__xludf.DUMMYFUNCTION("""COMPUTED_VALUE"""),0.04743)</f>
        <v>0.04743</v>
      </c>
      <c r="K4065" s="19" t="str">
        <f>IFERROR(__xludf.DUMMYFUNCTION("""COMPUTED_VALUE"""),"-")</f>
        <v>-</v>
      </c>
      <c r="L4065" s="19" t="str">
        <f>IFERROR(__xludf.DUMMYFUNCTION("""COMPUTED_VALUE"""),"-")</f>
        <v>-</v>
      </c>
      <c r="O4065" s="24">
        <f t="shared" si="4"/>
        <v>0</v>
      </c>
      <c r="P4065" s="24"/>
      <c r="Q4065" s="24">
        <f t="shared" si="6"/>
        <v>0</v>
      </c>
      <c r="R4065" s="24">
        <f t="shared" si="7"/>
        <v>0</v>
      </c>
      <c r="S4065" s="24"/>
      <c r="T4065" s="24"/>
    </row>
    <row r="4066">
      <c r="A4066" s="12" t="s">
        <v>4153</v>
      </c>
      <c r="F4066" s="19">
        <f>IFERROR(__xludf.DUMMYFUNCTION("SPLIT(A4062, "" |"")"),4060.0)</f>
        <v>4060</v>
      </c>
      <c r="G4066" s="19">
        <f>IFERROR(__xludf.DUMMYFUNCTION("""COMPUTED_VALUE"""),0.00252)</f>
        <v>0.00252</v>
      </c>
      <c r="H4066" s="19" t="str">
        <f>IFERROR(__xludf.DUMMYFUNCTION("""COMPUTED_VALUE"""),"-")</f>
        <v>-</v>
      </c>
      <c r="I4066" s="19">
        <f>IFERROR(__xludf.DUMMYFUNCTION("""COMPUTED_VALUE"""),0.00229)</f>
        <v>0.00229</v>
      </c>
      <c r="J4066" s="19">
        <f>IFERROR(__xludf.DUMMYFUNCTION("""COMPUTED_VALUE"""),0.04753)</f>
        <v>0.04753</v>
      </c>
      <c r="K4066" s="19" t="str">
        <f>IFERROR(__xludf.DUMMYFUNCTION("""COMPUTED_VALUE"""),"-")</f>
        <v>-</v>
      </c>
      <c r="L4066" s="19" t="str">
        <f>IFERROR(__xludf.DUMMYFUNCTION("""COMPUTED_VALUE"""),"-")</f>
        <v>-</v>
      </c>
      <c r="O4066" s="24">
        <f t="shared" si="4"/>
        <v>0</v>
      </c>
      <c r="P4066" s="24"/>
      <c r="Q4066" s="24">
        <f t="shared" si="6"/>
        <v>0</v>
      </c>
      <c r="R4066" s="24">
        <f t="shared" si="7"/>
        <v>0</v>
      </c>
      <c r="S4066" s="24"/>
      <c r="T4066" s="24"/>
    </row>
    <row r="4067">
      <c r="A4067" s="12" t="s">
        <v>4154</v>
      </c>
      <c r="F4067" s="19">
        <f>IFERROR(__xludf.DUMMYFUNCTION("SPLIT(A4063, "" |"")"),4061.0)</f>
        <v>4061</v>
      </c>
      <c r="G4067" s="19">
        <f>IFERROR(__xludf.DUMMYFUNCTION("""COMPUTED_VALUE"""),0.00237)</f>
        <v>0.00237</v>
      </c>
      <c r="H4067" s="19" t="str">
        <f>IFERROR(__xludf.DUMMYFUNCTION("""COMPUTED_VALUE"""),"-")</f>
        <v>-</v>
      </c>
      <c r="I4067" s="19">
        <f>IFERROR(__xludf.DUMMYFUNCTION("""COMPUTED_VALUE"""),0.00226)</f>
        <v>0.00226</v>
      </c>
      <c r="J4067" s="19">
        <f>IFERROR(__xludf.DUMMYFUNCTION("""COMPUTED_VALUE"""),0.04697)</f>
        <v>0.04697</v>
      </c>
      <c r="K4067" s="19" t="str">
        <f>IFERROR(__xludf.DUMMYFUNCTION("""COMPUTED_VALUE"""),"-")</f>
        <v>-</v>
      </c>
      <c r="L4067" s="19" t="str">
        <f>IFERROR(__xludf.DUMMYFUNCTION("""COMPUTED_VALUE"""),"-")</f>
        <v>-</v>
      </c>
      <c r="O4067" s="24">
        <f t="shared" si="4"/>
        <v>0</v>
      </c>
      <c r="P4067" s="24"/>
      <c r="Q4067" s="24">
        <f t="shared" si="6"/>
        <v>0</v>
      </c>
      <c r="R4067" s="24">
        <f t="shared" si="7"/>
        <v>0</v>
      </c>
      <c r="S4067" s="24"/>
      <c r="T4067" s="24"/>
    </row>
    <row r="4068">
      <c r="A4068" s="12" t="s">
        <v>4155</v>
      </c>
      <c r="F4068" s="19">
        <f>IFERROR(__xludf.DUMMYFUNCTION("SPLIT(A4064, "" |"")"),4062.0)</f>
        <v>4062</v>
      </c>
      <c r="G4068" s="19">
        <f>IFERROR(__xludf.DUMMYFUNCTION("""COMPUTED_VALUE"""),0.00239)</f>
        <v>0.00239</v>
      </c>
      <c r="H4068" s="19" t="str">
        <f>IFERROR(__xludf.DUMMYFUNCTION("""COMPUTED_VALUE"""),"-")</f>
        <v>-</v>
      </c>
      <c r="I4068" s="19">
        <f>IFERROR(__xludf.DUMMYFUNCTION("""COMPUTED_VALUE"""),0.00228)</f>
        <v>0.00228</v>
      </c>
      <c r="J4068" s="19">
        <f>IFERROR(__xludf.DUMMYFUNCTION("""COMPUTED_VALUE"""),0.04746)</f>
        <v>0.04746</v>
      </c>
      <c r="K4068" s="19" t="str">
        <f>IFERROR(__xludf.DUMMYFUNCTION("""COMPUTED_VALUE"""),"-")</f>
        <v>-</v>
      </c>
      <c r="L4068" s="19" t="str">
        <f>IFERROR(__xludf.DUMMYFUNCTION("""COMPUTED_VALUE"""),"-")</f>
        <v>-</v>
      </c>
      <c r="O4068" s="24">
        <f t="shared" si="4"/>
        <v>0</v>
      </c>
      <c r="P4068" s="24"/>
      <c r="Q4068" s="24">
        <f t="shared" si="6"/>
        <v>0</v>
      </c>
      <c r="R4068" s="24">
        <f t="shared" si="7"/>
        <v>0</v>
      </c>
      <c r="S4068" s="24"/>
      <c r="T4068" s="24"/>
    </row>
    <row r="4069">
      <c r="A4069" s="12" t="s">
        <v>4156</v>
      </c>
      <c r="F4069" s="19">
        <f>IFERROR(__xludf.DUMMYFUNCTION("SPLIT(A4065, "" |"")"),4063.0)</f>
        <v>4063</v>
      </c>
      <c r="G4069" s="19">
        <f>IFERROR(__xludf.DUMMYFUNCTION("""COMPUTED_VALUE"""),0.00236)</f>
        <v>0.00236</v>
      </c>
      <c r="H4069" s="19" t="str">
        <f>IFERROR(__xludf.DUMMYFUNCTION("""COMPUTED_VALUE"""),"-")</f>
        <v>-</v>
      </c>
      <c r="I4069" s="19">
        <f>IFERROR(__xludf.DUMMYFUNCTION("""COMPUTED_VALUE"""),0.00221)</f>
        <v>0.00221</v>
      </c>
      <c r="J4069" s="19">
        <f>IFERROR(__xludf.DUMMYFUNCTION("""COMPUTED_VALUE"""),0.04756)</f>
        <v>0.04756</v>
      </c>
      <c r="K4069" s="19" t="str">
        <f>IFERROR(__xludf.DUMMYFUNCTION("""COMPUTED_VALUE"""),"-")</f>
        <v>-</v>
      </c>
      <c r="L4069" s="19" t="str">
        <f>IFERROR(__xludf.DUMMYFUNCTION("""COMPUTED_VALUE"""),"-")</f>
        <v>-</v>
      </c>
      <c r="O4069" s="24">
        <f t="shared" si="4"/>
        <v>0</v>
      </c>
      <c r="P4069" s="24"/>
      <c r="Q4069" s="24">
        <f t="shared" si="6"/>
        <v>0</v>
      </c>
      <c r="R4069" s="24">
        <f t="shared" si="7"/>
        <v>0</v>
      </c>
      <c r="S4069" s="24"/>
      <c r="T4069" s="24"/>
    </row>
    <row r="4070">
      <c r="A4070" s="12" t="s">
        <v>4157</v>
      </c>
      <c r="F4070" s="19">
        <f>IFERROR(__xludf.DUMMYFUNCTION("SPLIT(A4066, "" |"")"),4064.0)</f>
        <v>4064</v>
      </c>
      <c r="G4070" s="19">
        <f>IFERROR(__xludf.DUMMYFUNCTION("""COMPUTED_VALUE"""),0.00252)</f>
        <v>0.00252</v>
      </c>
      <c r="H4070" s="19" t="str">
        <f>IFERROR(__xludf.DUMMYFUNCTION("""COMPUTED_VALUE"""),"-")</f>
        <v>-</v>
      </c>
      <c r="I4070" s="19">
        <f>IFERROR(__xludf.DUMMYFUNCTION("""COMPUTED_VALUE"""),0.00232)</f>
        <v>0.00232</v>
      </c>
      <c r="J4070" s="19">
        <f>IFERROR(__xludf.DUMMYFUNCTION("""COMPUTED_VALUE"""),0.0475)</f>
        <v>0.0475</v>
      </c>
      <c r="K4070" s="19" t="str">
        <f>IFERROR(__xludf.DUMMYFUNCTION("""COMPUTED_VALUE"""),"-")</f>
        <v>-</v>
      </c>
      <c r="L4070" s="19" t="str">
        <f>IFERROR(__xludf.DUMMYFUNCTION("""COMPUTED_VALUE"""),"-")</f>
        <v>-</v>
      </c>
      <c r="O4070" s="24">
        <f t="shared" si="4"/>
        <v>0</v>
      </c>
      <c r="P4070" s="24"/>
      <c r="Q4070" s="24">
        <f t="shared" si="6"/>
        <v>0</v>
      </c>
      <c r="R4070" s="24">
        <f t="shared" si="7"/>
        <v>0</v>
      </c>
      <c r="S4070" s="24"/>
      <c r="T4070" s="24"/>
    </row>
    <row r="4071">
      <c r="A4071" s="12" t="s">
        <v>4158</v>
      </c>
      <c r="F4071" s="19">
        <f>IFERROR(__xludf.DUMMYFUNCTION("SPLIT(A4067, "" |"")"),4065.0)</f>
        <v>4065</v>
      </c>
      <c r="G4071" s="19">
        <f>IFERROR(__xludf.DUMMYFUNCTION("""COMPUTED_VALUE"""),0.00238)</f>
        <v>0.00238</v>
      </c>
      <c r="H4071" s="19" t="str">
        <f>IFERROR(__xludf.DUMMYFUNCTION("""COMPUTED_VALUE"""),"-")</f>
        <v>-</v>
      </c>
      <c r="I4071" s="19">
        <f>IFERROR(__xludf.DUMMYFUNCTION("""COMPUTED_VALUE"""),0.0022)</f>
        <v>0.0022</v>
      </c>
      <c r="J4071" s="19">
        <f>IFERROR(__xludf.DUMMYFUNCTION("""COMPUTED_VALUE"""),0.04713)</f>
        <v>0.04713</v>
      </c>
      <c r="K4071" s="19" t="str">
        <f>IFERROR(__xludf.DUMMYFUNCTION("""COMPUTED_VALUE"""),"-")</f>
        <v>-</v>
      </c>
      <c r="L4071" s="19" t="str">
        <f>IFERROR(__xludf.DUMMYFUNCTION("""COMPUTED_VALUE"""),"-")</f>
        <v>-</v>
      </c>
      <c r="O4071" s="24">
        <f t="shared" si="4"/>
        <v>0</v>
      </c>
      <c r="P4071" s="24"/>
      <c r="Q4071" s="24">
        <f t="shared" si="6"/>
        <v>0</v>
      </c>
      <c r="R4071" s="24">
        <f t="shared" si="7"/>
        <v>0</v>
      </c>
      <c r="S4071" s="24"/>
      <c r="T4071" s="24"/>
    </row>
    <row r="4072">
      <c r="A4072" s="12" t="s">
        <v>4159</v>
      </c>
      <c r="F4072" s="19">
        <f>IFERROR(__xludf.DUMMYFUNCTION("SPLIT(A4068, "" |"")"),4066.0)</f>
        <v>4066</v>
      </c>
      <c r="G4072" s="19">
        <f>IFERROR(__xludf.DUMMYFUNCTION("""COMPUTED_VALUE"""),0.00238)</f>
        <v>0.00238</v>
      </c>
      <c r="H4072" s="19" t="str">
        <f>IFERROR(__xludf.DUMMYFUNCTION("""COMPUTED_VALUE"""),"-")</f>
        <v>-</v>
      </c>
      <c r="I4072" s="19">
        <f>IFERROR(__xludf.DUMMYFUNCTION("""COMPUTED_VALUE"""),0.00216)</f>
        <v>0.00216</v>
      </c>
      <c r="J4072" s="19">
        <f>IFERROR(__xludf.DUMMYFUNCTION("""COMPUTED_VALUE"""),0.0474)</f>
        <v>0.0474</v>
      </c>
      <c r="K4072" s="19" t="str">
        <f>IFERROR(__xludf.DUMMYFUNCTION("""COMPUTED_VALUE"""),"-")</f>
        <v>-</v>
      </c>
      <c r="L4072" s="19" t="str">
        <f>IFERROR(__xludf.DUMMYFUNCTION("""COMPUTED_VALUE"""),"-")</f>
        <v>-</v>
      </c>
      <c r="O4072" s="24">
        <f t="shared" si="4"/>
        <v>0</v>
      </c>
      <c r="P4072" s="24"/>
      <c r="Q4072" s="24">
        <f t="shared" si="6"/>
        <v>0</v>
      </c>
      <c r="R4072" s="24">
        <f t="shared" si="7"/>
        <v>0</v>
      </c>
      <c r="S4072" s="24"/>
      <c r="T4072" s="24"/>
    </row>
    <row r="4073">
      <c r="A4073" s="12" t="s">
        <v>4160</v>
      </c>
      <c r="F4073" s="19">
        <f>IFERROR(__xludf.DUMMYFUNCTION("SPLIT(A4069, "" |"")"),4067.0)</f>
        <v>4067</v>
      </c>
      <c r="G4073" s="19">
        <f>IFERROR(__xludf.DUMMYFUNCTION("""COMPUTED_VALUE"""),0.00239)</f>
        <v>0.00239</v>
      </c>
      <c r="H4073" s="19" t="str">
        <f>IFERROR(__xludf.DUMMYFUNCTION("""COMPUTED_VALUE"""),"-")</f>
        <v>-</v>
      </c>
      <c r="I4073" s="19">
        <f>IFERROR(__xludf.DUMMYFUNCTION("""COMPUTED_VALUE"""),0.00222)</f>
        <v>0.00222</v>
      </c>
      <c r="J4073" s="19">
        <f>IFERROR(__xludf.DUMMYFUNCTION("""COMPUTED_VALUE"""),0.04747)</f>
        <v>0.04747</v>
      </c>
      <c r="K4073" s="19" t="str">
        <f>IFERROR(__xludf.DUMMYFUNCTION("""COMPUTED_VALUE"""),"-")</f>
        <v>-</v>
      </c>
      <c r="L4073" s="19" t="str">
        <f>IFERROR(__xludf.DUMMYFUNCTION("""COMPUTED_VALUE"""),"-")</f>
        <v>-</v>
      </c>
      <c r="O4073" s="24">
        <f t="shared" si="4"/>
        <v>0</v>
      </c>
      <c r="P4073" s="24"/>
      <c r="Q4073" s="24">
        <f t="shared" si="6"/>
        <v>0</v>
      </c>
      <c r="R4073" s="24">
        <f t="shared" si="7"/>
        <v>0</v>
      </c>
      <c r="S4073" s="24"/>
      <c r="T4073" s="24"/>
    </row>
    <row r="4074">
      <c r="A4074" s="12" t="s">
        <v>4161</v>
      </c>
      <c r="F4074" s="19">
        <f>IFERROR(__xludf.DUMMYFUNCTION("SPLIT(A4070, "" |"")"),4068.0)</f>
        <v>4068</v>
      </c>
      <c r="G4074" s="19">
        <f>IFERROR(__xludf.DUMMYFUNCTION("""COMPUTED_VALUE"""),0.00231)</f>
        <v>0.00231</v>
      </c>
      <c r="H4074" s="19" t="str">
        <f>IFERROR(__xludf.DUMMYFUNCTION("""COMPUTED_VALUE"""),"-")</f>
        <v>-</v>
      </c>
      <c r="I4074" s="19">
        <f>IFERROR(__xludf.DUMMYFUNCTION("""COMPUTED_VALUE"""),0.00224)</f>
        <v>0.00224</v>
      </c>
      <c r="J4074" s="19">
        <f>IFERROR(__xludf.DUMMYFUNCTION("""COMPUTED_VALUE"""),0.04745)</f>
        <v>0.04745</v>
      </c>
      <c r="K4074" s="19" t="str">
        <f>IFERROR(__xludf.DUMMYFUNCTION("""COMPUTED_VALUE"""),"-")</f>
        <v>-</v>
      </c>
      <c r="L4074" s="19" t="str">
        <f>IFERROR(__xludf.DUMMYFUNCTION("""COMPUTED_VALUE"""),"-")</f>
        <v>-</v>
      </c>
      <c r="O4074" s="24">
        <f t="shared" si="4"/>
        <v>0</v>
      </c>
      <c r="P4074" s="24"/>
      <c r="Q4074" s="24">
        <f t="shared" si="6"/>
        <v>0</v>
      </c>
      <c r="R4074" s="24">
        <f t="shared" si="7"/>
        <v>0</v>
      </c>
      <c r="S4074" s="24"/>
      <c r="T4074" s="24"/>
    </row>
    <row r="4075">
      <c r="A4075" s="12" t="s">
        <v>4162</v>
      </c>
      <c r="F4075" s="19">
        <f>IFERROR(__xludf.DUMMYFUNCTION("SPLIT(A4071, "" |"")"),4069.0)</f>
        <v>4069</v>
      </c>
      <c r="G4075" s="19">
        <f>IFERROR(__xludf.DUMMYFUNCTION("""COMPUTED_VALUE"""),0.00236)</f>
        <v>0.00236</v>
      </c>
      <c r="H4075" s="19" t="str">
        <f>IFERROR(__xludf.DUMMYFUNCTION("""COMPUTED_VALUE"""),"-")</f>
        <v>-</v>
      </c>
      <c r="I4075" s="19">
        <f>IFERROR(__xludf.DUMMYFUNCTION("""COMPUTED_VALUE"""),0.00221)</f>
        <v>0.00221</v>
      </c>
      <c r="J4075" s="19">
        <f>IFERROR(__xludf.DUMMYFUNCTION("""COMPUTED_VALUE"""),0.04745)</f>
        <v>0.04745</v>
      </c>
      <c r="K4075" s="19" t="str">
        <f>IFERROR(__xludf.DUMMYFUNCTION("""COMPUTED_VALUE"""),"-")</f>
        <v>-</v>
      </c>
      <c r="L4075" s="19" t="str">
        <f>IFERROR(__xludf.DUMMYFUNCTION("""COMPUTED_VALUE"""),"-")</f>
        <v>-</v>
      </c>
      <c r="O4075" s="24">
        <f t="shared" si="4"/>
        <v>0</v>
      </c>
      <c r="P4075" s="24"/>
      <c r="Q4075" s="24">
        <f t="shared" si="6"/>
        <v>0</v>
      </c>
      <c r="R4075" s="24">
        <f t="shared" si="7"/>
        <v>0</v>
      </c>
      <c r="S4075" s="24"/>
      <c r="T4075" s="24"/>
    </row>
    <row r="4076">
      <c r="A4076" s="12" t="s">
        <v>4163</v>
      </c>
      <c r="F4076" s="19">
        <f>IFERROR(__xludf.DUMMYFUNCTION("SPLIT(A4072, "" |"")"),4070.0)</f>
        <v>4070</v>
      </c>
      <c r="G4076" s="19">
        <f>IFERROR(__xludf.DUMMYFUNCTION("""COMPUTED_VALUE"""),0.00235)</f>
        <v>0.00235</v>
      </c>
      <c r="H4076" s="19" t="str">
        <f>IFERROR(__xludf.DUMMYFUNCTION("""COMPUTED_VALUE"""),"-")</f>
        <v>-</v>
      </c>
      <c r="I4076" s="19">
        <f>IFERROR(__xludf.DUMMYFUNCTION("""COMPUTED_VALUE"""),0.00218)</f>
        <v>0.00218</v>
      </c>
      <c r="J4076" s="19">
        <f>IFERROR(__xludf.DUMMYFUNCTION("""COMPUTED_VALUE"""),0.04744)</f>
        <v>0.04744</v>
      </c>
      <c r="K4076" s="19" t="str">
        <f>IFERROR(__xludf.DUMMYFUNCTION("""COMPUTED_VALUE"""),"-")</f>
        <v>-</v>
      </c>
      <c r="L4076" s="19" t="str">
        <f>IFERROR(__xludf.DUMMYFUNCTION("""COMPUTED_VALUE"""),"-")</f>
        <v>-</v>
      </c>
      <c r="O4076" s="24">
        <f t="shared" si="4"/>
        <v>0</v>
      </c>
      <c r="P4076" s="24"/>
      <c r="Q4076" s="24">
        <f t="shared" si="6"/>
        <v>0</v>
      </c>
      <c r="R4076" s="24">
        <f t="shared" si="7"/>
        <v>0</v>
      </c>
      <c r="S4076" s="24"/>
      <c r="T4076" s="24"/>
    </row>
    <row r="4077">
      <c r="A4077" s="12" t="s">
        <v>4164</v>
      </c>
      <c r="F4077" s="19">
        <f>IFERROR(__xludf.DUMMYFUNCTION("SPLIT(A4073, "" |"")"),4071.0)</f>
        <v>4071</v>
      </c>
      <c r="G4077" s="19">
        <f>IFERROR(__xludf.DUMMYFUNCTION("""COMPUTED_VALUE"""),0.00231)</f>
        <v>0.00231</v>
      </c>
      <c r="H4077" s="19" t="str">
        <f>IFERROR(__xludf.DUMMYFUNCTION("""COMPUTED_VALUE"""),"-")</f>
        <v>-</v>
      </c>
      <c r="I4077" s="19">
        <f>IFERROR(__xludf.DUMMYFUNCTION("""COMPUTED_VALUE"""),0.00223)</f>
        <v>0.00223</v>
      </c>
      <c r="J4077" s="19">
        <f>IFERROR(__xludf.DUMMYFUNCTION("""COMPUTED_VALUE"""),0.04745)</f>
        <v>0.04745</v>
      </c>
      <c r="K4077" s="19" t="str">
        <f>IFERROR(__xludf.DUMMYFUNCTION("""COMPUTED_VALUE"""),"-")</f>
        <v>-</v>
      </c>
      <c r="L4077" s="19" t="str">
        <f>IFERROR(__xludf.DUMMYFUNCTION("""COMPUTED_VALUE"""),"-")</f>
        <v>-</v>
      </c>
      <c r="O4077" s="24">
        <f t="shared" si="4"/>
        <v>0</v>
      </c>
      <c r="P4077" s="24"/>
      <c r="Q4077" s="24">
        <f t="shared" si="6"/>
        <v>0</v>
      </c>
      <c r="R4077" s="24">
        <f t="shared" si="7"/>
        <v>0</v>
      </c>
      <c r="S4077" s="24"/>
      <c r="T4077" s="24"/>
    </row>
    <row r="4078">
      <c r="A4078" s="12" t="s">
        <v>4165</v>
      </c>
      <c r="F4078" s="19">
        <f>IFERROR(__xludf.DUMMYFUNCTION("SPLIT(A4074, "" |"")"),4072.0)</f>
        <v>4072</v>
      </c>
      <c r="G4078" s="19">
        <f>IFERROR(__xludf.DUMMYFUNCTION("""COMPUTED_VALUE"""),0.00233)</f>
        <v>0.00233</v>
      </c>
      <c r="H4078" s="19" t="str">
        <f>IFERROR(__xludf.DUMMYFUNCTION("""COMPUTED_VALUE"""),"-")</f>
        <v>-</v>
      </c>
      <c r="I4078" s="19">
        <f>IFERROR(__xludf.DUMMYFUNCTION("""COMPUTED_VALUE"""),0.00222)</f>
        <v>0.00222</v>
      </c>
      <c r="J4078" s="19">
        <f>IFERROR(__xludf.DUMMYFUNCTION("""COMPUTED_VALUE"""),0.04746)</f>
        <v>0.04746</v>
      </c>
      <c r="K4078" s="19" t="str">
        <f>IFERROR(__xludf.DUMMYFUNCTION("""COMPUTED_VALUE"""),"-")</f>
        <v>-</v>
      </c>
      <c r="L4078" s="19" t="str">
        <f>IFERROR(__xludf.DUMMYFUNCTION("""COMPUTED_VALUE"""),"-")</f>
        <v>-</v>
      </c>
      <c r="O4078" s="24">
        <f t="shared" si="4"/>
        <v>0</v>
      </c>
      <c r="P4078" s="24"/>
      <c r="Q4078" s="24">
        <f t="shared" si="6"/>
        <v>0</v>
      </c>
      <c r="R4078" s="24">
        <f t="shared" si="7"/>
        <v>0</v>
      </c>
      <c r="S4078" s="24"/>
      <c r="T4078" s="24"/>
    </row>
    <row r="4079">
      <c r="A4079" s="12" t="s">
        <v>4166</v>
      </c>
      <c r="F4079" s="19">
        <f>IFERROR(__xludf.DUMMYFUNCTION("SPLIT(A4075, "" |"")"),4073.0)</f>
        <v>4073</v>
      </c>
      <c r="G4079" s="19">
        <f>IFERROR(__xludf.DUMMYFUNCTION("""COMPUTED_VALUE"""),0.00234)</f>
        <v>0.00234</v>
      </c>
      <c r="H4079" s="19" t="str">
        <f>IFERROR(__xludf.DUMMYFUNCTION("""COMPUTED_VALUE"""),"-")</f>
        <v>-</v>
      </c>
      <c r="I4079" s="19">
        <f>IFERROR(__xludf.DUMMYFUNCTION("""COMPUTED_VALUE"""),0.00223)</f>
        <v>0.00223</v>
      </c>
      <c r="J4079" s="19">
        <f>IFERROR(__xludf.DUMMYFUNCTION("""COMPUTED_VALUE"""),0.04748)</f>
        <v>0.04748</v>
      </c>
      <c r="K4079" s="19" t="str">
        <f>IFERROR(__xludf.DUMMYFUNCTION("""COMPUTED_VALUE"""),"-")</f>
        <v>-</v>
      </c>
      <c r="L4079" s="19" t="str">
        <f>IFERROR(__xludf.DUMMYFUNCTION("""COMPUTED_VALUE"""),"-")</f>
        <v>-</v>
      </c>
      <c r="O4079" s="24">
        <f t="shared" si="4"/>
        <v>0</v>
      </c>
      <c r="P4079" s="24"/>
      <c r="Q4079" s="24">
        <f t="shared" si="6"/>
        <v>0</v>
      </c>
      <c r="R4079" s="24">
        <f t="shared" si="7"/>
        <v>0</v>
      </c>
      <c r="S4079" s="24"/>
      <c r="T4079" s="24"/>
    </row>
    <row r="4080">
      <c r="A4080" s="12" t="s">
        <v>4167</v>
      </c>
      <c r="F4080" s="19">
        <f>IFERROR(__xludf.DUMMYFUNCTION("SPLIT(A4076, "" |"")"),4074.0)</f>
        <v>4074</v>
      </c>
      <c r="G4080" s="19">
        <f>IFERROR(__xludf.DUMMYFUNCTION("""COMPUTED_VALUE"""),0.00237)</f>
        <v>0.00237</v>
      </c>
      <c r="H4080" s="19" t="str">
        <f>IFERROR(__xludf.DUMMYFUNCTION("""COMPUTED_VALUE"""),"-")</f>
        <v>-</v>
      </c>
      <c r="I4080" s="19">
        <f>IFERROR(__xludf.DUMMYFUNCTION("""COMPUTED_VALUE"""),0.00218)</f>
        <v>0.00218</v>
      </c>
      <c r="J4080" s="19">
        <f>IFERROR(__xludf.DUMMYFUNCTION("""COMPUTED_VALUE"""),0.04745)</f>
        <v>0.04745</v>
      </c>
      <c r="K4080" s="19" t="str">
        <f>IFERROR(__xludf.DUMMYFUNCTION("""COMPUTED_VALUE"""),"-")</f>
        <v>-</v>
      </c>
      <c r="L4080" s="19" t="str">
        <f>IFERROR(__xludf.DUMMYFUNCTION("""COMPUTED_VALUE"""),"-")</f>
        <v>-</v>
      </c>
      <c r="O4080" s="24">
        <f t="shared" si="4"/>
        <v>0</v>
      </c>
      <c r="P4080" s="24"/>
      <c r="Q4080" s="24">
        <f t="shared" si="6"/>
        <v>0</v>
      </c>
      <c r="R4080" s="24">
        <f t="shared" si="7"/>
        <v>0</v>
      </c>
      <c r="S4080" s="24"/>
      <c r="T4080" s="24"/>
    </row>
    <row r="4081">
      <c r="A4081" s="12" t="s">
        <v>4168</v>
      </c>
      <c r="F4081" s="19">
        <f>IFERROR(__xludf.DUMMYFUNCTION("SPLIT(A4077, "" |"")"),4075.0)</f>
        <v>4075</v>
      </c>
      <c r="G4081" s="19">
        <f>IFERROR(__xludf.DUMMYFUNCTION("""COMPUTED_VALUE"""),0.00236)</f>
        <v>0.00236</v>
      </c>
      <c r="H4081" s="19" t="str">
        <f>IFERROR(__xludf.DUMMYFUNCTION("""COMPUTED_VALUE"""),"-")</f>
        <v>-</v>
      </c>
      <c r="I4081" s="19">
        <f>IFERROR(__xludf.DUMMYFUNCTION("""COMPUTED_VALUE"""),0.00221)</f>
        <v>0.00221</v>
      </c>
      <c r="J4081" s="19">
        <f>IFERROR(__xludf.DUMMYFUNCTION("""COMPUTED_VALUE"""),0.04742)</f>
        <v>0.04742</v>
      </c>
      <c r="K4081" s="19" t="str">
        <f>IFERROR(__xludf.DUMMYFUNCTION("""COMPUTED_VALUE"""),"-")</f>
        <v>-</v>
      </c>
      <c r="L4081" s="19" t="str">
        <f>IFERROR(__xludf.DUMMYFUNCTION("""COMPUTED_VALUE"""),"-")</f>
        <v>-</v>
      </c>
      <c r="O4081" s="24">
        <f t="shared" si="4"/>
        <v>0</v>
      </c>
      <c r="P4081" s="24"/>
      <c r="Q4081" s="24">
        <f t="shared" si="6"/>
        <v>0</v>
      </c>
      <c r="R4081" s="24">
        <f t="shared" si="7"/>
        <v>0</v>
      </c>
      <c r="S4081" s="24"/>
      <c r="T4081" s="24"/>
    </row>
    <row r="4082">
      <c r="A4082" s="12" t="s">
        <v>4169</v>
      </c>
      <c r="F4082" s="19">
        <f>IFERROR(__xludf.DUMMYFUNCTION("SPLIT(A4078, "" |"")"),4076.0)</f>
        <v>4076</v>
      </c>
      <c r="G4082" s="19">
        <f>IFERROR(__xludf.DUMMYFUNCTION("""COMPUTED_VALUE"""),0.00236)</f>
        <v>0.00236</v>
      </c>
      <c r="H4082" s="19" t="str">
        <f>IFERROR(__xludf.DUMMYFUNCTION("""COMPUTED_VALUE"""),"-")</f>
        <v>-</v>
      </c>
      <c r="I4082" s="19">
        <f>IFERROR(__xludf.DUMMYFUNCTION("""COMPUTED_VALUE"""),0.00223)</f>
        <v>0.00223</v>
      </c>
      <c r="J4082" s="19">
        <f>IFERROR(__xludf.DUMMYFUNCTION("""COMPUTED_VALUE"""),0.04743)</f>
        <v>0.04743</v>
      </c>
      <c r="K4082" s="19" t="str">
        <f>IFERROR(__xludf.DUMMYFUNCTION("""COMPUTED_VALUE"""),"-")</f>
        <v>-</v>
      </c>
      <c r="L4082" s="19" t="str">
        <f>IFERROR(__xludf.DUMMYFUNCTION("""COMPUTED_VALUE"""),"-")</f>
        <v>-</v>
      </c>
      <c r="O4082" s="24">
        <f t="shared" si="4"/>
        <v>0</v>
      </c>
      <c r="P4082" s="24"/>
      <c r="Q4082" s="24">
        <f t="shared" si="6"/>
        <v>0</v>
      </c>
      <c r="R4082" s="24">
        <f t="shared" si="7"/>
        <v>0</v>
      </c>
      <c r="S4082" s="24"/>
      <c r="T4082" s="24"/>
    </row>
    <row r="4083">
      <c r="A4083" s="12" t="s">
        <v>4170</v>
      </c>
      <c r="F4083" s="19">
        <f>IFERROR(__xludf.DUMMYFUNCTION("SPLIT(A4079, "" |"")"),4077.0)</f>
        <v>4077</v>
      </c>
      <c r="G4083" s="19">
        <f>IFERROR(__xludf.DUMMYFUNCTION("""COMPUTED_VALUE"""),0.00229)</f>
        <v>0.00229</v>
      </c>
      <c r="H4083" s="19" t="str">
        <f>IFERROR(__xludf.DUMMYFUNCTION("""COMPUTED_VALUE"""),"-")</f>
        <v>-</v>
      </c>
      <c r="I4083" s="19">
        <f>IFERROR(__xludf.DUMMYFUNCTION("""COMPUTED_VALUE"""),0.00229)</f>
        <v>0.00229</v>
      </c>
      <c r="J4083" s="19">
        <f>IFERROR(__xludf.DUMMYFUNCTION("""COMPUTED_VALUE"""),0.04745)</f>
        <v>0.04745</v>
      </c>
      <c r="K4083" s="19" t="str">
        <f>IFERROR(__xludf.DUMMYFUNCTION("""COMPUTED_VALUE"""),"-")</f>
        <v>-</v>
      </c>
      <c r="L4083" s="19" t="str">
        <f>IFERROR(__xludf.DUMMYFUNCTION("""COMPUTED_VALUE"""),"-")</f>
        <v>-</v>
      </c>
      <c r="O4083" s="24">
        <f t="shared" si="4"/>
        <v>0</v>
      </c>
      <c r="P4083" s="24"/>
      <c r="Q4083" s="24">
        <f t="shared" si="6"/>
        <v>0</v>
      </c>
      <c r="R4083" s="24">
        <f t="shared" si="7"/>
        <v>0</v>
      </c>
      <c r="S4083" s="24"/>
      <c r="T4083" s="24"/>
    </row>
    <row r="4084">
      <c r="A4084" s="12" t="s">
        <v>4171</v>
      </c>
      <c r="F4084" s="19">
        <f>IFERROR(__xludf.DUMMYFUNCTION("SPLIT(A4080, "" |"")"),4078.0)</f>
        <v>4078</v>
      </c>
      <c r="G4084" s="19">
        <f>IFERROR(__xludf.DUMMYFUNCTION("""COMPUTED_VALUE"""),0.00235)</f>
        <v>0.00235</v>
      </c>
      <c r="H4084" s="19" t="str">
        <f>IFERROR(__xludf.DUMMYFUNCTION("""COMPUTED_VALUE"""),"-")</f>
        <v>-</v>
      </c>
      <c r="I4084" s="19">
        <f>IFERROR(__xludf.DUMMYFUNCTION("""COMPUTED_VALUE"""),0.00223)</f>
        <v>0.00223</v>
      </c>
      <c r="J4084" s="19">
        <f>IFERROR(__xludf.DUMMYFUNCTION("""COMPUTED_VALUE"""),0.04387)</f>
        <v>0.04387</v>
      </c>
      <c r="K4084" s="19" t="str">
        <f>IFERROR(__xludf.DUMMYFUNCTION("""COMPUTED_VALUE"""),"-")</f>
        <v>-</v>
      </c>
      <c r="L4084" s="19" t="str">
        <f>IFERROR(__xludf.DUMMYFUNCTION("""COMPUTED_VALUE"""),"-")</f>
        <v>-</v>
      </c>
      <c r="O4084" s="24">
        <f t="shared" si="4"/>
        <v>0</v>
      </c>
      <c r="P4084" s="24"/>
      <c r="Q4084" s="24">
        <f t="shared" si="6"/>
        <v>0</v>
      </c>
      <c r="R4084" s="24">
        <f t="shared" si="7"/>
        <v>1</v>
      </c>
      <c r="S4084" s="24"/>
      <c r="T4084" s="24"/>
    </row>
    <row r="4085">
      <c r="A4085" s="12" t="s">
        <v>4172</v>
      </c>
      <c r="F4085" s="19">
        <f>IFERROR(__xludf.DUMMYFUNCTION("SPLIT(A4081, "" |"")"),4079.0)</f>
        <v>4079</v>
      </c>
      <c r="G4085" s="19">
        <f>IFERROR(__xludf.DUMMYFUNCTION("""COMPUTED_VALUE"""),0.00255)</f>
        <v>0.00255</v>
      </c>
      <c r="H4085" s="19" t="str">
        <f>IFERROR(__xludf.DUMMYFUNCTION("""COMPUTED_VALUE"""),"-")</f>
        <v>-</v>
      </c>
      <c r="I4085" s="19">
        <f>IFERROR(__xludf.DUMMYFUNCTION("""COMPUTED_VALUE"""),0.00238)</f>
        <v>0.00238</v>
      </c>
      <c r="J4085" s="19">
        <f>IFERROR(__xludf.DUMMYFUNCTION("""COMPUTED_VALUE"""),0.04751)</f>
        <v>0.04751</v>
      </c>
      <c r="K4085" s="19" t="str">
        <f>IFERROR(__xludf.DUMMYFUNCTION("""COMPUTED_VALUE"""),"-")</f>
        <v>-</v>
      </c>
      <c r="L4085" s="19" t="str">
        <f>IFERROR(__xludf.DUMMYFUNCTION("""COMPUTED_VALUE"""),"-")</f>
        <v>-</v>
      </c>
      <c r="O4085" s="24">
        <f t="shared" si="4"/>
        <v>0</v>
      </c>
      <c r="P4085" s="24"/>
      <c r="Q4085" s="24">
        <f t="shared" si="6"/>
        <v>0</v>
      </c>
      <c r="R4085" s="24">
        <f t="shared" si="7"/>
        <v>0</v>
      </c>
      <c r="S4085" s="24"/>
      <c r="T4085" s="24"/>
    </row>
    <row r="4086">
      <c r="A4086" s="12" t="s">
        <v>4173</v>
      </c>
      <c r="F4086" s="19">
        <f>IFERROR(__xludf.DUMMYFUNCTION("SPLIT(A4082, "" |"")"),4080.0)</f>
        <v>4080</v>
      </c>
      <c r="G4086" s="19">
        <f>IFERROR(__xludf.DUMMYFUNCTION("""COMPUTED_VALUE"""),0.00244)</f>
        <v>0.00244</v>
      </c>
      <c r="H4086" s="19" t="str">
        <f>IFERROR(__xludf.DUMMYFUNCTION("""COMPUTED_VALUE"""),"-")</f>
        <v>-</v>
      </c>
      <c r="I4086" s="19">
        <f>IFERROR(__xludf.DUMMYFUNCTION("""COMPUTED_VALUE"""),0.0023)</f>
        <v>0.0023</v>
      </c>
      <c r="J4086" s="19">
        <f>IFERROR(__xludf.DUMMYFUNCTION("""COMPUTED_VALUE"""),0.04742)</f>
        <v>0.04742</v>
      </c>
      <c r="K4086" s="19" t="str">
        <f>IFERROR(__xludf.DUMMYFUNCTION("""COMPUTED_VALUE"""),"-")</f>
        <v>-</v>
      </c>
      <c r="L4086" s="19" t="str">
        <f>IFERROR(__xludf.DUMMYFUNCTION("""COMPUTED_VALUE"""),"-")</f>
        <v>-</v>
      </c>
      <c r="O4086" s="24">
        <f t="shared" si="4"/>
        <v>0</v>
      </c>
      <c r="P4086" s="24"/>
      <c r="Q4086" s="24">
        <f t="shared" si="6"/>
        <v>0</v>
      </c>
      <c r="R4086" s="24">
        <f t="shared" si="7"/>
        <v>0</v>
      </c>
      <c r="S4086" s="24"/>
      <c r="T4086" s="24"/>
    </row>
    <row r="4087">
      <c r="A4087" s="12" t="s">
        <v>4174</v>
      </c>
      <c r="F4087" s="19">
        <f>IFERROR(__xludf.DUMMYFUNCTION("SPLIT(A4083, "" |"")"),4081.0)</f>
        <v>4081</v>
      </c>
      <c r="G4087" s="19">
        <f>IFERROR(__xludf.DUMMYFUNCTION("""COMPUTED_VALUE"""),0.00229)</f>
        <v>0.00229</v>
      </c>
      <c r="H4087" s="19" t="str">
        <f>IFERROR(__xludf.DUMMYFUNCTION("""COMPUTED_VALUE"""),"-")</f>
        <v>-</v>
      </c>
      <c r="I4087" s="19">
        <f>IFERROR(__xludf.DUMMYFUNCTION("""COMPUTED_VALUE"""),0.00226)</f>
        <v>0.00226</v>
      </c>
      <c r="J4087" s="19">
        <f>IFERROR(__xludf.DUMMYFUNCTION("""COMPUTED_VALUE"""),0.04702)</f>
        <v>0.04702</v>
      </c>
      <c r="K4087" s="19" t="str">
        <f>IFERROR(__xludf.DUMMYFUNCTION("""COMPUTED_VALUE"""),"-")</f>
        <v>-</v>
      </c>
      <c r="L4087" s="19" t="str">
        <f>IFERROR(__xludf.DUMMYFUNCTION("""COMPUTED_VALUE"""),"-")</f>
        <v>-</v>
      </c>
      <c r="O4087" s="24">
        <f t="shared" si="4"/>
        <v>0</v>
      </c>
      <c r="P4087" s="24"/>
      <c r="Q4087" s="24">
        <f t="shared" si="6"/>
        <v>0</v>
      </c>
      <c r="R4087" s="24">
        <f t="shared" si="7"/>
        <v>0</v>
      </c>
      <c r="S4087" s="24"/>
      <c r="T4087" s="24"/>
    </row>
    <row r="4088">
      <c r="A4088" s="12" t="s">
        <v>4175</v>
      </c>
      <c r="F4088" s="19">
        <f>IFERROR(__xludf.DUMMYFUNCTION("SPLIT(A4084, "" |"")"),4082.0)</f>
        <v>4082</v>
      </c>
      <c r="G4088" s="19">
        <f>IFERROR(__xludf.DUMMYFUNCTION("""COMPUTED_VALUE"""),0.0024)</f>
        <v>0.0024</v>
      </c>
      <c r="H4088" s="19" t="str">
        <f>IFERROR(__xludf.DUMMYFUNCTION("""COMPUTED_VALUE"""),"-")</f>
        <v>-</v>
      </c>
      <c r="I4088" s="19">
        <f>IFERROR(__xludf.DUMMYFUNCTION("""COMPUTED_VALUE"""),0.00219)</f>
        <v>0.00219</v>
      </c>
      <c r="J4088" s="19">
        <f>IFERROR(__xludf.DUMMYFUNCTION("""COMPUTED_VALUE"""),0.04658)</f>
        <v>0.04658</v>
      </c>
      <c r="K4088" s="19" t="str">
        <f>IFERROR(__xludf.DUMMYFUNCTION("""COMPUTED_VALUE"""),"-")</f>
        <v>-</v>
      </c>
      <c r="L4088" s="19" t="str">
        <f>IFERROR(__xludf.DUMMYFUNCTION("""COMPUTED_VALUE"""),"-")</f>
        <v>-</v>
      </c>
      <c r="O4088" s="24">
        <f t="shared" si="4"/>
        <v>0</v>
      </c>
      <c r="P4088" s="24"/>
      <c r="Q4088" s="24">
        <f t="shared" si="6"/>
        <v>0</v>
      </c>
      <c r="R4088" s="24">
        <f t="shared" si="7"/>
        <v>0</v>
      </c>
      <c r="S4088" s="24"/>
      <c r="T4088" s="24"/>
    </row>
    <row r="4089">
      <c r="A4089" s="12" t="s">
        <v>4176</v>
      </c>
      <c r="F4089" s="19">
        <f>IFERROR(__xludf.DUMMYFUNCTION("SPLIT(A4085, "" |"")"),4083.0)</f>
        <v>4083</v>
      </c>
      <c r="G4089" s="19">
        <f>IFERROR(__xludf.DUMMYFUNCTION("""COMPUTED_VALUE"""),0.00229)</f>
        <v>0.00229</v>
      </c>
      <c r="H4089" s="19" t="str">
        <f>IFERROR(__xludf.DUMMYFUNCTION("""COMPUTED_VALUE"""),"-")</f>
        <v>-</v>
      </c>
      <c r="I4089" s="19">
        <f>IFERROR(__xludf.DUMMYFUNCTION("""COMPUTED_VALUE"""),0.00214)</f>
        <v>0.00214</v>
      </c>
      <c r="J4089" s="19">
        <f>IFERROR(__xludf.DUMMYFUNCTION("""COMPUTED_VALUE"""),0.0396)</f>
        <v>0.0396</v>
      </c>
      <c r="K4089" s="19" t="str">
        <f>IFERROR(__xludf.DUMMYFUNCTION("""COMPUTED_VALUE"""),"-")</f>
        <v>-</v>
      </c>
      <c r="L4089" s="19" t="str">
        <f>IFERROR(__xludf.DUMMYFUNCTION("""COMPUTED_VALUE"""),"-")</f>
        <v>-</v>
      </c>
      <c r="O4089" s="24">
        <f t="shared" si="4"/>
        <v>0</v>
      </c>
      <c r="P4089" s="24"/>
      <c r="Q4089" s="24">
        <f t="shared" si="6"/>
        <v>0</v>
      </c>
      <c r="R4089" s="24">
        <f t="shared" si="7"/>
        <v>1</v>
      </c>
      <c r="S4089" s="24"/>
      <c r="T4089" s="24"/>
    </row>
    <row r="4090">
      <c r="A4090" s="12" t="s">
        <v>4177</v>
      </c>
      <c r="F4090" s="19">
        <f>IFERROR(__xludf.DUMMYFUNCTION("SPLIT(A4086, "" |"")"),4084.0)</f>
        <v>4084</v>
      </c>
      <c r="G4090" s="19">
        <f>IFERROR(__xludf.DUMMYFUNCTION("""COMPUTED_VALUE"""),0.00232)</f>
        <v>0.00232</v>
      </c>
      <c r="H4090" s="19" t="str">
        <f>IFERROR(__xludf.DUMMYFUNCTION("""COMPUTED_VALUE"""),"-")</f>
        <v>-</v>
      </c>
      <c r="I4090" s="19">
        <f>IFERROR(__xludf.DUMMYFUNCTION("""COMPUTED_VALUE"""),0.00219)</f>
        <v>0.00219</v>
      </c>
      <c r="J4090" s="19">
        <f>IFERROR(__xludf.DUMMYFUNCTION("""COMPUTED_VALUE"""),0.04732)</f>
        <v>0.04732</v>
      </c>
      <c r="K4090" s="19" t="str">
        <f>IFERROR(__xludf.DUMMYFUNCTION("""COMPUTED_VALUE"""),"-")</f>
        <v>-</v>
      </c>
      <c r="L4090" s="19" t="str">
        <f>IFERROR(__xludf.DUMMYFUNCTION("""COMPUTED_VALUE"""),"-")</f>
        <v>-</v>
      </c>
      <c r="O4090" s="24">
        <f t="shared" si="4"/>
        <v>0</v>
      </c>
      <c r="P4090" s="24"/>
      <c r="Q4090" s="24">
        <f t="shared" si="6"/>
        <v>0</v>
      </c>
      <c r="R4090" s="24">
        <f t="shared" si="7"/>
        <v>0</v>
      </c>
      <c r="S4090" s="24"/>
      <c r="T4090" s="24"/>
    </row>
    <row r="4091">
      <c r="A4091" s="12" t="s">
        <v>4178</v>
      </c>
      <c r="F4091" s="19">
        <f>IFERROR(__xludf.DUMMYFUNCTION("SPLIT(A4087, "" |"")"),4085.0)</f>
        <v>4085</v>
      </c>
      <c r="G4091" s="19">
        <f>IFERROR(__xludf.DUMMYFUNCTION("""COMPUTED_VALUE"""),0.00235)</f>
        <v>0.00235</v>
      </c>
      <c r="H4091" s="19" t="str">
        <f>IFERROR(__xludf.DUMMYFUNCTION("""COMPUTED_VALUE"""),"-")</f>
        <v>-</v>
      </c>
      <c r="I4091" s="19">
        <f>IFERROR(__xludf.DUMMYFUNCTION("""COMPUTED_VALUE"""),0.00219)</f>
        <v>0.00219</v>
      </c>
      <c r="J4091" s="19">
        <f>IFERROR(__xludf.DUMMYFUNCTION("""COMPUTED_VALUE"""),0.04744)</f>
        <v>0.04744</v>
      </c>
      <c r="K4091" s="19" t="str">
        <f>IFERROR(__xludf.DUMMYFUNCTION("""COMPUTED_VALUE"""),"-")</f>
        <v>-</v>
      </c>
      <c r="L4091" s="19" t="str">
        <f>IFERROR(__xludf.DUMMYFUNCTION("""COMPUTED_VALUE"""),"-")</f>
        <v>-</v>
      </c>
      <c r="O4091" s="24">
        <f t="shared" si="4"/>
        <v>0</v>
      </c>
      <c r="P4091" s="24"/>
      <c r="Q4091" s="24">
        <f t="shared" si="6"/>
        <v>0</v>
      </c>
      <c r="R4091" s="24">
        <f t="shared" si="7"/>
        <v>0</v>
      </c>
      <c r="S4091" s="24"/>
      <c r="T4091" s="24"/>
    </row>
    <row r="4092">
      <c r="A4092" s="12" t="s">
        <v>4179</v>
      </c>
      <c r="F4092" s="19">
        <f>IFERROR(__xludf.DUMMYFUNCTION("SPLIT(A4088, "" |"")"),4086.0)</f>
        <v>4086</v>
      </c>
      <c r="G4092" s="19">
        <f>IFERROR(__xludf.DUMMYFUNCTION("""COMPUTED_VALUE"""),0.00221)</f>
        <v>0.00221</v>
      </c>
      <c r="H4092" s="19" t="str">
        <f>IFERROR(__xludf.DUMMYFUNCTION("""COMPUTED_VALUE"""),"-")</f>
        <v>-</v>
      </c>
      <c r="I4092" s="19">
        <f>IFERROR(__xludf.DUMMYFUNCTION("""COMPUTED_VALUE"""),0.00209)</f>
        <v>0.00209</v>
      </c>
      <c r="J4092" s="19">
        <f>IFERROR(__xludf.DUMMYFUNCTION("""COMPUTED_VALUE"""),0.04735)</f>
        <v>0.04735</v>
      </c>
      <c r="K4092" s="19" t="str">
        <f>IFERROR(__xludf.DUMMYFUNCTION("""COMPUTED_VALUE"""),"-")</f>
        <v>-</v>
      </c>
      <c r="L4092" s="19" t="str">
        <f>IFERROR(__xludf.DUMMYFUNCTION("""COMPUTED_VALUE"""),"-")</f>
        <v>-</v>
      </c>
      <c r="O4092" s="24">
        <f t="shared" si="4"/>
        <v>0</v>
      </c>
      <c r="P4092" s="24"/>
      <c r="Q4092" s="24">
        <f t="shared" si="6"/>
        <v>0</v>
      </c>
      <c r="R4092" s="24">
        <f t="shared" si="7"/>
        <v>0</v>
      </c>
      <c r="S4092" s="24"/>
      <c r="T4092" s="24"/>
    </row>
    <row r="4093">
      <c r="A4093" s="12" t="s">
        <v>4180</v>
      </c>
      <c r="F4093" s="19">
        <f>IFERROR(__xludf.DUMMYFUNCTION("SPLIT(A4089, "" |"")"),4087.0)</f>
        <v>4087</v>
      </c>
      <c r="G4093" s="19">
        <f>IFERROR(__xludf.DUMMYFUNCTION("""COMPUTED_VALUE"""),0.00237)</f>
        <v>0.00237</v>
      </c>
      <c r="H4093" s="19" t="str">
        <f>IFERROR(__xludf.DUMMYFUNCTION("""COMPUTED_VALUE"""),"-")</f>
        <v>-</v>
      </c>
      <c r="I4093" s="19">
        <f>IFERROR(__xludf.DUMMYFUNCTION("""COMPUTED_VALUE"""),0.00229)</f>
        <v>0.00229</v>
      </c>
      <c r="J4093" s="19">
        <f>IFERROR(__xludf.DUMMYFUNCTION("""COMPUTED_VALUE"""),0.04742)</f>
        <v>0.04742</v>
      </c>
      <c r="K4093" s="19" t="str">
        <f>IFERROR(__xludf.DUMMYFUNCTION("""COMPUTED_VALUE"""),"-")</f>
        <v>-</v>
      </c>
      <c r="L4093" s="19" t="str">
        <f>IFERROR(__xludf.DUMMYFUNCTION("""COMPUTED_VALUE"""),"-")</f>
        <v>-</v>
      </c>
      <c r="O4093" s="24">
        <f t="shared" si="4"/>
        <v>0</v>
      </c>
      <c r="P4093" s="24"/>
      <c r="Q4093" s="24">
        <f t="shared" si="6"/>
        <v>0</v>
      </c>
      <c r="R4093" s="24">
        <f t="shared" si="7"/>
        <v>0</v>
      </c>
      <c r="S4093" s="24"/>
      <c r="T4093" s="24"/>
    </row>
    <row r="4094">
      <c r="A4094" s="12" t="s">
        <v>4181</v>
      </c>
      <c r="F4094" s="19">
        <f>IFERROR(__xludf.DUMMYFUNCTION("SPLIT(A4090, "" |"")"),4088.0)</f>
        <v>4088</v>
      </c>
      <c r="G4094" s="19">
        <f>IFERROR(__xludf.DUMMYFUNCTION("""COMPUTED_VALUE"""),0.00237)</f>
        <v>0.00237</v>
      </c>
      <c r="H4094" s="19" t="str">
        <f>IFERROR(__xludf.DUMMYFUNCTION("""COMPUTED_VALUE"""),"-")</f>
        <v>-</v>
      </c>
      <c r="I4094" s="19">
        <f>IFERROR(__xludf.DUMMYFUNCTION("""COMPUTED_VALUE"""),0.00223)</f>
        <v>0.00223</v>
      </c>
      <c r="J4094" s="19">
        <f>IFERROR(__xludf.DUMMYFUNCTION("""COMPUTED_VALUE"""),0.04754)</f>
        <v>0.04754</v>
      </c>
      <c r="K4094" s="19" t="str">
        <f>IFERROR(__xludf.DUMMYFUNCTION("""COMPUTED_VALUE"""),"-")</f>
        <v>-</v>
      </c>
      <c r="L4094" s="19" t="str">
        <f>IFERROR(__xludf.DUMMYFUNCTION("""COMPUTED_VALUE"""),"-")</f>
        <v>-</v>
      </c>
      <c r="O4094" s="24">
        <f t="shared" si="4"/>
        <v>0</v>
      </c>
      <c r="P4094" s="24"/>
      <c r="Q4094" s="24">
        <f t="shared" si="6"/>
        <v>0</v>
      </c>
      <c r="R4094" s="24">
        <f t="shared" si="7"/>
        <v>0</v>
      </c>
      <c r="S4094" s="24"/>
      <c r="T4094" s="24"/>
    </row>
    <row r="4095">
      <c r="A4095" s="12" t="s">
        <v>4182</v>
      </c>
      <c r="F4095" s="19">
        <f>IFERROR(__xludf.DUMMYFUNCTION("SPLIT(A4091, "" |"")"),4089.0)</f>
        <v>4089</v>
      </c>
      <c r="G4095" s="19">
        <f>IFERROR(__xludf.DUMMYFUNCTION("""COMPUTED_VALUE"""),0.00233)</f>
        <v>0.00233</v>
      </c>
      <c r="H4095" s="19" t="str">
        <f>IFERROR(__xludf.DUMMYFUNCTION("""COMPUTED_VALUE"""),"-")</f>
        <v>-</v>
      </c>
      <c r="I4095" s="19">
        <f>IFERROR(__xludf.DUMMYFUNCTION("""COMPUTED_VALUE"""),0.00217)</f>
        <v>0.00217</v>
      </c>
      <c r="J4095" s="19">
        <f>IFERROR(__xludf.DUMMYFUNCTION("""COMPUTED_VALUE"""),0.04731)</f>
        <v>0.04731</v>
      </c>
      <c r="K4095" s="19" t="str">
        <f>IFERROR(__xludf.DUMMYFUNCTION("""COMPUTED_VALUE"""),"-")</f>
        <v>-</v>
      </c>
      <c r="L4095" s="19" t="str">
        <f>IFERROR(__xludf.DUMMYFUNCTION("""COMPUTED_VALUE"""),"-")</f>
        <v>-</v>
      </c>
      <c r="O4095" s="24">
        <f t="shared" si="4"/>
        <v>0</v>
      </c>
      <c r="P4095" s="24"/>
      <c r="Q4095" s="24">
        <f t="shared" si="6"/>
        <v>0</v>
      </c>
      <c r="R4095" s="24">
        <f t="shared" si="7"/>
        <v>0</v>
      </c>
      <c r="S4095" s="24"/>
      <c r="T4095" s="24"/>
    </row>
    <row r="4096">
      <c r="A4096" s="12" t="s">
        <v>4183</v>
      </c>
      <c r="F4096" s="19">
        <f>IFERROR(__xludf.DUMMYFUNCTION("SPLIT(A4092, "" |"")"),4090.0)</f>
        <v>4090</v>
      </c>
      <c r="G4096" s="19">
        <f>IFERROR(__xludf.DUMMYFUNCTION("""COMPUTED_VALUE"""),0.00238)</f>
        <v>0.00238</v>
      </c>
      <c r="H4096" s="19" t="str">
        <f>IFERROR(__xludf.DUMMYFUNCTION("""COMPUTED_VALUE"""),"-")</f>
        <v>-</v>
      </c>
      <c r="I4096" s="19">
        <f>IFERROR(__xludf.DUMMYFUNCTION("""COMPUTED_VALUE"""),0.00223)</f>
        <v>0.00223</v>
      </c>
      <c r="J4096" s="19">
        <f>IFERROR(__xludf.DUMMYFUNCTION("""COMPUTED_VALUE"""),0.04742)</f>
        <v>0.04742</v>
      </c>
      <c r="K4096" s="19" t="str">
        <f>IFERROR(__xludf.DUMMYFUNCTION("""COMPUTED_VALUE"""),"-")</f>
        <v>-</v>
      </c>
      <c r="L4096" s="19" t="str">
        <f>IFERROR(__xludf.DUMMYFUNCTION("""COMPUTED_VALUE"""),"-")</f>
        <v>-</v>
      </c>
      <c r="O4096" s="24">
        <f t="shared" si="4"/>
        <v>0</v>
      </c>
      <c r="P4096" s="24"/>
      <c r="Q4096" s="24">
        <f t="shared" si="6"/>
        <v>0</v>
      </c>
      <c r="R4096" s="24">
        <f t="shared" si="7"/>
        <v>0</v>
      </c>
      <c r="S4096" s="24"/>
      <c r="T4096" s="24"/>
    </row>
    <row r="4097">
      <c r="A4097" s="12" t="s">
        <v>4184</v>
      </c>
      <c r="F4097" s="19">
        <f>IFERROR(__xludf.DUMMYFUNCTION("SPLIT(A4093, "" |"")"),4091.0)</f>
        <v>4091</v>
      </c>
      <c r="G4097" s="19">
        <f>IFERROR(__xludf.DUMMYFUNCTION("""COMPUTED_VALUE"""),0.00232)</f>
        <v>0.00232</v>
      </c>
      <c r="H4097" s="19" t="str">
        <f>IFERROR(__xludf.DUMMYFUNCTION("""COMPUTED_VALUE"""),"-")</f>
        <v>-</v>
      </c>
      <c r="I4097" s="19">
        <f>IFERROR(__xludf.DUMMYFUNCTION("""COMPUTED_VALUE"""),0.0022)</f>
        <v>0.0022</v>
      </c>
      <c r="J4097" s="19">
        <f>IFERROR(__xludf.DUMMYFUNCTION("""COMPUTED_VALUE"""),0.04743)</f>
        <v>0.04743</v>
      </c>
      <c r="K4097" s="19" t="str">
        <f>IFERROR(__xludf.DUMMYFUNCTION("""COMPUTED_VALUE"""),"-")</f>
        <v>-</v>
      </c>
      <c r="L4097" s="19" t="str">
        <f>IFERROR(__xludf.DUMMYFUNCTION("""COMPUTED_VALUE"""),"-")</f>
        <v>-</v>
      </c>
      <c r="O4097" s="24">
        <f t="shared" si="4"/>
        <v>0</v>
      </c>
      <c r="P4097" s="24"/>
      <c r="Q4097" s="24">
        <f t="shared" si="6"/>
        <v>0</v>
      </c>
      <c r="R4097" s="24">
        <f t="shared" si="7"/>
        <v>0</v>
      </c>
      <c r="S4097" s="24"/>
      <c r="T4097" s="24"/>
    </row>
    <row r="4098">
      <c r="A4098" s="12" t="s">
        <v>4185</v>
      </c>
      <c r="F4098" s="19">
        <f>IFERROR(__xludf.DUMMYFUNCTION("SPLIT(A4094, "" |"")"),4092.0)</f>
        <v>4092</v>
      </c>
      <c r="G4098" s="19">
        <f>IFERROR(__xludf.DUMMYFUNCTION("""COMPUTED_VALUE"""),0.0023)</f>
        <v>0.0023</v>
      </c>
      <c r="H4098" s="19" t="str">
        <f>IFERROR(__xludf.DUMMYFUNCTION("""COMPUTED_VALUE"""),"-")</f>
        <v>-</v>
      </c>
      <c r="I4098" s="19">
        <f>IFERROR(__xludf.DUMMYFUNCTION("""COMPUTED_VALUE"""),0.00221)</f>
        <v>0.00221</v>
      </c>
      <c r="J4098" s="19">
        <f>IFERROR(__xludf.DUMMYFUNCTION("""COMPUTED_VALUE"""),0.04747)</f>
        <v>0.04747</v>
      </c>
      <c r="K4098" s="19" t="str">
        <f>IFERROR(__xludf.DUMMYFUNCTION("""COMPUTED_VALUE"""),"-")</f>
        <v>-</v>
      </c>
      <c r="L4098" s="19" t="str">
        <f>IFERROR(__xludf.DUMMYFUNCTION("""COMPUTED_VALUE"""),"-")</f>
        <v>-</v>
      </c>
      <c r="O4098" s="24">
        <f t="shared" si="4"/>
        <v>0</v>
      </c>
      <c r="P4098" s="24"/>
      <c r="Q4098" s="24">
        <f t="shared" si="6"/>
        <v>0</v>
      </c>
      <c r="R4098" s="24">
        <f t="shared" si="7"/>
        <v>0</v>
      </c>
      <c r="S4098" s="24"/>
      <c r="T4098" s="24"/>
    </row>
    <row r="4099">
      <c r="A4099" s="12" t="s">
        <v>4186</v>
      </c>
      <c r="F4099" s="19">
        <f>IFERROR(__xludf.DUMMYFUNCTION("SPLIT(A4095, "" |"")"),4093.0)</f>
        <v>4093</v>
      </c>
      <c r="G4099" s="19">
        <f>IFERROR(__xludf.DUMMYFUNCTION("""COMPUTED_VALUE"""),0.00234)</f>
        <v>0.00234</v>
      </c>
      <c r="H4099" s="19" t="str">
        <f>IFERROR(__xludf.DUMMYFUNCTION("""COMPUTED_VALUE"""),"-")</f>
        <v>-</v>
      </c>
      <c r="I4099" s="19">
        <f>IFERROR(__xludf.DUMMYFUNCTION("""COMPUTED_VALUE"""),0.00221)</f>
        <v>0.00221</v>
      </c>
      <c r="J4099" s="19">
        <f>IFERROR(__xludf.DUMMYFUNCTION("""COMPUTED_VALUE"""),0.04746)</f>
        <v>0.04746</v>
      </c>
      <c r="K4099" s="19" t="str">
        <f>IFERROR(__xludf.DUMMYFUNCTION("""COMPUTED_VALUE"""),"-")</f>
        <v>-</v>
      </c>
      <c r="L4099" s="19" t="str">
        <f>IFERROR(__xludf.DUMMYFUNCTION("""COMPUTED_VALUE"""),"-")</f>
        <v>-</v>
      </c>
      <c r="O4099" s="24">
        <f t="shared" si="4"/>
        <v>0</v>
      </c>
      <c r="P4099" s="24"/>
      <c r="Q4099" s="24">
        <f t="shared" si="6"/>
        <v>0</v>
      </c>
      <c r="R4099" s="24">
        <f t="shared" si="7"/>
        <v>0</v>
      </c>
      <c r="S4099" s="24"/>
      <c r="T4099" s="24"/>
    </row>
    <row r="4100">
      <c r="A4100" s="12" t="s">
        <v>4187</v>
      </c>
      <c r="F4100" s="19">
        <f>IFERROR(__xludf.DUMMYFUNCTION("SPLIT(A4096, "" |"")"),4094.0)</f>
        <v>4094</v>
      </c>
      <c r="G4100" s="19">
        <f>IFERROR(__xludf.DUMMYFUNCTION("""COMPUTED_VALUE"""),0.00237)</f>
        <v>0.00237</v>
      </c>
      <c r="H4100" s="19" t="str">
        <f>IFERROR(__xludf.DUMMYFUNCTION("""COMPUTED_VALUE"""),"-")</f>
        <v>-</v>
      </c>
      <c r="I4100" s="19">
        <f>IFERROR(__xludf.DUMMYFUNCTION("""COMPUTED_VALUE"""),0.00218)</f>
        <v>0.00218</v>
      </c>
      <c r="J4100" s="19">
        <f>IFERROR(__xludf.DUMMYFUNCTION("""COMPUTED_VALUE"""),0.04745)</f>
        <v>0.04745</v>
      </c>
      <c r="K4100" s="19" t="str">
        <f>IFERROR(__xludf.DUMMYFUNCTION("""COMPUTED_VALUE"""),"-")</f>
        <v>-</v>
      </c>
      <c r="L4100" s="19" t="str">
        <f>IFERROR(__xludf.DUMMYFUNCTION("""COMPUTED_VALUE"""),"-")</f>
        <v>-</v>
      </c>
      <c r="O4100" s="24">
        <f t="shared" si="4"/>
        <v>0</v>
      </c>
      <c r="P4100" s="24"/>
      <c r="Q4100" s="24">
        <f t="shared" si="6"/>
        <v>0</v>
      </c>
      <c r="R4100" s="24">
        <f t="shared" si="7"/>
        <v>0</v>
      </c>
      <c r="S4100" s="24"/>
      <c r="T4100" s="24"/>
    </row>
    <row r="4101">
      <c r="A4101" s="12" t="s">
        <v>4188</v>
      </c>
      <c r="F4101" s="19">
        <f>IFERROR(__xludf.DUMMYFUNCTION("SPLIT(A4097, "" |"")"),4095.0)</f>
        <v>4095</v>
      </c>
      <c r="G4101" s="19">
        <f>IFERROR(__xludf.DUMMYFUNCTION("""COMPUTED_VALUE"""),0.00235)</f>
        <v>0.00235</v>
      </c>
      <c r="H4101" s="19" t="str">
        <f>IFERROR(__xludf.DUMMYFUNCTION("""COMPUTED_VALUE"""),"-")</f>
        <v>-</v>
      </c>
      <c r="I4101" s="19">
        <f>IFERROR(__xludf.DUMMYFUNCTION("""COMPUTED_VALUE"""),0.0022)</f>
        <v>0.0022</v>
      </c>
      <c r="J4101" s="19">
        <f>IFERROR(__xludf.DUMMYFUNCTION("""COMPUTED_VALUE"""),0.04743)</f>
        <v>0.04743</v>
      </c>
      <c r="K4101" s="19" t="str">
        <f>IFERROR(__xludf.DUMMYFUNCTION("""COMPUTED_VALUE"""),"-")</f>
        <v>-</v>
      </c>
      <c r="L4101" s="19" t="str">
        <f>IFERROR(__xludf.DUMMYFUNCTION("""COMPUTED_VALUE"""),"-")</f>
        <v>-</v>
      </c>
      <c r="O4101" s="24">
        <f t="shared" si="4"/>
        <v>0</v>
      </c>
      <c r="P4101" s="24"/>
      <c r="Q4101" s="24">
        <f t="shared" si="6"/>
        <v>0</v>
      </c>
      <c r="R4101" s="24">
        <f t="shared" si="7"/>
        <v>0</v>
      </c>
      <c r="S4101" s="24"/>
      <c r="T4101" s="24"/>
    </row>
    <row r="4102">
      <c r="A4102" s="12" t="s">
        <v>4189</v>
      </c>
      <c r="F4102" s="19">
        <f>IFERROR(__xludf.DUMMYFUNCTION("SPLIT(A4098, "" |"")"),4096.0)</f>
        <v>4096</v>
      </c>
      <c r="G4102" s="19">
        <f>IFERROR(__xludf.DUMMYFUNCTION("""COMPUTED_VALUE"""),0.00237)</f>
        <v>0.00237</v>
      </c>
      <c r="H4102" s="19" t="str">
        <f>IFERROR(__xludf.DUMMYFUNCTION("""COMPUTED_VALUE"""),"-")</f>
        <v>-</v>
      </c>
      <c r="I4102" s="19">
        <f>IFERROR(__xludf.DUMMYFUNCTION("""COMPUTED_VALUE"""),0.00222)</f>
        <v>0.00222</v>
      </c>
      <c r="J4102" s="19">
        <f>IFERROR(__xludf.DUMMYFUNCTION("""COMPUTED_VALUE"""),0.04739)</f>
        <v>0.04739</v>
      </c>
      <c r="K4102" s="19" t="str">
        <f>IFERROR(__xludf.DUMMYFUNCTION("""COMPUTED_VALUE"""),"-")</f>
        <v>-</v>
      </c>
      <c r="L4102" s="19" t="str">
        <f>IFERROR(__xludf.DUMMYFUNCTION("""COMPUTED_VALUE"""),"-")</f>
        <v>-</v>
      </c>
      <c r="O4102" s="24">
        <f t="shared" si="4"/>
        <v>0</v>
      </c>
      <c r="P4102" s="24"/>
      <c r="Q4102" s="24">
        <f t="shared" si="6"/>
        <v>0</v>
      </c>
      <c r="R4102" s="24">
        <f t="shared" si="7"/>
        <v>0</v>
      </c>
      <c r="S4102" s="24"/>
      <c r="T4102" s="24"/>
    </row>
    <row r="4103">
      <c r="A4103" s="12" t="s">
        <v>4190</v>
      </c>
      <c r="F4103" s="19">
        <f>IFERROR(__xludf.DUMMYFUNCTION("SPLIT(A4099, "" |"")"),4097.0)</f>
        <v>4097</v>
      </c>
      <c r="G4103" s="19">
        <f>IFERROR(__xludf.DUMMYFUNCTION("""COMPUTED_VALUE"""),0.00234)</f>
        <v>0.00234</v>
      </c>
      <c r="H4103" s="19" t="str">
        <f>IFERROR(__xludf.DUMMYFUNCTION("""COMPUTED_VALUE"""),"-")</f>
        <v>-</v>
      </c>
      <c r="I4103" s="19">
        <f>IFERROR(__xludf.DUMMYFUNCTION("""COMPUTED_VALUE"""),0.00223)</f>
        <v>0.00223</v>
      </c>
      <c r="J4103" s="19">
        <f>IFERROR(__xludf.DUMMYFUNCTION("""COMPUTED_VALUE"""),0.04748)</f>
        <v>0.04748</v>
      </c>
      <c r="K4103" s="19" t="str">
        <f>IFERROR(__xludf.DUMMYFUNCTION("""COMPUTED_VALUE"""),"-")</f>
        <v>-</v>
      </c>
      <c r="L4103" s="19" t="str">
        <f>IFERROR(__xludf.DUMMYFUNCTION("""COMPUTED_VALUE"""),"-")</f>
        <v>-</v>
      </c>
      <c r="O4103" s="24">
        <f t="shared" si="4"/>
        <v>0</v>
      </c>
      <c r="P4103" s="24"/>
      <c r="Q4103" s="24">
        <f t="shared" si="6"/>
        <v>0</v>
      </c>
      <c r="R4103" s="24">
        <f t="shared" si="7"/>
        <v>0</v>
      </c>
      <c r="S4103" s="24"/>
      <c r="T4103" s="24"/>
    </row>
    <row r="4104">
      <c r="A4104" s="12" t="s">
        <v>4191</v>
      </c>
      <c r="F4104" s="19">
        <f>IFERROR(__xludf.DUMMYFUNCTION("SPLIT(A4100, "" |"")"),4098.0)</f>
        <v>4098</v>
      </c>
      <c r="G4104" s="19">
        <f>IFERROR(__xludf.DUMMYFUNCTION("""COMPUTED_VALUE"""),0.00235)</f>
        <v>0.00235</v>
      </c>
      <c r="H4104" s="19" t="str">
        <f>IFERROR(__xludf.DUMMYFUNCTION("""COMPUTED_VALUE"""),"-")</f>
        <v>-</v>
      </c>
      <c r="I4104" s="19">
        <f>IFERROR(__xludf.DUMMYFUNCTION("""COMPUTED_VALUE"""),0.00223)</f>
        <v>0.00223</v>
      </c>
      <c r="J4104" s="19">
        <f>IFERROR(__xludf.DUMMYFUNCTION("""COMPUTED_VALUE"""),0.04738)</f>
        <v>0.04738</v>
      </c>
      <c r="K4104" s="19" t="str">
        <f>IFERROR(__xludf.DUMMYFUNCTION("""COMPUTED_VALUE"""),"-")</f>
        <v>-</v>
      </c>
      <c r="L4104" s="19" t="str">
        <f>IFERROR(__xludf.DUMMYFUNCTION("""COMPUTED_VALUE"""),"-")</f>
        <v>-</v>
      </c>
      <c r="O4104" s="24">
        <f t="shared" si="4"/>
        <v>0</v>
      </c>
      <c r="P4104" s="24"/>
      <c r="Q4104" s="24">
        <f t="shared" si="6"/>
        <v>0</v>
      </c>
      <c r="R4104" s="24">
        <f t="shared" si="7"/>
        <v>0</v>
      </c>
      <c r="S4104" s="24"/>
      <c r="T4104" s="24"/>
    </row>
    <row r="4105">
      <c r="A4105" s="12" t="s">
        <v>4192</v>
      </c>
      <c r="F4105" s="19">
        <f>IFERROR(__xludf.DUMMYFUNCTION("SPLIT(A4101, "" |"")"),4099.0)</f>
        <v>4099</v>
      </c>
      <c r="G4105" s="19">
        <f>IFERROR(__xludf.DUMMYFUNCTION("""COMPUTED_VALUE"""),0.0024)</f>
        <v>0.0024</v>
      </c>
      <c r="H4105" s="19" t="str">
        <f>IFERROR(__xludf.DUMMYFUNCTION("""COMPUTED_VALUE"""),"-")</f>
        <v>-</v>
      </c>
      <c r="I4105" s="19">
        <f>IFERROR(__xludf.DUMMYFUNCTION("""COMPUTED_VALUE"""),0.00228)</f>
        <v>0.00228</v>
      </c>
      <c r="J4105" s="19">
        <f>IFERROR(__xludf.DUMMYFUNCTION("""COMPUTED_VALUE"""),0.04743)</f>
        <v>0.04743</v>
      </c>
      <c r="K4105" s="19" t="str">
        <f>IFERROR(__xludf.DUMMYFUNCTION("""COMPUTED_VALUE"""),"-")</f>
        <v>-</v>
      </c>
      <c r="L4105" s="19" t="str">
        <f>IFERROR(__xludf.DUMMYFUNCTION("""COMPUTED_VALUE"""),"-")</f>
        <v>-</v>
      </c>
      <c r="O4105" s="24">
        <f t="shared" si="4"/>
        <v>0</v>
      </c>
      <c r="P4105" s="24"/>
      <c r="Q4105" s="24">
        <f t="shared" si="6"/>
        <v>0</v>
      </c>
      <c r="R4105" s="24">
        <f t="shared" si="7"/>
        <v>0</v>
      </c>
      <c r="S4105" s="24"/>
      <c r="T4105" s="24"/>
    </row>
    <row r="4106">
      <c r="A4106" s="12" t="s">
        <v>4193</v>
      </c>
      <c r="F4106" s="19">
        <f>IFERROR(__xludf.DUMMYFUNCTION("SPLIT(A4102, "" |"")"),4100.0)</f>
        <v>4100</v>
      </c>
      <c r="G4106" s="19">
        <f>IFERROR(__xludf.DUMMYFUNCTION("""COMPUTED_VALUE"""),0.00237)</f>
        <v>0.00237</v>
      </c>
      <c r="H4106" s="19" t="str">
        <f>IFERROR(__xludf.DUMMYFUNCTION("""COMPUTED_VALUE"""),"-")</f>
        <v>-</v>
      </c>
      <c r="I4106" s="19">
        <f>IFERROR(__xludf.DUMMYFUNCTION("""COMPUTED_VALUE"""),0.0022)</f>
        <v>0.0022</v>
      </c>
      <c r="J4106" s="19">
        <f>IFERROR(__xludf.DUMMYFUNCTION("""COMPUTED_VALUE"""),0.04133)</f>
        <v>0.04133</v>
      </c>
      <c r="K4106" s="19" t="str">
        <f>IFERROR(__xludf.DUMMYFUNCTION("""COMPUTED_VALUE"""),"-")</f>
        <v>-</v>
      </c>
      <c r="L4106" s="19" t="str">
        <f>IFERROR(__xludf.DUMMYFUNCTION("""COMPUTED_VALUE"""),"-")</f>
        <v>-</v>
      </c>
      <c r="O4106" s="24">
        <f t="shared" si="4"/>
        <v>0</v>
      </c>
      <c r="P4106" s="24"/>
      <c r="Q4106" s="24">
        <f t="shared" si="6"/>
        <v>0</v>
      </c>
      <c r="R4106" s="24">
        <f t="shared" si="7"/>
        <v>1</v>
      </c>
      <c r="S4106" s="24"/>
      <c r="T4106" s="24"/>
    </row>
    <row r="4107">
      <c r="A4107" s="12" t="s">
        <v>4194</v>
      </c>
      <c r="F4107" s="19">
        <f>IFERROR(__xludf.DUMMYFUNCTION("SPLIT(A4103, "" |"")"),4101.0)</f>
        <v>4101</v>
      </c>
      <c r="G4107" s="19">
        <f>IFERROR(__xludf.DUMMYFUNCTION("""COMPUTED_VALUE"""),0.00219)</f>
        <v>0.00219</v>
      </c>
      <c r="H4107" s="19" t="str">
        <f>IFERROR(__xludf.DUMMYFUNCTION("""COMPUTED_VALUE"""),"-")</f>
        <v>-</v>
      </c>
      <c r="I4107" s="19">
        <f>IFERROR(__xludf.DUMMYFUNCTION("""COMPUTED_VALUE"""),0.00214)</f>
        <v>0.00214</v>
      </c>
      <c r="J4107" s="19">
        <f>IFERROR(__xludf.DUMMYFUNCTION("""COMPUTED_VALUE"""),0.04736)</f>
        <v>0.04736</v>
      </c>
      <c r="K4107" s="19" t="str">
        <f>IFERROR(__xludf.DUMMYFUNCTION("""COMPUTED_VALUE"""),"-")</f>
        <v>-</v>
      </c>
      <c r="L4107" s="19" t="str">
        <f>IFERROR(__xludf.DUMMYFUNCTION("""COMPUTED_VALUE"""),"-")</f>
        <v>-</v>
      </c>
      <c r="O4107" s="24">
        <f t="shared" si="4"/>
        <v>0</v>
      </c>
      <c r="P4107" s="24"/>
      <c r="Q4107" s="24">
        <f t="shared" si="6"/>
        <v>0</v>
      </c>
      <c r="R4107" s="24">
        <f t="shared" si="7"/>
        <v>0</v>
      </c>
      <c r="S4107" s="24"/>
      <c r="T4107" s="24"/>
    </row>
    <row r="4108">
      <c r="A4108" s="12" t="s">
        <v>4195</v>
      </c>
      <c r="F4108" s="19">
        <f>IFERROR(__xludf.DUMMYFUNCTION("SPLIT(A4104, "" |"")"),4102.0)</f>
        <v>4102</v>
      </c>
      <c r="G4108" s="19">
        <f>IFERROR(__xludf.DUMMYFUNCTION("""COMPUTED_VALUE"""),0.00241)</f>
        <v>0.00241</v>
      </c>
      <c r="H4108" s="19" t="str">
        <f>IFERROR(__xludf.DUMMYFUNCTION("""COMPUTED_VALUE"""),"-")</f>
        <v>-</v>
      </c>
      <c r="I4108" s="19">
        <f>IFERROR(__xludf.DUMMYFUNCTION("""COMPUTED_VALUE"""),0.00222)</f>
        <v>0.00222</v>
      </c>
      <c r="J4108" s="19">
        <f>IFERROR(__xludf.DUMMYFUNCTION("""COMPUTED_VALUE"""),0.04746)</f>
        <v>0.04746</v>
      </c>
      <c r="K4108" s="19" t="str">
        <f>IFERROR(__xludf.DUMMYFUNCTION("""COMPUTED_VALUE"""),"-")</f>
        <v>-</v>
      </c>
      <c r="L4108" s="19" t="str">
        <f>IFERROR(__xludf.DUMMYFUNCTION("""COMPUTED_VALUE"""),"-")</f>
        <v>-</v>
      </c>
      <c r="O4108" s="24">
        <f t="shared" si="4"/>
        <v>0</v>
      </c>
      <c r="P4108" s="24"/>
      <c r="Q4108" s="24">
        <f t="shared" si="6"/>
        <v>0</v>
      </c>
      <c r="R4108" s="24">
        <f t="shared" si="7"/>
        <v>0</v>
      </c>
      <c r="S4108" s="24"/>
      <c r="T4108" s="24"/>
    </row>
    <row r="4109">
      <c r="A4109" s="12" t="s">
        <v>4196</v>
      </c>
      <c r="F4109" s="19">
        <f>IFERROR(__xludf.DUMMYFUNCTION("SPLIT(A4105, "" |"")"),4103.0)</f>
        <v>4103</v>
      </c>
      <c r="G4109" s="19">
        <f>IFERROR(__xludf.DUMMYFUNCTION("""COMPUTED_VALUE"""),0.00238)</f>
        <v>0.00238</v>
      </c>
      <c r="H4109" s="19" t="str">
        <f>IFERROR(__xludf.DUMMYFUNCTION("""COMPUTED_VALUE"""),"-")</f>
        <v>-</v>
      </c>
      <c r="I4109" s="19">
        <f>IFERROR(__xludf.DUMMYFUNCTION("""COMPUTED_VALUE"""),0.00222)</f>
        <v>0.00222</v>
      </c>
      <c r="J4109" s="19">
        <f>IFERROR(__xludf.DUMMYFUNCTION("""COMPUTED_VALUE"""),0.04746)</f>
        <v>0.04746</v>
      </c>
      <c r="K4109" s="19" t="str">
        <f>IFERROR(__xludf.DUMMYFUNCTION("""COMPUTED_VALUE"""),"-")</f>
        <v>-</v>
      </c>
      <c r="L4109" s="19" t="str">
        <f>IFERROR(__xludf.DUMMYFUNCTION("""COMPUTED_VALUE"""),"-")</f>
        <v>-</v>
      </c>
      <c r="O4109" s="24">
        <f t="shared" si="4"/>
        <v>0</v>
      </c>
      <c r="P4109" s="24"/>
      <c r="Q4109" s="24">
        <f t="shared" si="6"/>
        <v>0</v>
      </c>
      <c r="R4109" s="24">
        <f t="shared" si="7"/>
        <v>0</v>
      </c>
      <c r="S4109" s="24"/>
      <c r="T4109" s="24"/>
    </row>
    <row r="4110">
      <c r="A4110" s="12" t="s">
        <v>4197</v>
      </c>
      <c r="F4110" s="19">
        <f>IFERROR(__xludf.DUMMYFUNCTION("SPLIT(A4106, "" |"")"),4104.0)</f>
        <v>4104</v>
      </c>
      <c r="G4110" s="19">
        <f>IFERROR(__xludf.DUMMYFUNCTION("""COMPUTED_VALUE"""),0.00233)</f>
        <v>0.00233</v>
      </c>
      <c r="H4110" s="19" t="str">
        <f>IFERROR(__xludf.DUMMYFUNCTION("""COMPUTED_VALUE"""),"-")</f>
        <v>-</v>
      </c>
      <c r="I4110" s="19">
        <f>IFERROR(__xludf.DUMMYFUNCTION("""COMPUTED_VALUE"""),0.00218)</f>
        <v>0.00218</v>
      </c>
      <c r="J4110" s="19">
        <f>IFERROR(__xludf.DUMMYFUNCTION("""COMPUTED_VALUE"""),0.04739)</f>
        <v>0.04739</v>
      </c>
      <c r="K4110" s="19" t="str">
        <f>IFERROR(__xludf.DUMMYFUNCTION("""COMPUTED_VALUE"""),"-")</f>
        <v>-</v>
      </c>
      <c r="L4110" s="19" t="str">
        <f>IFERROR(__xludf.DUMMYFUNCTION("""COMPUTED_VALUE"""),"-")</f>
        <v>-</v>
      </c>
      <c r="O4110" s="24">
        <f t="shared" si="4"/>
        <v>0</v>
      </c>
      <c r="P4110" s="24"/>
      <c r="Q4110" s="24">
        <f t="shared" si="6"/>
        <v>0</v>
      </c>
      <c r="R4110" s="24">
        <f t="shared" si="7"/>
        <v>0</v>
      </c>
      <c r="S4110" s="24"/>
      <c r="T4110" s="24"/>
    </row>
    <row r="4111">
      <c r="A4111" s="12" t="s">
        <v>4198</v>
      </c>
      <c r="F4111" s="19">
        <f>IFERROR(__xludf.DUMMYFUNCTION("SPLIT(A4107, "" |"")"),4105.0)</f>
        <v>4105</v>
      </c>
      <c r="G4111" s="19">
        <f>IFERROR(__xludf.DUMMYFUNCTION("""COMPUTED_VALUE"""),0.00235)</f>
        <v>0.00235</v>
      </c>
      <c r="H4111" s="19" t="str">
        <f>IFERROR(__xludf.DUMMYFUNCTION("""COMPUTED_VALUE"""),"-")</f>
        <v>-</v>
      </c>
      <c r="I4111" s="19">
        <f>IFERROR(__xludf.DUMMYFUNCTION("""COMPUTED_VALUE"""),0.00216)</f>
        <v>0.00216</v>
      </c>
      <c r="J4111" s="19">
        <f>IFERROR(__xludf.DUMMYFUNCTION("""COMPUTED_VALUE"""),0.0474)</f>
        <v>0.0474</v>
      </c>
      <c r="K4111" s="19" t="str">
        <f>IFERROR(__xludf.DUMMYFUNCTION("""COMPUTED_VALUE"""),"-")</f>
        <v>-</v>
      </c>
      <c r="L4111" s="19" t="str">
        <f>IFERROR(__xludf.DUMMYFUNCTION("""COMPUTED_VALUE"""),"-")</f>
        <v>-</v>
      </c>
      <c r="O4111" s="24">
        <f t="shared" si="4"/>
        <v>0</v>
      </c>
      <c r="P4111" s="24"/>
      <c r="Q4111" s="24">
        <f t="shared" si="6"/>
        <v>0</v>
      </c>
      <c r="R4111" s="24">
        <f t="shared" si="7"/>
        <v>0</v>
      </c>
      <c r="S4111" s="24"/>
      <c r="T4111" s="24"/>
    </row>
    <row r="4112">
      <c r="A4112" s="12" t="s">
        <v>4199</v>
      </c>
      <c r="F4112" s="19">
        <f>IFERROR(__xludf.DUMMYFUNCTION("SPLIT(A4108, "" |"")"),4106.0)</f>
        <v>4106</v>
      </c>
      <c r="G4112" s="19">
        <f>IFERROR(__xludf.DUMMYFUNCTION("""COMPUTED_VALUE"""),0.00235)</f>
        <v>0.00235</v>
      </c>
      <c r="H4112" s="19" t="str">
        <f>IFERROR(__xludf.DUMMYFUNCTION("""COMPUTED_VALUE"""),"-")</f>
        <v>-</v>
      </c>
      <c r="I4112" s="19">
        <f>IFERROR(__xludf.DUMMYFUNCTION("""COMPUTED_VALUE"""),0.00219)</f>
        <v>0.00219</v>
      </c>
      <c r="J4112" s="19">
        <f>IFERROR(__xludf.DUMMYFUNCTION("""COMPUTED_VALUE"""),0.04743)</f>
        <v>0.04743</v>
      </c>
      <c r="K4112" s="19" t="str">
        <f>IFERROR(__xludf.DUMMYFUNCTION("""COMPUTED_VALUE"""),"-")</f>
        <v>-</v>
      </c>
      <c r="L4112" s="19" t="str">
        <f>IFERROR(__xludf.DUMMYFUNCTION("""COMPUTED_VALUE"""),"-")</f>
        <v>-</v>
      </c>
      <c r="O4112" s="24">
        <f t="shared" si="4"/>
        <v>0</v>
      </c>
      <c r="P4112" s="24"/>
      <c r="Q4112" s="24">
        <f t="shared" si="6"/>
        <v>0</v>
      </c>
      <c r="R4112" s="24">
        <f t="shared" si="7"/>
        <v>0</v>
      </c>
      <c r="S4112" s="24"/>
      <c r="T4112" s="24"/>
    </row>
    <row r="4113">
      <c r="A4113" s="12" t="s">
        <v>4200</v>
      </c>
      <c r="F4113" s="19">
        <f>IFERROR(__xludf.DUMMYFUNCTION("SPLIT(A4109, "" |"")"),4107.0)</f>
        <v>4107</v>
      </c>
      <c r="G4113" s="19">
        <f>IFERROR(__xludf.DUMMYFUNCTION("""COMPUTED_VALUE"""),0.0023)</f>
        <v>0.0023</v>
      </c>
      <c r="H4113" s="19" t="str">
        <f>IFERROR(__xludf.DUMMYFUNCTION("""COMPUTED_VALUE"""),"-")</f>
        <v>-</v>
      </c>
      <c r="I4113" s="19">
        <f>IFERROR(__xludf.DUMMYFUNCTION("""COMPUTED_VALUE"""),0.00208)</f>
        <v>0.00208</v>
      </c>
      <c r="J4113" s="19">
        <f>IFERROR(__xludf.DUMMYFUNCTION("""COMPUTED_VALUE"""),0.04736)</f>
        <v>0.04736</v>
      </c>
      <c r="K4113" s="19" t="str">
        <f>IFERROR(__xludf.DUMMYFUNCTION("""COMPUTED_VALUE"""),"-")</f>
        <v>-</v>
      </c>
      <c r="L4113" s="19" t="str">
        <f>IFERROR(__xludf.DUMMYFUNCTION("""COMPUTED_VALUE"""),"-")</f>
        <v>-</v>
      </c>
      <c r="O4113" s="24">
        <f t="shared" si="4"/>
        <v>0</v>
      </c>
      <c r="P4113" s="24"/>
      <c r="Q4113" s="24">
        <f t="shared" si="6"/>
        <v>0</v>
      </c>
      <c r="R4113" s="24">
        <f t="shared" si="7"/>
        <v>0</v>
      </c>
      <c r="S4113" s="24"/>
      <c r="T4113" s="24"/>
    </row>
    <row r="4114">
      <c r="A4114" s="12" t="s">
        <v>4201</v>
      </c>
      <c r="F4114" s="19">
        <f>IFERROR(__xludf.DUMMYFUNCTION("SPLIT(A4110, "" |"")"),4108.0)</f>
        <v>4108</v>
      </c>
      <c r="G4114" s="19">
        <f>IFERROR(__xludf.DUMMYFUNCTION("""COMPUTED_VALUE"""),0.00236)</f>
        <v>0.00236</v>
      </c>
      <c r="H4114" s="19" t="str">
        <f>IFERROR(__xludf.DUMMYFUNCTION("""COMPUTED_VALUE"""),"-")</f>
        <v>-</v>
      </c>
      <c r="I4114" s="19">
        <f>IFERROR(__xludf.DUMMYFUNCTION("""COMPUTED_VALUE"""),0.0022)</f>
        <v>0.0022</v>
      </c>
      <c r="J4114" s="19">
        <f>IFERROR(__xludf.DUMMYFUNCTION("""COMPUTED_VALUE"""),0.0474)</f>
        <v>0.0474</v>
      </c>
      <c r="K4114" s="19" t="str">
        <f>IFERROR(__xludf.DUMMYFUNCTION("""COMPUTED_VALUE"""),"-")</f>
        <v>-</v>
      </c>
      <c r="L4114" s="19" t="str">
        <f>IFERROR(__xludf.DUMMYFUNCTION("""COMPUTED_VALUE"""),"-")</f>
        <v>-</v>
      </c>
      <c r="O4114" s="24">
        <f t="shared" si="4"/>
        <v>0</v>
      </c>
      <c r="P4114" s="24"/>
      <c r="Q4114" s="24">
        <f t="shared" si="6"/>
        <v>0</v>
      </c>
      <c r="R4114" s="24">
        <f t="shared" si="7"/>
        <v>0</v>
      </c>
      <c r="S4114" s="24"/>
      <c r="T4114" s="24"/>
    </row>
    <row r="4115">
      <c r="A4115" s="12" t="s">
        <v>4202</v>
      </c>
      <c r="F4115" s="19">
        <f>IFERROR(__xludf.DUMMYFUNCTION("SPLIT(A4111, "" |"")"),4109.0)</f>
        <v>4109</v>
      </c>
      <c r="G4115" s="19">
        <f>IFERROR(__xludf.DUMMYFUNCTION("""COMPUTED_VALUE"""),0.00236)</f>
        <v>0.00236</v>
      </c>
      <c r="H4115" s="19" t="str">
        <f>IFERROR(__xludf.DUMMYFUNCTION("""COMPUTED_VALUE"""),"-")</f>
        <v>-</v>
      </c>
      <c r="I4115" s="19">
        <f>IFERROR(__xludf.DUMMYFUNCTION("""COMPUTED_VALUE"""),0.00224)</f>
        <v>0.00224</v>
      </c>
      <c r="J4115" s="19">
        <f>IFERROR(__xludf.DUMMYFUNCTION("""COMPUTED_VALUE"""),0.04746)</f>
        <v>0.04746</v>
      </c>
      <c r="K4115" s="19" t="str">
        <f>IFERROR(__xludf.DUMMYFUNCTION("""COMPUTED_VALUE"""),"-")</f>
        <v>-</v>
      </c>
      <c r="L4115" s="19" t="str">
        <f>IFERROR(__xludf.DUMMYFUNCTION("""COMPUTED_VALUE"""),"-")</f>
        <v>-</v>
      </c>
      <c r="O4115" s="24">
        <f t="shared" si="4"/>
        <v>0</v>
      </c>
      <c r="P4115" s="24"/>
      <c r="Q4115" s="24">
        <f t="shared" si="6"/>
        <v>0</v>
      </c>
      <c r="R4115" s="24">
        <f t="shared" si="7"/>
        <v>0</v>
      </c>
      <c r="S4115" s="24"/>
      <c r="T4115" s="24"/>
    </row>
    <row r="4116">
      <c r="A4116" s="12" t="s">
        <v>4203</v>
      </c>
      <c r="F4116" s="19">
        <f>IFERROR(__xludf.DUMMYFUNCTION("SPLIT(A4112, "" |"")"),4110.0)</f>
        <v>4110</v>
      </c>
      <c r="G4116" s="19">
        <f>IFERROR(__xludf.DUMMYFUNCTION("""COMPUTED_VALUE"""),0.00238)</f>
        <v>0.00238</v>
      </c>
      <c r="H4116" s="19" t="str">
        <f>IFERROR(__xludf.DUMMYFUNCTION("""COMPUTED_VALUE"""),"-")</f>
        <v>-</v>
      </c>
      <c r="I4116" s="19">
        <f>IFERROR(__xludf.DUMMYFUNCTION("""COMPUTED_VALUE"""),0.0022)</f>
        <v>0.0022</v>
      </c>
      <c r="J4116" s="19">
        <f>IFERROR(__xludf.DUMMYFUNCTION("""COMPUTED_VALUE"""),0.04746)</f>
        <v>0.04746</v>
      </c>
      <c r="K4116" s="19" t="str">
        <f>IFERROR(__xludf.DUMMYFUNCTION("""COMPUTED_VALUE"""),"-")</f>
        <v>-</v>
      </c>
      <c r="L4116" s="19" t="str">
        <f>IFERROR(__xludf.DUMMYFUNCTION("""COMPUTED_VALUE"""),"-")</f>
        <v>-</v>
      </c>
      <c r="O4116" s="24">
        <f t="shared" si="4"/>
        <v>0</v>
      </c>
      <c r="P4116" s="24"/>
      <c r="Q4116" s="24">
        <f t="shared" si="6"/>
        <v>0</v>
      </c>
      <c r="R4116" s="24">
        <f t="shared" si="7"/>
        <v>0</v>
      </c>
      <c r="S4116" s="24"/>
      <c r="T4116" s="24"/>
    </row>
    <row r="4117">
      <c r="A4117" s="12" t="s">
        <v>4204</v>
      </c>
      <c r="F4117" s="19">
        <f>IFERROR(__xludf.DUMMYFUNCTION("SPLIT(A4113, "" |"")"),4111.0)</f>
        <v>4111</v>
      </c>
      <c r="G4117" s="19">
        <f>IFERROR(__xludf.DUMMYFUNCTION("""COMPUTED_VALUE"""),0.00235)</f>
        <v>0.00235</v>
      </c>
      <c r="H4117" s="19" t="str">
        <f>IFERROR(__xludf.DUMMYFUNCTION("""COMPUTED_VALUE"""),"-")</f>
        <v>-</v>
      </c>
      <c r="I4117" s="19">
        <f>IFERROR(__xludf.DUMMYFUNCTION("""COMPUTED_VALUE"""),0.00219)</f>
        <v>0.00219</v>
      </c>
      <c r="J4117" s="19">
        <f>IFERROR(__xludf.DUMMYFUNCTION("""COMPUTED_VALUE"""),0.04707)</f>
        <v>0.04707</v>
      </c>
      <c r="K4117" s="19" t="str">
        <f>IFERROR(__xludf.DUMMYFUNCTION("""COMPUTED_VALUE"""),"-")</f>
        <v>-</v>
      </c>
      <c r="L4117" s="19" t="str">
        <f>IFERROR(__xludf.DUMMYFUNCTION("""COMPUTED_VALUE"""),"-")</f>
        <v>-</v>
      </c>
      <c r="O4117" s="24">
        <f t="shared" si="4"/>
        <v>0</v>
      </c>
      <c r="P4117" s="24"/>
      <c r="Q4117" s="24">
        <f t="shared" si="6"/>
        <v>0</v>
      </c>
      <c r="R4117" s="24">
        <f t="shared" si="7"/>
        <v>0</v>
      </c>
      <c r="S4117" s="24"/>
      <c r="T4117" s="24"/>
    </row>
    <row r="4118">
      <c r="A4118" s="12" t="s">
        <v>4205</v>
      </c>
      <c r="F4118" s="19">
        <f>IFERROR(__xludf.DUMMYFUNCTION("SPLIT(A4114, "" |"")"),4112.0)</f>
        <v>4112</v>
      </c>
      <c r="G4118" s="19">
        <f>IFERROR(__xludf.DUMMYFUNCTION("""COMPUTED_VALUE"""),0.00234)</f>
        <v>0.00234</v>
      </c>
      <c r="H4118" s="19" t="str">
        <f>IFERROR(__xludf.DUMMYFUNCTION("""COMPUTED_VALUE"""),"-")</f>
        <v>-</v>
      </c>
      <c r="I4118" s="19">
        <f>IFERROR(__xludf.DUMMYFUNCTION("""COMPUTED_VALUE"""),0.00219)</f>
        <v>0.00219</v>
      </c>
      <c r="J4118" s="19">
        <f>IFERROR(__xludf.DUMMYFUNCTION("""COMPUTED_VALUE"""),0.04699)</f>
        <v>0.04699</v>
      </c>
      <c r="K4118" s="19" t="str">
        <f>IFERROR(__xludf.DUMMYFUNCTION("""COMPUTED_VALUE"""),"-")</f>
        <v>-</v>
      </c>
      <c r="L4118" s="19" t="str">
        <f>IFERROR(__xludf.DUMMYFUNCTION("""COMPUTED_VALUE"""),"-")</f>
        <v>-</v>
      </c>
      <c r="O4118" s="24">
        <f t="shared" si="4"/>
        <v>0</v>
      </c>
      <c r="P4118" s="24"/>
      <c r="Q4118" s="24">
        <f t="shared" si="6"/>
        <v>0</v>
      </c>
      <c r="R4118" s="24">
        <f t="shared" si="7"/>
        <v>0</v>
      </c>
      <c r="S4118" s="24"/>
      <c r="T4118" s="24"/>
    </row>
    <row r="4119">
      <c r="A4119" s="12" t="s">
        <v>4206</v>
      </c>
      <c r="F4119" s="19">
        <f>IFERROR(__xludf.DUMMYFUNCTION("SPLIT(A4115, "" |"")"),4113.0)</f>
        <v>4113</v>
      </c>
      <c r="G4119" s="19">
        <f>IFERROR(__xludf.DUMMYFUNCTION("""COMPUTED_VALUE"""),0.00234)</f>
        <v>0.00234</v>
      </c>
      <c r="H4119" s="19" t="str">
        <f>IFERROR(__xludf.DUMMYFUNCTION("""COMPUTED_VALUE"""),"-")</f>
        <v>-</v>
      </c>
      <c r="I4119" s="19">
        <f>IFERROR(__xludf.DUMMYFUNCTION("""COMPUTED_VALUE"""),0.00221)</f>
        <v>0.00221</v>
      </c>
      <c r="J4119" s="19">
        <f>IFERROR(__xludf.DUMMYFUNCTION("""COMPUTED_VALUE"""),0.04749)</f>
        <v>0.04749</v>
      </c>
      <c r="K4119" s="19" t="str">
        <f>IFERROR(__xludf.DUMMYFUNCTION("""COMPUTED_VALUE"""),"-")</f>
        <v>-</v>
      </c>
      <c r="L4119" s="19" t="str">
        <f>IFERROR(__xludf.DUMMYFUNCTION("""COMPUTED_VALUE"""),"-")</f>
        <v>-</v>
      </c>
      <c r="O4119" s="24">
        <f t="shared" si="4"/>
        <v>0</v>
      </c>
      <c r="P4119" s="24"/>
      <c r="Q4119" s="24">
        <f t="shared" si="6"/>
        <v>0</v>
      </c>
      <c r="R4119" s="24">
        <f t="shared" si="7"/>
        <v>0</v>
      </c>
      <c r="S4119" s="24"/>
      <c r="T4119" s="24"/>
    </row>
    <row r="4120">
      <c r="A4120" s="12" t="s">
        <v>4207</v>
      </c>
      <c r="F4120" s="19">
        <f>IFERROR(__xludf.DUMMYFUNCTION("SPLIT(A4116, "" |"")"),4114.0)</f>
        <v>4114</v>
      </c>
      <c r="G4120" s="19">
        <f>IFERROR(__xludf.DUMMYFUNCTION("""COMPUTED_VALUE"""),0.00235)</f>
        <v>0.00235</v>
      </c>
      <c r="H4120" s="19" t="str">
        <f>IFERROR(__xludf.DUMMYFUNCTION("""COMPUTED_VALUE"""),"-")</f>
        <v>-</v>
      </c>
      <c r="I4120" s="19">
        <f>IFERROR(__xludf.DUMMYFUNCTION("""COMPUTED_VALUE"""),0.00218)</f>
        <v>0.00218</v>
      </c>
      <c r="J4120" s="19">
        <f>IFERROR(__xludf.DUMMYFUNCTION("""COMPUTED_VALUE"""),0.0474)</f>
        <v>0.0474</v>
      </c>
      <c r="K4120" s="19" t="str">
        <f>IFERROR(__xludf.DUMMYFUNCTION("""COMPUTED_VALUE"""),"-")</f>
        <v>-</v>
      </c>
      <c r="L4120" s="19" t="str">
        <f>IFERROR(__xludf.DUMMYFUNCTION("""COMPUTED_VALUE"""),"-")</f>
        <v>-</v>
      </c>
      <c r="O4120" s="24">
        <f t="shared" si="4"/>
        <v>0</v>
      </c>
      <c r="P4120" s="24"/>
      <c r="Q4120" s="24">
        <f t="shared" si="6"/>
        <v>0</v>
      </c>
      <c r="R4120" s="24">
        <f t="shared" si="7"/>
        <v>0</v>
      </c>
      <c r="S4120" s="24"/>
      <c r="T4120" s="24"/>
    </row>
    <row r="4121">
      <c r="A4121" s="12" t="s">
        <v>4208</v>
      </c>
      <c r="F4121" s="19">
        <f>IFERROR(__xludf.DUMMYFUNCTION("SPLIT(A4117, "" |"")"),4115.0)</f>
        <v>4115</v>
      </c>
      <c r="G4121" s="19">
        <f>IFERROR(__xludf.DUMMYFUNCTION("""COMPUTED_VALUE"""),0.00231)</f>
        <v>0.00231</v>
      </c>
      <c r="H4121" s="19" t="str">
        <f>IFERROR(__xludf.DUMMYFUNCTION("""COMPUTED_VALUE"""),"-")</f>
        <v>-</v>
      </c>
      <c r="I4121" s="19">
        <f>IFERROR(__xludf.DUMMYFUNCTION("""COMPUTED_VALUE"""),0.00209)</f>
        <v>0.00209</v>
      </c>
      <c r="J4121" s="19">
        <f>IFERROR(__xludf.DUMMYFUNCTION("""COMPUTED_VALUE"""),0.04745)</f>
        <v>0.04745</v>
      </c>
      <c r="K4121" s="19" t="str">
        <f>IFERROR(__xludf.DUMMYFUNCTION("""COMPUTED_VALUE"""),"-")</f>
        <v>-</v>
      </c>
      <c r="L4121" s="19" t="str">
        <f>IFERROR(__xludf.DUMMYFUNCTION("""COMPUTED_VALUE"""),"-")</f>
        <v>-</v>
      </c>
      <c r="O4121" s="24">
        <f t="shared" si="4"/>
        <v>0</v>
      </c>
      <c r="P4121" s="24"/>
      <c r="Q4121" s="24">
        <f t="shared" si="6"/>
        <v>0</v>
      </c>
      <c r="R4121" s="24">
        <f t="shared" si="7"/>
        <v>0</v>
      </c>
      <c r="S4121" s="24"/>
      <c r="T4121" s="24"/>
    </row>
    <row r="4122">
      <c r="A4122" s="12" t="s">
        <v>4209</v>
      </c>
      <c r="F4122" s="19">
        <f>IFERROR(__xludf.DUMMYFUNCTION("SPLIT(A4118, "" |"")"),4116.0)</f>
        <v>4116</v>
      </c>
      <c r="G4122" s="19">
        <f>IFERROR(__xludf.DUMMYFUNCTION("""COMPUTED_VALUE"""),0.00232)</f>
        <v>0.00232</v>
      </c>
      <c r="H4122" s="19" t="str">
        <f>IFERROR(__xludf.DUMMYFUNCTION("""COMPUTED_VALUE"""),"-")</f>
        <v>-</v>
      </c>
      <c r="I4122" s="19">
        <f>IFERROR(__xludf.DUMMYFUNCTION("""COMPUTED_VALUE"""),0.00219)</f>
        <v>0.00219</v>
      </c>
      <c r="J4122" s="19">
        <f>IFERROR(__xludf.DUMMYFUNCTION("""COMPUTED_VALUE"""),0.0474)</f>
        <v>0.0474</v>
      </c>
      <c r="K4122" s="19" t="str">
        <f>IFERROR(__xludf.DUMMYFUNCTION("""COMPUTED_VALUE"""),"-")</f>
        <v>-</v>
      </c>
      <c r="L4122" s="19" t="str">
        <f>IFERROR(__xludf.DUMMYFUNCTION("""COMPUTED_VALUE"""),"-")</f>
        <v>-</v>
      </c>
      <c r="O4122" s="24">
        <f t="shared" si="4"/>
        <v>0</v>
      </c>
      <c r="P4122" s="24"/>
      <c r="Q4122" s="24">
        <f t="shared" si="6"/>
        <v>0</v>
      </c>
      <c r="R4122" s="24">
        <f t="shared" si="7"/>
        <v>0</v>
      </c>
      <c r="S4122" s="24"/>
      <c r="T4122" s="24"/>
    </row>
    <row r="4123">
      <c r="A4123" s="12" t="s">
        <v>4210</v>
      </c>
      <c r="F4123" s="19">
        <f>IFERROR(__xludf.DUMMYFUNCTION("SPLIT(A4119, "" |"")"),4117.0)</f>
        <v>4117</v>
      </c>
      <c r="G4123" s="19">
        <f>IFERROR(__xludf.DUMMYFUNCTION("""COMPUTED_VALUE"""),0.00234)</f>
        <v>0.00234</v>
      </c>
      <c r="H4123" s="19" t="str">
        <f>IFERROR(__xludf.DUMMYFUNCTION("""COMPUTED_VALUE"""),"-")</f>
        <v>-</v>
      </c>
      <c r="I4123" s="19">
        <f>IFERROR(__xludf.DUMMYFUNCTION("""COMPUTED_VALUE"""),0.00223)</f>
        <v>0.00223</v>
      </c>
      <c r="J4123" s="19">
        <f>IFERROR(__xludf.DUMMYFUNCTION("""COMPUTED_VALUE"""),0.04729)</f>
        <v>0.04729</v>
      </c>
      <c r="K4123" s="19" t="str">
        <f>IFERROR(__xludf.DUMMYFUNCTION("""COMPUTED_VALUE"""),"-")</f>
        <v>-</v>
      </c>
      <c r="L4123" s="19" t="str">
        <f>IFERROR(__xludf.DUMMYFUNCTION("""COMPUTED_VALUE"""),"-")</f>
        <v>-</v>
      </c>
      <c r="O4123" s="24">
        <f t="shared" si="4"/>
        <v>0</v>
      </c>
      <c r="P4123" s="24"/>
      <c r="Q4123" s="24">
        <f t="shared" si="6"/>
        <v>0</v>
      </c>
      <c r="R4123" s="24">
        <f t="shared" si="7"/>
        <v>0</v>
      </c>
      <c r="S4123" s="24"/>
      <c r="T4123" s="24"/>
    </row>
    <row r="4124">
      <c r="A4124" s="12" t="s">
        <v>4211</v>
      </c>
      <c r="F4124" s="19">
        <f>IFERROR(__xludf.DUMMYFUNCTION("SPLIT(A4120, "" |"")"),4118.0)</f>
        <v>4118</v>
      </c>
      <c r="G4124" s="19">
        <f>IFERROR(__xludf.DUMMYFUNCTION("""COMPUTED_VALUE"""),0.0023)</f>
        <v>0.0023</v>
      </c>
      <c r="H4124" s="19" t="str">
        <f>IFERROR(__xludf.DUMMYFUNCTION("""COMPUTED_VALUE"""),"-")</f>
        <v>-</v>
      </c>
      <c r="I4124" s="19">
        <f>IFERROR(__xludf.DUMMYFUNCTION("""COMPUTED_VALUE"""),0.00225)</f>
        <v>0.00225</v>
      </c>
      <c r="J4124" s="19">
        <f>IFERROR(__xludf.DUMMYFUNCTION("""COMPUTED_VALUE"""),0.04751)</f>
        <v>0.04751</v>
      </c>
      <c r="K4124" s="19" t="str">
        <f>IFERROR(__xludf.DUMMYFUNCTION("""COMPUTED_VALUE"""),"-")</f>
        <v>-</v>
      </c>
      <c r="L4124" s="19" t="str">
        <f>IFERROR(__xludf.DUMMYFUNCTION("""COMPUTED_VALUE"""),"-")</f>
        <v>-</v>
      </c>
      <c r="O4124" s="24">
        <f t="shared" si="4"/>
        <v>0</v>
      </c>
      <c r="P4124" s="24"/>
      <c r="Q4124" s="24">
        <f t="shared" si="6"/>
        <v>0</v>
      </c>
      <c r="R4124" s="24">
        <f t="shared" si="7"/>
        <v>0</v>
      </c>
      <c r="S4124" s="24"/>
      <c r="T4124" s="24"/>
    </row>
    <row r="4125">
      <c r="A4125" s="12" t="s">
        <v>4212</v>
      </c>
      <c r="F4125" s="19">
        <f>IFERROR(__xludf.DUMMYFUNCTION("SPLIT(A4121, "" |"")"),4119.0)</f>
        <v>4119</v>
      </c>
      <c r="G4125" s="19">
        <f>IFERROR(__xludf.DUMMYFUNCTION("""COMPUTED_VALUE"""),0.00235)</f>
        <v>0.00235</v>
      </c>
      <c r="H4125" s="19" t="str">
        <f>IFERROR(__xludf.DUMMYFUNCTION("""COMPUTED_VALUE"""),"-")</f>
        <v>-</v>
      </c>
      <c r="I4125" s="19">
        <f>IFERROR(__xludf.DUMMYFUNCTION("""COMPUTED_VALUE"""),0.00229)</f>
        <v>0.00229</v>
      </c>
      <c r="J4125" s="19">
        <f>IFERROR(__xludf.DUMMYFUNCTION("""COMPUTED_VALUE"""),0.04749)</f>
        <v>0.04749</v>
      </c>
      <c r="K4125" s="19" t="str">
        <f>IFERROR(__xludf.DUMMYFUNCTION("""COMPUTED_VALUE"""),"-")</f>
        <v>-</v>
      </c>
      <c r="L4125" s="19" t="str">
        <f>IFERROR(__xludf.DUMMYFUNCTION("""COMPUTED_VALUE"""),"-")</f>
        <v>-</v>
      </c>
      <c r="O4125" s="24">
        <f t="shared" si="4"/>
        <v>0</v>
      </c>
      <c r="P4125" s="24"/>
      <c r="Q4125" s="24">
        <f t="shared" si="6"/>
        <v>0</v>
      </c>
      <c r="R4125" s="24">
        <f t="shared" si="7"/>
        <v>0</v>
      </c>
      <c r="S4125" s="24"/>
      <c r="T4125" s="24"/>
    </row>
    <row r="4126">
      <c r="A4126" s="12" t="s">
        <v>4213</v>
      </c>
      <c r="F4126" s="19">
        <f>IFERROR(__xludf.DUMMYFUNCTION("SPLIT(A4122, "" |"")"),4120.0)</f>
        <v>4120</v>
      </c>
      <c r="G4126" s="19">
        <f>IFERROR(__xludf.DUMMYFUNCTION("""COMPUTED_VALUE"""),0.00234)</f>
        <v>0.00234</v>
      </c>
      <c r="H4126" s="19" t="str">
        <f>IFERROR(__xludf.DUMMYFUNCTION("""COMPUTED_VALUE"""),"-")</f>
        <v>-</v>
      </c>
      <c r="I4126" s="19">
        <f>IFERROR(__xludf.DUMMYFUNCTION("""COMPUTED_VALUE"""),0.0022)</f>
        <v>0.0022</v>
      </c>
      <c r="J4126" s="19">
        <f>IFERROR(__xludf.DUMMYFUNCTION("""COMPUTED_VALUE"""),0.04493)</f>
        <v>0.04493</v>
      </c>
      <c r="K4126" s="19" t="str">
        <f>IFERROR(__xludf.DUMMYFUNCTION("""COMPUTED_VALUE"""),"-")</f>
        <v>-</v>
      </c>
      <c r="L4126" s="19" t="str">
        <f>IFERROR(__xludf.DUMMYFUNCTION("""COMPUTED_VALUE"""),"-")</f>
        <v>-</v>
      </c>
      <c r="O4126" s="24">
        <f t="shared" si="4"/>
        <v>0</v>
      </c>
      <c r="P4126" s="24"/>
      <c r="Q4126" s="24">
        <f t="shared" si="6"/>
        <v>0</v>
      </c>
      <c r="R4126" s="24">
        <f t="shared" si="7"/>
        <v>0</v>
      </c>
      <c r="S4126" s="24"/>
      <c r="T4126" s="24"/>
    </row>
    <row r="4127">
      <c r="A4127" s="12" t="s">
        <v>4214</v>
      </c>
      <c r="F4127" s="19">
        <f>IFERROR(__xludf.DUMMYFUNCTION("SPLIT(A4123, "" |"")"),4121.0)</f>
        <v>4121</v>
      </c>
      <c r="G4127" s="19">
        <f>IFERROR(__xludf.DUMMYFUNCTION("""COMPUTED_VALUE"""),0.00223)</f>
        <v>0.00223</v>
      </c>
      <c r="H4127" s="19" t="str">
        <f>IFERROR(__xludf.DUMMYFUNCTION("""COMPUTED_VALUE"""),"-")</f>
        <v>-</v>
      </c>
      <c r="I4127" s="19">
        <f>IFERROR(__xludf.DUMMYFUNCTION("""COMPUTED_VALUE"""),0.00217)</f>
        <v>0.00217</v>
      </c>
      <c r="J4127" s="19">
        <f>IFERROR(__xludf.DUMMYFUNCTION("""COMPUTED_VALUE"""),0.04742)</f>
        <v>0.04742</v>
      </c>
      <c r="K4127" s="19" t="str">
        <f>IFERROR(__xludf.DUMMYFUNCTION("""COMPUTED_VALUE"""),"-")</f>
        <v>-</v>
      </c>
      <c r="L4127" s="19" t="str">
        <f>IFERROR(__xludf.DUMMYFUNCTION("""COMPUTED_VALUE"""),"-")</f>
        <v>-</v>
      </c>
      <c r="O4127" s="24">
        <f t="shared" si="4"/>
        <v>0</v>
      </c>
      <c r="P4127" s="24"/>
      <c r="Q4127" s="24">
        <f t="shared" si="6"/>
        <v>0</v>
      </c>
      <c r="R4127" s="24">
        <f t="shared" si="7"/>
        <v>0</v>
      </c>
      <c r="S4127" s="24"/>
      <c r="T4127" s="24"/>
    </row>
    <row r="4128">
      <c r="A4128" s="12" t="s">
        <v>4215</v>
      </c>
      <c r="F4128" s="19">
        <f>IFERROR(__xludf.DUMMYFUNCTION("SPLIT(A4124, "" |"")"),4122.0)</f>
        <v>4122</v>
      </c>
      <c r="G4128" s="19">
        <f>IFERROR(__xludf.DUMMYFUNCTION("""COMPUTED_VALUE"""),0.00238)</f>
        <v>0.00238</v>
      </c>
      <c r="H4128" s="19" t="str">
        <f>IFERROR(__xludf.DUMMYFUNCTION("""COMPUTED_VALUE"""),"-")</f>
        <v>-</v>
      </c>
      <c r="I4128" s="19">
        <f>IFERROR(__xludf.DUMMYFUNCTION("""COMPUTED_VALUE"""),0.0022)</f>
        <v>0.0022</v>
      </c>
      <c r="J4128" s="19">
        <f>IFERROR(__xludf.DUMMYFUNCTION("""COMPUTED_VALUE"""),0.04745)</f>
        <v>0.04745</v>
      </c>
      <c r="K4128" s="19" t="str">
        <f>IFERROR(__xludf.DUMMYFUNCTION("""COMPUTED_VALUE"""),"-")</f>
        <v>-</v>
      </c>
      <c r="L4128" s="19" t="str">
        <f>IFERROR(__xludf.DUMMYFUNCTION("""COMPUTED_VALUE"""),"-")</f>
        <v>-</v>
      </c>
      <c r="O4128" s="24">
        <f t="shared" si="4"/>
        <v>0</v>
      </c>
      <c r="P4128" s="24"/>
      <c r="Q4128" s="24">
        <f t="shared" si="6"/>
        <v>0</v>
      </c>
      <c r="R4128" s="24">
        <f t="shared" si="7"/>
        <v>0</v>
      </c>
      <c r="S4128" s="24"/>
      <c r="T4128" s="24"/>
    </row>
    <row r="4129">
      <c r="A4129" s="12" t="s">
        <v>4216</v>
      </c>
      <c r="F4129" s="19">
        <f>IFERROR(__xludf.DUMMYFUNCTION("SPLIT(A4125, "" |"")"),4123.0)</f>
        <v>4123</v>
      </c>
      <c r="G4129" s="19">
        <f>IFERROR(__xludf.DUMMYFUNCTION("""COMPUTED_VALUE"""),0.00233)</f>
        <v>0.00233</v>
      </c>
      <c r="H4129" s="19" t="str">
        <f>IFERROR(__xludf.DUMMYFUNCTION("""COMPUTED_VALUE"""),"-")</f>
        <v>-</v>
      </c>
      <c r="I4129" s="19">
        <f>IFERROR(__xludf.DUMMYFUNCTION("""COMPUTED_VALUE"""),0.0022)</f>
        <v>0.0022</v>
      </c>
      <c r="J4129" s="19">
        <f>IFERROR(__xludf.DUMMYFUNCTION("""COMPUTED_VALUE"""),0.04741)</f>
        <v>0.04741</v>
      </c>
      <c r="K4129" s="19" t="str">
        <f>IFERROR(__xludf.DUMMYFUNCTION("""COMPUTED_VALUE"""),"-")</f>
        <v>-</v>
      </c>
      <c r="L4129" s="19" t="str">
        <f>IFERROR(__xludf.DUMMYFUNCTION("""COMPUTED_VALUE"""),"-")</f>
        <v>-</v>
      </c>
      <c r="O4129" s="24">
        <f t="shared" si="4"/>
        <v>0</v>
      </c>
      <c r="P4129" s="24"/>
      <c r="Q4129" s="24">
        <f t="shared" si="6"/>
        <v>0</v>
      </c>
      <c r="R4129" s="24">
        <f t="shared" si="7"/>
        <v>0</v>
      </c>
      <c r="S4129" s="24"/>
      <c r="T4129" s="24"/>
    </row>
    <row r="4130">
      <c r="A4130" s="12" t="s">
        <v>4217</v>
      </c>
      <c r="F4130" s="19">
        <f>IFERROR(__xludf.DUMMYFUNCTION("SPLIT(A4126, "" |"")"),4124.0)</f>
        <v>4124</v>
      </c>
      <c r="G4130" s="19">
        <f>IFERROR(__xludf.DUMMYFUNCTION("""COMPUTED_VALUE"""),0.00234)</f>
        <v>0.00234</v>
      </c>
      <c r="H4130" s="19" t="str">
        <f>IFERROR(__xludf.DUMMYFUNCTION("""COMPUTED_VALUE"""),"-")</f>
        <v>-</v>
      </c>
      <c r="I4130" s="19">
        <f>IFERROR(__xludf.DUMMYFUNCTION("""COMPUTED_VALUE"""),0.0022)</f>
        <v>0.0022</v>
      </c>
      <c r="J4130" s="19">
        <f>IFERROR(__xludf.DUMMYFUNCTION("""COMPUTED_VALUE"""),0.04647)</f>
        <v>0.04647</v>
      </c>
      <c r="K4130" s="19" t="str">
        <f>IFERROR(__xludf.DUMMYFUNCTION("""COMPUTED_VALUE"""),"-")</f>
        <v>-</v>
      </c>
      <c r="L4130" s="19" t="str">
        <f>IFERROR(__xludf.DUMMYFUNCTION("""COMPUTED_VALUE"""),"-")</f>
        <v>-</v>
      </c>
      <c r="O4130" s="24">
        <f t="shared" si="4"/>
        <v>0</v>
      </c>
      <c r="P4130" s="24"/>
      <c r="Q4130" s="24">
        <f t="shared" si="6"/>
        <v>0</v>
      </c>
      <c r="R4130" s="24">
        <f t="shared" si="7"/>
        <v>0</v>
      </c>
      <c r="S4130" s="24"/>
      <c r="T4130" s="24"/>
    </row>
    <row r="4131">
      <c r="A4131" s="12" t="s">
        <v>4218</v>
      </c>
      <c r="F4131" s="19">
        <f>IFERROR(__xludf.DUMMYFUNCTION("SPLIT(A4127, "" |"")"),4125.0)</f>
        <v>4125</v>
      </c>
      <c r="G4131" s="19">
        <f>IFERROR(__xludf.DUMMYFUNCTION("""COMPUTED_VALUE"""),0.00235)</f>
        <v>0.00235</v>
      </c>
      <c r="H4131" s="19" t="str">
        <f>IFERROR(__xludf.DUMMYFUNCTION("""COMPUTED_VALUE"""),"-")</f>
        <v>-</v>
      </c>
      <c r="I4131" s="19">
        <f>IFERROR(__xludf.DUMMYFUNCTION("""COMPUTED_VALUE"""),0.00216)</f>
        <v>0.00216</v>
      </c>
      <c r="J4131" s="19">
        <f>IFERROR(__xludf.DUMMYFUNCTION("""COMPUTED_VALUE"""),0.04058)</f>
        <v>0.04058</v>
      </c>
      <c r="K4131" s="19" t="str">
        <f>IFERROR(__xludf.DUMMYFUNCTION("""COMPUTED_VALUE"""),"-")</f>
        <v>-</v>
      </c>
      <c r="L4131" s="19" t="str">
        <f>IFERROR(__xludf.DUMMYFUNCTION("""COMPUTED_VALUE"""),"-")</f>
        <v>-</v>
      </c>
      <c r="O4131" s="24">
        <f t="shared" si="4"/>
        <v>0</v>
      </c>
      <c r="P4131" s="24"/>
      <c r="Q4131" s="24">
        <f t="shared" si="6"/>
        <v>0</v>
      </c>
      <c r="R4131" s="24">
        <f t="shared" si="7"/>
        <v>1</v>
      </c>
      <c r="S4131" s="24"/>
      <c r="T4131" s="24"/>
    </row>
    <row r="4132">
      <c r="A4132" s="12" t="s">
        <v>4219</v>
      </c>
      <c r="F4132" s="19">
        <f>IFERROR(__xludf.DUMMYFUNCTION("SPLIT(A4128, "" |"")"),4126.0)</f>
        <v>4126</v>
      </c>
      <c r="G4132" s="19">
        <f>IFERROR(__xludf.DUMMYFUNCTION("""COMPUTED_VALUE"""),0.00234)</f>
        <v>0.00234</v>
      </c>
      <c r="H4132" s="19" t="str">
        <f>IFERROR(__xludf.DUMMYFUNCTION("""COMPUTED_VALUE"""),"-")</f>
        <v>-</v>
      </c>
      <c r="I4132" s="19">
        <f>IFERROR(__xludf.DUMMYFUNCTION("""COMPUTED_VALUE"""),0.00217)</f>
        <v>0.00217</v>
      </c>
      <c r="J4132" s="19">
        <f>IFERROR(__xludf.DUMMYFUNCTION("""COMPUTED_VALUE"""),0.04744)</f>
        <v>0.04744</v>
      </c>
      <c r="K4132" s="19" t="str">
        <f>IFERROR(__xludf.DUMMYFUNCTION("""COMPUTED_VALUE"""),"-")</f>
        <v>-</v>
      </c>
      <c r="L4132" s="19" t="str">
        <f>IFERROR(__xludf.DUMMYFUNCTION("""COMPUTED_VALUE"""),"-")</f>
        <v>-</v>
      </c>
      <c r="O4132" s="24">
        <f t="shared" si="4"/>
        <v>0</v>
      </c>
      <c r="P4132" s="24"/>
      <c r="Q4132" s="24">
        <f t="shared" si="6"/>
        <v>0</v>
      </c>
      <c r="R4132" s="24">
        <f t="shared" si="7"/>
        <v>0</v>
      </c>
      <c r="S4132" s="24"/>
      <c r="T4132" s="24"/>
    </row>
    <row r="4133">
      <c r="A4133" s="12" t="s">
        <v>4220</v>
      </c>
      <c r="F4133" s="19">
        <f>IFERROR(__xludf.DUMMYFUNCTION("SPLIT(A4129, "" |"")"),4127.0)</f>
        <v>4127</v>
      </c>
      <c r="G4133" s="19">
        <f>IFERROR(__xludf.DUMMYFUNCTION("""COMPUTED_VALUE"""),0.00238)</f>
        <v>0.00238</v>
      </c>
      <c r="H4133" s="19" t="str">
        <f>IFERROR(__xludf.DUMMYFUNCTION("""COMPUTED_VALUE"""),"-")</f>
        <v>-</v>
      </c>
      <c r="I4133" s="19">
        <f>IFERROR(__xludf.DUMMYFUNCTION("""COMPUTED_VALUE"""),0.00223)</f>
        <v>0.00223</v>
      </c>
      <c r="J4133" s="19">
        <f>IFERROR(__xludf.DUMMYFUNCTION("""COMPUTED_VALUE"""),0.04748)</f>
        <v>0.04748</v>
      </c>
      <c r="K4133" s="19" t="str">
        <f>IFERROR(__xludf.DUMMYFUNCTION("""COMPUTED_VALUE"""),"-")</f>
        <v>-</v>
      </c>
      <c r="L4133" s="19" t="str">
        <f>IFERROR(__xludf.DUMMYFUNCTION("""COMPUTED_VALUE"""),"-")</f>
        <v>-</v>
      </c>
      <c r="O4133" s="24">
        <f t="shared" si="4"/>
        <v>0</v>
      </c>
      <c r="P4133" s="24"/>
      <c r="Q4133" s="24">
        <f t="shared" si="6"/>
        <v>0</v>
      </c>
      <c r="R4133" s="24">
        <f t="shared" si="7"/>
        <v>0</v>
      </c>
      <c r="S4133" s="24"/>
      <c r="T4133" s="24"/>
    </row>
    <row r="4134">
      <c r="A4134" s="12" t="s">
        <v>4221</v>
      </c>
      <c r="F4134" s="19">
        <f>IFERROR(__xludf.DUMMYFUNCTION("SPLIT(A4130, "" |"")"),4128.0)</f>
        <v>4128</v>
      </c>
      <c r="G4134" s="19">
        <f>IFERROR(__xludf.DUMMYFUNCTION("""COMPUTED_VALUE"""),0.00235)</f>
        <v>0.00235</v>
      </c>
      <c r="H4134" s="19" t="str">
        <f>IFERROR(__xludf.DUMMYFUNCTION("""COMPUTED_VALUE"""),"-")</f>
        <v>-</v>
      </c>
      <c r="I4134" s="19">
        <f>IFERROR(__xludf.DUMMYFUNCTION("""COMPUTED_VALUE"""),0.00221)</f>
        <v>0.00221</v>
      </c>
      <c r="J4134" s="19">
        <f>IFERROR(__xludf.DUMMYFUNCTION("""COMPUTED_VALUE"""),0.04742)</f>
        <v>0.04742</v>
      </c>
      <c r="K4134" s="19" t="str">
        <f>IFERROR(__xludf.DUMMYFUNCTION("""COMPUTED_VALUE"""),"-")</f>
        <v>-</v>
      </c>
      <c r="L4134" s="19" t="str">
        <f>IFERROR(__xludf.DUMMYFUNCTION("""COMPUTED_VALUE"""),"-")</f>
        <v>-</v>
      </c>
      <c r="O4134" s="24">
        <f t="shared" si="4"/>
        <v>0</v>
      </c>
      <c r="P4134" s="24"/>
      <c r="Q4134" s="24">
        <f t="shared" si="6"/>
        <v>0</v>
      </c>
      <c r="R4134" s="24">
        <f t="shared" si="7"/>
        <v>0</v>
      </c>
      <c r="S4134" s="24"/>
      <c r="T4134" s="24"/>
    </row>
    <row r="4135">
      <c r="A4135" s="12" t="s">
        <v>4222</v>
      </c>
      <c r="F4135" s="19">
        <f>IFERROR(__xludf.DUMMYFUNCTION("SPLIT(A4131, "" |"")"),4129.0)</f>
        <v>4129</v>
      </c>
      <c r="G4135" s="19">
        <f>IFERROR(__xludf.DUMMYFUNCTION("""COMPUTED_VALUE"""),0.0024)</f>
        <v>0.0024</v>
      </c>
      <c r="H4135" s="19" t="str">
        <f>IFERROR(__xludf.DUMMYFUNCTION("""COMPUTED_VALUE"""),"-")</f>
        <v>-</v>
      </c>
      <c r="I4135" s="19">
        <f>IFERROR(__xludf.DUMMYFUNCTION("""COMPUTED_VALUE"""),0.00222)</f>
        <v>0.00222</v>
      </c>
      <c r="J4135" s="19">
        <f>IFERROR(__xludf.DUMMYFUNCTION("""COMPUTED_VALUE"""),0.04742)</f>
        <v>0.04742</v>
      </c>
      <c r="K4135" s="19" t="str">
        <f>IFERROR(__xludf.DUMMYFUNCTION("""COMPUTED_VALUE"""),"-")</f>
        <v>-</v>
      </c>
      <c r="L4135" s="19" t="str">
        <f>IFERROR(__xludf.DUMMYFUNCTION("""COMPUTED_VALUE"""),"-")</f>
        <v>-</v>
      </c>
      <c r="O4135" s="24">
        <f t="shared" si="4"/>
        <v>0</v>
      </c>
      <c r="P4135" s="24"/>
      <c r="Q4135" s="24">
        <f t="shared" si="6"/>
        <v>0</v>
      </c>
      <c r="R4135" s="24">
        <f t="shared" si="7"/>
        <v>0</v>
      </c>
      <c r="S4135" s="24"/>
      <c r="T4135" s="24"/>
    </row>
    <row r="4136">
      <c r="A4136" s="12" t="s">
        <v>4223</v>
      </c>
      <c r="F4136" s="19">
        <f>IFERROR(__xludf.DUMMYFUNCTION("SPLIT(A4132, "" |"")"),4130.0)</f>
        <v>4130</v>
      </c>
      <c r="G4136" s="19">
        <f>IFERROR(__xludf.DUMMYFUNCTION("""COMPUTED_VALUE"""),0.00238)</f>
        <v>0.00238</v>
      </c>
      <c r="H4136" s="19" t="str">
        <f>IFERROR(__xludf.DUMMYFUNCTION("""COMPUTED_VALUE"""),"-")</f>
        <v>-</v>
      </c>
      <c r="I4136" s="19">
        <f>IFERROR(__xludf.DUMMYFUNCTION("""COMPUTED_VALUE"""),0.0022)</f>
        <v>0.0022</v>
      </c>
      <c r="J4136" s="19">
        <f>IFERROR(__xludf.DUMMYFUNCTION("""COMPUTED_VALUE"""),0.04229)</f>
        <v>0.04229</v>
      </c>
      <c r="K4136" s="19" t="str">
        <f>IFERROR(__xludf.DUMMYFUNCTION("""COMPUTED_VALUE"""),"-")</f>
        <v>-</v>
      </c>
      <c r="L4136" s="19" t="str">
        <f>IFERROR(__xludf.DUMMYFUNCTION("""COMPUTED_VALUE"""),"-")</f>
        <v>-</v>
      </c>
      <c r="O4136" s="24">
        <f t="shared" si="4"/>
        <v>0</v>
      </c>
      <c r="P4136" s="24"/>
      <c r="Q4136" s="24">
        <f t="shared" si="6"/>
        <v>0</v>
      </c>
      <c r="R4136" s="24">
        <f t="shared" si="7"/>
        <v>1</v>
      </c>
      <c r="S4136" s="24"/>
      <c r="T4136" s="24"/>
    </row>
    <row r="4137">
      <c r="A4137" s="12" t="s">
        <v>4224</v>
      </c>
      <c r="F4137" s="19">
        <f>IFERROR(__xludf.DUMMYFUNCTION("SPLIT(A4133, "" |"")"),4131.0)</f>
        <v>4131</v>
      </c>
      <c r="G4137" s="19">
        <f>IFERROR(__xludf.DUMMYFUNCTION("""COMPUTED_VALUE"""),0.00233)</f>
        <v>0.00233</v>
      </c>
      <c r="H4137" s="19" t="str">
        <f>IFERROR(__xludf.DUMMYFUNCTION("""COMPUTED_VALUE"""),"-")</f>
        <v>-</v>
      </c>
      <c r="I4137" s="19">
        <f>IFERROR(__xludf.DUMMYFUNCTION("""COMPUTED_VALUE"""),0.00224)</f>
        <v>0.00224</v>
      </c>
      <c r="J4137" s="19">
        <f>IFERROR(__xludf.DUMMYFUNCTION("""COMPUTED_VALUE"""),0.04742)</f>
        <v>0.04742</v>
      </c>
      <c r="K4137" s="19" t="str">
        <f>IFERROR(__xludf.DUMMYFUNCTION("""COMPUTED_VALUE"""),"-")</f>
        <v>-</v>
      </c>
      <c r="L4137" s="19" t="str">
        <f>IFERROR(__xludf.DUMMYFUNCTION("""COMPUTED_VALUE"""),"-")</f>
        <v>-</v>
      </c>
      <c r="O4137" s="24">
        <f t="shared" si="4"/>
        <v>0</v>
      </c>
      <c r="P4137" s="24"/>
      <c r="Q4137" s="24">
        <f t="shared" si="6"/>
        <v>0</v>
      </c>
      <c r="R4137" s="24">
        <f t="shared" si="7"/>
        <v>0</v>
      </c>
      <c r="S4137" s="24"/>
      <c r="T4137" s="24"/>
    </row>
    <row r="4138">
      <c r="A4138" s="12" t="s">
        <v>4225</v>
      </c>
      <c r="F4138" s="19">
        <f>IFERROR(__xludf.DUMMYFUNCTION("SPLIT(A4134, "" |"")"),4132.0)</f>
        <v>4132</v>
      </c>
      <c r="G4138" s="19">
        <f>IFERROR(__xludf.DUMMYFUNCTION("""COMPUTED_VALUE"""),0.00224)</f>
        <v>0.00224</v>
      </c>
      <c r="H4138" s="19" t="str">
        <f>IFERROR(__xludf.DUMMYFUNCTION("""COMPUTED_VALUE"""),"-")</f>
        <v>-</v>
      </c>
      <c r="I4138" s="19">
        <f>IFERROR(__xludf.DUMMYFUNCTION("""COMPUTED_VALUE"""),0.00212)</f>
        <v>0.00212</v>
      </c>
      <c r="J4138" s="19">
        <f>IFERROR(__xludf.DUMMYFUNCTION("""COMPUTED_VALUE"""),0.04736)</f>
        <v>0.04736</v>
      </c>
      <c r="K4138" s="19" t="str">
        <f>IFERROR(__xludf.DUMMYFUNCTION("""COMPUTED_VALUE"""),"-")</f>
        <v>-</v>
      </c>
      <c r="L4138" s="19" t="str">
        <f>IFERROR(__xludf.DUMMYFUNCTION("""COMPUTED_VALUE"""),"-")</f>
        <v>-</v>
      </c>
      <c r="O4138" s="24">
        <f t="shared" si="4"/>
        <v>0</v>
      </c>
      <c r="P4138" s="24"/>
      <c r="Q4138" s="24">
        <f t="shared" si="6"/>
        <v>0</v>
      </c>
      <c r="R4138" s="24">
        <f t="shared" si="7"/>
        <v>0</v>
      </c>
      <c r="S4138" s="24"/>
      <c r="T4138" s="24"/>
    </row>
    <row r="4139">
      <c r="A4139" s="12" t="s">
        <v>4226</v>
      </c>
      <c r="F4139" s="19">
        <f>IFERROR(__xludf.DUMMYFUNCTION("SPLIT(A4135, "" |"")"),4133.0)</f>
        <v>4133</v>
      </c>
      <c r="G4139" s="19">
        <f>IFERROR(__xludf.DUMMYFUNCTION("""COMPUTED_VALUE"""),0.00232)</f>
        <v>0.00232</v>
      </c>
      <c r="H4139" s="19" t="str">
        <f>IFERROR(__xludf.DUMMYFUNCTION("""COMPUTED_VALUE"""),"-")</f>
        <v>-</v>
      </c>
      <c r="I4139" s="19">
        <f>IFERROR(__xludf.DUMMYFUNCTION("""COMPUTED_VALUE"""),0.00226)</f>
        <v>0.00226</v>
      </c>
      <c r="J4139" s="19">
        <f>IFERROR(__xludf.DUMMYFUNCTION("""COMPUTED_VALUE"""),0.04745)</f>
        <v>0.04745</v>
      </c>
      <c r="K4139" s="19" t="str">
        <f>IFERROR(__xludf.DUMMYFUNCTION("""COMPUTED_VALUE"""),"-")</f>
        <v>-</v>
      </c>
      <c r="L4139" s="19" t="str">
        <f>IFERROR(__xludf.DUMMYFUNCTION("""COMPUTED_VALUE"""),"-")</f>
        <v>-</v>
      </c>
      <c r="O4139" s="24">
        <f t="shared" si="4"/>
        <v>0</v>
      </c>
      <c r="P4139" s="24"/>
      <c r="Q4139" s="24">
        <f t="shared" si="6"/>
        <v>0</v>
      </c>
      <c r="R4139" s="24">
        <f t="shared" si="7"/>
        <v>0</v>
      </c>
      <c r="S4139" s="24"/>
      <c r="T4139" s="24"/>
    </row>
    <row r="4140">
      <c r="A4140" s="12" t="s">
        <v>4227</v>
      </c>
      <c r="F4140" s="19">
        <f>IFERROR(__xludf.DUMMYFUNCTION("SPLIT(A4136, "" |"")"),4134.0)</f>
        <v>4134</v>
      </c>
      <c r="G4140" s="19">
        <f>IFERROR(__xludf.DUMMYFUNCTION("""COMPUTED_VALUE"""),0.00232)</f>
        <v>0.00232</v>
      </c>
      <c r="H4140" s="19" t="str">
        <f>IFERROR(__xludf.DUMMYFUNCTION("""COMPUTED_VALUE"""),"-")</f>
        <v>-</v>
      </c>
      <c r="I4140" s="19">
        <f>IFERROR(__xludf.DUMMYFUNCTION("""COMPUTED_VALUE"""),0.00221)</f>
        <v>0.00221</v>
      </c>
      <c r="J4140" s="19">
        <f>IFERROR(__xludf.DUMMYFUNCTION("""COMPUTED_VALUE"""),0.0474)</f>
        <v>0.0474</v>
      </c>
      <c r="K4140" s="19" t="str">
        <f>IFERROR(__xludf.DUMMYFUNCTION("""COMPUTED_VALUE"""),"-")</f>
        <v>-</v>
      </c>
      <c r="L4140" s="19" t="str">
        <f>IFERROR(__xludf.DUMMYFUNCTION("""COMPUTED_VALUE"""),"-")</f>
        <v>-</v>
      </c>
      <c r="O4140" s="24">
        <f t="shared" si="4"/>
        <v>0</v>
      </c>
      <c r="P4140" s="24"/>
      <c r="Q4140" s="24">
        <f t="shared" si="6"/>
        <v>0</v>
      </c>
      <c r="R4140" s="24">
        <f t="shared" si="7"/>
        <v>0</v>
      </c>
      <c r="S4140" s="24"/>
      <c r="T4140" s="24"/>
    </row>
    <row r="4141">
      <c r="A4141" s="12" t="s">
        <v>4228</v>
      </c>
      <c r="F4141" s="19">
        <f>IFERROR(__xludf.DUMMYFUNCTION("SPLIT(A4137, "" |"")"),4135.0)</f>
        <v>4135</v>
      </c>
      <c r="G4141" s="19">
        <f>IFERROR(__xludf.DUMMYFUNCTION("""COMPUTED_VALUE"""),0.00237)</f>
        <v>0.00237</v>
      </c>
      <c r="H4141" s="19" t="str">
        <f>IFERROR(__xludf.DUMMYFUNCTION("""COMPUTED_VALUE"""),"-")</f>
        <v>-</v>
      </c>
      <c r="I4141" s="19">
        <f>IFERROR(__xludf.DUMMYFUNCTION("""COMPUTED_VALUE"""),0.00221)</f>
        <v>0.00221</v>
      </c>
      <c r="J4141" s="19">
        <f>IFERROR(__xludf.DUMMYFUNCTION("""COMPUTED_VALUE"""),0.04748)</f>
        <v>0.04748</v>
      </c>
      <c r="K4141" s="19" t="str">
        <f>IFERROR(__xludf.DUMMYFUNCTION("""COMPUTED_VALUE"""),"-")</f>
        <v>-</v>
      </c>
      <c r="L4141" s="19" t="str">
        <f>IFERROR(__xludf.DUMMYFUNCTION("""COMPUTED_VALUE"""),"-")</f>
        <v>-</v>
      </c>
      <c r="O4141" s="24">
        <f t="shared" si="4"/>
        <v>0</v>
      </c>
      <c r="P4141" s="24"/>
      <c r="Q4141" s="24">
        <f t="shared" si="6"/>
        <v>0</v>
      </c>
      <c r="R4141" s="24">
        <f t="shared" si="7"/>
        <v>0</v>
      </c>
      <c r="S4141" s="24"/>
      <c r="T4141" s="24"/>
    </row>
    <row r="4142">
      <c r="A4142" s="12" t="s">
        <v>4229</v>
      </c>
      <c r="F4142" s="19">
        <f>IFERROR(__xludf.DUMMYFUNCTION("SPLIT(A4138, "" |"")"),4136.0)</f>
        <v>4136</v>
      </c>
      <c r="G4142" s="19">
        <f>IFERROR(__xludf.DUMMYFUNCTION("""COMPUTED_VALUE"""),0.00233)</f>
        <v>0.00233</v>
      </c>
      <c r="H4142" s="19" t="str">
        <f>IFERROR(__xludf.DUMMYFUNCTION("""COMPUTED_VALUE"""),"-")</f>
        <v>-</v>
      </c>
      <c r="I4142" s="19">
        <f>IFERROR(__xludf.DUMMYFUNCTION("""COMPUTED_VALUE"""),0.00218)</f>
        <v>0.00218</v>
      </c>
      <c r="J4142" s="19">
        <f>IFERROR(__xludf.DUMMYFUNCTION("""COMPUTED_VALUE"""),0.04748)</f>
        <v>0.04748</v>
      </c>
      <c r="K4142" s="19" t="str">
        <f>IFERROR(__xludf.DUMMYFUNCTION("""COMPUTED_VALUE"""),"-")</f>
        <v>-</v>
      </c>
      <c r="L4142" s="19" t="str">
        <f>IFERROR(__xludf.DUMMYFUNCTION("""COMPUTED_VALUE"""),"-")</f>
        <v>-</v>
      </c>
      <c r="O4142" s="24">
        <f t="shared" si="4"/>
        <v>0</v>
      </c>
      <c r="P4142" s="24"/>
      <c r="Q4142" s="24">
        <f t="shared" si="6"/>
        <v>0</v>
      </c>
      <c r="R4142" s="24">
        <f t="shared" si="7"/>
        <v>0</v>
      </c>
      <c r="S4142" s="24"/>
      <c r="T4142" s="24"/>
    </row>
    <row r="4143">
      <c r="A4143" s="12" t="s">
        <v>4230</v>
      </c>
      <c r="F4143" s="19">
        <f>IFERROR(__xludf.DUMMYFUNCTION("SPLIT(A4139, "" |"")"),4137.0)</f>
        <v>4137</v>
      </c>
      <c r="G4143" s="19">
        <f>IFERROR(__xludf.DUMMYFUNCTION("""COMPUTED_VALUE"""),0.00233)</f>
        <v>0.00233</v>
      </c>
      <c r="H4143" s="19" t="str">
        <f>IFERROR(__xludf.DUMMYFUNCTION("""COMPUTED_VALUE"""),"-")</f>
        <v>-</v>
      </c>
      <c r="I4143" s="19">
        <f>IFERROR(__xludf.DUMMYFUNCTION("""COMPUTED_VALUE"""),0.00222)</f>
        <v>0.00222</v>
      </c>
      <c r="J4143" s="19">
        <f>IFERROR(__xludf.DUMMYFUNCTION("""COMPUTED_VALUE"""),0.04751)</f>
        <v>0.04751</v>
      </c>
      <c r="K4143" s="19" t="str">
        <f>IFERROR(__xludf.DUMMYFUNCTION("""COMPUTED_VALUE"""),"-")</f>
        <v>-</v>
      </c>
      <c r="L4143" s="19" t="str">
        <f>IFERROR(__xludf.DUMMYFUNCTION("""COMPUTED_VALUE"""),"-")</f>
        <v>-</v>
      </c>
      <c r="O4143" s="24">
        <f t="shared" si="4"/>
        <v>0</v>
      </c>
      <c r="P4143" s="24"/>
      <c r="Q4143" s="24">
        <f t="shared" si="6"/>
        <v>0</v>
      </c>
      <c r="R4143" s="24">
        <f t="shared" si="7"/>
        <v>0</v>
      </c>
      <c r="S4143" s="24"/>
      <c r="T4143" s="24"/>
    </row>
    <row r="4144">
      <c r="A4144" s="12" t="s">
        <v>4231</v>
      </c>
      <c r="F4144" s="19">
        <f>IFERROR(__xludf.DUMMYFUNCTION("SPLIT(A4140, "" |"")"),4138.0)</f>
        <v>4138</v>
      </c>
      <c r="G4144" s="19">
        <f>IFERROR(__xludf.DUMMYFUNCTION("""COMPUTED_VALUE"""),0.00249)</f>
        <v>0.00249</v>
      </c>
      <c r="H4144" s="19" t="str">
        <f>IFERROR(__xludf.DUMMYFUNCTION("""COMPUTED_VALUE"""),"-")</f>
        <v>-</v>
      </c>
      <c r="I4144" s="19">
        <f>IFERROR(__xludf.DUMMYFUNCTION("""COMPUTED_VALUE"""),0.00225)</f>
        <v>0.00225</v>
      </c>
      <c r="J4144" s="19">
        <f>IFERROR(__xludf.DUMMYFUNCTION("""COMPUTED_VALUE"""),0.04749)</f>
        <v>0.04749</v>
      </c>
      <c r="K4144" s="19" t="str">
        <f>IFERROR(__xludf.DUMMYFUNCTION("""COMPUTED_VALUE"""),"-")</f>
        <v>-</v>
      </c>
      <c r="L4144" s="19" t="str">
        <f>IFERROR(__xludf.DUMMYFUNCTION("""COMPUTED_VALUE"""),"-")</f>
        <v>-</v>
      </c>
      <c r="O4144" s="24">
        <f t="shared" si="4"/>
        <v>0</v>
      </c>
      <c r="P4144" s="24"/>
      <c r="Q4144" s="24">
        <f t="shared" si="6"/>
        <v>0</v>
      </c>
      <c r="R4144" s="24">
        <f t="shared" si="7"/>
        <v>0</v>
      </c>
      <c r="S4144" s="24"/>
      <c r="T4144" s="24"/>
    </row>
    <row r="4145">
      <c r="A4145" s="12" t="s">
        <v>4232</v>
      </c>
      <c r="F4145" s="19">
        <f>IFERROR(__xludf.DUMMYFUNCTION("SPLIT(A4141, "" |"")"),4139.0)</f>
        <v>4139</v>
      </c>
      <c r="G4145" s="19">
        <f>IFERROR(__xludf.DUMMYFUNCTION("""COMPUTED_VALUE"""),0.00233)</f>
        <v>0.00233</v>
      </c>
      <c r="H4145" s="19" t="str">
        <f>IFERROR(__xludf.DUMMYFUNCTION("""COMPUTED_VALUE"""),"-")</f>
        <v>-</v>
      </c>
      <c r="I4145" s="19">
        <f>IFERROR(__xludf.DUMMYFUNCTION("""COMPUTED_VALUE"""),0.00219)</f>
        <v>0.00219</v>
      </c>
      <c r="J4145" s="19">
        <f>IFERROR(__xludf.DUMMYFUNCTION("""COMPUTED_VALUE"""),0.04735)</f>
        <v>0.04735</v>
      </c>
      <c r="K4145" s="19" t="str">
        <f>IFERROR(__xludf.DUMMYFUNCTION("""COMPUTED_VALUE"""),"-")</f>
        <v>-</v>
      </c>
      <c r="L4145" s="19" t="str">
        <f>IFERROR(__xludf.DUMMYFUNCTION("""COMPUTED_VALUE"""),"-")</f>
        <v>-</v>
      </c>
      <c r="O4145" s="24">
        <f t="shared" si="4"/>
        <v>0</v>
      </c>
      <c r="P4145" s="24"/>
      <c r="Q4145" s="24">
        <f t="shared" si="6"/>
        <v>0</v>
      </c>
      <c r="R4145" s="24">
        <f t="shared" si="7"/>
        <v>0</v>
      </c>
      <c r="S4145" s="24"/>
      <c r="T4145" s="24"/>
    </row>
    <row r="4146">
      <c r="A4146" s="12" t="s">
        <v>4233</v>
      </c>
      <c r="F4146" s="19">
        <f>IFERROR(__xludf.DUMMYFUNCTION("SPLIT(A4142, "" |"")"),4140.0)</f>
        <v>4140</v>
      </c>
      <c r="G4146" s="19">
        <f>IFERROR(__xludf.DUMMYFUNCTION("""COMPUTED_VALUE"""),0.00233)</f>
        <v>0.00233</v>
      </c>
      <c r="H4146" s="19" t="str">
        <f>IFERROR(__xludf.DUMMYFUNCTION("""COMPUTED_VALUE"""),"-")</f>
        <v>-</v>
      </c>
      <c r="I4146" s="19">
        <f>IFERROR(__xludf.DUMMYFUNCTION("""COMPUTED_VALUE"""),0.00225)</f>
        <v>0.00225</v>
      </c>
      <c r="J4146" s="19">
        <f>IFERROR(__xludf.DUMMYFUNCTION("""COMPUTED_VALUE"""),0.0474)</f>
        <v>0.0474</v>
      </c>
      <c r="K4146" s="19" t="str">
        <f>IFERROR(__xludf.DUMMYFUNCTION("""COMPUTED_VALUE"""),"-")</f>
        <v>-</v>
      </c>
      <c r="L4146" s="19" t="str">
        <f>IFERROR(__xludf.DUMMYFUNCTION("""COMPUTED_VALUE"""),"-")</f>
        <v>-</v>
      </c>
      <c r="O4146" s="24">
        <f t="shared" si="4"/>
        <v>0</v>
      </c>
      <c r="P4146" s="24"/>
      <c r="Q4146" s="24">
        <f t="shared" si="6"/>
        <v>0</v>
      </c>
      <c r="R4146" s="24">
        <f t="shared" si="7"/>
        <v>0</v>
      </c>
      <c r="S4146" s="24"/>
      <c r="T4146" s="24"/>
    </row>
    <row r="4147">
      <c r="A4147" s="12" t="s">
        <v>4234</v>
      </c>
      <c r="F4147" s="19">
        <f>IFERROR(__xludf.DUMMYFUNCTION("SPLIT(A4143, "" |"")"),4141.0)</f>
        <v>4141</v>
      </c>
      <c r="G4147" s="19">
        <f>IFERROR(__xludf.DUMMYFUNCTION("""COMPUTED_VALUE"""),0.00237)</f>
        <v>0.00237</v>
      </c>
      <c r="H4147" s="19" t="str">
        <f>IFERROR(__xludf.DUMMYFUNCTION("""COMPUTED_VALUE"""),"-")</f>
        <v>-</v>
      </c>
      <c r="I4147" s="19">
        <f>IFERROR(__xludf.DUMMYFUNCTION("""COMPUTED_VALUE"""),0.00224)</f>
        <v>0.00224</v>
      </c>
      <c r="J4147" s="19">
        <f>IFERROR(__xludf.DUMMYFUNCTION("""COMPUTED_VALUE"""),0.0475)</f>
        <v>0.0475</v>
      </c>
      <c r="K4147" s="19" t="str">
        <f>IFERROR(__xludf.DUMMYFUNCTION("""COMPUTED_VALUE"""),"-")</f>
        <v>-</v>
      </c>
      <c r="L4147" s="19" t="str">
        <f>IFERROR(__xludf.DUMMYFUNCTION("""COMPUTED_VALUE"""),"-")</f>
        <v>-</v>
      </c>
      <c r="O4147" s="24">
        <f t="shared" si="4"/>
        <v>0</v>
      </c>
      <c r="P4147" s="24"/>
      <c r="Q4147" s="24">
        <f t="shared" si="6"/>
        <v>0</v>
      </c>
      <c r="R4147" s="24">
        <f t="shared" si="7"/>
        <v>0</v>
      </c>
      <c r="S4147" s="24"/>
      <c r="T4147" s="24"/>
    </row>
    <row r="4148">
      <c r="A4148" s="12" t="s">
        <v>4235</v>
      </c>
      <c r="F4148" s="19">
        <f>IFERROR(__xludf.DUMMYFUNCTION("SPLIT(A4144, "" |"")"),4142.0)</f>
        <v>4142</v>
      </c>
      <c r="G4148" s="19">
        <f>IFERROR(__xludf.DUMMYFUNCTION("""COMPUTED_VALUE"""),0.0024)</f>
        <v>0.0024</v>
      </c>
      <c r="H4148" s="19" t="str">
        <f>IFERROR(__xludf.DUMMYFUNCTION("""COMPUTED_VALUE"""),"-")</f>
        <v>-</v>
      </c>
      <c r="I4148" s="19">
        <f>IFERROR(__xludf.DUMMYFUNCTION("""COMPUTED_VALUE"""),0.00221)</f>
        <v>0.00221</v>
      </c>
      <c r="J4148" s="19">
        <f>IFERROR(__xludf.DUMMYFUNCTION("""COMPUTED_VALUE"""),0.04746)</f>
        <v>0.04746</v>
      </c>
      <c r="K4148" s="19" t="str">
        <f>IFERROR(__xludf.DUMMYFUNCTION("""COMPUTED_VALUE"""),"-")</f>
        <v>-</v>
      </c>
      <c r="L4148" s="19" t="str">
        <f>IFERROR(__xludf.DUMMYFUNCTION("""COMPUTED_VALUE"""),"-")</f>
        <v>-</v>
      </c>
      <c r="O4148" s="24">
        <f t="shared" si="4"/>
        <v>0</v>
      </c>
      <c r="P4148" s="24"/>
      <c r="Q4148" s="24">
        <f t="shared" si="6"/>
        <v>0</v>
      </c>
      <c r="R4148" s="24">
        <f t="shared" si="7"/>
        <v>0</v>
      </c>
      <c r="S4148" s="24"/>
      <c r="T4148" s="24"/>
    </row>
    <row r="4149">
      <c r="A4149" s="12" t="s">
        <v>4236</v>
      </c>
      <c r="F4149" s="19">
        <f>IFERROR(__xludf.DUMMYFUNCTION("SPLIT(A4145, "" |"")"),4143.0)</f>
        <v>4143</v>
      </c>
      <c r="G4149" s="19">
        <f>IFERROR(__xludf.DUMMYFUNCTION("""COMPUTED_VALUE"""),0.00231)</f>
        <v>0.00231</v>
      </c>
      <c r="H4149" s="19" t="str">
        <f>IFERROR(__xludf.DUMMYFUNCTION("""COMPUTED_VALUE"""),"-")</f>
        <v>-</v>
      </c>
      <c r="I4149" s="19">
        <f>IFERROR(__xludf.DUMMYFUNCTION("""COMPUTED_VALUE"""),0.00221)</f>
        <v>0.00221</v>
      </c>
      <c r="J4149" s="19">
        <f>IFERROR(__xludf.DUMMYFUNCTION("""COMPUTED_VALUE"""),0.04737)</f>
        <v>0.04737</v>
      </c>
      <c r="K4149" s="19" t="str">
        <f>IFERROR(__xludf.DUMMYFUNCTION("""COMPUTED_VALUE"""),"-")</f>
        <v>-</v>
      </c>
      <c r="L4149" s="19" t="str">
        <f>IFERROR(__xludf.DUMMYFUNCTION("""COMPUTED_VALUE"""),"-")</f>
        <v>-</v>
      </c>
      <c r="O4149" s="24">
        <f t="shared" si="4"/>
        <v>0</v>
      </c>
      <c r="P4149" s="24"/>
      <c r="Q4149" s="24">
        <f t="shared" si="6"/>
        <v>0</v>
      </c>
      <c r="R4149" s="24">
        <f t="shared" si="7"/>
        <v>0</v>
      </c>
      <c r="S4149" s="24"/>
      <c r="T4149" s="24"/>
    </row>
    <row r="4150">
      <c r="A4150" s="12" t="s">
        <v>4237</v>
      </c>
      <c r="F4150" s="19">
        <f>IFERROR(__xludf.DUMMYFUNCTION("SPLIT(A4146, "" |"")"),4144.0)</f>
        <v>4144</v>
      </c>
      <c r="G4150" s="19">
        <f>IFERROR(__xludf.DUMMYFUNCTION("""COMPUTED_VALUE"""),0.00217)</f>
        <v>0.00217</v>
      </c>
      <c r="H4150" s="19" t="str">
        <f>IFERROR(__xludf.DUMMYFUNCTION("""COMPUTED_VALUE"""),"-")</f>
        <v>-</v>
      </c>
      <c r="I4150" s="19">
        <f>IFERROR(__xludf.DUMMYFUNCTION("""COMPUTED_VALUE"""),0.0021)</f>
        <v>0.0021</v>
      </c>
      <c r="J4150" s="19">
        <f>IFERROR(__xludf.DUMMYFUNCTION("""COMPUTED_VALUE"""),0.04746)</f>
        <v>0.04746</v>
      </c>
      <c r="K4150" s="19" t="str">
        <f>IFERROR(__xludf.DUMMYFUNCTION("""COMPUTED_VALUE"""),"-")</f>
        <v>-</v>
      </c>
      <c r="L4150" s="19" t="str">
        <f>IFERROR(__xludf.DUMMYFUNCTION("""COMPUTED_VALUE"""),"-")</f>
        <v>-</v>
      </c>
      <c r="O4150" s="24">
        <f t="shared" si="4"/>
        <v>0</v>
      </c>
      <c r="P4150" s="24"/>
      <c r="Q4150" s="24">
        <f t="shared" si="6"/>
        <v>0</v>
      </c>
      <c r="R4150" s="24">
        <f t="shared" si="7"/>
        <v>0</v>
      </c>
      <c r="S4150" s="24"/>
      <c r="T4150" s="24"/>
    </row>
    <row r="4151">
      <c r="A4151" s="12" t="s">
        <v>4238</v>
      </c>
      <c r="F4151" s="19">
        <f>IFERROR(__xludf.DUMMYFUNCTION("SPLIT(A4147, "" |"")"),4145.0)</f>
        <v>4145</v>
      </c>
      <c r="G4151" s="19">
        <f>IFERROR(__xludf.DUMMYFUNCTION("""COMPUTED_VALUE"""),0.00232)</f>
        <v>0.00232</v>
      </c>
      <c r="H4151" s="19" t="str">
        <f>IFERROR(__xludf.DUMMYFUNCTION("""COMPUTED_VALUE"""),"-")</f>
        <v>-</v>
      </c>
      <c r="I4151" s="19">
        <f>IFERROR(__xludf.DUMMYFUNCTION("""COMPUTED_VALUE"""),0.00219)</f>
        <v>0.00219</v>
      </c>
      <c r="J4151" s="19">
        <f>IFERROR(__xludf.DUMMYFUNCTION("""COMPUTED_VALUE"""),0.04066)</f>
        <v>0.04066</v>
      </c>
      <c r="K4151" s="19" t="str">
        <f>IFERROR(__xludf.DUMMYFUNCTION("""COMPUTED_VALUE"""),"-")</f>
        <v>-</v>
      </c>
      <c r="L4151" s="19" t="str">
        <f>IFERROR(__xludf.DUMMYFUNCTION("""COMPUTED_VALUE"""),"-")</f>
        <v>-</v>
      </c>
      <c r="O4151" s="24">
        <f t="shared" si="4"/>
        <v>0</v>
      </c>
      <c r="P4151" s="24"/>
      <c r="Q4151" s="24">
        <f t="shared" si="6"/>
        <v>0</v>
      </c>
      <c r="R4151" s="24">
        <f t="shared" si="7"/>
        <v>1</v>
      </c>
      <c r="S4151" s="24"/>
      <c r="T4151" s="24"/>
    </row>
    <row r="4152">
      <c r="A4152" s="12" t="s">
        <v>4239</v>
      </c>
      <c r="F4152" s="19">
        <f>IFERROR(__xludf.DUMMYFUNCTION("SPLIT(A4148, "" |"")"),4146.0)</f>
        <v>4146</v>
      </c>
      <c r="G4152" s="19">
        <f>IFERROR(__xludf.DUMMYFUNCTION("""COMPUTED_VALUE"""),0.00231)</f>
        <v>0.00231</v>
      </c>
      <c r="H4152" s="19" t="str">
        <f>IFERROR(__xludf.DUMMYFUNCTION("""COMPUTED_VALUE"""),"-")</f>
        <v>-</v>
      </c>
      <c r="I4152" s="19">
        <f>IFERROR(__xludf.DUMMYFUNCTION("""COMPUTED_VALUE"""),0.00217)</f>
        <v>0.00217</v>
      </c>
      <c r="J4152" s="19">
        <f>IFERROR(__xludf.DUMMYFUNCTION("""COMPUTED_VALUE"""),0.0474)</f>
        <v>0.0474</v>
      </c>
      <c r="K4152" s="19" t="str">
        <f>IFERROR(__xludf.DUMMYFUNCTION("""COMPUTED_VALUE"""),"-")</f>
        <v>-</v>
      </c>
      <c r="L4152" s="19" t="str">
        <f>IFERROR(__xludf.DUMMYFUNCTION("""COMPUTED_VALUE"""),"-")</f>
        <v>-</v>
      </c>
      <c r="O4152" s="24">
        <f t="shared" si="4"/>
        <v>0</v>
      </c>
      <c r="P4152" s="24"/>
      <c r="Q4152" s="24">
        <f t="shared" si="6"/>
        <v>0</v>
      </c>
      <c r="R4152" s="24">
        <f t="shared" si="7"/>
        <v>0</v>
      </c>
      <c r="S4152" s="24"/>
      <c r="T4152" s="24"/>
    </row>
    <row r="4153">
      <c r="A4153" s="12" t="s">
        <v>4240</v>
      </c>
      <c r="F4153" s="19">
        <f>IFERROR(__xludf.DUMMYFUNCTION("SPLIT(A4149, "" |"")"),4147.0)</f>
        <v>4147</v>
      </c>
      <c r="G4153" s="19">
        <f>IFERROR(__xludf.DUMMYFUNCTION("""COMPUTED_VALUE"""),0.00228)</f>
        <v>0.00228</v>
      </c>
      <c r="H4153" s="19" t="str">
        <f>IFERROR(__xludf.DUMMYFUNCTION("""COMPUTED_VALUE"""),"-")</f>
        <v>-</v>
      </c>
      <c r="I4153" s="19">
        <f>IFERROR(__xludf.DUMMYFUNCTION("""COMPUTED_VALUE"""),0.00212)</f>
        <v>0.00212</v>
      </c>
      <c r="J4153" s="19">
        <f>IFERROR(__xludf.DUMMYFUNCTION("""COMPUTED_VALUE"""),0.04733)</f>
        <v>0.04733</v>
      </c>
      <c r="K4153" s="19" t="str">
        <f>IFERROR(__xludf.DUMMYFUNCTION("""COMPUTED_VALUE"""),"-")</f>
        <v>-</v>
      </c>
      <c r="L4153" s="19" t="str">
        <f>IFERROR(__xludf.DUMMYFUNCTION("""COMPUTED_VALUE"""),"-")</f>
        <v>-</v>
      </c>
      <c r="O4153" s="24">
        <f t="shared" si="4"/>
        <v>0</v>
      </c>
      <c r="P4153" s="24"/>
      <c r="Q4153" s="24">
        <f t="shared" si="6"/>
        <v>0</v>
      </c>
      <c r="R4153" s="24">
        <f t="shared" si="7"/>
        <v>0</v>
      </c>
      <c r="S4153" s="24"/>
      <c r="T4153" s="24"/>
    </row>
    <row r="4154">
      <c r="A4154" s="12" t="s">
        <v>4241</v>
      </c>
      <c r="F4154" s="19">
        <f>IFERROR(__xludf.DUMMYFUNCTION("SPLIT(A4150, "" |"")"),4148.0)</f>
        <v>4148</v>
      </c>
      <c r="G4154" s="19">
        <f>IFERROR(__xludf.DUMMYFUNCTION("""COMPUTED_VALUE"""),0.00227)</f>
        <v>0.00227</v>
      </c>
      <c r="H4154" s="19" t="str">
        <f>IFERROR(__xludf.DUMMYFUNCTION("""COMPUTED_VALUE"""),"-")</f>
        <v>-</v>
      </c>
      <c r="I4154" s="19">
        <f>IFERROR(__xludf.DUMMYFUNCTION("""COMPUTED_VALUE"""),0.0021)</f>
        <v>0.0021</v>
      </c>
      <c r="J4154" s="19">
        <f>IFERROR(__xludf.DUMMYFUNCTION("""COMPUTED_VALUE"""),0.04736)</f>
        <v>0.04736</v>
      </c>
      <c r="K4154" s="19" t="str">
        <f>IFERROR(__xludf.DUMMYFUNCTION("""COMPUTED_VALUE"""),"-")</f>
        <v>-</v>
      </c>
      <c r="L4154" s="19" t="str">
        <f>IFERROR(__xludf.DUMMYFUNCTION("""COMPUTED_VALUE"""),"-")</f>
        <v>-</v>
      </c>
      <c r="O4154" s="24">
        <f t="shared" si="4"/>
        <v>0</v>
      </c>
      <c r="P4154" s="24"/>
      <c r="Q4154" s="24">
        <f t="shared" si="6"/>
        <v>0</v>
      </c>
      <c r="R4154" s="24">
        <f t="shared" si="7"/>
        <v>0</v>
      </c>
      <c r="S4154" s="24"/>
      <c r="T4154" s="24"/>
    </row>
    <row r="4155">
      <c r="A4155" s="12" t="s">
        <v>4242</v>
      </c>
      <c r="F4155" s="19">
        <f>IFERROR(__xludf.DUMMYFUNCTION("SPLIT(A4151, "" |"")"),4149.0)</f>
        <v>4149</v>
      </c>
      <c r="G4155" s="19">
        <f>IFERROR(__xludf.DUMMYFUNCTION("""COMPUTED_VALUE"""),0.00239)</f>
        <v>0.00239</v>
      </c>
      <c r="H4155" s="19" t="str">
        <f>IFERROR(__xludf.DUMMYFUNCTION("""COMPUTED_VALUE"""),"-")</f>
        <v>-</v>
      </c>
      <c r="I4155" s="19">
        <f>IFERROR(__xludf.DUMMYFUNCTION("""COMPUTED_VALUE"""),0.0022)</f>
        <v>0.0022</v>
      </c>
      <c r="J4155" s="19">
        <f>IFERROR(__xludf.DUMMYFUNCTION("""COMPUTED_VALUE"""),0.04751)</f>
        <v>0.04751</v>
      </c>
      <c r="K4155" s="19" t="str">
        <f>IFERROR(__xludf.DUMMYFUNCTION("""COMPUTED_VALUE"""),"-")</f>
        <v>-</v>
      </c>
      <c r="L4155" s="19" t="str">
        <f>IFERROR(__xludf.DUMMYFUNCTION("""COMPUTED_VALUE"""),"-")</f>
        <v>-</v>
      </c>
      <c r="O4155" s="24">
        <f t="shared" si="4"/>
        <v>0</v>
      </c>
      <c r="P4155" s="24"/>
      <c r="Q4155" s="24">
        <f t="shared" si="6"/>
        <v>0</v>
      </c>
      <c r="R4155" s="24">
        <f t="shared" si="7"/>
        <v>0</v>
      </c>
      <c r="S4155" s="24"/>
      <c r="T4155" s="24"/>
    </row>
    <row r="4156">
      <c r="A4156" s="12" t="s">
        <v>4243</v>
      </c>
      <c r="F4156" s="19">
        <f>IFERROR(__xludf.DUMMYFUNCTION("SPLIT(A4152, "" |"")"),4150.0)</f>
        <v>4150</v>
      </c>
      <c r="G4156" s="19">
        <f>IFERROR(__xludf.DUMMYFUNCTION("""COMPUTED_VALUE"""),0.00243)</f>
        <v>0.00243</v>
      </c>
      <c r="H4156" s="19" t="str">
        <f>IFERROR(__xludf.DUMMYFUNCTION("""COMPUTED_VALUE"""),"-")</f>
        <v>-</v>
      </c>
      <c r="I4156" s="19">
        <f>IFERROR(__xludf.DUMMYFUNCTION("""COMPUTED_VALUE"""),0.00223)</f>
        <v>0.00223</v>
      </c>
      <c r="J4156" s="19">
        <f>IFERROR(__xludf.DUMMYFUNCTION("""COMPUTED_VALUE"""),0.0473)</f>
        <v>0.0473</v>
      </c>
      <c r="K4156" s="19" t="str">
        <f>IFERROR(__xludf.DUMMYFUNCTION("""COMPUTED_VALUE"""),"-")</f>
        <v>-</v>
      </c>
      <c r="L4156" s="19" t="str">
        <f>IFERROR(__xludf.DUMMYFUNCTION("""COMPUTED_VALUE"""),"-")</f>
        <v>-</v>
      </c>
      <c r="O4156" s="24">
        <f t="shared" si="4"/>
        <v>0</v>
      </c>
      <c r="P4156" s="24"/>
      <c r="Q4156" s="24">
        <f t="shared" si="6"/>
        <v>0</v>
      </c>
      <c r="R4156" s="24">
        <f t="shared" si="7"/>
        <v>0</v>
      </c>
      <c r="S4156" s="24"/>
      <c r="T4156" s="24"/>
    </row>
    <row r="4157">
      <c r="A4157" s="12" t="s">
        <v>4244</v>
      </c>
      <c r="F4157" s="19">
        <f>IFERROR(__xludf.DUMMYFUNCTION("SPLIT(A4153, "" |"")"),4151.0)</f>
        <v>4151</v>
      </c>
      <c r="G4157" s="19">
        <f>IFERROR(__xludf.DUMMYFUNCTION("""COMPUTED_VALUE"""),0.00231)</f>
        <v>0.00231</v>
      </c>
      <c r="H4157" s="19" t="str">
        <f>IFERROR(__xludf.DUMMYFUNCTION("""COMPUTED_VALUE"""),"-")</f>
        <v>-</v>
      </c>
      <c r="I4157" s="19">
        <f>IFERROR(__xludf.DUMMYFUNCTION("""COMPUTED_VALUE"""),0.00218)</f>
        <v>0.00218</v>
      </c>
      <c r="J4157" s="19">
        <f>IFERROR(__xludf.DUMMYFUNCTION("""COMPUTED_VALUE"""),0.04393)</f>
        <v>0.04393</v>
      </c>
      <c r="K4157" s="19" t="str">
        <f>IFERROR(__xludf.DUMMYFUNCTION("""COMPUTED_VALUE"""),"-")</f>
        <v>-</v>
      </c>
      <c r="L4157" s="19" t="str">
        <f>IFERROR(__xludf.DUMMYFUNCTION("""COMPUTED_VALUE"""),"-")</f>
        <v>-</v>
      </c>
      <c r="O4157" s="24">
        <f t="shared" si="4"/>
        <v>0</v>
      </c>
      <c r="P4157" s="24"/>
      <c r="Q4157" s="24">
        <f t="shared" si="6"/>
        <v>0</v>
      </c>
      <c r="R4157" s="24">
        <f t="shared" si="7"/>
        <v>1</v>
      </c>
      <c r="S4157" s="24"/>
      <c r="T4157" s="24"/>
    </row>
    <row r="4158">
      <c r="A4158" s="12" t="s">
        <v>4245</v>
      </c>
      <c r="F4158" s="19">
        <f>IFERROR(__xludf.DUMMYFUNCTION("SPLIT(A4154, "" |"")"),4152.0)</f>
        <v>4152</v>
      </c>
      <c r="G4158" s="19">
        <f>IFERROR(__xludf.DUMMYFUNCTION("""COMPUTED_VALUE"""),0.00225)</f>
        <v>0.00225</v>
      </c>
      <c r="H4158" s="19" t="str">
        <f>IFERROR(__xludf.DUMMYFUNCTION("""COMPUTED_VALUE"""),"-")</f>
        <v>-</v>
      </c>
      <c r="I4158" s="19">
        <f>IFERROR(__xludf.DUMMYFUNCTION("""COMPUTED_VALUE"""),0.00218)</f>
        <v>0.00218</v>
      </c>
      <c r="J4158" s="19">
        <f>IFERROR(__xludf.DUMMYFUNCTION("""COMPUTED_VALUE"""),0.04478)</f>
        <v>0.04478</v>
      </c>
      <c r="K4158" s="19" t="str">
        <f>IFERROR(__xludf.DUMMYFUNCTION("""COMPUTED_VALUE"""),"-")</f>
        <v>-</v>
      </c>
      <c r="L4158" s="19" t="str">
        <f>IFERROR(__xludf.DUMMYFUNCTION("""COMPUTED_VALUE"""),"-")</f>
        <v>-</v>
      </c>
      <c r="O4158" s="24">
        <f t="shared" si="4"/>
        <v>0</v>
      </c>
      <c r="P4158" s="24"/>
      <c r="Q4158" s="24">
        <f t="shared" si="6"/>
        <v>0</v>
      </c>
      <c r="R4158" s="24">
        <f t="shared" si="7"/>
        <v>1</v>
      </c>
      <c r="S4158" s="24"/>
      <c r="T4158" s="24"/>
    </row>
    <row r="4159">
      <c r="A4159" s="12" t="s">
        <v>4246</v>
      </c>
      <c r="F4159" s="19">
        <f>IFERROR(__xludf.DUMMYFUNCTION("SPLIT(A4155, "" |"")"),4153.0)</f>
        <v>4153</v>
      </c>
      <c r="G4159" s="19">
        <f>IFERROR(__xludf.DUMMYFUNCTION("""COMPUTED_VALUE"""),0.00228)</f>
        <v>0.00228</v>
      </c>
      <c r="H4159" s="19" t="str">
        <f>IFERROR(__xludf.DUMMYFUNCTION("""COMPUTED_VALUE"""),"-")</f>
        <v>-</v>
      </c>
      <c r="I4159" s="19">
        <f>IFERROR(__xludf.DUMMYFUNCTION("""COMPUTED_VALUE"""),0.00218)</f>
        <v>0.00218</v>
      </c>
      <c r="J4159" s="19">
        <f>IFERROR(__xludf.DUMMYFUNCTION("""COMPUTED_VALUE"""),0.04747)</f>
        <v>0.04747</v>
      </c>
      <c r="K4159" s="19" t="str">
        <f>IFERROR(__xludf.DUMMYFUNCTION("""COMPUTED_VALUE"""),"-")</f>
        <v>-</v>
      </c>
      <c r="L4159" s="19" t="str">
        <f>IFERROR(__xludf.DUMMYFUNCTION("""COMPUTED_VALUE"""),"-")</f>
        <v>-</v>
      </c>
      <c r="O4159" s="24">
        <f t="shared" si="4"/>
        <v>0</v>
      </c>
      <c r="P4159" s="24"/>
      <c r="Q4159" s="24">
        <f t="shared" si="6"/>
        <v>0</v>
      </c>
      <c r="R4159" s="24">
        <f t="shared" si="7"/>
        <v>0</v>
      </c>
      <c r="S4159" s="24"/>
      <c r="T4159" s="24"/>
    </row>
    <row r="4160">
      <c r="A4160" s="12" t="s">
        <v>4247</v>
      </c>
      <c r="F4160" s="19">
        <f>IFERROR(__xludf.DUMMYFUNCTION("SPLIT(A4156, "" |"")"),4154.0)</f>
        <v>4154</v>
      </c>
      <c r="G4160" s="19">
        <f>IFERROR(__xludf.DUMMYFUNCTION("""COMPUTED_VALUE"""),0.00237)</f>
        <v>0.00237</v>
      </c>
      <c r="H4160" s="19" t="str">
        <f>IFERROR(__xludf.DUMMYFUNCTION("""COMPUTED_VALUE"""),"-")</f>
        <v>-</v>
      </c>
      <c r="I4160" s="19">
        <f>IFERROR(__xludf.DUMMYFUNCTION("""COMPUTED_VALUE"""),0.0022)</f>
        <v>0.0022</v>
      </c>
      <c r="J4160" s="19">
        <f>IFERROR(__xludf.DUMMYFUNCTION("""COMPUTED_VALUE"""),0.04747)</f>
        <v>0.04747</v>
      </c>
      <c r="K4160" s="19" t="str">
        <f>IFERROR(__xludf.DUMMYFUNCTION("""COMPUTED_VALUE"""),"-")</f>
        <v>-</v>
      </c>
      <c r="L4160" s="19" t="str">
        <f>IFERROR(__xludf.DUMMYFUNCTION("""COMPUTED_VALUE"""),"-")</f>
        <v>-</v>
      </c>
      <c r="O4160" s="24">
        <f t="shared" si="4"/>
        <v>0</v>
      </c>
      <c r="P4160" s="24"/>
      <c r="Q4160" s="24">
        <f t="shared" si="6"/>
        <v>0</v>
      </c>
      <c r="R4160" s="24">
        <f t="shared" si="7"/>
        <v>0</v>
      </c>
      <c r="S4160" s="24"/>
      <c r="T4160" s="24"/>
    </row>
    <row r="4161">
      <c r="A4161" s="12" t="s">
        <v>4248</v>
      </c>
      <c r="F4161" s="19">
        <f>IFERROR(__xludf.DUMMYFUNCTION("SPLIT(A4157, "" |"")"),4155.0)</f>
        <v>4155</v>
      </c>
      <c r="G4161" s="19">
        <f>IFERROR(__xludf.DUMMYFUNCTION("""COMPUTED_VALUE"""),0.00234)</f>
        <v>0.00234</v>
      </c>
      <c r="H4161" s="19" t="str">
        <f>IFERROR(__xludf.DUMMYFUNCTION("""COMPUTED_VALUE"""),"-")</f>
        <v>-</v>
      </c>
      <c r="I4161" s="19">
        <f>IFERROR(__xludf.DUMMYFUNCTION("""COMPUTED_VALUE"""),0.00221)</f>
        <v>0.00221</v>
      </c>
      <c r="J4161" s="19">
        <f>IFERROR(__xludf.DUMMYFUNCTION("""COMPUTED_VALUE"""),0.04349)</f>
        <v>0.04349</v>
      </c>
      <c r="K4161" s="19" t="str">
        <f>IFERROR(__xludf.DUMMYFUNCTION("""COMPUTED_VALUE"""),"-")</f>
        <v>-</v>
      </c>
      <c r="L4161" s="19" t="str">
        <f>IFERROR(__xludf.DUMMYFUNCTION("""COMPUTED_VALUE"""),"-")</f>
        <v>-</v>
      </c>
      <c r="O4161" s="24">
        <f t="shared" si="4"/>
        <v>0</v>
      </c>
      <c r="P4161" s="24"/>
      <c r="Q4161" s="24">
        <f t="shared" si="6"/>
        <v>0</v>
      </c>
      <c r="R4161" s="24">
        <f t="shared" si="7"/>
        <v>1</v>
      </c>
      <c r="S4161" s="24"/>
      <c r="T4161" s="24"/>
    </row>
    <row r="4162">
      <c r="A4162" s="12" t="s">
        <v>4249</v>
      </c>
      <c r="F4162" s="19">
        <f>IFERROR(__xludf.DUMMYFUNCTION("SPLIT(A4158, "" |"")"),4156.0)</f>
        <v>4156</v>
      </c>
      <c r="G4162" s="19">
        <f>IFERROR(__xludf.DUMMYFUNCTION("""COMPUTED_VALUE"""),0.00237)</f>
        <v>0.00237</v>
      </c>
      <c r="H4162" s="19" t="str">
        <f>IFERROR(__xludf.DUMMYFUNCTION("""COMPUTED_VALUE"""),"-")</f>
        <v>-</v>
      </c>
      <c r="I4162" s="19">
        <f>IFERROR(__xludf.DUMMYFUNCTION("""COMPUTED_VALUE"""),0.00223)</f>
        <v>0.00223</v>
      </c>
      <c r="J4162" s="19">
        <f>IFERROR(__xludf.DUMMYFUNCTION("""COMPUTED_VALUE"""),0.04743)</f>
        <v>0.04743</v>
      </c>
      <c r="K4162" s="19" t="str">
        <f>IFERROR(__xludf.DUMMYFUNCTION("""COMPUTED_VALUE"""),"-")</f>
        <v>-</v>
      </c>
      <c r="L4162" s="19" t="str">
        <f>IFERROR(__xludf.DUMMYFUNCTION("""COMPUTED_VALUE"""),"-")</f>
        <v>-</v>
      </c>
      <c r="O4162" s="24">
        <f t="shared" si="4"/>
        <v>0</v>
      </c>
      <c r="P4162" s="24"/>
      <c r="Q4162" s="24">
        <f t="shared" si="6"/>
        <v>0</v>
      </c>
      <c r="R4162" s="24">
        <f t="shared" si="7"/>
        <v>0</v>
      </c>
      <c r="S4162" s="24"/>
      <c r="T4162" s="24"/>
    </row>
    <row r="4163">
      <c r="A4163" s="12" t="s">
        <v>4250</v>
      </c>
      <c r="F4163" s="19">
        <f>IFERROR(__xludf.DUMMYFUNCTION("SPLIT(A4159, "" |"")"),4157.0)</f>
        <v>4157</v>
      </c>
      <c r="G4163" s="19">
        <f>IFERROR(__xludf.DUMMYFUNCTION("""COMPUTED_VALUE"""),0.00224)</f>
        <v>0.00224</v>
      </c>
      <c r="H4163" s="19" t="str">
        <f>IFERROR(__xludf.DUMMYFUNCTION("""COMPUTED_VALUE"""),"-")</f>
        <v>-</v>
      </c>
      <c r="I4163" s="19">
        <f>IFERROR(__xludf.DUMMYFUNCTION("""COMPUTED_VALUE"""),0.00213)</f>
        <v>0.00213</v>
      </c>
      <c r="J4163" s="19">
        <f>IFERROR(__xludf.DUMMYFUNCTION("""COMPUTED_VALUE"""),0.04759)</f>
        <v>0.04759</v>
      </c>
      <c r="K4163" s="19" t="str">
        <f>IFERROR(__xludf.DUMMYFUNCTION("""COMPUTED_VALUE"""),"-")</f>
        <v>-</v>
      </c>
      <c r="L4163" s="19" t="str">
        <f>IFERROR(__xludf.DUMMYFUNCTION("""COMPUTED_VALUE"""),"-")</f>
        <v>-</v>
      </c>
      <c r="O4163" s="24">
        <f t="shared" si="4"/>
        <v>0</v>
      </c>
      <c r="P4163" s="24"/>
      <c r="Q4163" s="24">
        <f t="shared" si="6"/>
        <v>0</v>
      </c>
      <c r="R4163" s="24">
        <f t="shared" si="7"/>
        <v>0</v>
      </c>
      <c r="S4163" s="24"/>
      <c r="T4163" s="24"/>
    </row>
    <row r="4164">
      <c r="A4164" s="12" t="s">
        <v>4251</v>
      </c>
      <c r="F4164" s="19">
        <f>IFERROR(__xludf.DUMMYFUNCTION("SPLIT(A4160, "" |"")"),4158.0)</f>
        <v>4158</v>
      </c>
      <c r="G4164" s="19">
        <f>IFERROR(__xludf.DUMMYFUNCTION("""COMPUTED_VALUE"""),0.00246)</f>
        <v>0.00246</v>
      </c>
      <c r="H4164" s="19" t="str">
        <f>IFERROR(__xludf.DUMMYFUNCTION("""COMPUTED_VALUE"""),"-")</f>
        <v>-</v>
      </c>
      <c r="I4164" s="19">
        <f>IFERROR(__xludf.DUMMYFUNCTION("""COMPUTED_VALUE"""),0.00225)</f>
        <v>0.00225</v>
      </c>
      <c r="J4164" s="19">
        <f>IFERROR(__xludf.DUMMYFUNCTION("""COMPUTED_VALUE"""),0.04753)</f>
        <v>0.04753</v>
      </c>
      <c r="K4164" s="19" t="str">
        <f>IFERROR(__xludf.DUMMYFUNCTION("""COMPUTED_VALUE"""),"-")</f>
        <v>-</v>
      </c>
      <c r="L4164" s="19" t="str">
        <f>IFERROR(__xludf.DUMMYFUNCTION("""COMPUTED_VALUE"""),"-")</f>
        <v>-</v>
      </c>
      <c r="O4164" s="24">
        <f t="shared" si="4"/>
        <v>0</v>
      </c>
      <c r="P4164" s="24"/>
      <c r="Q4164" s="24">
        <f t="shared" si="6"/>
        <v>0</v>
      </c>
      <c r="R4164" s="24">
        <f t="shared" si="7"/>
        <v>0</v>
      </c>
      <c r="S4164" s="24"/>
      <c r="T4164" s="24"/>
    </row>
    <row r="4165">
      <c r="A4165" s="12" t="s">
        <v>4252</v>
      </c>
      <c r="F4165" s="19">
        <f>IFERROR(__xludf.DUMMYFUNCTION("SPLIT(A4161, "" |"")"),4159.0)</f>
        <v>4159</v>
      </c>
      <c r="G4165" s="19">
        <f>IFERROR(__xludf.DUMMYFUNCTION("""COMPUTED_VALUE"""),0.0023)</f>
        <v>0.0023</v>
      </c>
      <c r="H4165" s="19" t="str">
        <f>IFERROR(__xludf.DUMMYFUNCTION("""COMPUTED_VALUE"""),"-")</f>
        <v>-</v>
      </c>
      <c r="I4165" s="19">
        <f>IFERROR(__xludf.DUMMYFUNCTION("""COMPUTED_VALUE"""),0.00218)</f>
        <v>0.00218</v>
      </c>
      <c r="J4165" s="19">
        <f>IFERROR(__xludf.DUMMYFUNCTION("""COMPUTED_VALUE"""),0.04742)</f>
        <v>0.04742</v>
      </c>
      <c r="K4165" s="19" t="str">
        <f>IFERROR(__xludf.DUMMYFUNCTION("""COMPUTED_VALUE"""),"-")</f>
        <v>-</v>
      </c>
      <c r="L4165" s="19" t="str">
        <f>IFERROR(__xludf.DUMMYFUNCTION("""COMPUTED_VALUE"""),"-")</f>
        <v>-</v>
      </c>
      <c r="O4165" s="24">
        <f t="shared" si="4"/>
        <v>0</v>
      </c>
      <c r="P4165" s="24"/>
      <c r="Q4165" s="24">
        <f t="shared" si="6"/>
        <v>0</v>
      </c>
      <c r="R4165" s="24">
        <f t="shared" si="7"/>
        <v>0</v>
      </c>
      <c r="S4165" s="24"/>
      <c r="T4165" s="24"/>
    </row>
    <row r="4166">
      <c r="A4166" s="12" t="s">
        <v>4253</v>
      </c>
      <c r="F4166" s="19">
        <f>IFERROR(__xludf.DUMMYFUNCTION("SPLIT(A4162, "" |"")"),4160.0)</f>
        <v>4160</v>
      </c>
      <c r="G4166" s="19">
        <f>IFERROR(__xludf.DUMMYFUNCTION("""COMPUTED_VALUE"""),0.0023)</f>
        <v>0.0023</v>
      </c>
      <c r="H4166" s="19" t="str">
        <f>IFERROR(__xludf.DUMMYFUNCTION("""COMPUTED_VALUE"""),"-")</f>
        <v>-</v>
      </c>
      <c r="I4166" s="19">
        <f>IFERROR(__xludf.DUMMYFUNCTION("""COMPUTED_VALUE"""),0.00221)</f>
        <v>0.00221</v>
      </c>
      <c r="J4166" s="19">
        <f>IFERROR(__xludf.DUMMYFUNCTION("""COMPUTED_VALUE"""),0.04674)</f>
        <v>0.04674</v>
      </c>
      <c r="K4166" s="19" t="str">
        <f>IFERROR(__xludf.DUMMYFUNCTION("""COMPUTED_VALUE"""),"-")</f>
        <v>-</v>
      </c>
      <c r="L4166" s="19" t="str">
        <f>IFERROR(__xludf.DUMMYFUNCTION("""COMPUTED_VALUE"""),"-")</f>
        <v>-</v>
      </c>
      <c r="O4166" s="24">
        <f t="shared" si="4"/>
        <v>0</v>
      </c>
      <c r="P4166" s="24"/>
      <c r="Q4166" s="24">
        <f t="shared" si="6"/>
        <v>0</v>
      </c>
      <c r="R4166" s="24">
        <f t="shared" si="7"/>
        <v>0</v>
      </c>
      <c r="S4166" s="24"/>
      <c r="T4166" s="24"/>
    </row>
    <row r="4167">
      <c r="A4167" s="12" t="s">
        <v>4254</v>
      </c>
      <c r="F4167" s="19">
        <f>IFERROR(__xludf.DUMMYFUNCTION("SPLIT(A4163, "" |"")"),4161.0)</f>
        <v>4161</v>
      </c>
      <c r="G4167" s="19">
        <f>IFERROR(__xludf.DUMMYFUNCTION("""COMPUTED_VALUE"""),0.00223)</f>
        <v>0.00223</v>
      </c>
      <c r="H4167" s="19" t="str">
        <f>IFERROR(__xludf.DUMMYFUNCTION("""COMPUTED_VALUE"""),"-")</f>
        <v>-</v>
      </c>
      <c r="I4167" s="19">
        <f>IFERROR(__xludf.DUMMYFUNCTION("""COMPUTED_VALUE"""),0.00217)</f>
        <v>0.00217</v>
      </c>
      <c r="J4167" s="19">
        <f>IFERROR(__xludf.DUMMYFUNCTION("""COMPUTED_VALUE"""),0.0474)</f>
        <v>0.0474</v>
      </c>
      <c r="K4167" s="19" t="str">
        <f>IFERROR(__xludf.DUMMYFUNCTION("""COMPUTED_VALUE"""),"-")</f>
        <v>-</v>
      </c>
      <c r="L4167" s="19" t="str">
        <f>IFERROR(__xludf.DUMMYFUNCTION("""COMPUTED_VALUE"""),"-")</f>
        <v>-</v>
      </c>
      <c r="O4167" s="24">
        <f t="shared" si="4"/>
        <v>0</v>
      </c>
      <c r="P4167" s="24"/>
      <c r="Q4167" s="24">
        <f t="shared" si="6"/>
        <v>0</v>
      </c>
      <c r="R4167" s="24">
        <f t="shared" si="7"/>
        <v>0</v>
      </c>
      <c r="S4167" s="24"/>
      <c r="T4167" s="24"/>
    </row>
    <row r="4168">
      <c r="A4168" s="12" t="s">
        <v>4255</v>
      </c>
      <c r="F4168" s="19">
        <f>IFERROR(__xludf.DUMMYFUNCTION("SPLIT(A4164, "" |"")"),4162.0)</f>
        <v>4162</v>
      </c>
      <c r="G4168" s="19">
        <f>IFERROR(__xludf.DUMMYFUNCTION("""COMPUTED_VALUE"""),0.00236)</f>
        <v>0.00236</v>
      </c>
      <c r="H4168" s="19" t="str">
        <f>IFERROR(__xludf.DUMMYFUNCTION("""COMPUTED_VALUE"""),"-")</f>
        <v>-</v>
      </c>
      <c r="I4168" s="19">
        <f>IFERROR(__xludf.DUMMYFUNCTION("""COMPUTED_VALUE"""),0.00221)</f>
        <v>0.00221</v>
      </c>
      <c r="J4168" s="19">
        <f>IFERROR(__xludf.DUMMYFUNCTION("""COMPUTED_VALUE"""),0.0476)</f>
        <v>0.0476</v>
      </c>
      <c r="K4168" s="19" t="str">
        <f>IFERROR(__xludf.DUMMYFUNCTION("""COMPUTED_VALUE"""),"-")</f>
        <v>-</v>
      </c>
      <c r="L4168" s="19" t="str">
        <f>IFERROR(__xludf.DUMMYFUNCTION("""COMPUTED_VALUE"""),"-")</f>
        <v>-</v>
      </c>
      <c r="O4168" s="24">
        <f t="shared" si="4"/>
        <v>0</v>
      </c>
      <c r="P4168" s="24"/>
      <c r="Q4168" s="24">
        <f t="shared" si="6"/>
        <v>0</v>
      </c>
      <c r="R4168" s="24">
        <f t="shared" si="7"/>
        <v>0</v>
      </c>
      <c r="S4168" s="24"/>
      <c r="T4168" s="24"/>
    </row>
    <row r="4169">
      <c r="A4169" s="12" t="s">
        <v>4256</v>
      </c>
      <c r="F4169" s="19">
        <f>IFERROR(__xludf.DUMMYFUNCTION("SPLIT(A4165, "" |"")"),4163.0)</f>
        <v>4163</v>
      </c>
      <c r="G4169" s="19">
        <f>IFERROR(__xludf.DUMMYFUNCTION("""COMPUTED_VALUE"""),0.00241)</f>
        <v>0.00241</v>
      </c>
      <c r="H4169" s="19" t="str">
        <f>IFERROR(__xludf.DUMMYFUNCTION("""COMPUTED_VALUE"""),"-")</f>
        <v>-</v>
      </c>
      <c r="I4169" s="19">
        <f>IFERROR(__xludf.DUMMYFUNCTION("""COMPUTED_VALUE"""),0.00226)</f>
        <v>0.00226</v>
      </c>
      <c r="J4169" s="19">
        <f>IFERROR(__xludf.DUMMYFUNCTION("""COMPUTED_VALUE"""),0.04749)</f>
        <v>0.04749</v>
      </c>
      <c r="K4169" s="19" t="str">
        <f>IFERROR(__xludf.DUMMYFUNCTION("""COMPUTED_VALUE"""),"-")</f>
        <v>-</v>
      </c>
      <c r="L4169" s="19" t="str">
        <f>IFERROR(__xludf.DUMMYFUNCTION("""COMPUTED_VALUE"""),"-")</f>
        <v>-</v>
      </c>
      <c r="O4169" s="24">
        <f t="shared" si="4"/>
        <v>0</v>
      </c>
      <c r="P4169" s="24"/>
      <c r="Q4169" s="24">
        <f t="shared" si="6"/>
        <v>0</v>
      </c>
      <c r="R4169" s="24">
        <f t="shared" si="7"/>
        <v>0</v>
      </c>
      <c r="S4169" s="24"/>
      <c r="T4169" s="24"/>
    </row>
    <row r="4170">
      <c r="A4170" s="12" t="s">
        <v>4257</v>
      </c>
      <c r="F4170" s="19">
        <f>IFERROR(__xludf.DUMMYFUNCTION("SPLIT(A4166, "" |"")"),4164.0)</f>
        <v>4164</v>
      </c>
      <c r="G4170" s="19">
        <f>IFERROR(__xludf.DUMMYFUNCTION("""COMPUTED_VALUE"""),0.00232)</f>
        <v>0.00232</v>
      </c>
      <c r="H4170" s="19" t="str">
        <f>IFERROR(__xludf.DUMMYFUNCTION("""COMPUTED_VALUE"""),"-")</f>
        <v>-</v>
      </c>
      <c r="I4170" s="19">
        <f>IFERROR(__xludf.DUMMYFUNCTION("""COMPUTED_VALUE"""),0.00221)</f>
        <v>0.00221</v>
      </c>
      <c r="J4170" s="19">
        <f>IFERROR(__xludf.DUMMYFUNCTION("""COMPUTED_VALUE"""),0.04744)</f>
        <v>0.04744</v>
      </c>
      <c r="K4170" s="19" t="str">
        <f>IFERROR(__xludf.DUMMYFUNCTION("""COMPUTED_VALUE"""),"-")</f>
        <v>-</v>
      </c>
      <c r="L4170" s="19" t="str">
        <f>IFERROR(__xludf.DUMMYFUNCTION("""COMPUTED_VALUE"""),"-")</f>
        <v>-</v>
      </c>
      <c r="O4170" s="24">
        <f t="shared" si="4"/>
        <v>0</v>
      </c>
      <c r="P4170" s="24"/>
      <c r="Q4170" s="24">
        <f t="shared" si="6"/>
        <v>0</v>
      </c>
      <c r="R4170" s="24">
        <f t="shared" si="7"/>
        <v>0</v>
      </c>
      <c r="S4170" s="24"/>
      <c r="T4170" s="24"/>
    </row>
    <row r="4171">
      <c r="A4171" s="12" t="s">
        <v>4258</v>
      </c>
      <c r="F4171" s="19">
        <f>IFERROR(__xludf.DUMMYFUNCTION("SPLIT(A4167, "" |"")"),4165.0)</f>
        <v>4165</v>
      </c>
      <c r="G4171" s="19">
        <f>IFERROR(__xludf.DUMMYFUNCTION("""COMPUTED_VALUE"""),0.00231)</f>
        <v>0.00231</v>
      </c>
      <c r="H4171" s="19" t="str">
        <f>IFERROR(__xludf.DUMMYFUNCTION("""COMPUTED_VALUE"""),"-")</f>
        <v>-</v>
      </c>
      <c r="I4171" s="19">
        <f>IFERROR(__xludf.DUMMYFUNCTION("""COMPUTED_VALUE"""),0.00216)</f>
        <v>0.00216</v>
      </c>
      <c r="J4171" s="19">
        <f>IFERROR(__xludf.DUMMYFUNCTION("""COMPUTED_VALUE"""),0.04744)</f>
        <v>0.04744</v>
      </c>
      <c r="K4171" s="19" t="str">
        <f>IFERROR(__xludf.DUMMYFUNCTION("""COMPUTED_VALUE"""),"-")</f>
        <v>-</v>
      </c>
      <c r="L4171" s="19" t="str">
        <f>IFERROR(__xludf.DUMMYFUNCTION("""COMPUTED_VALUE"""),"-")</f>
        <v>-</v>
      </c>
      <c r="O4171" s="24">
        <f t="shared" si="4"/>
        <v>0</v>
      </c>
      <c r="P4171" s="24"/>
      <c r="Q4171" s="24">
        <f t="shared" si="6"/>
        <v>0</v>
      </c>
      <c r="R4171" s="24">
        <f t="shared" si="7"/>
        <v>0</v>
      </c>
      <c r="S4171" s="24"/>
      <c r="T4171" s="24"/>
    </row>
    <row r="4172">
      <c r="A4172" s="12" t="s">
        <v>4259</v>
      </c>
      <c r="F4172" s="19">
        <f>IFERROR(__xludf.DUMMYFUNCTION("SPLIT(A4168, "" |"")"),4166.0)</f>
        <v>4166</v>
      </c>
      <c r="G4172" s="19">
        <f>IFERROR(__xludf.DUMMYFUNCTION("""COMPUTED_VALUE"""),0.00242)</f>
        <v>0.00242</v>
      </c>
      <c r="H4172" s="19" t="str">
        <f>IFERROR(__xludf.DUMMYFUNCTION("""COMPUTED_VALUE"""),"-")</f>
        <v>-</v>
      </c>
      <c r="I4172" s="19">
        <f>IFERROR(__xludf.DUMMYFUNCTION("""COMPUTED_VALUE"""),0.00222)</f>
        <v>0.00222</v>
      </c>
      <c r="J4172" s="19">
        <f>IFERROR(__xludf.DUMMYFUNCTION("""COMPUTED_VALUE"""),0.04746)</f>
        <v>0.04746</v>
      </c>
      <c r="K4172" s="19" t="str">
        <f>IFERROR(__xludf.DUMMYFUNCTION("""COMPUTED_VALUE"""),"-")</f>
        <v>-</v>
      </c>
      <c r="L4172" s="19" t="str">
        <f>IFERROR(__xludf.DUMMYFUNCTION("""COMPUTED_VALUE"""),"-")</f>
        <v>-</v>
      </c>
      <c r="O4172" s="24">
        <f t="shared" si="4"/>
        <v>0</v>
      </c>
      <c r="P4172" s="24"/>
      <c r="Q4172" s="24">
        <f t="shared" si="6"/>
        <v>0</v>
      </c>
      <c r="R4172" s="24">
        <f t="shared" si="7"/>
        <v>0</v>
      </c>
      <c r="S4172" s="24"/>
      <c r="T4172" s="24"/>
    </row>
    <row r="4173">
      <c r="A4173" s="12" t="s">
        <v>4260</v>
      </c>
      <c r="F4173" s="19">
        <f>IFERROR(__xludf.DUMMYFUNCTION("SPLIT(A4169, "" |"")"),4167.0)</f>
        <v>4167</v>
      </c>
      <c r="G4173" s="19">
        <f>IFERROR(__xludf.DUMMYFUNCTION("""COMPUTED_VALUE"""),0.00233)</f>
        <v>0.00233</v>
      </c>
      <c r="H4173" s="19" t="str">
        <f>IFERROR(__xludf.DUMMYFUNCTION("""COMPUTED_VALUE"""),"-")</f>
        <v>-</v>
      </c>
      <c r="I4173" s="19">
        <f>IFERROR(__xludf.DUMMYFUNCTION("""COMPUTED_VALUE"""),0.00221)</f>
        <v>0.00221</v>
      </c>
      <c r="J4173" s="19">
        <f>IFERROR(__xludf.DUMMYFUNCTION("""COMPUTED_VALUE"""),0.04737)</f>
        <v>0.04737</v>
      </c>
      <c r="K4173" s="19" t="str">
        <f>IFERROR(__xludf.DUMMYFUNCTION("""COMPUTED_VALUE"""),"-")</f>
        <v>-</v>
      </c>
      <c r="L4173" s="19" t="str">
        <f>IFERROR(__xludf.DUMMYFUNCTION("""COMPUTED_VALUE"""),"-")</f>
        <v>-</v>
      </c>
      <c r="O4173" s="24">
        <f t="shared" si="4"/>
        <v>0</v>
      </c>
      <c r="P4173" s="24"/>
      <c r="Q4173" s="24">
        <f t="shared" si="6"/>
        <v>0</v>
      </c>
      <c r="R4173" s="24">
        <f t="shared" si="7"/>
        <v>0</v>
      </c>
      <c r="S4173" s="24"/>
      <c r="T4173" s="24"/>
    </row>
    <row r="4174">
      <c r="A4174" s="12" t="s">
        <v>4261</v>
      </c>
      <c r="F4174" s="19">
        <f>IFERROR(__xludf.DUMMYFUNCTION("SPLIT(A4170, "" |"")"),4168.0)</f>
        <v>4168</v>
      </c>
      <c r="G4174" s="19">
        <f>IFERROR(__xludf.DUMMYFUNCTION("""COMPUTED_VALUE"""),0.00237)</f>
        <v>0.00237</v>
      </c>
      <c r="H4174" s="19" t="str">
        <f>IFERROR(__xludf.DUMMYFUNCTION("""COMPUTED_VALUE"""),"-")</f>
        <v>-</v>
      </c>
      <c r="I4174" s="19">
        <f>IFERROR(__xludf.DUMMYFUNCTION("""COMPUTED_VALUE"""),0.00227)</f>
        <v>0.00227</v>
      </c>
      <c r="J4174" s="19">
        <f>IFERROR(__xludf.DUMMYFUNCTION("""COMPUTED_VALUE"""),0.04741)</f>
        <v>0.04741</v>
      </c>
      <c r="K4174" s="19" t="str">
        <f>IFERROR(__xludf.DUMMYFUNCTION("""COMPUTED_VALUE"""),"-")</f>
        <v>-</v>
      </c>
      <c r="L4174" s="19" t="str">
        <f>IFERROR(__xludf.DUMMYFUNCTION("""COMPUTED_VALUE"""),"-")</f>
        <v>-</v>
      </c>
      <c r="O4174" s="24">
        <f t="shared" si="4"/>
        <v>0</v>
      </c>
      <c r="P4174" s="24"/>
      <c r="Q4174" s="24">
        <f t="shared" si="6"/>
        <v>0</v>
      </c>
      <c r="R4174" s="24">
        <f t="shared" si="7"/>
        <v>0</v>
      </c>
      <c r="S4174" s="24"/>
      <c r="T4174" s="24"/>
    </row>
    <row r="4175">
      <c r="A4175" s="12" t="s">
        <v>4262</v>
      </c>
      <c r="F4175" s="19">
        <f>IFERROR(__xludf.DUMMYFUNCTION("SPLIT(A4171, "" |"")"),4169.0)</f>
        <v>4169</v>
      </c>
      <c r="G4175" s="19">
        <f>IFERROR(__xludf.DUMMYFUNCTION("""COMPUTED_VALUE"""),0.00234)</f>
        <v>0.00234</v>
      </c>
      <c r="H4175" s="19" t="str">
        <f>IFERROR(__xludf.DUMMYFUNCTION("""COMPUTED_VALUE"""),"-")</f>
        <v>-</v>
      </c>
      <c r="I4175" s="19">
        <f>IFERROR(__xludf.DUMMYFUNCTION("""COMPUTED_VALUE"""),0.0022)</f>
        <v>0.0022</v>
      </c>
      <c r="J4175" s="19">
        <f>IFERROR(__xludf.DUMMYFUNCTION("""COMPUTED_VALUE"""),0.04746)</f>
        <v>0.04746</v>
      </c>
      <c r="K4175" s="19" t="str">
        <f>IFERROR(__xludf.DUMMYFUNCTION("""COMPUTED_VALUE"""),"-")</f>
        <v>-</v>
      </c>
      <c r="L4175" s="19" t="str">
        <f>IFERROR(__xludf.DUMMYFUNCTION("""COMPUTED_VALUE"""),"-")</f>
        <v>-</v>
      </c>
      <c r="O4175" s="24">
        <f t="shared" si="4"/>
        <v>0</v>
      </c>
      <c r="P4175" s="24"/>
      <c r="Q4175" s="24">
        <f t="shared" si="6"/>
        <v>0</v>
      </c>
      <c r="R4175" s="24">
        <f t="shared" si="7"/>
        <v>0</v>
      </c>
      <c r="S4175" s="24"/>
      <c r="T4175" s="24"/>
    </row>
    <row r="4176">
      <c r="A4176" s="12" t="s">
        <v>4263</v>
      </c>
      <c r="F4176" s="19">
        <f>IFERROR(__xludf.DUMMYFUNCTION("SPLIT(A4172, "" |"")"),4170.0)</f>
        <v>4170</v>
      </c>
      <c r="G4176" s="19">
        <f>IFERROR(__xludf.DUMMYFUNCTION("""COMPUTED_VALUE"""),0.00241)</f>
        <v>0.00241</v>
      </c>
      <c r="H4176" s="19" t="str">
        <f>IFERROR(__xludf.DUMMYFUNCTION("""COMPUTED_VALUE"""),"-")</f>
        <v>-</v>
      </c>
      <c r="I4176" s="19">
        <f>IFERROR(__xludf.DUMMYFUNCTION("""COMPUTED_VALUE"""),0.00221)</f>
        <v>0.00221</v>
      </c>
      <c r="J4176" s="19">
        <f>IFERROR(__xludf.DUMMYFUNCTION("""COMPUTED_VALUE"""),0.0474)</f>
        <v>0.0474</v>
      </c>
      <c r="K4176" s="19" t="str">
        <f>IFERROR(__xludf.DUMMYFUNCTION("""COMPUTED_VALUE"""),"-")</f>
        <v>-</v>
      </c>
      <c r="L4176" s="19" t="str">
        <f>IFERROR(__xludf.DUMMYFUNCTION("""COMPUTED_VALUE"""),"-")</f>
        <v>-</v>
      </c>
      <c r="O4176" s="24">
        <f t="shared" si="4"/>
        <v>0</v>
      </c>
      <c r="P4176" s="24"/>
      <c r="Q4176" s="24">
        <f t="shared" si="6"/>
        <v>0</v>
      </c>
      <c r="R4176" s="24">
        <f t="shared" si="7"/>
        <v>0</v>
      </c>
      <c r="S4176" s="24"/>
      <c r="T4176" s="24"/>
    </row>
    <row r="4177">
      <c r="A4177" s="12" t="s">
        <v>4264</v>
      </c>
      <c r="F4177" s="19">
        <f>IFERROR(__xludf.DUMMYFUNCTION("SPLIT(A4173, "" |"")"),4171.0)</f>
        <v>4171</v>
      </c>
      <c r="G4177" s="19">
        <f>IFERROR(__xludf.DUMMYFUNCTION("""COMPUTED_VALUE"""),0.00233)</f>
        <v>0.00233</v>
      </c>
      <c r="H4177" s="19" t="str">
        <f>IFERROR(__xludf.DUMMYFUNCTION("""COMPUTED_VALUE"""),"-")</f>
        <v>-</v>
      </c>
      <c r="I4177" s="19">
        <f>IFERROR(__xludf.DUMMYFUNCTION("""COMPUTED_VALUE"""),0.00224)</f>
        <v>0.00224</v>
      </c>
      <c r="J4177" s="19">
        <f>IFERROR(__xludf.DUMMYFUNCTION("""COMPUTED_VALUE"""),0.04743)</f>
        <v>0.04743</v>
      </c>
      <c r="K4177" s="19" t="str">
        <f>IFERROR(__xludf.DUMMYFUNCTION("""COMPUTED_VALUE"""),"-")</f>
        <v>-</v>
      </c>
      <c r="L4177" s="19" t="str">
        <f>IFERROR(__xludf.DUMMYFUNCTION("""COMPUTED_VALUE"""),"-")</f>
        <v>-</v>
      </c>
      <c r="O4177" s="24">
        <f t="shared" si="4"/>
        <v>0</v>
      </c>
      <c r="P4177" s="24"/>
      <c r="Q4177" s="24">
        <f t="shared" si="6"/>
        <v>0</v>
      </c>
      <c r="R4177" s="24">
        <f t="shared" si="7"/>
        <v>0</v>
      </c>
      <c r="S4177" s="24"/>
      <c r="T4177" s="24"/>
    </row>
    <row r="4178">
      <c r="A4178" s="12" t="s">
        <v>4265</v>
      </c>
      <c r="F4178" s="19">
        <f>IFERROR(__xludf.DUMMYFUNCTION("SPLIT(A4174, "" |"")"),4172.0)</f>
        <v>4172</v>
      </c>
      <c r="G4178" s="19">
        <f>IFERROR(__xludf.DUMMYFUNCTION("""COMPUTED_VALUE"""),0.00252)</f>
        <v>0.00252</v>
      </c>
      <c r="H4178" s="19" t="str">
        <f>IFERROR(__xludf.DUMMYFUNCTION("""COMPUTED_VALUE"""),"-")</f>
        <v>-</v>
      </c>
      <c r="I4178" s="19">
        <f>IFERROR(__xludf.DUMMYFUNCTION("""COMPUTED_VALUE"""),0.00228)</f>
        <v>0.00228</v>
      </c>
      <c r="J4178" s="19">
        <f>IFERROR(__xludf.DUMMYFUNCTION("""COMPUTED_VALUE"""),0.04756)</f>
        <v>0.04756</v>
      </c>
      <c r="K4178" s="19" t="str">
        <f>IFERROR(__xludf.DUMMYFUNCTION("""COMPUTED_VALUE"""),"-")</f>
        <v>-</v>
      </c>
      <c r="L4178" s="19" t="str">
        <f>IFERROR(__xludf.DUMMYFUNCTION("""COMPUTED_VALUE"""),"-")</f>
        <v>-</v>
      </c>
      <c r="O4178" s="24">
        <f t="shared" si="4"/>
        <v>0</v>
      </c>
      <c r="P4178" s="24"/>
      <c r="Q4178" s="24">
        <f t="shared" si="6"/>
        <v>0</v>
      </c>
      <c r="R4178" s="24">
        <f t="shared" si="7"/>
        <v>0</v>
      </c>
      <c r="S4178" s="24"/>
      <c r="T4178" s="24"/>
    </row>
    <row r="4179">
      <c r="A4179" s="12" t="s">
        <v>4266</v>
      </c>
      <c r="F4179" s="19">
        <f>IFERROR(__xludf.DUMMYFUNCTION("SPLIT(A4175, "" |"")"),4173.0)</f>
        <v>4173</v>
      </c>
      <c r="G4179" s="19">
        <f>IFERROR(__xludf.DUMMYFUNCTION("""COMPUTED_VALUE"""),0.00235)</f>
        <v>0.00235</v>
      </c>
      <c r="H4179" s="19" t="str">
        <f>IFERROR(__xludf.DUMMYFUNCTION("""COMPUTED_VALUE"""),"-")</f>
        <v>-</v>
      </c>
      <c r="I4179" s="19">
        <f>IFERROR(__xludf.DUMMYFUNCTION("""COMPUTED_VALUE"""),0.0022)</f>
        <v>0.0022</v>
      </c>
      <c r="J4179" s="19">
        <f>IFERROR(__xludf.DUMMYFUNCTION("""COMPUTED_VALUE"""),0.04748)</f>
        <v>0.04748</v>
      </c>
      <c r="K4179" s="19" t="str">
        <f>IFERROR(__xludf.DUMMYFUNCTION("""COMPUTED_VALUE"""),"-")</f>
        <v>-</v>
      </c>
      <c r="L4179" s="19" t="str">
        <f>IFERROR(__xludf.DUMMYFUNCTION("""COMPUTED_VALUE"""),"-")</f>
        <v>-</v>
      </c>
      <c r="O4179" s="24">
        <f t="shared" si="4"/>
        <v>0</v>
      </c>
      <c r="P4179" s="24"/>
      <c r="Q4179" s="24">
        <f t="shared" si="6"/>
        <v>0</v>
      </c>
      <c r="R4179" s="24">
        <f t="shared" si="7"/>
        <v>0</v>
      </c>
      <c r="S4179" s="24"/>
      <c r="T4179" s="24"/>
    </row>
    <row r="4180">
      <c r="A4180" s="12" t="s">
        <v>4267</v>
      </c>
      <c r="F4180" s="19">
        <f>IFERROR(__xludf.DUMMYFUNCTION("SPLIT(A4176, "" |"")"),4174.0)</f>
        <v>4174</v>
      </c>
      <c r="G4180" s="19">
        <f>IFERROR(__xludf.DUMMYFUNCTION("""COMPUTED_VALUE"""),0.00237)</f>
        <v>0.00237</v>
      </c>
      <c r="H4180" s="19" t="str">
        <f>IFERROR(__xludf.DUMMYFUNCTION("""COMPUTED_VALUE"""),"-")</f>
        <v>-</v>
      </c>
      <c r="I4180" s="19">
        <f>IFERROR(__xludf.DUMMYFUNCTION("""COMPUTED_VALUE"""),0.00226)</f>
        <v>0.00226</v>
      </c>
      <c r="J4180" s="19">
        <f>IFERROR(__xludf.DUMMYFUNCTION("""COMPUTED_VALUE"""),0.04743)</f>
        <v>0.04743</v>
      </c>
      <c r="K4180" s="19" t="str">
        <f>IFERROR(__xludf.DUMMYFUNCTION("""COMPUTED_VALUE"""),"-")</f>
        <v>-</v>
      </c>
      <c r="L4180" s="19" t="str">
        <f>IFERROR(__xludf.DUMMYFUNCTION("""COMPUTED_VALUE"""),"-")</f>
        <v>-</v>
      </c>
      <c r="O4180" s="24">
        <f t="shared" si="4"/>
        <v>0</v>
      </c>
      <c r="P4180" s="24"/>
      <c r="Q4180" s="24">
        <f t="shared" si="6"/>
        <v>0</v>
      </c>
      <c r="R4180" s="24">
        <f t="shared" si="7"/>
        <v>0</v>
      </c>
      <c r="S4180" s="24"/>
      <c r="T4180" s="24"/>
    </row>
    <row r="4181">
      <c r="A4181" s="12" t="s">
        <v>4268</v>
      </c>
      <c r="F4181" s="19">
        <f>IFERROR(__xludf.DUMMYFUNCTION("SPLIT(A4177, "" |"")"),4175.0)</f>
        <v>4175</v>
      </c>
      <c r="G4181" s="19">
        <f>IFERROR(__xludf.DUMMYFUNCTION("""COMPUTED_VALUE"""),0.00239)</f>
        <v>0.00239</v>
      </c>
      <c r="H4181" s="19" t="str">
        <f>IFERROR(__xludf.DUMMYFUNCTION("""COMPUTED_VALUE"""),"-")</f>
        <v>-</v>
      </c>
      <c r="I4181" s="19">
        <f>IFERROR(__xludf.DUMMYFUNCTION("""COMPUTED_VALUE"""),0.00223)</f>
        <v>0.00223</v>
      </c>
      <c r="J4181" s="19">
        <f>IFERROR(__xludf.DUMMYFUNCTION("""COMPUTED_VALUE"""),0.04744)</f>
        <v>0.04744</v>
      </c>
      <c r="K4181" s="19" t="str">
        <f>IFERROR(__xludf.DUMMYFUNCTION("""COMPUTED_VALUE"""),"-")</f>
        <v>-</v>
      </c>
      <c r="L4181" s="19" t="str">
        <f>IFERROR(__xludf.DUMMYFUNCTION("""COMPUTED_VALUE"""),"-")</f>
        <v>-</v>
      </c>
      <c r="O4181" s="24">
        <f t="shared" si="4"/>
        <v>0</v>
      </c>
      <c r="P4181" s="24"/>
      <c r="Q4181" s="24">
        <f t="shared" si="6"/>
        <v>0</v>
      </c>
      <c r="R4181" s="24">
        <f t="shared" si="7"/>
        <v>0</v>
      </c>
      <c r="S4181" s="24"/>
      <c r="T4181" s="24"/>
    </row>
    <row r="4182">
      <c r="A4182" s="12" t="s">
        <v>4269</v>
      </c>
      <c r="F4182" s="19">
        <f>IFERROR(__xludf.DUMMYFUNCTION("SPLIT(A4178, "" |"")"),4176.0)</f>
        <v>4176</v>
      </c>
      <c r="G4182" s="19">
        <f>IFERROR(__xludf.DUMMYFUNCTION("""COMPUTED_VALUE"""),0.00226)</f>
        <v>0.00226</v>
      </c>
      <c r="H4182" s="19" t="str">
        <f>IFERROR(__xludf.DUMMYFUNCTION("""COMPUTED_VALUE"""),"-")</f>
        <v>-</v>
      </c>
      <c r="I4182" s="19">
        <f>IFERROR(__xludf.DUMMYFUNCTION("""COMPUTED_VALUE"""),0.00219)</f>
        <v>0.00219</v>
      </c>
      <c r="J4182" s="19">
        <f>IFERROR(__xludf.DUMMYFUNCTION("""COMPUTED_VALUE"""),0.04744)</f>
        <v>0.04744</v>
      </c>
      <c r="K4182" s="19" t="str">
        <f>IFERROR(__xludf.DUMMYFUNCTION("""COMPUTED_VALUE"""),"-")</f>
        <v>-</v>
      </c>
      <c r="L4182" s="19" t="str">
        <f>IFERROR(__xludf.DUMMYFUNCTION("""COMPUTED_VALUE"""),"-")</f>
        <v>-</v>
      </c>
      <c r="O4182" s="24">
        <f t="shared" si="4"/>
        <v>0</v>
      </c>
      <c r="P4182" s="24"/>
      <c r="Q4182" s="24">
        <f t="shared" si="6"/>
        <v>0</v>
      </c>
      <c r="R4182" s="24">
        <f t="shared" si="7"/>
        <v>0</v>
      </c>
      <c r="S4182" s="24"/>
      <c r="T4182" s="24"/>
    </row>
    <row r="4183">
      <c r="A4183" s="12" t="s">
        <v>4270</v>
      </c>
      <c r="F4183" s="19">
        <f>IFERROR(__xludf.DUMMYFUNCTION("SPLIT(A4179, "" |"")"),4177.0)</f>
        <v>4177</v>
      </c>
      <c r="G4183" s="19">
        <f>IFERROR(__xludf.DUMMYFUNCTION("""COMPUTED_VALUE"""),0.00262)</f>
        <v>0.00262</v>
      </c>
      <c r="H4183" s="19" t="str">
        <f>IFERROR(__xludf.DUMMYFUNCTION("""COMPUTED_VALUE"""),"-")</f>
        <v>-</v>
      </c>
      <c r="I4183" s="19">
        <f>IFERROR(__xludf.DUMMYFUNCTION("""COMPUTED_VALUE"""),0.00247)</f>
        <v>0.00247</v>
      </c>
      <c r="J4183" s="19">
        <f>IFERROR(__xludf.DUMMYFUNCTION("""COMPUTED_VALUE"""),0.0476)</f>
        <v>0.0476</v>
      </c>
      <c r="K4183" s="19" t="str">
        <f>IFERROR(__xludf.DUMMYFUNCTION("""COMPUTED_VALUE"""),"-")</f>
        <v>-</v>
      </c>
      <c r="L4183" s="19" t="str">
        <f>IFERROR(__xludf.DUMMYFUNCTION("""COMPUTED_VALUE"""),"-")</f>
        <v>-</v>
      </c>
      <c r="O4183" s="24">
        <f t="shared" si="4"/>
        <v>0</v>
      </c>
      <c r="P4183" s="24"/>
      <c r="Q4183" s="24">
        <f t="shared" si="6"/>
        <v>0</v>
      </c>
      <c r="R4183" s="24">
        <f t="shared" si="7"/>
        <v>0</v>
      </c>
      <c r="S4183" s="24"/>
      <c r="T4183" s="24"/>
    </row>
    <row r="4184">
      <c r="A4184" s="12" t="s">
        <v>4271</v>
      </c>
      <c r="F4184" s="19">
        <f>IFERROR(__xludf.DUMMYFUNCTION("SPLIT(A4180, "" |"")"),4178.0)</f>
        <v>4178</v>
      </c>
      <c r="G4184" s="19">
        <f>IFERROR(__xludf.DUMMYFUNCTION("""COMPUTED_VALUE"""),0.00246)</f>
        <v>0.00246</v>
      </c>
      <c r="H4184" s="19" t="str">
        <f>IFERROR(__xludf.DUMMYFUNCTION("""COMPUTED_VALUE"""),"-")</f>
        <v>-</v>
      </c>
      <c r="I4184" s="19">
        <f>IFERROR(__xludf.DUMMYFUNCTION("""COMPUTED_VALUE"""),0.00221)</f>
        <v>0.00221</v>
      </c>
      <c r="J4184" s="19">
        <f>IFERROR(__xludf.DUMMYFUNCTION("""COMPUTED_VALUE"""),0.04156)</f>
        <v>0.04156</v>
      </c>
      <c r="K4184" s="19" t="str">
        <f>IFERROR(__xludf.DUMMYFUNCTION("""COMPUTED_VALUE"""),"-")</f>
        <v>-</v>
      </c>
      <c r="L4184" s="19" t="str">
        <f>IFERROR(__xludf.DUMMYFUNCTION("""COMPUTED_VALUE"""),"-")</f>
        <v>-</v>
      </c>
      <c r="O4184" s="24">
        <f t="shared" si="4"/>
        <v>0</v>
      </c>
      <c r="P4184" s="24"/>
      <c r="Q4184" s="24">
        <f t="shared" si="6"/>
        <v>0</v>
      </c>
      <c r="R4184" s="24">
        <f t="shared" si="7"/>
        <v>1</v>
      </c>
      <c r="S4184" s="24"/>
      <c r="T4184" s="24"/>
    </row>
    <row r="4185">
      <c r="A4185" s="12" t="s">
        <v>4272</v>
      </c>
      <c r="F4185" s="19">
        <f>IFERROR(__xludf.DUMMYFUNCTION("SPLIT(A4181, "" |"")"),4179.0)</f>
        <v>4179</v>
      </c>
      <c r="G4185" s="19">
        <f>IFERROR(__xludf.DUMMYFUNCTION("""COMPUTED_VALUE"""),0.00234)</f>
        <v>0.00234</v>
      </c>
      <c r="H4185" s="19" t="str">
        <f>IFERROR(__xludf.DUMMYFUNCTION("""COMPUTED_VALUE"""),"-")</f>
        <v>-</v>
      </c>
      <c r="I4185" s="19">
        <f>IFERROR(__xludf.DUMMYFUNCTION("""COMPUTED_VALUE"""),0.00217)</f>
        <v>0.00217</v>
      </c>
      <c r="J4185" s="19">
        <f>IFERROR(__xludf.DUMMYFUNCTION("""COMPUTED_VALUE"""),0.04742)</f>
        <v>0.04742</v>
      </c>
      <c r="K4185" s="19" t="str">
        <f>IFERROR(__xludf.DUMMYFUNCTION("""COMPUTED_VALUE"""),"-")</f>
        <v>-</v>
      </c>
      <c r="L4185" s="19" t="str">
        <f>IFERROR(__xludf.DUMMYFUNCTION("""COMPUTED_VALUE"""),"-")</f>
        <v>-</v>
      </c>
      <c r="O4185" s="24">
        <f t="shared" si="4"/>
        <v>0</v>
      </c>
      <c r="P4185" s="24"/>
      <c r="Q4185" s="24">
        <f t="shared" si="6"/>
        <v>0</v>
      </c>
      <c r="R4185" s="24">
        <f t="shared" si="7"/>
        <v>0</v>
      </c>
      <c r="S4185" s="24"/>
      <c r="T4185" s="24"/>
    </row>
    <row r="4186">
      <c r="A4186" s="12" t="s">
        <v>4273</v>
      </c>
      <c r="F4186" s="19">
        <f>IFERROR(__xludf.DUMMYFUNCTION("SPLIT(A4182, "" |"")"),4180.0)</f>
        <v>4180</v>
      </c>
      <c r="G4186" s="19">
        <f>IFERROR(__xludf.DUMMYFUNCTION("""COMPUTED_VALUE"""),0.00236)</f>
        <v>0.00236</v>
      </c>
      <c r="H4186" s="19" t="str">
        <f>IFERROR(__xludf.DUMMYFUNCTION("""COMPUTED_VALUE"""),"-")</f>
        <v>-</v>
      </c>
      <c r="I4186" s="19">
        <f>IFERROR(__xludf.DUMMYFUNCTION("""COMPUTED_VALUE"""),0.00222)</f>
        <v>0.00222</v>
      </c>
      <c r="J4186" s="19">
        <f>IFERROR(__xludf.DUMMYFUNCTION("""COMPUTED_VALUE"""),0.03968)</f>
        <v>0.03968</v>
      </c>
      <c r="K4186" s="19" t="str">
        <f>IFERROR(__xludf.DUMMYFUNCTION("""COMPUTED_VALUE"""),"-")</f>
        <v>-</v>
      </c>
      <c r="L4186" s="19" t="str">
        <f>IFERROR(__xludf.DUMMYFUNCTION("""COMPUTED_VALUE"""),"-")</f>
        <v>-</v>
      </c>
      <c r="O4186" s="24">
        <f t="shared" si="4"/>
        <v>0</v>
      </c>
      <c r="P4186" s="24"/>
      <c r="Q4186" s="24">
        <f t="shared" si="6"/>
        <v>0</v>
      </c>
      <c r="R4186" s="24">
        <f t="shared" si="7"/>
        <v>1</v>
      </c>
      <c r="S4186" s="24"/>
      <c r="T4186" s="24"/>
    </row>
    <row r="4187">
      <c r="A4187" s="12" t="s">
        <v>4274</v>
      </c>
      <c r="F4187" s="19">
        <f>IFERROR(__xludf.DUMMYFUNCTION("SPLIT(A4183, "" |"")"),4181.0)</f>
        <v>4181</v>
      </c>
      <c r="G4187" s="19">
        <f>IFERROR(__xludf.DUMMYFUNCTION("""COMPUTED_VALUE"""),0.00233)</f>
        <v>0.00233</v>
      </c>
      <c r="H4187" s="19" t="str">
        <f>IFERROR(__xludf.DUMMYFUNCTION("""COMPUTED_VALUE"""),"-")</f>
        <v>-</v>
      </c>
      <c r="I4187" s="19">
        <f>IFERROR(__xludf.DUMMYFUNCTION("""COMPUTED_VALUE"""),0.00219)</f>
        <v>0.00219</v>
      </c>
      <c r="J4187" s="19">
        <f>IFERROR(__xludf.DUMMYFUNCTION("""COMPUTED_VALUE"""),0.04745)</f>
        <v>0.04745</v>
      </c>
      <c r="K4187" s="19" t="str">
        <f>IFERROR(__xludf.DUMMYFUNCTION("""COMPUTED_VALUE"""),"-")</f>
        <v>-</v>
      </c>
      <c r="L4187" s="19" t="str">
        <f>IFERROR(__xludf.DUMMYFUNCTION("""COMPUTED_VALUE"""),"-")</f>
        <v>-</v>
      </c>
      <c r="O4187" s="24">
        <f t="shared" si="4"/>
        <v>0</v>
      </c>
      <c r="P4187" s="24"/>
      <c r="Q4187" s="24">
        <f t="shared" si="6"/>
        <v>0</v>
      </c>
      <c r="R4187" s="24">
        <f t="shared" si="7"/>
        <v>0</v>
      </c>
      <c r="S4187" s="24"/>
      <c r="T4187" s="24"/>
    </row>
    <row r="4188">
      <c r="A4188" s="12" t="s">
        <v>4275</v>
      </c>
      <c r="F4188" s="19">
        <f>IFERROR(__xludf.DUMMYFUNCTION("SPLIT(A4184, "" |"")"),4182.0)</f>
        <v>4182</v>
      </c>
      <c r="G4188" s="19">
        <f>IFERROR(__xludf.DUMMYFUNCTION("""COMPUTED_VALUE"""),0.00239)</f>
        <v>0.00239</v>
      </c>
      <c r="H4188" s="19" t="str">
        <f>IFERROR(__xludf.DUMMYFUNCTION("""COMPUTED_VALUE"""),"-")</f>
        <v>-</v>
      </c>
      <c r="I4188" s="19">
        <f>IFERROR(__xludf.DUMMYFUNCTION("""COMPUTED_VALUE"""),0.0022)</f>
        <v>0.0022</v>
      </c>
      <c r="J4188" s="19">
        <f>IFERROR(__xludf.DUMMYFUNCTION("""COMPUTED_VALUE"""),0.04744)</f>
        <v>0.04744</v>
      </c>
      <c r="K4188" s="19" t="str">
        <f>IFERROR(__xludf.DUMMYFUNCTION("""COMPUTED_VALUE"""),"-")</f>
        <v>-</v>
      </c>
      <c r="L4188" s="19" t="str">
        <f>IFERROR(__xludf.DUMMYFUNCTION("""COMPUTED_VALUE"""),"-")</f>
        <v>-</v>
      </c>
      <c r="O4188" s="24">
        <f t="shared" si="4"/>
        <v>0</v>
      </c>
      <c r="P4188" s="24"/>
      <c r="Q4188" s="24">
        <f t="shared" si="6"/>
        <v>0</v>
      </c>
      <c r="R4188" s="24">
        <f t="shared" si="7"/>
        <v>0</v>
      </c>
      <c r="S4188" s="24"/>
      <c r="T4188" s="24"/>
    </row>
    <row r="4189">
      <c r="A4189" s="12" t="s">
        <v>4276</v>
      </c>
      <c r="F4189" s="19">
        <f>IFERROR(__xludf.DUMMYFUNCTION("SPLIT(A4185, "" |"")"),4183.0)</f>
        <v>4183</v>
      </c>
      <c r="G4189" s="19">
        <f>IFERROR(__xludf.DUMMYFUNCTION("""COMPUTED_VALUE"""),0.0022)</f>
        <v>0.0022</v>
      </c>
      <c r="H4189" s="19" t="str">
        <f>IFERROR(__xludf.DUMMYFUNCTION("""COMPUTED_VALUE"""),"-")</f>
        <v>-</v>
      </c>
      <c r="I4189" s="19">
        <f>IFERROR(__xludf.DUMMYFUNCTION("""COMPUTED_VALUE"""),0.00208)</f>
        <v>0.00208</v>
      </c>
      <c r="J4189" s="19">
        <f>IFERROR(__xludf.DUMMYFUNCTION("""COMPUTED_VALUE"""),0.04726)</f>
        <v>0.04726</v>
      </c>
      <c r="K4189" s="19" t="str">
        <f>IFERROR(__xludf.DUMMYFUNCTION("""COMPUTED_VALUE"""),"-")</f>
        <v>-</v>
      </c>
      <c r="L4189" s="19" t="str">
        <f>IFERROR(__xludf.DUMMYFUNCTION("""COMPUTED_VALUE"""),"-")</f>
        <v>-</v>
      </c>
      <c r="O4189" s="24">
        <f t="shared" si="4"/>
        <v>0</v>
      </c>
      <c r="P4189" s="24"/>
      <c r="Q4189" s="24">
        <f t="shared" si="6"/>
        <v>0</v>
      </c>
      <c r="R4189" s="24">
        <f t="shared" si="7"/>
        <v>0</v>
      </c>
      <c r="S4189" s="24"/>
      <c r="T4189" s="24"/>
    </row>
    <row r="4190">
      <c r="A4190" s="12" t="s">
        <v>4277</v>
      </c>
      <c r="F4190" s="19">
        <f>IFERROR(__xludf.DUMMYFUNCTION("SPLIT(A4186, "" |"")"),4184.0)</f>
        <v>4184</v>
      </c>
      <c r="G4190" s="19">
        <f>IFERROR(__xludf.DUMMYFUNCTION("""COMPUTED_VALUE"""),0.0022)</f>
        <v>0.0022</v>
      </c>
      <c r="H4190" s="19" t="str">
        <f>IFERROR(__xludf.DUMMYFUNCTION("""COMPUTED_VALUE"""),"-")</f>
        <v>-</v>
      </c>
      <c r="I4190" s="19">
        <f>IFERROR(__xludf.DUMMYFUNCTION("""COMPUTED_VALUE"""),0.00207)</f>
        <v>0.00207</v>
      </c>
      <c r="J4190" s="19">
        <f>IFERROR(__xludf.DUMMYFUNCTION("""COMPUTED_VALUE"""),0.04723)</f>
        <v>0.04723</v>
      </c>
      <c r="K4190" s="19" t="str">
        <f>IFERROR(__xludf.DUMMYFUNCTION("""COMPUTED_VALUE"""),"-")</f>
        <v>-</v>
      </c>
      <c r="L4190" s="19" t="str">
        <f>IFERROR(__xludf.DUMMYFUNCTION("""COMPUTED_VALUE"""),"-")</f>
        <v>-</v>
      </c>
      <c r="O4190" s="24">
        <f t="shared" si="4"/>
        <v>0</v>
      </c>
      <c r="P4190" s="24"/>
      <c r="Q4190" s="24">
        <f t="shared" si="6"/>
        <v>0</v>
      </c>
      <c r="R4190" s="24">
        <f t="shared" si="7"/>
        <v>0</v>
      </c>
      <c r="S4190" s="24"/>
      <c r="T4190" s="24"/>
    </row>
    <row r="4191">
      <c r="A4191" s="12" t="s">
        <v>4278</v>
      </c>
      <c r="F4191" s="19">
        <f>IFERROR(__xludf.DUMMYFUNCTION("SPLIT(A4187, "" |"")"),4185.0)</f>
        <v>4185</v>
      </c>
      <c r="G4191" s="19">
        <f>IFERROR(__xludf.DUMMYFUNCTION("""COMPUTED_VALUE"""),0.00225)</f>
        <v>0.00225</v>
      </c>
      <c r="H4191" s="19" t="str">
        <f>IFERROR(__xludf.DUMMYFUNCTION("""COMPUTED_VALUE"""),"-")</f>
        <v>-</v>
      </c>
      <c r="I4191" s="19">
        <f>IFERROR(__xludf.DUMMYFUNCTION("""COMPUTED_VALUE"""),0.00206)</f>
        <v>0.00206</v>
      </c>
      <c r="J4191" s="19">
        <f>IFERROR(__xludf.DUMMYFUNCTION("""COMPUTED_VALUE"""),0.04729)</f>
        <v>0.04729</v>
      </c>
      <c r="K4191" s="19" t="str">
        <f>IFERROR(__xludf.DUMMYFUNCTION("""COMPUTED_VALUE"""),"-")</f>
        <v>-</v>
      </c>
      <c r="L4191" s="19" t="str">
        <f>IFERROR(__xludf.DUMMYFUNCTION("""COMPUTED_VALUE"""),"-")</f>
        <v>-</v>
      </c>
      <c r="O4191" s="24">
        <f t="shared" si="4"/>
        <v>0</v>
      </c>
      <c r="P4191" s="24"/>
      <c r="Q4191" s="24">
        <f t="shared" si="6"/>
        <v>0</v>
      </c>
      <c r="R4191" s="24">
        <f t="shared" si="7"/>
        <v>0</v>
      </c>
      <c r="S4191" s="24"/>
      <c r="T4191" s="24"/>
    </row>
    <row r="4192">
      <c r="A4192" s="12" t="s">
        <v>4279</v>
      </c>
      <c r="F4192" s="19">
        <f>IFERROR(__xludf.DUMMYFUNCTION("SPLIT(A4188, "" |"")"),4186.0)</f>
        <v>4186</v>
      </c>
      <c r="G4192" s="19">
        <f>IFERROR(__xludf.DUMMYFUNCTION("""COMPUTED_VALUE"""),0.00224)</f>
        <v>0.00224</v>
      </c>
      <c r="H4192" s="19" t="str">
        <f>IFERROR(__xludf.DUMMYFUNCTION("""COMPUTED_VALUE"""),"-")</f>
        <v>-</v>
      </c>
      <c r="I4192" s="19">
        <f>IFERROR(__xludf.DUMMYFUNCTION("""COMPUTED_VALUE"""),0.00207)</f>
        <v>0.00207</v>
      </c>
      <c r="J4192" s="19">
        <f>IFERROR(__xludf.DUMMYFUNCTION("""COMPUTED_VALUE"""),0.04727)</f>
        <v>0.04727</v>
      </c>
      <c r="K4192" s="19" t="str">
        <f>IFERROR(__xludf.DUMMYFUNCTION("""COMPUTED_VALUE"""),"-")</f>
        <v>-</v>
      </c>
      <c r="L4192" s="19" t="str">
        <f>IFERROR(__xludf.DUMMYFUNCTION("""COMPUTED_VALUE"""),"-")</f>
        <v>-</v>
      </c>
      <c r="O4192" s="24">
        <f t="shared" si="4"/>
        <v>0</v>
      </c>
      <c r="P4192" s="24"/>
      <c r="Q4192" s="24">
        <f t="shared" si="6"/>
        <v>0</v>
      </c>
      <c r="R4192" s="24">
        <f t="shared" si="7"/>
        <v>0</v>
      </c>
      <c r="S4192" s="24"/>
      <c r="T4192" s="24"/>
    </row>
    <row r="4193">
      <c r="A4193" s="12" t="s">
        <v>4280</v>
      </c>
      <c r="F4193" s="19">
        <f>IFERROR(__xludf.DUMMYFUNCTION("SPLIT(A4189, "" |"")"),4187.0)</f>
        <v>4187</v>
      </c>
      <c r="G4193" s="19">
        <f>IFERROR(__xludf.DUMMYFUNCTION("""COMPUTED_VALUE"""),0.00222)</f>
        <v>0.00222</v>
      </c>
      <c r="H4193" s="19" t="str">
        <f>IFERROR(__xludf.DUMMYFUNCTION("""COMPUTED_VALUE"""),"-")</f>
        <v>-</v>
      </c>
      <c r="I4193" s="19">
        <f>IFERROR(__xludf.DUMMYFUNCTION("""COMPUTED_VALUE"""),0.00206)</f>
        <v>0.00206</v>
      </c>
      <c r="J4193" s="19">
        <f>IFERROR(__xludf.DUMMYFUNCTION("""COMPUTED_VALUE"""),0.04725)</f>
        <v>0.04725</v>
      </c>
      <c r="K4193" s="19" t="str">
        <f>IFERROR(__xludf.DUMMYFUNCTION("""COMPUTED_VALUE"""),"-")</f>
        <v>-</v>
      </c>
      <c r="L4193" s="19" t="str">
        <f>IFERROR(__xludf.DUMMYFUNCTION("""COMPUTED_VALUE"""),"-")</f>
        <v>-</v>
      </c>
      <c r="O4193" s="24">
        <f t="shared" si="4"/>
        <v>0</v>
      </c>
      <c r="P4193" s="24"/>
      <c r="Q4193" s="24">
        <f t="shared" si="6"/>
        <v>0</v>
      </c>
      <c r="R4193" s="24">
        <f t="shared" si="7"/>
        <v>0</v>
      </c>
      <c r="S4193" s="24"/>
      <c r="T4193" s="24"/>
    </row>
    <row r="4194">
      <c r="A4194" s="12" t="s">
        <v>4281</v>
      </c>
      <c r="F4194" s="19">
        <f>IFERROR(__xludf.DUMMYFUNCTION("SPLIT(A4190, "" |"")"),4188.0)</f>
        <v>4188</v>
      </c>
      <c r="G4194" s="19">
        <f>IFERROR(__xludf.DUMMYFUNCTION("""COMPUTED_VALUE"""),0.00223)</f>
        <v>0.00223</v>
      </c>
      <c r="H4194" s="19" t="str">
        <f>IFERROR(__xludf.DUMMYFUNCTION("""COMPUTED_VALUE"""),"-")</f>
        <v>-</v>
      </c>
      <c r="I4194" s="19">
        <f>IFERROR(__xludf.DUMMYFUNCTION("""COMPUTED_VALUE"""),0.00206)</f>
        <v>0.00206</v>
      </c>
      <c r="J4194" s="19">
        <f>IFERROR(__xludf.DUMMYFUNCTION("""COMPUTED_VALUE"""),0.04733)</f>
        <v>0.04733</v>
      </c>
      <c r="K4194" s="19" t="str">
        <f>IFERROR(__xludf.DUMMYFUNCTION("""COMPUTED_VALUE"""),"-")</f>
        <v>-</v>
      </c>
      <c r="L4194" s="19" t="str">
        <f>IFERROR(__xludf.DUMMYFUNCTION("""COMPUTED_VALUE"""),"-")</f>
        <v>-</v>
      </c>
      <c r="O4194" s="24">
        <f t="shared" si="4"/>
        <v>0</v>
      </c>
      <c r="P4194" s="24"/>
      <c r="Q4194" s="24">
        <f t="shared" si="6"/>
        <v>0</v>
      </c>
      <c r="R4194" s="24">
        <f t="shared" si="7"/>
        <v>0</v>
      </c>
      <c r="S4194" s="24"/>
      <c r="T4194" s="24"/>
    </row>
    <row r="4195">
      <c r="A4195" s="12" t="s">
        <v>4282</v>
      </c>
      <c r="F4195" s="19">
        <f>IFERROR(__xludf.DUMMYFUNCTION("SPLIT(A4191, "" |"")"),4189.0)</f>
        <v>4189</v>
      </c>
      <c r="G4195" s="19">
        <f>IFERROR(__xludf.DUMMYFUNCTION("""COMPUTED_VALUE"""),0.00238)</f>
        <v>0.00238</v>
      </c>
      <c r="H4195" s="19" t="str">
        <f>IFERROR(__xludf.DUMMYFUNCTION("""COMPUTED_VALUE"""),"-")</f>
        <v>-</v>
      </c>
      <c r="I4195" s="19">
        <f>IFERROR(__xludf.DUMMYFUNCTION("""COMPUTED_VALUE"""),0.00223)</f>
        <v>0.00223</v>
      </c>
      <c r="J4195" s="19">
        <f>IFERROR(__xludf.DUMMYFUNCTION("""COMPUTED_VALUE"""),0.04178)</f>
        <v>0.04178</v>
      </c>
      <c r="K4195" s="19" t="str">
        <f>IFERROR(__xludf.DUMMYFUNCTION("""COMPUTED_VALUE"""),"-")</f>
        <v>-</v>
      </c>
      <c r="L4195" s="19" t="str">
        <f>IFERROR(__xludf.DUMMYFUNCTION("""COMPUTED_VALUE"""),"-")</f>
        <v>-</v>
      </c>
      <c r="O4195" s="24">
        <f t="shared" si="4"/>
        <v>0</v>
      </c>
      <c r="P4195" s="24"/>
      <c r="Q4195" s="24">
        <f t="shared" si="6"/>
        <v>0</v>
      </c>
      <c r="R4195" s="24">
        <f t="shared" si="7"/>
        <v>1</v>
      </c>
      <c r="S4195" s="24"/>
      <c r="T4195" s="24"/>
    </row>
    <row r="4196">
      <c r="A4196" s="12" t="s">
        <v>4283</v>
      </c>
      <c r="F4196" s="19">
        <f>IFERROR(__xludf.DUMMYFUNCTION("SPLIT(A4192, "" |"")"),4190.0)</f>
        <v>4190</v>
      </c>
      <c r="G4196" s="19">
        <f>IFERROR(__xludf.DUMMYFUNCTION("""COMPUTED_VALUE"""),0.00233)</f>
        <v>0.00233</v>
      </c>
      <c r="H4196" s="19" t="str">
        <f>IFERROR(__xludf.DUMMYFUNCTION("""COMPUTED_VALUE"""),"-")</f>
        <v>-</v>
      </c>
      <c r="I4196" s="19">
        <f>IFERROR(__xludf.DUMMYFUNCTION("""COMPUTED_VALUE"""),0.00221)</f>
        <v>0.00221</v>
      </c>
      <c r="J4196" s="19">
        <f>IFERROR(__xludf.DUMMYFUNCTION("""COMPUTED_VALUE"""),0.04739)</f>
        <v>0.04739</v>
      </c>
      <c r="K4196" s="19" t="str">
        <f>IFERROR(__xludf.DUMMYFUNCTION("""COMPUTED_VALUE"""),"-")</f>
        <v>-</v>
      </c>
      <c r="L4196" s="19" t="str">
        <f>IFERROR(__xludf.DUMMYFUNCTION("""COMPUTED_VALUE"""),"-")</f>
        <v>-</v>
      </c>
      <c r="O4196" s="24">
        <f t="shared" si="4"/>
        <v>0</v>
      </c>
      <c r="P4196" s="24"/>
      <c r="Q4196" s="24">
        <f t="shared" si="6"/>
        <v>0</v>
      </c>
      <c r="R4196" s="24">
        <f t="shared" si="7"/>
        <v>0</v>
      </c>
      <c r="S4196" s="24"/>
      <c r="T4196" s="24"/>
    </row>
    <row r="4197">
      <c r="A4197" s="12" t="s">
        <v>4284</v>
      </c>
      <c r="F4197" s="19">
        <f>IFERROR(__xludf.DUMMYFUNCTION("SPLIT(A4193, "" |"")"),4191.0)</f>
        <v>4191</v>
      </c>
      <c r="G4197" s="19">
        <f>IFERROR(__xludf.DUMMYFUNCTION("""COMPUTED_VALUE"""),0.0024)</f>
        <v>0.0024</v>
      </c>
      <c r="H4197" s="19" t="str">
        <f>IFERROR(__xludf.DUMMYFUNCTION("""COMPUTED_VALUE"""),"-")</f>
        <v>-</v>
      </c>
      <c r="I4197" s="19">
        <f>IFERROR(__xludf.DUMMYFUNCTION("""COMPUTED_VALUE"""),0.00222)</f>
        <v>0.00222</v>
      </c>
      <c r="J4197" s="19">
        <f>IFERROR(__xludf.DUMMYFUNCTION("""COMPUTED_VALUE"""),0.04736)</f>
        <v>0.04736</v>
      </c>
      <c r="K4197" s="19" t="str">
        <f>IFERROR(__xludf.DUMMYFUNCTION("""COMPUTED_VALUE"""),"-")</f>
        <v>-</v>
      </c>
      <c r="L4197" s="19" t="str">
        <f>IFERROR(__xludf.DUMMYFUNCTION("""COMPUTED_VALUE"""),"-")</f>
        <v>-</v>
      </c>
      <c r="O4197" s="24">
        <f t="shared" si="4"/>
        <v>0</v>
      </c>
      <c r="P4197" s="24"/>
      <c r="Q4197" s="24">
        <f t="shared" si="6"/>
        <v>0</v>
      </c>
      <c r="R4197" s="24">
        <f t="shared" si="7"/>
        <v>0</v>
      </c>
      <c r="S4197" s="24"/>
      <c r="T4197" s="24"/>
    </row>
    <row r="4198">
      <c r="A4198" s="12" t="s">
        <v>4285</v>
      </c>
      <c r="F4198" s="19">
        <f>IFERROR(__xludf.DUMMYFUNCTION("SPLIT(A4194, "" |"")"),4192.0)</f>
        <v>4192</v>
      </c>
      <c r="G4198" s="19">
        <f>IFERROR(__xludf.DUMMYFUNCTION("""COMPUTED_VALUE"""),0.00234)</f>
        <v>0.00234</v>
      </c>
      <c r="H4198" s="19" t="str">
        <f>IFERROR(__xludf.DUMMYFUNCTION("""COMPUTED_VALUE"""),"-")</f>
        <v>-</v>
      </c>
      <c r="I4198" s="19">
        <f>IFERROR(__xludf.DUMMYFUNCTION("""COMPUTED_VALUE"""),0.00218)</f>
        <v>0.00218</v>
      </c>
      <c r="J4198" s="19">
        <f>IFERROR(__xludf.DUMMYFUNCTION("""COMPUTED_VALUE"""),0.04743)</f>
        <v>0.04743</v>
      </c>
      <c r="K4198" s="19" t="str">
        <f>IFERROR(__xludf.DUMMYFUNCTION("""COMPUTED_VALUE"""),"-")</f>
        <v>-</v>
      </c>
      <c r="L4198" s="19" t="str">
        <f>IFERROR(__xludf.DUMMYFUNCTION("""COMPUTED_VALUE"""),"-")</f>
        <v>-</v>
      </c>
      <c r="O4198" s="24">
        <f t="shared" si="4"/>
        <v>0</v>
      </c>
      <c r="P4198" s="24"/>
      <c r="Q4198" s="24">
        <f t="shared" si="6"/>
        <v>0</v>
      </c>
      <c r="R4198" s="24">
        <f t="shared" si="7"/>
        <v>0</v>
      </c>
      <c r="S4198" s="24"/>
      <c r="T4198" s="24"/>
    </row>
    <row r="4199">
      <c r="A4199" s="12" t="s">
        <v>4286</v>
      </c>
      <c r="F4199" s="19">
        <f>IFERROR(__xludf.DUMMYFUNCTION("SPLIT(A4195, "" |"")"),4193.0)</f>
        <v>4193</v>
      </c>
      <c r="G4199" s="19">
        <f>IFERROR(__xludf.DUMMYFUNCTION("""COMPUTED_VALUE"""),0.00233)</f>
        <v>0.00233</v>
      </c>
      <c r="H4199" s="19" t="str">
        <f>IFERROR(__xludf.DUMMYFUNCTION("""COMPUTED_VALUE"""),"-")</f>
        <v>-</v>
      </c>
      <c r="I4199" s="19">
        <f>IFERROR(__xludf.DUMMYFUNCTION("""COMPUTED_VALUE"""),0.00218)</f>
        <v>0.00218</v>
      </c>
      <c r="J4199" s="19">
        <f>IFERROR(__xludf.DUMMYFUNCTION("""COMPUTED_VALUE"""),0.04683)</f>
        <v>0.04683</v>
      </c>
      <c r="K4199" s="19" t="str">
        <f>IFERROR(__xludf.DUMMYFUNCTION("""COMPUTED_VALUE"""),"-")</f>
        <v>-</v>
      </c>
      <c r="L4199" s="19" t="str">
        <f>IFERROR(__xludf.DUMMYFUNCTION("""COMPUTED_VALUE"""),"-")</f>
        <v>-</v>
      </c>
      <c r="O4199" s="24">
        <f t="shared" si="4"/>
        <v>0</v>
      </c>
      <c r="P4199" s="24"/>
      <c r="Q4199" s="24">
        <f t="shared" si="6"/>
        <v>0</v>
      </c>
      <c r="R4199" s="24">
        <f t="shared" si="7"/>
        <v>0</v>
      </c>
      <c r="S4199" s="24"/>
      <c r="T4199" s="24"/>
    </row>
    <row r="4200">
      <c r="A4200" s="12" t="s">
        <v>4287</v>
      </c>
      <c r="F4200" s="19">
        <f>IFERROR(__xludf.DUMMYFUNCTION("SPLIT(A4196, "" |"")"),4194.0)</f>
        <v>4194</v>
      </c>
      <c r="G4200" s="19">
        <f>IFERROR(__xludf.DUMMYFUNCTION("""COMPUTED_VALUE"""),0.00237)</f>
        <v>0.00237</v>
      </c>
      <c r="H4200" s="19" t="str">
        <f>IFERROR(__xludf.DUMMYFUNCTION("""COMPUTED_VALUE"""),"-")</f>
        <v>-</v>
      </c>
      <c r="I4200" s="19">
        <f>IFERROR(__xludf.DUMMYFUNCTION("""COMPUTED_VALUE"""),0.00216)</f>
        <v>0.00216</v>
      </c>
      <c r="J4200" s="19">
        <f>IFERROR(__xludf.DUMMYFUNCTION("""COMPUTED_VALUE"""),0.04735)</f>
        <v>0.04735</v>
      </c>
      <c r="K4200" s="19" t="str">
        <f>IFERROR(__xludf.DUMMYFUNCTION("""COMPUTED_VALUE"""),"-")</f>
        <v>-</v>
      </c>
      <c r="L4200" s="19" t="str">
        <f>IFERROR(__xludf.DUMMYFUNCTION("""COMPUTED_VALUE"""),"-")</f>
        <v>-</v>
      </c>
      <c r="O4200" s="24">
        <f t="shared" si="4"/>
        <v>0</v>
      </c>
      <c r="P4200" s="24"/>
      <c r="Q4200" s="24">
        <f t="shared" si="6"/>
        <v>0</v>
      </c>
      <c r="R4200" s="24">
        <f t="shared" si="7"/>
        <v>0</v>
      </c>
      <c r="S4200" s="24"/>
      <c r="T4200" s="24"/>
    </row>
    <row r="4201">
      <c r="A4201" s="12" t="s">
        <v>4288</v>
      </c>
      <c r="F4201" s="19">
        <f>IFERROR(__xludf.DUMMYFUNCTION("SPLIT(A4197, "" |"")"),4195.0)</f>
        <v>4195</v>
      </c>
      <c r="G4201" s="19">
        <f>IFERROR(__xludf.DUMMYFUNCTION("""COMPUTED_VALUE"""),0.00236)</f>
        <v>0.00236</v>
      </c>
      <c r="H4201" s="19" t="str">
        <f>IFERROR(__xludf.DUMMYFUNCTION("""COMPUTED_VALUE"""),"-")</f>
        <v>-</v>
      </c>
      <c r="I4201" s="19">
        <f>IFERROR(__xludf.DUMMYFUNCTION("""COMPUTED_VALUE"""),0.00215)</f>
        <v>0.00215</v>
      </c>
      <c r="J4201" s="19">
        <f>IFERROR(__xludf.DUMMYFUNCTION("""COMPUTED_VALUE"""),0.04626)</f>
        <v>0.04626</v>
      </c>
      <c r="K4201" s="19" t="str">
        <f>IFERROR(__xludf.DUMMYFUNCTION("""COMPUTED_VALUE"""),"-")</f>
        <v>-</v>
      </c>
      <c r="L4201" s="19" t="str">
        <f>IFERROR(__xludf.DUMMYFUNCTION("""COMPUTED_VALUE"""),"-")</f>
        <v>-</v>
      </c>
      <c r="O4201" s="24">
        <f t="shared" si="4"/>
        <v>0</v>
      </c>
      <c r="P4201" s="24"/>
      <c r="Q4201" s="24">
        <f t="shared" si="6"/>
        <v>0</v>
      </c>
      <c r="R4201" s="24">
        <f t="shared" si="7"/>
        <v>0</v>
      </c>
      <c r="S4201" s="24"/>
      <c r="T4201" s="24"/>
    </row>
    <row r="4202">
      <c r="A4202" s="12" t="s">
        <v>4289</v>
      </c>
      <c r="F4202" s="19">
        <f>IFERROR(__xludf.DUMMYFUNCTION("SPLIT(A4198, "" |"")"),4196.0)</f>
        <v>4196</v>
      </c>
      <c r="G4202" s="19">
        <f>IFERROR(__xludf.DUMMYFUNCTION("""COMPUTED_VALUE"""),0.00245)</f>
        <v>0.00245</v>
      </c>
      <c r="H4202" s="19" t="str">
        <f>IFERROR(__xludf.DUMMYFUNCTION("""COMPUTED_VALUE"""),"-")</f>
        <v>-</v>
      </c>
      <c r="I4202" s="19">
        <f>IFERROR(__xludf.DUMMYFUNCTION("""COMPUTED_VALUE"""),0.00213)</f>
        <v>0.00213</v>
      </c>
      <c r="J4202" s="19">
        <f>IFERROR(__xludf.DUMMYFUNCTION("""COMPUTED_VALUE"""),0.04747)</f>
        <v>0.04747</v>
      </c>
      <c r="K4202" s="19" t="str">
        <f>IFERROR(__xludf.DUMMYFUNCTION("""COMPUTED_VALUE"""),"-")</f>
        <v>-</v>
      </c>
      <c r="L4202" s="19" t="str">
        <f>IFERROR(__xludf.DUMMYFUNCTION("""COMPUTED_VALUE"""),"-")</f>
        <v>-</v>
      </c>
      <c r="O4202" s="24">
        <f t="shared" si="4"/>
        <v>0</v>
      </c>
      <c r="P4202" s="24"/>
      <c r="Q4202" s="24">
        <f t="shared" si="6"/>
        <v>0</v>
      </c>
      <c r="R4202" s="24">
        <f t="shared" si="7"/>
        <v>0</v>
      </c>
      <c r="S4202" s="24"/>
      <c r="T4202" s="24"/>
    </row>
    <row r="4203">
      <c r="A4203" s="12" t="s">
        <v>4290</v>
      </c>
      <c r="F4203" s="19">
        <f>IFERROR(__xludf.DUMMYFUNCTION("SPLIT(A4199, "" |"")"),4197.0)</f>
        <v>4197</v>
      </c>
      <c r="G4203" s="19">
        <f>IFERROR(__xludf.DUMMYFUNCTION("""COMPUTED_VALUE"""),0.00238)</f>
        <v>0.00238</v>
      </c>
      <c r="H4203" s="19" t="str">
        <f>IFERROR(__xludf.DUMMYFUNCTION("""COMPUTED_VALUE"""),"-")</f>
        <v>-</v>
      </c>
      <c r="I4203" s="19">
        <f>IFERROR(__xludf.DUMMYFUNCTION("""COMPUTED_VALUE"""),0.00222)</f>
        <v>0.00222</v>
      </c>
      <c r="J4203" s="19">
        <f>IFERROR(__xludf.DUMMYFUNCTION("""COMPUTED_VALUE"""),0.04743)</f>
        <v>0.04743</v>
      </c>
      <c r="K4203" s="19" t="str">
        <f>IFERROR(__xludf.DUMMYFUNCTION("""COMPUTED_VALUE"""),"-")</f>
        <v>-</v>
      </c>
      <c r="L4203" s="19" t="str">
        <f>IFERROR(__xludf.DUMMYFUNCTION("""COMPUTED_VALUE"""),"-")</f>
        <v>-</v>
      </c>
      <c r="O4203" s="24">
        <f t="shared" si="4"/>
        <v>0</v>
      </c>
      <c r="P4203" s="24"/>
      <c r="Q4203" s="24">
        <f t="shared" si="6"/>
        <v>0</v>
      </c>
      <c r="R4203" s="24">
        <f t="shared" si="7"/>
        <v>0</v>
      </c>
      <c r="S4203" s="24"/>
      <c r="T4203" s="24"/>
    </row>
    <row r="4204">
      <c r="A4204" s="12" t="s">
        <v>4291</v>
      </c>
      <c r="F4204" s="19">
        <f>IFERROR(__xludf.DUMMYFUNCTION("SPLIT(A4200, "" |"")"),4198.0)</f>
        <v>4198</v>
      </c>
      <c r="G4204" s="19">
        <f>IFERROR(__xludf.DUMMYFUNCTION("""COMPUTED_VALUE"""),0.00235)</f>
        <v>0.00235</v>
      </c>
      <c r="H4204" s="19" t="str">
        <f>IFERROR(__xludf.DUMMYFUNCTION("""COMPUTED_VALUE"""),"-")</f>
        <v>-</v>
      </c>
      <c r="I4204" s="19">
        <f>IFERROR(__xludf.DUMMYFUNCTION("""COMPUTED_VALUE"""),0.0022)</f>
        <v>0.0022</v>
      </c>
      <c r="J4204" s="19">
        <f>IFERROR(__xludf.DUMMYFUNCTION("""COMPUTED_VALUE"""),0.0474)</f>
        <v>0.0474</v>
      </c>
      <c r="K4204" s="19" t="str">
        <f>IFERROR(__xludf.DUMMYFUNCTION("""COMPUTED_VALUE"""),"-")</f>
        <v>-</v>
      </c>
      <c r="L4204" s="19" t="str">
        <f>IFERROR(__xludf.DUMMYFUNCTION("""COMPUTED_VALUE"""),"-")</f>
        <v>-</v>
      </c>
      <c r="O4204" s="24">
        <f t="shared" si="4"/>
        <v>0</v>
      </c>
      <c r="P4204" s="24"/>
      <c r="Q4204" s="24">
        <f t="shared" si="6"/>
        <v>0</v>
      </c>
      <c r="R4204" s="24">
        <f t="shared" si="7"/>
        <v>0</v>
      </c>
      <c r="S4204" s="24"/>
      <c r="T4204" s="24"/>
    </row>
    <row r="4205">
      <c r="A4205" s="12" t="s">
        <v>4292</v>
      </c>
      <c r="F4205" s="19">
        <f>IFERROR(__xludf.DUMMYFUNCTION("SPLIT(A4201, "" |"")"),4199.0)</f>
        <v>4199</v>
      </c>
      <c r="G4205" s="19">
        <f>IFERROR(__xludf.DUMMYFUNCTION("""COMPUTED_VALUE"""),0.00234)</f>
        <v>0.00234</v>
      </c>
      <c r="H4205" s="19" t="str">
        <f>IFERROR(__xludf.DUMMYFUNCTION("""COMPUTED_VALUE"""),"-")</f>
        <v>-</v>
      </c>
      <c r="I4205" s="19">
        <f>IFERROR(__xludf.DUMMYFUNCTION("""COMPUTED_VALUE"""),0.00217)</f>
        <v>0.00217</v>
      </c>
      <c r="J4205" s="19">
        <f>IFERROR(__xludf.DUMMYFUNCTION("""COMPUTED_VALUE"""),0.03697)</f>
        <v>0.03697</v>
      </c>
      <c r="K4205" s="19" t="str">
        <f>IFERROR(__xludf.DUMMYFUNCTION("""COMPUTED_VALUE"""),"-")</f>
        <v>-</v>
      </c>
      <c r="L4205" s="19" t="str">
        <f>IFERROR(__xludf.DUMMYFUNCTION("""COMPUTED_VALUE"""),"-")</f>
        <v>-</v>
      </c>
      <c r="O4205" s="24">
        <f t="shared" si="4"/>
        <v>0</v>
      </c>
      <c r="P4205" s="24"/>
      <c r="Q4205" s="24">
        <f t="shared" si="6"/>
        <v>0</v>
      </c>
      <c r="R4205" s="24">
        <f t="shared" si="7"/>
        <v>1</v>
      </c>
      <c r="S4205" s="24"/>
      <c r="T4205" s="24"/>
    </row>
    <row r="4206">
      <c r="A4206" s="12" t="s">
        <v>4293</v>
      </c>
      <c r="F4206" s="19">
        <f>IFERROR(__xludf.DUMMYFUNCTION("SPLIT(A4202, "" |"")"),4200.0)</f>
        <v>4200</v>
      </c>
      <c r="G4206" s="19">
        <f>IFERROR(__xludf.DUMMYFUNCTION("""COMPUTED_VALUE"""),0.00233)</f>
        <v>0.00233</v>
      </c>
      <c r="H4206" s="19" t="str">
        <f>IFERROR(__xludf.DUMMYFUNCTION("""COMPUTED_VALUE"""),"-")</f>
        <v>-</v>
      </c>
      <c r="I4206" s="19">
        <f>IFERROR(__xludf.DUMMYFUNCTION("""COMPUTED_VALUE"""),0.00214)</f>
        <v>0.00214</v>
      </c>
      <c r="J4206" s="19">
        <f>IFERROR(__xludf.DUMMYFUNCTION("""COMPUTED_VALUE"""),0.04743)</f>
        <v>0.04743</v>
      </c>
      <c r="K4206" s="19" t="str">
        <f>IFERROR(__xludf.DUMMYFUNCTION("""COMPUTED_VALUE"""),"-")</f>
        <v>-</v>
      </c>
      <c r="L4206" s="19" t="str">
        <f>IFERROR(__xludf.DUMMYFUNCTION("""COMPUTED_VALUE"""),"-")</f>
        <v>-</v>
      </c>
      <c r="O4206" s="24">
        <f t="shared" si="4"/>
        <v>0</v>
      </c>
      <c r="P4206" s="24"/>
      <c r="Q4206" s="24">
        <f t="shared" si="6"/>
        <v>0</v>
      </c>
      <c r="R4206" s="24">
        <f t="shared" si="7"/>
        <v>0</v>
      </c>
      <c r="S4206" s="24"/>
      <c r="T4206" s="24"/>
    </row>
    <row r="4207">
      <c r="A4207" s="12" t="s">
        <v>4294</v>
      </c>
      <c r="F4207" s="19">
        <f>IFERROR(__xludf.DUMMYFUNCTION("SPLIT(A4203, "" |"")"),4201.0)</f>
        <v>4201</v>
      </c>
      <c r="G4207" s="19">
        <f>IFERROR(__xludf.DUMMYFUNCTION("""COMPUTED_VALUE"""),0.00233)</f>
        <v>0.00233</v>
      </c>
      <c r="H4207" s="19" t="str">
        <f>IFERROR(__xludf.DUMMYFUNCTION("""COMPUTED_VALUE"""),"-")</f>
        <v>-</v>
      </c>
      <c r="I4207" s="19">
        <f>IFERROR(__xludf.DUMMYFUNCTION("""COMPUTED_VALUE"""),0.00223)</f>
        <v>0.00223</v>
      </c>
      <c r="J4207" s="19">
        <f>IFERROR(__xludf.DUMMYFUNCTION("""COMPUTED_VALUE"""),0.04381)</f>
        <v>0.04381</v>
      </c>
      <c r="K4207" s="19" t="str">
        <f>IFERROR(__xludf.DUMMYFUNCTION("""COMPUTED_VALUE"""),"-")</f>
        <v>-</v>
      </c>
      <c r="L4207" s="19" t="str">
        <f>IFERROR(__xludf.DUMMYFUNCTION("""COMPUTED_VALUE"""),"-")</f>
        <v>-</v>
      </c>
      <c r="O4207" s="24">
        <f t="shared" si="4"/>
        <v>0</v>
      </c>
      <c r="P4207" s="24"/>
      <c r="Q4207" s="24">
        <f t="shared" si="6"/>
        <v>0</v>
      </c>
      <c r="R4207" s="24">
        <f t="shared" si="7"/>
        <v>1</v>
      </c>
      <c r="S4207" s="24"/>
      <c r="T4207" s="24"/>
    </row>
    <row r="4208">
      <c r="A4208" s="12" t="s">
        <v>4295</v>
      </c>
      <c r="F4208" s="19">
        <f>IFERROR(__xludf.DUMMYFUNCTION("SPLIT(A4204, "" |"")"),4202.0)</f>
        <v>4202</v>
      </c>
      <c r="G4208" s="19">
        <f>IFERROR(__xludf.DUMMYFUNCTION("""COMPUTED_VALUE"""),0.00229)</f>
        <v>0.00229</v>
      </c>
      <c r="H4208" s="19" t="str">
        <f>IFERROR(__xludf.DUMMYFUNCTION("""COMPUTED_VALUE"""),"-")</f>
        <v>-</v>
      </c>
      <c r="I4208" s="19">
        <f>IFERROR(__xludf.DUMMYFUNCTION("""COMPUTED_VALUE"""),0.00221)</f>
        <v>0.00221</v>
      </c>
      <c r="J4208" s="19">
        <f>IFERROR(__xludf.DUMMYFUNCTION("""COMPUTED_VALUE"""),0.04739)</f>
        <v>0.04739</v>
      </c>
      <c r="K4208" s="19" t="str">
        <f>IFERROR(__xludf.DUMMYFUNCTION("""COMPUTED_VALUE"""),"-")</f>
        <v>-</v>
      </c>
      <c r="L4208" s="19" t="str">
        <f>IFERROR(__xludf.DUMMYFUNCTION("""COMPUTED_VALUE"""),"-")</f>
        <v>-</v>
      </c>
      <c r="O4208" s="24">
        <f t="shared" si="4"/>
        <v>0</v>
      </c>
      <c r="P4208" s="24"/>
      <c r="Q4208" s="24">
        <f t="shared" si="6"/>
        <v>0</v>
      </c>
      <c r="R4208" s="24">
        <f t="shared" si="7"/>
        <v>0</v>
      </c>
      <c r="S4208" s="24"/>
      <c r="T4208" s="24"/>
    </row>
    <row r="4209">
      <c r="A4209" s="12" t="s">
        <v>4296</v>
      </c>
      <c r="F4209" s="19">
        <f>IFERROR(__xludf.DUMMYFUNCTION("SPLIT(A4205, "" |"")"),4203.0)</f>
        <v>4203</v>
      </c>
      <c r="G4209" s="19">
        <f>IFERROR(__xludf.DUMMYFUNCTION("""COMPUTED_VALUE"""),0.00234)</f>
        <v>0.00234</v>
      </c>
      <c r="H4209" s="19" t="str">
        <f>IFERROR(__xludf.DUMMYFUNCTION("""COMPUTED_VALUE"""),"-")</f>
        <v>-</v>
      </c>
      <c r="I4209" s="19">
        <f>IFERROR(__xludf.DUMMYFUNCTION("""COMPUTED_VALUE"""),0.00226)</f>
        <v>0.00226</v>
      </c>
      <c r="J4209" s="19">
        <f>IFERROR(__xludf.DUMMYFUNCTION("""COMPUTED_VALUE"""),0.04739)</f>
        <v>0.04739</v>
      </c>
      <c r="K4209" s="19" t="str">
        <f>IFERROR(__xludf.DUMMYFUNCTION("""COMPUTED_VALUE"""),"-")</f>
        <v>-</v>
      </c>
      <c r="L4209" s="19" t="str">
        <f>IFERROR(__xludf.DUMMYFUNCTION("""COMPUTED_VALUE"""),"-")</f>
        <v>-</v>
      </c>
      <c r="O4209" s="24">
        <f t="shared" si="4"/>
        <v>0</v>
      </c>
      <c r="P4209" s="24"/>
      <c r="Q4209" s="24">
        <f t="shared" si="6"/>
        <v>0</v>
      </c>
      <c r="R4209" s="24">
        <f t="shared" si="7"/>
        <v>0</v>
      </c>
      <c r="S4209" s="24"/>
      <c r="T4209" s="24"/>
    </row>
    <row r="4210">
      <c r="A4210" s="12" t="s">
        <v>4297</v>
      </c>
      <c r="F4210" s="19">
        <f>IFERROR(__xludf.DUMMYFUNCTION("SPLIT(A4206, "" |"")"),4204.0)</f>
        <v>4204</v>
      </c>
      <c r="G4210" s="19">
        <f>IFERROR(__xludf.DUMMYFUNCTION("""COMPUTED_VALUE"""),0.00235)</f>
        <v>0.00235</v>
      </c>
      <c r="H4210" s="19" t="str">
        <f>IFERROR(__xludf.DUMMYFUNCTION("""COMPUTED_VALUE"""),"-")</f>
        <v>-</v>
      </c>
      <c r="I4210" s="19">
        <f>IFERROR(__xludf.DUMMYFUNCTION("""COMPUTED_VALUE"""),0.00218)</f>
        <v>0.00218</v>
      </c>
      <c r="J4210" s="19">
        <f>IFERROR(__xludf.DUMMYFUNCTION("""COMPUTED_VALUE"""),0.04741)</f>
        <v>0.04741</v>
      </c>
      <c r="K4210" s="19" t="str">
        <f>IFERROR(__xludf.DUMMYFUNCTION("""COMPUTED_VALUE"""),"-")</f>
        <v>-</v>
      </c>
      <c r="L4210" s="19" t="str">
        <f>IFERROR(__xludf.DUMMYFUNCTION("""COMPUTED_VALUE"""),"-")</f>
        <v>-</v>
      </c>
      <c r="O4210" s="24">
        <f t="shared" si="4"/>
        <v>0</v>
      </c>
      <c r="P4210" s="24"/>
      <c r="Q4210" s="24">
        <f t="shared" si="6"/>
        <v>0</v>
      </c>
      <c r="R4210" s="24">
        <f t="shared" si="7"/>
        <v>0</v>
      </c>
      <c r="S4210" s="24"/>
      <c r="T4210" s="24"/>
    </row>
    <row r="4211">
      <c r="A4211" s="12" t="s">
        <v>4298</v>
      </c>
      <c r="F4211" s="19">
        <f>IFERROR(__xludf.DUMMYFUNCTION("SPLIT(A4207, "" |"")"),4205.0)</f>
        <v>4205</v>
      </c>
      <c r="G4211" s="19">
        <f>IFERROR(__xludf.DUMMYFUNCTION("""COMPUTED_VALUE"""),0.0023)</f>
        <v>0.0023</v>
      </c>
      <c r="H4211" s="19" t="str">
        <f>IFERROR(__xludf.DUMMYFUNCTION("""COMPUTED_VALUE"""),"-")</f>
        <v>-</v>
      </c>
      <c r="I4211" s="19">
        <f>IFERROR(__xludf.DUMMYFUNCTION("""COMPUTED_VALUE"""),0.00221)</f>
        <v>0.00221</v>
      </c>
      <c r="J4211" s="19">
        <f>IFERROR(__xludf.DUMMYFUNCTION("""COMPUTED_VALUE"""),0.04747)</f>
        <v>0.04747</v>
      </c>
      <c r="K4211" s="19" t="str">
        <f>IFERROR(__xludf.DUMMYFUNCTION("""COMPUTED_VALUE"""),"-")</f>
        <v>-</v>
      </c>
      <c r="L4211" s="19" t="str">
        <f>IFERROR(__xludf.DUMMYFUNCTION("""COMPUTED_VALUE"""),"-")</f>
        <v>-</v>
      </c>
      <c r="O4211" s="24">
        <f t="shared" si="4"/>
        <v>0</v>
      </c>
      <c r="P4211" s="24"/>
      <c r="Q4211" s="24">
        <f t="shared" si="6"/>
        <v>0</v>
      </c>
      <c r="R4211" s="24">
        <f t="shared" si="7"/>
        <v>0</v>
      </c>
      <c r="S4211" s="24"/>
      <c r="T4211" s="24"/>
    </row>
    <row r="4212">
      <c r="A4212" s="12" t="s">
        <v>4299</v>
      </c>
      <c r="F4212" s="19">
        <f>IFERROR(__xludf.DUMMYFUNCTION("SPLIT(A4208, "" |"")"),4206.0)</f>
        <v>4206</v>
      </c>
      <c r="G4212" s="19">
        <f>IFERROR(__xludf.DUMMYFUNCTION("""COMPUTED_VALUE"""),0.00243)</f>
        <v>0.00243</v>
      </c>
      <c r="H4212" s="19" t="str">
        <f>IFERROR(__xludf.DUMMYFUNCTION("""COMPUTED_VALUE"""),"-")</f>
        <v>-</v>
      </c>
      <c r="I4212" s="19">
        <f>IFERROR(__xludf.DUMMYFUNCTION("""COMPUTED_VALUE"""),0.00224)</f>
        <v>0.00224</v>
      </c>
      <c r="J4212" s="19">
        <f>IFERROR(__xludf.DUMMYFUNCTION("""COMPUTED_VALUE"""),0.0474)</f>
        <v>0.0474</v>
      </c>
      <c r="K4212" s="19" t="str">
        <f>IFERROR(__xludf.DUMMYFUNCTION("""COMPUTED_VALUE"""),"-")</f>
        <v>-</v>
      </c>
      <c r="L4212" s="19" t="str">
        <f>IFERROR(__xludf.DUMMYFUNCTION("""COMPUTED_VALUE"""),"-")</f>
        <v>-</v>
      </c>
      <c r="O4212" s="24">
        <f t="shared" si="4"/>
        <v>0</v>
      </c>
      <c r="P4212" s="24"/>
      <c r="Q4212" s="24">
        <f t="shared" si="6"/>
        <v>0</v>
      </c>
      <c r="R4212" s="24">
        <f t="shared" si="7"/>
        <v>0</v>
      </c>
      <c r="S4212" s="24"/>
      <c r="T4212" s="24"/>
    </row>
    <row r="4213">
      <c r="A4213" s="12" t="s">
        <v>4300</v>
      </c>
      <c r="F4213" s="19">
        <f>IFERROR(__xludf.DUMMYFUNCTION("SPLIT(A4209, "" |"")"),4207.0)</f>
        <v>4207</v>
      </c>
      <c r="G4213" s="19">
        <f>IFERROR(__xludf.DUMMYFUNCTION("""COMPUTED_VALUE"""),0.00234)</f>
        <v>0.00234</v>
      </c>
      <c r="H4213" s="19" t="str">
        <f>IFERROR(__xludf.DUMMYFUNCTION("""COMPUTED_VALUE"""),"-")</f>
        <v>-</v>
      </c>
      <c r="I4213" s="19">
        <f>IFERROR(__xludf.DUMMYFUNCTION("""COMPUTED_VALUE"""),0.00219)</f>
        <v>0.00219</v>
      </c>
      <c r="J4213" s="19">
        <f>IFERROR(__xludf.DUMMYFUNCTION("""COMPUTED_VALUE"""),0.04742)</f>
        <v>0.04742</v>
      </c>
      <c r="K4213" s="19" t="str">
        <f>IFERROR(__xludf.DUMMYFUNCTION("""COMPUTED_VALUE"""),"-")</f>
        <v>-</v>
      </c>
      <c r="L4213" s="19" t="str">
        <f>IFERROR(__xludf.DUMMYFUNCTION("""COMPUTED_VALUE"""),"-")</f>
        <v>-</v>
      </c>
      <c r="O4213" s="24">
        <f t="shared" si="4"/>
        <v>0</v>
      </c>
      <c r="P4213" s="24"/>
      <c r="Q4213" s="24">
        <f t="shared" si="6"/>
        <v>0</v>
      </c>
      <c r="R4213" s="24">
        <f t="shared" si="7"/>
        <v>0</v>
      </c>
      <c r="S4213" s="24"/>
      <c r="T4213" s="24"/>
    </row>
    <row r="4214">
      <c r="A4214" s="12" t="s">
        <v>4301</v>
      </c>
      <c r="F4214" s="19">
        <f>IFERROR(__xludf.DUMMYFUNCTION("SPLIT(A4210, "" |"")"),4208.0)</f>
        <v>4208</v>
      </c>
      <c r="G4214" s="19">
        <f>IFERROR(__xludf.DUMMYFUNCTION("""COMPUTED_VALUE"""),0.00225)</f>
        <v>0.00225</v>
      </c>
      <c r="H4214" s="19" t="str">
        <f>IFERROR(__xludf.DUMMYFUNCTION("""COMPUTED_VALUE"""),"-")</f>
        <v>-</v>
      </c>
      <c r="I4214" s="19">
        <f>IFERROR(__xludf.DUMMYFUNCTION("""COMPUTED_VALUE"""),0.00226)</f>
        <v>0.00226</v>
      </c>
      <c r="J4214" s="19">
        <f>IFERROR(__xludf.DUMMYFUNCTION("""COMPUTED_VALUE"""),0.04748)</f>
        <v>0.04748</v>
      </c>
      <c r="K4214" s="19" t="str">
        <f>IFERROR(__xludf.DUMMYFUNCTION("""COMPUTED_VALUE"""),"-")</f>
        <v>-</v>
      </c>
      <c r="L4214" s="19" t="str">
        <f>IFERROR(__xludf.DUMMYFUNCTION("""COMPUTED_VALUE"""),"-")</f>
        <v>-</v>
      </c>
      <c r="O4214" s="24">
        <f t="shared" si="4"/>
        <v>0</v>
      </c>
      <c r="P4214" s="24"/>
      <c r="Q4214" s="24">
        <f t="shared" si="6"/>
        <v>0</v>
      </c>
      <c r="R4214" s="24">
        <f t="shared" si="7"/>
        <v>0</v>
      </c>
      <c r="S4214" s="24"/>
      <c r="T4214" s="24"/>
    </row>
    <row r="4215">
      <c r="A4215" s="12" t="s">
        <v>4302</v>
      </c>
      <c r="F4215" s="19">
        <f>IFERROR(__xludf.DUMMYFUNCTION("SPLIT(A4211, "" |"")"),4209.0)</f>
        <v>4209</v>
      </c>
      <c r="G4215" s="19">
        <f>IFERROR(__xludf.DUMMYFUNCTION("""COMPUTED_VALUE"""),0.00229)</f>
        <v>0.00229</v>
      </c>
      <c r="H4215" s="19" t="str">
        <f>IFERROR(__xludf.DUMMYFUNCTION("""COMPUTED_VALUE"""),"-")</f>
        <v>-</v>
      </c>
      <c r="I4215" s="19">
        <f>IFERROR(__xludf.DUMMYFUNCTION("""COMPUTED_VALUE"""),0.00225)</f>
        <v>0.00225</v>
      </c>
      <c r="J4215" s="19">
        <f>IFERROR(__xludf.DUMMYFUNCTION("""COMPUTED_VALUE"""),0.04077)</f>
        <v>0.04077</v>
      </c>
      <c r="K4215" s="19" t="str">
        <f>IFERROR(__xludf.DUMMYFUNCTION("""COMPUTED_VALUE"""),"-")</f>
        <v>-</v>
      </c>
      <c r="L4215" s="19" t="str">
        <f>IFERROR(__xludf.DUMMYFUNCTION("""COMPUTED_VALUE"""),"-")</f>
        <v>-</v>
      </c>
      <c r="O4215" s="24">
        <f t="shared" si="4"/>
        <v>0</v>
      </c>
      <c r="P4215" s="24"/>
      <c r="Q4215" s="24">
        <f t="shared" si="6"/>
        <v>0</v>
      </c>
      <c r="R4215" s="24">
        <f t="shared" si="7"/>
        <v>1</v>
      </c>
      <c r="S4215" s="24"/>
      <c r="T4215" s="24"/>
    </row>
    <row r="4216">
      <c r="A4216" s="12" t="s">
        <v>4303</v>
      </c>
      <c r="F4216" s="19">
        <f>IFERROR(__xludf.DUMMYFUNCTION("SPLIT(A4212, "" |"")"),4210.0)</f>
        <v>4210</v>
      </c>
      <c r="G4216" s="19">
        <f>IFERROR(__xludf.DUMMYFUNCTION("""COMPUTED_VALUE"""),0.00231)</f>
        <v>0.00231</v>
      </c>
      <c r="H4216" s="19" t="str">
        <f>IFERROR(__xludf.DUMMYFUNCTION("""COMPUTED_VALUE"""),"-")</f>
        <v>-</v>
      </c>
      <c r="I4216" s="19">
        <f>IFERROR(__xludf.DUMMYFUNCTION("""COMPUTED_VALUE"""),0.00218)</f>
        <v>0.00218</v>
      </c>
      <c r="J4216" s="19">
        <f>IFERROR(__xludf.DUMMYFUNCTION("""COMPUTED_VALUE"""),0.04742)</f>
        <v>0.04742</v>
      </c>
      <c r="K4216" s="19" t="str">
        <f>IFERROR(__xludf.DUMMYFUNCTION("""COMPUTED_VALUE"""),"-")</f>
        <v>-</v>
      </c>
      <c r="L4216" s="19" t="str">
        <f>IFERROR(__xludf.DUMMYFUNCTION("""COMPUTED_VALUE"""),"-")</f>
        <v>-</v>
      </c>
      <c r="O4216" s="24">
        <f t="shared" si="4"/>
        <v>0</v>
      </c>
      <c r="P4216" s="24"/>
      <c r="Q4216" s="24">
        <f t="shared" si="6"/>
        <v>0</v>
      </c>
      <c r="R4216" s="24">
        <f t="shared" si="7"/>
        <v>0</v>
      </c>
      <c r="S4216" s="24"/>
      <c r="T4216" s="24"/>
    </row>
    <row r="4217">
      <c r="A4217" s="12" t="s">
        <v>4304</v>
      </c>
      <c r="F4217" s="19">
        <f>IFERROR(__xludf.DUMMYFUNCTION("SPLIT(A4213, "" |"")"),4211.0)</f>
        <v>4211</v>
      </c>
      <c r="G4217" s="19">
        <f>IFERROR(__xludf.DUMMYFUNCTION("""COMPUTED_VALUE"""),0.00235)</f>
        <v>0.00235</v>
      </c>
      <c r="H4217" s="19" t="str">
        <f>IFERROR(__xludf.DUMMYFUNCTION("""COMPUTED_VALUE"""),"-")</f>
        <v>-</v>
      </c>
      <c r="I4217" s="19">
        <f>IFERROR(__xludf.DUMMYFUNCTION("""COMPUTED_VALUE"""),0.00221)</f>
        <v>0.00221</v>
      </c>
      <c r="J4217" s="19">
        <f>IFERROR(__xludf.DUMMYFUNCTION("""COMPUTED_VALUE"""),0.04745)</f>
        <v>0.04745</v>
      </c>
      <c r="K4217" s="19" t="str">
        <f>IFERROR(__xludf.DUMMYFUNCTION("""COMPUTED_VALUE"""),"-")</f>
        <v>-</v>
      </c>
      <c r="L4217" s="19" t="str">
        <f>IFERROR(__xludf.DUMMYFUNCTION("""COMPUTED_VALUE"""),"-")</f>
        <v>-</v>
      </c>
      <c r="O4217" s="24">
        <f t="shared" si="4"/>
        <v>0</v>
      </c>
      <c r="P4217" s="24"/>
      <c r="Q4217" s="24">
        <f t="shared" si="6"/>
        <v>0</v>
      </c>
      <c r="R4217" s="24">
        <f t="shared" si="7"/>
        <v>0</v>
      </c>
      <c r="S4217" s="24"/>
      <c r="T4217" s="24"/>
    </row>
    <row r="4218">
      <c r="A4218" s="12" t="s">
        <v>4305</v>
      </c>
      <c r="F4218" s="19">
        <f>IFERROR(__xludf.DUMMYFUNCTION("SPLIT(A4214, "" |"")"),4212.0)</f>
        <v>4212</v>
      </c>
      <c r="G4218" s="19">
        <f>IFERROR(__xludf.DUMMYFUNCTION("""COMPUTED_VALUE"""),0.00229)</f>
        <v>0.00229</v>
      </c>
      <c r="H4218" s="19" t="str">
        <f>IFERROR(__xludf.DUMMYFUNCTION("""COMPUTED_VALUE"""),"-")</f>
        <v>-</v>
      </c>
      <c r="I4218" s="19">
        <f>IFERROR(__xludf.DUMMYFUNCTION("""COMPUTED_VALUE"""),0.00225)</f>
        <v>0.00225</v>
      </c>
      <c r="J4218" s="19">
        <f>IFERROR(__xludf.DUMMYFUNCTION("""COMPUTED_VALUE"""),0.04743)</f>
        <v>0.04743</v>
      </c>
      <c r="K4218" s="19" t="str">
        <f>IFERROR(__xludf.DUMMYFUNCTION("""COMPUTED_VALUE"""),"-")</f>
        <v>-</v>
      </c>
      <c r="L4218" s="19" t="str">
        <f>IFERROR(__xludf.DUMMYFUNCTION("""COMPUTED_VALUE"""),"-")</f>
        <v>-</v>
      </c>
      <c r="O4218" s="24">
        <f t="shared" si="4"/>
        <v>0</v>
      </c>
      <c r="P4218" s="24"/>
      <c r="Q4218" s="24">
        <f t="shared" si="6"/>
        <v>0</v>
      </c>
      <c r="R4218" s="24">
        <f t="shared" si="7"/>
        <v>0</v>
      </c>
      <c r="S4218" s="24"/>
      <c r="T4218" s="24"/>
    </row>
    <row r="4219">
      <c r="A4219" s="12" t="s">
        <v>4306</v>
      </c>
      <c r="F4219" s="19">
        <f>IFERROR(__xludf.DUMMYFUNCTION("SPLIT(A4215, "" |"")"),4213.0)</f>
        <v>4213</v>
      </c>
      <c r="G4219" s="19">
        <f>IFERROR(__xludf.DUMMYFUNCTION("""COMPUTED_VALUE"""),0.00237)</f>
        <v>0.00237</v>
      </c>
      <c r="H4219" s="19" t="str">
        <f>IFERROR(__xludf.DUMMYFUNCTION("""COMPUTED_VALUE"""),"-")</f>
        <v>-</v>
      </c>
      <c r="I4219" s="19">
        <f>IFERROR(__xludf.DUMMYFUNCTION("""COMPUTED_VALUE"""),0.00223)</f>
        <v>0.00223</v>
      </c>
      <c r="J4219" s="19">
        <f>IFERROR(__xludf.DUMMYFUNCTION("""COMPUTED_VALUE"""),0.04745)</f>
        <v>0.04745</v>
      </c>
      <c r="K4219" s="19" t="str">
        <f>IFERROR(__xludf.DUMMYFUNCTION("""COMPUTED_VALUE"""),"-")</f>
        <v>-</v>
      </c>
      <c r="L4219" s="19" t="str">
        <f>IFERROR(__xludf.DUMMYFUNCTION("""COMPUTED_VALUE"""),"-")</f>
        <v>-</v>
      </c>
      <c r="O4219" s="24">
        <f t="shared" si="4"/>
        <v>0</v>
      </c>
      <c r="P4219" s="24"/>
      <c r="Q4219" s="24">
        <f t="shared" si="6"/>
        <v>0</v>
      </c>
      <c r="R4219" s="24">
        <f t="shared" si="7"/>
        <v>0</v>
      </c>
      <c r="S4219" s="24"/>
      <c r="T4219" s="24"/>
    </row>
    <row r="4220">
      <c r="A4220" s="12" t="s">
        <v>4307</v>
      </c>
      <c r="F4220" s="19">
        <f>IFERROR(__xludf.DUMMYFUNCTION("SPLIT(A4216, "" |"")"),4214.0)</f>
        <v>4214</v>
      </c>
      <c r="G4220" s="19">
        <f>IFERROR(__xludf.DUMMYFUNCTION("""COMPUTED_VALUE"""),0.00241)</f>
        <v>0.00241</v>
      </c>
      <c r="H4220" s="19" t="str">
        <f>IFERROR(__xludf.DUMMYFUNCTION("""COMPUTED_VALUE"""),"-")</f>
        <v>-</v>
      </c>
      <c r="I4220" s="19">
        <f>IFERROR(__xludf.DUMMYFUNCTION("""COMPUTED_VALUE"""),0.00218)</f>
        <v>0.00218</v>
      </c>
      <c r="J4220" s="19">
        <f>IFERROR(__xludf.DUMMYFUNCTION("""COMPUTED_VALUE"""),0.04738)</f>
        <v>0.04738</v>
      </c>
      <c r="K4220" s="19" t="str">
        <f>IFERROR(__xludf.DUMMYFUNCTION("""COMPUTED_VALUE"""),"-")</f>
        <v>-</v>
      </c>
      <c r="L4220" s="19" t="str">
        <f>IFERROR(__xludf.DUMMYFUNCTION("""COMPUTED_VALUE"""),"-")</f>
        <v>-</v>
      </c>
      <c r="O4220" s="24">
        <f t="shared" si="4"/>
        <v>0</v>
      </c>
      <c r="P4220" s="24"/>
      <c r="Q4220" s="24">
        <f t="shared" si="6"/>
        <v>0</v>
      </c>
      <c r="R4220" s="24">
        <f t="shared" si="7"/>
        <v>0</v>
      </c>
      <c r="S4220" s="24"/>
      <c r="T4220" s="24"/>
    </row>
    <row r="4221">
      <c r="A4221" s="12" t="s">
        <v>4308</v>
      </c>
      <c r="F4221" s="19">
        <f>IFERROR(__xludf.DUMMYFUNCTION("SPLIT(A4217, "" |"")"),4215.0)</f>
        <v>4215</v>
      </c>
      <c r="G4221" s="19">
        <f>IFERROR(__xludf.DUMMYFUNCTION("""COMPUTED_VALUE"""),0.00234)</f>
        <v>0.00234</v>
      </c>
      <c r="H4221" s="19" t="str">
        <f>IFERROR(__xludf.DUMMYFUNCTION("""COMPUTED_VALUE"""),"-")</f>
        <v>-</v>
      </c>
      <c r="I4221" s="19">
        <f>IFERROR(__xludf.DUMMYFUNCTION("""COMPUTED_VALUE"""),0.00225)</f>
        <v>0.00225</v>
      </c>
      <c r="J4221" s="19">
        <f>IFERROR(__xludf.DUMMYFUNCTION("""COMPUTED_VALUE"""),0.04746)</f>
        <v>0.04746</v>
      </c>
      <c r="K4221" s="19" t="str">
        <f>IFERROR(__xludf.DUMMYFUNCTION("""COMPUTED_VALUE"""),"-")</f>
        <v>-</v>
      </c>
      <c r="L4221" s="19" t="str">
        <f>IFERROR(__xludf.DUMMYFUNCTION("""COMPUTED_VALUE"""),"-")</f>
        <v>-</v>
      </c>
      <c r="O4221" s="24">
        <f t="shared" si="4"/>
        <v>0</v>
      </c>
      <c r="P4221" s="24"/>
      <c r="Q4221" s="24">
        <f t="shared" si="6"/>
        <v>0</v>
      </c>
      <c r="R4221" s="24">
        <f t="shared" si="7"/>
        <v>0</v>
      </c>
      <c r="S4221" s="24"/>
      <c r="T4221" s="24"/>
    </row>
    <row r="4222">
      <c r="A4222" s="12" t="s">
        <v>4309</v>
      </c>
      <c r="F4222" s="19">
        <f>IFERROR(__xludf.DUMMYFUNCTION("SPLIT(A4218, "" |"")"),4216.0)</f>
        <v>4216</v>
      </c>
      <c r="G4222" s="19">
        <f>IFERROR(__xludf.DUMMYFUNCTION("""COMPUTED_VALUE"""),0.00244)</f>
        <v>0.00244</v>
      </c>
      <c r="H4222" s="19" t="str">
        <f>IFERROR(__xludf.DUMMYFUNCTION("""COMPUTED_VALUE"""),"-")</f>
        <v>-</v>
      </c>
      <c r="I4222" s="19">
        <f>IFERROR(__xludf.DUMMYFUNCTION("""COMPUTED_VALUE"""),0.0023)</f>
        <v>0.0023</v>
      </c>
      <c r="J4222" s="19">
        <f>IFERROR(__xludf.DUMMYFUNCTION("""COMPUTED_VALUE"""),0.04753)</f>
        <v>0.04753</v>
      </c>
      <c r="K4222" s="19" t="str">
        <f>IFERROR(__xludf.DUMMYFUNCTION("""COMPUTED_VALUE"""),"-")</f>
        <v>-</v>
      </c>
      <c r="L4222" s="19" t="str">
        <f>IFERROR(__xludf.DUMMYFUNCTION("""COMPUTED_VALUE"""),"-")</f>
        <v>-</v>
      </c>
      <c r="O4222" s="24">
        <f t="shared" si="4"/>
        <v>0</v>
      </c>
      <c r="P4222" s="24"/>
      <c r="Q4222" s="24">
        <f t="shared" si="6"/>
        <v>0</v>
      </c>
      <c r="R4222" s="24">
        <f t="shared" si="7"/>
        <v>0</v>
      </c>
      <c r="S4222" s="24"/>
      <c r="T4222" s="24"/>
    </row>
    <row r="4223">
      <c r="A4223" s="12" t="s">
        <v>4310</v>
      </c>
      <c r="F4223" s="19">
        <f>IFERROR(__xludf.DUMMYFUNCTION("SPLIT(A4219, "" |"")"),4217.0)</f>
        <v>4217</v>
      </c>
      <c r="G4223" s="19">
        <f>IFERROR(__xludf.DUMMYFUNCTION("""COMPUTED_VALUE"""),0.0023)</f>
        <v>0.0023</v>
      </c>
      <c r="H4223" s="19" t="str">
        <f>IFERROR(__xludf.DUMMYFUNCTION("""COMPUTED_VALUE"""),"-")</f>
        <v>-</v>
      </c>
      <c r="I4223" s="19">
        <f>IFERROR(__xludf.DUMMYFUNCTION("""COMPUTED_VALUE"""),0.00218)</f>
        <v>0.00218</v>
      </c>
      <c r="J4223" s="19">
        <f>IFERROR(__xludf.DUMMYFUNCTION("""COMPUTED_VALUE"""),0.04745)</f>
        <v>0.04745</v>
      </c>
      <c r="K4223" s="19" t="str">
        <f>IFERROR(__xludf.DUMMYFUNCTION("""COMPUTED_VALUE"""),"-")</f>
        <v>-</v>
      </c>
      <c r="L4223" s="19" t="str">
        <f>IFERROR(__xludf.DUMMYFUNCTION("""COMPUTED_VALUE"""),"-")</f>
        <v>-</v>
      </c>
      <c r="O4223" s="24">
        <f t="shared" si="4"/>
        <v>0</v>
      </c>
      <c r="P4223" s="24"/>
      <c r="Q4223" s="24">
        <f t="shared" si="6"/>
        <v>0</v>
      </c>
      <c r="R4223" s="24">
        <f t="shared" si="7"/>
        <v>0</v>
      </c>
      <c r="S4223" s="24"/>
      <c r="T4223" s="24"/>
    </row>
    <row r="4224">
      <c r="A4224" s="12" t="s">
        <v>4311</v>
      </c>
      <c r="F4224" s="19">
        <f>IFERROR(__xludf.DUMMYFUNCTION("SPLIT(A4220, "" |"")"),4218.0)</f>
        <v>4218</v>
      </c>
      <c r="G4224" s="19">
        <f>IFERROR(__xludf.DUMMYFUNCTION("""COMPUTED_VALUE"""),0.00232)</f>
        <v>0.00232</v>
      </c>
      <c r="H4224" s="19" t="str">
        <f>IFERROR(__xludf.DUMMYFUNCTION("""COMPUTED_VALUE"""),"-")</f>
        <v>-</v>
      </c>
      <c r="I4224" s="19">
        <f>IFERROR(__xludf.DUMMYFUNCTION("""COMPUTED_VALUE"""),0.00227)</f>
        <v>0.00227</v>
      </c>
      <c r="J4224" s="19">
        <f>IFERROR(__xludf.DUMMYFUNCTION("""COMPUTED_VALUE"""),0.04687)</f>
        <v>0.04687</v>
      </c>
      <c r="K4224" s="19" t="str">
        <f>IFERROR(__xludf.DUMMYFUNCTION("""COMPUTED_VALUE"""),"-")</f>
        <v>-</v>
      </c>
      <c r="L4224" s="19" t="str">
        <f>IFERROR(__xludf.DUMMYFUNCTION("""COMPUTED_VALUE"""),"-")</f>
        <v>-</v>
      </c>
      <c r="O4224" s="24">
        <f t="shared" si="4"/>
        <v>0</v>
      </c>
      <c r="P4224" s="24"/>
      <c r="Q4224" s="24">
        <f t="shared" si="6"/>
        <v>0</v>
      </c>
      <c r="R4224" s="24">
        <f t="shared" si="7"/>
        <v>0</v>
      </c>
      <c r="S4224" s="24"/>
      <c r="T4224" s="24"/>
    </row>
    <row r="4225">
      <c r="A4225" s="12" t="s">
        <v>4312</v>
      </c>
      <c r="F4225" s="19">
        <f>IFERROR(__xludf.DUMMYFUNCTION("SPLIT(A4221, "" |"")"),4219.0)</f>
        <v>4219</v>
      </c>
      <c r="G4225" s="19">
        <f>IFERROR(__xludf.DUMMYFUNCTION("""COMPUTED_VALUE"""),0.00234)</f>
        <v>0.00234</v>
      </c>
      <c r="H4225" s="19" t="str">
        <f>IFERROR(__xludf.DUMMYFUNCTION("""COMPUTED_VALUE"""),"-")</f>
        <v>-</v>
      </c>
      <c r="I4225" s="19">
        <f>IFERROR(__xludf.DUMMYFUNCTION("""COMPUTED_VALUE"""),0.00223)</f>
        <v>0.00223</v>
      </c>
      <c r="J4225" s="19">
        <f>IFERROR(__xludf.DUMMYFUNCTION("""COMPUTED_VALUE"""),0.04747)</f>
        <v>0.04747</v>
      </c>
      <c r="K4225" s="19" t="str">
        <f>IFERROR(__xludf.DUMMYFUNCTION("""COMPUTED_VALUE"""),"-")</f>
        <v>-</v>
      </c>
      <c r="L4225" s="19" t="str">
        <f>IFERROR(__xludf.DUMMYFUNCTION("""COMPUTED_VALUE"""),"-")</f>
        <v>-</v>
      </c>
      <c r="O4225" s="24">
        <f t="shared" si="4"/>
        <v>0</v>
      </c>
      <c r="P4225" s="24"/>
      <c r="Q4225" s="24">
        <f t="shared" si="6"/>
        <v>0</v>
      </c>
      <c r="R4225" s="24">
        <f t="shared" si="7"/>
        <v>0</v>
      </c>
      <c r="S4225" s="24"/>
      <c r="T4225" s="24"/>
    </row>
    <row r="4226">
      <c r="A4226" s="12" t="s">
        <v>4313</v>
      </c>
      <c r="F4226" s="19">
        <f>IFERROR(__xludf.DUMMYFUNCTION("SPLIT(A4222, "" |"")"),4220.0)</f>
        <v>4220</v>
      </c>
      <c r="G4226" s="19">
        <f>IFERROR(__xludf.DUMMYFUNCTION("""COMPUTED_VALUE"""),0.00236)</f>
        <v>0.00236</v>
      </c>
      <c r="H4226" s="19" t="str">
        <f>IFERROR(__xludf.DUMMYFUNCTION("""COMPUTED_VALUE"""),"-")</f>
        <v>-</v>
      </c>
      <c r="I4226" s="19">
        <f>IFERROR(__xludf.DUMMYFUNCTION("""COMPUTED_VALUE"""),0.00226)</f>
        <v>0.00226</v>
      </c>
      <c r="J4226" s="19">
        <f>IFERROR(__xludf.DUMMYFUNCTION("""COMPUTED_VALUE"""),0.04749)</f>
        <v>0.04749</v>
      </c>
      <c r="K4226" s="19" t="str">
        <f>IFERROR(__xludf.DUMMYFUNCTION("""COMPUTED_VALUE"""),"-")</f>
        <v>-</v>
      </c>
      <c r="L4226" s="19" t="str">
        <f>IFERROR(__xludf.DUMMYFUNCTION("""COMPUTED_VALUE"""),"-")</f>
        <v>-</v>
      </c>
      <c r="O4226" s="24">
        <f t="shared" si="4"/>
        <v>0</v>
      </c>
      <c r="P4226" s="24"/>
      <c r="Q4226" s="24">
        <f t="shared" si="6"/>
        <v>0</v>
      </c>
      <c r="R4226" s="24">
        <f t="shared" si="7"/>
        <v>0</v>
      </c>
      <c r="S4226" s="24"/>
      <c r="T4226" s="24"/>
    </row>
    <row r="4227">
      <c r="A4227" s="12" t="s">
        <v>4314</v>
      </c>
      <c r="F4227" s="19">
        <f>IFERROR(__xludf.DUMMYFUNCTION("SPLIT(A4223, "" |"")"),4221.0)</f>
        <v>4221</v>
      </c>
      <c r="G4227" s="19">
        <f>IFERROR(__xludf.DUMMYFUNCTION("""COMPUTED_VALUE"""),0.00234)</f>
        <v>0.00234</v>
      </c>
      <c r="H4227" s="19" t="str">
        <f>IFERROR(__xludf.DUMMYFUNCTION("""COMPUTED_VALUE"""),"-")</f>
        <v>-</v>
      </c>
      <c r="I4227" s="19">
        <f>IFERROR(__xludf.DUMMYFUNCTION("""COMPUTED_VALUE"""),0.00223)</f>
        <v>0.00223</v>
      </c>
      <c r="J4227" s="19">
        <f>IFERROR(__xludf.DUMMYFUNCTION("""COMPUTED_VALUE"""),0.04742)</f>
        <v>0.04742</v>
      </c>
      <c r="K4227" s="19" t="str">
        <f>IFERROR(__xludf.DUMMYFUNCTION("""COMPUTED_VALUE"""),"-")</f>
        <v>-</v>
      </c>
      <c r="L4227" s="19" t="str">
        <f>IFERROR(__xludf.DUMMYFUNCTION("""COMPUTED_VALUE"""),"-")</f>
        <v>-</v>
      </c>
      <c r="O4227" s="24">
        <f t="shared" si="4"/>
        <v>0</v>
      </c>
      <c r="P4227" s="24"/>
      <c r="Q4227" s="24">
        <f t="shared" si="6"/>
        <v>0</v>
      </c>
      <c r="R4227" s="24">
        <f t="shared" si="7"/>
        <v>0</v>
      </c>
      <c r="S4227" s="24"/>
      <c r="T4227" s="24"/>
    </row>
    <row r="4228">
      <c r="A4228" s="12" t="s">
        <v>4315</v>
      </c>
      <c r="F4228" s="19">
        <f>IFERROR(__xludf.DUMMYFUNCTION("SPLIT(A4224, "" |"")"),4222.0)</f>
        <v>4222</v>
      </c>
      <c r="G4228" s="19">
        <f>IFERROR(__xludf.DUMMYFUNCTION("""COMPUTED_VALUE"""),0.00237)</f>
        <v>0.00237</v>
      </c>
      <c r="H4228" s="19" t="str">
        <f>IFERROR(__xludf.DUMMYFUNCTION("""COMPUTED_VALUE"""),"-")</f>
        <v>-</v>
      </c>
      <c r="I4228" s="19">
        <f>IFERROR(__xludf.DUMMYFUNCTION("""COMPUTED_VALUE"""),0.00222)</f>
        <v>0.00222</v>
      </c>
      <c r="J4228" s="19">
        <f>IFERROR(__xludf.DUMMYFUNCTION("""COMPUTED_VALUE"""),0.04744)</f>
        <v>0.04744</v>
      </c>
      <c r="K4228" s="19" t="str">
        <f>IFERROR(__xludf.DUMMYFUNCTION("""COMPUTED_VALUE"""),"-")</f>
        <v>-</v>
      </c>
      <c r="L4228" s="19" t="str">
        <f>IFERROR(__xludf.DUMMYFUNCTION("""COMPUTED_VALUE"""),"-")</f>
        <v>-</v>
      </c>
      <c r="O4228" s="24">
        <f t="shared" si="4"/>
        <v>0</v>
      </c>
      <c r="P4228" s="24"/>
      <c r="Q4228" s="24">
        <f t="shared" si="6"/>
        <v>0</v>
      </c>
      <c r="R4228" s="24">
        <f t="shared" si="7"/>
        <v>0</v>
      </c>
      <c r="S4228" s="24"/>
      <c r="T4228" s="24"/>
    </row>
    <row r="4229">
      <c r="A4229" s="12" t="s">
        <v>4316</v>
      </c>
      <c r="F4229" s="19">
        <f>IFERROR(__xludf.DUMMYFUNCTION("SPLIT(A4225, "" |"")"),4223.0)</f>
        <v>4223</v>
      </c>
      <c r="G4229" s="19">
        <f>IFERROR(__xludf.DUMMYFUNCTION("""COMPUTED_VALUE"""),0.00232)</f>
        <v>0.00232</v>
      </c>
      <c r="H4229" s="19" t="str">
        <f>IFERROR(__xludf.DUMMYFUNCTION("""COMPUTED_VALUE"""),"-")</f>
        <v>-</v>
      </c>
      <c r="I4229" s="19">
        <f>IFERROR(__xludf.DUMMYFUNCTION("""COMPUTED_VALUE"""),0.00222)</f>
        <v>0.00222</v>
      </c>
      <c r="J4229" s="19">
        <f>IFERROR(__xludf.DUMMYFUNCTION("""COMPUTED_VALUE"""),0.04744)</f>
        <v>0.04744</v>
      </c>
      <c r="K4229" s="19" t="str">
        <f>IFERROR(__xludf.DUMMYFUNCTION("""COMPUTED_VALUE"""),"-")</f>
        <v>-</v>
      </c>
      <c r="L4229" s="19" t="str">
        <f>IFERROR(__xludf.DUMMYFUNCTION("""COMPUTED_VALUE"""),"-")</f>
        <v>-</v>
      </c>
      <c r="O4229" s="24">
        <f t="shared" si="4"/>
        <v>0</v>
      </c>
      <c r="P4229" s="24"/>
      <c r="Q4229" s="24">
        <f t="shared" si="6"/>
        <v>0</v>
      </c>
      <c r="R4229" s="24">
        <f t="shared" si="7"/>
        <v>0</v>
      </c>
      <c r="S4229" s="24"/>
      <c r="T4229" s="24"/>
    </row>
    <row r="4230">
      <c r="A4230" s="12" t="s">
        <v>4317</v>
      </c>
      <c r="F4230" s="19">
        <f>IFERROR(__xludf.DUMMYFUNCTION("SPLIT(A4226, "" |"")"),4224.0)</f>
        <v>4224</v>
      </c>
      <c r="G4230" s="19">
        <f>IFERROR(__xludf.DUMMYFUNCTION("""COMPUTED_VALUE"""),0.00232)</f>
        <v>0.00232</v>
      </c>
      <c r="H4230" s="19" t="str">
        <f>IFERROR(__xludf.DUMMYFUNCTION("""COMPUTED_VALUE"""),"-")</f>
        <v>-</v>
      </c>
      <c r="I4230" s="19">
        <f>IFERROR(__xludf.DUMMYFUNCTION("""COMPUTED_VALUE"""),0.00223)</f>
        <v>0.00223</v>
      </c>
      <c r="J4230" s="19">
        <f>IFERROR(__xludf.DUMMYFUNCTION("""COMPUTED_VALUE"""),0.04746)</f>
        <v>0.04746</v>
      </c>
      <c r="K4230" s="19" t="str">
        <f>IFERROR(__xludf.DUMMYFUNCTION("""COMPUTED_VALUE"""),"-")</f>
        <v>-</v>
      </c>
      <c r="L4230" s="19" t="str">
        <f>IFERROR(__xludf.DUMMYFUNCTION("""COMPUTED_VALUE"""),"-")</f>
        <v>-</v>
      </c>
      <c r="O4230" s="24">
        <f t="shared" si="4"/>
        <v>0</v>
      </c>
      <c r="P4230" s="24"/>
      <c r="Q4230" s="24">
        <f t="shared" si="6"/>
        <v>0</v>
      </c>
      <c r="R4230" s="24">
        <f t="shared" si="7"/>
        <v>0</v>
      </c>
      <c r="S4230" s="24"/>
      <c r="T4230" s="24"/>
    </row>
    <row r="4231">
      <c r="A4231" s="12" t="s">
        <v>4318</v>
      </c>
      <c r="F4231" s="19">
        <f>IFERROR(__xludf.DUMMYFUNCTION("SPLIT(A4227, "" |"")"),4225.0)</f>
        <v>4225</v>
      </c>
      <c r="G4231" s="19">
        <f>IFERROR(__xludf.DUMMYFUNCTION("""COMPUTED_VALUE"""),0.00231)</f>
        <v>0.00231</v>
      </c>
      <c r="H4231" s="19" t="str">
        <f>IFERROR(__xludf.DUMMYFUNCTION("""COMPUTED_VALUE"""),"-")</f>
        <v>-</v>
      </c>
      <c r="I4231" s="19">
        <f>IFERROR(__xludf.DUMMYFUNCTION("""COMPUTED_VALUE"""),0.0021)</f>
        <v>0.0021</v>
      </c>
      <c r="J4231" s="19">
        <f>IFERROR(__xludf.DUMMYFUNCTION("""COMPUTED_VALUE"""),0.0475)</f>
        <v>0.0475</v>
      </c>
      <c r="K4231" s="19" t="str">
        <f>IFERROR(__xludf.DUMMYFUNCTION("""COMPUTED_VALUE"""),"-")</f>
        <v>-</v>
      </c>
      <c r="L4231" s="19" t="str">
        <f>IFERROR(__xludf.DUMMYFUNCTION("""COMPUTED_VALUE"""),"-")</f>
        <v>-</v>
      </c>
      <c r="O4231" s="24">
        <f t="shared" si="4"/>
        <v>0</v>
      </c>
      <c r="P4231" s="24"/>
      <c r="Q4231" s="24">
        <f t="shared" si="6"/>
        <v>0</v>
      </c>
      <c r="R4231" s="24">
        <f t="shared" si="7"/>
        <v>0</v>
      </c>
      <c r="S4231" s="24"/>
      <c r="T4231" s="24"/>
    </row>
    <row r="4232">
      <c r="A4232" s="12" t="s">
        <v>4319</v>
      </c>
      <c r="F4232" s="19">
        <f>IFERROR(__xludf.DUMMYFUNCTION("SPLIT(A4228, "" |"")"),4226.0)</f>
        <v>4226</v>
      </c>
      <c r="G4232" s="19">
        <f>IFERROR(__xludf.DUMMYFUNCTION("""COMPUTED_VALUE"""),0.00243)</f>
        <v>0.00243</v>
      </c>
      <c r="H4232" s="19" t="str">
        <f>IFERROR(__xludf.DUMMYFUNCTION("""COMPUTED_VALUE"""),"-")</f>
        <v>-</v>
      </c>
      <c r="I4232" s="19">
        <f>IFERROR(__xludf.DUMMYFUNCTION("""COMPUTED_VALUE"""),0.00253)</f>
        <v>0.00253</v>
      </c>
      <c r="J4232" s="19">
        <f>IFERROR(__xludf.DUMMYFUNCTION("""COMPUTED_VALUE"""),0.04756)</f>
        <v>0.04756</v>
      </c>
      <c r="K4232" s="19" t="str">
        <f>IFERROR(__xludf.DUMMYFUNCTION("""COMPUTED_VALUE"""),"-")</f>
        <v>-</v>
      </c>
      <c r="L4232" s="19" t="str">
        <f>IFERROR(__xludf.DUMMYFUNCTION("""COMPUTED_VALUE"""),"-")</f>
        <v>-</v>
      </c>
      <c r="O4232" s="24">
        <f t="shared" si="4"/>
        <v>0</v>
      </c>
      <c r="P4232" s="24"/>
      <c r="Q4232" s="24">
        <f t="shared" si="6"/>
        <v>0</v>
      </c>
      <c r="R4232" s="24">
        <f t="shared" si="7"/>
        <v>0</v>
      </c>
      <c r="S4232" s="24"/>
      <c r="T4232" s="24"/>
    </row>
    <row r="4233">
      <c r="A4233" s="12" t="s">
        <v>4320</v>
      </c>
      <c r="F4233" s="19">
        <f>IFERROR(__xludf.DUMMYFUNCTION("SPLIT(A4229, "" |"")"),4227.0)</f>
        <v>4227</v>
      </c>
      <c r="G4233" s="19">
        <f>IFERROR(__xludf.DUMMYFUNCTION("""COMPUTED_VALUE"""),0.00243)</f>
        <v>0.00243</v>
      </c>
      <c r="H4233" s="19" t="str">
        <f>IFERROR(__xludf.DUMMYFUNCTION("""COMPUTED_VALUE"""),"-")</f>
        <v>-</v>
      </c>
      <c r="I4233" s="19">
        <f>IFERROR(__xludf.DUMMYFUNCTION("""COMPUTED_VALUE"""),0.0022)</f>
        <v>0.0022</v>
      </c>
      <c r="J4233" s="19">
        <f>IFERROR(__xludf.DUMMYFUNCTION("""COMPUTED_VALUE"""),0.04739)</f>
        <v>0.04739</v>
      </c>
      <c r="K4233" s="19" t="str">
        <f>IFERROR(__xludf.DUMMYFUNCTION("""COMPUTED_VALUE"""),"-")</f>
        <v>-</v>
      </c>
      <c r="L4233" s="19" t="str">
        <f>IFERROR(__xludf.DUMMYFUNCTION("""COMPUTED_VALUE"""),"-")</f>
        <v>-</v>
      </c>
      <c r="O4233" s="24">
        <f t="shared" si="4"/>
        <v>0</v>
      </c>
      <c r="P4233" s="24"/>
      <c r="Q4233" s="24">
        <f t="shared" si="6"/>
        <v>0</v>
      </c>
      <c r="R4233" s="24">
        <f t="shared" si="7"/>
        <v>0</v>
      </c>
      <c r="S4233" s="24"/>
      <c r="T4233" s="24"/>
    </row>
    <row r="4234">
      <c r="A4234" s="12" t="s">
        <v>4321</v>
      </c>
      <c r="F4234" s="19">
        <f>IFERROR(__xludf.DUMMYFUNCTION("SPLIT(A4230, "" |"")"),4228.0)</f>
        <v>4228</v>
      </c>
      <c r="G4234" s="19">
        <f>IFERROR(__xludf.DUMMYFUNCTION("""COMPUTED_VALUE"""),0.00234)</f>
        <v>0.00234</v>
      </c>
      <c r="H4234" s="19" t="str">
        <f>IFERROR(__xludf.DUMMYFUNCTION("""COMPUTED_VALUE"""),"-")</f>
        <v>-</v>
      </c>
      <c r="I4234" s="19">
        <f>IFERROR(__xludf.DUMMYFUNCTION("""COMPUTED_VALUE"""),0.00221)</f>
        <v>0.00221</v>
      </c>
      <c r="J4234" s="19">
        <f>IFERROR(__xludf.DUMMYFUNCTION("""COMPUTED_VALUE"""),0.04747)</f>
        <v>0.04747</v>
      </c>
      <c r="K4234" s="19" t="str">
        <f>IFERROR(__xludf.DUMMYFUNCTION("""COMPUTED_VALUE"""),"-")</f>
        <v>-</v>
      </c>
      <c r="L4234" s="19" t="str">
        <f>IFERROR(__xludf.DUMMYFUNCTION("""COMPUTED_VALUE"""),"-")</f>
        <v>-</v>
      </c>
      <c r="O4234" s="24">
        <f t="shared" si="4"/>
        <v>0</v>
      </c>
      <c r="P4234" s="24"/>
      <c r="Q4234" s="24">
        <f t="shared" si="6"/>
        <v>0</v>
      </c>
      <c r="R4234" s="24">
        <f t="shared" si="7"/>
        <v>0</v>
      </c>
      <c r="S4234" s="24"/>
      <c r="T4234" s="24"/>
    </row>
    <row r="4235">
      <c r="A4235" s="12" t="s">
        <v>4322</v>
      </c>
      <c r="F4235" s="19">
        <f>IFERROR(__xludf.DUMMYFUNCTION("SPLIT(A4231, "" |"")"),4229.0)</f>
        <v>4229</v>
      </c>
      <c r="G4235" s="19">
        <f>IFERROR(__xludf.DUMMYFUNCTION("""COMPUTED_VALUE"""),0.00237)</f>
        <v>0.00237</v>
      </c>
      <c r="H4235" s="19" t="str">
        <f>IFERROR(__xludf.DUMMYFUNCTION("""COMPUTED_VALUE"""),"-")</f>
        <v>-</v>
      </c>
      <c r="I4235" s="19">
        <f>IFERROR(__xludf.DUMMYFUNCTION("""COMPUTED_VALUE"""),0.00229)</f>
        <v>0.00229</v>
      </c>
      <c r="J4235" s="19">
        <f>IFERROR(__xludf.DUMMYFUNCTION("""COMPUTED_VALUE"""),0.04742)</f>
        <v>0.04742</v>
      </c>
      <c r="K4235" s="19" t="str">
        <f>IFERROR(__xludf.DUMMYFUNCTION("""COMPUTED_VALUE"""),"-")</f>
        <v>-</v>
      </c>
      <c r="L4235" s="19" t="str">
        <f>IFERROR(__xludf.DUMMYFUNCTION("""COMPUTED_VALUE"""),"-")</f>
        <v>-</v>
      </c>
      <c r="O4235" s="24">
        <f t="shared" si="4"/>
        <v>0</v>
      </c>
      <c r="P4235" s="24"/>
      <c r="Q4235" s="24">
        <f t="shared" si="6"/>
        <v>0</v>
      </c>
      <c r="R4235" s="24">
        <f t="shared" si="7"/>
        <v>0</v>
      </c>
      <c r="S4235" s="24"/>
      <c r="T4235" s="24"/>
    </row>
    <row r="4236">
      <c r="A4236" s="12" t="s">
        <v>4323</v>
      </c>
      <c r="F4236" s="19">
        <f>IFERROR(__xludf.DUMMYFUNCTION("SPLIT(A4232, "" |"")"),4230.0)</f>
        <v>4230</v>
      </c>
      <c r="G4236" s="19">
        <f>IFERROR(__xludf.DUMMYFUNCTION("""COMPUTED_VALUE"""),0.0024)</f>
        <v>0.0024</v>
      </c>
      <c r="H4236" s="19" t="str">
        <f>IFERROR(__xludf.DUMMYFUNCTION("""COMPUTED_VALUE"""),"-")</f>
        <v>-</v>
      </c>
      <c r="I4236" s="19">
        <f>IFERROR(__xludf.DUMMYFUNCTION("""COMPUTED_VALUE"""),0.00223)</f>
        <v>0.00223</v>
      </c>
      <c r="J4236" s="19">
        <f>IFERROR(__xludf.DUMMYFUNCTION("""COMPUTED_VALUE"""),0.04743)</f>
        <v>0.04743</v>
      </c>
      <c r="K4236" s="19" t="str">
        <f>IFERROR(__xludf.DUMMYFUNCTION("""COMPUTED_VALUE"""),"-")</f>
        <v>-</v>
      </c>
      <c r="L4236" s="19" t="str">
        <f>IFERROR(__xludf.DUMMYFUNCTION("""COMPUTED_VALUE"""),"-")</f>
        <v>-</v>
      </c>
      <c r="O4236" s="24">
        <f t="shared" si="4"/>
        <v>0</v>
      </c>
      <c r="P4236" s="24"/>
      <c r="Q4236" s="24">
        <f t="shared" si="6"/>
        <v>0</v>
      </c>
      <c r="R4236" s="24">
        <f t="shared" si="7"/>
        <v>0</v>
      </c>
      <c r="S4236" s="24"/>
      <c r="T4236" s="24"/>
    </row>
    <row r="4237">
      <c r="A4237" s="12" t="s">
        <v>4324</v>
      </c>
      <c r="F4237" s="19">
        <f>IFERROR(__xludf.DUMMYFUNCTION("SPLIT(A4233, "" |"")"),4231.0)</f>
        <v>4231</v>
      </c>
      <c r="G4237" s="19">
        <f>IFERROR(__xludf.DUMMYFUNCTION("""COMPUTED_VALUE"""),0.0023)</f>
        <v>0.0023</v>
      </c>
      <c r="H4237" s="19" t="str">
        <f>IFERROR(__xludf.DUMMYFUNCTION("""COMPUTED_VALUE"""),"-")</f>
        <v>-</v>
      </c>
      <c r="I4237" s="19">
        <f>IFERROR(__xludf.DUMMYFUNCTION("""COMPUTED_VALUE"""),0.00222)</f>
        <v>0.00222</v>
      </c>
      <c r="J4237" s="19">
        <f>IFERROR(__xludf.DUMMYFUNCTION("""COMPUTED_VALUE"""),0.04745)</f>
        <v>0.04745</v>
      </c>
      <c r="K4237" s="19" t="str">
        <f>IFERROR(__xludf.DUMMYFUNCTION("""COMPUTED_VALUE"""),"-")</f>
        <v>-</v>
      </c>
      <c r="L4237" s="19" t="str">
        <f>IFERROR(__xludf.DUMMYFUNCTION("""COMPUTED_VALUE"""),"-")</f>
        <v>-</v>
      </c>
      <c r="O4237" s="24">
        <f t="shared" si="4"/>
        <v>0</v>
      </c>
      <c r="P4237" s="24"/>
      <c r="Q4237" s="24">
        <f t="shared" si="6"/>
        <v>0</v>
      </c>
      <c r="R4237" s="24">
        <f t="shared" si="7"/>
        <v>0</v>
      </c>
      <c r="S4237" s="24"/>
      <c r="T4237" s="24"/>
    </row>
    <row r="4238">
      <c r="A4238" s="12" t="s">
        <v>4325</v>
      </c>
      <c r="F4238" s="19">
        <f>IFERROR(__xludf.DUMMYFUNCTION("SPLIT(A4234, "" |"")"),4232.0)</f>
        <v>4232</v>
      </c>
      <c r="G4238" s="19">
        <f>IFERROR(__xludf.DUMMYFUNCTION("""COMPUTED_VALUE"""),0.00234)</f>
        <v>0.00234</v>
      </c>
      <c r="H4238" s="19" t="str">
        <f>IFERROR(__xludf.DUMMYFUNCTION("""COMPUTED_VALUE"""),"-")</f>
        <v>-</v>
      </c>
      <c r="I4238" s="19">
        <f>IFERROR(__xludf.DUMMYFUNCTION("""COMPUTED_VALUE"""),0.00221)</f>
        <v>0.00221</v>
      </c>
      <c r="J4238" s="19">
        <f>IFERROR(__xludf.DUMMYFUNCTION("""COMPUTED_VALUE"""),0.04747)</f>
        <v>0.04747</v>
      </c>
      <c r="K4238" s="19" t="str">
        <f>IFERROR(__xludf.DUMMYFUNCTION("""COMPUTED_VALUE"""),"-")</f>
        <v>-</v>
      </c>
      <c r="L4238" s="19" t="str">
        <f>IFERROR(__xludf.DUMMYFUNCTION("""COMPUTED_VALUE"""),"-")</f>
        <v>-</v>
      </c>
      <c r="O4238" s="24">
        <f t="shared" si="4"/>
        <v>0</v>
      </c>
      <c r="P4238" s="24"/>
      <c r="Q4238" s="24">
        <f t="shared" si="6"/>
        <v>0</v>
      </c>
      <c r="R4238" s="24">
        <f t="shared" si="7"/>
        <v>0</v>
      </c>
      <c r="S4238" s="24"/>
      <c r="T4238" s="24"/>
    </row>
    <row r="4239">
      <c r="A4239" s="12" t="s">
        <v>4326</v>
      </c>
      <c r="F4239" s="19">
        <f>IFERROR(__xludf.DUMMYFUNCTION("SPLIT(A4235, "" |"")"),4233.0)</f>
        <v>4233</v>
      </c>
      <c r="G4239" s="19">
        <f>IFERROR(__xludf.DUMMYFUNCTION("""COMPUTED_VALUE"""),0.00232)</f>
        <v>0.00232</v>
      </c>
      <c r="H4239" s="19" t="str">
        <f>IFERROR(__xludf.DUMMYFUNCTION("""COMPUTED_VALUE"""),"-")</f>
        <v>-</v>
      </c>
      <c r="I4239" s="19">
        <f>IFERROR(__xludf.DUMMYFUNCTION("""COMPUTED_VALUE"""),0.00218)</f>
        <v>0.00218</v>
      </c>
      <c r="J4239" s="19">
        <f>IFERROR(__xludf.DUMMYFUNCTION("""COMPUTED_VALUE"""),0.04732)</f>
        <v>0.04732</v>
      </c>
      <c r="K4239" s="19" t="str">
        <f>IFERROR(__xludf.DUMMYFUNCTION("""COMPUTED_VALUE"""),"-")</f>
        <v>-</v>
      </c>
      <c r="L4239" s="19" t="str">
        <f>IFERROR(__xludf.DUMMYFUNCTION("""COMPUTED_VALUE"""),"-")</f>
        <v>-</v>
      </c>
      <c r="O4239" s="24">
        <f t="shared" si="4"/>
        <v>0</v>
      </c>
      <c r="P4239" s="24"/>
      <c r="Q4239" s="24">
        <f t="shared" si="6"/>
        <v>0</v>
      </c>
      <c r="R4239" s="24">
        <f t="shared" si="7"/>
        <v>0</v>
      </c>
      <c r="S4239" s="24"/>
      <c r="T4239" s="24"/>
    </row>
    <row r="4240">
      <c r="A4240" s="12" t="s">
        <v>4327</v>
      </c>
      <c r="F4240" s="19">
        <f>IFERROR(__xludf.DUMMYFUNCTION("SPLIT(A4236, "" |"")"),4234.0)</f>
        <v>4234</v>
      </c>
      <c r="G4240" s="19">
        <f>IFERROR(__xludf.DUMMYFUNCTION("""COMPUTED_VALUE"""),0.00233)</f>
        <v>0.00233</v>
      </c>
      <c r="H4240" s="19" t="str">
        <f>IFERROR(__xludf.DUMMYFUNCTION("""COMPUTED_VALUE"""),"-")</f>
        <v>-</v>
      </c>
      <c r="I4240" s="19">
        <f>IFERROR(__xludf.DUMMYFUNCTION("""COMPUTED_VALUE"""),0.00218)</f>
        <v>0.00218</v>
      </c>
      <c r="J4240" s="19">
        <f>IFERROR(__xludf.DUMMYFUNCTION("""COMPUTED_VALUE"""),0.04739)</f>
        <v>0.04739</v>
      </c>
      <c r="K4240" s="19" t="str">
        <f>IFERROR(__xludf.DUMMYFUNCTION("""COMPUTED_VALUE"""),"-")</f>
        <v>-</v>
      </c>
      <c r="L4240" s="19" t="str">
        <f>IFERROR(__xludf.DUMMYFUNCTION("""COMPUTED_VALUE"""),"-")</f>
        <v>-</v>
      </c>
      <c r="O4240" s="24">
        <f t="shared" si="4"/>
        <v>0</v>
      </c>
      <c r="P4240" s="24"/>
      <c r="Q4240" s="24">
        <f t="shared" si="6"/>
        <v>0</v>
      </c>
      <c r="R4240" s="24">
        <f t="shared" si="7"/>
        <v>0</v>
      </c>
      <c r="S4240" s="24"/>
      <c r="T4240" s="24"/>
    </row>
    <row r="4241">
      <c r="A4241" s="12" t="s">
        <v>4328</v>
      </c>
      <c r="F4241" s="19">
        <f>IFERROR(__xludf.DUMMYFUNCTION("SPLIT(A4237, "" |"")"),4235.0)</f>
        <v>4235</v>
      </c>
      <c r="G4241" s="19">
        <f>IFERROR(__xludf.DUMMYFUNCTION("""COMPUTED_VALUE"""),0.0024)</f>
        <v>0.0024</v>
      </c>
      <c r="H4241" s="19" t="str">
        <f>IFERROR(__xludf.DUMMYFUNCTION("""COMPUTED_VALUE"""),"-")</f>
        <v>-</v>
      </c>
      <c r="I4241" s="19">
        <f>IFERROR(__xludf.DUMMYFUNCTION("""COMPUTED_VALUE"""),0.00223)</f>
        <v>0.00223</v>
      </c>
      <c r="J4241" s="19">
        <f>IFERROR(__xludf.DUMMYFUNCTION("""COMPUTED_VALUE"""),0.04757)</f>
        <v>0.04757</v>
      </c>
      <c r="K4241" s="19" t="str">
        <f>IFERROR(__xludf.DUMMYFUNCTION("""COMPUTED_VALUE"""),"-")</f>
        <v>-</v>
      </c>
      <c r="L4241" s="19" t="str">
        <f>IFERROR(__xludf.DUMMYFUNCTION("""COMPUTED_VALUE"""),"-")</f>
        <v>-</v>
      </c>
      <c r="O4241" s="24">
        <f t="shared" si="4"/>
        <v>0</v>
      </c>
      <c r="P4241" s="24"/>
      <c r="Q4241" s="24">
        <f t="shared" si="6"/>
        <v>0</v>
      </c>
      <c r="R4241" s="24">
        <f t="shared" si="7"/>
        <v>0</v>
      </c>
      <c r="S4241" s="24"/>
      <c r="T4241" s="24"/>
    </row>
    <row r="4242">
      <c r="A4242" s="12" t="s">
        <v>4329</v>
      </c>
      <c r="F4242" s="19">
        <f>IFERROR(__xludf.DUMMYFUNCTION("SPLIT(A4238, "" |"")"),4236.0)</f>
        <v>4236</v>
      </c>
      <c r="G4242" s="19">
        <f>IFERROR(__xludf.DUMMYFUNCTION("""COMPUTED_VALUE"""),0.00242)</f>
        <v>0.00242</v>
      </c>
      <c r="H4242" s="19" t="str">
        <f>IFERROR(__xludf.DUMMYFUNCTION("""COMPUTED_VALUE"""),"-")</f>
        <v>-</v>
      </c>
      <c r="I4242" s="19">
        <f>IFERROR(__xludf.DUMMYFUNCTION("""COMPUTED_VALUE"""),0.00223)</f>
        <v>0.00223</v>
      </c>
      <c r="J4242" s="19">
        <f>IFERROR(__xludf.DUMMYFUNCTION("""COMPUTED_VALUE"""),0.04746)</f>
        <v>0.04746</v>
      </c>
      <c r="K4242" s="19" t="str">
        <f>IFERROR(__xludf.DUMMYFUNCTION("""COMPUTED_VALUE"""),"-")</f>
        <v>-</v>
      </c>
      <c r="L4242" s="19" t="str">
        <f>IFERROR(__xludf.DUMMYFUNCTION("""COMPUTED_VALUE"""),"-")</f>
        <v>-</v>
      </c>
      <c r="O4242" s="24">
        <f t="shared" si="4"/>
        <v>0</v>
      </c>
      <c r="P4242" s="24"/>
      <c r="Q4242" s="24">
        <f t="shared" si="6"/>
        <v>0</v>
      </c>
      <c r="R4242" s="24">
        <f t="shared" si="7"/>
        <v>0</v>
      </c>
      <c r="S4242" s="24"/>
      <c r="T4242" s="24"/>
    </row>
    <row r="4243">
      <c r="A4243" s="12" t="s">
        <v>4330</v>
      </c>
      <c r="F4243" s="19">
        <f>IFERROR(__xludf.DUMMYFUNCTION("SPLIT(A4239, "" |"")"),4237.0)</f>
        <v>4237</v>
      </c>
      <c r="G4243" s="19">
        <f>IFERROR(__xludf.DUMMYFUNCTION("""COMPUTED_VALUE"""),0.00228)</f>
        <v>0.00228</v>
      </c>
      <c r="H4243" s="19" t="str">
        <f>IFERROR(__xludf.DUMMYFUNCTION("""COMPUTED_VALUE"""),"-")</f>
        <v>-</v>
      </c>
      <c r="I4243" s="19">
        <f>IFERROR(__xludf.DUMMYFUNCTION("""COMPUTED_VALUE"""),0.0021)</f>
        <v>0.0021</v>
      </c>
      <c r="J4243" s="19">
        <f>IFERROR(__xludf.DUMMYFUNCTION("""COMPUTED_VALUE"""),0.0428)</f>
        <v>0.0428</v>
      </c>
      <c r="K4243" s="19" t="str">
        <f>IFERROR(__xludf.DUMMYFUNCTION("""COMPUTED_VALUE"""),"-")</f>
        <v>-</v>
      </c>
      <c r="L4243" s="19" t="str">
        <f>IFERROR(__xludf.DUMMYFUNCTION("""COMPUTED_VALUE"""),"-")</f>
        <v>-</v>
      </c>
      <c r="O4243" s="24">
        <f t="shared" si="4"/>
        <v>0</v>
      </c>
      <c r="P4243" s="24"/>
      <c r="Q4243" s="24">
        <f t="shared" si="6"/>
        <v>0</v>
      </c>
      <c r="R4243" s="24">
        <f t="shared" si="7"/>
        <v>1</v>
      </c>
      <c r="S4243" s="24"/>
      <c r="T4243" s="24"/>
    </row>
    <row r="4244">
      <c r="A4244" s="12" t="s">
        <v>4331</v>
      </c>
      <c r="F4244" s="19">
        <f>IFERROR(__xludf.DUMMYFUNCTION("SPLIT(A4240, "" |"")"),4238.0)</f>
        <v>4238</v>
      </c>
      <c r="G4244" s="19">
        <f>IFERROR(__xludf.DUMMYFUNCTION("""COMPUTED_VALUE"""),0.0022)</f>
        <v>0.0022</v>
      </c>
      <c r="H4244" s="19" t="str">
        <f>IFERROR(__xludf.DUMMYFUNCTION("""COMPUTED_VALUE"""),"-")</f>
        <v>-</v>
      </c>
      <c r="I4244" s="19">
        <f>IFERROR(__xludf.DUMMYFUNCTION("""COMPUTED_VALUE"""),0.00208)</f>
        <v>0.00208</v>
      </c>
      <c r="J4244" s="19">
        <f>IFERROR(__xludf.DUMMYFUNCTION("""COMPUTED_VALUE"""),0.04108)</f>
        <v>0.04108</v>
      </c>
      <c r="K4244" s="19" t="str">
        <f>IFERROR(__xludf.DUMMYFUNCTION("""COMPUTED_VALUE"""),"-")</f>
        <v>-</v>
      </c>
      <c r="L4244" s="19" t="str">
        <f>IFERROR(__xludf.DUMMYFUNCTION("""COMPUTED_VALUE"""),"-")</f>
        <v>-</v>
      </c>
      <c r="O4244" s="24">
        <f t="shared" si="4"/>
        <v>0</v>
      </c>
      <c r="P4244" s="24"/>
      <c r="Q4244" s="24">
        <f t="shared" si="6"/>
        <v>0</v>
      </c>
      <c r="R4244" s="24">
        <f t="shared" si="7"/>
        <v>1</v>
      </c>
      <c r="S4244" s="24"/>
      <c r="T4244" s="24"/>
    </row>
    <row r="4245">
      <c r="A4245" s="12" t="s">
        <v>4332</v>
      </c>
      <c r="F4245" s="19">
        <f>IFERROR(__xludf.DUMMYFUNCTION("SPLIT(A4241, "" |"")"),4239.0)</f>
        <v>4239</v>
      </c>
      <c r="G4245" s="19">
        <f>IFERROR(__xludf.DUMMYFUNCTION("""COMPUTED_VALUE"""),0.00235)</f>
        <v>0.00235</v>
      </c>
      <c r="H4245" s="19" t="str">
        <f>IFERROR(__xludf.DUMMYFUNCTION("""COMPUTED_VALUE"""),"-")</f>
        <v>-</v>
      </c>
      <c r="I4245" s="19">
        <f>IFERROR(__xludf.DUMMYFUNCTION("""COMPUTED_VALUE"""),0.00221)</f>
        <v>0.00221</v>
      </c>
      <c r="J4245" s="19">
        <f>IFERROR(__xludf.DUMMYFUNCTION("""COMPUTED_VALUE"""),0.04362)</f>
        <v>0.04362</v>
      </c>
      <c r="K4245" s="19" t="str">
        <f>IFERROR(__xludf.DUMMYFUNCTION("""COMPUTED_VALUE"""),"-")</f>
        <v>-</v>
      </c>
      <c r="L4245" s="19" t="str">
        <f>IFERROR(__xludf.DUMMYFUNCTION("""COMPUTED_VALUE"""),"-")</f>
        <v>-</v>
      </c>
      <c r="O4245" s="24">
        <f t="shared" si="4"/>
        <v>0</v>
      </c>
      <c r="P4245" s="24"/>
      <c r="Q4245" s="24">
        <f t="shared" si="6"/>
        <v>0</v>
      </c>
      <c r="R4245" s="24">
        <f t="shared" si="7"/>
        <v>1</v>
      </c>
      <c r="S4245" s="24"/>
      <c r="T4245" s="24"/>
    </row>
    <row r="4246">
      <c r="A4246" s="12" t="s">
        <v>4333</v>
      </c>
      <c r="F4246" s="19">
        <f>IFERROR(__xludf.DUMMYFUNCTION("SPLIT(A4242, "" |"")"),4240.0)</f>
        <v>4240</v>
      </c>
      <c r="G4246" s="19">
        <f>IFERROR(__xludf.DUMMYFUNCTION("""COMPUTED_VALUE"""),0.00233)</f>
        <v>0.00233</v>
      </c>
      <c r="H4246" s="19" t="str">
        <f>IFERROR(__xludf.DUMMYFUNCTION("""COMPUTED_VALUE"""),"-")</f>
        <v>-</v>
      </c>
      <c r="I4246" s="19">
        <f>IFERROR(__xludf.DUMMYFUNCTION("""COMPUTED_VALUE"""),0.00224)</f>
        <v>0.00224</v>
      </c>
      <c r="J4246" s="19">
        <f>IFERROR(__xludf.DUMMYFUNCTION("""COMPUTED_VALUE"""),0.0475)</f>
        <v>0.0475</v>
      </c>
      <c r="K4246" s="19" t="str">
        <f>IFERROR(__xludf.DUMMYFUNCTION("""COMPUTED_VALUE"""),"-")</f>
        <v>-</v>
      </c>
      <c r="L4246" s="19" t="str">
        <f>IFERROR(__xludf.DUMMYFUNCTION("""COMPUTED_VALUE"""),"-")</f>
        <v>-</v>
      </c>
      <c r="O4246" s="24">
        <f t="shared" si="4"/>
        <v>0</v>
      </c>
      <c r="P4246" s="24"/>
      <c r="Q4246" s="24">
        <f t="shared" si="6"/>
        <v>0</v>
      </c>
      <c r="R4246" s="24">
        <f t="shared" si="7"/>
        <v>0</v>
      </c>
      <c r="S4246" s="24"/>
      <c r="T4246" s="24"/>
    </row>
    <row r="4247">
      <c r="A4247" s="12" t="s">
        <v>4334</v>
      </c>
      <c r="F4247" s="19">
        <f>IFERROR(__xludf.DUMMYFUNCTION("SPLIT(A4243, "" |"")"),4241.0)</f>
        <v>4241</v>
      </c>
      <c r="G4247" s="19">
        <f>IFERROR(__xludf.DUMMYFUNCTION("""COMPUTED_VALUE"""),0.00232)</f>
        <v>0.00232</v>
      </c>
      <c r="H4247" s="19" t="str">
        <f>IFERROR(__xludf.DUMMYFUNCTION("""COMPUTED_VALUE"""),"-")</f>
        <v>-</v>
      </c>
      <c r="I4247" s="19">
        <f>IFERROR(__xludf.DUMMYFUNCTION("""COMPUTED_VALUE"""),0.0022)</f>
        <v>0.0022</v>
      </c>
      <c r="J4247" s="19">
        <f>IFERROR(__xludf.DUMMYFUNCTION("""COMPUTED_VALUE"""),0.04751)</f>
        <v>0.04751</v>
      </c>
      <c r="K4247" s="19" t="str">
        <f>IFERROR(__xludf.DUMMYFUNCTION("""COMPUTED_VALUE"""),"-")</f>
        <v>-</v>
      </c>
      <c r="L4247" s="19" t="str">
        <f>IFERROR(__xludf.DUMMYFUNCTION("""COMPUTED_VALUE"""),"-")</f>
        <v>-</v>
      </c>
      <c r="O4247" s="24">
        <f t="shared" si="4"/>
        <v>0</v>
      </c>
      <c r="P4247" s="24"/>
      <c r="Q4247" s="24">
        <f t="shared" si="6"/>
        <v>0</v>
      </c>
      <c r="R4247" s="24">
        <f t="shared" si="7"/>
        <v>0</v>
      </c>
      <c r="S4247" s="24"/>
      <c r="T4247" s="24"/>
    </row>
    <row r="4248">
      <c r="A4248" s="12" t="s">
        <v>4335</v>
      </c>
      <c r="F4248" s="19">
        <f>IFERROR(__xludf.DUMMYFUNCTION("SPLIT(A4244, "" |"")"),4242.0)</f>
        <v>4242</v>
      </c>
      <c r="G4248" s="19">
        <f>IFERROR(__xludf.DUMMYFUNCTION("""COMPUTED_VALUE"""),0.00237)</f>
        <v>0.00237</v>
      </c>
      <c r="H4248" s="19" t="str">
        <f>IFERROR(__xludf.DUMMYFUNCTION("""COMPUTED_VALUE"""),"-")</f>
        <v>-</v>
      </c>
      <c r="I4248" s="19">
        <f>IFERROR(__xludf.DUMMYFUNCTION("""COMPUTED_VALUE"""),0.00217)</f>
        <v>0.00217</v>
      </c>
      <c r="J4248" s="19">
        <f>IFERROR(__xludf.DUMMYFUNCTION("""COMPUTED_VALUE"""),0.04594)</f>
        <v>0.04594</v>
      </c>
      <c r="K4248" s="19" t="str">
        <f>IFERROR(__xludf.DUMMYFUNCTION("""COMPUTED_VALUE"""),"-")</f>
        <v>-</v>
      </c>
      <c r="L4248" s="19" t="str">
        <f>IFERROR(__xludf.DUMMYFUNCTION("""COMPUTED_VALUE"""),"-")</f>
        <v>-</v>
      </c>
      <c r="O4248" s="24">
        <f t="shared" si="4"/>
        <v>0</v>
      </c>
      <c r="P4248" s="24"/>
      <c r="Q4248" s="24">
        <f t="shared" si="6"/>
        <v>0</v>
      </c>
      <c r="R4248" s="24">
        <f t="shared" si="7"/>
        <v>0</v>
      </c>
      <c r="S4248" s="24"/>
      <c r="T4248" s="24"/>
    </row>
    <row r="4249">
      <c r="A4249" s="12" t="s">
        <v>4336</v>
      </c>
      <c r="F4249" s="19">
        <f>IFERROR(__xludf.DUMMYFUNCTION("SPLIT(A4245, "" |"")"),4243.0)</f>
        <v>4243</v>
      </c>
      <c r="G4249" s="19">
        <f>IFERROR(__xludf.DUMMYFUNCTION("""COMPUTED_VALUE"""),0.00235)</f>
        <v>0.00235</v>
      </c>
      <c r="H4249" s="19" t="str">
        <f>IFERROR(__xludf.DUMMYFUNCTION("""COMPUTED_VALUE"""),"-")</f>
        <v>-</v>
      </c>
      <c r="I4249" s="19">
        <f>IFERROR(__xludf.DUMMYFUNCTION("""COMPUTED_VALUE"""),0.00225)</f>
        <v>0.00225</v>
      </c>
      <c r="J4249" s="19">
        <f>IFERROR(__xludf.DUMMYFUNCTION("""COMPUTED_VALUE"""),0.04747)</f>
        <v>0.04747</v>
      </c>
      <c r="K4249" s="19" t="str">
        <f>IFERROR(__xludf.DUMMYFUNCTION("""COMPUTED_VALUE"""),"-")</f>
        <v>-</v>
      </c>
      <c r="L4249" s="19" t="str">
        <f>IFERROR(__xludf.DUMMYFUNCTION("""COMPUTED_VALUE"""),"-")</f>
        <v>-</v>
      </c>
      <c r="O4249" s="24">
        <f t="shared" si="4"/>
        <v>0</v>
      </c>
      <c r="P4249" s="24"/>
      <c r="Q4249" s="24">
        <f t="shared" si="6"/>
        <v>0</v>
      </c>
      <c r="R4249" s="24">
        <f t="shared" si="7"/>
        <v>0</v>
      </c>
      <c r="S4249" s="24"/>
      <c r="T4249" s="24"/>
    </row>
    <row r="4250">
      <c r="A4250" s="12" t="s">
        <v>4337</v>
      </c>
      <c r="F4250" s="19">
        <f>IFERROR(__xludf.DUMMYFUNCTION("SPLIT(A4246, "" |"")"),4244.0)</f>
        <v>4244</v>
      </c>
      <c r="G4250" s="19">
        <f>IFERROR(__xludf.DUMMYFUNCTION("""COMPUTED_VALUE"""),0.00234)</f>
        <v>0.00234</v>
      </c>
      <c r="H4250" s="19" t="str">
        <f>IFERROR(__xludf.DUMMYFUNCTION("""COMPUTED_VALUE"""),"-")</f>
        <v>-</v>
      </c>
      <c r="I4250" s="19">
        <f>IFERROR(__xludf.DUMMYFUNCTION("""COMPUTED_VALUE"""),0.00221)</f>
        <v>0.00221</v>
      </c>
      <c r="J4250" s="19">
        <f>IFERROR(__xludf.DUMMYFUNCTION("""COMPUTED_VALUE"""),0.0474)</f>
        <v>0.0474</v>
      </c>
      <c r="K4250" s="19" t="str">
        <f>IFERROR(__xludf.DUMMYFUNCTION("""COMPUTED_VALUE"""),"-")</f>
        <v>-</v>
      </c>
      <c r="L4250" s="19" t="str">
        <f>IFERROR(__xludf.DUMMYFUNCTION("""COMPUTED_VALUE"""),"-")</f>
        <v>-</v>
      </c>
      <c r="O4250" s="24">
        <f t="shared" si="4"/>
        <v>0</v>
      </c>
      <c r="P4250" s="24"/>
      <c r="Q4250" s="24">
        <f t="shared" si="6"/>
        <v>0</v>
      </c>
      <c r="R4250" s="24">
        <f t="shared" si="7"/>
        <v>0</v>
      </c>
      <c r="S4250" s="24"/>
      <c r="T4250" s="24"/>
    </row>
    <row r="4251">
      <c r="A4251" s="12" t="s">
        <v>4338</v>
      </c>
      <c r="F4251" s="19">
        <f>IFERROR(__xludf.DUMMYFUNCTION("SPLIT(A4247, "" |"")"),4245.0)</f>
        <v>4245</v>
      </c>
      <c r="G4251" s="19">
        <f>IFERROR(__xludf.DUMMYFUNCTION("""COMPUTED_VALUE"""),0.00237)</f>
        <v>0.00237</v>
      </c>
      <c r="H4251" s="19" t="str">
        <f>IFERROR(__xludf.DUMMYFUNCTION("""COMPUTED_VALUE"""),"-")</f>
        <v>-</v>
      </c>
      <c r="I4251" s="19">
        <f>IFERROR(__xludf.DUMMYFUNCTION("""COMPUTED_VALUE"""),0.00223)</f>
        <v>0.00223</v>
      </c>
      <c r="J4251" s="19">
        <f>IFERROR(__xludf.DUMMYFUNCTION("""COMPUTED_VALUE"""),0.04742)</f>
        <v>0.04742</v>
      </c>
      <c r="K4251" s="19" t="str">
        <f>IFERROR(__xludf.DUMMYFUNCTION("""COMPUTED_VALUE"""),"-")</f>
        <v>-</v>
      </c>
      <c r="L4251" s="19" t="str">
        <f>IFERROR(__xludf.DUMMYFUNCTION("""COMPUTED_VALUE"""),"-")</f>
        <v>-</v>
      </c>
      <c r="O4251" s="24">
        <f t="shared" si="4"/>
        <v>0</v>
      </c>
      <c r="P4251" s="24"/>
      <c r="Q4251" s="24">
        <f t="shared" si="6"/>
        <v>0</v>
      </c>
      <c r="R4251" s="24">
        <f t="shared" si="7"/>
        <v>0</v>
      </c>
      <c r="S4251" s="24"/>
      <c r="T4251" s="24"/>
    </row>
    <row r="4252">
      <c r="A4252" s="12" t="s">
        <v>4339</v>
      </c>
      <c r="F4252" s="19">
        <f>IFERROR(__xludf.DUMMYFUNCTION("SPLIT(A4248, "" |"")"),4246.0)</f>
        <v>4246</v>
      </c>
      <c r="G4252" s="19">
        <f>IFERROR(__xludf.DUMMYFUNCTION("""COMPUTED_VALUE"""),0.00243)</f>
        <v>0.00243</v>
      </c>
      <c r="H4252" s="19" t="str">
        <f>IFERROR(__xludf.DUMMYFUNCTION("""COMPUTED_VALUE"""),"-")</f>
        <v>-</v>
      </c>
      <c r="I4252" s="19">
        <f>IFERROR(__xludf.DUMMYFUNCTION("""COMPUTED_VALUE"""),0.00221)</f>
        <v>0.00221</v>
      </c>
      <c r="J4252" s="19">
        <f>IFERROR(__xludf.DUMMYFUNCTION("""COMPUTED_VALUE"""),0.04108)</f>
        <v>0.04108</v>
      </c>
      <c r="K4252" s="19" t="str">
        <f>IFERROR(__xludf.DUMMYFUNCTION("""COMPUTED_VALUE"""),"-")</f>
        <v>-</v>
      </c>
      <c r="L4252" s="19" t="str">
        <f>IFERROR(__xludf.DUMMYFUNCTION("""COMPUTED_VALUE"""),"-")</f>
        <v>-</v>
      </c>
      <c r="O4252" s="24">
        <f t="shared" si="4"/>
        <v>0</v>
      </c>
      <c r="P4252" s="24"/>
      <c r="Q4252" s="24">
        <f t="shared" si="6"/>
        <v>0</v>
      </c>
      <c r="R4252" s="24">
        <f t="shared" si="7"/>
        <v>1</v>
      </c>
      <c r="S4252" s="24"/>
      <c r="T4252" s="24"/>
    </row>
    <row r="4253">
      <c r="A4253" s="12" t="s">
        <v>4340</v>
      </c>
      <c r="F4253" s="19">
        <f>IFERROR(__xludf.DUMMYFUNCTION("SPLIT(A4249, "" |"")"),4247.0)</f>
        <v>4247</v>
      </c>
      <c r="G4253" s="19">
        <f>IFERROR(__xludf.DUMMYFUNCTION("""COMPUTED_VALUE"""),0.00218)</f>
        <v>0.00218</v>
      </c>
      <c r="H4253" s="19" t="str">
        <f>IFERROR(__xludf.DUMMYFUNCTION("""COMPUTED_VALUE"""),"-")</f>
        <v>-</v>
      </c>
      <c r="I4253" s="19">
        <f>IFERROR(__xludf.DUMMYFUNCTION("""COMPUTED_VALUE"""),0.00206)</f>
        <v>0.00206</v>
      </c>
      <c r="J4253" s="19">
        <f>IFERROR(__xludf.DUMMYFUNCTION("""COMPUTED_VALUE"""),0.04729)</f>
        <v>0.04729</v>
      </c>
      <c r="K4253" s="19" t="str">
        <f>IFERROR(__xludf.DUMMYFUNCTION("""COMPUTED_VALUE"""),"-")</f>
        <v>-</v>
      </c>
      <c r="L4253" s="19" t="str">
        <f>IFERROR(__xludf.DUMMYFUNCTION("""COMPUTED_VALUE"""),"-")</f>
        <v>-</v>
      </c>
      <c r="O4253" s="24">
        <f t="shared" si="4"/>
        <v>0</v>
      </c>
      <c r="P4253" s="24"/>
      <c r="Q4253" s="24">
        <f t="shared" si="6"/>
        <v>0</v>
      </c>
      <c r="R4253" s="24">
        <f t="shared" si="7"/>
        <v>0</v>
      </c>
      <c r="S4253" s="24"/>
      <c r="T4253" s="24"/>
    </row>
    <row r="4254">
      <c r="A4254" s="12" t="s">
        <v>4341</v>
      </c>
      <c r="F4254" s="19">
        <f>IFERROR(__xludf.DUMMYFUNCTION("SPLIT(A4250, "" |"")"),4248.0)</f>
        <v>4248</v>
      </c>
      <c r="G4254" s="19">
        <f>IFERROR(__xludf.DUMMYFUNCTION("""COMPUTED_VALUE"""),0.00236)</f>
        <v>0.00236</v>
      </c>
      <c r="H4254" s="19" t="str">
        <f>IFERROR(__xludf.DUMMYFUNCTION("""COMPUTED_VALUE"""),"-")</f>
        <v>-</v>
      </c>
      <c r="I4254" s="19">
        <f>IFERROR(__xludf.DUMMYFUNCTION("""COMPUTED_VALUE"""),0.0022)</f>
        <v>0.0022</v>
      </c>
      <c r="J4254" s="19">
        <f>IFERROR(__xludf.DUMMYFUNCTION("""COMPUTED_VALUE"""),0.04745)</f>
        <v>0.04745</v>
      </c>
      <c r="K4254" s="19" t="str">
        <f>IFERROR(__xludf.DUMMYFUNCTION("""COMPUTED_VALUE"""),"-")</f>
        <v>-</v>
      </c>
      <c r="L4254" s="19" t="str">
        <f>IFERROR(__xludf.DUMMYFUNCTION("""COMPUTED_VALUE"""),"-")</f>
        <v>-</v>
      </c>
      <c r="O4254" s="24">
        <f t="shared" si="4"/>
        <v>0</v>
      </c>
      <c r="P4254" s="24"/>
      <c r="Q4254" s="24">
        <f t="shared" si="6"/>
        <v>0</v>
      </c>
      <c r="R4254" s="24">
        <f t="shared" si="7"/>
        <v>0</v>
      </c>
      <c r="S4254" s="24"/>
      <c r="T4254" s="24"/>
    </row>
    <row r="4255">
      <c r="A4255" s="12" t="s">
        <v>4342</v>
      </c>
      <c r="F4255" s="19">
        <f>IFERROR(__xludf.DUMMYFUNCTION("SPLIT(A4251, "" |"")"),4249.0)</f>
        <v>4249</v>
      </c>
      <c r="G4255" s="19">
        <f>IFERROR(__xludf.DUMMYFUNCTION("""COMPUTED_VALUE"""),0.00235)</f>
        <v>0.00235</v>
      </c>
      <c r="H4255" s="19" t="str">
        <f>IFERROR(__xludf.DUMMYFUNCTION("""COMPUTED_VALUE"""),"-")</f>
        <v>-</v>
      </c>
      <c r="I4255" s="19">
        <f>IFERROR(__xludf.DUMMYFUNCTION("""COMPUTED_VALUE"""),0.00221)</f>
        <v>0.00221</v>
      </c>
      <c r="J4255" s="19">
        <f>IFERROR(__xludf.DUMMYFUNCTION("""COMPUTED_VALUE"""),0.04462)</f>
        <v>0.04462</v>
      </c>
      <c r="K4255" s="19" t="str">
        <f>IFERROR(__xludf.DUMMYFUNCTION("""COMPUTED_VALUE"""),"-")</f>
        <v>-</v>
      </c>
      <c r="L4255" s="19" t="str">
        <f>IFERROR(__xludf.DUMMYFUNCTION("""COMPUTED_VALUE"""),"-")</f>
        <v>-</v>
      </c>
      <c r="O4255" s="24">
        <f t="shared" si="4"/>
        <v>0</v>
      </c>
      <c r="P4255" s="24"/>
      <c r="Q4255" s="24">
        <f t="shared" si="6"/>
        <v>0</v>
      </c>
      <c r="R4255" s="24">
        <f t="shared" si="7"/>
        <v>1</v>
      </c>
      <c r="S4255" s="24"/>
      <c r="T4255" s="24"/>
    </row>
    <row r="4256">
      <c r="A4256" s="12" t="s">
        <v>4343</v>
      </c>
      <c r="F4256" s="19">
        <f>IFERROR(__xludf.DUMMYFUNCTION("SPLIT(A4252, "" |"")"),4250.0)</f>
        <v>4250</v>
      </c>
      <c r="G4256" s="19">
        <f>IFERROR(__xludf.DUMMYFUNCTION("""COMPUTED_VALUE"""),0.00233)</f>
        <v>0.00233</v>
      </c>
      <c r="H4256" s="19" t="str">
        <f>IFERROR(__xludf.DUMMYFUNCTION("""COMPUTED_VALUE"""),"-")</f>
        <v>-</v>
      </c>
      <c r="I4256" s="19">
        <f>IFERROR(__xludf.DUMMYFUNCTION("""COMPUTED_VALUE"""),0.00223)</f>
        <v>0.00223</v>
      </c>
      <c r="J4256" s="19">
        <f>IFERROR(__xludf.DUMMYFUNCTION("""COMPUTED_VALUE"""),0.04385)</f>
        <v>0.04385</v>
      </c>
      <c r="K4256" s="19" t="str">
        <f>IFERROR(__xludf.DUMMYFUNCTION("""COMPUTED_VALUE"""),"-")</f>
        <v>-</v>
      </c>
      <c r="L4256" s="19" t="str">
        <f>IFERROR(__xludf.DUMMYFUNCTION("""COMPUTED_VALUE"""),"-")</f>
        <v>-</v>
      </c>
      <c r="O4256" s="24">
        <f t="shared" si="4"/>
        <v>0</v>
      </c>
      <c r="P4256" s="24"/>
      <c r="Q4256" s="24">
        <f t="shared" si="6"/>
        <v>0</v>
      </c>
      <c r="R4256" s="24">
        <f t="shared" si="7"/>
        <v>1</v>
      </c>
      <c r="S4256" s="24"/>
      <c r="T4256" s="24"/>
    </row>
    <row r="4257">
      <c r="A4257" s="12" t="s">
        <v>4344</v>
      </c>
      <c r="F4257" s="19">
        <f>IFERROR(__xludf.DUMMYFUNCTION("SPLIT(A4253, "" |"")"),4251.0)</f>
        <v>4251</v>
      </c>
      <c r="G4257" s="19">
        <f>IFERROR(__xludf.DUMMYFUNCTION("""COMPUTED_VALUE"""),0.00246)</f>
        <v>0.00246</v>
      </c>
      <c r="H4257" s="19" t="str">
        <f>IFERROR(__xludf.DUMMYFUNCTION("""COMPUTED_VALUE"""),"-")</f>
        <v>-</v>
      </c>
      <c r="I4257" s="19">
        <f>IFERROR(__xludf.DUMMYFUNCTION("""COMPUTED_VALUE"""),0.0023)</f>
        <v>0.0023</v>
      </c>
      <c r="J4257" s="19">
        <f>IFERROR(__xludf.DUMMYFUNCTION("""COMPUTED_VALUE"""),0.04744)</f>
        <v>0.04744</v>
      </c>
      <c r="K4257" s="19" t="str">
        <f>IFERROR(__xludf.DUMMYFUNCTION("""COMPUTED_VALUE"""),"-")</f>
        <v>-</v>
      </c>
      <c r="L4257" s="19" t="str">
        <f>IFERROR(__xludf.DUMMYFUNCTION("""COMPUTED_VALUE"""),"-")</f>
        <v>-</v>
      </c>
      <c r="O4257" s="24">
        <f t="shared" si="4"/>
        <v>0</v>
      </c>
      <c r="P4257" s="24"/>
      <c r="Q4257" s="24">
        <f t="shared" si="6"/>
        <v>0</v>
      </c>
      <c r="R4257" s="24">
        <f t="shared" si="7"/>
        <v>0</v>
      </c>
      <c r="S4257" s="24"/>
      <c r="T4257" s="24"/>
    </row>
    <row r="4258">
      <c r="A4258" s="12" t="s">
        <v>4345</v>
      </c>
      <c r="F4258" s="19">
        <f>IFERROR(__xludf.DUMMYFUNCTION("SPLIT(A4254, "" |"")"),4252.0)</f>
        <v>4252</v>
      </c>
      <c r="G4258" s="19">
        <f>IFERROR(__xludf.DUMMYFUNCTION("""COMPUTED_VALUE"""),0.00235)</f>
        <v>0.00235</v>
      </c>
      <c r="H4258" s="19" t="str">
        <f>IFERROR(__xludf.DUMMYFUNCTION("""COMPUTED_VALUE"""),"-")</f>
        <v>-</v>
      </c>
      <c r="I4258" s="19">
        <f>IFERROR(__xludf.DUMMYFUNCTION("""COMPUTED_VALUE"""),0.00224)</f>
        <v>0.00224</v>
      </c>
      <c r="J4258" s="19">
        <f>IFERROR(__xludf.DUMMYFUNCTION("""COMPUTED_VALUE"""),0.04749)</f>
        <v>0.04749</v>
      </c>
      <c r="K4258" s="19" t="str">
        <f>IFERROR(__xludf.DUMMYFUNCTION("""COMPUTED_VALUE"""),"-")</f>
        <v>-</v>
      </c>
      <c r="L4258" s="19" t="str">
        <f>IFERROR(__xludf.DUMMYFUNCTION("""COMPUTED_VALUE"""),"-")</f>
        <v>-</v>
      </c>
      <c r="O4258" s="24">
        <f t="shared" si="4"/>
        <v>0</v>
      </c>
      <c r="P4258" s="24"/>
      <c r="Q4258" s="24">
        <f t="shared" si="6"/>
        <v>0</v>
      </c>
      <c r="R4258" s="24">
        <f t="shared" si="7"/>
        <v>0</v>
      </c>
      <c r="S4258" s="24"/>
      <c r="T4258" s="24"/>
    </row>
    <row r="4259">
      <c r="A4259" s="12" t="s">
        <v>4346</v>
      </c>
      <c r="F4259" s="19">
        <f>IFERROR(__xludf.DUMMYFUNCTION("SPLIT(A4255, "" |"")"),4253.0)</f>
        <v>4253</v>
      </c>
      <c r="G4259" s="19">
        <f>IFERROR(__xludf.DUMMYFUNCTION("""COMPUTED_VALUE"""),0.00237)</f>
        <v>0.00237</v>
      </c>
      <c r="H4259" s="19" t="str">
        <f>IFERROR(__xludf.DUMMYFUNCTION("""COMPUTED_VALUE"""),"-")</f>
        <v>-</v>
      </c>
      <c r="I4259" s="19">
        <f>IFERROR(__xludf.DUMMYFUNCTION("""COMPUTED_VALUE"""),0.0022)</f>
        <v>0.0022</v>
      </c>
      <c r="J4259" s="19">
        <f>IFERROR(__xludf.DUMMYFUNCTION("""COMPUTED_VALUE"""),0.04737)</f>
        <v>0.04737</v>
      </c>
      <c r="K4259" s="19" t="str">
        <f>IFERROR(__xludf.DUMMYFUNCTION("""COMPUTED_VALUE"""),"-")</f>
        <v>-</v>
      </c>
      <c r="L4259" s="19" t="str">
        <f>IFERROR(__xludf.DUMMYFUNCTION("""COMPUTED_VALUE"""),"-")</f>
        <v>-</v>
      </c>
      <c r="O4259" s="24">
        <f t="shared" si="4"/>
        <v>0</v>
      </c>
      <c r="P4259" s="24"/>
      <c r="Q4259" s="24">
        <f t="shared" si="6"/>
        <v>0</v>
      </c>
      <c r="R4259" s="24">
        <f t="shared" si="7"/>
        <v>0</v>
      </c>
      <c r="S4259" s="24"/>
      <c r="T4259" s="24"/>
    </row>
    <row r="4260">
      <c r="A4260" s="12" t="s">
        <v>4347</v>
      </c>
      <c r="F4260" s="19">
        <f>IFERROR(__xludf.DUMMYFUNCTION("SPLIT(A4256, "" |"")"),4254.0)</f>
        <v>4254</v>
      </c>
      <c r="G4260" s="19">
        <f>IFERROR(__xludf.DUMMYFUNCTION("""COMPUTED_VALUE"""),0.0024)</f>
        <v>0.0024</v>
      </c>
      <c r="H4260" s="19" t="str">
        <f>IFERROR(__xludf.DUMMYFUNCTION("""COMPUTED_VALUE"""),"-")</f>
        <v>-</v>
      </c>
      <c r="I4260" s="19">
        <f>IFERROR(__xludf.DUMMYFUNCTION("""COMPUTED_VALUE"""),0.00222)</f>
        <v>0.00222</v>
      </c>
      <c r="J4260" s="19">
        <f>IFERROR(__xludf.DUMMYFUNCTION("""COMPUTED_VALUE"""),0.03969)</f>
        <v>0.03969</v>
      </c>
      <c r="K4260" s="19" t="str">
        <f>IFERROR(__xludf.DUMMYFUNCTION("""COMPUTED_VALUE"""),"-")</f>
        <v>-</v>
      </c>
      <c r="L4260" s="19" t="str">
        <f>IFERROR(__xludf.DUMMYFUNCTION("""COMPUTED_VALUE"""),"-")</f>
        <v>-</v>
      </c>
      <c r="O4260" s="24">
        <f t="shared" si="4"/>
        <v>0</v>
      </c>
      <c r="P4260" s="24"/>
      <c r="Q4260" s="24">
        <f t="shared" si="6"/>
        <v>0</v>
      </c>
      <c r="R4260" s="24">
        <f t="shared" si="7"/>
        <v>1</v>
      </c>
      <c r="S4260" s="24"/>
      <c r="T4260" s="24"/>
    </row>
    <row r="4261">
      <c r="A4261" s="12" t="s">
        <v>4348</v>
      </c>
      <c r="F4261" s="19">
        <f>IFERROR(__xludf.DUMMYFUNCTION("SPLIT(A4257, "" |"")"),4255.0)</f>
        <v>4255</v>
      </c>
      <c r="G4261" s="19">
        <f>IFERROR(__xludf.DUMMYFUNCTION("""COMPUTED_VALUE"""),0.00237)</f>
        <v>0.00237</v>
      </c>
      <c r="H4261" s="19" t="str">
        <f>IFERROR(__xludf.DUMMYFUNCTION("""COMPUTED_VALUE"""),"-")</f>
        <v>-</v>
      </c>
      <c r="I4261" s="19">
        <f>IFERROR(__xludf.DUMMYFUNCTION("""COMPUTED_VALUE"""),0.00213)</f>
        <v>0.00213</v>
      </c>
      <c r="J4261" s="19">
        <f>IFERROR(__xludf.DUMMYFUNCTION("""COMPUTED_VALUE"""),0.04756)</f>
        <v>0.04756</v>
      </c>
      <c r="K4261" s="19" t="str">
        <f>IFERROR(__xludf.DUMMYFUNCTION("""COMPUTED_VALUE"""),"-")</f>
        <v>-</v>
      </c>
      <c r="L4261" s="19" t="str">
        <f>IFERROR(__xludf.DUMMYFUNCTION("""COMPUTED_VALUE"""),"-")</f>
        <v>-</v>
      </c>
      <c r="O4261" s="24">
        <f t="shared" si="4"/>
        <v>0</v>
      </c>
      <c r="P4261" s="24"/>
      <c r="Q4261" s="24">
        <f t="shared" si="6"/>
        <v>0</v>
      </c>
      <c r="R4261" s="24">
        <f t="shared" si="7"/>
        <v>0</v>
      </c>
      <c r="S4261" s="24"/>
      <c r="T4261" s="24"/>
    </row>
    <row r="4262">
      <c r="A4262" s="12" t="s">
        <v>4349</v>
      </c>
      <c r="F4262" s="19">
        <f>IFERROR(__xludf.DUMMYFUNCTION("SPLIT(A4258, "" |"")"),4256.0)</f>
        <v>4256</v>
      </c>
      <c r="G4262" s="19">
        <f>IFERROR(__xludf.DUMMYFUNCTION("""COMPUTED_VALUE"""),0.00234)</f>
        <v>0.00234</v>
      </c>
      <c r="H4262" s="19" t="str">
        <f>IFERROR(__xludf.DUMMYFUNCTION("""COMPUTED_VALUE"""),"-")</f>
        <v>-</v>
      </c>
      <c r="I4262" s="19">
        <f>IFERROR(__xludf.DUMMYFUNCTION("""COMPUTED_VALUE"""),0.00225)</f>
        <v>0.00225</v>
      </c>
      <c r="J4262" s="19">
        <f>IFERROR(__xludf.DUMMYFUNCTION("""COMPUTED_VALUE"""),0.04744)</f>
        <v>0.04744</v>
      </c>
      <c r="K4262" s="19" t="str">
        <f>IFERROR(__xludf.DUMMYFUNCTION("""COMPUTED_VALUE"""),"-")</f>
        <v>-</v>
      </c>
      <c r="L4262" s="19" t="str">
        <f>IFERROR(__xludf.DUMMYFUNCTION("""COMPUTED_VALUE"""),"-")</f>
        <v>-</v>
      </c>
      <c r="O4262" s="24">
        <f t="shared" si="4"/>
        <v>0</v>
      </c>
      <c r="P4262" s="24"/>
      <c r="Q4262" s="24">
        <f t="shared" si="6"/>
        <v>0</v>
      </c>
      <c r="R4262" s="24">
        <f t="shared" si="7"/>
        <v>0</v>
      </c>
      <c r="S4262" s="24"/>
      <c r="T4262" s="24"/>
    </row>
    <row r="4263">
      <c r="A4263" s="12" t="s">
        <v>4350</v>
      </c>
      <c r="F4263" s="19">
        <f>IFERROR(__xludf.DUMMYFUNCTION("SPLIT(A4259, "" |"")"),4257.0)</f>
        <v>4257</v>
      </c>
      <c r="G4263" s="19">
        <f>IFERROR(__xludf.DUMMYFUNCTION("""COMPUTED_VALUE"""),0.00233)</f>
        <v>0.00233</v>
      </c>
      <c r="H4263" s="19" t="str">
        <f>IFERROR(__xludf.DUMMYFUNCTION("""COMPUTED_VALUE"""),"-")</f>
        <v>-</v>
      </c>
      <c r="I4263" s="19">
        <f>IFERROR(__xludf.DUMMYFUNCTION("""COMPUTED_VALUE"""),0.0022)</f>
        <v>0.0022</v>
      </c>
      <c r="J4263" s="19">
        <f>IFERROR(__xludf.DUMMYFUNCTION("""COMPUTED_VALUE"""),0.04744)</f>
        <v>0.04744</v>
      </c>
      <c r="K4263" s="19" t="str">
        <f>IFERROR(__xludf.DUMMYFUNCTION("""COMPUTED_VALUE"""),"-")</f>
        <v>-</v>
      </c>
      <c r="L4263" s="19" t="str">
        <f>IFERROR(__xludf.DUMMYFUNCTION("""COMPUTED_VALUE"""),"-")</f>
        <v>-</v>
      </c>
      <c r="O4263" s="24">
        <f t="shared" si="4"/>
        <v>0</v>
      </c>
      <c r="P4263" s="24"/>
      <c r="Q4263" s="24">
        <f t="shared" si="6"/>
        <v>0</v>
      </c>
      <c r="R4263" s="24">
        <f t="shared" si="7"/>
        <v>0</v>
      </c>
      <c r="S4263" s="24"/>
      <c r="T4263" s="24"/>
    </row>
    <row r="4264">
      <c r="A4264" s="12" t="s">
        <v>4351</v>
      </c>
      <c r="F4264" s="19">
        <f>IFERROR(__xludf.DUMMYFUNCTION("SPLIT(A4260, "" |"")"),4258.0)</f>
        <v>4258</v>
      </c>
      <c r="G4264" s="19">
        <f>IFERROR(__xludf.DUMMYFUNCTION("""COMPUTED_VALUE"""),0.00235)</f>
        <v>0.00235</v>
      </c>
      <c r="H4264" s="19" t="str">
        <f>IFERROR(__xludf.DUMMYFUNCTION("""COMPUTED_VALUE"""),"-")</f>
        <v>-</v>
      </c>
      <c r="I4264" s="19">
        <f>IFERROR(__xludf.DUMMYFUNCTION("""COMPUTED_VALUE"""),0.00224)</f>
        <v>0.00224</v>
      </c>
      <c r="J4264" s="19">
        <f>IFERROR(__xludf.DUMMYFUNCTION("""COMPUTED_VALUE"""),0.04725)</f>
        <v>0.04725</v>
      </c>
      <c r="K4264" s="19" t="str">
        <f>IFERROR(__xludf.DUMMYFUNCTION("""COMPUTED_VALUE"""),"-")</f>
        <v>-</v>
      </c>
      <c r="L4264" s="19" t="str">
        <f>IFERROR(__xludf.DUMMYFUNCTION("""COMPUTED_VALUE"""),"-")</f>
        <v>-</v>
      </c>
      <c r="O4264" s="24">
        <f t="shared" si="4"/>
        <v>0</v>
      </c>
      <c r="P4264" s="24"/>
      <c r="Q4264" s="24">
        <f t="shared" si="6"/>
        <v>0</v>
      </c>
      <c r="R4264" s="24">
        <f t="shared" si="7"/>
        <v>0</v>
      </c>
      <c r="S4264" s="24"/>
      <c r="T4264" s="24"/>
    </row>
    <row r="4265">
      <c r="A4265" s="12" t="s">
        <v>4352</v>
      </c>
      <c r="F4265" s="19">
        <f>IFERROR(__xludf.DUMMYFUNCTION("SPLIT(A4261, "" |"")"),4259.0)</f>
        <v>4259</v>
      </c>
      <c r="G4265" s="19">
        <f>IFERROR(__xludf.DUMMYFUNCTION("""COMPUTED_VALUE"""),0.00246)</f>
        <v>0.00246</v>
      </c>
      <c r="H4265" s="19" t="str">
        <f>IFERROR(__xludf.DUMMYFUNCTION("""COMPUTED_VALUE"""),"-")</f>
        <v>-</v>
      </c>
      <c r="I4265" s="19">
        <f>IFERROR(__xludf.DUMMYFUNCTION("""COMPUTED_VALUE"""),0.00217)</f>
        <v>0.00217</v>
      </c>
      <c r="J4265" s="19">
        <f>IFERROR(__xludf.DUMMYFUNCTION("""COMPUTED_VALUE"""),0.04744)</f>
        <v>0.04744</v>
      </c>
      <c r="K4265" s="19" t="str">
        <f>IFERROR(__xludf.DUMMYFUNCTION("""COMPUTED_VALUE"""),"-")</f>
        <v>-</v>
      </c>
      <c r="L4265" s="19" t="str">
        <f>IFERROR(__xludf.DUMMYFUNCTION("""COMPUTED_VALUE"""),"-")</f>
        <v>-</v>
      </c>
      <c r="O4265" s="24">
        <f t="shared" si="4"/>
        <v>0</v>
      </c>
      <c r="P4265" s="24"/>
      <c r="Q4265" s="24">
        <f t="shared" si="6"/>
        <v>0</v>
      </c>
      <c r="R4265" s="24">
        <f t="shared" si="7"/>
        <v>0</v>
      </c>
      <c r="S4265" s="24"/>
      <c r="T4265" s="24"/>
    </row>
    <row r="4266">
      <c r="A4266" s="12" t="s">
        <v>4353</v>
      </c>
      <c r="F4266" s="19">
        <f>IFERROR(__xludf.DUMMYFUNCTION("SPLIT(A4262, "" |"")"),4260.0)</f>
        <v>4260</v>
      </c>
      <c r="G4266" s="19">
        <f>IFERROR(__xludf.DUMMYFUNCTION("""COMPUTED_VALUE"""),0.00241)</f>
        <v>0.00241</v>
      </c>
      <c r="H4266" s="19" t="str">
        <f>IFERROR(__xludf.DUMMYFUNCTION("""COMPUTED_VALUE"""),"-")</f>
        <v>-</v>
      </c>
      <c r="I4266" s="19">
        <f>IFERROR(__xludf.DUMMYFUNCTION("""COMPUTED_VALUE"""),0.00221)</f>
        <v>0.00221</v>
      </c>
      <c r="J4266" s="19">
        <f>IFERROR(__xludf.DUMMYFUNCTION("""COMPUTED_VALUE"""),0.04732)</f>
        <v>0.04732</v>
      </c>
      <c r="K4266" s="19" t="str">
        <f>IFERROR(__xludf.DUMMYFUNCTION("""COMPUTED_VALUE"""),"-")</f>
        <v>-</v>
      </c>
      <c r="L4266" s="19" t="str">
        <f>IFERROR(__xludf.DUMMYFUNCTION("""COMPUTED_VALUE"""),"-")</f>
        <v>-</v>
      </c>
      <c r="O4266" s="24">
        <f t="shared" si="4"/>
        <v>0</v>
      </c>
      <c r="P4266" s="24"/>
      <c r="Q4266" s="24">
        <f t="shared" si="6"/>
        <v>0</v>
      </c>
      <c r="R4266" s="24">
        <f t="shared" si="7"/>
        <v>0</v>
      </c>
      <c r="S4266" s="24"/>
      <c r="T4266" s="24"/>
    </row>
    <row r="4267">
      <c r="A4267" s="12" t="s">
        <v>4354</v>
      </c>
      <c r="F4267" s="19">
        <f>IFERROR(__xludf.DUMMYFUNCTION("SPLIT(A4263, "" |"")"),4261.0)</f>
        <v>4261</v>
      </c>
      <c r="G4267" s="19">
        <f>IFERROR(__xludf.DUMMYFUNCTION("""COMPUTED_VALUE"""),0.00236)</f>
        <v>0.00236</v>
      </c>
      <c r="H4267" s="19" t="str">
        <f>IFERROR(__xludf.DUMMYFUNCTION("""COMPUTED_VALUE"""),"-")</f>
        <v>-</v>
      </c>
      <c r="I4267" s="19">
        <f>IFERROR(__xludf.DUMMYFUNCTION("""COMPUTED_VALUE"""),0.00222)</f>
        <v>0.00222</v>
      </c>
      <c r="J4267" s="19">
        <f>IFERROR(__xludf.DUMMYFUNCTION("""COMPUTED_VALUE"""),0.04717)</f>
        <v>0.04717</v>
      </c>
      <c r="K4267" s="19" t="str">
        <f>IFERROR(__xludf.DUMMYFUNCTION("""COMPUTED_VALUE"""),"-")</f>
        <v>-</v>
      </c>
      <c r="L4267" s="19" t="str">
        <f>IFERROR(__xludf.DUMMYFUNCTION("""COMPUTED_VALUE"""),"-")</f>
        <v>-</v>
      </c>
      <c r="O4267" s="24">
        <f t="shared" si="4"/>
        <v>0</v>
      </c>
      <c r="P4267" s="24"/>
      <c r="Q4267" s="24">
        <f t="shared" si="6"/>
        <v>0</v>
      </c>
      <c r="R4267" s="24">
        <f t="shared" si="7"/>
        <v>0</v>
      </c>
      <c r="S4267" s="24"/>
      <c r="T4267" s="24"/>
    </row>
    <row r="4268">
      <c r="A4268" s="12" t="s">
        <v>4355</v>
      </c>
      <c r="F4268" s="19">
        <f>IFERROR(__xludf.DUMMYFUNCTION("SPLIT(A4264, "" |"")"),4262.0)</f>
        <v>4262</v>
      </c>
      <c r="G4268" s="19">
        <f>IFERROR(__xludf.DUMMYFUNCTION("""COMPUTED_VALUE"""),0.0024)</f>
        <v>0.0024</v>
      </c>
      <c r="H4268" s="19" t="str">
        <f>IFERROR(__xludf.DUMMYFUNCTION("""COMPUTED_VALUE"""),"-")</f>
        <v>-</v>
      </c>
      <c r="I4268" s="19">
        <f>IFERROR(__xludf.DUMMYFUNCTION("""COMPUTED_VALUE"""),0.00223)</f>
        <v>0.00223</v>
      </c>
      <c r="J4268" s="19">
        <f>IFERROR(__xludf.DUMMYFUNCTION("""COMPUTED_VALUE"""),0.04742)</f>
        <v>0.04742</v>
      </c>
      <c r="K4268" s="19" t="str">
        <f>IFERROR(__xludf.DUMMYFUNCTION("""COMPUTED_VALUE"""),"-")</f>
        <v>-</v>
      </c>
      <c r="L4268" s="19" t="str">
        <f>IFERROR(__xludf.DUMMYFUNCTION("""COMPUTED_VALUE"""),"-")</f>
        <v>-</v>
      </c>
      <c r="O4268" s="24">
        <f t="shared" si="4"/>
        <v>0</v>
      </c>
      <c r="P4268" s="24"/>
      <c r="Q4268" s="24">
        <f t="shared" si="6"/>
        <v>0</v>
      </c>
      <c r="R4268" s="24">
        <f t="shared" si="7"/>
        <v>0</v>
      </c>
      <c r="S4268" s="24"/>
      <c r="T4268" s="24"/>
    </row>
    <row r="4269">
      <c r="A4269" s="12" t="s">
        <v>4356</v>
      </c>
      <c r="F4269" s="19">
        <f>IFERROR(__xludf.DUMMYFUNCTION("SPLIT(A4265, "" |"")"),4263.0)</f>
        <v>4263</v>
      </c>
      <c r="G4269" s="19">
        <f>IFERROR(__xludf.DUMMYFUNCTION("""COMPUTED_VALUE"""),0.00238)</f>
        <v>0.00238</v>
      </c>
      <c r="H4269" s="19" t="str">
        <f>IFERROR(__xludf.DUMMYFUNCTION("""COMPUTED_VALUE"""),"-")</f>
        <v>-</v>
      </c>
      <c r="I4269" s="19">
        <f>IFERROR(__xludf.DUMMYFUNCTION("""COMPUTED_VALUE"""),0.00221)</f>
        <v>0.00221</v>
      </c>
      <c r="J4269" s="19">
        <f>IFERROR(__xludf.DUMMYFUNCTION("""COMPUTED_VALUE"""),0.04746)</f>
        <v>0.04746</v>
      </c>
      <c r="K4269" s="19" t="str">
        <f>IFERROR(__xludf.DUMMYFUNCTION("""COMPUTED_VALUE"""),"-")</f>
        <v>-</v>
      </c>
      <c r="L4269" s="19" t="str">
        <f>IFERROR(__xludf.DUMMYFUNCTION("""COMPUTED_VALUE"""),"-")</f>
        <v>-</v>
      </c>
      <c r="O4269" s="24">
        <f t="shared" si="4"/>
        <v>0</v>
      </c>
      <c r="P4269" s="24"/>
      <c r="Q4269" s="24">
        <f t="shared" si="6"/>
        <v>0</v>
      </c>
      <c r="R4269" s="24">
        <f t="shared" si="7"/>
        <v>0</v>
      </c>
      <c r="S4269" s="24"/>
      <c r="T4269" s="24"/>
    </row>
    <row r="4270">
      <c r="A4270" s="12" t="s">
        <v>4357</v>
      </c>
      <c r="F4270" s="19">
        <f>IFERROR(__xludf.DUMMYFUNCTION("SPLIT(A4266, "" |"")"),4264.0)</f>
        <v>4264</v>
      </c>
      <c r="G4270" s="19">
        <f>IFERROR(__xludf.DUMMYFUNCTION("""COMPUTED_VALUE"""),0.00231)</f>
        <v>0.00231</v>
      </c>
      <c r="H4270" s="19" t="str">
        <f>IFERROR(__xludf.DUMMYFUNCTION("""COMPUTED_VALUE"""),"-")</f>
        <v>-</v>
      </c>
      <c r="I4270" s="19">
        <f>IFERROR(__xludf.DUMMYFUNCTION("""COMPUTED_VALUE"""),0.00224)</f>
        <v>0.00224</v>
      </c>
      <c r="J4270" s="19">
        <f>IFERROR(__xludf.DUMMYFUNCTION("""COMPUTED_VALUE"""),0.04742)</f>
        <v>0.04742</v>
      </c>
      <c r="K4270" s="19" t="str">
        <f>IFERROR(__xludf.DUMMYFUNCTION("""COMPUTED_VALUE"""),"-")</f>
        <v>-</v>
      </c>
      <c r="L4270" s="19" t="str">
        <f>IFERROR(__xludf.DUMMYFUNCTION("""COMPUTED_VALUE"""),"-")</f>
        <v>-</v>
      </c>
      <c r="O4270" s="24">
        <f t="shared" si="4"/>
        <v>0</v>
      </c>
      <c r="P4270" s="24"/>
      <c r="Q4270" s="24">
        <f t="shared" si="6"/>
        <v>0</v>
      </c>
      <c r="R4270" s="24">
        <f t="shared" si="7"/>
        <v>0</v>
      </c>
      <c r="S4270" s="24"/>
      <c r="T4270" s="24"/>
    </row>
    <row r="4271">
      <c r="A4271" s="12" t="s">
        <v>4358</v>
      </c>
      <c r="F4271" s="19">
        <f>IFERROR(__xludf.DUMMYFUNCTION("SPLIT(A4267, "" |"")"),4265.0)</f>
        <v>4265</v>
      </c>
      <c r="G4271" s="19">
        <f>IFERROR(__xludf.DUMMYFUNCTION("""COMPUTED_VALUE"""),0.00234)</f>
        <v>0.00234</v>
      </c>
      <c r="H4271" s="19" t="str">
        <f>IFERROR(__xludf.DUMMYFUNCTION("""COMPUTED_VALUE"""),"-")</f>
        <v>-</v>
      </c>
      <c r="I4271" s="19">
        <f>IFERROR(__xludf.DUMMYFUNCTION("""COMPUTED_VALUE"""),0.00221)</f>
        <v>0.00221</v>
      </c>
      <c r="J4271" s="19">
        <f>IFERROR(__xludf.DUMMYFUNCTION("""COMPUTED_VALUE"""),0.04753)</f>
        <v>0.04753</v>
      </c>
      <c r="K4271" s="19" t="str">
        <f>IFERROR(__xludf.DUMMYFUNCTION("""COMPUTED_VALUE"""),"-")</f>
        <v>-</v>
      </c>
      <c r="L4271" s="19" t="str">
        <f>IFERROR(__xludf.DUMMYFUNCTION("""COMPUTED_VALUE"""),"-")</f>
        <v>-</v>
      </c>
      <c r="O4271" s="24">
        <f t="shared" si="4"/>
        <v>0</v>
      </c>
      <c r="P4271" s="24"/>
      <c r="Q4271" s="24">
        <f t="shared" si="6"/>
        <v>0</v>
      </c>
      <c r="R4271" s="24">
        <f t="shared" si="7"/>
        <v>0</v>
      </c>
      <c r="S4271" s="24"/>
      <c r="T4271" s="24"/>
    </row>
    <row r="4272">
      <c r="A4272" s="12" t="s">
        <v>4359</v>
      </c>
      <c r="F4272" s="19">
        <f>IFERROR(__xludf.DUMMYFUNCTION("SPLIT(A4268, "" |"")"),4266.0)</f>
        <v>4266</v>
      </c>
      <c r="G4272" s="19">
        <f>IFERROR(__xludf.DUMMYFUNCTION("""COMPUTED_VALUE"""),0.00241)</f>
        <v>0.00241</v>
      </c>
      <c r="H4272" s="19" t="str">
        <f>IFERROR(__xludf.DUMMYFUNCTION("""COMPUTED_VALUE"""),"-")</f>
        <v>-</v>
      </c>
      <c r="I4272" s="19">
        <f>IFERROR(__xludf.DUMMYFUNCTION("""COMPUTED_VALUE"""),0.00226)</f>
        <v>0.00226</v>
      </c>
      <c r="J4272" s="19">
        <f>IFERROR(__xludf.DUMMYFUNCTION("""COMPUTED_VALUE"""),0.04744)</f>
        <v>0.04744</v>
      </c>
      <c r="K4272" s="19" t="str">
        <f>IFERROR(__xludf.DUMMYFUNCTION("""COMPUTED_VALUE"""),"-")</f>
        <v>-</v>
      </c>
      <c r="L4272" s="19" t="str">
        <f>IFERROR(__xludf.DUMMYFUNCTION("""COMPUTED_VALUE"""),"-")</f>
        <v>-</v>
      </c>
      <c r="O4272" s="24">
        <f t="shared" si="4"/>
        <v>0</v>
      </c>
      <c r="P4272" s="24"/>
      <c r="Q4272" s="24">
        <f t="shared" si="6"/>
        <v>0</v>
      </c>
      <c r="R4272" s="24">
        <f t="shared" si="7"/>
        <v>0</v>
      </c>
      <c r="S4272" s="24"/>
      <c r="T4272" s="24"/>
    </row>
    <row r="4273">
      <c r="A4273" s="12" t="s">
        <v>4360</v>
      </c>
      <c r="F4273" s="19">
        <f>IFERROR(__xludf.DUMMYFUNCTION("SPLIT(A4269, "" |"")"),4267.0)</f>
        <v>4267</v>
      </c>
      <c r="G4273" s="19">
        <f>IFERROR(__xludf.DUMMYFUNCTION("""COMPUTED_VALUE"""),0.00235)</f>
        <v>0.00235</v>
      </c>
      <c r="H4273" s="19" t="str">
        <f>IFERROR(__xludf.DUMMYFUNCTION("""COMPUTED_VALUE"""),"-")</f>
        <v>-</v>
      </c>
      <c r="I4273" s="19">
        <f>IFERROR(__xludf.DUMMYFUNCTION("""COMPUTED_VALUE"""),0.00222)</f>
        <v>0.00222</v>
      </c>
      <c r="J4273" s="19">
        <f>IFERROR(__xludf.DUMMYFUNCTION("""COMPUTED_VALUE"""),0.04748)</f>
        <v>0.04748</v>
      </c>
      <c r="K4273" s="19" t="str">
        <f>IFERROR(__xludf.DUMMYFUNCTION("""COMPUTED_VALUE"""),"-")</f>
        <v>-</v>
      </c>
      <c r="L4273" s="19" t="str">
        <f>IFERROR(__xludf.DUMMYFUNCTION("""COMPUTED_VALUE"""),"-")</f>
        <v>-</v>
      </c>
      <c r="O4273" s="24">
        <f t="shared" si="4"/>
        <v>0</v>
      </c>
      <c r="P4273" s="24"/>
      <c r="Q4273" s="24">
        <f t="shared" si="6"/>
        <v>0</v>
      </c>
      <c r="R4273" s="24">
        <f t="shared" si="7"/>
        <v>0</v>
      </c>
      <c r="S4273" s="24"/>
      <c r="T4273" s="24"/>
    </row>
    <row r="4274">
      <c r="A4274" s="12" t="s">
        <v>4361</v>
      </c>
      <c r="F4274" s="19">
        <f>IFERROR(__xludf.DUMMYFUNCTION("SPLIT(A4270, "" |"")"),4268.0)</f>
        <v>4268</v>
      </c>
      <c r="G4274" s="19">
        <f>IFERROR(__xludf.DUMMYFUNCTION("""COMPUTED_VALUE"""),0.00236)</f>
        <v>0.00236</v>
      </c>
      <c r="H4274" s="19" t="str">
        <f>IFERROR(__xludf.DUMMYFUNCTION("""COMPUTED_VALUE"""),"-")</f>
        <v>-</v>
      </c>
      <c r="I4274" s="19">
        <f>IFERROR(__xludf.DUMMYFUNCTION("""COMPUTED_VALUE"""),0.00216)</f>
        <v>0.00216</v>
      </c>
      <c r="J4274" s="19">
        <f>IFERROR(__xludf.DUMMYFUNCTION("""COMPUTED_VALUE"""),0.04476)</f>
        <v>0.04476</v>
      </c>
      <c r="K4274" s="19" t="str">
        <f>IFERROR(__xludf.DUMMYFUNCTION("""COMPUTED_VALUE"""),"-")</f>
        <v>-</v>
      </c>
      <c r="L4274" s="19" t="str">
        <f>IFERROR(__xludf.DUMMYFUNCTION("""COMPUTED_VALUE"""),"-")</f>
        <v>-</v>
      </c>
      <c r="O4274" s="24">
        <f t="shared" si="4"/>
        <v>0</v>
      </c>
      <c r="P4274" s="24"/>
      <c r="Q4274" s="24">
        <f t="shared" si="6"/>
        <v>0</v>
      </c>
      <c r="R4274" s="24">
        <f t="shared" si="7"/>
        <v>1</v>
      </c>
      <c r="S4274" s="24"/>
      <c r="T4274" s="24"/>
    </row>
    <row r="4275">
      <c r="A4275" s="12" t="s">
        <v>4362</v>
      </c>
      <c r="F4275" s="19">
        <f>IFERROR(__xludf.DUMMYFUNCTION("SPLIT(A4271, "" |"")"),4269.0)</f>
        <v>4269</v>
      </c>
      <c r="G4275" s="19">
        <f>IFERROR(__xludf.DUMMYFUNCTION("""COMPUTED_VALUE"""),0.00234)</f>
        <v>0.00234</v>
      </c>
      <c r="H4275" s="19" t="str">
        <f>IFERROR(__xludf.DUMMYFUNCTION("""COMPUTED_VALUE"""),"-")</f>
        <v>-</v>
      </c>
      <c r="I4275" s="19">
        <f>IFERROR(__xludf.DUMMYFUNCTION("""COMPUTED_VALUE"""),0.0022)</f>
        <v>0.0022</v>
      </c>
      <c r="J4275" s="19">
        <f>IFERROR(__xludf.DUMMYFUNCTION("""COMPUTED_VALUE"""),0.04757)</f>
        <v>0.04757</v>
      </c>
      <c r="K4275" s="19" t="str">
        <f>IFERROR(__xludf.DUMMYFUNCTION("""COMPUTED_VALUE"""),"-")</f>
        <v>-</v>
      </c>
      <c r="L4275" s="19" t="str">
        <f>IFERROR(__xludf.DUMMYFUNCTION("""COMPUTED_VALUE"""),"-")</f>
        <v>-</v>
      </c>
      <c r="O4275" s="24">
        <f t="shared" si="4"/>
        <v>0</v>
      </c>
      <c r="P4275" s="24"/>
      <c r="Q4275" s="24">
        <f t="shared" si="6"/>
        <v>0</v>
      </c>
      <c r="R4275" s="24">
        <f t="shared" si="7"/>
        <v>0</v>
      </c>
      <c r="S4275" s="24"/>
      <c r="T4275" s="24"/>
    </row>
    <row r="4276">
      <c r="A4276" s="12" t="s">
        <v>4363</v>
      </c>
      <c r="F4276" s="19">
        <f>IFERROR(__xludf.DUMMYFUNCTION("SPLIT(A4272, "" |"")"),4270.0)</f>
        <v>4270</v>
      </c>
      <c r="G4276" s="19">
        <f>IFERROR(__xludf.DUMMYFUNCTION("""COMPUTED_VALUE"""),0.00241)</f>
        <v>0.00241</v>
      </c>
      <c r="H4276" s="19" t="str">
        <f>IFERROR(__xludf.DUMMYFUNCTION("""COMPUTED_VALUE"""),"-")</f>
        <v>-</v>
      </c>
      <c r="I4276" s="19">
        <f>IFERROR(__xludf.DUMMYFUNCTION("""COMPUTED_VALUE"""),0.00225)</f>
        <v>0.00225</v>
      </c>
      <c r="J4276" s="19">
        <f>IFERROR(__xludf.DUMMYFUNCTION("""COMPUTED_VALUE"""),0.04742)</f>
        <v>0.04742</v>
      </c>
      <c r="K4276" s="19" t="str">
        <f>IFERROR(__xludf.DUMMYFUNCTION("""COMPUTED_VALUE"""),"-")</f>
        <v>-</v>
      </c>
      <c r="L4276" s="19" t="str">
        <f>IFERROR(__xludf.DUMMYFUNCTION("""COMPUTED_VALUE"""),"-")</f>
        <v>-</v>
      </c>
      <c r="O4276" s="24">
        <f t="shared" si="4"/>
        <v>0</v>
      </c>
      <c r="P4276" s="24"/>
      <c r="Q4276" s="24">
        <f t="shared" si="6"/>
        <v>0</v>
      </c>
      <c r="R4276" s="24">
        <f t="shared" si="7"/>
        <v>0</v>
      </c>
      <c r="S4276" s="24"/>
      <c r="T4276" s="24"/>
    </row>
    <row r="4277">
      <c r="A4277" s="12" t="s">
        <v>4364</v>
      </c>
      <c r="F4277" s="19">
        <f>IFERROR(__xludf.DUMMYFUNCTION("SPLIT(A4273, "" |"")"),4271.0)</f>
        <v>4271</v>
      </c>
      <c r="G4277" s="19">
        <f>IFERROR(__xludf.DUMMYFUNCTION("""COMPUTED_VALUE"""),0.00235)</f>
        <v>0.00235</v>
      </c>
      <c r="H4277" s="19" t="str">
        <f>IFERROR(__xludf.DUMMYFUNCTION("""COMPUTED_VALUE"""),"-")</f>
        <v>-</v>
      </c>
      <c r="I4277" s="19">
        <f>IFERROR(__xludf.DUMMYFUNCTION("""COMPUTED_VALUE"""),0.00212)</f>
        <v>0.00212</v>
      </c>
      <c r="J4277" s="19">
        <f>IFERROR(__xludf.DUMMYFUNCTION("""COMPUTED_VALUE"""),0.04736)</f>
        <v>0.04736</v>
      </c>
      <c r="K4277" s="19" t="str">
        <f>IFERROR(__xludf.DUMMYFUNCTION("""COMPUTED_VALUE"""),"-")</f>
        <v>-</v>
      </c>
      <c r="L4277" s="19" t="str">
        <f>IFERROR(__xludf.DUMMYFUNCTION("""COMPUTED_VALUE"""),"-")</f>
        <v>-</v>
      </c>
      <c r="O4277" s="24">
        <f t="shared" si="4"/>
        <v>0</v>
      </c>
      <c r="P4277" s="24"/>
      <c r="Q4277" s="24">
        <f t="shared" si="6"/>
        <v>0</v>
      </c>
      <c r="R4277" s="24">
        <f t="shared" si="7"/>
        <v>0</v>
      </c>
      <c r="S4277" s="24"/>
      <c r="T4277" s="24"/>
    </row>
    <row r="4278">
      <c r="A4278" s="12" t="s">
        <v>4365</v>
      </c>
      <c r="F4278" s="19">
        <f>IFERROR(__xludf.DUMMYFUNCTION("SPLIT(A4274, "" |"")"),4272.0)</f>
        <v>4272</v>
      </c>
      <c r="G4278" s="19">
        <f>IFERROR(__xludf.DUMMYFUNCTION("""COMPUTED_VALUE"""),0.00233)</f>
        <v>0.00233</v>
      </c>
      <c r="H4278" s="19" t="str">
        <f>IFERROR(__xludf.DUMMYFUNCTION("""COMPUTED_VALUE"""),"-")</f>
        <v>-</v>
      </c>
      <c r="I4278" s="19">
        <f>IFERROR(__xludf.DUMMYFUNCTION("""COMPUTED_VALUE"""),0.00215)</f>
        <v>0.00215</v>
      </c>
      <c r="J4278" s="19">
        <f>IFERROR(__xludf.DUMMYFUNCTION("""COMPUTED_VALUE"""),0.04748)</f>
        <v>0.04748</v>
      </c>
      <c r="K4278" s="19" t="str">
        <f>IFERROR(__xludf.DUMMYFUNCTION("""COMPUTED_VALUE"""),"-")</f>
        <v>-</v>
      </c>
      <c r="L4278" s="19" t="str">
        <f>IFERROR(__xludf.DUMMYFUNCTION("""COMPUTED_VALUE"""),"-")</f>
        <v>-</v>
      </c>
      <c r="O4278" s="24">
        <f t="shared" si="4"/>
        <v>0</v>
      </c>
      <c r="P4278" s="24"/>
      <c r="Q4278" s="24">
        <f t="shared" si="6"/>
        <v>0</v>
      </c>
      <c r="R4278" s="24">
        <f t="shared" si="7"/>
        <v>0</v>
      </c>
      <c r="S4278" s="24"/>
      <c r="T4278" s="24"/>
    </row>
    <row r="4279">
      <c r="A4279" s="12" t="s">
        <v>4366</v>
      </c>
      <c r="F4279" s="19">
        <f>IFERROR(__xludf.DUMMYFUNCTION("SPLIT(A4275, "" |"")"),4273.0)</f>
        <v>4273</v>
      </c>
      <c r="G4279" s="19">
        <f>IFERROR(__xludf.DUMMYFUNCTION("""COMPUTED_VALUE"""),0.00236)</f>
        <v>0.00236</v>
      </c>
      <c r="H4279" s="19" t="str">
        <f>IFERROR(__xludf.DUMMYFUNCTION("""COMPUTED_VALUE"""),"-")</f>
        <v>-</v>
      </c>
      <c r="I4279" s="19">
        <f>IFERROR(__xludf.DUMMYFUNCTION("""COMPUTED_VALUE"""),0.0022)</f>
        <v>0.0022</v>
      </c>
      <c r="J4279" s="19">
        <f>IFERROR(__xludf.DUMMYFUNCTION("""COMPUTED_VALUE"""),0.04744)</f>
        <v>0.04744</v>
      </c>
      <c r="K4279" s="19" t="str">
        <f>IFERROR(__xludf.DUMMYFUNCTION("""COMPUTED_VALUE"""),"-")</f>
        <v>-</v>
      </c>
      <c r="L4279" s="19" t="str">
        <f>IFERROR(__xludf.DUMMYFUNCTION("""COMPUTED_VALUE"""),"-")</f>
        <v>-</v>
      </c>
      <c r="O4279" s="24">
        <f t="shared" si="4"/>
        <v>0</v>
      </c>
      <c r="P4279" s="24"/>
      <c r="Q4279" s="24">
        <f t="shared" si="6"/>
        <v>0</v>
      </c>
      <c r="R4279" s="24">
        <f t="shared" si="7"/>
        <v>0</v>
      </c>
      <c r="S4279" s="24"/>
      <c r="T4279" s="24"/>
    </row>
    <row r="4280">
      <c r="A4280" s="12" t="s">
        <v>4367</v>
      </c>
      <c r="F4280" s="19">
        <f>IFERROR(__xludf.DUMMYFUNCTION("SPLIT(A4276, "" |"")"),4274.0)</f>
        <v>4274</v>
      </c>
      <c r="G4280" s="19">
        <f>IFERROR(__xludf.DUMMYFUNCTION("""COMPUTED_VALUE"""),0.00248)</f>
        <v>0.00248</v>
      </c>
      <c r="H4280" s="19" t="str">
        <f>IFERROR(__xludf.DUMMYFUNCTION("""COMPUTED_VALUE"""),"-")</f>
        <v>-</v>
      </c>
      <c r="I4280" s="19">
        <f>IFERROR(__xludf.DUMMYFUNCTION("""COMPUTED_VALUE"""),0.0023)</f>
        <v>0.0023</v>
      </c>
      <c r="J4280" s="19">
        <f>IFERROR(__xludf.DUMMYFUNCTION("""COMPUTED_VALUE"""),0.04743)</f>
        <v>0.04743</v>
      </c>
      <c r="K4280" s="19" t="str">
        <f>IFERROR(__xludf.DUMMYFUNCTION("""COMPUTED_VALUE"""),"-")</f>
        <v>-</v>
      </c>
      <c r="L4280" s="19" t="str">
        <f>IFERROR(__xludf.DUMMYFUNCTION("""COMPUTED_VALUE"""),"-")</f>
        <v>-</v>
      </c>
      <c r="O4280" s="24">
        <f t="shared" si="4"/>
        <v>0</v>
      </c>
      <c r="P4280" s="24"/>
      <c r="Q4280" s="24">
        <f t="shared" si="6"/>
        <v>0</v>
      </c>
      <c r="R4280" s="24">
        <f t="shared" si="7"/>
        <v>0</v>
      </c>
      <c r="S4280" s="24"/>
      <c r="T4280" s="24"/>
    </row>
    <row r="4281">
      <c r="A4281" s="12" t="s">
        <v>4368</v>
      </c>
      <c r="F4281" s="19">
        <f>IFERROR(__xludf.DUMMYFUNCTION("SPLIT(A4277, "" |"")"),4275.0)</f>
        <v>4275</v>
      </c>
      <c r="G4281" s="19">
        <f>IFERROR(__xludf.DUMMYFUNCTION("""COMPUTED_VALUE"""),0.00244)</f>
        <v>0.00244</v>
      </c>
      <c r="H4281" s="19" t="str">
        <f>IFERROR(__xludf.DUMMYFUNCTION("""COMPUTED_VALUE"""),"-")</f>
        <v>-</v>
      </c>
      <c r="I4281" s="19">
        <f>IFERROR(__xludf.DUMMYFUNCTION("""COMPUTED_VALUE"""),0.0023)</f>
        <v>0.0023</v>
      </c>
      <c r="J4281" s="19">
        <f>IFERROR(__xludf.DUMMYFUNCTION("""COMPUTED_VALUE"""),0.04751)</f>
        <v>0.04751</v>
      </c>
      <c r="K4281" s="19" t="str">
        <f>IFERROR(__xludf.DUMMYFUNCTION("""COMPUTED_VALUE"""),"-")</f>
        <v>-</v>
      </c>
      <c r="L4281" s="19" t="str">
        <f>IFERROR(__xludf.DUMMYFUNCTION("""COMPUTED_VALUE"""),"-")</f>
        <v>-</v>
      </c>
      <c r="O4281" s="24">
        <f t="shared" si="4"/>
        <v>0</v>
      </c>
      <c r="P4281" s="24"/>
      <c r="Q4281" s="24">
        <f t="shared" si="6"/>
        <v>0</v>
      </c>
      <c r="R4281" s="24">
        <f t="shared" si="7"/>
        <v>0</v>
      </c>
      <c r="S4281" s="24"/>
      <c r="T4281" s="24"/>
    </row>
    <row r="4282">
      <c r="A4282" s="12" t="s">
        <v>4369</v>
      </c>
      <c r="F4282" s="19">
        <f>IFERROR(__xludf.DUMMYFUNCTION("SPLIT(A4278, "" |"")"),4276.0)</f>
        <v>4276</v>
      </c>
      <c r="G4282" s="19">
        <f>IFERROR(__xludf.DUMMYFUNCTION("""COMPUTED_VALUE"""),0.00228)</f>
        <v>0.00228</v>
      </c>
      <c r="H4282" s="19" t="str">
        <f>IFERROR(__xludf.DUMMYFUNCTION("""COMPUTED_VALUE"""),"-")</f>
        <v>-</v>
      </c>
      <c r="I4282" s="19">
        <f>IFERROR(__xludf.DUMMYFUNCTION("""COMPUTED_VALUE"""),0.00224)</f>
        <v>0.00224</v>
      </c>
      <c r="J4282" s="19">
        <f>IFERROR(__xludf.DUMMYFUNCTION("""COMPUTED_VALUE"""),0.04738)</f>
        <v>0.04738</v>
      </c>
      <c r="K4282" s="19" t="str">
        <f>IFERROR(__xludf.DUMMYFUNCTION("""COMPUTED_VALUE"""),"-")</f>
        <v>-</v>
      </c>
      <c r="L4282" s="19" t="str">
        <f>IFERROR(__xludf.DUMMYFUNCTION("""COMPUTED_VALUE"""),"-")</f>
        <v>-</v>
      </c>
      <c r="O4282" s="24">
        <f t="shared" si="4"/>
        <v>0</v>
      </c>
      <c r="P4282" s="24"/>
      <c r="Q4282" s="24">
        <f t="shared" si="6"/>
        <v>0</v>
      </c>
      <c r="R4282" s="24">
        <f t="shared" si="7"/>
        <v>0</v>
      </c>
      <c r="S4282" s="24"/>
      <c r="T4282" s="24"/>
    </row>
    <row r="4283">
      <c r="A4283" s="12" t="s">
        <v>4370</v>
      </c>
      <c r="F4283" s="19">
        <f>IFERROR(__xludf.DUMMYFUNCTION("SPLIT(A4279, "" |"")"),4277.0)</f>
        <v>4277</v>
      </c>
      <c r="G4283" s="19">
        <f>IFERROR(__xludf.DUMMYFUNCTION("""COMPUTED_VALUE"""),0.00236)</f>
        <v>0.00236</v>
      </c>
      <c r="H4283" s="19" t="str">
        <f>IFERROR(__xludf.DUMMYFUNCTION("""COMPUTED_VALUE"""),"-")</f>
        <v>-</v>
      </c>
      <c r="I4283" s="19">
        <f>IFERROR(__xludf.DUMMYFUNCTION("""COMPUTED_VALUE"""),0.00226)</f>
        <v>0.00226</v>
      </c>
      <c r="J4283" s="19">
        <f>IFERROR(__xludf.DUMMYFUNCTION("""COMPUTED_VALUE"""),0.04648)</f>
        <v>0.04648</v>
      </c>
      <c r="K4283" s="19" t="str">
        <f>IFERROR(__xludf.DUMMYFUNCTION("""COMPUTED_VALUE"""),"-")</f>
        <v>-</v>
      </c>
      <c r="L4283" s="19" t="str">
        <f>IFERROR(__xludf.DUMMYFUNCTION("""COMPUTED_VALUE"""),"-")</f>
        <v>-</v>
      </c>
      <c r="O4283" s="24">
        <f t="shared" si="4"/>
        <v>0</v>
      </c>
      <c r="P4283" s="24"/>
      <c r="Q4283" s="24">
        <f t="shared" si="6"/>
        <v>0</v>
      </c>
      <c r="R4283" s="24">
        <f t="shared" si="7"/>
        <v>0</v>
      </c>
      <c r="S4283" s="24"/>
      <c r="T4283" s="24"/>
    </row>
    <row r="4284">
      <c r="A4284" s="12" t="s">
        <v>4371</v>
      </c>
      <c r="F4284" s="19">
        <f>IFERROR(__xludf.DUMMYFUNCTION("SPLIT(A4280, "" |"")"),4278.0)</f>
        <v>4278</v>
      </c>
      <c r="G4284" s="19">
        <f>IFERROR(__xludf.DUMMYFUNCTION("""COMPUTED_VALUE"""),0.00239)</f>
        <v>0.00239</v>
      </c>
      <c r="H4284" s="19" t="str">
        <f>IFERROR(__xludf.DUMMYFUNCTION("""COMPUTED_VALUE"""),"-")</f>
        <v>-</v>
      </c>
      <c r="I4284" s="19">
        <f>IFERROR(__xludf.DUMMYFUNCTION("""COMPUTED_VALUE"""),0.00226)</f>
        <v>0.00226</v>
      </c>
      <c r="J4284" s="19">
        <f>IFERROR(__xludf.DUMMYFUNCTION("""COMPUTED_VALUE"""),0.04543)</f>
        <v>0.04543</v>
      </c>
      <c r="K4284" s="19" t="str">
        <f>IFERROR(__xludf.DUMMYFUNCTION("""COMPUTED_VALUE"""),"-")</f>
        <v>-</v>
      </c>
      <c r="L4284" s="19" t="str">
        <f>IFERROR(__xludf.DUMMYFUNCTION("""COMPUTED_VALUE"""),"-")</f>
        <v>-</v>
      </c>
      <c r="O4284" s="24">
        <f t="shared" si="4"/>
        <v>0</v>
      </c>
      <c r="P4284" s="24"/>
      <c r="Q4284" s="24">
        <f t="shared" si="6"/>
        <v>0</v>
      </c>
      <c r="R4284" s="24">
        <f t="shared" si="7"/>
        <v>0</v>
      </c>
      <c r="S4284" s="24"/>
      <c r="T4284" s="24"/>
    </row>
    <row r="4285">
      <c r="A4285" s="12" t="s">
        <v>4372</v>
      </c>
      <c r="F4285" s="19">
        <f>IFERROR(__xludf.DUMMYFUNCTION("SPLIT(A4281, "" |"")"),4279.0)</f>
        <v>4279</v>
      </c>
      <c r="G4285" s="19">
        <f>IFERROR(__xludf.DUMMYFUNCTION("""COMPUTED_VALUE"""),0.00237)</f>
        <v>0.00237</v>
      </c>
      <c r="H4285" s="19" t="str">
        <f>IFERROR(__xludf.DUMMYFUNCTION("""COMPUTED_VALUE"""),"-")</f>
        <v>-</v>
      </c>
      <c r="I4285" s="19">
        <f>IFERROR(__xludf.DUMMYFUNCTION("""COMPUTED_VALUE"""),0.00217)</f>
        <v>0.00217</v>
      </c>
      <c r="J4285" s="19">
        <f>IFERROR(__xludf.DUMMYFUNCTION("""COMPUTED_VALUE"""),0.04743)</f>
        <v>0.04743</v>
      </c>
      <c r="K4285" s="19" t="str">
        <f>IFERROR(__xludf.DUMMYFUNCTION("""COMPUTED_VALUE"""),"-")</f>
        <v>-</v>
      </c>
      <c r="L4285" s="19" t="str">
        <f>IFERROR(__xludf.DUMMYFUNCTION("""COMPUTED_VALUE"""),"-")</f>
        <v>-</v>
      </c>
      <c r="O4285" s="24">
        <f t="shared" si="4"/>
        <v>0</v>
      </c>
      <c r="P4285" s="24"/>
      <c r="Q4285" s="24">
        <f t="shared" si="6"/>
        <v>0</v>
      </c>
      <c r="R4285" s="24">
        <f t="shared" si="7"/>
        <v>0</v>
      </c>
      <c r="S4285" s="24"/>
      <c r="T4285" s="24"/>
    </row>
    <row r="4286">
      <c r="A4286" s="12" t="s">
        <v>4373</v>
      </c>
      <c r="F4286" s="19">
        <f>IFERROR(__xludf.DUMMYFUNCTION("SPLIT(A4282, "" |"")"),4280.0)</f>
        <v>4280</v>
      </c>
      <c r="G4286" s="19">
        <f>IFERROR(__xludf.DUMMYFUNCTION("""COMPUTED_VALUE"""),0.00227)</f>
        <v>0.00227</v>
      </c>
      <c r="H4286" s="19" t="str">
        <f>IFERROR(__xludf.DUMMYFUNCTION("""COMPUTED_VALUE"""),"-")</f>
        <v>-</v>
      </c>
      <c r="I4286" s="19">
        <f>IFERROR(__xludf.DUMMYFUNCTION("""COMPUTED_VALUE"""),0.00224)</f>
        <v>0.00224</v>
      </c>
      <c r="J4286" s="19">
        <f>IFERROR(__xludf.DUMMYFUNCTION("""COMPUTED_VALUE"""),0.04745)</f>
        <v>0.04745</v>
      </c>
      <c r="K4286" s="19" t="str">
        <f>IFERROR(__xludf.DUMMYFUNCTION("""COMPUTED_VALUE"""),"-")</f>
        <v>-</v>
      </c>
      <c r="L4286" s="19" t="str">
        <f>IFERROR(__xludf.DUMMYFUNCTION("""COMPUTED_VALUE"""),"-")</f>
        <v>-</v>
      </c>
      <c r="O4286" s="24">
        <f t="shared" si="4"/>
        <v>0</v>
      </c>
      <c r="P4286" s="24"/>
      <c r="Q4286" s="24">
        <f t="shared" si="6"/>
        <v>0</v>
      </c>
      <c r="R4286" s="24">
        <f t="shared" si="7"/>
        <v>0</v>
      </c>
      <c r="S4286" s="24"/>
      <c r="T4286" s="24"/>
    </row>
    <row r="4287">
      <c r="A4287" s="12" t="s">
        <v>4374</v>
      </c>
      <c r="F4287" s="19">
        <f>IFERROR(__xludf.DUMMYFUNCTION("SPLIT(A4283, "" |"")"),4281.0)</f>
        <v>4281</v>
      </c>
      <c r="G4287" s="19">
        <f>IFERROR(__xludf.DUMMYFUNCTION("""COMPUTED_VALUE"""),0.00229)</f>
        <v>0.00229</v>
      </c>
      <c r="H4287" s="19" t="str">
        <f>IFERROR(__xludf.DUMMYFUNCTION("""COMPUTED_VALUE"""),"-")</f>
        <v>-</v>
      </c>
      <c r="I4287" s="19">
        <f>IFERROR(__xludf.DUMMYFUNCTION("""COMPUTED_VALUE"""),0.00209)</f>
        <v>0.00209</v>
      </c>
      <c r="J4287" s="19">
        <f>IFERROR(__xludf.DUMMYFUNCTION("""COMPUTED_VALUE"""),0.04734)</f>
        <v>0.04734</v>
      </c>
      <c r="K4287" s="19" t="str">
        <f>IFERROR(__xludf.DUMMYFUNCTION("""COMPUTED_VALUE"""),"-")</f>
        <v>-</v>
      </c>
      <c r="L4287" s="19" t="str">
        <f>IFERROR(__xludf.DUMMYFUNCTION("""COMPUTED_VALUE"""),"-")</f>
        <v>-</v>
      </c>
      <c r="O4287" s="24">
        <f t="shared" si="4"/>
        <v>0</v>
      </c>
      <c r="P4287" s="24"/>
      <c r="Q4287" s="24">
        <f t="shared" si="6"/>
        <v>0</v>
      </c>
      <c r="R4287" s="24">
        <f t="shared" si="7"/>
        <v>0</v>
      </c>
      <c r="S4287" s="24"/>
      <c r="T4287" s="24"/>
    </row>
    <row r="4288">
      <c r="A4288" s="12" t="s">
        <v>4375</v>
      </c>
      <c r="F4288" s="19">
        <f>IFERROR(__xludf.DUMMYFUNCTION("SPLIT(A4284, "" |"")"),4282.0)</f>
        <v>4282</v>
      </c>
      <c r="G4288" s="19">
        <f>IFERROR(__xludf.DUMMYFUNCTION("""COMPUTED_VALUE"""),0.00237)</f>
        <v>0.00237</v>
      </c>
      <c r="H4288" s="19" t="str">
        <f>IFERROR(__xludf.DUMMYFUNCTION("""COMPUTED_VALUE"""),"-")</f>
        <v>-</v>
      </c>
      <c r="I4288" s="19">
        <f>IFERROR(__xludf.DUMMYFUNCTION("""COMPUTED_VALUE"""),0.00229)</f>
        <v>0.00229</v>
      </c>
      <c r="J4288" s="19">
        <f>IFERROR(__xludf.DUMMYFUNCTION("""COMPUTED_VALUE"""),0.04748)</f>
        <v>0.04748</v>
      </c>
      <c r="K4288" s="19" t="str">
        <f>IFERROR(__xludf.DUMMYFUNCTION("""COMPUTED_VALUE"""),"-")</f>
        <v>-</v>
      </c>
      <c r="L4288" s="19" t="str">
        <f>IFERROR(__xludf.DUMMYFUNCTION("""COMPUTED_VALUE"""),"-")</f>
        <v>-</v>
      </c>
      <c r="O4288" s="24">
        <f t="shared" si="4"/>
        <v>0</v>
      </c>
      <c r="P4288" s="24"/>
      <c r="Q4288" s="24">
        <f t="shared" si="6"/>
        <v>0</v>
      </c>
      <c r="R4288" s="24">
        <f t="shared" si="7"/>
        <v>0</v>
      </c>
      <c r="S4288" s="24"/>
      <c r="T4288" s="24"/>
    </row>
    <row r="4289">
      <c r="A4289" s="12" t="s">
        <v>4376</v>
      </c>
      <c r="F4289" s="19">
        <f>IFERROR(__xludf.DUMMYFUNCTION("SPLIT(A4285, "" |"")"),4283.0)</f>
        <v>4283</v>
      </c>
      <c r="G4289" s="19">
        <f>IFERROR(__xludf.DUMMYFUNCTION("""COMPUTED_VALUE"""),0.00236)</f>
        <v>0.00236</v>
      </c>
      <c r="H4289" s="19" t="str">
        <f>IFERROR(__xludf.DUMMYFUNCTION("""COMPUTED_VALUE"""),"-")</f>
        <v>-</v>
      </c>
      <c r="I4289" s="19">
        <f>IFERROR(__xludf.DUMMYFUNCTION("""COMPUTED_VALUE"""),0.00219)</f>
        <v>0.00219</v>
      </c>
      <c r="J4289" s="19">
        <f>IFERROR(__xludf.DUMMYFUNCTION("""COMPUTED_VALUE"""),0.04144)</f>
        <v>0.04144</v>
      </c>
      <c r="K4289" s="19" t="str">
        <f>IFERROR(__xludf.DUMMYFUNCTION("""COMPUTED_VALUE"""),"-")</f>
        <v>-</v>
      </c>
      <c r="L4289" s="19" t="str">
        <f>IFERROR(__xludf.DUMMYFUNCTION("""COMPUTED_VALUE"""),"-")</f>
        <v>-</v>
      </c>
      <c r="O4289" s="24">
        <f t="shared" si="4"/>
        <v>0</v>
      </c>
      <c r="P4289" s="24"/>
      <c r="Q4289" s="24">
        <f t="shared" si="6"/>
        <v>0</v>
      </c>
      <c r="R4289" s="24">
        <f t="shared" si="7"/>
        <v>1</v>
      </c>
      <c r="S4289" s="24"/>
      <c r="T4289" s="24"/>
    </row>
    <row r="4290">
      <c r="A4290" s="12" t="s">
        <v>4377</v>
      </c>
      <c r="F4290" s="19">
        <f>IFERROR(__xludf.DUMMYFUNCTION("SPLIT(A4286, "" |"")"),4284.0)</f>
        <v>4284</v>
      </c>
      <c r="G4290" s="19">
        <f>IFERROR(__xludf.DUMMYFUNCTION("""COMPUTED_VALUE"""),0.00233)</f>
        <v>0.00233</v>
      </c>
      <c r="H4290" s="19" t="str">
        <f>IFERROR(__xludf.DUMMYFUNCTION("""COMPUTED_VALUE"""),"-")</f>
        <v>-</v>
      </c>
      <c r="I4290" s="19">
        <f>IFERROR(__xludf.DUMMYFUNCTION("""COMPUTED_VALUE"""),0.00218)</f>
        <v>0.00218</v>
      </c>
      <c r="J4290" s="19">
        <f>IFERROR(__xludf.DUMMYFUNCTION("""COMPUTED_VALUE"""),0.04537)</f>
        <v>0.04537</v>
      </c>
      <c r="K4290" s="19" t="str">
        <f>IFERROR(__xludf.DUMMYFUNCTION("""COMPUTED_VALUE"""),"-")</f>
        <v>-</v>
      </c>
      <c r="L4290" s="19" t="str">
        <f>IFERROR(__xludf.DUMMYFUNCTION("""COMPUTED_VALUE"""),"-")</f>
        <v>-</v>
      </c>
      <c r="O4290" s="24">
        <f t="shared" si="4"/>
        <v>0</v>
      </c>
      <c r="P4290" s="24"/>
      <c r="Q4290" s="24">
        <f t="shared" si="6"/>
        <v>0</v>
      </c>
      <c r="R4290" s="24">
        <f t="shared" si="7"/>
        <v>0</v>
      </c>
      <c r="S4290" s="24"/>
      <c r="T4290" s="24"/>
    </row>
    <row r="4291">
      <c r="A4291" s="12" t="s">
        <v>4378</v>
      </c>
      <c r="F4291" s="19">
        <f>IFERROR(__xludf.DUMMYFUNCTION("SPLIT(A4287, "" |"")"),4285.0)</f>
        <v>4285</v>
      </c>
      <c r="G4291" s="19">
        <f>IFERROR(__xludf.DUMMYFUNCTION("""COMPUTED_VALUE"""),0.00235)</f>
        <v>0.00235</v>
      </c>
      <c r="H4291" s="19" t="str">
        <f>IFERROR(__xludf.DUMMYFUNCTION("""COMPUTED_VALUE"""),"-")</f>
        <v>-</v>
      </c>
      <c r="I4291" s="19">
        <f>IFERROR(__xludf.DUMMYFUNCTION("""COMPUTED_VALUE"""),0.00222)</f>
        <v>0.00222</v>
      </c>
      <c r="J4291" s="19">
        <f>IFERROR(__xludf.DUMMYFUNCTION("""COMPUTED_VALUE"""),0.04748)</f>
        <v>0.04748</v>
      </c>
      <c r="K4291" s="19" t="str">
        <f>IFERROR(__xludf.DUMMYFUNCTION("""COMPUTED_VALUE"""),"-")</f>
        <v>-</v>
      </c>
      <c r="L4291" s="19" t="str">
        <f>IFERROR(__xludf.DUMMYFUNCTION("""COMPUTED_VALUE"""),"-")</f>
        <v>-</v>
      </c>
      <c r="O4291" s="24">
        <f t="shared" si="4"/>
        <v>0</v>
      </c>
      <c r="P4291" s="24"/>
      <c r="Q4291" s="24">
        <f t="shared" si="6"/>
        <v>0</v>
      </c>
      <c r="R4291" s="24">
        <f t="shared" si="7"/>
        <v>0</v>
      </c>
      <c r="S4291" s="24"/>
      <c r="T4291" s="24"/>
    </row>
    <row r="4292">
      <c r="A4292" s="12" t="s">
        <v>4379</v>
      </c>
      <c r="F4292" s="19">
        <f>IFERROR(__xludf.DUMMYFUNCTION("SPLIT(A4288, "" |"")"),4286.0)</f>
        <v>4286</v>
      </c>
      <c r="G4292" s="19">
        <f>IFERROR(__xludf.DUMMYFUNCTION("""COMPUTED_VALUE"""),0.00232)</f>
        <v>0.00232</v>
      </c>
      <c r="H4292" s="19" t="str">
        <f>IFERROR(__xludf.DUMMYFUNCTION("""COMPUTED_VALUE"""),"-")</f>
        <v>-</v>
      </c>
      <c r="I4292" s="19">
        <f>IFERROR(__xludf.DUMMYFUNCTION("""COMPUTED_VALUE"""),0.00221)</f>
        <v>0.00221</v>
      </c>
      <c r="J4292" s="19">
        <f>IFERROR(__xludf.DUMMYFUNCTION("""COMPUTED_VALUE"""),0.04745)</f>
        <v>0.04745</v>
      </c>
      <c r="K4292" s="19" t="str">
        <f>IFERROR(__xludf.DUMMYFUNCTION("""COMPUTED_VALUE"""),"-")</f>
        <v>-</v>
      </c>
      <c r="L4292" s="19" t="str">
        <f>IFERROR(__xludf.DUMMYFUNCTION("""COMPUTED_VALUE"""),"-")</f>
        <v>-</v>
      </c>
      <c r="O4292" s="24">
        <f t="shared" si="4"/>
        <v>0</v>
      </c>
      <c r="P4292" s="24"/>
      <c r="Q4292" s="24">
        <f t="shared" si="6"/>
        <v>0</v>
      </c>
      <c r="R4292" s="24">
        <f t="shared" si="7"/>
        <v>0</v>
      </c>
      <c r="S4292" s="24"/>
      <c r="T4292" s="24"/>
    </row>
    <row r="4293">
      <c r="A4293" s="12" t="s">
        <v>4380</v>
      </c>
      <c r="F4293" s="19">
        <f>IFERROR(__xludf.DUMMYFUNCTION("SPLIT(A4289, "" |"")"),4287.0)</f>
        <v>4287</v>
      </c>
      <c r="G4293" s="19">
        <f>IFERROR(__xludf.DUMMYFUNCTION("""COMPUTED_VALUE"""),0.00231)</f>
        <v>0.00231</v>
      </c>
      <c r="H4293" s="19" t="str">
        <f>IFERROR(__xludf.DUMMYFUNCTION("""COMPUTED_VALUE"""),"-")</f>
        <v>-</v>
      </c>
      <c r="I4293" s="19">
        <f>IFERROR(__xludf.DUMMYFUNCTION("""COMPUTED_VALUE"""),0.00225)</f>
        <v>0.00225</v>
      </c>
      <c r="J4293" s="19">
        <f>IFERROR(__xludf.DUMMYFUNCTION("""COMPUTED_VALUE"""),0.04744)</f>
        <v>0.04744</v>
      </c>
      <c r="K4293" s="19" t="str">
        <f>IFERROR(__xludf.DUMMYFUNCTION("""COMPUTED_VALUE"""),"-")</f>
        <v>-</v>
      </c>
      <c r="L4293" s="19" t="str">
        <f>IFERROR(__xludf.DUMMYFUNCTION("""COMPUTED_VALUE"""),"-")</f>
        <v>-</v>
      </c>
      <c r="O4293" s="24">
        <f t="shared" si="4"/>
        <v>0</v>
      </c>
      <c r="P4293" s="24"/>
      <c r="Q4293" s="24">
        <f t="shared" si="6"/>
        <v>0</v>
      </c>
      <c r="R4293" s="24">
        <f t="shared" si="7"/>
        <v>0</v>
      </c>
      <c r="S4293" s="24"/>
      <c r="T4293" s="24"/>
    </row>
    <row r="4294">
      <c r="A4294" s="12" t="s">
        <v>4381</v>
      </c>
      <c r="F4294" s="19">
        <f>IFERROR(__xludf.DUMMYFUNCTION("SPLIT(A4290, "" |"")"),4288.0)</f>
        <v>4288</v>
      </c>
      <c r="G4294" s="19">
        <f>IFERROR(__xludf.DUMMYFUNCTION("""COMPUTED_VALUE"""),0.00232)</f>
        <v>0.00232</v>
      </c>
      <c r="H4294" s="19" t="str">
        <f>IFERROR(__xludf.DUMMYFUNCTION("""COMPUTED_VALUE"""),"-")</f>
        <v>-</v>
      </c>
      <c r="I4294" s="19">
        <f>IFERROR(__xludf.DUMMYFUNCTION("""COMPUTED_VALUE"""),0.00219)</f>
        <v>0.00219</v>
      </c>
      <c r="J4294" s="19">
        <f>IFERROR(__xludf.DUMMYFUNCTION("""COMPUTED_VALUE"""),0.04744)</f>
        <v>0.04744</v>
      </c>
      <c r="K4294" s="19" t="str">
        <f>IFERROR(__xludf.DUMMYFUNCTION("""COMPUTED_VALUE"""),"-")</f>
        <v>-</v>
      </c>
      <c r="L4294" s="19" t="str">
        <f>IFERROR(__xludf.DUMMYFUNCTION("""COMPUTED_VALUE"""),"-")</f>
        <v>-</v>
      </c>
      <c r="O4294" s="24">
        <f t="shared" si="4"/>
        <v>0</v>
      </c>
      <c r="P4294" s="24"/>
      <c r="Q4294" s="24">
        <f t="shared" si="6"/>
        <v>0</v>
      </c>
      <c r="R4294" s="24">
        <f t="shared" si="7"/>
        <v>0</v>
      </c>
      <c r="S4294" s="24"/>
      <c r="T4294" s="24"/>
    </row>
    <row r="4295">
      <c r="A4295" s="12" t="s">
        <v>4382</v>
      </c>
      <c r="F4295" s="19">
        <f>IFERROR(__xludf.DUMMYFUNCTION("SPLIT(A4291, "" |"")"),4289.0)</f>
        <v>4289</v>
      </c>
      <c r="G4295" s="19">
        <f>IFERROR(__xludf.DUMMYFUNCTION("""COMPUTED_VALUE"""),0.00205)</f>
        <v>0.00205</v>
      </c>
      <c r="H4295" s="19" t="str">
        <f>IFERROR(__xludf.DUMMYFUNCTION("""COMPUTED_VALUE"""),"-")</f>
        <v>-</v>
      </c>
      <c r="I4295" s="19">
        <f>IFERROR(__xludf.DUMMYFUNCTION("""COMPUTED_VALUE"""),0.00222)</f>
        <v>0.00222</v>
      </c>
      <c r="J4295" s="19">
        <f>IFERROR(__xludf.DUMMYFUNCTION("""COMPUTED_VALUE"""),0.04747)</f>
        <v>0.04747</v>
      </c>
      <c r="K4295" s="19" t="str">
        <f>IFERROR(__xludf.DUMMYFUNCTION("""COMPUTED_VALUE"""),"-")</f>
        <v>-</v>
      </c>
      <c r="L4295" s="19" t="str">
        <f>IFERROR(__xludf.DUMMYFUNCTION("""COMPUTED_VALUE"""),"-")</f>
        <v>-</v>
      </c>
      <c r="O4295" s="24">
        <f t="shared" si="4"/>
        <v>0</v>
      </c>
      <c r="P4295" s="24"/>
      <c r="Q4295" s="24">
        <f t="shared" si="6"/>
        <v>0</v>
      </c>
      <c r="R4295" s="24">
        <f t="shared" si="7"/>
        <v>0</v>
      </c>
      <c r="S4295" s="24"/>
      <c r="T4295" s="24"/>
    </row>
    <row r="4296">
      <c r="A4296" s="12" t="s">
        <v>4383</v>
      </c>
      <c r="F4296" s="19">
        <f>IFERROR(__xludf.DUMMYFUNCTION("SPLIT(A4292, "" |"")"),4290.0)</f>
        <v>4290</v>
      </c>
      <c r="G4296" s="19">
        <f>IFERROR(__xludf.DUMMYFUNCTION("""COMPUTED_VALUE"""),0.00239)</f>
        <v>0.00239</v>
      </c>
      <c r="H4296" s="19" t="str">
        <f>IFERROR(__xludf.DUMMYFUNCTION("""COMPUTED_VALUE"""),"-")</f>
        <v>-</v>
      </c>
      <c r="I4296" s="19">
        <f>IFERROR(__xludf.DUMMYFUNCTION("""COMPUTED_VALUE"""),0.00218)</f>
        <v>0.00218</v>
      </c>
      <c r="J4296" s="19">
        <f>IFERROR(__xludf.DUMMYFUNCTION("""COMPUTED_VALUE"""),0.04745)</f>
        <v>0.04745</v>
      </c>
      <c r="K4296" s="19" t="str">
        <f>IFERROR(__xludf.DUMMYFUNCTION("""COMPUTED_VALUE"""),"-")</f>
        <v>-</v>
      </c>
      <c r="L4296" s="19" t="str">
        <f>IFERROR(__xludf.DUMMYFUNCTION("""COMPUTED_VALUE"""),"-")</f>
        <v>-</v>
      </c>
      <c r="O4296" s="24">
        <f t="shared" si="4"/>
        <v>0</v>
      </c>
      <c r="P4296" s="24"/>
      <c r="Q4296" s="24">
        <f t="shared" si="6"/>
        <v>0</v>
      </c>
      <c r="R4296" s="24">
        <f t="shared" si="7"/>
        <v>0</v>
      </c>
      <c r="S4296" s="24"/>
      <c r="T4296" s="24"/>
    </row>
    <row r="4297">
      <c r="A4297" s="12" t="s">
        <v>4384</v>
      </c>
      <c r="F4297" s="19">
        <f>IFERROR(__xludf.DUMMYFUNCTION("SPLIT(A4293, "" |"")"),4291.0)</f>
        <v>4291</v>
      </c>
      <c r="G4297" s="19">
        <f>IFERROR(__xludf.DUMMYFUNCTION("""COMPUTED_VALUE"""),0.00229)</f>
        <v>0.00229</v>
      </c>
      <c r="H4297" s="19" t="str">
        <f>IFERROR(__xludf.DUMMYFUNCTION("""COMPUTED_VALUE"""),"-")</f>
        <v>-</v>
      </c>
      <c r="I4297" s="19">
        <f>IFERROR(__xludf.DUMMYFUNCTION("""COMPUTED_VALUE"""),0.0022)</f>
        <v>0.0022</v>
      </c>
      <c r="J4297" s="19">
        <f>IFERROR(__xludf.DUMMYFUNCTION("""COMPUTED_VALUE"""),0.04743)</f>
        <v>0.04743</v>
      </c>
      <c r="K4297" s="19" t="str">
        <f>IFERROR(__xludf.DUMMYFUNCTION("""COMPUTED_VALUE"""),"-")</f>
        <v>-</v>
      </c>
      <c r="L4297" s="19" t="str">
        <f>IFERROR(__xludf.DUMMYFUNCTION("""COMPUTED_VALUE"""),"-")</f>
        <v>-</v>
      </c>
      <c r="O4297" s="24">
        <f t="shared" si="4"/>
        <v>0</v>
      </c>
      <c r="P4297" s="24"/>
      <c r="Q4297" s="24">
        <f t="shared" si="6"/>
        <v>0</v>
      </c>
      <c r="R4297" s="24">
        <f t="shared" si="7"/>
        <v>0</v>
      </c>
      <c r="S4297" s="24"/>
      <c r="T4297" s="24"/>
    </row>
    <row r="4298">
      <c r="A4298" s="12" t="s">
        <v>4385</v>
      </c>
      <c r="F4298" s="19">
        <f>IFERROR(__xludf.DUMMYFUNCTION("SPLIT(A4294, "" |"")"),4292.0)</f>
        <v>4292</v>
      </c>
      <c r="G4298" s="19">
        <f>IFERROR(__xludf.DUMMYFUNCTION("""COMPUTED_VALUE"""),0.00235)</f>
        <v>0.00235</v>
      </c>
      <c r="H4298" s="19" t="str">
        <f>IFERROR(__xludf.DUMMYFUNCTION("""COMPUTED_VALUE"""),"-")</f>
        <v>-</v>
      </c>
      <c r="I4298" s="19">
        <f>IFERROR(__xludf.DUMMYFUNCTION("""COMPUTED_VALUE"""),0.00222)</f>
        <v>0.00222</v>
      </c>
      <c r="J4298" s="19">
        <f>IFERROR(__xludf.DUMMYFUNCTION("""COMPUTED_VALUE"""),0.04747)</f>
        <v>0.04747</v>
      </c>
      <c r="K4298" s="19" t="str">
        <f>IFERROR(__xludf.DUMMYFUNCTION("""COMPUTED_VALUE"""),"-")</f>
        <v>-</v>
      </c>
      <c r="L4298" s="19" t="str">
        <f>IFERROR(__xludf.DUMMYFUNCTION("""COMPUTED_VALUE"""),"-")</f>
        <v>-</v>
      </c>
      <c r="O4298" s="24">
        <f t="shared" si="4"/>
        <v>0</v>
      </c>
      <c r="P4298" s="24"/>
      <c r="Q4298" s="24">
        <f t="shared" si="6"/>
        <v>0</v>
      </c>
      <c r="R4298" s="24">
        <f t="shared" si="7"/>
        <v>0</v>
      </c>
      <c r="S4298" s="24"/>
      <c r="T4298" s="24"/>
    </row>
    <row r="4299">
      <c r="A4299" s="12" t="s">
        <v>4386</v>
      </c>
      <c r="F4299" s="19">
        <f>IFERROR(__xludf.DUMMYFUNCTION("SPLIT(A4295, "" |"")"),4293.0)</f>
        <v>4293</v>
      </c>
      <c r="G4299" s="19">
        <f>IFERROR(__xludf.DUMMYFUNCTION("""COMPUTED_VALUE"""),0.00234)</f>
        <v>0.00234</v>
      </c>
      <c r="H4299" s="19" t="str">
        <f>IFERROR(__xludf.DUMMYFUNCTION("""COMPUTED_VALUE"""),"-")</f>
        <v>-</v>
      </c>
      <c r="I4299" s="19">
        <f>IFERROR(__xludf.DUMMYFUNCTION("""COMPUTED_VALUE"""),0.00223)</f>
        <v>0.00223</v>
      </c>
      <c r="J4299" s="19">
        <f>IFERROR(__xludf.DUMMYFUNCTION("""COMPUTED_VALUE"""),0.04734)</f>
        <v>0.04734</v>
      </c>
      <c r="K4299" s="19" t="str">
        <f>IFERROR(__xludf.DUMMYFUNCTION("""COMPUTED_VALUE"""),"-")</f>
        <v>-</v>
      </c>
      <c r="L4299" s="19" t="str">
        <f>IFERROR(__xludf.DUMMYFUNCTION("""COMPUTED_VALUE"""),"-")</f>
        <v>-</v>
      </c>
      <c r="O4299" s="24">
        <f t="shared" si="4"/>
        <v>0</v>
      </c>
      <c r="P4299" s="24"/>
      <c r="Q4299" s="24">
        <f t="shared" si="6"/>
        <v>0</v>
      </c>
      <c r="R4299" s="24">
        <f t="shared" si="7"/>
        <v>0</v>
      </c>
      <c r="S4299" s="24"/>
      <c r="T4299" s="24"/>
    </row>
    <row r="4300">
      <c r="A4300" s="12" t="s">
        <v>4387</v>
      </c>
      <c r="F4300" s="19">
        <f>IFERROR(__xludf.DUMMYFUNCTION("SPLIT(A4296, "" |"")"),4294.0)</f>
        <v>4294</v>
      </c>
      <c r="G4300" s="19">
        <f>IFERROR(__xludf.DUMMYFUNCTION("""COMPUTED_VALUE"""),0.00235)</f>
        <v>0.00235</v>
      </c>
      <c r="H4300" s="19" t="str">
        <f>IFERROR(__xludf.DUMMYFUNCTION("""COMPUTED_VALUE"""),"-")</f>
        <v>-</v>
      </c>
      <c r="I4300" s="19">
        <f>IFERROR(__xludf.DUMMYFUNCTION("""COMPUTED_VALUE"""),0.00223)</f>
        <v>0.00223</v>
      </c>
      <c r="J4300" s="19">
        <f>IFERROR(__xludf.DUMMYFUNCTION("""COMPUTED_VALUE"""),0.04744)</f>
        <v>0.04744</v>
      </c>
      <c r="K4300" s="19" t="str">
        <f>IFERROR(__xludf.DUMMYFUNCTION("""COMPUTED_VALUE"""),"-")</f>
        <v>-</v>
      </c>
      <c r="L4300" s="19" t="str">
        <f>IFERROR(__xludf.DUMMYFUNCTION("""COMPUTED_VALUE"""),"-")</f>
        <v>-</v>
      </c>
      <c r="O4300" s="24">
        <f t="shared" si="4"/>
        <v>0</v>
      </c>
      <c r="P4300" s="24"/>
      <c r="Q4300" s="24">
        <f t="shared" si="6"/>
        <v>0</v>
      </c>
      <c r="R4300" s="24">
        <f t="shared" si="7"/>
        <v>0</v>
      </c>
      <c r="S4300" s="24"/>
      <c r="T4300" s="24"/>
    </row>
    <row r="4301">
      <c r="A4301" s="12" t="s">
        <v>4388</v>
      </c>
      <c r="F4301" s="19">
        <f>IFERROR(__xludf.DUMMYFUNCTION("SPLIT(A4297, "" |"")"),4295.0)</f>
        <v>4295</v>
      </c>
      <c r="G4301" s="19">
        <f>IFERROR(__xludf.DUMMYFUNCTION("""COMPUTED_VALUE"""),0.00231)</f>
        <v>0.00231</v>
      </c>
      <c r="H4301" s="19" t="str">
        <f>IFERROR(__xludf.DUMMYFUNCTION("""COMPUTED_VALUE"""),"-")</f>
        <v>-</v>
      </c>
      <c r="I4301" s="19">
        <f>IFERROR(__xludf.DUMMYFUNCTION("""COMPUTED_VALUE"""),0.00219)</f>
        <v>0.00219</v>
      </c>
      <c r="J4301" s="19">
        <f>IFERROR(__xludf.DUMMYFUNCTION("""COMPUTED_VALUE"""),0.04747)</f>
        <v>0.04747</v>
      </c>
      <c r="K4301" s="19" t="str">
        <f>IFERROR(__xludf.DUMMYFUNCTION("""COMPUTED_VALUE"""),"-")</f>
        <v>-</v>
      </c>
      <c r="L4301" s="19" t="str">
        <f>IFERROR(__xludf.DUMMYFUNCTION("""COMPUTED_VALUE"""),"-")</f>
        <v>-</v>
      </c>
      <c r="O4301" s="24">
        <f t="shared" si="4"/>
        <v>0</v>
      </c>
      <c r="P4301" s="24"/>
      <c r="Q4301" s="24">
        <f t="shared" si="6"/>
        <v>0</v>
      </c>
      <c r="R4301" s="24">
        <f t="shared" si="7"/>
        <v>0</v>
      </c>
      <c r="S4301" s="24"/>
      <c r="T4301" s="24"/>
    </row>
    <row r="4302">
      <c r="A4302" s="12" t="s">
        <v>4389</v>
      </c>
      <c r="F4302" s="19">
        <f>IFERROR(__xludf.DUMMYFUNCTION("SPLIT(A4298, "" |"")"),4296.0)</f>
        <v>4296</v>
      </c>
      <c r="G4302" s="19">
        <f>IFERROR(__xludf.DUMMYFUNCTION("""COMPUTED_VALUE"""),0.00233)</f>
        <v>0.00233</v>
      </c>
      <c r="H4302" s="19" t="str">
        <f>IFERROR(__xludf.DUMMYFUNCTION("""COMPUTED_VALUE"""),"-")</f>
        <v>-</v>
      </c>
      <c r="I4302" s="19">
        <f>IFERROR(__xludf.DUMMYFUNCTION("""COMPUTED_VALUE"""),0.00222)</f>
        <v>0.00222</v>
      </c>
      <c r="J4302" s="19">
        <f>IFERROR(__xludf.DUMMYFUNCTION("""COMPUTED_VALUE"""),0.04743)</f>
        <v>0.04743</v>
      </c>
      <c r="K4302" s="19" t="str">
        <f>IFERROR(__xludf.DUMMYFUNCTION("""COMPUTED_VALUE"""),"-")</f>
        <v>-</v>
      </c>
      <c r="L4302" s="19" t="str">
        <f>IFERROR(__xludf.DUMMYFUNCTION("""COMPUTED_VALUE"""),"-")</f>
        <v>-</v>
      </c>
      <c r="O4302" s="24">
        <f t="shared" si="4"/>
        <v>0</v>
      </c>
      <c r="P4302" s="24"/>
      <c r="Q4302" s="24">
        <f t="shared" si="6"/>
        <v>0</v>
      </c>
      <c r="R4302" s="24">
        <f t="shared" si="7"/>
        <v>0</v>
      </c>
      <c r="S4302" s="24"/>
      <c r="T4302" s="24"/>
    </row>
    <row r="4303">
      <c r="A4303" s="12" t="s">
        <v>4390</v>
      </c>
      <c r="F4303" s="19">
        <f>IFERROR(__xludf.DUMMYFUNCTION("SPLIT(A4299, "" |"")"),4297.0)</f>
        <v>4297</v>
      </c>
      <c r="G4303" s="19">
        <f>IFERROR(__xludf.DUMMYFUNCTION("""COMPUTED_VALUE"""),0.00238)</f>
        <v>0.00238</v>
      </c>
      <c r="H4303" s="19" t="str">
        <f>IFERROR(__xludf.DUMMYFUNCTION("""COMPUTED_VALUE"""),"-")</f>
        <v>-</v>
      </c>
      <c r="I4303" s="19">
        <f>IFERROR(__xludf.DUMMYFUNCTION("""COMPUTED_VALUE"""),0.00217)</f>
        <v>0.00217</v>
      </c>
      <c r="J4303" s="19">
        <f>IFERROR(__xludf.DUMMYFUNCTION("""COMPUTED_VALUE"""),0.04731)</f>
        <v>0.04731</v>
      </c>
      <c r="K4303" s="19" t="str">
        <f>IFERROR(__xludf.DUMMYFUNCTION("""COMPUTED_VALUE"""),"-")</f>
        <v>-</v>
      </c>
      <c r="L4303" s="19" t="str">
        <f>IFERROR(__xludf.DUMMYFUNCTION("""COMPUTED_VALUE"""),"-")</f>
        <v>-</v>
      </c>
      <c r="O4303" s="24">
        <f t="shared" si="4"/>
        <v>0</v>
      </c>
      <c r="P4303" s="24"/>
      <c r="Q4303" s="24">
        <f t="shared" si="6"/>
        <v>0</v>
      </c>
      <c r="R4303" s="24">
        <f t="shared" si="7"/>
        <v>0</v>
      </c>
      <c r="S4303" s="24"/>
      <c r="T4303" s="24"/>
    </row>
    <row r="4304">
      <c r="A4304" s="12" t="s">
        <v>4391</v>
      </c>
      <c r="F4304" s="19">
        <f>IFERROR(__xludf.DUMMYFUNCTION("SPLIT(A4300, "" |"")"),4298.0)</f>
        <v>4298</v>
      </c>
      <c r="G4304" s="19">
        <f>IFERROR(__xludf.DUMMYFUNCTION("""COMPUTED_VALUE"""),0.00243)</f>
        <v>0.00243</v>
      </c>
      <c r="H4304" s="19" t="str">
        <f>IFERROR(__xludf.DUMMYFUNCTION("""COMPUTED_VALUE"""),"-")</f>
        <v>-</v>
      </c>
      <c r="I4304" s="19">
        <f>IFERROR(__xludf.DUMMYFUNCTION("""COMPUTED_VALUE"""),0.00226)</f>
        <v>0.00226</v>
      </c>
      <c r="J4304" s="19">
        <f>IFERROR(__xludf.DUMMYFUNCTION("""COMPUTED_VALUE"""),0.04739)</f>
        <v>0.04739</v>
      </c>
      <c r="K4304" s="19" t="str">
        <f>IFERROR(__xludf.DUMMYFUNCTION("""COMPUTED_VALUE"""),"-")</f>
        <v>-</v>
      </c>
      <c r="L4304" s="19" t="str">
        <f>IFERROR(__xludf.DUMMYFUNCTION("""COMPUTED_VALUE"""),"-")</f>
        <v>-</v>
      </c>
      <c r="O4304" s="24">
        <f t="shared" si="4"/>
        <v>0</v>
      </c>
      <c r="P4304" s="24"/>
      <c r="Q4304" s="24">
        <f t="shared" si="6"/>
        <v>0</v>
      </c>
      <c r="R4304" s="24">
        <f t="shared" si="7"/>
        <v>0</v>
      </c>
      <c r="S4304" s="24"/>
      <c r="T4304" s="24"/>
    </row>
    <row r="4305">
      <c r="A4305" s="12" t="s">
        <v>4392</v>
      </c>
      <c r="F4305" s="19">
        <f>IFERROR(__xludf.DUMMYFUNCTION("SPLIT(A4301, "" |"")"),4299.0)</f>
        <v>4299</v>
      </c>
      <c r="G4305" s="19">
        <f>IFERROR(__xludf.DUMMYFUNCTION("""COMPUTED_VALUE"""),0.00236)</f>
        <v>0.00236</v>
      </c>
      <c r="H4305" s="19" t="str">
        <f>IFERROR(__xludf.DUMMYFUNCTION("""COMPUTED_VALUE"""),"-")</f>
        <v>-</v>
      </c>
      <c r="I4305" s="19">
        <f>IFERROR(__xludf.DUMMYFUNCTION("""COMPUTED_VALUE"""),0.00226)</f>
        <v>0.00226</v>
      </c>
      <c r="J4305" s="19">
        <f>IFERROR(__xludf.DUMMYFUNCTION("""COMPUTED_VALUE"""),0.04743)</f>
        <v>0.04743</v>
      </c>
      <c r="K4305" s="19" t="str">
        <f>IFERROR(__xludf.DUMMYFUNCTION("""COMPUTED_VALUE"""),"-")</f>
        <v>-</v>
      </c>
      <c r="L4305" s="19" t="str">
        <f>IFERROR(__xludf.DUMMYFUNCTION("""COMPUTED_VALUE"""),"-")</f>
        <v>-</v>
      </c>
      <c r="O4305" s="24">
        <f t="shared" si="4"/>
        <v>0</v>
      </c>
      <c r="P4305" s="24"/>
      <c r="Q4305" s="24">
        <f t="shared" si="6"/>
        <v>0</v>
      </c>
      <c r="R4305" s="24">
        <f t="shared" si="7"/>
        <v>0</v>
      </c>
      <c r="S4305" s="24"/>
      <c r="T4305" s="24"/>
    </row>
    <row r="4306">
      <c r="A4306" s="12" t="s">
        <v>4393</v>
      </c>
      <c r="F4306" s="19">
        <f>IFERROR(__xludf.DUMMYFUNCTION("SPLIT(A4302, "" |"")"),4300.0)</f>
        <v>4300</v>
      </c>
      <c r="G4306" s="19">
        <f>IFERROR(__xludf.DUMMYFUNCTION("""COMPUTED_VALUE"""),0.00218)</f>
        <v>0.00218</v>
      </c>
      <c r="H4306" s="19" t="str">
        <f>IFERROR(__xludf.DUMMYFUNCTION("""COMPUTED_VALUE"""),"-")</f>
        <v>-</v>
      </c>
      <c r="I4306" s="19">
        <f>IFERROR(__xludf.DUMMYFUNCTION("""COMPUTED_VALUE"""),0.00209)</f>
        <v>0.00209</v>
      </c>
      <c r="J4306" s="19">
        <f>IFERROR(__xludf.DUMMYFUNCTION("""COMPUTED_VALUE"""),0.04747)</f>
        <v>0.04747</v>
      </c>
      <c r="K4306" s="19" t="str">
        <f>IFERROR(__xludf.DUMMYFUNCTION("""COMPUTED_VALUE"""),"-")</f>
        <v>-</v>
      </c>
      <c r="L4306" s="19" t="str">
        <f>IFERROR(__xludf.DUMMYFUNCTION("""COMPUTED_VALUE"""),"-")</f>
        <v>-</v>
      </c>
      <c r="O4306" s="24">
        <f t="shared" si="4"/>
        <v>0</v>
      </c>
      <c r="P4306" s="24"/>
      <c r="Q4306" s="24">
        <f t="shared" si="6"/>
        <v>0</v>
      </c>
      <c r="R4306" s="24">
        <f t="shared" si="7"/>
        <v>0</v>
      </c>
      <c r="S4306" s="24"/>
      <c r="T4306" s="24"/>
    </row>
    <row r="4307">
      <c r="A4307" s="12" t="s">
        <v>4394</v>
      </c>
      <c r="F4307" s="19">
        <f>IFERROR(__xludf.DUMMYFUNCTION("SPLIT(A4303, "" |"")"),4301.0)</f>
        <v>4301</v>
      </c>
      <c r="G4307" s="19">
        <f>IFERROR(__xludf.DUMMYFUNCTION("""COMPUTED_VALUE"""),0.00237)</f>
        <v>0.00237</v>
      </c>
      <c r="H4307" s="19" t="str">
        <f>IFERROR(__xludf.DUMMYFUNCTION("""COMPUTED_VALUE"""),"-")</f>
        <v>-</v>
      </c>
      <c r="I4307" s="19">
        <f>IFERROR(__xludf.DUMMYFUNCTION("""COMPUTED_VALUE"""),0.00228)</f>
        <v>0.00228</v>
      </c>
      <c r="J4307" s="19">
        <f>IFERROR(__xludf.DUMMYFUNCTION("""COMPUTED_VALUE"""),0.04747)</f>
        <v>0.04747</v>
      </c>
      <c r="K4307" s="19" t="str">
        <f>IFERROR(__xludf.DUMMYFUNCTION("""COMPUTED_VALUE"""),"-")</f>
        <v>-</v>
      </c>
      <c r="L4307" s="19" t="str">
        <f>IFERROR(__xludf.DUMMYFUNCTION("""COMPUTED_VALUE"""),"-")</f>
        <v>-</v>
      </c>
      <c r="O4307" s="24">
        <f t="shared" si="4"/>
        <v>0</v>
      </c>
      <c r="P4307" s="24"/>
      <c r="Q4307" s="24">
        <f t="shared" si="6"/>
        <v>0</v>
      </c>
      <c r="R4307" s="24">
        <f t="shared" si="7"/>
        <v>0</v>
      </c>
      <c r="S4307" s="24"/>
      <c r="T4307" s="24"/>
    </row>
    <row r="4308">
      <c r="A4308" s="12" t="s">
        <v>4395</v>
      </c>
      <c r="F4308" s="19">
        <f>IFERROR(__xludf.DUMMYFUNCTION("SPLIT(A4304, "" |"")"),4302.0)</f>
        <v>4302</v>
      </c>
      <c r="G4308" s="19">
        <f>IFERROR(__xludf.DUMMYFUNCTION("""COMPUTED_VALUE"""),0.00236)</f>
        <v>0.00236</v>
      </c>
      <c r="H4308" s="19" t="str">
        <f>IFERROR(__xludf.DUMMYFUNCTION("""COMPUTED_VALUE"""),"-")</f>
        <v>-</v>
      </c>
      <c r="I4308" s="19">
        <f>IFERROR(__xludf.DUMMYFUNCTION("""COMPUTED_VALUE"""),0.00222)</f>
        <v>0.00222</v>
      </c>
      <c r="J4308" s="19">
        <f>IFERROR(__xludf.DUMMYFUNCTION("""COMPUTED_VALUE"""),0.04741)</f>
        <v>0.04741</v>
      </c>
      <c r="K4308" s="19" t="str">
        <f>IFERROR(__xludf.DUMMYFUNCTION("""COMPUTED_VALUE"""),"-")</f>
        <v>-</v>
      </c>
      <c r="L4308" s="19" t="str">
        <f>IFERROR(__xludf.DUMMYFUNCTION("""COMPUTED_VALUE"""),"-")</f>
        <v>-</v>
      </c>
      <c r="O4308" s="24">
        <f t="shared" si="4"/>
        <v>0</v>
      </c>
      <c r="P4308" s="24"/>
      <c r="Q4308" s="24">
        <f t="shared" si="6"/>
        <v>0</v>
      </c>
      <c r="R4308" s="24">
        <f t="shared" si="7"/>
        <v>0</v>
      </c>
      <c r="S4308" s="24"/>
      <c r="T4308" s="24"/>
    </row>
    <row r="4309">
      <c r="A4309" s="12" t="s">
        <v>4396</v>
      </c>
      <c r="F4309" s="19">
        <f>IFERROR(__xludf.DUMMYFUNCTION("SPLIT(A4305, "" |"")"),4303.0)</f>
        <v>4303</v>
      </c>
      <c r="G4309" s="19">
        <f>IFERROR(__xludf.DUMMYFUNCTION("""COMPUTED_VALUE"""),0.00237)</f>
        <v>0.00237</v>
      </c>
      <c r="H4309" s="19" t="str">
        <f>IFERROR(__xludf.DUMMYFUNCTION("""COMPUTED_VALUE"""),"-")</f>
        <v>-</v>
      </c>
      <c r="I4309" s="19">
        <f>IFERROR(__xludf.DUMMYFUNCTION("""COMPUTED_VALUE"""),0.00224)</f>
        <v>0.00224</v>
      </c>
      <c r="J4309" s="19">
        <f>IFERROR(__xludf.DUMMYFUNCTION("""COMPUTED_VALUE"""),0.04372)</f>
        <v>0.04372</v>
      </c>
      <c r="K4309" s="19" t="str">
        <f>IFERROR(__xludf.DUMMYFUNCTION("""COMPUTED_VALUE"""),"-")</f>
        <v>-</v>
      </c>
      <c r="L4309" s="19" t="str">
        <f>IFERROR(__xludf.DUMMYFUNCTION("""COMPUTED_VALUE"""),"-")</f>
        <v>-</v>
      </c>
      <c r="O4309" s="24">
        <f t="shared" si="4"/>
        <v>0</v>
      </c>
      <c r="P4309" s="24"/>
      <c r="Q4309" s="24">
        <f t="shared" si="6"/>
        <v>0</v>
      </c>
      <c r="R4309" s="24">
        <f t="shared" si="7"/>
        <v>1</v>
      </c>
      <c r="S4309" s="24"/>
      <c r="T4309" s="24"/>
    </row>
    <row r="4310">
      <c r="A4310" s="12" t="s">
        <v>4397</v>
      </c>
      <c r="F4310" s="19">
        <f>IFERROR(__xludf.DUMMYFUNCTION("SPLIT(A4306, "" |"")"),4304.0)</f>
        <v>4304</v>
      </c>
      <c r="G4310" s="19">
        <f>IFERROR(__xludf.DUMMYFUNCTION("""COMPUTED_VALUE"""),0.00228)</f>
        <v>0.00228</v>
      </c>
      <c r="H4310" s="19" t="str">
        <f>IFERROR(__xludf.DUMMYFUNCTION("""COMPUTED_VALUE"""),"-")</f>
        <v>-</v>
      </c>
      <c r="I4310" s="19">
        <f>IFERROR(__xludf.DUMMYFUNCTION("""COMPUTED_VALUE"""),0.00221)</f>
        <v>0.00221</v>
      </c>
      <c r="J4310" s="19">
        <f>IFERROR(__xludf.DUMMYFUNCTION("""COMPUTED_VALUE"""),0.04746)</f>
        <v>0.04746</v>
      </c>
      <c r="K4310" s="19" t="str">
        <f>IFERROR(__xludf.DUMMYFUNCTION("""COMPUTED_VALUE"""),"-")</f>
        <v>-</v>
      </c>
      <c r="L4310" s="19" t="str">
        <f>IFERROR(__xludf.DUMMYFUNCTION("""COMPUTED_VALUE"""),"-")</f>
        <v>-</v>
      </c>
      <c r="O4310" s="24">
        <f t="shared" si="4"/>
        <v>0</v>
      </c>
      <c r="P4310" s="24"/>
      <c r="Q4310" s="24">
        <f t="shared" si="6"/>
        <v>0</v>
      </c>
      <c r="R4310" s="24">
        <f t="shared" si="7"/>
        <v>0</v>
      </c>
      <c r="S4310" s="24"/>
      <c r="T4310" s="24"/>
    </row>
    <row r="4311">
      <c r="A4311" s="12" t="s">
        <v>4398</v>
      </c>
      <c r="F4311" s="19">
        <f>IFERROR(__xludf.DUMMYFUNCTION("SPLIT(A4307, "" |"")"),4305.0)</f>
        <v>4305</v>
      </c>
      <c r="G4311" s="19">
        <f>IFERROR(__xludf.DUMMYFUNCTION("""COMPUTED_VALUE"""),0.00234)</f>
        <v>0.00234</v>
      </c>
      <c r="H4311" s="19" t="str">
        <f>IFERROR(__xludf.DUMMYFUNCTION("""COMPUTED_VALUE"""),"-")</f>
        <v>-</v>
      </c>
      <c r="I4311" s="19">
        <f>IFERROR(__xludf.DUMMYFUNCTION("""COMPUTED_VALUE"""),0.00222)</f>
        <v>0.00222</v>
      </c>
      <c r="J4311" s="19">
        <f>IFERROR(__xludf.DUMMYFUNCTION("""COMPUTED_VALUE"""),0.04744)</f>
        <v>0.04744</v>
      </c>
      <c r="K4311" s="19" t="str">
        <f>IFERROR(__xludf.DUMMYFUNCTION("""COMPUTED_VALUE"""),"-")</f>
        <v>-</v>
      </c>
      <c r="L4311" s="19" t="str">
        <f>IFERROR(__xludf.DUMMYFUNCTION("""COMPUTED_VALUE"""),"-")</f>
        <v>-</v>
      </c>
      <c r="O4311" s="24">
        <f t="shared" si="4"/>
        <v>0</v>
      </c>
      <c r="P4311" s="24"/>
      <c r="Q4311" s="24">
        <f t="shared" si="6"/>
        <v>0</v>
      </c>
      <c r="R4311" s="24">
        <f t="shared" si="7"/>
        <v>0</v>
      </c>
      <c r="S4311" s="24"/>
      <c r="T4311" s="24"/>
    </row>
    <row r="4312">
      <c r="A4312" s="12" t="s">
        <v>4399</v>
      </c>
      <c r="F4312" s="19">
        <f>IFERROR(__xludf.DUMMYFUNCTION("SPLIT(A4308, "" |"")"),4306.0)</f>
        <v>4306</v>
      </c>
      <c r="G4312" s="19">
        <f>IFERROR(__xludf.DUMMYFUNCTION("""COMPUTED_VALUE"""),0.00235)</f>
        <v>0.00235</v>
      </c>
      <c r="H4312" s="19" t="str">
        <f>IFERROR(__xludf.DUMMYFUNCTION("""COMPUTED_VALUE"""),"-")</f>
        <v>-</v>
      </c>
      <c r="I4312" s="19">
        <f>IFERROR(__xludf.DUMMYFUNCTION("""COMPUTED_VALUE"""),0.00219)</f>
        <v>0.00219</v>
      </c>
      <c r="J4312" s="19">
        <f>IFERROR(__xludf.DUMMYFUNCTION("""COMPUTED_VALUE"""),0.04737)</f>
        <v>0.04737</v>
      </c>
      <c r="K4312" s="19" t="str">
        <f>IFERROR(__xludf.DUMMYFUNCTION("""COMPUTED_VALUE"""),"-")</f>
        <v>-</v>
      </c>
      <c r="L4312" s="19" t="str">
        <f>IFERROR(__xludf.DUMMYFUNCTION("""COMPUTED_VALUE"""),"-")</f>
        <v>-</v>
      </c>
      <c r="O4312" s="24">
        <f t="shared" si="4"/>
        <v>0</v>
      </c>
      <c r="P4312" s="24"/>
      <c r="Q4312" s="24">
        <f t="shared" si="6"/>
        <v>0</v>
      </c>
      <c r="R4312" s="24">
        <f t="shared" si="7"/>
        <v>0</v>
      </c>
      <c r="S4312" s="24"/>
      <c r="T4312" s="24"/>
    </row>
    <row r="4313">
      <c r="A4313" s="12" t="s">
        <v>4400</v>
      </c>
      <c r="F4313" s="19">
        <f>IFERROR(__xludf.DUMMYFUNCTION("SPLIT(A4309, "" |"")"),4307.0)</f>
        <v>4307</v>
      </c>
      <c r="G4313" s="19">
        <f>IFERROR(__xludf.DUMMYFUNCTION("""COMPUTED_VALUE"""),0.00231)</f>
        <v>0.00231</v>
      </c>
      <c r="H4313" s="19" t="str">
        <f>IFERROR(__xludf.DUMMYFUNCTION("""COMPUTED_VALUE"""),"-")</f>
        <v>-</v>
      </c>
      <c r="I4313" s="19">
        <f>IFERROR(__xludf.DUMMYFUNCTION("""COMPUTED_VALUE"""),0.00225)</f>
        <v>0.00225</v>
      </c>
      <c r="J4313" s="19">
        <f>IFERROR(__xludf.DUMMYFUNCTION("""COMPUTED_VALUE"""),0.04747)</f>
        <v>0.04747</v>
      </c>
      <c r="K4313" s="19" t="str">
        <f>IFERROR(__xludf.DUMMYFUNCTION("""COMPUTED_VALUE"""),"-")</f>
        <v>-</v>
      </c>
      <c r="L4313" s="19" t="str">
        <f>IFERROR(__xludf.DUMMYFUNCTION("""COMPUTED_VALUE"""),"-")</f>
        <v>-</v>
      </c>
      <c r="O4313" s="24">
        <f t="shared" si="4"/>
        <v>0</v>
      </c>
      <c r="P4313" s="24"/>
      <c r="Q4313" s="24">
        <f t="shared" si="6"/>
        <v>0</v>
      </c>
      <c r="R4313" s="24">
        <f t="shared" si="7"/>
        <v>0</v>
      </c>
      <c r="S4313" s="24"/>
      <c r="T4313" s="24"/>
    </row>
    <row r="4314">
      <c r="A4314" s="12" t="s">
        <v>4401</v>
      </c>
      <c r="F4314" s="19">
        <f>IFERROR(__xludf.DUMMYFUNCTION("SPLIT(A4310, "" |"")"),4308.0)</f>
        <v>4308</v>
      </c>
      <c r="G4314" s="19">
        <f>IFERROR(__xludf.DUMMYFUNCTION("""COMPUTED_VALUE"""),0.00234)</f>
        <v>0.00234</v>
      </c>
      <c r="H4314" s="19" t="str">
        <f>IFERROR(__xludf.DUMMYFUNCTION("""COMPUTED_VALUE"""),"-")</f>
        <v>-</v>
      </c>
      <c r="I4314" s="19">
        <f>IFERROR(__xludf.DUMMYFUNCTION("""COMPUTED_VALUE"""),0.0022)</f>
        <v>0.0022</v>
      </c>
      <c r="J4314" s="19">
        <f>IFERROR(__xludf.DUMMYFUNCTION("""COMPUTED_VALUE"""),0.03848)</f>
        <v>0.03848</v>
      </c>
      <c r="K4314" s="19" t="str">
        <f>IFERROR(__xludf.DUMMYFUNCTION("""COMPUTED_VALUE"""),"-")</f>
        <v>-</v>
      </c>
      <c r="L4314" s="19" t="str">
        <f>IFERROR(__xludf.DUMMYFUNCTION("""COMPUTED_VALUE"""),"-")</f>
        <v>-</v>
      </c>
      <c r="O4314" s="24">
        <f t="shared" si="4"/>
        <v>0</v>
      </c>
      <c r="P4314" s="24"/>
      <c r="Q4314" s="24">
        <f t="shared" si="6"/>
        <v>0</v>
      </c>
      <c r="R4314" s="24">
        <f t="shared" si="7"/>
        <v>1</v>
      </c>
      <c r="S4314" s="24"/>
      <c r="T4314" s="24"/>
    </row>
    <row r="4315">
      <c r="A4315" s="12" t="s">
        <v>4402</v>
      </c>
      <c r="F4315" s="19">
        <f>IFERROR(__xludf.DUMMYFUNCTION("SPLIT(A4311, "" |"")"),4309.0)</f>
        <v>4309</v>
      </c>
      <c r="G4315" s="19">
        <f>IFERROR(__xludf.DUMMYFUNCTION("""COMPUTED_VALUE"""),0.0023)</f>
        <v>0.0023</v>
      </c>
      <c r="H4315" s="19" t="str">
        <f>IFERROR(__xludf.DUMMYFUNCTION("""COMPUTED_VALUE"""),"-")</f>
        <v>-</v>
      </c>
      <c r="I4315" s="19">
        <f>IFERROR(__xludf.DUMMYFUNCTION("""COMPUTED_VALUE"""),0.00219)</f>
        <v>0.00219</v>
      </c>
      <c r="J4315" s="19">
        <f>IFERROR(__xludf.DUMMYFUNCTION("""COMPUTED_VALUE"""),0.04745)</f>
        <v>0.04745</v>
      </c>
      <c r="K4315" s="19" t="str">
        <f>IFERROR(__xludf.DUMMYFUNCTION("""COMPUTED_VALUE"""),"-")</f>
        <v>-</v>
      </c>
      <c r="L4315" s="19" t="str">
        <f>IFERROR(__xludf.DUMMYFUNCTION("""COMPUTED_VALUE"""),"-")</f>
        <v>-</v>
      </c>
      <c r="O4315" s="24">
        <f t="shared" si="4"/>
        <v>0</v>
      </c>
      <c r="P4315" s="24"/>
      <c r="Q4315" s="24">
        <f t="shared" si="6"/>
        <v>0</v>
      </c>
      <c r="R4315" s="24">
        <f t="shared" si="7"/>
        <v>0</v>
      </c>
      <c r="S4315" s="24"/>
      <c r="T4315" s="24"/>
    </row>
    <row r="4316">
      <c r="A4316" s="12" t="s">
        <v>4403</v>
      </c>
      <c r="F4316" s="19">
        <f>IFERROR(__xludf.DUMMYFUNCTION("SPLIT(A4312, "" |"")"),4310.0)</f>
        <v>4310</v>
      </c>
      <c r="G4316" s="19">
        <f>IFERROR(__xludf.DUMMYFUNCTION("""COMPUTED_VALUE"""),0.00234)</f>
        <v>0.00234</v>
      </c>
      <c r="H4316" s="19" t="str">
        <f>IFERROR(__xludf.DUMMYFUNCTION("""COMPUTED_VALUE"""),"-")</f>
        <v>-</v>
      </c>
      <c r="I4316" s="19">
        <f>IFERROR(__xludf.DUMMYFUNCTION("""COMPUTED_VALUE"""),0.00222)</f>
        <v>0.00222</v>
      </c>
      <c r="J4316" s="19">
        <f>IFERROR(__xludf.DUMMYFUNCTION("""COMPUTED_VALUE"""),0.04746)</f>
        <v>0.04746</v>
      </c>
      <c r="K4316" s="19" t="str">
        <f>IFERROR(__xludf.DUMMYFUNCTION("""COMPUTED_VALUE"""),"-")</f>
        <v>-</v>
      </c>
      <c r="L4316" s="19" t="str">
        <f>IFERROR(__xludf.DUMMYFUNCTION("""COMPUTED_VALUE"""),"-")</f>
        <v>-</v>
      </c>
      <c r="O4316" s="24">
        <f t="shared" si="4"/>
        <v>0</v>
      </c>
      <c r="P4316" s="24"/>
      <c r="Q4316" s="24">
        <f t="shared" si="6"/>
        <v>0</v>
      </c>
      <c r="R4316" s="24">
        <f t="shared" si="7"/>
        <v>0</v>
      </c>
      <c r="S4316" s="24"/>
      <c r="T4316" s="24"/>
    </row>
    <row r="4317">
      <c r="A4317" s="12" t="s">
        <v>4404</v>
      </c>
      <c r="F4317" s="19">
        <f>IFERROR(__xludf.DUMMYFUNCTION("SPLIT(A4313, "" |"")"),4311.0)</f>
        <v>4311</v>
      </c>
      <c r="G4317" s="19">
        <f>IFERROR(__xludf.DUMMYFUNCTION("""COMPUTED_VALUE"""),0.00234)</f>
        <v>0.00234</v>
      </c>
      <c r="H4317" s="19" t="str">
        <f>IFERROR(__xludf.DUMMYFUNCTION("""COMPUTED_VALUE"""),"-")</f>
        <v>-</v>
      </c>
      <c r="I4317" s="19">
        <f>IFERROR(__xludf.DUMMYFUNCTION("""COMPUTED_VALUE"""),0.00223)</f>
        <v>0.00223</v>
      </c>
      <c r="J4317" s="19">
        <f>IFERROR(__xludf.DUMMYFUNCTION("""COMPUTED_VALUE"""),0.04743)</f>
        <v>0.04743</v>
      </c>
      <c r="K4317" s="19" t="str">
        <f>IFERROR(__xludf.DUMMYFUNCTION("""COMPUTED_VALUE"""),"-")</f>
        <v>-</v>
      </c>
      <c r="L4317" s="19" t="str">
        <f>IFERROR(__xludf.DUMMYFUNCTION("""COMPUTED_VALUE"""),"-")</f>
        <v>-</v>
      </c>
      <c r="O4317" s="24">
        <f t="shared" si="4"/>
        <v>0</v>
      </c>
      <c r="P4317" s="24"/>
      <c r="Q4317" s="24">
        <f t="shared" si="6"/>
        <v>0</v>
      </c>
      <c r="R4317" s="24">
        <f t="shared" si="7"/>
        <v>0</v>
      </c>
      <c r="S4317" s="24"/>
      <c r="T4317" s="24"/>
    </row>
    <row r="4318">
      <c r="A4318" s="12" t="s">
        <v>4405</v>
      </c>
      <c r="F4318" s="19">
        <f>IFERROR(__xludf.DUMMYFUNCTION("SPLIT(A4314, "" |"")"),4312.0)</f>
        <v>4312</v>
      </c>
      <c r="G4318" s="19">
        <f>IFERROR(__xludf.DUMMYFUNCTION("""COMPUTED_VALUE"""),0.00221)</f>
        <v>0.00221</v>
      </c>
      <c r="H4318" s="19" t="str">
        <f>IFERROR(__xludf.DUMMYFUNCTION("""COMPUTED_VALUE"""),"-")</f>
        <v>-</v>
      </c>
      <c r="I4318" s="19">
        <f>IFERROR(__xludf.DUMMYFUNCTION("""COMPUTED_VALUE"""),0.00216)</f>
        <v>0.00216</v>
      </c>
      <c r="J4318" s="19">
        <f>IFERROR(__xludf.DUMMYFUNCTION("""COMPUTED_VALUE"""),0.04628)</f>
        <v>0.04628</v>
      </c>
      <c r="K4318" s="19" t="str">
        <f>IFERROR(__xludf.DUMMYFUNCTION("""COMPUTED_VALUE"""),"-")</f>
        <v>-</v>
      </c>
      <c r="L4318" s="19" t="str">
        <f>IFERROR(__xludf.DUMMYFUNCTION("""COMPUTED_VALUE"""),"-")</f>
        <v>-</v>
      </c>
      <c r="O4318" s="24">
        <f t="shared" si="4"/>
        <v>0</v>
      </c>
      <c r="P4318" s="24"/>
      <c r="Q4318" s="24">
        <f t="shared" si="6"/>
        <v>0</v>
      </c>
      <c r="R4318" s="24">
        <f t="shared" si="7"/>
        <v>0</v>
      </c>
      <c r="S4318" s="24"/>
      <c r="T4318" s="24"/>
    </row>
    <row r="4319">
      <c r="A4319" s="12" t="s">
        <v>4406</v>
      </c>
      <c r="F4319" s="19">
        <f>IFERROR(__xludf.DUMMYFUNCTION("SPLIT(A4315, "" |"")"),4313.0)</f>
        <v>4313</v>
      </c>
      <c r="G4319" s="19">
        <f>IFERROR(__xludf.DUMMYFUNCTION("""COMPUTED_VALUE"""),0.00231)</f>
        <v>0.00231</v>
      </c>
      <c r="H4319" s="19" t="str">
        <f>IFERROR(__xludf.DUMMYFUNCTION("""COMPUTED_VALUE"""),"-")</f>
        <v>-</v>
      </c>
      <c r="I4319" s="19">
        <f>IFERROR(__xludf.DUMMYFUNCTION("""COMPUTED_VALUE"""),0.0023)</f>
        <v>0.0023</v>
      </c>
      <c r="J4319" s="19">
        <f>IFERROR(__xludf.DUMMYFUNCTION("""COMPUTED_VALUE"""),0.04744)</f>
        <v>0.04744</v>
      </c>
      <c r="K4319" s="19" t="str">
        <f>IFERROR(__xludf.DUMMYFUNCTION("""COMPUTED_VALUE"""),"-")</f>
        <v>-</v>
      </c>
      <c r="L4319" s="19" t="str">
        <f>IFERROR(__xludf.DUMMYFUNCTION("""COMPUTED_VALUE"""),"-")</f>
        <v>-</v>
      </c>
      <c r="O4319" s="24">
        <f t="shared" si="4"/>
        <v>0</v>
      </c>
      <c r="P4319" s="24"/>
      <c r="Q4319" s="24">
        <f t="shared" si="6"/>
        <v>0</v>
      </c>
      <c r="R4319" s="24">
        <f t="shared" si="7"/>
        <v>0</v>
      </c>
      <c r="S4319" s="24"/>
      <c r="T4319" s="24"/>
    </row>
    <row r="4320">
      <c r="A4320" s="12" t="s">
        <v>4407</v>
      </c>
      <c r="F4320" s="19">
        <f>IFERROR(__xludf.DUMMYFUNCTION("SPLIT(A4316, "" |"")"),4314.0)</f>
        <v>4314</v>
      </c>
      <c r="G4320" s="19">
        <f>IFERROR(__xludf.DUMMYFUNCTION("""COMPUTED_VALUE"""),0.00249)</f>
        <v>0.00249</v>
      </c>
      <c r="H4320" s="19" t="str">
        <f>IFERROR(__xludf.DUMMYFUNCTION("""COMPUTED_VALUE"""),"-")</f>
        <v>-</v>
      </c>
      <c r="I4320" s="19">
        <f>IFERROR(__xludf.DUMMYFUNCTION("""COMPUTED_VALUE"""),0.00228)</f>
        <v>0.00228</v>
      </c>
      <c r="J4320" s="19">
        <f>IFERROR(__xludf.DUMMYFUNCTION("""COMPUTED_VALUE"""),0.04751)</f>
        <v>0.04751</v>
      </c>
      <c r="K4320" s="19" t="str">
        <f>IFERROR(__xludf.DUMMYFUNCTION("""COMPUTED_VALUE"""),"-")</f>
        <v>-</v>
      </c>
      <c r="L4320" s="19" t="str">
        <f>IFERROR(__xludf.DUMMYFUNCTION("""COMPUTED_VALUE"""),"-")</f>
        <v>-</v>
      </c>
      <c r="O4320" s="24">
        <f t="shared" si="4"/>
        <v>0</v>
      </c>
      <c r="P4320" s="24"/>
      <c r="Q4320" s="24">
        <f t="shared" si="6"/>
        <v>0</v>
      </c>
      <c r="R4320" s="24">
        <f t="shared" si="7"/>
        <v>0</v>
      </c>
      <c r="S4320" s="24"/>
      <c r="T4320" s="24"/>
    </row>
    <row r="4321">
      <c r="A4321" s="12" t="s">
        <v>4408</v>
      </c>
      <c r="F4321" s="19">
        <f>IFERROR(__xludf.DUMMYFUNCTION("SPLIT(A4317, "" |"")"),4315.0)</f>
        <v>4315</v>
      </c>
      <c r="G4321" s="19">
        <f>IFERROR(__xludf.DUMMYFUNCTION("""COMPUTED_VALUE"""),0.00229)</f>
        <v>0.00229</v>
      </c>
      <c r="H4321" s="19" t="str">
        <f>IFERROR(__xludf.DUMMYFUNCTION("""COMPUTED_VALUE"""),"-")</f>
        <v>-</v>
      </c>
      <c r="I4321" s="19">
        <f>IFERROR(__xludf.DUMMYFUNCTION("""COMPUTED_VALUE"""),0.00223)</f>
        <v>0.00223</v>
      </c>
      <c r="J4321" s="19">
        <f>IFERROR(__xludf.DUMMYFUNCTION("""COMPUTED_VALUE"""),0.04736)</f>
        <v>0.04736</v>
      </c>
      <c r="K4321" s="19" t="str">
        <f>IFERROR(__xludf.DUMMYFUNCTION("""COMPUTED_VALUE"""),"-")</f>
        <v>-</v>
      </c>
      <c r="L4321" s="19" t="str">
        <f>IFERROR(__xludf.DUMMYFUNCTION("""COMPUTED_VALUE"""),"-")</f>
        <v>-</v>
      </c>
      <c r="O4321" s="24">
        <f t="shared" si="4"/>
        <v>0</v>
      </c>
      <c r="P4321" s="24"/>
      <c r="Q4321" s="24">
        <f t="shared" si="6"/>
        <v>0</v>
      </c>
      <c r="R4321" s="24">
        <f t="shared" si="7"/>
        <v>0</v>
      </c>
      <c r="S4321" s="24"/>
      <c r="T4321" s="24"/>
    </row>
    <row r="4322">
      <c r="A4322" s="12" t="s">
        <v>4409</v>
      </c>
      <c r="F4322" s="19">
        <f>IFERROR(__xludf.DUMMYFUNCTION("SPLIT(A4318, "" |"")"),4316.0)</f>
        <v>4316</v>
      </c>
      <c r="G4322" s="19">
        <f>IFERROR(__xludf.DUMMYFUNCTION("""COMPUTED_VALUE"""),0.00237)</f>
        <v>0.00237</v>
      </c>
      <c r="H4322" s="19" t="str">
        <f>IFERROR(__xludf.DUMMYFUNCTION("""COMPUTED_VALUE"""),"-")</f>
        <v>-</v>
      </c>
      <c r="I4322" s="19">
        <f>IFERROR(__xludf.DUMMYFUNCTION("""COMPUTED_VALUE"""),0.00223)</f>
        <v>0.00223</v>
      </c>
      <c r="J4322" s="19">
        <f>IFERROR(__xludf.DUMMYFUNCTION("""COMPUTED_VALUE"""),0.04747)</f>
        <v>0.04747</v>
      </c>
      <c r="K4322" s="19" t="str">
        <f>IFERROR(__xludf.DUMMYFUNCTION("""COMPUTED_VALUE"""),"-")</f>
        <v>-</v>
      </c>
      <c r="L4322" s="19" t="str">
        <f>IFERROR(__xludf.DUMMYFUNCTION("""COMPUTED_VALUE"""),"-")</f>
        <v>-</v>
      </c>
      <c r="O4322" s="24">
        <f t="shared" si="4"/>
        <v>0</v>
      </c>
      <c r="P4322" s="24"/>
      <c r="Q4322" s="24">
        <f t="shared" si="6"/>
        <v>0</v>
      </c>
      <c r="R4322" s="24">
        <f t="shared" si="7"/>
        <v>0</v>
      </c>
      <c r="S4322" s="24"/>
      <c r="T4322" s="24"/>
    </row>
    <row r="4323">
      <c r="A4323" s="12" t="s">
        <v>4410</v>
      </c>
      <c r="F4323" s="19">
        <f>IFERROR(__xludf.DUMMYFUNCTION("SPLIT(A4319, "" |"")"),4317.0)</f>
        <v>4317</v>
      </c>
      <c r="G4323" s="19">
        <f>IFERROR(__xludf.DUMMYFUNCTION("""COMPUTED_VALUE"""),0.00236)</f>
        <v>0.00236</v>
      </c>
      <c r="H4323" s="19" t="str">
        <f>IFERROR(__xludf.DUMMYFUNCTION("""COMPUTED_VALUE"""),"-")</f>
        <v>-</v>
      </c>
      <c r="I4323" s="19">
        <f>IFERROR(__xludf.DUMMYFUNCTION("""COMPUTED_VALUE"""),0.00224)</f>
        <v>0.00224</v>
      </c>
      <c r="J4323" s="19">
        <f>IFERROR(__xludf.DUMMYFUNCTION("""COMPUTED_VALUE"""),0.04744)</f>
        <v>0.04744</v>
      </c>
      <c r="K4323" s="19" t="str">
        <f>IFERROR(__xludf.DUMMYFUNCTION("""COMPUTED_VALUE"""),"-")</f>
        <v>-</v>
      </c>
      <c r="L4323" s="19" t="str">
        <f>IFERROR(__xludf.DUMMYFUNCTION("""COMPUTED_VALUE"""),"-")</f>
        <v>-</v>
      </c>
      <c r="O4323" s="24">
        <f t="shared" si="4"/>
        <v>0</v>
      </c>
      <c r="P4323" s="24"/>
      <c r="Q4323" s="24">
        <f t="shared" si="6"/>
        <v>0</v>
      </c>
      <c r="R4323" s="24">
        <f t="shared" si="7"/>
        <v>0</v>
      </c>
      <c r="S4323" s="24"/>
      <c r="T4323" s="24"/>
    </row>
    <row r="4324">
      <c r="A4324" s="12" t="s">
        <v>4411</v>
      </c>
      <c r="F4324" s="19">
        <f>IFERROR(__xludf.DUMMYFUNCTION("SPLIT(A4320, "" |"")"),4318.0)</f>
        <v>4318</v>
      </c>
      <c r="G4324" s="19">
        <f>IFERROR(__xludf.DUMMYFUNCTION("""COMPUTED_VALUE"""),0.00231)</f>
        <v>0.00231</v>
      </c>
      <c r="H4324" s="19" t="str">
        <f>IFERROR(__xludf.DUMMYFUNCTION("""COMPUTED_VALUE"""),"-")</f>
        <v>-</v>
      </c>
      <c r="I4324" s="19">
        <f>IFERROR(__xludf.DUMMYFUNCTION("""COMPUTED_VALUE"""),0.00223)</f>
        <v>0.00223</v>
      </c>
      <c r="J4324" s="19">
        <f>IFERROR(__xludf.DUMMYFUNCTION("""COMPUTED_VALUE"""),0.04747)</f>
        <v>0.04747</v>
      </c>
      <c r="K4324" s="19" t="str">
        <f>IFERROR(__xludf.DUMMYFUNCTION("""COMPUTED_VALUE"""),"-")</f>
        <v>-</v>
      </c>
      <c r="L4324" s="19" t="str">
        <f>IFERROR(__xludf.DUMMYFUNCTION("""COMPUTED_VALUE"""),"-")</f>
        <v>-</v>
      </c>
      <c r="O4324" s="24">
        <f t="shared" si="4"/>
        <v>0</v>
      </c>
      <c r="P4324" s="24"/>
      <c r="Q4324" s="24">
        <f t="shared" si="6"/>
        <v>0</v>
      </c>
      <c r="R4324" s="24">
        <f t="shared" si="7"/>
        <v>0</v>
      </c>
      <c r="S4324" s="24"/>
      <c r="T4324" s="24"/>
    </row>
    <row r="4325">
      <c r="A4325" s="12" t="s">
        <v>4412</v>
      </c>
      <c r="F4325" s="19">
        <f>IFERROR(__xludf.DUMMYFUNCTION("SPLIT(A4321, "" |"")"),4319.0)</f>
        <v>4319</v>
      </c>
      <c r="G4325" s="19">
        <f>IFERROR(__xludf.DUMMYFUNCTION("""COMPUTED_VALUE"""),0.00231)</f>
        <v>0.00231</v>
      </c>
      <c r="H4325" s="19" t="str">
        <f>IFERROR(__xludf.DUMMYFUNCTION("""COMPUTED_VALUE"""),"-")</f>
        <v>-</v>
      </c>
      <c r="I4325" s="19">
        <f>IFERROR(__xludf.DUMMYFUNCTION("""COMPUTED_VALUE"""),0.00223)</f>
        <v>0.00223</v>
      </c>
      <c r="J4325" s="19">
        <f>IFERROR(__xludf.DUMMYFUNCTION("""COMPUTED_VALUE"""),0.04745)</f>
        <v>0.04745</v>
      </c>
      <c r="K4325" s="19" t="str">
        <f>IFERROR(__xludf.DUMMYFUNCTION("""COMPUTED_VALUE"""),"-")</f>
        <v>-</v>
      </c>
      <c r="L4325" s="19" t="str">
        <f>IFERROR(__xludf.DUMMYFUNCTION("""COMPUTED_VALUE"""),"-")</f>
        <v>-</v>
      </c>
      <c r="O4325" s="24">
        <f t="shared" si="4"/>
        <v>0</v>
      </c>
      <c r="P4325" s="24"/>
      <c r="Q4325" s="24">
        <f t="shared" si="6"/>
        <v>0</v>
      </c>
      <c r="R4325" s="24">
        <f t="shared" si="7"/>
        <v>0</v>
      </c>
      <c r="S4325" s="24"/>
      <c r="T4325" s="24"/>
    </row>
    <row r="4326">
      <c r="A4326" s="12" t="s">
        <v>4413</v>
      </c>
      <c r="F4326" s="19">
        <f>IFERROR(__xludf.DUMMYFUNCTION("SPLIT(A4322, "" |"")"),4320.0)</f>
        <v>4320</v>
      </c>
      <c r="G4326" s="19">
        <f>IFERROR(__xludf.DUMMYFUNCTION("""COMPUTED_VALUE"""),0.00234)</f>
        <v>0.00234</v>
      </c>
      <c r="H4326" s="19" t="str">
        <f>IFERROR(__xludf.DUMMYFUNCTION("""COMPUTED_VALUE"""),"-")</f>
        <v>-</v>
      </c>
      <c r="I4326" s="19">
        <f>IFERROR(__xludf.DUMMYFUNCTION("""COMPUTED_VALUE"""),0.0022)</f>
        <v>0.0022</v>
      </c>
      <c r="J4326" s="19">
        <f>IFERROR(__xludf.DUMMYFUNCTION("""COMPUTED_VALUE"""),0.04604)</f>
        <v>0.04604</v>
      </c>
      <c r="K4326" s="19" t="str">
        <f>IFERROR(__xludf.DUMMYFUNCTION("""COMPUTED_VALUE"""),"-")</f>
        <v>-</v>
      </c>
      <c r="L4326" s="19" t="str">
        <f>IFERROR(__xludf.DUMMYFUNCTION("""COMPUTED_VALUE"""),"-")</f>
        <v>-</v>
      </c>
      <c r="O4326" s="24">
        <f t="shared" si="4"/>
        <v>0</v>
      </c>
      <c r="P4326" s="24"/>
      <c r="Q4326" s="24">
        <f t="shared" si="6"/>
        <v>0</v>
      </c>
      <c r="R4326" s="24">
        <f t="shared" si="7"/>
        <v>0</v>
      </c>
      <c r="S4326" s="24"/>
      <c r="T4326" s="24"/>
    </row>
    <row r="4327">
      <c r="A4327" s="12" t="s">
        <v>4414</v>
      </c>
      <c r="F4327" s="19">
        <f>IFERROR(__xludf.DUMMYFUNCTION("SPLIT(A4323, "" |"")"),4321.0)</f>
        <v>4321</v>
      </c>
      <c r="G4327" s="19">
        <f>IFERROR(__xludf.DUMMYFUNCTION("""COMPUTED_VALUE"""),0.00236)</f>
        <v>0.00236</v>
      </c>
      <c r="H4327" s="19" t="str">
        <f>IFERROR(__xludf.DUMMYFUNCTION("""COMPUTED_VALUE"""),"-")</f>
        <v>-</v>
      </c>
      <c r="I4327" s="19">
        <f>IFERROR(__xludf.DUMMYFUNCTION("""COMPUTED_VALUE"""),0.00225)</f>
        <v>0.00225</v>
      </c>
      <c r="J4327" s="19">
        <f>IFERROR(__xludf.DUMMYFUNCTION("""COMPUTED_VALUE"""),0.0474)</f>
        <v>0.0474</v>
      </c>
      <c r="K4327" s="19" t="str">
        <f>IFERROR(__xludf.DUMMYFUNCTION("""COMPUTED_VALUE"""),"-")</f>
        <v>-</v>
      </c>
      <c r="L4327" s="19" t="str">
        <f>IFERROR(__xludf.DUMMYFUNCTION("""COMPUTED_VALUE"""),"-")</f>
        <v>-</v>
      </c>
      <c r="O4327" s="24">
        <f t="shared" si="4"/>
        <v>0</v>
      </c>
      <c r="P4327" s="24"/>
      <c r="Q4327" s="24">
        <f t="shared" si="6"/>
        <v>0</v>
      </c>
      <c r="R4327" s="24">
        <f t="shared" si="7"/>
        <v>0</v>
      </c>
      <c r="S4327" s="24"/>
      <c r="T4327" s="24"/>
    </row>
    <row r="4328">
      <c r="A4328" s="12" t="s">
        <v>4415</v>
      </c>
      <c r="F4328" s="19">
        <f>IFERROR(__xludf.DUMMYFUNCTION("SPLIT(A4324, "" |"")"),4322.0)</f>
        <v>4322</v>
      </c>
      <c r="G4328" s="19">
        <f>IFERROR(__xludf.DUMMYFUNCTION("""COMPUTED_VALUE"""),0.00239)</f>
        <v>0.00239</v>
      </c>
      <c r="H4328" s="19" t="str">
        <f>IFERROR(__xludf.DUMMYFUNCTION("""COMPUTED_VALUE"""),"-")</f>
        <v>-</v>
      </c>
      <c r="I4328" s="19">
        <f>IFERROR(__xludf.DUMMYFUNCTION("""COMPUTED_VALUE"""),0.00221)</f>
        <v>0.00221</v>
      </c>
      <c r="J4328" s="19">
        <f>IFERROR(__xludf.DUMMYFUNCTION("""COMPUTED_VALUE"""),0.04742)</f>
        <v>0.04742</v>
      </c>
      <c r="K4328" s="19" t="str">
        <f>IFERROR(__xludf.DUMMYFUNCTION("""COMPUTED_VALUE"""),"-")</f>
        <v>-</v>
      </c>
      <c r="L4328" s="19" t="str">
        <f>IFERROR(__xludf.DUMMYFUNCTION("""COMPUTED_VALUE"""),"-")</f>
        <v>-</v>
      </c>
      <c r="O4328" s="24">
        <f t="shared" si="4"/>
        <v>0</v>
      </c>
      <c r="P4328" s="24"/>
      <c r="Q4328" s="24">
        <f t="shared" si="6"/>
        <v>0</v>
      </c>
      <c r="R4328" s="24">
        <f t="shared" si="7"/>
        <v>0</v>
      </c>
      <c r="S4328" s="24"/>
      <c r="T4328" s="24"/>
    </row>
    <row r="4329">
      <c r="A4329" s="12" t="s">
        <v>4416</v>
      </c>
      <c r="F4329" s="19">
        <f>IFERROR(__xludf.DUMMYFUNCTION("SPLIT(A4325, "" |"")"),4323.0)</f>
        <v>4323</v>
      </c>
      <c r="G4329" s="19">
        <f>IFERROR(__xludf.DUMMYFUNCTION("""COMPUTED_VALUE"""),0.00241)</f>
        <v>0.00241</v>
      </c>
      <c r="H4329" s="19" t="str">
        <f>IFERROR(__xludf.DUMMYFUNCTION("""COMPUTED_VALUE"""),"-")</f>
        <v>-</v>
      </c>
      <c r="I4329" s="19">
        <f>IFERROR(__xludf.DUMMYFUNCTION("""COMPUTED_VALUE"""),0.00221)</f>
        <v>0.00221</v>
      </c>
      <c r="J4329" s="19">
        <f>IFERROR(__xludf.DUMMYFUNCTION("""COMPUTED_VALUE"""),0.0474)</f>
        <v>0.0474</v>
      </c>
      <c r="K4329" s="19" t="str">
        <f>IFERROR(__xludf.DUMMYFUNCTION("""COMPUTED_VALUE"""),"-")</f>
        <v>-</v>
      </c>
      <c r="L4329" s="19" t="str">
        <f>IFERROR(__xludf.DUMMYFUNCTION("""COMPUTED_VALUE"""),"-")</f>
        <v>-</v>
      </c>
      <c r="O4329" s="24">
        <f t="shared" si="4"/>
        <v>0</v>
      </c>
      <c r="P4329" s="24"/>
      <c r="Q4329" s="24">
        <f t="shared" si="6"/>
        <v>0</v>
      </c>
      <c r="R4329" s="24">
        <f t="shared" si="7"/>
        <v>0</v>
      </c>
      <c r="S4329" s="24"/>
      <c r="T4329" s="24"/>
    </row>
    <row r="4330">
      <c r="A4330" s="12" t="s">
        <v>4417</v>
      </c>
      <c r="F4330" s="19">
        <f>IFERROR(__xludf.DUMMYFUNCTION("SPLIT(A4326, "" |"")"),4324.0)</f>
        <v>4324</v>
      </c>
      <c r="G4330" s="19">
        <f>IFERROR(__xludf.DUMMYFUNCTION("""COMPUTED_VALUE"""),0.00235)</f>
        <v>0.00235</v>
      </c>
      <c r="H4330" s="19" t="str">
        <f>IFERROR(__xludf.DUMMYFUNCTION("""COMPUTED_VALUE"""),"-")</f>
        <v>-</v>
      </c>
      <c r="I4330" s="19">
        <f>IFERROR(__xludf.DUMMYFUNCTION("""COMPUTED_VALUE"""),0.00228)</f>
        <v>0.00228</v>
      </c>
      <c r="J4330" s="19">
        <f>IFERROR(__xludf.DUMMYFUNCTION("""COMPUTED_VALUE"""),0.04744)</f>
        <v>0.04744</v>
      </c>
      <c r="K4330" s="19" t="str">
        <f>IFERROR(__xludf.DUMMYFUNCTION("""COMPUTED_VALUE"""),"-")</f>
        <v>-</v>
      </c>
      <c r="L4330" s="19" t="str">
        <f>IFERROR(__xludf.DUMMYFUNCTION("""COMPUTED_VALUE"""),"-")</f>
        <v>-</v>
      </c>
      <c r="O4330" s="24">
        <f t="shared" si="4"/>
        <v>0</v>
      </c>
      <c r="P4330" s="24"/>
      <c r="Q4330" s="24">
        <f t="shared" si="6"/>
        <v>0</v>
      </c>
      <c r="R4330" s="24">
        <f t="shared" si="7"/>
        <v>0</v>
      </c>
      <c r="S4330" s="24"/>
      <c r="T4330" s="24"/>
    </row>
    <row r="4331">
      <c r="A4331" s="12" t="s">
        <v>4418</v>
      </c>
      <c r="F4331" s="19">
        <f>IFERROR(__xludf.DUMMYFUNCTION("SPLIT(A4327, "" |"")"),4325.0)</f>
        <v>4325</v>
      </c>
      <c r="G4331" s="19">
        <f>IFERROR(__xludf.DUMMYFUNCTION("""COMPUTED_VALUE"""),0.0023)</f>
        <v>0.0023</v>
      </c>
      <c r="H4331" s="19" t="str">
        <f>IFERROR(__xludf.DUMMYFUNCTION("""COMPUTED_VALUE"""),"-")</f>
        <v>-</v>
      </c>
      <c r="I4331" s="19">
        <f>IFERROR(__xludf.DUMMYFUNCTION("""COMPUTED_VALUE"""),0.00219)</f>
        <v>0.00219</v>
      </c>
      <c r="J4331" s="19">
        <f>IFERROR(__xludf.DUMMYFUNCTION("""COMPUTED_VALUE"""),0.04742)</f>
        <v>0.04742</v>
      </c>
      <c r="K4331" s="19" t="str">
        <f>IFERROR(__xludf.DUMMYFUNCTION("""COMPUTED_VALUE"""),"-")</f>
        <v>-</v>
      </c>
      <c r="L4331" s="19" t="str">
        <f>IFERROR(__xludf.DUMMYFUNCTION("""COMPUTED_VALUE"""),"-")</f>
        <v>-</v>
      </c>
      <c r="O4331" s="24">
        <f t="shared" si="4"/>
        <v>0</v>
      </c>
      <c r="P4331" s="24"/>
      <c r="Q4331" s="24">
        <f t="shared" si="6"/>
        <v>0</v>
      </c>
      <c r="R4331" s="24">
        <f t="shared" si="7"/>
        <v>0</v>
      </c>
      <c r="S4331" s="24"/>
      <c r="T4331" s="24"/>
    </row>
    <row r="4332">
      <c r="A4332" s="12" t="s">
        <v>4419</v>
      </c>
      <c r="F4332" s="19">
        <f>IFERROR(__xludf.DUMMYFUNCTION("SPLIT(A4328, "" |"")"),4326.0)</f>
        <v>4326</v>
      </c>
      <c r="G4332" s="19">
        <f>IFERROR(__xludf.DUMMYFUNCTION("""COMPUTED_VALUE"""),0.00239)</f>
        <v>0.00239</v>
      </c>
      <c r="H4332" s="19" t="str">
        <f>IFERROR(__xludf.DUMMYFUNCTION("""COMPUTED_VALUE"""),"-")</f>
        <v>-</v>
      </c>
      <c r="I4332" s="19">
        <f>IFERROR(__xludf.DUMMYFUNCTION("""COMPUTED_VALUE"""),0.00221)</f>
        <v>0.00221</v>
      </c>
      <c r="J4332" s="19">
        <f>IFERROR(__xludf.DUMMYFUNCTION("""COMPUTED_VALUE"""),0.04748)</f>
        <v>0.04748</v>
      </c>
      <c r="K4332" s="19" t="str">
        <f>IFERROR(__xludf.DUMMYFUNCTION("""COMPUTED_VALUE"""),"-")</f>
        <v>-</v>
      </c>
      <c r="L4332" s="19" t="str">
        <f>IFERROR(__xludf.DUMMYFUNCTION("""COMPUTED_VALUE"""),"-")</f>
        <v>-</v>
      </c>
      <c r="O4332" s="24">
        <f t="shared" si="4"/>
        <v>0</v>
      </c>
      <c r="P4332" s="24"/>
      <c r="Q4332" s="24">
        <f t="shared" si="6"/>
        <v>0</v>
      </c>
      <c r="R4332" s="24">
        <f t="shared" si="7"/>
        <v>0</v>
      </c>
      <c r="S4332" s="24"/>
      <c r="T4332" s="24"/>
    </row>
    <row r="4333">
      <c r="A4333" s="12" t="s">
        <v>4420</v>
      </c>
      <c r="F4333" s="19">
        <f>IFERROR(__xludf.DUMMYFUNCTION("SPLIT(A4329, "" |"")"),4327.0)</f>
        <v>4327</v>
      </c>
      <c r="G4333" s="19">
        <f>IFERROR(__xludf.DUMMYFUNCTION("""COMPUTED_VALUE"""),0.00232)</f>
        <v>0.00232</v>
      </c>
      <c r="H4333" s="19" t="str">
        <f>IFERROR(__xludf.DUMMYFUNCTION("""COMPUTED_VALUE"""),"-")</f>
        <v>-</v>
      </c>
      <c r="I4333" s="19">
        <f>IFERROR(__xludf.DUMMYFUNCTION("""COMPUTED_VALUE"""),0.0022)</f>
        <v>0.0022</v>
      </c>
      <c r="J4333" s="19">
        <f>IFERROR(__xludf.DUMMYFUNCTION("""COMPUTED_VALUE"""),0.04026)</f>
        <v>0.04026</v>
      </c>
      <c r="K4333" s="19" t="str">
        <f>IFERROR(__xludf.DUMMYFUNCTION("""COMPUTED_VALUE"""),"-")</f>
        <v>-</v>
      </c>
      <c r="L4333" s="19" t="str">
        <f>IFERROR(__xludf.DUMMYFUNCTION("""COMPUTED_VALUE"""),"-")</f>
        <v>-</v>
      </c>
      <c r="O4333" s="24">
        <f t="shared" si="4"/>
        <v>0</v>
      </c>
      <c r="P4333" s="24"/>
      <c r="Q4333" s="24">
        <f t="shared" si="6"/>
        <v>0</v>
      </c>
      <c r="R4333" s="24">
        <f t="shared" si="7"/>
        <v>1</v>
      </c>
      <c r="S4333" s="24"/>
      <c r="T4333" s="24"/>
    </row>
    <row r="4334">
      <c r="A4334" s="12" t="s">
        <v>4421</v>
      </c>
      <c r="F4334" s="19">
        <f>IFERROR(__xludf.DUMMYFUNCTION("SPLIT(A4330, "" |"")"),4328.0)</f>
        <v>4328</v>
      </c>
      <c r="G4334" s="19">
        <f>IFERROR(__xludf.DUMMYFUNCTION("""COMPUTED_VALUE"""),0.00168)</f>
        <v>0.00168</v>
      </c>
      <c r="H4334" s="19" t="str">
        <f>IFERROR(__xludf.DUMMYFUNCTION("""COMPUTED_VALUE"""),"-")</f>
        <v>-</v>
      </c>
      <c r="I4334" s="19">
        <f>IFERROR(__xludf.DUMMYFUNCTION("""COMPUTED_VALUE"""),0.00218)</f>
        <v>0.00218</v>
      </c>
      <c r="J4334" s="19">
        <f>IFERROR(__xludf.DUMMYFUNCTION("""COMPUTED_VALUE"""),0.04739)</f>
        <v>0.04739</v>
      </c>
      <c r="K4334" s="19" t="str">
        <f>IFERROR(__xludf.DUMMYFUNCTION("""COMPUTED_VALUE"""),"-")</f>
        <v>-</v>
      </c>
      <c r="L4334" s="19" t="str">
        <f>IFERROR(__xludf.DUMMYFUNCTION("""COMPUTED_VALUE"""),"-")</f>
        <v>-</v>
      </c>
      <c r="O4334" s="24">
        <f t="shared" si="4"/>
        <v>0</v>
      </c>
      <c r="P4334" s="24"/>
      <c r="Q4334" s="24">
        <f t="shared" si="6"/>
        <v>0</v>
      </c>
      <c r="R4334" s="24">
        <f t="shared" si="7"/>
        <v>0</v>
      </c>
      <c r="S4334" s="24"/>
      <c r="T4334" s="24"/>
    </row>
    <row r="4335">
      <c r="A4335" s="12" t="s">
        <v>4422</v>
      </c>
      <c r="F4335" s="19">
        <f>IFERROR(__xludf.DUMMYFUNCTION("SPLIT(A4331, "" |"")"),4329.0)</f>
        <v>4329</v>
      </c>
      <c r="G4335" s="19">
        <f>IFERROR(__xludf.DUMMYFUNCTION("""COMPUTED_VALUE"""),0.00234)</f>
        <v>0.00234</v>
      </c>
      <c r="H4335" s="19" t="str">
        <f>IFERROR(__xludf.DUMMYFUNCTION("""COMPUTED_VALUE"""),"-")</f>
        <v>-</v>
      </c>
      <c r="I4335" s="19">
        <f>IFERROR(__xludf.DUMMYFUNCTION("""COMPUTED_VALUE"""),0.00214)</f>
        <v>0.00214</v>
      </c>
      <c r="J4335" s="19">
        <f>IFERROR(__xludf.DUMMYFUNCTION("""COMPUTED_VALUE"""),0.04579)</f>
        <v>0.04579</v>
      </c>
      <c r="K4335" s="19" t="str">
        <f>IFERROR(__xludf.DUMMYFUNCTION("""COMPUTED_VALUE"""),"-")</f>
        <v>-</v>
      </c>
      <c r="L4335" s="19" t="str">
        <f>IFERROR(__xludf.DUMMYFUNCTION("""COMPUTED_VALUE"""),"-")</f>
        <v>-</v>
      </c>
      <c r="O4335" s="24">
        <f t="shared" si="4"/>
        <v>0</v>
      </c>
      <c r="P4335" s="24"/>
      <c r="Q4335" s="24">
        <f t="shared" si="6"/>
        <v>0</v>
      </c>
      <c r="R4335" s="24">
        <f t="shared" si="7"/>
        <v>0</v>
      </c>
      <c r="S4335" s="24"/>
      <c r="T4335" s="24"/>
    </row>
    <row r="4336">
      <c r="A4336" s="12" t="s">
        <v>4423</v>
      </c>
      <c r="F4336" s="19">
        <f>IFERROR(__xludf.DUMMYFUNCTION("SPLIT(A4332, "" |"")"),4330.0)</f>
        <v>4330</v>
      </c>
      <c r="G4336" s="19">
        <f>IFERROR(__xludf.DUMMYFUNCTION("""COMPUTED_VALUE"""),0.00235)</f>
        <v>0.00235</v>
      </c>
      <c r="H4336" s="19" t="str">
        <f>IFERROR(__xludf.DUMMYFUNCTION("""COMPUTED_VALUE"""),"-")</f>
        <v>-</v>
      </c>
      <c r="I4336" s="19">
        <f>IFERROR(__xludf.DUMMYFUNCTION("""COMPUTED_VALUE"""),0.00224)</f>
        <v>0.00224</v>
      </c>
      <c r="J4336" s="19">
        <f>IFERROR(__xludf.DUMMYFUNCTION("""COMPUTED_VALUE"""),0.04744)</f>
        <v>0.04744</v>
      </c>
      <c r="K4336" s="19" t="str">
        <f>IFERROR(__xludf.DUMMYFUNCTION("""COMPUTED_VALUE"""),"-")</f>
        <v>-</v>
      </c>
      <c r="L4336" s="19" t="str">
        <f>IFERROR(__xludf.DUMMYFUNCTION("""COMPUTED_VALUE"""),"-")</f>
        <v>-</v>
      </c>
      <c r="O4336" s="24">
        <f t="shared" si="4"/>
        <v>0</v>
      </c>
      <c r="P4336" s="24"/>
      <c r="Q4336" s="24">
        <f t="shared" si="6"/>
        <v>0</v>
      </c>
      <c r="R4336" s="24">
        <f t="shared" si="7"/>
        <v>0</v>
      </c>
      <c r="S4336" s="24"/>
      <c r="T4336" s="24"/>
    </row>
    <row r="4337">
      <c r="A4337" s="12" t="s">
        <v>4424</v>
      </c>
      <c r="F4337" s="19">
        <f>IFERROR(__xludf.DUMMYFUNCTION("SPLIT(A4333, "" |"")"),4331.0)</f>
        <v>4331</v>
      </c>
      <c r="G4337" s="19">
        <f>IFERROR(__xludf.DUMMYFUNCTION("""COMPUTED_VALUE"""),0.00233)</f>
        <v>0.00233</v>
      </c>
      <c r="H4337" s="19" t="str">
        <f>IFERROR(__xludf.DUMMYFUNCTION("""COMPUTED_VALUE"""),"-")</f>
        <v>-</v>
      </c>
      <c r="I4337" s="19">
        <f>IFERROR(__xludf.DUMMYFUNCTION("""COMPUTED_VALUE"""),0.00221)</f>
        <v>0.00221</v>
      </c>
      <c r="J4337" s="19">
        <f>IFERROR(__xludf.DUMMYFUNCTION("""COMPUTED_VALUE"""),0.04746)</f>
        <v>0.04746</v>
      </c>
      <c r="K4337" s="19" t="str">
        <f>IFERROR(__xludf.DUMMYFUNCTION("""COMPUTED_VALUE"""),"-")</f>
        <v>-</v>
      </c>
      <c r="L4337" s="19" t="str">
        <f>IFERROR(__xludf.DUMMYFUNCTION("""COMPUTED_VALUE"""),"-")</f>
        <v>-</v>
      </c>
      <c r="O4337" s="24">
        <f t="shared" si="4"/>
        <v>0</v>
      </c>
      <c r="P4337" s="24"/>
      <c r="Q4337" s="24">
        <f t="shared" si="6"/>
        <v>0</v>
      </c>
      <c r="R4337" s="24">
        <f t="shared" si="7"/>
        <v>0</v>
      </c>
      <c r="S4337" s="24"/>
      <c r="T4337" s="24"/>
    </row>
    <row r="4338">
      <c r="A4338" s="12" t="s">
        <v>4425</v>
      </c>
      <c r="F4338" s="19">
        <f>IFERROR(__xludf.DUMMYFUNCTION("SPLIT(A4334, "" |"")"),4332.0)</f>
        <v>4332</v>
      </c>
      <c r="G4338" s="19">
        <f>IFERROR(__xludf.DUMMYFUNCTION("""COMPUTED_VALUE"""),0.0023)</f>
        <v>0.0023</v>
      </c>
      <c r="H4338" s="19" t="str">
        <f>IFERROR(__xludf.DUMMYFUNCTION("""COMPUTED_VALUE"""),"-")</f>
        <v>-</v>
      </c>
      <c r="I4338" s="19">
        <f>IFERROR(__xludf.DUMMYFUNCTION("""COMPUTED_VALUE"""),0.00211)</f>
        <v>0.00211</v>
      </c>
      <c r="J4338" s="19">
        <f>IFERROR(__xludf.DUMMYFUNCTION("""COMPUTED_VALUE"""),0.04737)</f>
        <v>0.04737</v>
      </c>
      <c r="K4338" s="19" t="str">
        <f>IFERROR(__xludf.DUMMYFUNCTION("""COMPUTED_VALUE"""),"-")</f>
        <v>-</v>
      </c>
      <c r="L4338" s="19" t="str">
        <f>IFERROR(__xludf.DUMMYFUNCTION("""COMPUTED_VALUE"""),"-")</f>
        <v>-</v>
      </c>
      <c r="O4338" s="24">
        <f t="shared" si="4"/>
        <v>0</v>
      </c>
      <c r="P4338" s="24"/>
      <c r="Q4338" s="24">
        <f t="shared" si="6"/>
        <v>0</v>
      </c>
      <c r="R4338" s="24">
        <f t="shared" si="7"/>
        <v>0</v>
      </c>
      <c r="S4338" s="24"/>
      <c r="T4338" s="24"/>
    </row>
    <row r="4339">
      <c r="A4339" s="12" t="s">
        <v>4426</v>
      </c>
      <c r="F4339" s="19">
        <f>IFERROR(__xludf.DUMMYFUNCTION("SPLIT(A4335, "" |"")"),4333.0)</f>
        <v>4333</v>
      </c>
      <c r="G4339" s="19">
        <f>IFERROR(__xludf.DUMMYFUNCTION("""COMPUTED_VALUE"""),0.00241)</f>
        <v>0.00241</v>
      </c>
      <c r="H4339" s="19" t="str">
        <f>IFERROR(__xludf.DUMMYFUNCTION("""COMPUTED_VALUE"""),"-")</f>
        <v>-</v>
      </c>
      <c r="I4339" s="19">
        <f>IFERROR(__xludf.DUMMYFUNCTION("""COMPUTED_VALUE"""),0.00228)</f>
        <v>0.00228</v>
      </c>
      <c r="J4339" s="19">
        <f>IFERROR(__xludf.DUMMYFUNCTION("""COMPUTED_VALUE"""),0.04454)</f>
        <v>0.04454</v>
      </c>
      <c r="K4339" s="19" t="str">
        <f>IFERROR(__xludf.DUMMYFUNCTION("""COMPUTED_VALUE"""),"-")</f>
        <v>-</v>
      </c>
      <c r="L4339" s="19" t="str">
        <f>IFERROR(__xludf.DUMMYFUNCTION("""COMPUTED_VALUE"""),"-")</f>
        <v>-</v>
      </c>
      <c r="O4339" s="24">
        <f t="shared" si="4"/>
        <v>0</v>
      </c>
      <c r="P4339" s="24"/>
      <c r="Q4339" s="24">
        <f t="shared" si="6"/>
        <v>0</v>
      </c>
      <c r="R4339" s="24">
        <f t="shared" si="7"/>
        <v>1</v>
      </c>
      <c r="S4339" s="24"/>
      <c r="T4339" s="24"/>
    </row>
    <row r="4340">
      <c r="A4340" s="12" t="s">
        <v>4427</v>
      </c>
      <c r="F4340" s="19">
        <f>IFERROR(__xludf.DUMMYFUNCTION("SPLIT(A4336, "" |"")"),4334.0)</f>
        <v>4334</v>
      </c>
      <c r="G4340" s="19">
        <f>IFERROR(__xludf.DUMMYFUNCTION("""COMPUTED_VALUE"""),0.00233)</f>
        <v>0.00233</v>
      </c>
      <c r="H4340" s="19" t="str">
        <f>IFERROR(__xludf.DUMMYFUNCTION("""COMPUTED_VALUE"""),"-")</f>
        <v>-</v>
      </c>
      <c r="I4340" s="19">
        <f>IFERROR(__xludf.DUMMYFUNCTION("""COMPUTED_VALUE"""),0.00222)</f>
        <v>0.00222</v>
      </c>
      <c r="J4340" s="19">
        <f>IFERROR(__xludf.DUMMYFUNCTION("""COMPUTED_VALUE"""),0.04736)</f>
        <v>0.04736</v>
      </c>
      <c r="K4340" s="19" t="str">
        <f>IFERROR(__xludf.DUMMYFUNCTION("""COMPUTED_VALUE"""),"-")</f>
        <v>-</v>
      </c>
      <c r="L4340" s="19" t="str">
        <f>IFERROR(__xludf.DUMMYFUNCTION("""COMPUTED_VALUE"""),"-")</f>
        <v>-</v>
      </c>
      <c r="O4340" s="24">
        <f t="shared" si="4"/>
        <v>0</v>
      </c>
      <c r="P4340" s="24"/>
      <c r="Q4340" s="24">
        <f t="shared" si="6"/>
        <v>0</v>
      </c>
      <c r="R4340" s="24">
        <f t="shared" si="7"/>
        <v>0</v>
      </c>
      <c r="S4340" s="24"/>
      <c r="T4340" s="24"/>
    </row>
    <row r="4341">
      <c r="A4341" s="12" t="s">
        <v>4428</v>
      </c>
      <c r="F4341" s="19">
        <f>IFERROR(__xludf.DUMMYFUNCTION("SPLIT(A4337, "" |"")"),4335.0)</f>
        <v>4335</v>
      </c>
      <c r="G4341" s="19">
        <f>IFERROR(__xludf.DUMMYFUNCTION("""COMPUTED_VALUE"""),0.00236)</f>
        <v>0.00236</v>
      </c>
      <c r="H4341" s="19" t="str">
        <f>IFERROR(__xludf.DUMMYFUNCTION("""COMPUTED_VALUE"""),"-")</f>
        <v>-</v>
      </c>
      <c r="I4341" s="19">
        <f>IFERROR(__xludf.DUMMYFUNCTION("""COMPUTED_VALUE"""),0.00226)</f>
        <v>0.00226</v>
      </c>
      <c r="J4341" s="19">
        <f>IFERROR(__xludf.DUMMYFUNCTION("""COMPUTED_VALUE"""),0.04739)</f>
        <v>0.04739</v>
      </c>
      <c r="K4341" s="19" t="str">
        <f>IFERROR(__xludf.DUMMYFUNCTION("""COMPUTED_VALUE"""),"-")</f>
        <v>-</v>
      </c>
      <c r="L4341" s="19" t="str">
        <f>IFERROR(__xludf.DUMMYFUNCTION("""COMPUTED_VALUE"""),"-")</f>
        <v>-</v>
      </c>
      <c r="O4341" s="24">
        <f t="shared" si="4"/>
        <v>0</v>
      </c>
      <c r="P4341" s="24"/>
      <c r="Q4341" s="24">
        <f t="shared" si="6"/>
        <v>0</v>
      </c>
      <c r="R4341" s="24">
        <f t="shared" si="7"/>
        <v>0</v>
      </c>
      <c r="S4341" s="24"/>
      <c r="T4341" s="24"/>
    </row>
    <row r="4342">
      <c r="A4342" s="12" t="s">
        <v>4429</v>
      </c>
      <c r="F4342" s="19">
        <f>IFERROR(__xludf.DUMMYFUNCTION("SPLIT(A4338, "" |"")"),4336.0)</f>
        <v>4336</v>
      </c>
      <c r="G4342" s="19">
        <f>IFERROR(__xludf.DUMMYFUNCTION("""COMPUTED_VALUE"""),0.00237)</f>
        <v>0.00237</v>
      </c>
      <c r="H4342" s="19" t="str">
        <f>IFERROR(__xludf.DUMMYFUNCTION("""COMPUTED_VALUE"""),"-")</f>
        <v>-</v>
      </c>
      <c r="I4342" s="19">
        <f>IFERROR(__xludf.DUMMYFUNCTION("""COMPUTED_VALUE"""),0.00225)</f>
        <v>0.00225</v>
      </c>
      <c r="J4342" s="19">
        <f>IFERROR(__xludf.DUMMYFUNCTION("""COMPUTED_VALUE"""),0.04743)</f>
        <v>0.04743</v>
      </c>
      <c r="K4342" s="19" t="str">
        <f>IFERROR(__xludf.DUMMYFUNCTION("""COMPUTED_VALUE"""),"-")</f>
        <v>-</v>
      </c>
      <c r="L4342" s="19" t="str">
        <f>IFERROR(__xludf.DUMMYFUNCTION("""COMPUTED_VALUE"""),"-")</f>
        <v>-</v>
      </c>
      <c r="O4342" s="24">
        <f t="shared" si="4"/>
        <v>0</v>
      </c>
      <c r="P4342" s="24"/>
      <c r="Q4342" s="24">
        <f t="shared" si="6"/>
        <v>0</v>
      </c>
      <c r="R4342" s="24">
        <f t="shared" si="7"/>
        <v>0</v>
      </c>
      <c r="S4342" s="24"/>
      <c r="T4342" s="24"/>
    </row>
    <row r="4343">
      <c r="A4343" s="12" t="s">
        <v>4430</v>
      </c>
      <c r="F4343" s="19">
        <f>IFERROR(__xludf.DUMMYFUNCTION("SPLIT(A4339, "" |"")"),4337.0)</f>
        <v>4337</v>
      </c>
      <c r="G4343" s="19">
        <f>IFERROR(__xludf.DUMMYFUNCTION("""COMPUTED_VALUE"""),0.00236)</f>
        <v>0.00236</v>
      </c>
      <c r="H4343" s="19" t="str">
        <f>IFERROR(__xludf.DUMMYFUNCTION("""COMPUTED_VALUE"""),"-")</f>
        <v>-</v>
      </c>
      <c r="I4343" s="19">
        <f>IFERROR(__xludf.DUMMYFUNCTION("""COMPUTED_VALUE"""),0.00223)</f>
        <v>0.00223</v>
      </c>
      <c r="J4343" s="19">
        <f>IFERROR(__xludf.DUMMYFUNCTION("""COMPUTED_VALUE"""),0.04746)</f>
        <v>0.04746</v>
      </c>
      <c r="K4343" s="19" t="str">
        <f>IFERROR(__xludf.DUMMYFUNCTION("""COMPUTED_VALUE"""),"-")</f>
        <v>-</v>
      </c>
      <c r="L4343" s="19" t="str">
        <f>IFERROR(__xludf.DUMMYFUNCTION("""COMPUTED_VALUE"""),"-")</f>
        <v>-</v>
      </c>
      <c r="O4343" s="24">
        <f t="shared" si="4"/>
        <v>0</v>
      </c>
      <c r="P4343" s="24"/>
      <c r="Q4343" s="24">
        <f t="shared" si="6"/>
        <v>0</v>
      </c>
      <c r="R4343" s="24">
        <f t="shared" si="7"/>
        <v>0</v>
      </c>
      <c r="S4343" s="24"/>
      <c r="T4343" s="24"/>
    </row>
    <row r="4344">
      <c r="A4344" s="12" t="s">
        <v>4431</v>
      </c>
      <c r="F4344" s="19">
        <f>IFERROR(__xludf.DUMMYFUNCTION("SPLIT(A4340, "" |"")"),4338.0)</f>
        <v>4338</v>
      </c>
      <c r="G4344" s="19">
        <f>IFERROR(__xludf.DUMMYFUNCTION("""COMPUTED_VALUE"""),0.0024)</f>
        <v>0.0024</v>
      </c>
      <c r="H4344" s="19" t="str">
        <f>IFERROR(__xludf.DUMMYFUNCTION("""COMPUTED_VALUE"""),"-")</f>
        <v>-</v>
      </c>
      <c r="I4344" s="19">
        <f>IFERROR(__xludf.DUMMYFUNCTION("""COMPUTED_VALUE"""),0.0022)</f>
        <v>0.0022</v>
      </c>
      <c r="J4344" s="19">
        <f>IFERROR(__xludf.DUMMYFUNCTION("""COMPUTED_VALUE"""),0.04116)</f>
        <v>0.04116</v>
      </c>
      <c r="K4344" s="19" t="str">
        <f>IFERROR(__xludf.DUMMYFUNCTION("""COMPUTED_VALUE"""),"-")</f>
        <v>-</v>
      </c>
      <c r="L4344" s="19" t="str">
        <f>IFERROR(__xludf.DUMMYFUNCTION("""COMPUTED_VALUE"""),"-")</f>
        <v>-</v>
      </c>
      <c r="O4344" s="24">
        <f t="shared" si="4"/>
        <v>0</v>
      </c>
      <c r="P4344" s="24"/>
      <c r="Q4344" s="24">
        <f t="shared" si="6"/>
        <v>0</v>
      </c>
      <c r="R4344" s="24">
        <f t="shared" si="7"/>
        <v>1</v>
      </c>
      <c r="S4344" s="24"/>
      <c r="T4344" s="24"/>
    </row>
    <row r="4345">
      <c r="A4345" s="12" t="s">
        <v>4432</v>
      </c>
      <c r="F4345" s="19">
        <f>IFERROR(__xludf.DUMMYFUNCTION("SPLIT(A4341, "" |"")"),4339.0)</f>
        <v>4339</v>
      </c>
      <c r="G4345" s="19">
        <f>IFERROR(__xludf.DUMMYFUNCTION("""COMPUTED_VALUE"""),0.00237)</f>
        <v>0.00237</v>
      </c>
      <c r="H4345" s="19" t="str">
        <f>IFERROR(__xludf.DUMMYFUNCTION("""COMPUTED_VALUE"""),"-")</f>
        <v>-</v>
      </c>
      <c r="I4345" s="19">
        <f>IFERROR(__xludf.DUMMYFUNCTION("""COMPUTED_VALUE"""),0.00222)</f>
        <v>0.00222</v>
      </c>
      <c r="J4345" s="19">
        <f>IFERROR(__xludf.DUMMYFUNCTION("""COMPUTED_VALUE"""),0.04563)</f>
        <v>0.04563</v>
      </c>
      <c r="K4345" s="19" t="str">
        <f>IFERROR(__xludf.DUMMYFUNCTION("""COMPUTED_VALUE"""),"-")</f>
        <v>-</v>
      </c>
      <c r="L4345" s="19" t="str">
        <f>IFERROR(__xludf.DUMMYFUNCTION("""COMPUTED_VALUE"""),"-")</f>
        <v>-</v>
      </c>
      <c r="O4345" s="24">
        <f t="shared" si="4"/>
        <v>0</v>
      </c>
      <c r="P4345" s="24"/>
      <c r="Q4345" s="24">
        <f t="shared" si="6"/>
        <v>0</v>
      </c>
      <c r="R4345" s="24">
        <f t="shared" si="7"/>
        <v>0</v>
      </c>
      <c r="S4345" s="24"/>
      <c r="T4345" s="24"/>
    </row>
    <row r="4346">
      <c r="A4346" s="12" t="s">
        <v>4433</v>
      </c>
      <c r="F4346" s="19">
        <f>IFERROR(__xludf.DUMMYFUNCTION("SPLIT(A4342, "" |"")"),4340.0)</f>
        <v>4340</v>
      </c>
      <c r="G4346" s="19">
        <f>IFERROR(__xludf.DUMMYFUNCTION("""COMPUTED_VALUE"""),0.00242)</f>
        <v>0.00242</v>
      </c>
      <c r="H4346" s="19" t="str">
        <f>IFERROR(__xludf.DUMMYFUNCTION("""COMPUTED_VALUE"""),"-")</f>
        <v>-</v>
      </c>
      <c r="I4346" s="19">
        <f>IFERROR(__xludf.DUMMYFUNCTION("""COMPUTED_VALUE"""),0.00221)</f>
        <v>0.00221</v>
      </c>
      <c r="J4346" s="19">
        <f>IFERROR(__xludf.DUMMYFUNCTION("""COMPUTED_VALUE"""),0.04745)</f>
        <v>0.04745</v>
      </c>
      <c r="K4346" s="19" t="str">
        <f>IFERROR(__xludf.DUMMYFUNCTION("""COMPUTED_VALUE"""),"-")</f>
        <v>-</v>
      </c>
      <c r="L4346" s="19" t="str">
        <f>IFERROR(__xludf.DUMMYFUNCTION("""COMPUTED_VALUE"""),"-")</f>
        <v>-</v>
      </c>
      <c r="O4346" s="24">
        <f t="shared" si="4"/>
        <v>0</v>
      </c>
      <c r="P4346" s="24"/>
      <c r="Q4346" s="24">
        <f t="shared" si="6"/>
        <v>0</v>
      </c>
      <c r="R4346" s="24">
        <f t="shared" si="7"/>
        <v>0</v>
      </c>
      <c r="S4346" s="24"/>
      <c r="T4346" s="24"/>
    </row>
    <row r="4347">
      <c r="A4347" s="12" t="s">
        <v>4434</v>
      </c>
      <c r="F4347" s="19">
        <f>IFERROR(__xludf.DUMMYFUNCTION("SPLIT(A4343, "" |"")"),4341.0)</f>
        <v>4341</v>
      </c>
      <c r="G4347" s="19">
        <f>IFERROR(__xludf.DUMMYFUNCTION("""COMPUTED_VALUE"""),0.00234)</f>
        <v>0.00234</v>
      </c>
      <c r="H4347" s="19" t="str">
        <f>IFERROR(__xludf.DUMMYFUNCTION("""COMPUTED_VALUE"""),"-")</f>
        <v>-</v>
      </c>
      <c r="I4347" s="19">
        <f>IFERROR(__xludf.DUMMYFUNCTION("""COMPUTED_VALUE"""),0.00222)</f>
        <v>0.00222</v>
      </c>
      <c r="J4347" s="19">
        <f>IFERROR(__xludf.DUMMYFUNCTION("""COMPUTED_VALUE"""),0.04746)</f>
        <v>0.04746</v>
      </c>
      <c r="K4347" s="19" t="str">
        <f>IFERROR(__xludf.DUMMYFUNCTION("""COMPUTED_VALUE"""),"-")</f>
        <v>-</v>
      </c>
      <c r="L4347" s="19" t="str">
        <f>IFERROR(__xludf.DUMMYFUNCTION("""COMPUTED_VALUE"""),"-")</f>
        <v>-</v>
      </c>
      <c r="O4347" s="24">
        <f t="shared" si="4"/>
        <v>0</v>
      </c>
      <c r="P4347" s="24"/>
      <c r="Q4347" s="24">
        <f t="shared" si="6"/>
        <v>0</v>
      </c>
      <c r="R4347" s="24">
        <f t="shared" si="7"/>
        <v>0</v>
      </c>
      <c r="S4347" s="24"/>
      <c r="T4347" s="24"/>
    </row>
    <row r="4348">
      <c r="A4348" s="12" t="s">
        <v>4435</v>
      </c>
      <c r="F4348" s="19">
        <f>IFERROR(__xludf.DUMMYFUNCTION("SPLIT(A4344, "" |"")"),4342.0)</f>
        <v>4342</v>
      </c>
      <c r="G4348" s="19">
        <f>IFERROR(__xludf.DUMMYFUNCTION("""COMPUTED_VALUE"""),0.00233)</f>
        <v>0.00233</v>
      </c>
      <c r="H4348" s="19" t="str">
        <f>IFERROR(__xludf.DUMMYFUNCTION("""COMPUTED_VALUE"""),"-")</f>
        <v>-</v>
      </c>
      <c r="I4348" s="19">
        <f>IFERROR(__xludf.DUMMYFUNCTION("""COMPUTED_VALUE"""),0.00219)</f>
        <v>0.00219</v>
      </c>
      <c r="J4348" s="19">
        <f>IFERROR(__xludf.DUMMYFUNCTION("""COMPUTED_VALUE"""),0.04744)</f>
        <v>0.04744</v>
      </c>
      <c r="K4348" s="19" t="str">
        <f>IFERROR(__xludf.DUMMYFUNCTION("""COMPUTED_VALUE"""),"-")</f>
        <v>-</v>
      </c>
      <c r="L4348" s="19" t="str">
        <f>IFERROR(__xludf.DUMMYFUNCTION("""COMPUTED_VALUE"""),"-")</f>
        <v>-</v>
      </c>
      <c r="O4348" s="24">
        <f t="shared" si="4"/>
        <v>0</v>
      </c>
      <c r="P4348" s="24"/>
      <c r="Q4348" s="24">
        <f t="shared" si="6"/>
        <v>0</v>
      </c>
      <c r="R4348" s="24">
        <f t="shared" si="7"/>
        <v>0</v>
      </c>
      <c r="S4348" s="24"/>
      <c r="T4348" s="24"/>
    </row>
    <row r="4349">
      <c r="A4349" s="12" t="s">
        <v>4436</v>
      </c>
      <c r="F4349" s="19">
        <f>IFERROR(__xludf.DUMMYFUNCTION("SPLIT(A4345, "" |"")"),4343.0)</f>
        <v>4343</v>
      </c>
      <c r="G4349" s="19">
        <f>IFERROR(__xludf.DUMMYFUNCTION("""COMPUTED_VALUE"""),0.00237)</f>
        <v>0.00237</v>
      </c>
      <c r="H4349" s="19" t="str">
        <f>IFERROR(__xludf.DUMMYFUNCTION("""COMPUTED_VALUE"""),"-")</f>
        <v>-</v>
      </c>
      <c r="I4349" s="19">
        <f>IFERROR(__xludf.DUMMYFUNCTION("""COMPUTED_VALUE"""),0.00223)</f>
        <v>0.00223</v>
      </c>
      <c r="J4349" s="19">
        <f>IFERROR(__xludf.DUMMYFUNCTION("""COMPUTED_VALUE"""),0.04431)</f>
        <v>0.04431</v>
      </c>
      <c r="K4349" s="19" t="str">
        <f>IFERROR(__xludf.DUMMYFUNCTION("""COMPUTED_VALUE"""),"-")</f>
        <v>-</v>
      </c>
      <c r="L4349" s="19" t="str">
        <f>IFERROR(__xludf.DUMMYFUNCTION("""COMPUTED_VALUE"""),"-")</f>
        <v>-</v>
      </c>
      <c r="O4349" s="24">
        <f t="shared" si="4"/>
        <v>0</v>
      </c>
      <c r="P4349" s="24"/>
      <c r="Q4349" s="24">
        <f t="shared" si="6"/>
        <v>0</v>
      </c>
      <c r="R4349" s="24">
        <f t="shared" si="7"/>
        <v>1</v>
      </c>
      <c r="S4349" s="24"/>
      <c r="T4349" s="24"/>
    </row>
    <row r="4350">
      <c r="A4350" s="12" t="s">
        <v>4437</v>
      </c>
      <c r="F4350" s="19">
        <f>IFERROR(__xludf.DUMMYFUNCTION("SPLIT(A4346, "" |"")"),4344.0)</f>
        <v>4344</v>
      </c>
      <c r="G4350" s="19">
        <f>IFERROR(__xludf.DUMMYFUNCTION("""COMPUTED_VALUE"""),0.0024)</f>
        <v>0.0024</v>
      </c>
      <c r="H4350" s="19" t="str">
        <f>IFERROR(__xludf.DUMMYFUNCTION("""COMPUTED_VALUE"""),"-")</f>
        <v>-</v>
      </c>
      <c r="I4350" s="19">
        <f>IFERROR(__xludf.DUMMYFUNCTION("""COMPUTED_VALUE"""),0.00226)</f>
        <v>0.00226</v>
      </c>
      <c r="J4350" s="19">
        <f>IFERROR(__xludf.DUMMYFUNCTION("""COMPUTED_VALUE"""),0.04741)</f>
        <v>0.04741</v>
      </c>
      <c r="K4350" s="19" t="str">
        <f>IFERROR(__xludf.DUMMYFUNCTION("""COMPUTED_VALUE"""),"-")</f>
        <v>-</v>
      </c>
      <c r="L4350" s="19" t="str">
        <f>IFERROR(__xludf.DUMMYFUNCTION("""COMPUTED_VALUE"""),"-")</f>
        <v>-</v>
      </c>
      <c r="O4350" s="24">
        <f t="shared" si="4"/>
        <v>0</v>
      </c>
      <c r="P4350" s="24"/>
      <c r="Q4350" s="24">
        <f t="shared" si="6"/>
        <v>0</v>
      </c>
      <c r="R4350" s="24">
        <f t="shared" si="7"/>
        <v>0</v>
      </c>
      <c r="S4350" s="24"/>
      <c r="T4350" s="24"/>
    </row>
    <row r="4351">
      <c r="A4351" s="12" t="s">
        <v>4438</v>
      </c>
      <c r="F4351" s="19">
        <f>IFERROR(__xludf.DUMMYFUNCTION("SPLIT(A4347, "" |"")"),4345.0)</f>
        <v>4345</v>
      </c>
      <c r="G4351" s="19">
        <f>IFERROR(__xludf.DUMMYFUNCTION("""COMPUTED_VALUE"""),0.00224)</f>
        <v>0.00224</v>
      </c>
      <c r="H4351" s="19" t="str">
        <f>IFERROR(__xludf.DUMMYFUNCTION("""COMPUTED_VALUE"""),"-")</f>
        <v>-</v>
      </c>
      <c r="I4351" s="19">
        <f>IFERROR(__xludf.DUMMYFUNCTION("""COMPUTED_VALUE"""),0.0021)</f>
        <v>0.0021</v>
      </c>
      <c r="J4351" s="19">
        <f>IFERROR(__xludf.DUMMYFUNCTION("""COMPUTED_VALUE"""),0.0473)</f>
        <v>0.0473</v>
      </c>
      <c r="K4351" s="19" t="str">
        <f>IFERROR(__xludf.DUMMYFUNCTION("""COMPUTED_VALUE"""),"-")</f>
        <v>-</v>
      </c>
      <c r="L4351" s="19" t="str">
        <f>IFERROR(__xludf.DUMMYFUNCTION("""COMPUTED_VALUE"""),"-")</f>
        <v>-</v>
      </c>
      <c r="O4351" s="24">
        <f t="shared" si="4"/>
        <v>0</v>
      </c>
      <c r="P4351" s="24"/>
      <c r="Q4351" s="24">
        <f t="shared" si="6"/>
        <v>0</v>
      </c>
      <c r="R4351" s="24">
        <f t="shared" si="7"/>
        <v>0</v>
      </c>
      <c r="S4351" s="24"/>
      <c r="T4351" s="24"/>
    </row>
    <row r="4352">
      <c r="A4352" s="12" t="s">
        <v>4439</v>
      </c>
      <c r="F4352" s="19">
        <f>IFERROR(__xludf.DUMMYFUNCTION("SPLIT(A4348, "" |"")"),4346.0)</f>
        <v>4346</v>
      </c>
      <c r="G4352" s="19">
        <f>IFERROR(__xludf.DUMMYFUNCTION("""COMPUTED_VALUE"""),0.00237)</f>
        <v>0.00237</v>
      </c>
      <c r="H4352" s="19" t="str">
        <f>IFERROR(__xludf.DUMMYFUNCTION("""COMPUTED_VALUE"""),"-")</f>
        <v>-</v>
      </c>
      <c r="I4352" s="19">
        <f>IFERROR(__xludf.DUMMYFUNCTION("""COMPUTED_VALUE"""),0.00221)</f>
        <v>0.00221</v>
      </c>
      <c r="J4352" s="19">
        <f>IFERROR(__xludf.DUMMYFUNCTION("""COMPUTED_VALUE"""),0.04738)</f>
        <v>0.04738</v>
      </c>
      <c r="K4352" s="19" t="str">
        <f>IFERROR(__xludf.DUMMYFUNCTION("""COMPUTED_VALUE"""),"-")</f>
        <v>-</v>
      </c>
      <c r="L4352" s="19" t="str">
        <f>IFERROR(__xludf.DUMMYFUNCTION("""COMPUTED_VALUE"""),"-")</f>
        <v>-</v>
      </c>
      <c r="O4352" s="24">
        <f t="shared" si="4"/>
        <v>0</v>
      </c>
      <c r="P4352" s="24"/>
      <c r="Q4352" s="24">
        <f t="shared" si="6"/>
        <v>0</v>
      </c>
      <c r="R4352" s="24">
        <f t="shared" si="7"/>
        <v>0</v>
      </c>
      <c r="S4352" s="24"/>
      <c r="T4352" s="24"/>
    </row>
    <row r="4353">
      <c r="A4353" s="12" t="s">
        <v>4440</v>
      </c>
      <c r="F4353" s="19">
        <f>IFERROR(__xludf.DUMMYFUNCTION("SPLIT(A4349, "" |"")"),4347.0)</f>
        <v>4347</v>
      </c>
      <c r="G4353" s="19">
        <f>IFERROR(__xludf.DUMMYFUNCTION("""COMPUTED_VALUE"""),0.00237)</f>
        <v>0.00237</v>
      </c>
      <c r="H4353" s="19" t="str">
        <f>IFERROR(__xludf.DUMMYFUNCTION("""COMPUTED_VALUE"""),"-")</f>
        <v>-</v>
      </c>
      <c r="I4353" s="19">
        <f>IFERROR(__xludf.DUMMYFUNCTION("""COMPUTED_VALUE"""),0.00223)</f>
        <v>0.00223</v>
      </c>
      <c r="J4353" s="19">
        <f>IFERROR(__xludf.DUMMYFUNCTION("""COMPUTED_VALUE"""),0.04742)</f>
        <v>0.04742</v>
      </c>
      <c r="K4353" s="19" t="str">
        <f>IFERROR(__xludf.DUMMYFUNCTION("""COMPUTED_VALUE"""),"-")</f>
        <v>-</v>
      </c>
      <c r="L4353" s="19" t="str">
        <f>IFERROR(__xludf.DUMMYFUNCTION("""COMPUTED_VALUE"""),"-")</f>
        <v>-</v>
      </c>
      <c r="O4353" s="24">
        <f t="shared" si="4"/>
        <v>0</v>
      </c>
      <c r="P4353" s="24"/>
      <c r="Q4353" s="24">
        <f t="shared" si="6"/>
        <v>0</v>
      </c>
      <c r="R4353" s="24">
        <f t="shared" si="7"/>
        <v>0</v>
      </c>
      <c r="S4353" s="24"/>
      <c r="T4353" s="24"/>
    </row>
    <row r="4354">
      <c r="A4354" s="12" t="s">
        <v>4441</v>
      </c>
      <c r="F4354" s="19">
        <f>IFERROR(__xludf.DUMMYFUNCTION("SPLIT(A4350, "" |"")"),4348.0)</f>
        <v>4348</v>
      </c>
      <c r="G4354" s="19">
        <f>IFERROR(__xludf.DUMMYFUNCTION("""COMPUTED_VALUE"""),0.00236)</f>
        <v>0.00236</v>
      </c>
      <c r="H4354" s="19" t="str">
        <f>IFERROR(__xludf.DUMMYFUNCTION("""COMPUTED_VALUE"""),"-")</f>
        <v>-</v>
      </c>
      <c r="I4354" s="19">
        <f>IFERROR(__xludf.DUMMYFUNCTION("""COMPUTED_VALUE"""),0.0022)</f>
        <v>0.0022</v>
      </c>
      <c r="J4354" s="19">
        <f>IFERROR(__xludf.DUMMYFUNCTION("""COMPUTED_VALUE"""),0.04152)</f>
        <v>0.04152</v>
      </c>
      <c r="K4354" s="19" t="str">
        <f>IFERROR(__xludf.DUMMYFUNCTION("""COMPUTED_VALUE"""),"-")</f>
        <v>-</v>
      </c>
      <c r="L4354" s="19" t="str">
        <f>IFERROR(__xludf.DUMMYFUNCTION("""COMPUTED_VALUE"""),"-")</f>
        <v>-</v>
      </c>
      <c r="O4354" s="24">
        <f t="shared" si="4"/>
        <v>0</v>
      </c>
      <c r="P4354" s="24"/>
      <c r="Q4354" s="24">
        <f t="shared" si="6"/>
        <v>0</v>
      </c>
      <c r="R4354" s="24">
        <f t="shared" si="7"/>
        <v>1</v>
      </c>
      <c r="S4354" s="24"/>
      <c r="T4354" s="24"/>
    </row>
    <row r="4355">
      <c r="A4355" s="12" t="s">
        <v>4442</v>
      </c>
      <c r="F4355" s="19">
        <f>IFERROR(__xludf.DUMMYFUNCTION("SPLIT(A4351, "" |"")"),4349.0)</f>
        <v>4349</v>
      </c>
      <c r="G4355" s="19">
        <f>IFERROR(__xludf.DUMMYFUNCTION("""COMPUTED_VALUE"""),0.00234)</f>
        <v>0.00234</v>
      </c>
      <c r="H4355" s="19" t="str">
        <f>IFERROR(__xludf.DUMMYFUNCTION("""COMPUTED_VALUE"""),"-")</f>
        <v>-</v>
      </c>
      <c r="I4355" s="19">
        <f>IFERROR(__xludf.DUMMYFUNCTION("""COMPUTED_VALUE"""),0.00218)</f>
        <v>0.00218</v>
      </c>
      <c r="J4355" s="19">
        <f>IFERROR(__xludf.DUMMYFUNCTION("""COMPUTED_VALUE"""),0.04749)</f>
        <v>0.04749</v>
      </c>
      <c r="K4355" s="19" t="str">
        <f>IFERROR(__xludf.DUMMYFUNCTION("""COMPUTED_VALUE"""),"-")</f>
        <v>-</v>
      </c>
      <c r="L4355" s="19" t="str">
        <f>IFERROR(__xludf.DUMMYFUNCTION("""COMPUTED_VALUE"""),"-")</f>
        <v>-</v>
      </c>
      <c r="O4355" s="24">
        <f t="shared" si="4"/>
        <v>0</v>
      </c>
      <c r="P4355" s="24"/>
      <c r="Q4355" s="24">
        <f t="shared" si="6"/>
        <v>0</v>
      </c>
      <c r="R4355" s="24">
        <f t="shared" si="7"/>
        <v>0</v>
      </c>
      <c r="S4355" s="24"/>
      <c r="T4355" s="24"/>
    </row>
    <row r="4356">
      <c r="A4356" s="12" t="s">
        <v>4443</v>
      </c>
      <c r="F4356" s="19">
        <f>IFERROR(__xludf.DUMMYFUNCTION("SPLIT(A4352, "" |"")"),4350.0)</f>
        <v>4350</v>
      </c>
      <c r="G4356" s="19">
        <f>IFERROR(__xludf.DUMMYFUNCTION("""COMPUTED_VALUE"""),0.00239)</f>
        <v>0.00239</v>
      </c>
      <c r="H4356" s="19" t="str">
        <f>IFERROR(__xludf.DUMMYFUNCTION("""COMPUTED_VALUE"""),"-")</f>
        <v>-</v>
      </c>
      <c r="I4356" s="19">
        <f>IFERROR(__xludf.DUMMYFUNCTION("""COMPUTED_VALUE"""),0.00215)</f>
        <v>0.00215</v>
      </c>
      <c r="J4356" s="19">
        <f>IFERROR(__xludf.DUMMYFUNCTION("""COMPUTED_VALUE"""),0.04743)</f>
        <v>0.04743</v>
      </c>
      <c r="K4356" s="19" t="str">
        <f>IFERROR(__xludf.DUMMYFUNCTION("""COMPUTED_VALUE"""),"-")</f>
        <v>-</v>
      </c>
      <c r="L4356" s="19" t="str">
        <f>IFERROR(__xludf.DUMMYFUNCTION("""COMPUTED_VALUE"""),"-")</f>
        <v>-</v>
      </c>
      <c r="O4356" s="24">
        <f t="shared" si="4"/>
        <v>0</v>
      </c>
      <c r="P4356" s="24"/>
      <c r="Q4356" s="24">
        <f t="shared" si="6"/>
        <v>0</v>
      </c>
      <c r="R4356" s="24">
        <f t="shared" si="7"/>
        <v>0</v>
      </c>
      <c r="S4356" s="24"/>
      <c r="T4356" s="24"/>
    </row>
    <row r="4357">
      <c r="A4357" s="12" t="s">
        <v>4444</v>
      </c>
      <c r="F4357" s="19">
        <f>IFERROR(__xludf.DUMMYFUNCTION("SPLIT(A4353, "" |"")"),4351.0)</f>
        <v>4351</v>
      </c>
      <c r="G4357" s="19">
        <f>IFERROR(__xludf.DUMMYFUNCTION("""COMPUTED_VALUE"""),0.00234)</f>
        <v>0.00234</v>
      </c>
      <c r="H4357" s="19" t="str">
        <f>IFERROR(__xludf.DUMMYFUNCTION("""COMPUTED_VALUE"""),"-")</f>
        <v>-</v>
      </c>
      <c r="I4357" s="19">
        <f>IFERROR(__xludf.DUMMYFUNCTION("""COMPUTED_VALUE"""),0.00221)</f>
        <v>0.00221</v>
      </c>
      <c r="J4357" s="19">
        <f>IFERROR(__xludf.DUMMYFUNCTION("""COMPUTED_VALUE"""),0.04738)</f>
        <v>0.04738</v>
      </c>
      <c r="K4357" s="19" t="str">
        <f>IFERROR(__xludf.DUMMYFUNCTION("""COMPUTED_VALUE"""),"-")</f>
        <v>-</v>
      </c>
      <c r="L4357" s="19" t="str">
        <f>IFERROR(__xludf.DUMMYFUNCTION("""COMPUTED_VALUE"""),"-")</f>
        <v>-</v>
      </c>
      <c r="O4357" s="24">
        <f t="shared" si="4"/>
        <v>0</v>
      </c>
      <c r="P4357" s="24"/>
      <c r="Q4357" s="24">
        <f t="shared" si="6"/>
        <v>0</v>
      </c>
      <c r="R4357" s="24">
        <f t="shared" si="7"/>
        <v>0</v>
      </c>
      <c r="S4357" s="24"/>
      <c r="T4357" s="24"/>
    </row>
    <row r="4358">
      <c r="A4358" s="12" t="s">
        <v>4445</v>
      </c>
      <c r="F4358" s="19">
        <f>IFERROR(__xludf.DUMMYFUNCTION("SPLIT(A4354, "" |"")"),4352.0)</f>
        <v>4352</v>
      </c>
      <c r="G4358" s="19">
        <f>IFERROR(__xludf.DUMMYFUNCTION("""COMPUTED_VALUE"""),0.00231)</f>
        <v>0.00231</v>
      </c>
      <c r="H4358" s="19" t="str">
        <f>IFERROR(__xludf.DUMMYFUNCTION("""COMPUTED_VALUE"""),"-")</f>
        <v>-</v>
      </c>
      <c r="I4358" s="19">
        <f>IFERROR(__xludf.DUMMYFUNCTION("""COMPUTED_VALUE"""),0.00223)</f>
        <v>0.00223</v>
      </c>
      <c r="J4358" s="19">
        <f>IFERROR(__xludf.DUMMYFUNCTION("""COMPUTED_VALUE"""),0.04756)</f>
        <v>0.04756</v>
      </c>
      <c r="K4358" s="19" t="str">
        <f>IFERROR(__xludf.DUMMYFUNCTION("""COMPUTED_VALUE"""),"-")</f>
        <v>-</v>
      </c>
      <c r="L4358" s="19" t="str">
        <f>IFERROR(__xludf.DUMMYFUNCTION("""COMPUTED_VALUE"""),"-")</f>
        <v>-</v>
      </c>
      <c r="O4358" s="24">
        <f t="shared" si="4"/>
        <v>0</v>
      </c>
      <c r="P4358" s="24"/>
      <c r="Q4358" s="24">
        <f t="shared" si="6"/>
        <v>0</v>
      </c>
      <c r="R4358" s="24">
        <f t="shared" si="7"/>
        <v>0</v>
      </c>
      <c r="S4358" s="24"/>
      <c r="T4358" s="24"/>
    </row>
    <row r="4359">
      <c r="A4359" s="12" t="s">
        <v>4446</v>
      </c>
      <c r="F4359" s="19">
        <f>IFERROR(__xludf.DUMMYFUNCTION("SPLIT(A4355, "" |"")"),4353.0)</f>
        <v>4353</v>
      </c>
      <c r="G4359" s="19">
        <f>IFERROR(__xludf.DUMMYFUNCTION("""COMPUTED_VALUE"""),0.00246)</f>
        <v>0.00246</v>
      </c>
      <c r="H4359" s="19" t="str">
        <f>IFERROR(__xludf.DUMMYFUNCTION("""COMPUTED_VALUE"""),"-")</f>
        <v>-</v>
      </c>
      <c r="I4359" s="19">
        <f>IFERROR(__xludf.DUMMYFUNCTION("""COMPUTED_VALUE"""),0.00219)</f>
        <v>0.00219</v>
      </c>
      <c r="J4359" s="19">
        <f>IFERROR(__xludf.DUMMYFUNCTION("""COMPUTED_VALUE"""),0.04745)</f>
        <v>0.04745</v>
      </c>
      <c r="K4359" s="19" t="str">
        <f>IFERROR(__xludf.DUMMYFUNCTION("""COMPUTED_VALUE"""),"-")</f>
        <v>-</v>
      </c>
      <c r="L4359" s="19" t="str">
        <f>IFERROR(__xludf.DUMMYFUNCTION("""COMPUTED_VALUE"""),"-")</f>
        <v>-</v>
      </c>
      <c r="O4359" s="24">
        <f t="shared" si="4"/>
        <v>0</v>
      </c>
      <c r="P4359" s="24"/>
      <c r="Q4359" s="24">
        <f t="shared" si="6"/>
        <v>0</v>
      </c>
      <c r="R4359" s="24">
        <f t="shared" si="7"/>
        <v>0</v>
      </c>
      <c r="S4359" s="24"/>
      <c r="T4359" s="24"/>
    </row>
    <row r="4360">
      <c r="A4360" s="12" t="s">
        <v>4447</v>
      </c>
      <c r="F4360" s="19">
        <f>IFERROR(__xludf.DUMMYFUNCTION("SPLIT(A4356, "" |"")"),4354.0)</f>
        <v>4354</v>
      </c>
      <c r="G4360" s="19">
        <f>IFERROR(__xludf.DUMMYFUNCTION("""COMPUTED_VALUE"""),0.00238)</f>
        <v>0.00238</v>
      </c>
      <c r="H4360" s="19" t="str">
        <f>IFERROR(__xludf.DUMMYFUNCTION("""COMPUTED_VALUE"""),"-")</f>
        <v>-</v>
      </c>
      <c r="I4360" s="19">
        <f>IFERROR(__xludf.DUMMYFUNCTION("""COMPUTED_VALUE"""),0.00218)</f>
        <v>0.00218</v>
      </c>
      <c r="J4360" s="19">
        <f>IFERROR(__xludf.DUMMYFUNCTION("""COMPUTED_VALUE"""),0.04743)</f>
        <v>0.04743</v>
      </c>
      <c r="K4360" s="19" t="str">
        <f>IFERROR(__xludf.DUMMYFUNCTION("""COMPUTED_VALUE"""),"-")</f>
        <v>-</v>
      </c>
      <c r="L4360" s="19" t="str">
        <f>IFERROR(__xludf.DUMMYFUNCTION("""COMPUTED_VALUE"""),"-")</f>
        <v>-</v>
      </c>
      <c r="O4360" s="24">
        <f t="shared" si="4"/>
        <v>0</v>
      </c>
      <c r="P4360" s="24"/>
      <c r="Q4360" s="24">
        <f t="shared" si="6"/>
        <v>0</v>
      </c>
      <c r="R4360" s="24">
        <f t="shared" si="7"/>
        <v>0</v>
      </c>
      <c r="S4360" s="24"/>
      <c r="T4360" s="24"/>
    </row>
    <row r="4361">
      <c r="A4361" s="12" t="s">
        <v>4448</v>
      </c>
      <c r="F4361" s="19">
        <f>IFERROR(__xludf.DUMMYFUNCTION("SPLIT(A4357, "" |"")"),4355.0)</f>
        <v>4355</v>
      </c>
      <c r="G4361" s="19">
        <f>IFERROR(__xludf.DUMMYFUNCTION("""COMPUTED_VALUE"""),0.0023)</f>
        <v>0.0023</v>
      </c>
      <c r="H4361" s="19" t="str">
        <f>IFERROR(__xludf.DUMMYFUNCTION("""COMPUTED_VALUE"""),"-")</f>
        <v>-</v>
      </c>
      <c r="I4361" s="19">
        <f>IFERROR(__xludf.DUMMYFUNCTION("""COMPUTED_VALUE"""),0.0022)</f>
        <v>0.0022</v>
      </c>
      <c r="J4361" s="19">
        <f>IFERROR(__xludf.DUMMYFUNCTION("""COMPUTED_VALUE"""),0.03979)</f>
        <v>0.03979</v>
      </c>
      <c r="K4361" s="19" t="str">
        <f>IFERROR(__xludf.DUMMYFUNCTION("""COMPUTED_VALUE"""),"-")</f>
        <v>-</v>
      </c>
      <c r="L4361" s="19" t="str">
        <f>IFERROR(__xludf.DUMMYFUNCTION("""COMPUTED_VALUE"""),"-")</f>
        <v>-</v>
      </c>
      <c r="O4361" s="24">
        <f t="shared" si="4"/>
        <v>0</v>
      </c>
      <c r="P4361" s="24"/>
      <c r="Q4361" s="24">
        <f t="shared" si="6"/>
        <v>0</v>
      </c>
      <c r="R4361" s="24">
        <f t="shared" si="7"/>
        <v>1</v>
      </c>
      <c r="S4361" s="24"/>
      <c r="T4361" s="24"/>
    </row>
    <row r="4362">
      <c r="A4362" s="12" t="s">
        <v>4449</v>
      </c>
      <c r="F4362" s="19">
        <f>IFERROR(__xludf.DUMMYFUNCTION("SPLIT(A4358, "" |"")"),4356.0)</f>
        <v>4356</v>
      </c>
      <c r="G4362" s="19">
        <f>IFERROR(__xludf.DUMMYFUNCTION("""COMPUTED_VALUE"""),0.00227)</f>
        <v>0.00227</v>
      </c>
      <c r="H4362" s="19" t="str">
        <f>IFERROR(__xludf.DUMMYFUNCTION("""COMPUTED_VALUE"""),"-")</f>
        <v>-</v>
      </c>
      <c r="I4362" s="19">
        <f>IFERROR(__xludf.DUMMYFUNCTION("""COMPUTED_VALUE"""),0.00223)</f>
        <v>0.00223</v>
      </c>
      <c r="J4362" s="19">
        <f>IFERROR(__xludf.DUMMYFUNCTION("""COMPUTED_VALUE"""),0.04736)</f>
        <v>0.04736</v>
      </c>
      <c r="K4362" s="19" t="str">
        <f>IFERROR(__xludf.DUMMYFUNCTION("""COMPUTED_VALUE"""),"-")</f>
        <v>-</v>
      </c>
      <c r="L4362" s="19" t="str">
        <f>IFERROR(__xludf.DUMMYFUNCTION("""COMPUTED_VALUE"""),"-")</f>
        <v>-</v>
      </c>
      <c r="O4362" s="24">
        <f t="shared" si="4"/>
        <v>0</v>
      </c>
      <c r="P4362" s="24"/>
      <c r="Q4362" s="24">
        <f t="shared" si="6"/>
        <v>0</v>
      </c>
      <c r="R4362" s="24">
        <f t="shared" si="7"/>
        <v>0</v>
      </c>
      <c r="S4362" s="24"/>
      <c r="T4362" s="24"/>
    </row>
    <row r="4363">
      <c r="A4363" s="12" t="s">
        <v>4450</v>
      </c>
      <c r="F4363" s="19">
        <f>IFERROR(__xludf.DUMMYFUNCTION("SPLIT(A4359, "" |"")"),4357.0)</f>
        <v>4357</v>
      </c>
      <c r="G4363" s="19">
        <f>IFERROR(__xludf.DUMMYFUNCTION("""COMPUTED_VALUE"""),0.00228)</f>
        <v>0.00228</v>
      </c>
      <c r="H4363" s="19" t="str">
        <f>IFERROR(__xludf.DUMMYFUNCTION("""COMPUTED_VALUE"""),"-")</f>
        <v>-</v>
      </c>
      <c r="I4363" s="19">
        <f>IFERROR(__xludf.DUMMYFUNCTION("""COMPUTED_VALUE"""),0.00219)</f>
        <v>0.00219</v>
      </c>
      <c r="J4363" s="19">
        <f>IFERROR(__xludf.DUMMYFUNCTION("""COMPUTED_VALUE"""),0.04747)</f>
        <v>0.04747</v>
      </c>
      <c r="K4363" s="19" t="str">
        <f>IFERROR(__xludf.DUMMYFUNCTION("""COMPUTED_VALUE"""),"-")</f>
        <v>-</v>
      </c>
      <c r="L4363" s="19" t="str">
        <f>IFERROR(__xludf.DUMMYFUNCTION("""COMPUTED_VALUE"""),"-")</f>
        <v>-</v>
      </c>
      <c r="O4363" s="24">
        <f t="shared" si="4"/>
        <v>0</v>
      </c>
      <c r="P4363" s="24"/>
      <c r="Q4363" s="24">
        <f t="shared" si="6"/>
        <v>0</v>
      </c>
      <c r="R4363" s="24">
        <f t="shared" si="7"/>
        <v>0</v>
      </c>
      <c r="S4363" s="24"/>
      <c r="T4363" s="24"/>
    </row>
    <row r="4364">
      <c r="A4364" s="12" t="s">
        <v>4451</v>
      </c>
      <c r="F4364" s="19">
        <f>IFERROR(__xludf.DUMMYFUNCTION("SPLIT(A4360, "" |"")"),4358.0)</f>
        <v>4358</v>
      </c>
      <c r="G4364" s="19">
        <f>IFERROR(__xludf.DUMMYFUNCTION("""COMPUTED_VALUE"""),0.00235)</f>
        <v>0.00235</v>
      </c>
      <c r="H4364" s="19" t="str">
        <f>IFERROR(__xludf.DUMMYFUNCTION("""COMPUTED_VALUE"""),"-")</f>
        <v>-</v>
      </c>
      <c r="I4364" s="19">
        <f>IFERROR(__xludf.DUMMYFUNCTION("""COMPUTED_VALUE"""),0.0022)</f>
        <v>0.0022</v>
      </c>
      <c r="J4364" s="19">
        <f>IFERROR(__xludf.DUMMYFUNCTION("""COMPUTED_VALUE"""),0.04432)</f>
        <v>0.04432</v>
      </c>
      <c r="K4364" s="19" t="str">
        <f>IFERROR(__xludf.DUMMYFUNCTION("""COMPUTED_VALUE"""),"-")</f>
        <v>-</v>
      </c>
      <c r="L4364" s="19" t="str">
        <f>IFERROR(__xludf.DUMMYFUNCTION("""COMPUTED_VALUE"""),"-")</f>
        <v>-</v>
      </c>
      <c r="O4364" s="24">
        <f t="shared" si="4"/>
        <v>0</v>
      </c>
      <c r="P4364" s="24"/>
      <c r="Q4364" s="24">
        <f t="shared" si="6"/>
        <v>0</v>
      </c>
      <c r="R4364" s="24">
        <f t="shared" si="7"/>
        <v>1</v>
      </c>
      <c r="S4364" s="24"/>
      <c r="T4364" s="24"/>
    </row>
    <row r="4365">
      <c r="A4365" s="12" t="s">
        <v>4452</v>
      </c>
      <c r="F4365" s="19">
        <f>IFERROR(__xludf.DUMMYFUNCTION("SPLIT(A4361, "" |"")"),4359.0)</f>
        <v>4359</v>
      </c>
      <c r="G4365" s="19">
        <f>IFERROR(__xludf.DUMMYFUNCTION("""COMPUTED_VALUE"""),0.0023)</f>
        <v>0.0023</v>
      </c>
      <c r="H4365" s="19" t="str">
        <f>IFERROR(__xludf.DUMMYFUNCTION("""COMPUTED_VALUE"""),"-")</f>
        <v>-</v>
      </c>
      <c r="I4365" s="19">
        <f>IFERROR(__xludf.DUMMYFUNCTION("""COMPUTED_VALUE"""),0.00218)</f>
        <v>0.00218</v>
      </c>
      <c r="J4365" s="19">
        <f>IFERROR(__xludf.DUMMYFUNCTION("""COMPUTED_VALUE"""),0.04738)</f>
        <v>0.04738</v>
      </c>
      <c r="K4365" s="19" t="str">
        <f>IFERROR(__xludf.DUMMYFUNCTION("""COMPUTED_VALUE"""),"-")</f>
        <v>-</v>
      </c>
      <c r="L4365" s="19" t="str">
        <f>IFERROR(__xludf.DUMMYFUNCTION("""COMPUTED_VALUE"""),"-")</f>
        <v>-</v>
      </c>
      <c r="O4365" s="24">
        <f t="shared" si="4"/>
        <v>0</v>
      </c>
      <c r="P4365" s="24"/>
      <c r="Q4365" s="24">
        <f t="shared" si="6"/>
        <v>0</v>
      </c>
      <c r="R4365" s="24">
        <f t="shared" si="7"/>
        <v>0</v>
      </c>
      <c r="S4365" s="24"/>
      <c r="T4365" s="24"/>
    </row>
    <row r="4366">
      <c r="A4366" s="12" t="s">
        <v>4453</v>
      </c>
      <c r="F4366" s="19">
        <f>IFERROR(__xludf.DUMMYFUNCTION("SPLIT(A4362, "" |"")"),4360.0)</f>
        <v>4360</v>
      </c>
      <c r="G4366" s="19">
        <f>IFERROR(__xludf.DUMMYFUNCTION("""COMPUTED_VALUE"""),0.00237)</f>
        <v>0.00237</v>
      </c>
      <c r="H4366" s="19" t="str">
        <f>IFERROR(__xludf.DUMMYFUNCTION("""COMPUTED_VALUE"""),"-")</f>
        <v>-</v>
      </c>
      <c r="I4366" s="19">
        <f>IFERROR(__xludf.DUMMYFUNCTION("""COMPUTED_VALUE"""),0.00223)</f>
        <v>0.00223</v>
      </c>
      <c r="J4366" s="19">
        <f>IFERROR(__xludf.DUMMYFUNCTION("""COMPUTED_VALUE"""),0.04743)</f>
        <v>0.04743</v>
      </c>
      <c r="K4366" s="19" t="str">
        <f>IFERROR(__xludf.DUMMYFUNCTION("""COMPUTED_VALUE"""),"-")</f>
        <v>-</v>
      </c>
      <c r="L4366" s="19" t="str">
        <f>IFERROR(__xludf.DUMMYFUNCTION("""COMPUTED_VALUE"""),"-")</f>
        <v>-</v>
      </c>
      <c r="O4366" s="24">
        <f t="shared" si="4"/>
        <v>0</v>
      </c>
      <c r="P4366" s="24"/>
      <c r="Q4366" s="24">
        <f t="shared" si="6"/>
        <v>0</v>
      </c>
      <c r="R4366" s="24">
        <f t="shared" si="7"/>
        <v>0</v>
      </c>
      <c r="S4366" s="24"/>
      <c r="T4366" s="24"/>
    </row>
    <row r="4367">
      <c r="A4367" s="12" t="s">
        <v>4454</v>
      </c>
      <c r="F4367" s="19">
        <f>IFERROR(__xludf.DUMMYFUNCTION("SPLIT(A4363, "" |"")"),4361.0)</f>
        <v>4361</v>
      </c>
      <c r="G4367" s="19">
        <f>IFERROR(__xludf.DUMMYFUNCTION("""COMPUTED_VALUE"""),0.0024)</f>
        <v>0.0024</v>
      </c>
      <c r="H4367" s="19" t="str">
        <f>IFERROR(__xludf.DUMMYFUNCTION("""COMPUTED_VALUE"""),"-")</f>
        <v>-</v>
      </c>
      <c r="I4367" s="19">
        <f>IFERROR(__xludf.DUMMYFUNCTION("""COMPUTED_VALUE"""),0.00226)</f>
        <v>0.00226</v>
      </c>
      <c r="J4367" s="19">
        <f>IFERROR(__xludf.DUMMYFUNCTION("""COMPUTED_VALUE"""),0.04744)</f>
        <v>0.04744</v>
      </c>
      <c r="K4367" s="19" t="str">
        <f>IFERROR(__xludf.DUMMYFUNCTION("""COMPUTED_VALUE"""),"-")</f>
        <v>-</v>
      </c>
      <c r="L4367" s="19" t="str">
        <f>IFERROR(__xludf.DUMMYFUNCTION("""COMPUTED_VALUE"""),"-")</f>
        <v>-</v>
      </c>
      <c r="O4367" s="24">
        <f t="shared" si="4"/>
        <v>0</v>
      </c>
      <c r="P4367" s="24"/>
      <c r="Q4367" s="24">
        <f t="shared" si="6"/>
        <v>0</v>
      </c>
      <c r="R4367" s="24">
        <f t="shared" si="7"/>
        <v>0</v>
      </c>
      <c r="S4367" s="24"/>
      <c r="T4367" s="24"/>
    </row>
    <row r="4368">
      <c r="A4368" s="12" t="s">
        <v>4455</v>
      </c>
      <c r="F4368" s="19">
        <f>IFERROR(__xludf.DUMMYFUNCTION("SPLIT(A4364, "" |"")"),4362.0)</f>
        <v>4362</v>
      </c>
      <c r="G4368" s="19">
        <f>IFERROR(__xludf.DUMMYFUNCTION("""COMPUTED_VALUE"""),0.0023)</f>
        <v>0.0023</v>
      </c>
      <c r="H4368" s="19" t="str">
        <f>IFERROR(__xludf.DUMMYFUNCTION("""COMPUTED_VALUE"""),"-")</f>
        <v>-</v>
      </c>
      <c r="I4368" s="19">
        <f>IFERROR(__xludf.DUMMYFUNCTION("""COMPUTED_VALUE"""),0.00223)</f>
        <v>0.00223</v>
      </c>
      <c r="J4368" s="19">
        <f>IFERROR(__xludf.DUMMYFUNCTION("""COMPUTED_VALUE"""),0.04744)</f>
        <v>0.04744</v>
      </c>
      <c r="K4368" s="19" t="str">
        <f>IFERROR(__xludf.DUMMYFUNCTION("""COMPUTED_VALUE"""),"-")</f>
        <v>-</v>
      </c>
      <c r="L4368" s="19" t="str">
        <f>IFERROR(__xludf.DUMMYFUNCTION("""COMPUTED_VALUE"""),"-")</f>
        <v>-</v>
      </c>
      <c r="O4368" s="24">
        <f t="shared" si="4"/>
        <v>0</v>
      </c>
      <c r="P4368" s="24"/>
      <c r="Q4368" s="24">
        <f t="shared" si="6"/>
        <v>0</v>
      </c>
      <c r="R4368" s="24">
        <f t="shared" si="7"/>
        <v>0</v>
      </c>
      <c r="S4368" s="24"/>
      <c r="T4368" s="24"/>
    </row>
    <row r="4369">
      <c r="A4369" s="12" t="s">
        <v>4456</v>
      </c>
      <c r="F4369" s="19">
        <f>IFERROR(__xludf.DUMMYFUNCTION("SPLIT(A4365, "" |"")"),4363.0)</f>
        <v>4363</v>
      </c>
      <c r="G4369" s="19">
        <f>IFERROR(__xludf.DUMMYFUNCTION("""COMPUTED_VALUE"""),0.00237)</f>
        <v>0.00237</v>
      </c>
      <c r="H4369" s="19" t="str">
        <f>IFERROR(__xludf.DUMMYFUNCTION("""COMPUTED_VALUE"""),"-")</f>
        <v>-</v>
      </c>
      <c r="I4369" s="19">
        <f>IFERROR(__xludf.DUMMYFUNCTION("""COMPUTED_VALUE"""),0.0022)</f>
        <v>0.0022</v>
      </c>
      <c r="J4369" s="19">
        <f>IFERROR(__xludf.DUMMYFUNCTION("""COMPUTED_VALUE"""),0.0475)</f>
        <v>0.0475</v>
      </c>
      <c r="K4369" s="19" t="str">
        <f>IFERROR(__xludf.DUMMYFUNCTION("""COMPUTED_VALUE"""),"-")</f>
        <v>-</v>
      </c>
      <c r="L4369" s="19" t="str">
        <f>IFERROR(__xludf.DUMMYFUNCTION("""COMPUTED_VALUE"""),"-")</f>
        <v>-</v>
      </c>
      <c r="O4369" s="24">
        <f t="shared" si="4"/>
        <v>0</v>
      </c>
      <c r="P4369" s="24"/>
      <c r="Q4369" s="24">
        <f t="shared" si="6"/>
        <v>0</v>
      </c>
      <c r="R4369" s="24">
        <f t="shared" si="7"/>
        <v>0</v>
      </c>
      <c r="S4369" s="24"/>
      <c r="T4369" s="24"/>
    </row>
    <row r="4370">
      <c r="A4370" s="12" t="s">
        <v>4457</v>
      </c>
      <c r="F4370" s="19">
        <f>IFERROR(__xludf.DUMMYFUNCTION("SPLIT(A4366, "" |"")"),4364.0)</f>
        <v>4364</v>
      </c>
      <c r="G4370" s="19">
        <f>IFERROR(__xludf.DUMMYFUNCTION("""COMPUTED_VALUE"""),0.00231)</f>
        <v>0.00231</v>
      </c>
      <c r="H4370" s="19" t="str">
        <f>IFERROR(__xludf.DUMMYFUNCTION("""COMPUTED_VALUE"""),"-")</f>
        <v>-</v>
      </c>
      <c r="I4370" s="19">
        <f>IFERROR(__xludf.DUMMYFUNCTION("""COMPUTED_VALUE"""),0.00221)</f>
        <v>0.00221</v>
      </c>
      <c r="J4370" s="19">
        <f>IFERROR(__xludf.DUMMYFUNCTION("""COMPUTED_VALUE"""),0.04747)</f>
        <v>0.04747</v>
      </c>
      <c r="K4370" s="19" t="str">
        <f>IFERROR(__xludf.DUMMYFUNCTION("""COMPUTED_VALUE"""),"-")</f>
        <v>-</v>
      </c>
      <c r="L4370" s="19" t="str">
        <f>IFERROR(__xludf.DUMMYFUNCTION("""COMPUTED_VALUE"""),"-")</f>
        <v>-</v>
      </c>
      <c r="O4370" s="24">
        <f t="shared" si="4"/>
        <v>0</v>
      </c>
      <c r="P4370" s="24"/>
      <c r="Q4370" s="24">
        <f t="shared" si="6"/>
        <v>0</v>
      </c>
      <c r="R4370" s="24">
        <f t="shared" si="7"/>
        <v>0</v>
      </c>
      <c r="S4370" s="24"/>
      <c r="T4370" s="24"/>
    </row>
    <row r="4371">
      <c r="A4371" s="12" t="s">
        <v>4458</v>
      </c>
      <c r="F4371" s="19">
        <f>IFERROR(__xludf.DUMMYFUNCTION("SPLIT(A4367, "" |"")"),4365.0)</f>
        <v>4365</v>
      </c>
      <c r="G4371" s="19">
        <f>IFERROR(__xludf.DUMMYFUNCTION("""COMPUTED_VALUE"""),0.00233)</f>
        <v>0.00233</v>
      </c>
      <c r="H4371" s="19" t="str">
        <f>IFERROR(__xludf.DUMMYFUNCTION("""COMPUTED_VALUE"""),"-")</f>
        <v>-</v>
      </c>
      <c r="I4371" s="19">
        <f>IFERROR(__xludf.DUMMYFUNCTION("""COMPUTED_VALUE"""),0.00222)</f>
        <v>0.00222</v>
      </c>
      <c r="J4371" s="19">
        <f>IFERROR(__xludf.DUMMYFUNCTION("""COMPUTED_VALUE"""),0.04743)</f>
        <v>0.04743</v>
      </c>
      <c r="K4371" s="19" t="str">
        <f>IFERROR(__xludf.DUMMYFUNCTION("""COMPUTED_VALUE"""),"-")</f>
        <v>-</v>
      </c>
      <c r="L4371" s="19" t="str">
        <f>IFERROR(__xludf.DUMMYFUNCTION("""COMPUTED_VALUE"""),"-")</f>
        <v>-</v>
      </c>
      <c r="O4371" s="24">
        <f t="shared" si="4"/>
        <v>0</v>
      </c>
      <c r="P4371" s="24"/>
      <c r="Q4371" s="24">
        <f t="shared" si="6"/>
        <v>0</v>
      </c>
      <c r="R4371" s="24">
        <f t="shared" si="7"/>
        <v>0</v>
      </c>
      <c r="S4371" s="24"/>
      <c r="T4371" s="24"/>
    </row>
    <row r="4372">
      <c r="A4372" s="12" t="s">
        <v>4459</v>
      </c>
      <c r="F4372" s="19">
        <f>IFERROR(__xludf.DUMMYFUNCTION("SPLIT(A4368, "" |"")"),4366.0)</f>
        <v>4366</v>
      </c>
      <c r="G4372" s="19">
        <f>IFERROR(__xludf.DUMMYFUNCTION("""COMPUTED_VALUE"""),0.00237)</f>
        <v>0.00237</v>
      </c>
      <c r="H4372" s="19" t="str">
        <f>IFERROR(__xludf.DUMMYFUNCTION("""COMPUTED_VALUE"""),"-")</f>
        <v>-</v>
      </c>
      <c r="I4372" s="19">
        <f>IFERROR(__xludf.DUMMYFUNCTION("""COMPUTED_VALUE"""),0.00216)</f>
        <v>0.00216</v>
      </c>
      <c r="J4372" s="19">
        <f>IFERROR(__xludf.DUMMYFUNCTION("""COMPUTED_VALUE"""),0.04746)</f>
        <v>0.04746</v>
      </c>
      <c r="K4372" s="19" t="str">
        <f>IFERROR(__xludf.DUMMYFUNCTION("""COMPUTED_VALUE"""),"-")</f>
        <v>-</v>
      </c>
      <c r="L4372" s="19" t="str">
        <f>IFERROR(__xludf.DUMMYFUNCTION("""COMPUTED_VALUE"""),"-")</f>
        <v>-</v>
      </c>
      <c r="O4372" s="24">
        <f t="shared" si="4"/>
        <v>0</v>
      </c>
      <c r="P4372" s="24"/>
      <c r="Q4372" s="24">
        <f t="shared" si="6"/>
        <v>0</v>
      </c>
      <c r="R4372" s="24">
        <f t="shared" si="7"/>
        <v>0</v>
      </c>
      <c r="S4372" s="24"/>
      <c r="T4372" s="24"/>
    </row>
    <row r="4373">
      <c r="A4373" s="12" t="s">
        <v>4460</v>
      </c>
      <c r="F4373" s="19">
        <f>IFERROR(__xludf.DUMMYFUNCTION("SPLIT(A4369, "" |"")"),4367.0)</f>
        <v>4367</v>
      </c>
      <c r="G4373" s="19">
        <f>IFERROR(__xludf.DUMMYFUNCTION("""COMPUTED_VALUE"""),0.00231)</f>
        <v>0.00231</v>
      </c>
      <c r="H4373" s="19" t="str">
        <f>IFERROR(__xludf.DUMMYFUNCTION("""COMPUTED_VALUE"""),"-")</f>
        <v>-</v>
      </c>
      <c r="I4373" s="19">
        <f>IFERROR(__xludf.DUMMYFUNCTION("""COMPUTED_VALUE"""),0.00222)</f>
        <v>0.00222</v>
      </c>
      <c r="J4373" s="19">
        <f>IFERROR(__xludf.DUMMYFUNCTION("""COMPUTED_VALUE"""),0.04735)</f>
        <v>0.04735</v>
      </c>
      <c r="K4373" s="19" t="str">
        <f>IFERROR(__xludf.DUMMYFUNCTION("""COMPUTED_VALUE"""),"-")</f>
        <v>-</v>
      </c>
      <c r="L4373" s="19" t="str">
        <f>IFERROR(__xludf.DUMMYFUNCTION("""COMPUTED_VALUE"""),"-")</f>
        <v>-</v>
      </c>
      <c r="O4373" s="24">
        <f t="shared" si="4"/>
        <v>0</v>
      </c>
      <c r="P4373" s="24"/>
      <c r="Q4373" s="24">
        <f t="shared" si="6"/>
        <v>0</v>
      </c>
      <c r="R4373" s="24">
        <f t="shared" si="7"/>
        <v>0</v>
      </c>
      <c r="S4373" s="24"/>
      <c r="T4373" s="24"/>
    </row>
    <row r="4374">
      <c r="A4374" s="12" t="s">
        <v>4461</v>
      </c>
      <c r="F4374" s="19">
        <f>IFERROR(__xludf.DUMMYFUNCTION("SPLIT(A4370, "" |"")"),4368.0)</f>
        <v>4368</v>
      </c>
      <c r="G4374" s="19">
        <f>IFERROR(__xludf.DUMMYFUNCTION("""COMPUTED_VALUE"""),0.00245)</f>
        <v>0.00245</v>
      </c>
      <c r="H4374" s="19" t="str">
        <f>IFERROR(__xludf.DUMMYFUNCTION("""COMPUTED_VALUE"""),"-")</f>
        <v>-</v>
      </c>
      <c r="I4374" s="19">
        <f>IFERROR(__xludf.DUMMYFUNCTION("""COMPUTED_VALUE"""),0.00223)</f>
        <v>0.00223</v>
      </c>
      <c r="J4374" s="19">
        <f>IFERROR(__xludf.DUMMYFUNCTION("""COMPUTED_VALUE"""),0.04744)</f>
        <v>0.04744</v>
      </c>
      <c r="K4374" s="19" t="str">
        <f>IFERROR(__xludf.DUMMYFUNCTION("""COMPUTED_VALUE"""),"-")</f>
        <v>-</v>
      </c>
      <c r="L4374" s="19" t="str">
        <f>IFERROR(__xludf.DUMMYFUNCTION("""COMPUTED_VALUE"""),"-")</f>
        <v>-</v>
      </c>
      <c r="O4374" s="24">
        <f t="shared" si="4"/>
        <v>0</v>
      </c>
      <c r="P4374" s="24"/>
      <c r="Q4374" s="24">
        <f t="shared" si="6"/>
        <v>0</v>
      </c>
      <c r="R4374" s="24">
        <f t="shared" si="7"/>
        <v>0</v>
      </c>
      <c r="S4374" s="24"/>
      <c r="T4374" s="24"/>
    </row>
    <row r="4375">
      <c r="A4375" s="12" t="s">
        <v>4462</v>
      </c>
      <c r="F4375" s="19">
        <f>IFERROR(__xludf.DUMMYFUNCTION("SPLIT(A4371, "" |"")"),4369.0)</f>
        <v>4369</v>
      </c>
      <c r="G4375" s="19">
        <f>IFERROR(__xludf.DUMMYFUNCTION("""COMPUTED_VALUE"""),0.00229)</f>
        <v>0.00229</v>
      </c>
      <c r="H4375" s="19" t="str">
        <f>IFERROR(__xludf.DUMMYFUNCTION("""COMPUTED_VALUE"""),"-")</f>
        <v>-</v>
      </c>
      <c r="I4375" s="19">
        <f>IFERROR(__xludf.DUMMYFUNCTION("""COMPUTED_VALUE"""),0.00224)</f>
        <v>0.00224</v>
      </c>
      <c r="J4375" s="19">
        <f>IFERROR(__xludf.DUMMYFUNCTION("""COMPUTED_VALUE"""),0.0474)</f>
        <v>0.0474</v>
      </c>
      <c r="K4375" s="19" t="str">
        <f>IFERROR(__xludf.DUMMYFUNCTION("""COMPUTED_VALUE"""),"-")</f>
        <v>-</v>
      </c>
      <c r="L4375" s="19" t="str">
        <f>IFERROR(__xludf.DUMMYFUNCTION("""COMPUTED_VALUE"""),"-")</f>
        <v>-</v>
      </c>
      <c r="O4375" s="24">
        <f t="shared" si="4"/>
        <v>0</v>
      </c>
      <c r="P4375" s="24"/>
      <c r="Q4375" s="24">
        <f t="shared" si="6"/>
        <v>0</v>
      </c>
      <c r="R4375" s="24">
        <f t="shared" si="7"/>
        <v>0</v>
      </c>
      <c r="S4375" s="24"/>
      <c r="T4375" s="24"/>
    </row>
    <row r="4376">
      <c r="A4376" s="12" t="s">
        <v>4463</v>
      </c>
      <c r="F4376" s="19">
        <f>IFERROR(__xludf.DUMMYFUNCTION("SPLIT(A4372, "" |"")"),4370.0)</f>
        <v>4370</v>
      </c>
      <c r="G4376" s="19">
        <f>IFERROR(__xludf.DUMMYFUNCTION("""COMPUTED_VALUE"""),0.00243)</f>
        <v>0.00243</v>
      </c>
      <c r="H4376" s="19" t="str">
        <f>IFERROR(__xludf.DUMMYFUNCTION("""COMPUTED_VALUE"""),"-")</f>
        <v>-</v>
      </c>
      <c r="I4376" s="19">
        <f>IFERROR(__xludf.DUMMYFUNCTION("""COMPUTED_VALUE"""),0.00223)</f>
        <v>0.00223</v>
      </c>
      <c r="J4376" s="19">
        <f>IFERROR(__xludf.DUMMYFUNCTION("""COMPUTED_VALUE"""),0.04741)</f>
        <v>0.04741</v>
      </c>
      <c r="K4376" s="19" t="str">
        <f>IFERROR(__xludf.DUMMYFUNCTION("""COMPUTED_VALUE"""),"-")</f>
        <v>-</v>
      </c>
      <c r="L4376" s="19" t="str">
        <f>IFERROR(__xludf.DUMMYFUNCTION("""COMPUTED_VALUE"""),"-")</f>
        <v>-</v>
      </c>
      <c r="O4376" s="24">
        <f t="shared" si="4"/>
        <v>0</v>
      </c>
      <c r="P4376" s="24"/>
      <c r="Q4376" s="24">
        <f t="shared" si="6"/>
        <v>0</v>
      </c>
      <c r="R4376" s="24">
        <f t="shared" si="7"/>
        <v>0</v>
      </c>
      <c r="S4376" s="24"/>
      <c r="T4376" s="24"/>
    </row>
    <row r="4377">
      <c r="A4377" s="12" t="s">
        <v>4464</v>
      </c>
      <c r="F4377" s="19">
        <f>IFERROR(__xludf.DUMMYFUNCTION("SPLIT(A4373, "" |"")"),4371.0)</f>
        <v>4371</v>
      </c>
      <c r="G4377" s="19">
        <f>IFERROR(__xludf.DUMMYFUNCTION("""COMPUTED_VALUE"""),0.00236)</f>
        <v>0.00236</v>
      </c>
      <c r="H4377" s="19" t="str">
        <f>IFERROR(__xludf.DUMMYFUNCTION("""COMPUTED_VALUE"""),"-")</f>
        <v>-</v>
      </c>
      <c r="I4377" s="19">
        <f>IFERROR(__xludf.DUMMYFUNCTION("""COMPUTED_VALUE"""),0.00221)</f>
        <v>0.00221</v>
      </c>
      <c r="J4377" s="19">
        <f>IFERROR(__xludf.DUMMYFUNCTION("""COMPUTED_VALUE"""),0.0462)</f>
        <v>0.0462</v>
      </c>
      <c r="K4377" s="19" t="str">
        <f>IFERROR(__xludf.DUMMYFUNCTION("""COMPUTED_VALUE"""),"-")</f>
        <v>-</v>
      </c>
      <c r="L4377" s="19" t="str">
        <f>IFERROR(__xludf.DUMMYFUNCTION("""COMPUTED_VALUE"""),"-")</f>
        <v>-</v>
      </c>
      <c r="O4377" s="24">
        <f t="shared" si="4"/>
        <v>0</v>
      </c>
      <c r="P4377" s="24"/>
      <c r="Q4377" s="24">
        <f t="shared" si="6"/>
        <v>0</v>
      </c>
      <c r="R4377" s="24">
        <f t="shared" si="7"/>
        <v>0</v>
      </c>
      <c r="S4377" s="24"/>
      <c r="T4377" s="24"/>
    </row>
    <row r="4378">
      <c r="A4378" s="12" t="s">
        <v>4465</v>
      </c>
      <c r="F4378" s="19">
        <f>IFERROR(__xludf.DUMMYFUNCTION("SPLIT(A4374, "" |"")"),4372.0)</f>
        <v>4372</v>
      </c>
      <c r="G4378" s="19">
        <f>IFERROR(__xludf.DUMMYFUNCTION("""COMPUTED_VALUE"""),0.00242)</f>
        <v>0.00242</v>
      </c>
      <c r="H4378" s="19" t="str">
        <f>IFERROR(__xludf.DUMMYFUNCTION("""COMPUTED_VALUE"""),"-")</f>
        <v>-</v>
      </c>
      <c r="I4378" s="19">
        <f>IFERROR(__xludf.DUMMYFUNCTION("""COMPUTED_VALUE"""),0.00227)</f>
        <v>0.00227</v>
      </c>
      <c r="J4378" s="19">
        <f>IFERROR(__xludf.DUMMYFUNCTION("""COMPUTED_VALUE"""),0.04672)</f>
        <v>0.04672</v>
      </c>
      <c r="K4378" s="19" t="str">
        <f>IFERROR(__xludf.DUMMYFUNCTION("""COMPUTED_VALUE"""),"-")</f>
        <v>-</v>
      </c>
      <c r="L4378" s="19" t="str">
        <f>IFERROR(__xludf.DUMMYFUNCTION("""COMPUTED_VALUE"""),"-")</f>
        <v>-</v>
      </c>
      <c r="O4378" s="24">
        <f t="shared" si="4"/>
        <v>0</v>
      </c>
      <c r="P4378" s="24"/>
      <c r="Q4378" s="24">
        <f t="shared" si="6"/>
        <v>0</v>
      </c>
      <c r="R4378" s="24">
        <f t="shared" si="7"/>
        <v>0</v>
      </c>
      <c r="S4378" s="24"/>
      <c r="T4378" s="24"/>
    </row>
    <row r="4379">
      <c r="A4379" s="12" t="s">
        <v>4466</v>
      </c>
      <c r="F4379" s="19">
        <f>IFERROR(__xludf.DUMMYFUNCTION("SPLIT(A4375, "" |"")"),4373.0)</f>
        <v>4373</v>
      </c>
      <c r="G4379" s="19">
        <f>IFERROR(__xludf.DUMMYFUNCTION("""COMPUTED_VALUE"""),0.00233)</f>
        <v>0.00233</v>
      </c>
      <c r="H4379" s="19" t="str">
        <f>IFERROR(__xludf.DUMMYFUNCTION("""COMPUTED_VALUE"""),"-")</f>
        <v>-</v>
      </c>
      <c r="I4379" s="19">
        <f>IFERROR(__xludf.DUMMYFUNCTION("""COMPUTED_VALUE"""),0.00222)</f>
        <v>0.00222</v>
      </c>
      <c r="J4379" s="19">
        <f>IFERROR(__xludf.DUMMYFUNCTION("""COMPUTED_VALUE"""),0.04739)</f>
        <v>0.04739</v>
      </c>
      <c r="K4379" s="19" t="str">
        <f>IFERROR(__xludf.DUMMYFUNCTION("""COMPUTED_VALUE"""),"-")</f>
        <v>-</v>
      </c>
      <c r="L4379" s="19" t="str">
        <f>IFERROR(__xludf.DUMMYFUNCTION("""COMPUTED_VALUE"""),"-")</f>
        <v>-</v>
      </c>
      <c r="O4379" s="24">
        <f t="shared" si="4"/>
        <v>0</v>
      </c>
      <c r="P4379" s="24"/>
      <c r="Q4379" s="24">
        <f t="shared" si="6"/>
        <v>0</v>
      </c>
      <c r="R4379" s="24">
        <f t="shared" si="7"/>
        <v>0</v>
      </c>
      <c r="S4379" s="24"/>
      <c r="T4379" s="24"/>
    </row>
    <row r="4380">
      <c r="A4380" s="12" t="s">
        <v>4467</v>
      </c>
      <c r="F4380" s="19">
        <f>IFERROR(__xludf.DUMMYFUNCTION("SPLIT(A4376, "" |"")"),4374.0)</f>
        <v>4374</v>
      </c>
      <c r="G4380" s="19">
        <f>IFERROR(__xludf.DUMMYFUNCTION("""COMPUTED_VALUE"""),0.00242)</f>
        <v>0.00242</v>
      </c>
      <c r="H4380" s="19" t="str">
        <f>IFERROR(__xludf.DUMMYFUNCTION("""COMPUTED_VALUE"""),"-")</f>
        <v>-</v>
      </c>
      <c r="I4380" s="19">
        <f>IFERROR(__xludf.DUMMYFUNCTION("""COMPUTED_VALUE"""),0.00222)</f>
        <v>0.00222</v>
      </c>
      <c r="J4380" s="19">
        <f>IFERROR(__xludf.DUMMYFUNCTION("""COMPUTED_VALUE"""),0.04745)</f>
        <v>0.04745</v>
      </c>
      <c r="K4380" s="19" t="str">
        <f>IFERROR(__xludf.DUMMYFUNCTION("""COMPUTED_VALUE"""),"-")</f>
        <v>-</v>
      </c>
      <c r="L4380" s="19" t="str">
        <f>IFERROR(__xludf.DUMMYFUNCTION("""COMPUTED_VALUE"""),"-")</f>
        <v>-</v>
      </c>
      <c r="O4380" s="24">
        <f t="shared" si="4"/>
        <v>0</v>
      </c>
      <c r="P4380" s="24"/>
      <c r="Q4380" s="24">
        <f t="shared" si="6"/>
        <v>0</v>
      </c>
      <c r="R4380" s="24">
        <f t="shared" si="7"/>
        <v>0</v>
      </c>
      <c r="S4380" s="24"/>
      <c r="T4380" s="24"/>
    </row>
    <row r="4381">
      <c r="A4381" s="12" t="s">
        <v>4468</v>
      </c>
      <c r="F4381" s="19">
        <f>IFERROR(__xludf.DUMMYFUNCTION("SPLIT(A4377, "" |"")"),4375.0)</f>
        <v>4375</v>
      </c>
      <c r="G4381" s="19">
        <f>IFERROR(__xludf.DUMMYFUNCTION("""COMPUTED_VALUE"""),0.00236)</f>
        <v>0.00236</v>
      </c>
      <c r="H4381" s="19" t="str">
        <f>IFERROR(__xludf.DUMMYFUNCTION("""COMPUTED_VALUE"""),"-")</f>
        <v>-</v>
      </c>
      <c r="I4381" s="19">
        <f>IFERROR(__xludf.DUMMYFUNCTION("""COMPUTED_VALUE"""),0.00223)</f>
        <v>0.00223</v>
      </c>
      <c r="J4381" s="19">
        <f>IFERROR(__xludf.DUMMYFUNCTION("""COMPUTED_VALUE"""),0.04419)</f>
        <v>0.04419</v>
      </c>
      <c r="K4381" s="19" t="str">
        <f>IFERROR(__xludf.DUMMYFUNCTION("""COMPUTED_VALUE"""),"-")</f>
        <v>-</v>
      </c>
      <c r="L4381" s="19" t="str">
        <f>IFERROR(__xludf.DUMMYFUNCTION("""COMPUTED_VALUE"""),"-")</f>
        <v>-</v>
      </c>
      <c r="O4381" s="24">
        <f t="shared" si="4"/>
        <v>0</v>
      </c>
      <c r="P4381" s="24"/>
      <c r="Q4381" s="24">
        <f t="shared" si="6"/>
        <v>0</v>
      </c>
      <c r="R4381" s="24">
        <f t="shared" si="7"/>
        <v>1</v>
      </c>
      <c r="S4381" s="24"/>
      <c r="T4381" s="24"/>
    </row>
    <row r="4382">
      <c r="A4382" s="12" t="s">
        <v>4469</v>
      </c>
      <c r="F4382" s="19">
        <f>IFERROR(__xludf.DUMMYFUNCTION("SPLIT(A4378, "" |"")"),4376.0)</f>
        <v>4376</v>
      </c>
      <c r="G4382" s="19">
        <f>IFERROR(__xludf.DUMMYFUNCTION("""COMPUTED_VALUE"""),0.00236)</f>
        <v>0.00236</v>
      </c>
      <c r="H4382" s="19" t="str">
        <f>IFERROR(__xludf.DUMMYFUNCTION("""COMPUTED_VALUE"""),"-")</f>
        <v>-</v>
      </c>
      <c r="I4382" s="19">
        <f>IFERROR(__xludf.DUMMYFUNCTION("""COMPUTED_VALUE"""),0.00214)</f>
        <v>0.00214</v>
      </c>
      <c r="J4382" s="19">
        <f>IFERROR(__xludf.DUMMYFUNCTION("""COMPUTED_VALUE"""),0.0474)</f>
        <v>0.0474</v>
      </c>
      <c r="K4382" s="19" t="str">
        <f>IFERROR(__xludf.DUMMYFUNCTION("""COMPUTED_VALUE"""),"-")</f>
        <v>-</v>
      </c>
      <c r="L4382" s="19" t="str">
        <f>IFERROR(__xludf.DUMMYFUNCTION("""COMPUTED_VALUE"""),"-")</f>
        <v>-</v>
      </c>
      <c r="O4382" s="24">
        <f t="shared" si="4"/>
        <v>0</v>
      </c>
      <c r="P4382" s="24"/>
      <c r="Q4382" s="24">
        <f t="shared" si="6"/>
        <v>0</v>
      </c>
      <c r="R4382" s="24">
        <f t="shared" si="7"/>
        <v>0</v>
      </c>
      <c r="S4382" s="24"/>
      <c r="T4382" s="24"/>
    </row>
    <row r="4383">
      <c r="A4383" s="12" t="s">
        <v>4470</v>
      </c>
      <c r="F4383" s="19">
        <f>IFERROR(__xludf.DUMMYFUNCTION("SPLIT(A4379, "" |"")"),4377.0)</f>
        <v>4377</v>
      </c>
      <c r="G4383" s="19">
        <f>IFERROR(__xludf.DUMMYFUNCTION("""COMPUTED_VALUE"""),0.00234)</f>
        <v>0.00234</v>
      </c>
      <c r="H4383" s="19" t="str">
        <f>IFERROR(__xludf.DUMMYFUNCTION("""COMPUTED_VALUE"""),"-")</f>
        <v>-</v>
      </c>
      <c r="I4383" s="19">
        <f>IFERROR(__xludf.DUMMYFUNCTION("""COMPUTED_VALUE"""),0.00219)</f>
        <v>0.00219</v>
      </c>
      <c r="J4383" s="19">
        <f>IFERROR(__xludf.DUMMYFUNCTION("""COMPUTED_VALUE"""),0.04744)</f>
        <v>0.04744</v>
      </c>
      <c r="K4383" s="19" t="str">
        <f>IFERROR(__xludf.DUMMYFUNCTION("""COMPUTED_VALUE"""),"-")</f>
        <v>-</v>
      </c>
      <c r="L4383" s="19" t="str">
        <f>IFERROR(__xludf.DUMMYFUNCTION("""COMPUTED_VALUE"""),"-")</f>
        <v>-</v>
      </c>
      <c r="O4383" s="24">
        <f t="shared" si="4"/>
        <v>0</v>
      </c>
      <c r="P4383" s="24"/>
      <c r="Q4383" s="24">
        <f t="shared" si="6"/>
        <v>0</v>
      </c>
      <c r="R4383" s="24">
        <f t="shared" si="7"/>
        <v>0</v>
      </c>
      <c r="S4383" s="24"/>
      <c r="T4383" s="24"/>
    </row>
    <row r="4384">
      <c r="A4384" s="12" t="s">
        <v>4471</v>
      </c>
      <c r="F4384" s="19">
        <f>IFERROR(__xludf.DUMMYFUNCTION("SPLIT(A4380, "" |"")"),4378.0)</f>
        <v>4378</v>
      </c>
      <c r="G4384" s="19">
        <f>IFERROR(__xludf.DUMMYFUNCTION("""COMPUTED_VALUE"""),0.00224)</f>
        <v>0.00224</v>
      </c>
      <c r="H4384" s="19" t="str">
        <f>IFERROR(__xludf.DUMMYFUNCTION("""COMPUTED_VALUE"""),"-")</f>
        <v>-</v>
      </c>
      <c r="I4384" s="19">
        <f>IFERROR(__xludf.DUMMYFUNCTION("""COMPUTED_VALUE"""),0.00208)</f>
        <v>0.00208</v>
      </c>
      <c r="J4384" s="19">
        <f>IFERROR(__xludf.DUMMYFUNCTION("""COMPUTED_VALUE"""),0.04733)</f>
        <v>0.04733</v>
      </c>
      <c r="K4384" s="19" t="str">
        <f>IFERROR(__xludf.DUMMYFUNCTION("""COMPUTED_VALUE"""),"-")</f>
        <v>-</v>
      </c>
      <c r="L4384" s="19" t="str">
        <f>IFERROR(__xludf.DUMMYFUNCTION("""COMPUTED_VALUE"""),"-")</f>
        <v>-</v>
      </c>
      <c r="O4384" s="24">
        <f t="shared" si="4"/>
        <v>0</v>
      </c>
      <c r="P4384" s="24"/>
      <c r="Q4384" s="24">
        <f t="shared" si="6"/>
        <v>0</v>
      </c>
      <c r="R4384" s="24">
        <f t="shared" si="7"/>
        <v>0</v>
      </c>
      <c r="S4384" s="24"/>
      <c r="T4384" s="24"/>
    </row>
    <row r="4385">
      <c r="A4385" s="12" t="s">
        <v>4472</v>
      </c>
      <c r="F4385" s="19">
        <f>IFERROR(__xludf.DUMMYFUNCTION("SPLIT(A4381, "" |"")"),4379.0)</f>
        <v>4379</v>
      </c>
      <c r="G4385" s="19">
        <f>IFERROR(__xludf.DUMMYFUNCTION("""COMPUTED_VALUE"""),0.00236)</f>
        <v>0.00236</v>
      </c>
      <c r="H4385" s="19" t="str">
        <f>IFERROR(__xludf.DUMMYFUNCTION("""COMPUTED_VALUE"""),"-")</f>
        <v>-</v>
      </c>
      <c r="I4385" s="19">
        <f>IFERROR(__xludf.DUMMYFUNCTION("""COMPUTED_VALUE"""),0.00217)</f>
        <v>0.00217</v>
      </c>
      <c r="J4385" s="19">
        <f>IFERROR(__xludf.DUMMYFUNCTION("""COMPUTED_VALUE"""),0.04739)</f>
        <v>0.04739</v>
      </c>
      <c r="K4385" s="19" t="str">
        <f>IFERROR(__xludf.DUMMYFUNCTION("""COMPUTED_VALUE"""),"-")</f>
        <v>-</v>
      </c>
      <c r="L4385" s="19" t="str">
        <f>IFERROR(__xludf.DUMMYFUNCTION("""COMPUTED_VALUE"""),"-")</f>
        <v>-</v>
      </c>
      <c r="O4385" s="24">
        <f t="shared" si="4"/>
        <v>0</v>
      </c>
      <c r="P4385" s="24"/>
      <c r="Q4385" s="24">
        <f t="shared" si="6"/>
        <v>0</v>
      </c>
      <c r="R4385" s="24">
        <f t="shared" si="7"/>
        <v>0</v>
      </c>
      <c r="S4385" s="24"/>
      <c r="T4385" s="24"/>
    </row>
    <row r="4386">
      <c r="A4386" s="12" t="s">
        <v>4473</v>
      </c>
      <c r="F4386" s="19">
        <f>IFERROR(__xludf.DUMMYFUNCTION("SPLIT(A4382, "" |"")"),4380.0)</f>
        <v>4380</v>
      </c>
      <c r="G4386" s="19">
        <f>IFERROR(__xludf.DUMMYFUNCTION("""COMPUTED_VALUE"""),0.00243)</f>
        <v>0.00243</v>
      </c>
      <c r="H4386" s="19" t="str">
        <f>IFERROR(__xludf.DUMMYFUNCTION("""COMPUTED_VALUE"""),"-")</f>
        <v>-</v>
      </c>
      <c r="I4386" s="19">
        <f>IFERROR(__xludf.DUMMYFUNCTION("""COMPUTED_VALUE"""),0.00218)</f>
        <v>0.00218</v>
      </c>
      <c r="J4386" s="19">
        <f>IFERROR(__xludf.DUMMYFUNCTION("""COMPUTED_VALUE"""),0.04226)</f>
        <v>0.04226</v>
      </c>
      <c r="K4386" s="19" t="str">
        <f>IFERROR(__xludf.DUMMYFUNCTION("""COMPUTED_VALUE"""),"-")</f>
        <v>-</v>
      </c>
      <c r="L4386" s="19" t="str">
        <f>IFERROR(__xludf.DUMMYFUNCTION("""COMPUTED_VALUE"""),"-")</f>
        <v>-</v>
      </c>
      <c r="O4386" s="24">
        <f t="shared" si="4"/>
        <v>0</v>
      </c>
      <c r="P4386" s="24"/>
      <c r="Q4386" s="24">
        <f t="shared" si="6"/>
        <v>0</v>
      </c>
      <c r="R4386" s="24">
        <f t="shared" si="7"/>
        <v>1</v>
      </c>
      <c r="S4386" s="24"/>
      <c r="T4386" s="24"/>
    </row>
    <row r="4387">
      <c r="A4387" s="12" t="s">
        <v>4474</v>
      </c>
      <c r="F4387" s="19">
        <f>IFERROR(__xludf.DUMMYFUNCTION("SPLIT(A4383, "" |"")"),4381.0)</f>
        <v>4381</v>
      </c>
      <c r="G4387" s="19">
        <f>IFERROR(__xludf.DUMMYFUNCTION("""COMPUTED_VALUE"""),0.00249)</f>
        <v>0.00249</v>
      </c>
      <c r="H4387" s="19" t="str">
        <f>IFERROR(__xludf.DUMMYFUNCTION("""COMPUTED_VALUE"""),"-")</f>
        <v>-</v>
      </c>
      <c r="I4387" s="19">
        <f>IFERROR(__xludf.DUMMYFUNCTION("""COMPUTED_VALUE"""),0.0025)</f>
        <v>0.0025</v>
      </c>
      <c r="J4387" s="19">
        <f>IFERROR(__xludf.DUMMYFUNCTION("""COMPUTED_VALUE"""),0.04757)</f>
        <v>0.04757</v>
      </c>
      <c r="K4387" s="19" t="str">
        <f>IFERROR(__xludf.DUMMYFUNCTION("""COMPUTED_VALUE"""),"-")</f>
        <v>-</v>
      </c>
      <c r="L4387" s="19" t="str">
        <f>IFERROR(__xludf.DUMMYFUNCTION("""COMPUTED_VALUE"""),"-")</f>
        <v>-</v>
      </c>
      <c r="O4387" s="24">
        <f t="shared" si="4"/>
        <v>0</v>
      </c>
      <c r="P4387" s="24"/>
      <c r="Q4387" s="24">
        <f t="shared" si="6"/>
        <v>0</v>
      </c>
      <c r="R4387" s="24">
        <f t="shared" si="7"/>
        <v>0</v>
      </c>
      <c r="S4387" s="24"/>
      <c r="T4387" s="24"/>
    </row>
    <row r="4388">
      <c r="A4388" s="12" t="s">
        <v>4475</v>
      </c>
      <c r="F4388" s="19">
        <f>IFERROR(__xludf.DUMMYFUNCTION("SPLIT(A4384, "" |"")"),4382.0)</f>
        <v>4382</v>
      </c>
      <c r="G4388" s="19">
        <f>IFERROR(__xludf.DUMMYFUNCTION("""COMPUTED_VALUE"""),0.00244)</f>
        <v>0.00244</v>
      </c>
      <c r="H4388" s="19" t="str">
        <f>IFERROR(__xludf.DUMMYFUNCTION("""COMPUTED_VALUE"""),"-")</f>
        <v>-</v>
      </c>
      <c r="I4388" s="19">
        <f>IFERROR(__xludf.DUMMYFUNCTION("""COMPUTED_VALUE"""),0.00227)</f>
        <v>0.00227</v>
      </c>
      <c r="J4388" s="19">
        <f>IFERROR(__xludf.DUMMYFUNCTION("""COMPUTED_VALUE"""),0.04739)</f>
        <v>0.04739</v>
      </c>
      <c r="K4388" s="19" t="str">
        <f>IFERROR(__xludf.DUMMYFUNCTION("""COMPUTED_VALUE"""),"-")</f>
        <v>-</v>
      </c>
      <c r="L4388" s="19" t="str">
        <f>IFERROR(__xludf.DUMMYFUNCTION("""COMPUTED_VALUE"""),"-")</f>
        <v>-</v>
      </c>
      <c r="O4388" s="24">
        <f t="shared" si="4"/>
        <v>0</v>
      </c>
      <c r="P4388" s="24"/>
      <c r="Q4388" s="24">
        <f t="shared" si="6"/>
        <v>0</v>
      </c>
      <c r="R4388" s="24">
        <f t="shared" si="7"/>
        <v>0</v>
      </c>
      <c r="S4388" s="24"/>
      <c r="T4388" s="24"/>
    </row>
    <row r="4389">
      <c r="A4389" s="12" t="s">
        <v>4476</v>
      </c>
      <c r="F4389" s="19">
        <f>IFERROR(__xludf.DUMMYFUNCTION("SPLIT(A4385, "" |"")"),4383.0)</f>
        <v>4383</v>
      </c>
      <c r="G4389" s="19">
        <f>IFERROR(__xludf.DUMMYFUNCTION("""COMPUTED_VALUE"""),0.00242)</f>
        <v>0.00242</v>
      </c>
      <c r="H4389" s="19" t="str">
        <f>IFERROR(__xludf.DUMMYFUNCTION("""COMPUTED_VALUE"""),"-")</f>
        <v>-</v>
      </c>
      <c r="I4389" s="19">
        <f>IFERROR(__xludf.DUMMYFUNCTION("""COMPUTED_VALUE"""),0.00225)</f>
        <v>0.00225</v>
      </c>
      <c r="J4389" s="19">
        <f>IFERROR(__xludf.DUMMYFUNCTION("""COMPUTED_VALUE"""),0.04745)</f>
        <v>0.04745</v>
      </c>
      <c r="K4389" s="19" t="str">
        <f>IFERROR(__xludf.DUMMYFUNCTION("""COMPUTED_VALUE"""),"-")</f>
        <v>-</v>
      </c>
      <c r="L4389" s="19" t="str">
        <f>IFERROR(__xludf.DUMMYFUNCTION("""COMPUTED_VALUE"""),"-")</f>
        <v>-</v>
      </c>
      <c r="O4389" s="24">
        <f t="shared" si="4"/>
        <v>0</v>
      </c>
      <c r="P4389" s="24"/>
      <c r="Q4389" s="24">
        <f t="shared" si="6"/>
        <v>0</v>
      </c>
      <c r="R4389" s="24">
        <f t="shared" si="7"/>
        <v>0</v>
      </c>
      <c r="S4389" s="24"/>
      <c r="T4389" s="24"/>
    </row>
    <row r="4390">
      <c r="A4390" s="12" t="s">
        <v>4477</v>
      </c>
      <c r="F4390" s="19">
        <f>IFERROR(__xludf.DUMMYFUNCTION("SPLIT(A4386, "" |"")"),4384.0)</f>
        <v>4384</v>
      </c>
      <c r="G4390" s="19">
        <f>IFERROR(__xludf.DUMMYFUNCTION("""COMPUTED_VALUE"""),0.00231)</f>
        <v>0.00231</v>
      </c>
      <c r="H4390" s="19" t="str">
        <f>IFERROR(__xludf.DUMMYFUNCTION("""COMPUTED_VALUE"""),"-")</f>
        <v>-</v>
      </c>
      <c r="I4390" s="19">
        <f>IFERROR(__xludf.DUMMYFUNCTION("""COMPUTED_VALUE"""),0.00219)</f>
        <v>0.00219</v>
      </c>
      <c r="J4390" s="19">
        <f>IFERROR(__xludf.DUMMYFUNCTION("""COMPUTED_VALUE"""),0.04744)</f>
        <v>0.04744</v>
      </c>
      <c r="K4390" s="19" t="str">
        <f>IFERROR(__xludf.DUMMYFUNCTION("""COMPUTED_VALUE"""),"-")</f>
        <v>-</v>
      </c>
      <c r="L4390" s="19" t="str">
        <f>IFERROR(__xludf.DUMMYFUNCTION("""COMPUTED_VALUE"""),"-")</f>
        <v>-</v>
      </c>
      <c r="O4390" s="24">
        <f t="shared" si="4"/>
        <v>0</v>
      </c>
      <c r="P4390" s="24"/>
      <c r="Q4390" s="24">
        <f t="shared" si="6"/>
        <v>0</v>
      </c>
      <c r="R4390" s="24">
        <f t="shared" si="7"/>
        <v>0</v>
      </c>
      <c r="S4390" s="24"/>
      <c r="T4390" s="24"/>
    </row>
    <row r="4391">
      <c r="A4391" s="12" t="s">
        <v>4478</v>
      </c>
      <c r="F4391" s="19">
        <f>IFERROR(__xludf.DUMMYFUNCTION("SPLIT(A4387, "" |"")"),4385.0)</f>
        <v>4385</v>
      </c>
      <c r="G4391" s="19">
        <f>IFERROR(__xludf.DUMMYFUNCTION("""COMPUTED_VALUE"""),0.00235)</f>
        <v>0.00235</v>
      </c>
      <c r="H4391" s="19" t="str">
        <f>IFERROR(__xludf.DUMMYFUNCTION("""COMPUTED_VALUE"""),"-")</f>
        <v>-</v>
      </c>
      <c r="I4391" s="19">
        <f>IFERROR(__xludf.DUMMYFUNCTION("""COMPUTED_VALUE"""),0.0022)</f>
        <v>0.0022</v>
      </c>
      <c r="J4391" s="19">
        <f>IFERROR(__xludf.DUMMYFUNCTION("""COMPUTED_VALUE"""),0.04743)</f>
        <v>0.04743</v>
      </c>
      <c r="K4391" s="19" t="str">
        <f>IFERROR(__xludf.DUMMYFUNCTION("""COMPUTED_VALUE"""),"-")</f>
        <v>-</v>
      </c>
      <c r="L4391" s="19" t="str">
        <f>IFERROR(__xludf.DUMMYFUNCTION("""COMPUTED_VALUE"""),"-")</f>
        <v>-</v>
      </c>
      <c r="O4391" s="24">
        <f t="shared" si="4"/>
        <v>0</v>
      </c>
      <c r="P4391" s="24"/>
      <c r="Q4391" s="24">
        <f t="shared" si="6"/>
        <v>0</v>
      </c>
      <c r="R4391" s="24">
        <f t="shared" si="7"/>
        <v>0</v>
      </c>
      <c r="S4391" s="24"/>
      <c r="T4391" s="24"/>
    </row>
    <row r="4392">
      <c r="A4392" s="12" t="s">
        <v>4479</v>
      </c>
      <c r="F4392" s="19">
        <f>IFERROR(__xludf.DUMMYFUNCTION("SPLIT(A4388, "" |"")"),4386.0)</f>
        <v>4386</v>
      </c>
      <c r="G4392" s="19">
        <f>IFERROR(__xludf.DUMMYFUNCTION("""COMPUTED_VALUE"""),0.00235)</f>
        <v>0.00235</v>
      </c>
      <c r="H4392" s="19" t="str">
        <f>IFERROR(__xludf.DUMMYFUNCTION("""COMPUTED_VALUE"""),"-")</f>
        <v>-</v>
      </c>
      <c r="I4392" s="19">
        <f>IFERROR(__xludf.DUMMYFUNCTION("""COMPUTED_VALUE"""),0.00223)</f>
        <v>0.00223</v>
      </c>
      <c r="J4392" s="19">
        <f>IFERROR(__xludf.DUMMYFUNCTION("""COMPUTED_VALUE"""),0.04767)</f>
        <v>0.04767</v>
      </c>
      <c r="K4392" s="19" t="str">
        <f>IFERROR(__xludf.DUMMYFUNCTION("""COMPUTED_VALUE"""),"-")</f>
        <v>-</v>
      </c>
      <c r="L4392" s="19" t="str">
        <f>IFERROR(__xludf.DUMMYFUNCTION("""COMPUTED_VALUE"""),"-")</f>
        <v>-</v>
      </c>
      <c r="O4392" s="24">
        <f t="shared" si="4"/>
        <v>0</v>
      </c>
      <c r="P4392" s="24"/>
      <c r="Q4392" s="24">
        <f t="shared" si="6"/>
        <v>0</v>
      </c>
      <c r="R4392" s="24">
        <f t="shared" si="7"/>
        <v>0</v>
      </c>
      <c r="S4392" s="24"/>
      <c r="T4392" s="24"/>
    </row>
    <row r="4393">
      <c r="A4393" s="12" t="s">
        <v>4480</v>
      </c>
      <c r="F4393" s="19">
        <f>IFERROR(__xludf.DUMMYFUNCTION("SPLIT(A4389, "" |"")"),4387.0)</f>
        <v>4387</v>
      </c>
      <c r="G4393" s="19">
        <f>IFERROR(__xludf.DUMMYFUNCTION("""COMPUTED_VALUE"""),0.00243)</f>
        <v>0.00243</v>
      </c>
      <c r="H4393" s="19" t="str">
        <f>IFERROR(__xludf.DUMMYFUNCTION("""COMPUTED_VALUE"""),"-")</f>
        <v>-</v>
      </c>
      <c r="I4393" s="19">
        <f>IFERROR(__xludf.DUMMYFUNCTION("""COMPUTED_VALUE"""),0.00221)</f>
        <v>0.00221</v>
      </c>
      <c r="J4393" s="19">
        <f>IFERROR(__xludf.DUMMYFUNCTION("""COMPUTED_VALUE"""),0.04751)</f>
        <v>0.04751</v>
      </c>
      <c r="K4393" s="19" t="str">
        <f>IFERROR(__xludf.DUMMYFUNCTION("""COMPUTED_VALUE"""),"-")</f>
        <v>-</v>
      </c>
      <c r="L4393" s="19" t="str">
        <f>IFERROR(__xludf.DUMMYFUNCTION("""COMPUTED_VALUE"""),"-")</f>
        <v>-</v>
      </c>
      <c r="O4393" s="24">
        <f t="shared" si="4"/>
        <v>0</v>
      </c>
      <c r="P4393" s="24"/>
      <c r="Q4393" s="24">
        <f t="shared" si="6"/>
        <v>0</v>
      </c>
      <c r="R4393" s="24">
        <f t="shared" si="7"/>
        <v>0</v>
      </c>
      <c r="S4393" s="24"/>
      <c r="T4393" s="24"/>
    </row>
    <row r="4394">
      <c r="A4394" s="12" t="s">
        <v>4481</v>
      </c>
      <c r="F4394" s="19">
        <f>IFERROR(__xludf.DUMMYFUNCTION("SPLIT(A4390, "" |"")"),4388.0)</f>
        <v>4388</v>
      </c>
      <c r="G4394" s="19">
        <f>IFERROR(__xludf.DUMMYFUNCTION("""COMPUTED_VALUE"""),0.00241)</f>
        <v>0.00241</v>
      </c>
      <c r="H4394" s="19" t="str">
        <f>IFERROR(__xludf.DUMMYFUNCTION("""COMPUTED_VALUE"""),"-")</f>
        <v>-</v>
      </c>
      <c r="I4394" s="19">
        <f>IFERROR(__xludf.DUMMYFUNCTION("""COMPUTED_VALUE"""),0.00223)</f>
        <v>0.00223</v>
      </c>
      <c r="J4394" s="19">
        <f>IFERROR(__xludf.DUMMYFUNCTION("""COMPUTED_VALUE"""),0.04749)</f>
        <v>0.04749</v>
      </c>
      <c r="K4394" s="19" t="str">
        <f>IFERROR(__xludf.DUMMYFUNCTION("""COMPUTED_VALUE"""),"-")</f>
        <v>-</v>
      </c>
      <c r="L4394" s="19" t="str">
        <f>IFERROR(__xludf.DUMMYFUNCTION("""COMPUTED_VALUE"""),"-")</f>
        <v>-</v>
      </c>
      <c r="O4394" s="24">
        <f t="shared" si="4"/>
        <v>0</v>
      </c>
      <c r="P4394" s="24"/>
      <c r="Q4394" s="24">
        <f t="shared" si="6"/>
        <v>0</v>
      </c>
      <c r="R4394" s="24">
        <f t="shared" si="7"/>
        <v>0</v>
      </c>
      <c r="S4394" s="24"/>
      <c r="T4394" s="24"/>
    </row>
    <row r="4395">
      <c r="A4395" s="12" t="s">
        <v>4482</v>
      </c>
      <c r="F4395" s="19">
        <f>IFERROR(__xludf.DUMMYFUNCTION("SPLIT(A4391, "" |"")"),4389.0)</f>
        <v>4389</v>
      </c>
      <c r="G4395" s="19">
        <f>IFERROR(__xludf.DUMMYFUNCTION("""COMPUTED_VALUE"""),0.00236)</f>
        <v>0.00236</v>
      </c>
      <c r="H4395" s="19" t="str">
        <f>IFERROR(__xludf.DUMMYFUNCTION("""COMPUTED_VALUE"""),"-")</f>
        <v>-</v>
      </c>
      <c r="I4395" s="19">
        <f>IFERROR(__xludf.DUMMYFUNCTION("""COMPUTED_VALUE"""),0.00215)</f>
        <v>0.00215</v>
      </c>
      <c r="J4395" s="19">
        <f>IFERROR(__xludf.DUMMYFUNCTION("""COMPUTED_VALUE"""),0.04747)</f>
        <v>0.04747</v>
      </c>
      <c r="K4395" s="19" t="str">
        <f>IFERROR(__xludf.DUMMYFUNCTION("""COMPUTED_VALUE"""),"-")</f>
        <v>-</v>
      </c>
      <c r="L4395" s="19" t="str">
        <f>IFERROR(__xludf.DUMMYFUNCTION("""COMPUTED_VALUE"""),"-")</f>
        <v>-</v>
      </c>
      <c r="O4395" s="24">
        <f t="shared" si="4"/>
        <v>0</v>
      </c>
      <c r="P4395" s="24"/>
      <c r="Q4395" s="24">
        <f t="shared" si="6"/>
        <v>0</v>
      </c>
      <c r="R4395" s="24">
        <f t="shared" si="7"/>
        <v>0</v>
      </c>
      <c r="S4395" s="24"/>
      <c r="T4395" s="24"/>
    </row>
    <row r="4396">
      <c r="A4396" s="12" t="s">
        <v>4483</v>
      </c>
      <c r="F4396" s="19">
        <f>IFERROR(__xludf.DUMMYFUNCTION("SPLIT(A4392, "" |"")"),4390.0)</f>
        <v>4390</v>
      </c>
      <c r="G4396" s="19">
        <f>IFERROR(__xludf.DUMMYFUNCTION("""COMPUTED_VALUE"""),0.0024)</f>
        <v>0.0024</v>
      </c>
      <c r="H4396" s="19" t="str">
        <f>IFERROR(__xludf.DUMMYFUNCTION("""COMPUTED_VALUE"""),"-")</f>
        <v>-</v>
      </c>
      <c r="I4396" s="19">
        <f>IFERROR(__xludf.DUMMYFUNCTION("""COMPUTED_VALUE"""),0.00221)</f>
        <v>0.00221</v>
      </c>
      <c r="J4396" s="19">
        <f>IFERROR(__xludf.DUMMYFUNCTION("""COMPUTED_VALUE"""),0.04742)</f>
        <v>0.04742</v>
      </c>
      <c r="K4396" s="19" t="str">
        <f>IFERROR(__xludf.DUMMYFUNCTION("""COMPUTED_VALUE"""),"-")</f>
        <v>-</v>
      </c>
      <c r="L4396" s="19" t="str">
        <f>IFERROR(__xludf.DUMMYFUNCTION("""COMPUTED_VALUE"""),"-")</f>
        <v>-</v>
      </c>
      <c r="O4396" s="24">
        <f t="shared" si="4"/>
        <v>0</v>
      </c>
      <c r="P4396" s="24"/>
      <c r="Q4396" s="24">
        <f t="shared" si="6"/>
        <v>0</v>
      </c>
      <c r="R4396" s="24">
        <f t="shared" si="7"/>
        <v>0</v>
      </c>
      <c r="S4396" s="24"/>
      <c r="T4396" s="24"/>
    </row>
    <row r="4397">
      <c r="A4397" s="12" t="s">
        <v>4484</v>
      </c>
      <c r="F4397" s="19">
        <f>IFERROR(__xludf.DUMMYFUNCTION("SPLIT(A4393, "" |"")"),4391.0)</f>
        <v>4391</v>
      </c>
      <c r="G4397" s="19">
        <f>IFERROR(__xludf.DUMMYFUNCTION("""COMPUTED_VALUE"""),0.00243)</f>
        <v>0.00243</v>
      </c>
      <c r="H4397" s="19" t="str">
        <f>IFERROR(__xludf.DUMMYFUNCTION("""COMPUTED_VALUE"""),"-")</f>
        <v>-</v>
      </c>
      <c r="I4397" s="19">
        <f>IFERROR(__xludf.DUMMYFUNCTION("""COMPUTED_VALUE"""),0.0022)</f>
        <v>0.0022</v>
      </c>
      <c r="J4397" s="19">
        <f>IFERROR(__xludf.DUMMYFUNCTION("""COMPUTED_VALUE"""),0.04732)</f>
        <v>0.04732</v>
      </c>
      <c r="K4397" s="19" t="str">
        <f>IFERROR(__xludf.DUMMYFUNCTION("""COMPUTED_VALUE"""),"-")</f>
        <v>-</v>
      </c>
      <c r="L4397" s="19" t="str">
        <f>IFERROR(__xludf.DUMMYFUNCTION("""COMPUTED_VALUE"""),"-")</f>
        <v>-</v>
      </c>
      <c r="O4397" s="24">
        <f t="shared" si="4"/>
        <v>0</v>
      </c>
      <c r="P4397" s="24"/>
      <c r="Q4397" s="24">
        <f t="shared" si="6"/>
        <v>0</v>
      </c>
      <c r="R4397" s="24">
        <f t="shared" si="7"/>
        <v>0</v>
      </c>
      <c r="S4397" s="24"/>
      <c r="T4397" s="24"/>
    </row>
    <row r="4398">
      <c r="A4398" s="12" t="s">
        <v>4485</v>
      </c>
      <c r="F4398" s="19">
        <f>IFERROR(__xludf.DUMMYFUNCTION("SPLIT(A4394, "" |"")"),4392.0)</f>
        <v>4392</v>
      </c>
      <c r="G4398" s="19">
        <f>IFERROR(__xludf.DUMMYFUNCTION("""COMPUTED_VALUE"""),0.0024)</f>
        <v>0.0024</v>
      </c>
      <c r="H4398" s="19" t="str">
        <f>IFERROR(__xludf.DUMMYFUNCTION("""COMPUTED_VALUE"""),"-")</f>
        <v>-</v>
      </c>
      <c r="I4398" s="19">
        <f>IFERROR(__xludf.DUMMYFUNCTION("""COMPUTED_VALUE"""),0.00225)</f>
        <v>0.00225</v>
      </c>
      <c r="J4398" s="19">
        <f>IFERROR(__xludf.DUMMYFUNCTION("""COMPUTED_VALUE"""),0.04739)</f>
        <v>0.04739</v>
      </c>
      <c r="K4398" s="19" t="str">
        <f>IFERROR(__xludf.DUMMYFUNCTION("""COMPUTED_VALUE"""),"-")</f>
        <v>-</v>
      </c>
      <c r="L4398" s="19" t="str">
        <f>IFERROR(__xludf.DUMMYFUNCTION("""COMPUTED_VALUE"""),"-")</f>
        <v>-</v>
      </c>
      <c r="O4398" s="24">
        <f t="shared" si="4"/>
        <v>0</v>
      </c>
      <c r="P4398" s="24"/>
      <c r="Q4398" s="24">
        <f t="shared" si="6"/>
        <v>0</v>
      </c>
      <c r="R4398" s="24">
        <f t="shared" si="7"/>
        <v>0</v>
      </c>
      <c r="S4398" s="24"/>
      <c r="T4398" s="24"/>
    </row>
    <row r="4399">
      <c r="A4399" s="12" t="s">
        <v>4486</v>
      </c>
      <c r="F4399" s="19">
        <f>IFERROR(__xludf.DUMMYFUNCTION("SPLIT(A4395, "" |"")"),4393.0)</f>
        <v>4393</v>
      </c>
      <c r="G4399" s="19">
        <f>IFERROR(__xludf.DUMMYFUNCTION("""COMPUTED_VALUE"""),0.00233)</f>
        <v>0.00233</v>
      </c>
      <c r="H4399" s="19" t="str">
        <f>IFERROR(__xludf.DUMMYFUNCTION("""COMPUTED_VALUE"""),"-")</f>
        <v>-</v>
      </c>
      <c r="I4399" s="19">
        <f>IFERROR(__xludf.DUMMYFUNCTION("""COMPUTED_VALUE"""),0.0022)</f>
        <v>0.0022</v>
      </c>
      <c r="J4399" s="19">
        <f>IFERROR(__xludf.DUMMYFUNCTION("""COMPUTED_VALUE"""),0.0475)</f>
        <v>0.0475</v>
      </c>
      <c r="K4399" s="19" t="str">
        <f>IFERROR(__xludf.DUMMYFUNCTION("""COMPUTED_VALUE"""),"-")</f>
        <v>-</v>
      </c>
      <c r="L4399" s="19" t="str">
        <f>IFERROR(__xludf.DUMMYFUNCTION("""COMPUTED_VALUE"""),"-")</f>
        <v>-</v>
      </c>
      <c r="O4399" s="24">
        <f t="shared" si="4"/>
        <v>0</v>
      </c>
      <c r="P4399" s="24"/>
      <c r="Q4399" s="24">
        <f t="shared" si="6"/>
        <v>0</v>
      </c>
      <c r="R4399" s="24">
        <f t="shared" si="7"/>
        <v>0</v>
      </c>
      <c r="S4399" s="24"/>
      <c r="T4399" s="24"/>
    </row>
    <row r="4400">
      <c r="A4400" s="12" t="s">
        <v>4487</v>
      </c>
      <c r="F4400" s="19">
        <f>IFERROR(__xludf.DUMMYFUNCTION("SPLIT(A4396, "" |"")"),4394.0)</f>
        <v>4394</v>
      </c>
      <c r="G4400" s="19">
        <f>IFERROR(__xludf.DUMMYFUNCTION("""COMPUTED_VALUE"""),0.00237)</f>
        <v>0.00237</v>
      </c>
      <c r="H4400" s="19" t="str">
        <f>IFERROR(__xludf.DUMMYFUNCTION("""COMPUTED_VALUE"""),"-")</f>
        <v>-</v>
      </c>
      <c r="I4400" s="19">
        <f>IFERROR(__xludf.DUMMYFUNCTION("""COMPUTED_VALUE"""),0.00218)</f>
        <v>0.00218</v>
      </c>
      <c r="J4400" s="19">
        <f>IFERROR(__xludf.DUMMYFUNCTION("""COMPUTED_VALUE"""),0.04741)</f>
        <v>0.04741</v>
      </c>
      <c r="K4400" s="19" t="str">
        <f>IFERROR(__xludf.DUMMYFUNCTION("""COMPUTED_VALUE"""),"-")</f>
        <v>-</v>
      </c>
      <c r="L4400" s="19" t="str">
        <f>IFERROR(__xludf.DUMMYFUNCTION("""COMPUTED_VALUE"""),"-")</f>
        <v>-</v>
      </c>
      <c r="O4400" s="24">
        <f t="shared" si="4"/>
        <v>0</v>
      </c>
      <c r="P4400" s="24"/>
      <c r="Q4400" s="24">
        <f t="shared" si="6"/>
        <v>0</v>
      </c>
      <c r="R4400" s="24">
        <f t="shared" si="7"/>
        <v>0</v>
      </c>
      <c r="S4400" s="24"/>
      <c r="T4400" s="24"/>
    </row>
    <row r="4401">
      <c r="A4401" s="12" t="s">
        <v>4488</v>
      </c>
      <c r="F4401" s="19">
        <f>IFERROR(__xludf.DUMMYFUNCTION("SPLIT(A4397, "" |"")"),4395.0)</f>
        <v>4395</v>
      </c>
      <c r="G4401" s="19">
        <f>IFERROR(__xludf.DUMMYFUNCTION("""COMPUTED_VALUE"""),0.00237)</f>
        <v>0.00237</v>
      </c>
      <c r="H4401" s="19" t="str">
        <f>IFERROR(__xludf.DUMMYFUNCTION("""COMPUTED_VALUE"""),"-")</f>
        <v>-</v>
      </c>
      <c r="I4401" s="19">
        <f>IFERROR(__xludf.DUMMYFUNCTION("""COMPUTED_VALUE"""),0.0022)</f>
        <v>0.0022</v>
      </c>
      <c r="J4401" s="19">
        <f>IFERROR(__xludf.DUMMYFUNCTION("""COMPUTED_VALUE"""),0.04625)</f>
        <v>0.04625</v>
      </c>
      <c r="K4401" s="19" t="str">
        <f>IFERROR(__xludf.DUMMYFUNCTION("""COMPUTED_VALUE"""),"-")</f>
        <v>-</v>
      </c>
      <c r="L4401" s="19" t="str">
        <f>IFERROR(__xludf.DUMMYFUNCTION("""COMPUTED_VALUE"""),"-")</f>
        <v>-</v>
      </c>
      <c r="O4401" s="24">
        <f t="shared" si="4"/>
        <v>0</v>
      </c>
      <c r="P4401" s="24"/>
      <c r="Q4401" s="24">
        <f t="shared" si="6"/>
        <v>0</v>
      </c>
      <c r="R4401" s="24">
        <f t="shared" si="7"/>
        <v>0</v>
      </c>
      <c r="S4401" s="24"/>
      <c r="T4401" s="24"/>
    </row>
    <row r="4402">
      <c r="A4402" s="12" t="s">
        <v>4489</v>
      </c>
      <c r="F4402" s="19">
        <f>IFERROR(__xludf.DUMMYFUNCTION("SPLIT(A4398, "" |"")"),4396.0)</f>
        <v>4396</v>
      </c>
      <c r="G4402" s="19">
        <f>IFERROR(__xludf.DUMMYFUNCTION("""COMPUTED_VALUE"""),0.00236)</f>
        <v>0.00236</v>
      </c>
      <c r="H4402" s="19" t="str">
        <f>IFERROR(__xludf.DUMMYFUNCTION("""COMPUTED_VALUE"""),"-")</f>
        <v>-</v>
      </c>
      <c r="I4402" s="19">
        <f>IFERROR(__xludf.DUMMYFUNCTION("""COMPUTED_VALUE"""),0.00222)</f>
        <v>0.00222</v>
      </c>
      <c r="J4402" s="19">
        <f>IFERROR(__xludf.DUMMYFUNCTION("""COMPUTED_VALUE"""),0.04743)</f>
        <v>0.04743</v>
      </c>
      <c r="K4402" s="19" t="str">
        <f>IFERROR(__xludf.DUMMYFUNCTION("""COMPUTED_VALUE"""),"-")</f>
        <v>-</v>
      </c>
      <c r="L4402" s="19" t="str">
        <f>IFERROR(__xludf.DUMMYFUNCTION("""COMPUTED_VALUE"""),"-")</f>
        <v>-</v>
      </c>
      <c r="O4402" s="24">
        <f t="shared" si="4"/>
        <v>0</v>
      </c>
      <c r="P4402" s="24"/>
      <c r="Q4402" s="24">
        <f t="shared" si="6"/>
        <v>0</v>
      </c>
      <c r="R4402" s="24">
        <f t="shared" si="7"/>
        <v>0</v>
      </c>
      <c r="S4402" s="24"/>
      <c r="T4402" s="24"/>
    </row>
    <row r="4403">
      <c r="A4403" s="12" t="s">
        <v>4490</v>
      </c>
      <c r="F4403" s="19">
        <f>IFERROR(__xludf.DUMMYFUNCTION("SPLIT(A4399, "" |"")"),4397.0)</f>
        <v>4397</v>
      </c>
      <c r="G4403" s="19">
        <f>IFERROR(__xludf.DUMMYFUNCTION("""COMPUTED_VALUE"""),0.00236)</f>
        <v>0.00236</v>
      </c>
      <c r="H4403" s="19" t="str">
        <f>IFERROR(__xludf.DUMMYFUNCTION("""COMPUTED_VALUE"""),"-")</f>
        <v>-</v>
      </c>
      <c r="I4403" s="19">
        <f>IFERROR(__xludf.DUMMYFUNCTION("""COMPUTED_VALUE"""),0.00221)</f>
        <v>0.00221</v>
      </c>
      <c r="J4403" s="19">
        <f>IFERROR(__xludf.DUMMYFUNCTION("""COMPUTED_VALUE"""),0.04744)</f>
        <v>0.04744</v>
      </c>
      <c r="K4403" s="19" t="str">
        <f>IFERROR(__xludf.DUMMYFUNCTION("""COMPUTED_VALUE"""),"-")</f>
        <v>-</v>
      </c>
      <c r="L4403" s="19" t="str">
        <f>IFERROR(__xludf.DUMMYFUNCTION("""COMPUTED_VALUE"""),"-")</f>
        <v>-</v>
      </c>
      <c r="O4403" s="24">
        <f t="shared" si="4"/>
        <v>0</v>
      </c>
      <c r="P4403" s="24"/>
      <c r="Q4403" s="24">
        <f t="shared" si="6"/>
        <v>0</v>
      </c>
      <c r="R4403" s="24">
        <f t="shared" si="7"/>
        <v>0</v>
      </c>
      <c r="S4403" s="24"/>
      <c r="T4403" s="24"/>
    </row>
    <row r="4404">
      <c r="A4404" s="12" t="s">
        <v>4491</v>
      </c>
      <c r="F4404" s="19">
        <f>IFERROR(__xludf.DUMMYFUNCTION("SPLIT(A4400, "" |"")"),4398.0)</f>
        <v>4398</v>
      </c>
      <c r="G4404" s="19">
        <f>IFERROR(__xludf.DUMMYFUNCTION("""COMPUTED_VALUE"""),0.00238)</f>
        <v>0.00238</v>
      </c>
      <c r="H4404" s="19" t="str">
        <f>IFERROR(__xludf.DUMMYFUNCTION("""COMPUTED_VALUE"""),"-")</f>
        <v>-</v>
      </c>
      <c r="I4404" s="19">
        <f>IFERROR(__xludf.DUMMYFUNCTION("""COMPUTED_VALUE"""),0.00215)</f>
        <v>0.00215</v>
      </c>
      <c r="J4404" s="19">
        <f>IFERROR(__xludf.DUMMYFUNCTION("""COMPUTED_VALUE"""),0.04385)</f>
        <v>0.04385</v>
      </c>
      <c r="K4404" s="19" t="str">
        <f>IFERROR(__xludf.DUMMYFUNCTION("""COMPUTED_VALUE"""),"-")</f>
        <v>-</v>
      </c>
      <c r="L4404" s="19" t="str">
        <f>IFERROR(__xludf.DUMMYFUNCTION("""COMPUTED_VALUE"""),"-")</f>
        <v>-</v>
      </c>
      <c r="O4404" s="24">
        <f t="shared" si="4"/>
        <v>0</v>
      </c>
      <c r="P4404" s="24"/>
      <c r="Q4404" s="24">
        <f t="shared" si="6"/>
        <v>0</v>
      </c>
      <c r="R4404" s="24">
        <f t="shared" si="7"/>
        <v>1</v>
      </c>
      <c r="S4404" s="24"/>
      <c r="T4404" s="24"/>
    </row>
    <row r="4405">
      <c r="A4405" s="12" t="s">
        <v>4492</v>
      </c>
      <c r="F4405" s="19">
        <f>IFERROR(__xludf.DUMMYFUNCTION("SPLIT(A4401, "" |"")"),4399.0)</f>
        <v>4399</v>
      </c>
      <c r="G4405" s="19">
        <f>IFERROR(__xludf.DUMMYFUNCTION("""COMPUTED_VALUE"""),0.00228)</f>
        <v>0.00228</v>
      </c>
      <c r="H4405" s="19" t="str">
        <f>IFERROR(__xludf.DUMMYFUNCTION("""COMPUTED_VALUE"""),"-")</f>
        <v>-</v>
      </c>
      <c r="I4405" s="19">
        <f>IFERROR(__xludf.DUMMYFUNCTION("""COMPUTED_VALUE"""),0.00226)</f>
        <v>0.00226</v>
      </c>
      <c r="J4405" s="19">
        <f>IFERROR(__xludf.DUMMYFUNCTION("""COMPUTED_VALUE"""),0.04746)</f>
        <v>0.04746</v>
      </c>
      <c r="K4405" s="19" t="str">
        <f>IFERROR(__xludf.DUMMYFUNCTION("""COMPUTED_VALUE"""),"-")</f>
        <v>-</v>
      </c>
      <c r="L4405" s="19" t="str">
        <f>IFERROR(__xludf.DUMMYFUNCTION("""COMPUTED_VALUE"""),"-")</f>
        <v>-</v>
      </c>
      <c r="O4405" s="24">
        <f t="shared" si="4"/>
        <v>0</v>
      </c>
      <c r="P4405" s="24"/>
      <c r="Q4405" s="24">
        <f t="shared" si="6"/>
        <v>0</v>
      </c>
      <c r="R4405" s="24">
        <f t="shared" si="7"/>
        <v>0</v>
      </c>
      <c r="S4405" s="24"/>
      <c r="T4405" s="24"/>
    </row>
    <row r="4406">
      <c r="A4406" s="12" t="s">
        <v>4493</v>
      </c>
      <c r="F4406" s="19">
        <f>IFERROR(__xludf.DUMMYFUNCTION("SPLIT(A4402, "" |"")"),4400.0)</f>
        <v>4400</v>
      </c>
      <c r="G4406" s="19">
        <f>IFERROR(__xludf.DUMMYFUNCTION("""COMPUTED_VALUE"""),0.00231)</f>
        <v>0.00231</v>
      </c>
      <c r="H4406" s="19" t="str">
        <f>IFERROR(__xludf.DUMMYFUNCTION("""COMPUTED_VALUE"""),"-")</f>
        <v>-</v>
      </c>
      <c r="I4406" s="19">
        <f>IFERROR(__xludf.DUMMYFUNCTION("""COMPUTED_VALUE"""),0.00216)</f>
        <v>0.00216</v>
      </c>
      <c r="J4406" s="19">
        <f>IFERROR(__xludf.DUMMYFUNCTION("""COMPUTED_VALUE"""),0.04652)</f>
        <v>0.04652</v>
      </c>
      <c r="K4406" s="19" t="str">
        <f>IFERROR(__xludf.DUMMYFUNCTION("""COMPUTED_VALUE"""),"-")</f>
        <v>-</v>
      </c>
      <c r="L4406" s="19" t="str">
        <f>IFERROR(__xludf.DUMMYFUNCTION("""COMPUTED_VALUE"""),"-")</f>
        <v>-</v>
      </c>
      <c r="O4406" s="24">
        <f t="shared" si="4"/>
        <v>0</v>
      </c>
      <c r="P4406" s="24"/>
      <c r="Q4406" s="24">
        <f t="shared" si="6"/>
        <v>0</v>
      </c>
      <c r="R4406" s="24">
        <f t="shared" si="7"/>
        <v>0</v>
      </c>
      <c r="S4406" s="24"/>
      <c r="T4406" s="24"/>
    </row>
    <row r="4407">
      <c r="A4407" s="12" t="s">
        <v>4494</v>
      </c>
      <c r="F4407" s="19">
        <f>IFERROR(__xludf.DUMMYFUNCTION("SPLIT(A4403, "" |"")"),4401.0)</f>
        <v>4401</v>
      </c>
      <c r="G4407" s="19">
        <f>IFERROR(__xludf.DUMMYFUNCTION("""COMPUTED_VALUE"""),0.00238)</f>
        <v>0.00238</v>
      </c>
      <c r="H4407" s="19" t="str">
        <f>IFERROR(__xludf.DUMMYFUNCTION("""COMPUTED_VALUE"""),"-")</f>
        <v>-</v>
      </c>
      <c r="I4407" s="19">
        <f>IFERROR(__xludf.DUMMYFUNCTION("""COMPUTED_VALUE"""),0.0022)</f>
        <v>0.0022</v>
      </c>
      <c r="J4407" s="19">
        <f>IFERROR(__xludf.DUMMYFUNCTION("""COMPUTED_VALUE"""),0.04744)</f>
        <v>0.04744</v>
      </c>
      <c r="K4407" s="19" t="str">
        <f>IFERROR(__xludf.DUMMYFUNCTION("""COMPUTED_VALUE"""),"-")</f>
        <v>-</v>
      </c>
      <c r="L4407" s="19" t="str">
        <f>IFERROR(__xludf.DUMMYFUNCTION("""COMPUTED_VALUE"""),"-")</f>
        <v>-</v>
      </c>
      <c r="O4407" s="24">
        <f t="shared" si="4"/>
        <v>0</v>
      </c>
      <c r="P4407" s="24"/>
      <c r="Q4407" s="24">
        <f t="shared" si="6"/>
        <v>0</v>
      </c>
      <c r="R4407" s="24">
        <f t="shared" si="7"/>
        <v>0</v>
      </c>
      <c r="S4407" s="24"/>
      <c r="T4407" s="24"/>
    </row>
    <row r="4408">
      <c r="A4408" s="12" t="s">
        <v>4495</v>
      </c>
      <c r="F4408" s="19">
        <f>IFERROR(__xludf.DUMMYFUNCTION("SPLIT(A4404, "" |"")"),4402.0)</f>
        <v>4402</v>
      </c>
      <c r="G4408" s="19">
        <f>IFERROR(__xludf.DUMMYFUNCTION("""COMPUTED_VALUE"""),0.00237)</f>
        <v>0.00237</v>
      </c>
      <c r="H4408" s="19" t="str">
        <f>IFERROR(__xludf.DUMMYFUNCTION("""COMPUTED_VALUE"""),"-")</f>
        <v>-</v>
      </c>
      <c r="I4408" s="19">
        <f>IFERROR(__xludf.DUMMYFUNCTION("""COMPUTED_VALUE"""),0.00221)</f>
        <v>0.00221</v>
      </c>
      <c r="J4408" s="19">
        <f>IFERROR(__xludf.DUMMYFUNCTION("""COMPUTED_VALUE"""),0.04745)</f>
        <v>0.04745</v>
      </c>
      <c r="K4408" s="19" t="str">
        <f>IFERROR(__xludf.DUMMYFUNCTION("""COMPUTED_VALUE"""),"-")</f>
        <v>-</v>
      </c>
      <c r="L4408" s="19" t="str">
        <f>IFERROR(__xludf.DUMMYFUNCTION("""COMPUTED_VALUE"""),"-")</f>
        <v>-</v>
      </c>
      <c r="O4408" s="24">
        <f t="shared" si="4"/>
        <v>0</v>
      </c>
      <c r="P4408" s="24"/>
      <c r="Q4408" s="24">
        <f t="shared" si="6"/>
        <v>0</v>
      </c>
      <c r="R4408" s="24">
        <f t="shared" si="7"/>
        <v>0</v>
      </c>
      <c r="S4408" s="24"/>
      <c r="T4408" s="24"/>
    </row>
    <row r="4409">
      <c r="A4409" s="12" t="s">
        <v>4496</v>
      </c>
      <c r="F4409" s="19">
        <f>IFERROR(__xludf.DUMMYFUNCTION("SPLIT(A4405, "" |"")"),4403.0)</f>
        <v>4403</v>
      </c>
      <c r="G4409" s="19">
        <f>IFERROR(__xludf.DUMMYFUNCTION("""COMPUTED_VALUE"""),0.00237)</f>
        <v>0.00237</v>
      </c>
      <c r="H4409" s="19" t="str">
        <f>IFERROR(__xludf.DUMMYFUNCTION("""COMPUTED_VALUE"""),"-")</f>
        <v>-</v>
      </c>
      <c r="I4409" s="19">
        <f>IFERROR(__xludf.DUMMYFUNCTION("""COMPUTED_VALUE"""),0.0022)</f>
        <v>0.0022</v>
      </c>
      <c r="J4409" s="19">
        <f>IFERROR(__xludf.DUMMYFUNCTION("""COMPUTED_VALUE"""),0.04742)</f>
        <v>0.04742</v>
      </c>
      <c r="K4409" s="19" t="str">
        <f>IFERROR(__xludf.DUMMYFUNCTION("""COMPUTED_VALUE"""),"-")</f>
        <v>-</v>
      </c>
      <c r="L4409" s="19" t="str">
        <f>IFERROR(__xludf.DUMMYFUNCTION("""COMPUTED_VALUE"""),"-")</f>
        <v>-</v>
      </c>
      <c r="O4409" s="24">
        <f t="shared" si="4"/>
        <v>0</v>
      </c>
      <c r="P4409" s="24"/>
      <c r="Q4409" s="24">
        <f t="shared" si="6"/>
        <v>0</v>
      </c>
      <c r="R4409" s="24">
        <f t="shared" si="7"/>
        <v>0</v>
      </c>
      <c r="S4409" s="24"/>
      <c r="T4409" s="24"/>
    </row>
    <row r="4410">
      <c r="A4410" s="12" t="s">
        <v>4497</v>
      </c>
      <c r="F4410" s="19">
        <f>IFERROR(__xludf.DUMMYFUNCTION("SPLIT(A4406, "" |"")"),4404.0)</f>
        <v>4404</v>
      </c>
      <c r="G4410" s="19">
        <f>IFERROR(__xludf.DUMMYFUNCTION("""COMPUTED_VALUE"""),0.00233)</f>
        <v>0.00233</v>
      </c>
      <c r="H4410" s="19" t="str">
        <f>IFERROR(__xludf.DUMMYFUNCTION("""COMPUTED_VALUE"""),"-")</f>
        <v>-</v>
      </c>
      <c r="I4410" s="19">
        <f>IFERROR(__xludf.DUMMYFUNCTION("""COMPUTED_VALUE"""),0.00222)</f>
        <v>0.00222</v>
      </c>
      <c r="J4410" s="19">
        <f>IFERROR(__xludf.DUMMYFUNCTION("""COMPUTED_VALUE"""),0.04746)</f>
        <v>0.04746</v>
      </c>
      <c r="K4410" s="19" t="str">
        <f>IFERROR(__xludf.DUMMYFUNCTION("""COMPUTED_VALUE"""),"-")</f>
        <v>-</v>
      </c>
      <c r="L4410" s="19" t="str">
        <f>IFERROR(__xludf.DUMMYFUNCTION("""COMPUTED_VALUE"""),"-")</f>
        <v>-</v>
      </c>
      <c r="O4410" s="24">
        <f t="shared" si="4"/>
        <v>0</v>
      </c>
      <c r="P4410" s="24"/>
      <c r="Q4410" s="24">
        <f t="shared" si="6"/>
        <v>0</v>
      </c>
      <c r="R4410" s="24">
        <f t="shared" si="7"/>
        <v>0</v>
      </c>
      <c r="S4410" s="24"/>
      <c r="T4410" s="24"/>
    </row>
    <row r="4411">
      <c r="A4411" s="12" t="s">
        <v>4498</v>
      </c>
      <c r="F4411" s="19">
        <f>IFERROR(__xludf.DUMMYFUNCTION("SPLIT(A4407, "" |"")"),4405.0)</f>
        <v>4405</v>
      </c>
      <c r="G4411" s="19">
        <f>IFERROR(__xludf.DUMMYFUNCTION("""COMPUTED_VALUE"""),0.00236)</f>
        <v>0.00236</v>
      </c>
      <c r="H4411" s="19" t="str">
        <f>IFERROR(__xludf.DUMMYFUNCTION("""COMPUTED_VALUE"""),"-")</f>
        <v>-</v>
      </c>
      <c r="I4411" s="19">
        <f>IFERROR(__xludf.DUMMYFUNCTION("""COMPUTED_VALUE"""),0.00223)</f>
        <v>0.00223</v>
      </c>
      <c r="J4411" s="19">
        <f>IFERROR(__xludf.DUMMYFUNCTION("""COMPUTED_VALUE"""),0.04746)</f>
        <v>0.04746</v>
      </c>
      <c r="K4411" s="19" t="str">
        <f>IFERROR(__xludf.DUMMYFUNCTION("""COMPUTED_VALUE"""),"-")</f>
        <v>-</v>
      </c>
      <c r="L4411" s="19" t="str">
        <f>IFERROR(__xludf.DUMMYFUNCTION("""COMPUTED_VALUE"""),"-")</f>
        <v>-</v>
      </c>
      <c r="O4411" s="24">
        <f t="shared" si="4"/>
        <v>0</v>
      </c>
      <c r="P4411" s="24"/>
      <c r="Q4411" s="24">
        <f t="shared" si="6"/>
        <v>0</v>
      </c>
      <c r="R4411" s="24">
        <f t="shared" si="7"/>
        <v>0</v>
      </c>
      <c r="S4411" s="24"/>
      <c r="T4411" s="24"/>
    </row>
    <row r="4412">
      <c r="A4412" s="12" t="s">
        <v>4499</v>
      </c>
      <c r="F4412" s="19">
        <f>IFERROR(__xludf.DUMMYFUNCTION("SPLIT(A4408, "" |"")"),4406.0)</f>
        <v>4406</v>
      </c>
      <c r="G4412" s="19">
        <f>IFERROR(__xludf.DUMMYFUNCTION("""COMPUTED_VALUE"""),0.00237)</f>
        <v>0.00237</v>
      </c>
      <c r="H4412" s="19" t="str">
        <f>IFERROR(__xludf.DUMMYFUNCTION("""COMPUTED_VALUE"""),"-")</f>
        <v>-</v>
      </c>
      <c r="I4412" s="19">
        <f>IFERROR(__xludf.DUMMYFUNCTION("""COMPUTED_VALUE"""),0.0022)</f>
        <v>0.0022</v>
      </c>
      <c r="J4412" s="19">
        <f>IFERROR(__xludf.DUMMYFUNCTION("""COMPUTED_VALUE"""),0.0474)</f>
        <v>0.0474</v>
      </c>
      <c r="K4412" s="19" t="str">
        <f>IFERROR(__xludf.DUMMYFUNCTION("""COMPUTED_VALUE"""),"-")</f>
        <v>-</v>
      </c>
      <c r="L4412" s="19" t="str">
        <f>IFERROR(__xludf.DUMMYFUNCTION("""COMPUTED_VALUE"""),"-")</f>
        <v>-</v>
      </c>
      <c r="O4412" s="24">
        <f t="shared" si="4"/>
        <v>0</v>
      </c>
      <c r="P4412" s="24"/>
      <c r="Q4412" s="24">
        <f t="shared" si="6"/>
        <v>0</v>
      </c>
      <c r="R4412" s="24">
        <f t="shared" si="7"/>
        <v>0</v>
      </c>
      <c r="S4412" s="24"/>
      <c r="T4412" s="24"/>
    </row>
    <row r="4413">
      <c r="A4413" s="12" t="s">
        <v>4500</v>
      </c>
      <c r="F4413" s="19">
        <f>IFERROR(__xludf.DUMMYFUNCTION("SPLIT(A4409, "" |"")"),4407.0)</f>
        <v>4407</v>
      </c>
      <c r="G4413" s="19">
        <f>IFERROR(__xludf.DUMMYFUNCTION("""COMPUTED_VALUE"""),0.00228)</f>
        <v>0.00228</v>
      </c>
      <c r="H4413" s="19" t="str">
        <f>IFERROR(__xludf.DUMMYFUNCTION("""COMPUTED_VALUE"""),"-")</f>
        <v>-</v>
      </c>
      <c r="I4413" s="19">
        <f>IFERROR(__xludf.DUMMYFUNCTION("""COMPUTED_VALUE"""),0.00226)</f>
        <v>0.00226</v>
      </c>
      <c r="J4413" s="19">
        <f>IFERROR(__xludf.DUMMYFUNCTION("""COMPUTED_VALUE"""),0.04741)</f>
        <v>0.04741</v>
      </c>
      <c r="K4413" s="19" t="str">
        <f>IFERROR(__xludf.DUMMYFUNCTION("""COMPUTED_VALUE"""),"-")</f>
        <v>-</v>
      </c>
      <c r="L4413" s="19" t="str">
        <f>IFERROR(__xludf.DUMMYFUNCTION("""COMPUTED_VALUE"""),"-")</f>
        <v>-</v>
      </c>
      <c r="O4413" s="24">
        <f t="shared" si="4"/>
        <v>0</v>
      </c>
      <c r="P4413" s="24"/>
      <c r="Q4413" s="24">
        <f t="shared" si="6"/>
        <v>0</v>
      </c>
      <c r="R4413" s="24">
        <f t="shared" si="7"/>
        <v>0</v>
      </c>
      <c r="S4413" s="24"/>
      <c r="T4413" s="24"/>
    </row>
    <row r="4414">
      <c r="A4414" s="12" t="s">
        <v>4501</v>
      </c>
      <c r="F4414" s="19">
        <f>IFERROR(__xludf.DUMMYFUNCTION("SPLIT(A4410, "" |"")"),4408.0)</f>
        <v>4408</v>
      </c>
      <c r="G4414" s="19">
        <f>IFERROR(__xludf.DUMMYFUNCTION("""COMPUTED_VALUE"""),0.00237)</f>
        <v>0.00237</v>
      </c>
      <c r="H4414" s="19" t="str">
        <f>IFERROR(__xludf.DUMMYFUNCTION("""COMPUTED_VALUE"""),"-")</f>
        <v>-</v>
      </c>
      <c r="I4414" s="19">
        <f>IFERROR(__xludf.DUMMYFUNCTION("""COMPUTED_VALUE"""),0.00223)</f>
        <v>0.00223</v>
      </c>
      <c r="J4414" s="19">
        <f>IFERROR(__xludf.DUMMYFUNCTION("""COMPUTED_VALUE"""),0.04747)</f>
        <v>0.04747</v>
      </c>
      <c r="K4414" s="19" t="str">
        <f>IFERROR(__xludf.DUMMYFUNCTION("""COMPUTED_VALUE"""),"-")</f>
        <v>-</v>
      </c>
      <c r="L4414" s="19" t="str">
        <f>IFERROR(__xludf.DUMMYFUNCTION("""COMPUTED_VALUE"""),"-")</f>
        <v>-</v>
      </c>
      <c r="O4414" s="24">
        <f t="shared" si="4"/>
        <v>0</v>
      </c>
      <c r="P4414" s="24"/>
      <c r="Q4414" s="24">
        <f t="shared" si="6"/>
        <v>0</v>
      </c>
      <c r="R4414" s="24">
        <f t="shared" si="7"/>
        <v>0</v>
      </c>
      <c r="S4414" s="24"/>
      <c r="T4414" s="24"/>
    </row>
    <row r="4415">
      <c r="A4415" s="12" t="s">
        <v>4502</v>
      </c>
      <c r="F4415" s="19">
        <f>IFERROR(__xludf.DUMMYFUNCTION("SPLIT(A4411, "" |"")"),4409.0)</f>
        <v>4409</v>
      </c>
      <c r="G4415" s="19">
        <f>IFERROR(__xludf.DUMMYFUNCTION("""COMPUTED_VALUE"""),0.00236)</f>
        <v>0.00236</v>
      </c>
      <c r="H4415" s="19" t="str">
        <f>IFERROR(__xludf.DUMMYFUNCTION("""COMPUTED_VALUE"""),"-")</f>
        <v>-</v>
      </c>
      <c r="I4415" s="19">
        <f>IFERROR(__xludf.DUMMYFUNCTION("""COMPUTED_VALUE"""),0.00223)</f>
        <v>0.00223</v>
      </c>
      <c r="J4415" s="19">
        <f>IFERROR(__xludf.DUMMYFUNCTION("""COMPUTED_VALUE"""),0.04747)</f>
        <v>0.04747</v>
      </c>
      <c r="K4415" s="19" t="str">
        <f>IFERROR(__xludf.DUMMYFUNCTION("""COMPUTED_VALUE"""),"-")</f>
        <v>-</v>
      </c>
      <c r="L4415" s="19" t="str">
        <f>IFERROR(__xludf.DUMMYFUNCTION("""COMPUTED_VALUE"""),"-")</f>
        <v>-</v>
      </c>
      <c r="O4415" s="24">
        <f t="shared" si="4"/>
        <v>0</v>
      </c>
      <c r="P4415" s="24"/>
      <c r="Q4415" s="24">
        <f t="shared" si="6"/>
        <v>0</v>
      </c>
      <c r="R4415" s="24">
        <f t="shared" si="7"/>
        <v>0</v>
      </c>
      <c r="S4415" s="24"/>
      <c r="T4415" s="24"/>
    </row>
    <row r="4416">
      <c r="A4416" s="12" t="s">
        <v>4503</v>
      </c>
      <c r="F4416" s="19">
        <f>IFERROR(__xludf.DUMMYFUNCTION("SPLIT(A4412, "" |"")"),4410.0)</f>
        <v>4410</v>
      </c>
      <c r="G4416" s="19">
        <f>IFERROR(__xludf.DUMMYFUNCTION("""COMPUTED_VALUE"""),0.00236)</f>
        <v>0.00236</v>
      </c>
      <c r="H4416" s="19" t="str">
        <f>IFERROR(__xludf.DUMMYFUNCTION("""COMPUTED_VALUE"""),"-")</f>
        <v>-</v>
      </c>
      <c r="I4416" s="19">
        <f>IFERROR(__xludf.DUMMYFUNCTION("""COMPUTED_VALUE"""),0.00215)</f>
        <v>0.00215</v>
      </c>
      <c r="J4416" s="19">
        <f>IFERROR(__xludf.DUMMYFUNCTION("""COMPUTED_VALUE"""),0.04751)</f>
        <v>0.04751</v>
      </c>
      <c r="K4416" s="19" t="str">
        <f>IFERROR(__xludf.DUMMYFUNCTION("""COMPUTED_VALUE"""),"-")</f>
        <v>-</v>
      </c>
      <c r="L4416" s="19" t="str">
        <f>IFERROR(__xludf.DUMMYFUNCTION("""COMPUTED_VALUE"""),"-")</f>
        <v>-</v>
      </c>
      <c r="O4416" s="24">
        <f t="shared" si="4"/>
        <v>0</v>
      </c>
      <c r="P4416" s="24"/>
      <c r="Q4416" s="24">
        <f t="shared" si="6"/>
        <v>0</v>
      </c>
      <c r="R4416" s="24">
        <f t="shared" si="7"/>
        <v>0</v>
      </c>
      <c r="S4416" s="24"/>
      <c r="T4416" s="24"/>
    </row>
    <row r="4417">
      <c r="A4417" s="12" t="s">
        <v>4504</v>
      </c>
      <c r="F4417" s="19">
        <f>IFERROR(__xludf.DUMMYFUNCTION("SPLIT(A4413, "" |"")"),4411.0)</f>
        <v>4411</v>
      </c>
      <c r="G4417" s="19">
        <f>IFERROR(__xludf.DUMMYFUNCTION("""COMPUTED_VALUE"""),0.00241)</f>
        <v>0.00241</v>
      </c>
      <c r="H4417" s="19" t="str">
        <f>IFERROR(__xludf.DUMMYFUNCTION("""COMPUTED_VALUE"""),"-")</f>
        <v>-</v>
      </c>
      <c r="I4417" s="19">
        <f>IFERROR(__xludf.DUMMYFUNCTION("""COMPUTED_VALUE"""),0.00221)</f>
        <v>0.00221</v>
      </c>
      <c r="J4417" s="19">
        <f>IFERROR(__xludf.DUMMYFUNCTION("""COMPUTED_VALUE"""),0.04744)</f>
        <v>0.04744</v>
      </c>
      <c r="K4417" s="19" t="str">
        <f>IFERROR(__xludf.DUMMYFUNCTION("""COMPUTED_VALUE"""),"-")</f>
        <v>-</v>
      </c>
      <c r="L4417" s="19" t="str">
        <f>IFERROR(__xludf.DUMMYFUNCTION("""COMPUTED_VALUE"""),"-")</f>
        <v>-</v>
      </c>
      <c r="O4417" s="24">
        <f t="shared" si="4"/>
        <v>0</v>
      </c>
      <c r="P4417" s="24"/>
      <c r="Q4417" s="24">
        <f t="shared" si="6"/>
        <v>0</v>
      </c>
      <c r="R4417" s="24">
        <f t="shared" si="7"/>
        <v>0</v>
      </c>
      <c r="S4417" s="24"/>
      <c r="T4417" s="24"/>
    </row>
    <row r="4418">
      <c r="A4418" s="12" t="s">
        <v>4505</v>
      </c>
      <c r="F4418" s="19">
        <f>IFERROR(__xludf.DUMMYFUNCTION("SPLIT(A4414, "" |"")"),4412.0)</f>
        <v>4412</v>
      </c>
      <c r="G4418" s="19">
        <f>IFERROR(__xludf.DUMMYFUNCTION("""COMPUTED_VALUE"""),0.00232)</f>
        <v>0.00232</v>
      </c>
      <c r="H4418" s="19" t="str">
        <f>IFERROR(__xludf.DUMMYFUNCTION("""COMPUTED_VALUE"""),"-")</f>
        <v>-</v>
      </c>
      <c r="I4418" s="19">
        <f>IFERROR(__xludf.DUMMYFUNCTION("""COMPUTED_VALUE"""),0.00217)</f>
        <v>0.00217</v>
      </c>
      <c r="J4418" s="19">
        <f>IFERROR(__xludf.DUMMYFUNCTION("""COMPUTED_VALUE"""),0.04598)</f>
        <v>0.04598</v>
      </c>
      <c r="K4418" s="19" t="str">
        <f>IFERROR(__xludf.DUMMYFUNCTION("""COMPUTED_VALUE"""),"-")</f>
        <v>-</v>
      </c>
      <c r="L4418" s="19" t="str">
        <f>IFERROR(__xludf.DUMMYFUNCTION("""COMPUTED_VALUE"""),"-")</f>
        <v>-</v>
      </c>
      <c r="O4418" s="24">
        <f t="shared" si="4"/>
        <v>0</v>
      </c>
      <c r="P4418" s="24"/>
      <c r="Q4418" s="24">
        <f t="shared" si="6"/>
        <v>0</v>
      </c>
      <c r="R4418" s="24">
        <f t="shared" si="7"/>
        <v>0</v>
      </c>
      <c r="S4418" s="24"/>
      <c r="T4418" s="24"/>
    </row>
    <row r="4419">
      <c r="A4419" s="12" t="s">
        <v>4506</v>
      </c>
      <c r="F4419" s="19">
        <f>IFERROR(__xludf.DUMMYFUNCTION("SPLIT(A4415, "" |"")"),4413.0)</f>
        <v>4413</v>
      </c>
      <c r="G4419" s="19">
        <f>IFERROR(__xludf.DUMMYFUNCTION("""COMPUTED_VALUE"""),0.00234)</f>
        <v>0.00234</v>
      </c>
      <c r="H4419" s="19" t="str">
        <f>IFERROR(__xludf.DUMMYFUNCTION("""COMPUTED_VALUE"""),"-")</f>
        <v>-</v>
      </c>
      <c r="I4419" s="19">
        <f>IFERROR(__xludf.DUMMYFUNCTION("""COMPUTED_VALUE"""),0.00223)</f>
        <v>0.00223</v>
      </c>
      <c r="J4419" s="19">
        <f>IFERROR(__xludf.DUMMYFUNCTION("""COMPUTED_VALUE"""),0.04733)</f>
        <v>0.04733</v>
      </c>
      <c r="K4419" s="19" t="str">
        <f>IFERROR(__xludf.DUMMYFUNCTION("""COMPUTED_VALUE"""),"-")</f>
        <v>-</v>
      </c>
      <c r="L4419" s="19" t="str">
        <f>IFERROR(__xludf.DUMMYFUNCTION("""COMPUTED_VALUE"""),"-")</f>
        <v>-</v>
      </c>
      <c r="O4419" s="24">
        <f t="shared" si="4"/>
        <v>0</v>
      </c>
      <c r="P4419" s="24"/>
      <c r="Q4419" s="24">
        <f t="shared" si="6"/>
        <v>0</v>
      </c>
      <c r="R4419" s="24">
        <f t="shared" si="7"/>
        <v>0</v>
      </c>
      <c r="S4419" s="24"/>
      <c r="T4419" s="24"/>
    </row>
    <row r="4420">
      <c r="A4420" s="12" t="s">
        <v>4507</v>
      </c>
      <c r="F4420" s="19">
        <f>IFERROR(__xludf.DUMMYFUNCTION("SPLIT(A4416, "" |"")"),4414.0)</f>
        <v>4414</v>
      </c>
      <c r="G4420" s="19">
        <f>IFERROR(__xludf.DUMMYFUNCTION("""COMPUTED_VALUE"""),0.00236)</f>
        <v>0.00236</v>
      </c>
      <c r="H4420" s="19" t="str">
        <f>IFERROR(__xludf.DUMMYFUNCTION("""COMPUTED_VALUE"""),"-")</f>
        <v>-</v>
      </c>
      <c r="I4420" s="19">
        <f>IFERROR(__xludf.DUMMYFUNCTION("""COMPUTED_VALUE"""),0.00217)</f>
        <v>0.00217</v>
      </c>
      <c r="J4420" s="19">
        <f>IFERROR(__xludf.DUMMYFUNCTION("""COMPUTED_VALUE"""),0.04691)</f>
        <v>0.04691</v>
      </c>
      <c r="K4420" s="19" t="str">
        <f>IFERROR(__xludf.DUMMYFUNCTION("""COMPUTED_VALUE"""),"-")</f>
        <v>-</v>
      </c>
      <c r="L4420" s="19" t="str">
        <f>IFERROR(__xludf.DUMMYFUNCTION("""COMPUTED_VALUE"""),"-")</f>
        <v>-</v>
      </c>
      <c r="O4420" s="24">
        <f t="shared" si="4"/>
        <v>0</v>
      </c>
      <c r="P4420" s="24"/>
      <c r="Q4420" s="24">
        <f t="shared" si="6"/>
        <v>0</v>
      </c>
      <c r="R4420" s="24">
        <f t="shared" si="7"/>
        <v>0</v>
      </c>
      <c r="S4420" s="24"/>
      <c r="T4420" s="24"/>
    </row>
    <row r="4421">
      <c r="A4421" s="12" t="s">
        <v>4508</v>
      </c>
      <c r="F4421" s="19">
        <f>IFERROR(__xludf.DUMMYFUNCTION("SPLIT(A4417, "" |"")"),4415.0)</f>
        <v>4415</v>
      </c>
      <c r="G4421" s="19">
        <f>IFERROR(__xludf.DUMMYFUNCTION("""COMPUTED_VALUE"""),0.00224)</f>
        <v>0.00224</v>
      </c>
      <c r="H4421" s="19" t="str">
        <f>IFERROR(__xludf.DUMMYFUNCTION("""COMPUTED_VALUE"""),"-")</f>
        <v>-</v>
      </c>
      <c r="I4421" s="19">
        <f>IFERROR(__xludf.DUMMYFUNCTION("""COMPUTED_VALUE"""),0.00219)</f>
        <v>0.00219</v>
      </c>
      <c r="J4421" s="19">
        <f>IFERROR(__xludf.DUMMYFUNCTION("""COMPUTED_VALUE"""),0.04743)</f>
        <v>0.04743</v>
      </c>
      <c r="K4421" s="19" t="str">
        <f>IFERROR(__xludf.DUMMYFUNCTION("""COMPUTED_VALUE"""),"-")</f>
        <v>-</v>
      </c>
      <c r="L4421" s="19" t="str">
        <f>IFERROR(__xludf.DUMMYFUNCTION("""COMPUTED_VALUE"""),"-")</f>
        <v>-</v>
      </c>
      <c r="O4421" s="24">
        <f t="shared" si="4"/>
        <v>0</v>
      </c>
      <c r="P4421" s="24"/>
      <c r="Q4421" s="24">
        <f t="shared" si="6"/>
        <v>0</v>
      </c>
      <c r="R4421" s="24">
        <f t="shared" si="7"/>
        <v>0</v>
      </c>
      <c r="S4421" s="24"/>
      <c r="T4421" s="24"/>
    </row>
    <row r="4422">
      <c r="A4422" s="12" t="s">
        <v>4509</v>
      </c>
      <c r="F4422" s="19">
        <f>IFERROR(__xludf.DUMMYFUNCTION("SPLIT(A4418, "" |"")"),4416.0)</f>
        <v>4416</v>
      </c>
      <c r="G4422" s="19">
        <f>IFERROR(__xludf.DUMMYFUNCTION("""COMPUTED_VALUE"""),0.00238)</f>
        <v>0.00238</v>
      </c>
      <c r="H4422" s="19" t="str">
        <f>IFERROR(__xludf.DUMMYFUNCTION("""COMPUTED_VALUE"""),"-")</f>
        <v>-</v>
      </c>
      <c r="I4422" s="19">
        <f>IFERROR(__xludf.DUMMYFUNCTION("""COMPUTED_VALUE"""),0.00221)</f>
        <v>0.00221</v>
      </c>
      <c r="J4422" s="19">
        <f>IFERROR(__xludf.DUMMYFUNCTION("""COMPUTED_VALUE"""),0.04744)</f>
        <v>0.04744</v>
      </c>
      <c r="K4422" s="19" t="str">
        <f>IFERROR(__xludf.DUMMYFUNCTION("""COMPUTED_VALUE"""),"-")</f>
        <v>-</v>
      </c>
      <c r="L4422" s="19" t="str">
        <f>IFERROR(__xludf.DUMMYFUNCTION("""COMPUTED_VALUE"""),"-")</f>
        <v>-</v>
      </c>
      <c r="O4422" s="24">
        <f t="shared" si="4"/>
        <v>0</v>
      </c>
      <c r="P4422" s="24"/>
      <c r="Q4422" s="24">
        <f t="shared" si="6"/>
        <v>0</v>
      </c>
      <c r="R4422" s="24">
        <f t="shared" si="7"/>
        <v>0</v>
      </c>
      <c r="S4422" s="24"/>
      <c r="T4422" s="24"/>
    </row>
    <row r="4423">
      <c r="A4423" s="12" t="s">
        <v>4510</v>
      </c>
      <c r="F4423" s="19">
        <f>IFERROR(__xludf.DUMMYFUNCTION("SPLIT(A4419, "" |"")"),4417.0)</f>
        <v>4417</v>
      </c>
      <c r="G4423" s="19">
        <f>IFERROR(__xludf.DUMMYFUNCTION("""COMPUTED_VALUE"""),0.00233)</f>
        <v>0.00233</v>
      </c>
      <c r="H4423" s="19" t="str">
        <f>IFERROR(__xludf.DUMMYFUNCTION("""COMPUTED_VALUE"""),"-")</f>
        <v>-</v>
      </c>
      <c r="I4423" s="19">
        <f>IFERROR(__xludf.DUMMYFUNCTION("""COMPUTED_VALUE"""),0.0022)</f>
        <v>0.0022</v>
      </c>
      <c r="J4423" s="19">
        <f>IFERROR(__xludf.DUMMYFUNCTION("""COMPUTED_VALUE"""),0.04741)</f>
        <v>0.04741</v>
      </c>
      <c r="K4423" s="19" t="str">
        <f>IFERROR(__xludf.DUMMYFUNCTION("""COMPUTED_VALUE"""),"-")</f>
        <v>-</v>
      </c>
      <c r="L4423" s="19" t="str">
        <f>IFERROR(__xludf.DUMMYFUNCTION("""COMPUTED_VALUE"""),"-")</f>
        <v>-</v>
      </c>
      <c r="O4423" s="24">
        <f t="shared" si="4"/>
        <v>0</v>
      </c>
      <c r="P4423" s="24"/>
      <c r="Q4423" s="24">
        <f t="shared" si="6"/>
        <v>0</v>
      </c>
      <c r="R4423" s="24">
        <f t="shared" si="7"/>
        <v>0</v>
      </c>
      <c r="S4423" s="24"/>
      <c r="T4423" s="24"/>
    </row>
    <row r="4424">
      <c r="A4424" s="12" t="s">
        <v>4511</v>
      </c>
      <c r="F4424" s="19">
        <f>IFERROR(__xludf.DUMMYFUNCTION("SPLIT(A4420, "" |"")"),4418.0)</f>
        <v>4418</v>
      </c>
      <c r="G4424" s="19">
        <f>IFERROR(__xludf.DUMMYFUNCTION("""COMPUTED_VALUE"""),0.0023)</f>
        <v>0.0023</v>
      </c>
      <c r="H4424" s="19" t="str">
        <f>IFERROR(__xludf.DUMMYFUNCTION("""COMPUTED_VALUE"""),"-")</f>
        <v>-</v>
      </c>
      <c r="I4424" s="19">
        <f>IFERROR(__xludf.DUMMYFUNCTION("""COMPUTED_VALUE"""),0.00218)</f>
        <v>0.00218</v>
      </c>
      <c r="J4424" s="19">
        <f>IFERROR(__xludf.DUMMYFUNCTION("""COMPUTED_VALUE"""),0.04746)</f>
        <v>0.04746</v>
      </c>
      <c r="K4424" s="19" t="str">
        <f>IFERROR(__xludf.DUMMYFUNCTION("""COMPUTED_VALUE"""),"-")</f>
        <v>-</v>
      </c>
      <c r="L4424" s="19" t="str">
        <f>IFERROR(__xludf.DUMMYFUNCTION("""COMPUTED_VALUE"""),"-")</f>
        <v>-</v>
      </c>
      <c r="O4424" s="24">
        <f t="shared" si="4"/>
        <v>0</v>
      </c>
      <c r="P4424" s="24"/>
      <c r="Q4424" s="24">
        <f t="shared" si="6"/>
        <v>0</v>
      </c>
      <c r="R4424" s="24">
        <f t="shared" si="7"/>
        <v>0</v>
      </c>
      <c r="S4424" s="24"/>
      <c r="T4424" s="24"/>
    </row>
    <row r="4425">
      <c r="A4425" s="12" t="s">
        <v>4512</v>
      </c>
      <c r="F4425" s="19">
        <f>IFERROR(__xludf.DUMMYFUNCTION("SPLIT(A4421, "" |"")"),4419.0)</f>
        <v>4419</v>
      </c>
      <c r="G4425" s="19">
        <f>IFERROR(__xludf.DUMMYFUNCTION("""COMPUTED_VALUE"""),0.00233)</f>
        <v>0.00233</v>
      </c>
      <c r="H4425" s="19" t="str">
        <f>IFERROR(__xludf.DUMMYFUNCTION("""COMPUTED_VALUE"""),"-")</f>
        <v>-</v>
      </c>
      <c r="I4425" s="19">
        <f>IFERROR(__xludf.DUMMYFUNCTION("""COMPUTED_VALUE"""),0.00221)</f>
        <v>0.00221</v>
      </c>
      <c r="J4425" s="19">
        <f>IFERROR(__xludf.DUMMYFUNCTION("""COMPUTED_VALUE"""),0.04742)</f>
        <v>0.04742</v>
      </c>
      <c r="K4425" s="19" t="str">
        <f>IFERROR(__xludf.DUMMYFUNCTION("""COMPUTED_VALUE"""),"-")</f>
        <v>-</v>
      </c>
      <c r="L4425" s="19" t="str">
        <f>IFERROR(__xludf.DUMMYFUNCTION("""COMPUTED_VALUE"""),"-")</f>
        <v>-</v>
      </c>
      <c r="O4425" s="24">
        <f t="shared" si="4"/>
        <v>0</v>
      </c>
      <c r="P4425" s="24"/>
      <c r="Q4425" s="24">
        <f t="shared" si="6"/>
        <v>0</v>
      </c>
      <c r="R4425" s="24">
        <f t="shared" si="7"/>
        <v>0</v>
      </c>
      <c r="S4425" s="24"/>
      <c r="T4425" s="24"/>
    </row>
    <row r="4426">
      <c r="A4426" s="12" t="s">
        <v>4513</v>
      </c>
      <c r="F4426" s="19">
        <f>IFERROR(__xludf.DUMMYFUNCTION("SPLIT(A4422, "" |"")"),4420.0)</f>
        <v>4420</v>
      </c>
      <c r="G4426" s="19">
        <f>IFERROR(__xludf.DUMMYFUNCTION("""COMPUTED_VALUE"""),0.00237)</f>
        <v>0.00237</v>
      </c>
      <c r="H4426" s="19" t="str">
        <f>IFERROR(__xludf.DUMMYFUNCTION("""COMPUTED_VALUE"""),"-")</f>
        <v>-</v>
      </c>
      <c r="I4426" s="19">
        <f>IFERROR(__xludf.DUMMYFUNCTION("""COMPUTED_VALUE"""),0.00218)</f>
        <v>0.00218</v>
      </c>
      <c r="J4426" s="19">
        <f>IFERROR(__xludf.DUMMYFUNCTION("""COMPUTED_VALUE"""),0.04234)</f>
        <v>0.04234</v>
      </c>
      <c r="K4426" s="19" t="str">
        <f>IFERROR(__xludf.DUMMYFUNCTION("""COMPUTED_VALUE"""),"-")</f>
        <v>-</v>
      </c>
      <c r="L4426" s="19" t="str">
        <f>IFERROR(__xludf.DUMMYFUNCTION("""COMPUTED_VALUE"""),"-")</f>
        <v>-</v>
      </c>
      <c r="O4426" s="24">
        <f t="shared" si="4"/>
        <v>0</v>
      </c>
      <c r="P4426" s="24"/>
      <c r="Q4426" s="24">
        <f t="shared" si="6"/>
        <v>0</v>
      </c>
      <c r="R4426" s="24">
        <f t="shared" si="7"/>
        <v>1</v>
      </c>
      <c r="S4426" s="24"/>
      <c r="T4426" s="24"/>
    </row>
    <row r="4427">
      <c r="A4427" s="12" t="s">
        <v>4514</v>
      </c>
      <c r="F4427" s="19">
        <f>IFERROR(__xludf.DUMMYFUNCTION("SPLIT(A4423, "" |"")"),4421.0)</f>
        <v>4421</v>
      </c>
      <c r="G4427" s="19">
        <f>IFERROR(__xludf.DUMMYFUNCTION("""COMPUTED_VALUE"""),0.0024)</f>
        <v>0.0024</v>
      </c>
      <c r="H4427" s="19" t="str">
        <f>IFERROR(__xludf.DUMMYFUNCTION("""COMPUTED_VALUE"""),"-")</f>
        <v>-</v>
      </c>
      <c r="I4427" s="19">
        <f>IFERROR(__xludf.DUMMYFUNCTION("""COMPUTED_VALUE"""),0.00219)</f>
        <v>0.00219</v>
      </c>
      <c r="J4427" s="19">
        <f>IFERROR(__xludf.DUMMYFUNCTION("""COMPUTED_VALUE"""),0.04393)</f>
        <v>0.04393</v>
      </c>
      <c r="K4427" s="19" t="str">
        <f>IFERROR(__xludf.DUMMYFUNCTION("""COMPUTED_VALUE"""),"-")</f>
        <v>-</v>
      </c>
      <c r="L4427" s="19" t="str">
        <f>IFERROR(__xludf.DUMMYFUNCTION("""COMPUTED_VALUE"""),"-")</f>
        <v>-</v>
      </c>
      <c r="O4427" s="24">
        <f t="shared" si="4"/>
        <v>0</v>
      </c>
      <c r="P4427" s="24"/>
      <c r="Q4427" s="24">
        <f t="shared" si="6"/>
        <v>0</v>
      </c>
      <c r="R4427" s="24">
        <f t="shared" si="7"/>
        <v>1</v>
      </c>
      <c r="S4427" s="24"/>
      <c r="T4427" s="24"/>
    </row>
    <row r="4428">
      <c r="A4428" s="12" t="s">
        <v>4515</v>
      </c>
      <c r="F4428" s="19">
        <f>IFERROR(__xludf.DUMMYFUNCTION("SPLIT(A4424, "" |"")"),4422.0)</f>
        <v>4422</v>
      </c>
      <c r="G4428" s="19">
        <f>IFERROR(__xludf.DUMMYFUNCTION("""COMPUTED_VALUE"""),0.00235)</f>
        <v>0.00235</v>
      </c>
      <c r="H4428" s="19" t="str">
        <f>IFERROR(__xludf.DUMMYFUNCTION("""COMPUTED_VALUE"""),"-")</f>
        <v>-</v>
      </c>
      <c r="I4428" s="19">
        <f>IFERROR(__xludf.DUMMYFUNCTION("""COMPUTED_VALUE"""),0.0022)</f>
        <v>0.0022</v>
      </c>
      <c r="J4428" s="19">
        <f>IFERROR(__xludf.DUMMYFUNCTION("""COMPUTED_VALUE"""),0.04608)</f>
        <v>0.04608</v>
      </c>
      <c r="K4428" s="19" t="str">
        <f>IFERROR(__xludf.DUMMYFUNCTION("""COMPUTED_VALUE"""),"-")</f>
        <v>-</v>
      </c>
      <c r="L4428" s="19" t="str">
        <f>IFERROR(__xludf.DUMMYFUNCTION("""COMPUTED_VALUE"""),"-")</f>
        <v>-</v>
      </c>
      <c r="O4428" s="24">
        <f t="shared" si="4"/>
        <v>0</v>
      </c>
      <c r="P4428" s="24"/>
      <c r="Q4428" s="24">
        <f t="shared" si="6"/>
        <v>0</v>
      </c>
      <c r="R4428" s="24">
        <f t="shared" si="7"/>
        <v>0</v>
      </c>
      <c r="S4428" s="24"/>
      <c r="T4428" s="24"/>
    </row>
    <row r="4429">
      <c r="A4429" s="12" t="s">
        <v>4516</v>
      </c>
      <c r="F4429" s="19">
        <f>IFERROR(__xludf.DUMMYFUNCTION("SPLIT(A4425, "" |"")"),4423.0)</f>
        <v>4423</v>
      </c>
      <c r="G4429" s="19">
        <f>IFERROR(__xludf.DUMMYFUNCTION("""COMPUTED_VALUE"""),0.00231)</f>
        <v>0.00231</v>
      </c>
      <c r="H4429" s="19" t="str">
        <f>IFERROR(__xludf.DUMMYFUNCTION("""COMPUTED_VALUE"""),"-")</f>
        <v>-</v>
      </c>
      <c r="I4429" s="19">
        <f>IFERROR(__xludf.DUMMYFUNCTION("""COMPUTED_VALUE"""),0.0022)</f>
        <v>0.0022</v>
      </c>
      <c r="J4429" s="19">
        <f>IFERROR(__xludf.DUMMYFUNCTION("""COMPUTED_VALUE"""),0.04742)</f>
        <v>0.04742</v>
      </c>
      <c r="K4429" s="19" t="str">
        <f>IFERROR(__xludf.DUMMYFUNCTION("""COMPUTED_VALUE"""),"-")</f>
        <v>-</v>
      </c>
      <c r="L4429" s="19" t="str">
        <f>IFERROR(__xludf.DUMMYFUNCTION("""COMPUTED_VALUE"""),"-")</f>
        <v>-</v>
      </c>
      <c r="O4429" s="24">
        <f t="shared" si="4"/>
        <v>0</v>
      </c>
      <c r="P4429" s="24"/>
      <c r="Q4429" s="24">
        <f t="shared" si="6"/>
        <v>0</v>
      </c>
      <c r="R4429" s="24">
        <f t="shared" si="7"/>
        <v>0</v>
      </c>
      <c r="S4429" s="24"/>
      <c r="T4429" s="24"/>
    </row>
    <row r="4430">
      <c r="A4430" s="12" t="s">
        <v>4517</v>
      </c>
      <c r="F4430" s="19">
        <f>IFERROR(__xludf.DUMMYFUNCTION("SPLIT(A4426, "" |"")"),4424.0)</f>
        <v>4424</v>
      </c>
      <c r="G4430" s="19">
        <f>IFERROR(__xludf.DUMMYFUNCTION("""COMPUTED_VALUE"""),0.00237)</f>
        <v>0.00237</v>
      </c>
      <c r="H4430" s="19" t="str">
        <f>IFERROR(__xludf.DUMMYFUNCTION("""COMPUTED_VALUE"""),"-")</f>
        <v>-</v>
      </c>
      <c r="I4430" s="19">
        <f>IFERROR(__xludf.DUMMYFUNCTION("""COMPUTED_VALUE"""),0.00223)</f>
        <v>0.00223</v>
      </c>
      <c r="J4430" s="19">
        <f>IFERROR(__xludf.DUMMYFUNCTION("""COMPUTED_VALUE"""),0.04739)</f>
        <v>0.04739</v>
      </c>
      <c r="K4430" s="19" t="str">
        <f>IFERROR(__xludf.DUMMYFUNCTION("""COMPUTED_VALUE"""),"-")</f>
        <v>-</v>
      </c>
      <c r="L4430" s="19" t="str">
        <f>IFERROR(__xludf.DUMMYFUNCTION("""COMPUTED_VALUE"""),"-")</f>
        <v>-</v>
      </c>
      <c r="O4430" s="24">
        <f t="shared" si="4"/>
        <v>0</v>
      </c>
      <c r="P4430" s="24"/>
      <c r="Q4430" s="24">
        <f t="shared" si="6"/>
        <v>0</v>
      </c>
      <c r="R4430" s="24">
        <f t="shared" si="7"/>
        <v>0</v>
      </c>
      <c r="S4430" s="24"/>
      <c r="T4430" s="24"/>
    </row>
    <row r="4431">
      <c r="A4431" s="12" t="s">
        <v>4518</v>
      </c>
      <c r="F4431" s="19">
        <f>IFERROR(__xludf.DUMMYFUNCTION("SPLIT(A4427, "" |"")"),4425.0)</f>
        <v>4425</v>
      </c>
      <c r="G4431" s="19">
        <f>IFERROR(__xludf.DUMMYFUNCTION("""COMPUTED_VALUE"""),0.00237)</f>
        <v>0.00237</v>
      </c>
      <c r="H4431" s="19" t="str">
        <f>IFERROR(__xludf.DUMMYFUNCTION("""COMPUTED_VALUE"""),"-")</f>
        <v>-</v>
      </c>
      <c r="I4431" s="19">
        <f>IFERROR(__xludf.DUMMYFUNCTION("""COMPUTED_VALUE"""),0.00228)</f>
        <v>0.00228</v>
      </c>
      <c r="J4431" s="19">
        <f>IFERROR(__xludf.DUMMYFUNCTION("""COMPUTED_VALUE"""),0.04747)</f>
        <v>0.04747</v>
      </c>
      <c r="K4431" s="19" t="str">
        <f>IFERROR(__xludf.DUMMYFUNCTION("""COMPUTED_VALUE"""),"-")</f>
        <v>-</v>
      </c>
      <c r="L4431" s="19" t="str">
        <f>IFERROR(__xludf.DUMMYFUNCTION("""COMPUTED_VALUE"""),"-")</f>
        <v>-</v>
      </c>
      <c r="O4431" s="24">
        <f t="shared" si="4"/>
        <v>0</v>
      </c>
      <c r="P4431" s="24"/>
      <c r="Q4431" s="24">
        <f t="shared" si="6"/>
        <v>0</v>
      </c>
      <c r="R4431" s="24">
        <f t="shared" si="7"/>
        <v>0</v>
      </c>
      <c r="S4431" s="24"/>
      <c r="T4431" s="24"/>
    </row>
    <row r="4432">
      <c r="A4432" s="12" t="s">
        <v>4519</v>
      </c>
      <c r="F4432" s="19">
        <f>IFERROR(__xludf.DUMMYFUNCTION("SPLIT(A4428, "" |"")"),4426.0)</f>
        <v>4426</v>
      </c>
      <c r="G4432" s="19">
        <f>IFERROR(__xludf.DUMMYFUNCTION("""COMPUTED_VALUE"""),0.00238)</f>
        <v>0.00238</v>
      </c>
      <c r="H4432" s="19" t="str">
        <f>IFERROR(__xludf.DUMMYFUNCTION("""COMPUTED_VALUE"""),"-")</f>
        <v>-</v>
      </c>
      <c r="I4432" s="19">
        <f>IFERROR(__xludf.DUMMYFUNCTION("""COMPUTED_VALUE"""),0.00219)</f>
        <v>0.00219</v>
      </c>
      <c r="J4432" s="19">
        <f>IFERROR(__xludf.DUMMYFUNCTION("""COMPUTED_VALUE"""),0.04737)</f>
        <v>0.04737</v>
      </c>
      <c r="K4432" s="19" t="str">
        <f>IFERROR(__xludf.DUMMYFUNCTION("""COMPUTED_VALUE"""),"-")</f>
        <v>-</v>
      </c>
      <c r="L4432" s="19" t="str">
        <f>IFERROR(__xludf.DUMMYFUNCTION("""COMPUTED_VALUE"""),"-")</f>
        <v>-</v>
      </c>
      <c r="O4432" s="24">
        <f t="shared" si="4"/>
        <v>0</v>
      </c>
      <c r="P4432" s="24"/>
      <c r="Q4432" s="24">
        <f t="shared" si="6"/>
        <v>0</v>
      </c>
      <c r="R4432" s="24">
        <f t="shared" si="7"/>
        <v>0</v>
      </c>
      <c r="S4432" s="24"/>
      <c r="T4432" s="24"/>
    </row>
    <row r="4433">
      <c r="A4433" s="12" t="s">
        <v>4520</v>
      </c>
      <c r="F4433" s="19">
        <f>IFERROR(__xludf.DUMMYFUNCTION("SPLIT(A4429, "" |"")"),4427.0)</f>
        <v>4427</v>
      </c>
      <c r="G4433" s="19">
        <f>IFERROR(__xludf.DUMMYFUNCTION("""COMPUTED_VALUE"""),0.0024)</f>
        <v>0.0024</v>
      </c>
      <c r="H4433" s="19" t="str">
        <f>IFERROR(__xludf.DUMMYFUNCTION("""COMPUTED_VALUE"""),"-")</f>
        <v>-</v>
      </c>
      <c r="I4433" s="19">
        <f>IFERROR(__xludf.DUMMYFUNCTION("""COMPUTED_VALUE"""),0.0024)</f>
        <v>0.0024</v>
      </c>
      <c r="J4433" s="19">
        <f>IFERROR(__xludf.DUMMYFUNCTION("""COMPUTED_VALUE"""),0.04754)</f>
        <v>0.04754</v>
      </c>
      <c r="K4433" s="19" t="str">
        <f>IFERROR(__xludf.DUMMYFUNCTION("""COMPUTED_VALUE"""),"-")</f>
        <v>-</v>
      </c>
      <c r="L4433" s="19" t="str">
        <f>IFERROR(__xludf.DUMMYFUNCTION("""COMPUTED_VALUE"""),"-")</f>
        <v>-</v>
      </c>
      <c r="O4433" s="24">
        <f t="shared" si="4"/>
        <v>0</v>
      </c>
      <c r="P4433" s="24"/>
      <c r="Q4433" s="24">
        <f t="shared" si="6"/>
        <v>0</v>
      </c>
      <c r="R4433" s="24">
        <f t="shared" si="7"/>
        <v>0</v>
      </c>
      <c r="S4433" s="24"/>
      <c r="T4433" s="24"/>
    </row>
    <row r="4434">
      <c r="A4434" s="12" t="s">
        <v>4521</v>
      </c>
      <c r="F4434" s="19">
        <f>IFERROR(__xludf.DUMMYFUNCTION("SPLIT(A4430, "" |"")"),4428.0)</f>
        <v>4428</v>
      </c>
      <c r="G4434" s="19">
        <f>IFERROR(__xludf.DUMMYFUNCTION("""COMPUTED_VALUE"""),0.0024)</f>
        <v>0.0024</v>
      </c>
      <c r="H4434" s="19" t="str">
        <f>IFERROR(__xludf.DUMMYFUNCTION("""COMPUTED_VALUE"""),"-")</f>
        <v>-</v>
      </c>
      <c r="I4434" s="19">
        <f>IFERROR(__xludf.DUMMYFUNCTION("""COMPUTED_VALUE"""),0.00222)</f>
        <v>0.00222</v>
      </c>
      <c r="J4434" s="19">
        <f>IFERROR(__xludf.DUMMYFUNCTION("""COMPUTED_VALUE"""),0.04536)</f>
        <v>0.04536</v>
      </c>
      <c r="K4434" s="19" t="str">
        <f>IFERROR(__xludf.DUMMYFUNCTION("""COMPUTED_VALUE"""),"-")</f>
        <v>-</v>
      </c>
      <c r="L4434" s="19" t="str">
        <f>IFERROR(__xludf.DUMMYFUNCTION("""COMPUTED_VALUE"""),"-")</f>
        <v>-</v>
      </c>
      <c r="O4434" s="24">
        <f t="shared" si="4"/>
        <v>0</v>
      </c>
      <c r="P4434" s="24"/>
      <c r="Q4434" s="24">
        <f t="shared" si="6"/>
        <v>0</v>
      </c>
      <c r="R4434" s="24">
        <f t="shared" si="7"/>
        <v>0</v>
      </c>
      <c r="S4434" s="24"/>
      <c r="T4434" s="24"/>
    </row>
    <row r="4435">
      <c r="A4435" s="12" t="s">
        <v>4522</v>
      </c>
      <c r="F4435" s="19">
        <f>IFERROR(__xludf.DUMMYFUNCTION("SPLIT(A4431, "" |"")"),4429.0)</f>
        <v>4429</v>
      </c>
      <c r="G4435" s="19">
        <f>IFERROR(__xludf.DUMMYFUNCTION("""COMPUTED_VALUE"""),0.00225)</f>
        <v>0.00225</v>
      </c>
      <c r="H4435" s="19" t="str">
        <f>IFERROR(__xludf.DUMMYFUNCTION("""COMPUTED_VALUE"""),"-")</f>
        <v>-</v>
      </c>
      <c r="I4435" s="19">
        <f>IFERROR(__xludf.DUMMYFUNCTION("""COMPUTED_VALUE"""),0.00232)</f>
        <v>0.00232</v>
      </c>
      <c r="J4435" s="19">
        <f>IFERROR(__xludf.DUMMYFUNCTION("""COMPUTED_VALUE"""),0.04506)</f>
        <v>0.04506</v>
      </c>
      <c r="K4435" s="19" t="str">
        <f>IFERROR(__xludf.DUMMYFUNCTION("""COMPUTED_VALUE"""),"-")</f>
        <v>-</v>
      </c>
      <c r="L4435" s="19" t="str">
        <f>IFERROR(__xludf.DUMMYFUNCTION("""COMPUTED_VALUE"""),"-")</f>
        <v>-</v>
      </c>
      <c r="O4435" s="24">
        <f t="shared" si="4"/>
        <v>0</v>
      </c>
      <c r="P4435" s="24"/>
      <c r="Q4435" s="24">
        <f t="shared" si="6"/>
        <v>0</v>
      </c>
      <c r="R4435" s="24">
        <f t="shared" si="7"/>
        <v>0</v>
      </c>
      <c r="S4435" s="24"/>
      <c r="T4435" s="24"/>
    </row>
    <row r="4436">
      <c r="A4436" s="12" t="s">
        <v>4523</v>
      </c>
      <c r="F4436" s="19">
        <f>IFERROR(__xludf.DUMMYFUNCTION("SPLIT(A4432, "" |"")"),4430.0)</f>
        <v>4430</v>
      </c>
      <c r="G4436" s="19">
        <f>IFERROR(__xludf.DUMMYFUNCTION("""COMPUTED_VALUE"""),0.00241)</f>
        <v>0.00241</v>
      </c>
      <c r="H4436" s="19" t="str">
        <f>IFERROR(__xludf.DUMMYFUNCTION("""COMPUTED_VALUE"""),"-")</f>
        <v>-</v>
      </c>
      <c r="I4436" s="19">
        <f>IFERROR(__xludf.DUMMYFUNCTION("""COMPUTED_VALUE"""),0.00215)</f>
        <v>0.00215</v>
      </c>
      <c r="J4436" s="19">
        <f>IFERROR(__xludf.DUMMYFUNCTION("""COMPUTED_VALUE"""),0.04744)</f>
        <v>0.04744</v>
      </c>
      <c r="K4436" s="19" t="str">
        <f>IFERROR(__xludf.DUMMYFUNCTION("""COMPUTED_VALUE"""),"-")</f>
        <v>-</v>
      </c>
      <c r="L4436" s="19" t="str">
        <f>IFERROR(__xludf.DUMMYFUNCTION("""COMPUTED_VALUE"""),"-")</f>
        <v>-</v>
      </c>
      <c r="O4436" s="24">
        <f t="shared" si="4"/>
        <v>0</v>
      </c>
      <c r="P4436" s="24"/>
      <c r="Q4436" s="24">
        <f t="shared" si="6"/>
        <v>0</v>
      </c>
      <c r="R4436" s="24">
        <f t="shared" si="7"/>
        <v>0</v>
      </c>
      <c r="S4436" s="24"/>
      <c r="T4436" s="24"/>
    </row>
    <row r="4437">
      <c r="A4437" s="12" t="s">
        <v>4524</v>
      </c>
      <c r="F4437" s="19">
        <f>IFERROR(__xludf.DUMMYFUNCTION("SPLIT(A4433, "" |"")"),4431.0)</f>
        <v>4431</v>
      </c>
      <c r="G4437" s="19">
        <f>IFERROR(__xludf.DUMMYFUNCTION("""COMPUTED_VALUE"""),0.00237)</f>
        <v>0.00237</v>
      </c>
      <c r="H4437" s="19" t="str">
        <f>IFERROR(__xludf.DUMMYFUNCTION("""COMPUTED_VALUE"""),"-")</f>
        <v>-</v>
      </c>
      <c r="I4437" s="19">
        <f>IFERROR(__xludf.DUMMYFUNCTION("""COMPUTED_VALUE"""),0.00221)</f>
        <v>0.00221</v>
      </c>
      <c r="J4437" s="19">
        <f>IFERROR(__xludf.DUMMYFUNCTION("""COMPUTED_VALUE"""),0.04746)</f>
        <v>0.04746</v>
      </c>
      <c r="K4437" s="19" t="str">
        <f>IFERROR(__xludf.DUMMYFUNCTION("""COMPUTED_VALUE"""),"-")</f>
        <v>-</v>
      </c>
      <c r="L4437" s="19" t="str">
        <f>IFERROR(__xludf.DUMMYFUNCTION("""COMPUTED_VALUE"""),"-")</f>
        <v>-</v>
      </c>
      <c r="O4437" s="24">
        <f t="shared" si="4"/>
        <v>0</v>
      </c>
      <c r="P4437" s="24"/>
      <c r="Q4437" s="24">
        <f t="shared" si="6"/>
        <v>0</v>
      </c>
      <c r="R4437" s="24">
        <f t="shared" si="7"/>
        <v>0</v>
      </c>
      <c r="S4437" s="24"/>
      <c r="T4437" s="24"/>
    </row>
    <row r="4438">
      <c r="A4438" s="12" t="s">
        <v>4525</v>
      </c>
      <c r="F4438" s="19">
        <f>IFERROR(__xludf.DUMMYFUNCTION("SPLIT(A4434, "" |"")"),4432.0)</f>
        <v>4432</v>
      </c>
      <c r="G4438" s="19">
        <f>IFERROR(__xludf.DUMMYFUNCTION("""COMPUTED_VALUE"""),0.00235)</f>
        <v>0.00235</v>
      </c>
      <c r="H4438" s="19" t="str">
        <f>IFERROR(__xludf.DUMMYFUNCTION("""COMPUTED_VALUE"""),"-")</f>
        <v>-</v>
      </c>
      <c r="I4438" s="19">
        <f>IFERROR(__xludf.DUMMYFUNCTION("""COMPUTED_VALUE"""),0.00221)</f>
        <v>0.00221</v>
      </c>
      <c r="J4438" s="19">
        <f>IFERROR(__xludf.DUMMYFUNCTION("""COMPUTED_VALUE"""),0.04743)</f>
        <v>0.04743</v>
      </c>
      <c r="K4438" s="19" t="str">
        <f>IFERROR(__xludf.DUMMYFUNCTION("""COMPUTED_VALUE"""),"-")</f>
        <v>-</v>
      </c>
      <c r="L4438" s="19" t="str">
        <f>IFERROR(__xludf.DUMMYFUNCTION("""COMPUTED_VALUE"""),"-")</f>
        <v>-</v>
      </c>
      <c r="O4438" s="24">
        <f t="shared" si="4"/>
        <v>0</v>
      </c>
      <c r="P4438" s="24"/>
      <c r="Q4438" s="24">
        <f t="shared" si="6"/>
        <v>0</v>
      </c>
      <c r="R4438" s="24">
        <f t="shared" si="7"/>
        <v>0</v>
      </c>
      <c r="S4438" s="24"/>
      <c r="T4438" s="24"/>
    </row>
    <row r="4439">
      <c r="A4439" s="12" t="s">
        <v>4526</v>
      </c>
      <c r="F4439" s="19">
        <f>IFERROR(__xludf.DUMMYFUNCTION("SPLIT(A4435, "" |"")"),4433.0)</f>
        <v>4433</v>
      </c>
      <c r="G4439" s="19">
        <f>IFERROR(__xludf.DUMMYFUNCTION("""COMPUTED_VALUE"""),0.00235)</f>
        <v>0.00235</v>
      </c>
      <c r="H4439" s="19" t="str">
        <f>IFERROR(__xludf.DUMMYFUNCTION("""COMPUTED_VALUE"""),"-")</f>
        <v>-</v>
      </c>
      <c r="I4439" s="19">
        <f>IFERROR(__xludf.DUMMYFUNCTION("""COMPUTED_VALUE"""),0.00223)</f>
        <v>0.00223</v>
      </c>
      <c r="J4439" s="19">
        <f>IFERROR(__xludf.DUMMYFUNCTION("""COMPUTED_VALUE"""),0.04743)</f>
        <v>0.04743</v>
      </c>
      <c r="K4439" s="19" t="str">
        <f>IFERROR(__xludf.DUMMYFUNCTION("""COMPUTED_VALUE"""),"-")</f>
        <v>-</v>
      </c>
      <c r="L4439" s="19" t="str">
        <f>IFERROR(__xludf.DUMMYFUNCTION("""COMPUTED_VALUE"""),"-")</f>
        <v>-</v>
      </c>
      <c r="O4439" s="24">
        <f t="shared" si="4"/>
        <v>0</v>
      </c>
      <c r="P4439" s="24"/>
      <c r="Q4439" s="24">
        <f t="shared" si="6"/>
        <v>0</v>
      </c>
      <c r="R4439" s="24">
        <f t="shared" si="7"/>
        <v>0</v>
      </c>
      <c r="S4439" s="24"/>
      <c r="T4439" s="24"/>
    </row>
    <row r="4440">
      <c r="A4440" s="12" t="s">
        <v>4527</v>
      </c>
      <c r="F4440" s="19">
        <f>IFERROR(__xludf.DUMMYFUNCTION("SPLIT(A4436, "" |"")"),4434.0)</f>
        <v>4434</v>
      </c>
      <c r="G4440" s="19">
        <f>IFERROR(__xludf.DUMMYFUNCTION("""COMPUTED_VALUE"""),0.00236)</f>
        <v>0.00236</v>
      </c>
      <c r="H4440" s="19" t="str">
        <f>IFERROR(__xludf.DUMMYFUNCTION("""COMPUTED_VALUE"""),"-")</f>
        <v>-</v>
      </c>
      <c r="I4440" s="19">
        <f>IFERROR(__xludf.DUMMYFUNCTION("""COMPUTED_VALUE"""),0.00225)</f>
        <v>0.00225</v>
      </c>
      <c r="J4440" s="19">
        <f>IFERROR(__xludf.DUMMYFUNCTION("""COMPUTED_VALUE"""),0.04739)</f>
        <v>0.04739</v>
      </c>
      <c r="K4440" s="19" t="str">
        <f>IFERROR(__xludf.DUMMYFUNCTION("""COMPUTED_VALUE"""),"-")</f>
        <v>-</v>
      </c>
      <c r="L4440" s="19" t="str">
        <f>IFERROR(__xludf.DUMMYFUNCTION("""COMPUTED_VALUE"""),"-")</f>
        <v>-</v>
      </c>
      <c r="O4440" s="24">
        <f t="shared" si="4"/>
        <v>0</v>
      </c>
      <c r="P4440" s="24"/>
      <c r="Q4440" s="24">
        <f t="shared" si="6"/>
        <v>0</v>
      </c>
      <c r="R4440" s="24">
        <f t="shared" si="7"/>
        <v>0</v>
      </c>
      <c r="S4440" s="24"/>
      <c r="T4440" s="24"/>
    </row>
    <row r="4441">
      <c r="A4441" s="12" t="s">
        <v>4528</v>
      </c>
      <c r="F4441" s="19">
        <f>IFERROR(__xludf.DUMMYFUNCTION("SPLIT(A4437, "" |"")"),4435.0)</f>
        <v>4435</v>
      </c>
      <c r="G4441" s="19">
        <f>IFERROR(__xludf.DUMMYFUNCTION("""COMPUTED_VALUE"""),0.00236)</f>
        <v>0.00236</v>
      </c>
      <c r="H4441" s="19" t="str">
        <f>IFERROR(__xludf.DUMMYFUNCTION("""COMPUTED_VALUE"""),"-")</f>
        <v>-</v>
      </c>
      <c r="I4441" s="19">
        <f>IFERROR(__xludf.DUMMYFUNCTION("""COMPUTED_VALUE"""),0.00224)</f>
        <v>0.00224</v>
      </c>
      <c r="J4441" s="19">
        <f>IFERROR(__xludf.DUMMYFUNCTION("""COMPUTED_VALUE"""),0.0474)</f>
        <v>0.0474</v>
      </c>
      <c r="K4441" s="19" t="str">
        <f>IFERROR(__xludf.DUMMYFUNCTION("""COMPUTED_VALUE"""),"-")</f>
        <v>-</v>
      </c>
      <c r="L4441" s="19" t="str">
        <f>IFERROR(__xludf.DUMMYFUNCTION("""COMPUTED_VALUE"""),"-")</f>
        <v>-</v>
      </c>
      <c r="O4441" s="24">
        <f t="shared" si="4"/>
        <v>0</v>
      </c>
      <c r="P4441" s="24"/>
      <c r="Q4441" s="24">
        <f t="shared" si="6"/>
        <v>0</v>
      </c>
      <c r="R4441" s="24">
        <f t="shared" si="7"/>
        <v>0</v>
      </c>
      <c r="S4441" s="24"/>
      <c r="T4441" s="24"/>
    </row>
    <row r="4442">
      <c r="A4442" s="12" t="s">
        <v>4529</v>
      </c>
      <c r="F4442" s="19">
        <f>IFERROR(__xludf.DUMMYFUNCTION("SPLIT(A4438, "" |"")"),4436.0)</f>
        <v>4436</v>
      </c>
      <c r="G4442" s="19">
        <f>IFERROR(__xludf.DUMMYFUNCTION("""COMPUTED_VALUE"""),0.00237)</f>
        <v>0.00237</v>
      </c>
      <c r="H4442" s="19" t="str">
        <f>IFERROR(__xludf.DUMMYFUNCTION("""COMPUTED_VALUE"""),"-")</f>
        <v>-</v>
      </c>
      <c r="I4442" s="19">
        <f>IFERROR(__xludf.DUMMYFUNCTION("""COMPUTED_VALUE"""),0.00223)</f>
        <v>0.00223</v>
      </c>
      <c r="J4442" s="19">
        <f>IFERROR(__xludf.DUMMYFUNCTION("""COMPUTED_VALUE"""),0.04746)</f>
        <v>0.04746</v>
      </c>
      <c r="K4442" s="19" t="str">
        <f>IFERROR(__xludf.DUMMYFUNCTION("""COMPUTED_VALUE"""),"-")</f>
        <v>-</v>
      </c>
      <c r="L4442" s="19" t="str">
        <f>IFERROR(__xludf.DUMMYFUNCTION("""COMPUTED_VALUE"""),"-")</f>
        <v>-</v>
      </c>
      <c r="O4442" s="24">
        <f t="shared" si="4"/>
        <v>0</v>
      </c>
      <c r="P4442" s="24"/>
      <c r="Q4442" s="24">
        <f t="shared" si="6"/>
        <v>0</v>
      </c>
      <c r="R4442" s="24">
        <f t="shared" si="7"/>
        <v>0</v>
      </c>
      <c r="S4442" s="24"/>
      <c r="T4442" s="24"/>
    </row>
    <row r="4443">
      <c r="A4443" s="12" t="s">
        <v>4530</v>
      </c>
      <c r="F4443" s="19">
        <f>IFERROR(__xludf.DUMMYFUNCTION("SPLIT(A4439, "" |"")"),4437.0)</f>
        <v>4437</v>
      </c>
      <c r="G4443" s="19">
        <f>IFERROR(__xludf.DUMMYFUNCTION("""COMPUTED_VALUE"""),0.00234)</f>
        <v>0.00234</v>
      </c>
      <c r="H4443" s="19" t="str">
        <f>IFERROR(__xludf.DUMMYFUNCTION("""COMPUTED_VALUE"""),"-")</f>
        <v>-</v>
      </c>
      <c r="I4443" s="19">
        <f>IFERROR(__xludf.DUMMYFUNCTION("""COMPUTED_VALUE"""),0.00222)</f>
        <v>0.00222</v>
      </c>
      <c r="J4443" s="19">
        <f>IFERROR(__xludf.DUMMYFUNCTION("""COMPUTED_VALUE"""),0.04501)</f>
        <v>0.04501</v>
      </c>
      <c r="K4443" s="19" t="str">
        <f>IFERROR(__xludf.DUMMYFUNCTION("""COMPUTED_VALUE"""),"-")</f>
        <v>-</v>
      </c>
      <c r="L4443" s="19" t="str">
        <f>IFERROR(__xludf.DUMMYFUNCTION("""COMPUTED_VALUE"""),"-")</f>
        <v>-</v>
      </c>
      <c r="O4443" s="24">
        <f t="shared" si="4"/>
        <v>0</v>
      </c>
      <c r="P4443" s="24"/>
      <c r="Q4443" s="24">
        <f t="shared" si="6"/>
        <v>0</v>
      </c>
      <c r="R4443" s="24">
        <f t="shared" si="7"/>
        <v>0</v>
      </c>
      <c r="S4443" s="24"/>
      <c r="T4443" s="24"/>
    </row>
    <row r="4444">
      <c r="A4444" s="12" t="s">
        <v>4531</v>
      </c>
      <c r="F4444" s="19">
        <f>IFERROR(__xludf.DUMMYFUNCTION("SPLIT(A4440, "" |"")"),4438.0)</f>
        <v>4438</v>
      </c>
      <c r="G4444" s="19">
        <f>IFERROR(__xludf.DUMMYFUNCTION("""COMPUTED_VALUE"""),0.00232)</f>
        <v>0.00232</v>
      </c>
      <c r="H4444" s="19" t="str">
        <f>IFERROR(__xludf.DUMMYFUNCTION("""COMPUTED_VALUE"""),"-")</f>
        <v>-</v>
      </c>
      <c r="I4444" s="19">
        <f>IFERROR(__xludf.DUMMYFUNCTION("""COMPUTED_VALUE"""),0.00223)</f>
        <v>0.00223</v>
      </c>
      <c r="J4444" s="19">
        <f>IFERROR(__xludf.DUMMYFUNCTION("""COMPUTED_VALUE"""),0.04743)</f>
        <v>0.04743</v>
      </c>
      <c r="K4444" s="19" t="str">
        <f>IFERROR(__xludf.DUMMYFUNCTION("""COMPUTED_VALUE"""),"-")</f>
        <v>-</v>
      </c>
      <c r="L4444" s="19" t="str">
        <f>IFERROR(__xludf.DUMMYFUNCTION("""COMPUTED_VALUE"""),"-")</f>
        <v>-</v>
      </c>
      <c r="O4444" s="24">
        <f t="shared" si="4"/>
        <v>0</v>
      </c>
      <c r="P4444" s="24"/>
      <c r="Q4444" s="24">
        <f t="shared" si="6"/>
        <v>0</v>
      </c>
      <c r="R4444" s="24">
        <f t="shared" si="7"/>
        <v>0</v>
      </c>
      <c r="S4444" s="24"/>
      <c r="T4444" s="24"/>
    </row>
    <row r="4445">
      <c r="A4445" s="12" t="s">
        <v>4532</v>
      </c>
      <c r="F4445" s="19">
        <f>IFERROR(__xludf.DUMMYFUNCTION("SPLIT(A4441, "" |"")"),4439.0)</f>
        <v>4439</v>
      </c>
      <c r="G4445" s="19">
        <f>IFERROR(__xludf.DUMMYFUNCTION("""COMPUTED_VALUE"""),0.00232)</f>
        <v>0.00232</v>
      </c>
      <c r="H4445" s="19" t="str">
        <f>IFERROR(__xludf.DUMMYFUNCTION("""COMPUTED_VALUE"""),"-")</f>
        <v>-</v>
      </c>
      <c r="I4445" s="19">
        <f>IFERROR(__xludf.DUMMYFUNCTION("""COMPUTED_VALUE"""),0.00222)</f>
        <v>0.00222</v>
      </c>
      <c r="J4445" s="19">
        <f>IFERROR(__xludf.DUMMYFUNCTION("""COMPUTED_VALUE"""),0.04454)</f>
        <v>0.04454</v>
      </c>
      <c r="K4445" s="19" t="str">
        <f>IFERROR(__xludf.DUMMYFUNCTION("""COMPUTED_VALUE"""),"-")</f>
        <v>-</v>
      </c>
      <c r="L4445" s="19" t="str">
        <f>IFERROR(__xludf.DUMMYFUNCTION("""COMPUTED_VALUE"""),"-")</f>
        <v>-</v>
      </c>
      <c r="O4445" s="24">
        <f t="shared" si="4"/>
        <v>0</v>
      </c>
      <c r="P4445" s="24"/>
      <c r="Q4445" s="24">
        <f t="shared" si="6"/>
        <v>0</v>
      </c>
      <c r="R4445" s="24">
        <f t="shared" si="7"/>
        <v>1</v>
      </c>
      <c r="S4445" s="24"/>
      <c r="T4445" s="24"/>
    </row>
    <row r="4446">
      <c r="A4446" s="12" t="s">
        <v>4533</v>
      </c>
      <c r="F4446" s="19">
        <f>IFERROR(__xludf.DUMMYFUNCTION("SPLIT(A4442, "" |"")"),4440.0)</f>
        <v>4440</v>
      </c>
      <c r="G4446" s="19">
        <f>IFERROR(__xludf.DUMMYFUNCTION("""COMPUTED_VALUE"""),0.00234)</f>
        <v>0.00234</v>
      </c>
      <c r="H4446" s="19" t="str">
        <f>IFERROR(__xludf.DUMMYFUNCTION("""COMPUTED_VALUE"""),"-")</f>
        <v>-</v>
      </c>
      <c r="I4446" s="19">
        <f>IFERROR(__xludf.DUMMYFUNCTION("""COMPUTED_VALUE"""),0.00218)</f>
        <v>0.00218</v>
      </c>
      <c r="J4446" s="19">
        <f>IFERROR(__xludf.DUMMYFUNCTION("""COMPUTED_VALUE"""),0.04187)</f>
        <v>0.04187</v>
      </c>
      <c r="K4446" s="19" t="str">
        <f>IFERROR(__xludf.DUMMYFUNCTION("""COMPUTED_VALUE"""),"-")</f>
        <v>-</v>
      </c>
      <c r="L4446" s="19" t="str">
        <f>IFERROR(__xludf.DUMMYFUNCTION("""COMPUTED_VALUE"""),"-")</f>
        <v>-</v>
      </c>
      <c r="O4446" s="24">
        <f t="shared" si="4"/>
        <v>0</v>
      </c>
      <c r="P4446" s="24"/>
      <c r="Q4446" s="24">
        <f t="shared" si="6"/>
        <v>0</v>
      </c>
      <c r="R4446" s="24">
        <f t="shared" si="7"/>
        <v>1</v>
      </c>
      <c r="S4446" s="24"/>
      <c r="T4446" s="24"/>
    </row>
    <row r="4447">
      <c r="A4447" s="12" t="s">
        <v>4534</v>
      </c>
      <c r="F4447" s="19">
        <f>IFERROR(__xludf.DUMMYFUNCTION("SPLIT(A4443, "" |"")"),4441.0)</f>
        <v>4441</v>
      </c>
      <c r="G4447" s="19">
        <f>IFERROR(__xludf.DUMMYFUNCTION("""COMPUTED_VALUE"""),0.00239)</f>
        <v>0.00239</v>
      </c>
      <c r="H4447" s="19" t="str">
        <f>IFERROR(__xludf.DUMMYFUNCTION("""COMPUTED_VALUE"""),"-")</f>
        <v>-</v>
      </c>
      <c r="I4447" s="19">
        <f>IFERROR(__xludf.DUMMYFUNCTION("""COMPUTED_VALUE"""),0.00223)</f>
        <v>0.00223</v>
      </c>
      <c r="J4447" s="19">
        <f>IFERROR(__xludf.DUMMYFUNCTION("""COMPUTED_VALUE"""),0.04749)</f>
        <v>0.04749</v>
      </c>
      <c r="K4447" s="19" t="str">
        <f>IFERROR(__xludf.DUMMYFUNCTION("""COMPUTED_VALUE"""),"-")</f>
        <v>-</v>
      </c>
      <c r="L4447" s="19" t="str">
        <f>IFERROR(__xludf.DUMMYFUNCTION("""COMPUTED_VALUE"""),"-")</f>
        <v>-</v>
      </c>
      <c r="O4447" s="24">
        <f t="shared" si="4"/>
        <v>0</v>
      </c>
      <c r="P4447" s="24"/>
      <c r="Q4447" s="24">
        <f t="shared" si="6"/>
        <v>0</v>
      </c>
      <c r="R4447" s="24">
        <f t="shared" si="7"/>
        <v>0</v>
      </c>
      <c r="S4447" s="24"/>
      <c r="T4447" s="24"/>
    </row>
    <row r="4448">
      <c r="A4448" s="12" t="s">
        <v>4535</v>
      </c>
      <c r="F4448" s="19">
        <f>IFERROR(__xludf.DUMMYFUNCTION("SPLIT(A4444, "" |"")"),4442.0)</f>
        <v>4442</v>
      </c>
      <c r="G4448" s="19">
        <f>IFERROR(__xludf.DUMMYFUNCTION("""COMPUTED_VALUE"""),0.00242)</f>
        <v>0.00242</v>
      </c>
      <c r="H4448" s="19" t="str">
        <f>IFERROR(__xludf.DUMMYFUNCTION("""COMPUTED_VALUE"""),"-")</f>
        <v>-</v>
      </c>
      <c r="I4448" s="19">
        <f>IFERROR(__xludf.DUMMYFUNCTION("""COMPUTED_VALUE"""),0.0022)</f>
        <v>0.0022</v>
      </c>
      <c r="J4448" s="19">
        <f>IFERROR(__xludf.DUMMYFUNCTION("""COMPUTED_VALUE"""),0.04744)</f>
        <v>0.04744</v>
      </c>
      <c r="K4448" s="19" t="str">
        <f>IFERROR(__xludf.DUMMYFUNCTION("""COMPUTED_VALUE"""),"-")</f>
        <v>-</v>
      </c>
      <c r="L4448" s="19" t="str">
        <f>IFERROR(__xludf.DUMMYFUNCTION("""COMPUTED_VALUE"""),"-")</f>
        <v>-</v>
      </c>
      <c r="O4448" s="24">
        <f t="shared" si="4"/>
        <v>0</v>
      </c>
      <c r="P4448" s="24"/>
      <c r="Q4448" s="24">
        <f t="shared" si="6"/>
        <v>0</v>
      </c>
      <c r="R4448" s="24">
        <f t="shared" si="7"/>
        <v>0</v>
      </c>
      <c r="S4448" s="24"/>
      <c r="T4448" s="24"/>
    </row>
    <row r="4449">
      <c r="A4449" s="12" t="s">
        <v>4536</v>
      </c>
      <c r="F4449" s="19">
        <f>IFERROR(__xludf.DUMMYFUNCTION("SPLIT(A4445, "" |"")"),4443.0)</f>
        <v>4443</v>
      </c>
      <c r="G4449" s="19">
        <f>IFERROR(__xludf.DUMMYFUNCTION("""COMPUTED_VALUE"""),0.00234)</f>
        <v>0.00234</v>
      </c>
      <c r="H4449" s="19" t="str">
        <f>IFERROR(__xludf.DUMMYFUNCTION("""COMPUTED_VALUE"""),"-")</f>
        <v>-</v>
      </c>
      <c r="I4449" s="19">
        <f>IFERROR(__xludf.DUMMYFUNCTION("""COMPUTED_VALUE"""),0.00222)</f>
        <v>0.00222</v>
      </c>
      <c r="J4449" s="19">
        <f>IFERROR(__xludf.DUMMYFUNCTION("""COMPUTED_VALUE"""),0.0474)</f>
        <v>0.0474</v>
      </c>
      <c r="K4449" s="19" t="str">
        <f>IFERROR(__xludf.DUMMYFUNCTION("""COMPUTED_VALUE"""),"-")</f>
        <v>-</v>
      </c>
      <c r="L4449" s="19" t="str">
        <f>IFERROR(__xludf.DUMMYFUNCTION("""COMPUTED_VALUE"""),"-")</f>
        <v>-</v>
      </c>
      <c r="O4449" s="24">
        <f t="shared" si="4"/>
        <v>0</v>
      </c>
      <c r="P4449" s="24"/>
      <c r="Q4449" s="24">
        <f t="shared" si="6"/>
        <v>0</v>
      </c>
      <c r="R4449" s="24">
        <f t="shared" si="7"/>
        <v>0</v>
      </c>
      <c r="S4449" s="24"/>
      <c r="T4449" s="24"/>
    </row>
    <row r="4450">
      <c r="A4450" s="12" t="s">
        <v>4537</v>
      </c>
      <c r="F4450" s="19">
        <f>IFERROR(__xludf.DUMMYFUNCTION("SPLIT(A4446, "" |"")"),4444.0)</f>
        <v>4444</v>
      </c>
      <c r="G4450" s="19">
        <f>IFERROR(__xludf.DUMMYFUNCTION("""COMPUTED_VALUE"""),0.00238)</f>
        <v>0.00238</v>
      </c>
      <c r="H4450" s="19" t="str">
        <f>IFERROR(__xludf.DUMMYFUNCTION("""COMPUTED_VALUE"""),"-")</f>
        <v>-</v>
      </c>
      <c r="I4450" s="19">
        <f>IFERROR(__xludf.DUMMYFUNCTION("""COMPUTED_VALUE"""),0.00221)</f>
        <v>0.00221</v>
      </c>
      <c r="J4450" s="19">
        <f>IFERROR(__xludf.DUMMYFUNCTION("""COMPUTED_VALUE"""),0.04736)</f>
        <v>0.04736</v>
      </c>
      <c r="K4450" s="19" t="str">
        <f>IFERROR(__xludf.DUMMYFUNCTION("""COMPUTED_VALUE"""),"-")</f>
        <v>-</v>
      </c>
      <c r="L4450" s="19" t="str">
        <f>IFERROR(__xludf.DUMMYFUNCTION("""COMPUTED_VALUE"""),"-")</f>
        <v>-</v>
      </c>
      <c r="O4450" s="24">
        <f t="shared" si="4"/>
        <v>0</v>
      </c>
      <c r="P4450" s="24"/>
      <c r="Q4450" s="24">
        <f t="shared" si="6"/>
        <v>0</v>
      </c>
      <c r="R4450" s="24">
        <f t="shared" si="7"/>
        <v>0</v>
      </c>
      <c r="S4450" s="24"/>
      <c r="T4450" s="24"/>
    </row>
    <row r="4451">
      <c r="A4451" s="12" t="s">
        <v>4538</v>
      </c>
      <c r="F4451" s="19">
        <f>IFERROR(__xludf.DUMMYFUNCTION("SPLIT(A4447, "" |"")"),4445.0)</f>
        <v>4445</v>
      </c>
      <c r="G4451" s="19">
        <f>IFERROR(__xludf.DUMMYFUNCTION("""COMPUTED_VALUE"""),0.0024)</f>
        <v>0.0024</v>
      </c>
      <c r="H4451" s="19" t="str">
        <f>IFERROR(__xludf.DUMMYFUNCTION("""COMPUTED_VALUE"""),"-")</f>
        <v>-</v>
      </c>
      <c r="I4451" s="19">
        <f>IFERROR(__xludf.DUMMYFUNCTION("""COMPUTED_VALUE"""),0.00225)</f>
        <v>0.00225</v>
      </c>
      <c r="J4451" s="19">
        <f>IFERROR(__xludf.DUMMYFUNCTION("""COMPUTED_VALUE"""),0.04745)</f>
        <v>0.04745</v>
      </c>
      <c r="K4451" s="19" t="str">
        <f>IFERROR(__xludf.DUMMYFUNCTION("""COMPUTED_VALUE"""),"-")</f>
        <v>-</v>
      </c>
      <c r="L4451" s="19" t="str">
        <f>IFERROR(__xludf.DUMMYFUNCTION("""COMPUTED_VALUE"""),"-")</f>
        <v>-</v>
      </c>
      <c r="O4451" s="24">
        <f t="shared" si="4"/>
        <v>0</v>
      </c>
      <c r="P4451" s="24"/>
      <c r="Q4451" s="24">
        <f t="shared" si="6"/>
        <v>0</v>
      </c>
      <c r="R4451" s="24">
        <f t="shared" si="7"/>
        <v>0</v>
      </c>
      <c r="S4451" s="24"/>
      <c r="T4451" s="24"/>
    </row>
    <row r="4452">
      <c r="A4452" s="12" t="s">
        <v>4539</v>
      </c>
      <c r="F4452" s="19">
        <f>IFERROR(__xludf.DUMMYFUNCTION("SPLIT(A4448, "" |"")"),4446.0)</f>
        <v>4446</v>
      </c>
      <c r="G4452" s="19">
        <f>IFERROR(__xludf.DUMMYFUNCTION("""COMPUTED_VALUE"""),0.00233)</f>
        <v>0.00233</v>
      </c>
      <c r="H4452" s="19" t="str">
        <f>IFERROR(__xludf.DUMMYFUNCTION("""COMPUTED_VALUE"""),"-")</f>
        <v>-</v>
      </c>
      <c r="I4452" s="19">
        <f>IFERROR(__xludf.DUMMYFUNCTION("""COMPUTED_VALUE"""),0.00225)</f>
        <v>0.00225</v>
      </c>
      <c r="J4452" s="19">
        <f>IFERROR(__xludf.DUMMYFUNCTION("""COMPUTED_VALUE"""),0.03951)</f>
        <v>0.03951</v>
      </c>
      <c r="K4452" s="19" t="str">
        <f>IFERROR(__xludf.DUMMYFUNCTION("""COMPUTED_VALUE"""),"-")</f>
        <v>-</v>
      </c>
      <c r="L4452" s="19" t="str">
        <f>IFERROR(__xludf.DUMMYFUNCTION("""COMPUTED_VALUE"""),"-")</f>
        <v>-</v>
      </c>
      <c r="O4452" s="24">
        <f t="shared" si="4"/>
        <v>0</v>
      </c>
      <c r="P4452" s="24"/>
      <c r="Q4452" s="24">
        <f t="shared" si="6"/>
        <v>0</v>
      </c>
      <c r="R4452" s="24">
        <f t="shared" si="7"/>
        <v>1</v>
      </c>
      <c r="S4452" s="24"/>
      <c r="T4452" s="24"/>
    </row>
    <row r="4453">
      <c r="A4453" s="12" t="s">
        <v>4540</v>
      </c>
      <c r="F4453" s="19">
        <f>IFERROR(__xludf.DUMMYFUNCTION("SPLIT(A4449, "" |"")"),4447.0)</f>
        <v>4447</v>
      </c>
      <c r="G4453" s="19">
        <f>IFERROR(__xludf.DUMMYFUNCTION("""COMPUTED_VALUE"""),0.00233)</f>
        <v>0.00233</v>
      </c>
      <c r="H4453" s="19" t="str">
        <f>IFERROR(__xludf.DUMMYFUNCTION("""COMPUTED_VALUE"""),"-")</f>
        <v>-</v>
      </c>
      <c r="I4453" s="19">
        <f>IFERROR(__xludf.DUMMYFUNCTION("""COMPUTED_VALUE"""),0.00219)</f>
        <v>0.00219</v>
      </c>
      <c r="J4453" s="19">
        <f>IFERROR(__xludf.DUMMYFUNCTION("""COMPUTED_VALUE"""),0.0422)</f>
        <v>0.0422</v>
      </c>
      <c r="K4453" s="19" t="str">
        <f>IFERROR(__xludf.DUMMYFUNCTION("""COMPUTED_VALUE"""),"-")</f>
        <v>-</v>
      </c>
      <c r="L4453" s="19" t="str">
        <f>IFERROR(__xludf.DUMMYFUNCTION("""COMPUTED_VALUE"""),"-")</f>
        <v>-</v>
      </c>
      <c r="O4453" s="24">
        <f t="shared" si="4"/>
        <v>0</v>
      </c>
      <c r="P4453" s="24"/>
      <c r="Q4453" s="24">
        <f t="shared" si="6"/>
        <v>0</v>
      </c>
      <c r="R4453" s="24">
        <f t="shared" si="7"/>
        <v>1</v>
      </c>
      <c r="S4453" s="24"/>
      <c r="T4453" s="24"/>
    </row>
    <row r="4454">
      <c r="A4454" s="12" t="s">
        <v>4541</v>
      </c>
      <c r="F4454" s="19">
        <f>IFERROR(__xludf.DUMMYFUNCTION("SPLIT(A4450, "" |"")"),4448.0)</f>
        <v>4448</v>
      </c>
      <c r="G4454" s="19">
        <f>IFERROR(__xludf.DUMMYFUNCTION("""COMPUTED_VALUE"""),0.00234)</f>
        <v>0.00234</v>
      </c>
      <c r="H4454" s="19" t="str">
        <f>IFERROR(__xludf.DUMMYFUNCTION("""COMPUTED_VALUE"""),"-")</f>
        <v>-</v>
      </c>
      <c r="I4454" s="19">
        <f>IFERROR(__xludf.DUMMYFUNCTION("""COMPUTED_VALUE"""),0.00226)</f>
        <v>0.00226</v>
      </c>
      <c r="J4454" s="19">
        <f>IFERROR(__xludf.DUMMYFUNCTION("""COMPUTED_VALUE"""),0.04747)</f>
        <v>0.04747</v>
      </c>
      <c r="K4454" s="19" t="str">
        <f>IFERROR(__xludf.DUMMYFUNCTION("""COMPUTED_VALUE"""),"-")</f>
        <v>-</v>
      </c>
      <c r="L4454" s="19" t="str">
        <f>IFERROR(__xludf.DUMMYFUNCTION("""COMPUTED_VALUE"""),"-")</f>
        <v>-</v>
      </c>
      <c r="O4454" s="24">
        <f t="shared" si="4"/>
        <v>0</v>
      </c>
      <c r="P4454" s="24"/>
      <c r="Q4454" s="24">
        <f t="shared" si="6"/>
        <v>0</v>
      </c>
      <c r="R4454" s="24">
        <f t="shared" si="7"/>
        <v>0</v>
      </c>
      <c r="S4454" s="24"/>
      <c r="T4454" s="24"/>
    </row>
    <row r="4455">
      <c r="A4455" s="12" t="s">
        <v>4542</v>
      </c>
      <c r="F4455" s="19">
        <f>IFERROR(__xludf.DUMMYFUNCTION("SPLIT(A4451, "" |"")"),4449.0)</f>
        <v>4449</v>
      </c>
      <c r="G4455" s="19">
        <f>IFERROR(__xludf.DUMMYFUNCTION("""COMPUTED_VALUE"""),0.00233)</f>
        <v>0.00233</v>
      </c>
      <c r="H4455" s="19" t="str">
        <f>IFERROR(__xludf.DUMMYFUNCTION("""COMPUTED_VALUE"""),"-")</f>
        <v>-</v>
      </c>
      <c r="I4455" s="19">
        <f>IFERROR(__xludf.DUMMYFUNCTION("""COMPUTED_VALUE"""),0.00214)</f>
        <v>0.00214</v>
      </c>
      <c r="J4455" s="19">
        <f>IFERROR(__xludf.DUMMYFUNCTION("""COMPUTED_VALUE"""),0.04737)</f>
        <v>0.04737</v>
      </c>
      <c r="K4455" s="19" t="str">
        <f>IFERROR(__xludf.DUMMYFUNCTION("""COMPUTED_VALUE"""),"-")</f>
        <v>-</v>
      </c>
      <c r="L4455" s="19" t="str">
        <f>IFERROR(__xludf.DUMMYFUNCTION("""COMPUTED_VALUE"""),"-")</f>
        <v>-</v>
      </c>
      <c r="O4455" s="24">
        <f t="shared" si="4"/>
        <v>0</v>
      </c>
      <c r="P4455" s="24"/>
      <c r="Q4455" s="24">
        <f t="shared" si="6"/>
        <v>0</v>
      </c>
      <c r="R4455" s="24">
        <f t="shared" si="7"/>
        <v>0</v>
      </c>
      <c r="S4455" s="24"/>
      <c r="T4455" s="24"/>
    </row>
    <row r="4456">
      <c r="A4456" s="12" t="s">
        <v>4543</v>
      </c>
      <c r="F4456" s="19">
        <f>IFERROR(__xludf.DUMMYFUNCTION("SPLIT(A4452, "" |"")"),4450.0)</f>
        <v>4450</v>
      </c>
      <c r="G4456" s="19">
        <f>IFERROR(__xludf.DUMMYFUNCTION("""COMPUTED_VALUE"""),0.00226)</f>
        <v>0.00226</v>
      </c>
      <c r="H4456" s="19" t="str">
        <f>IFERROR(__xludf.DUMMYFUNCTION("""COMPUTED_VALUE"""),"-")</f>
        <v>-</v>
      </c>
      <c r="I4456" s="19">
        <f>IFERROR(__xludf.DUMMYFUNCTION("""COMPUTED_VALUE"""),0.00209)</f>
        <v>0.00209</v>
      </c>
      <c r="J4456" s="19">
        <f>IFERROR(__xludf.DUMMYFUNCTION("""COMPUTED_VALUE"""),0.04736)</f>
        <v>0.04736</v>
      </c>
      <c r="K4456" s="19" t="str">
        <f>IFERROR(__xludf.DUMMYFUNCTION("""COMPUTED_VALUE"""),"-")</f>
        <v>-</v>
      </c>
      <c r="L4456" s="19" t="str">
        <f>IFERROR(__xludf.DUMMYFUNCTION("""COMPUTED_VALUE"""),"-")</f>
        <v>-</v>
      </c>
      <c r="O4456" s="24">
        <f t="shared" si="4"/>
        <v>0</v>
      </c>
      <c r="P4456" s="24"/>
      <c r="Q4456" s="24">
        <f t="shared" si="6"/>
        <v>0</v>
      </c>
      <c r="R4456" s="24">
        <f t="shared" si="7"/>
        <v>0</v>
      </c>
      <c r="S4456" s="24"/>
      <c r="T4456" s="24"/>
    </row>
    <row r="4457">
      <c r="A4457" s="12" t="s">
        <v>4544</v>
      </c>
      <c r="F4457" s="19">
        <f>IFERROR(__xludf.DUMMYFUNCTION("SPLIT(A4453, "" |"")"),4451.0)</f>
        <v>4451</v>
      </c>
      <c r="G4457" s="19">
        <f>IFERROR(__xludf.DUMMYFUNCTION("""COMPUTED_VALUE"""),0.00236)</f>
        <v>0.00236</v>
      </c>
      <c r="H4457" s="19" t="str">
        <f>IFERROR(__xludf.DUMMYFUNCTION("""COMPUTED_VALUE"""),"-")</f>
        <v>-</v>
      </c>
      <c r="I4457" s="19">
        <f>IFERROR(__xludf.DUMMYFUNCTION("""COMPUTED_VALUE"""),0.00224)</f>
        <v>0.00224</v>
      </c>
      <c r="J4457" s="19">
        <f>IFERROR(__xludf.DUMMYFUNCTION("""COMPUTED_VALUE"""),0.04745)</f>
        <v>0.04745</v>
      </c>
      <c r="K4457" s="19" t="str">
        <f>IFERROR(__xludf.DUMMYFUNCTION("""COMPUTED_VALUE"""),"-")</f>
        <v>-</v>
      </c>
      <c r="L4457" s="19" t="str">
        <f>IFERROR(__xludf.DUMMYFUNCTION("""COMPUTED_VALUE"""),"-")</f>
        <v>-</v>
      </c>
      <c r="O4457" s="24">
        <f t="shared" si="4"/>
        <v>0</v>
      </c>
      <c r="P4457" s="24"/>
      <c r="Q4457" s="24">
        <f t="shared" si="6"/>
        <v>0</v>
      </c>
      <c r="R4457" s="24">
        <f t="shared" si="7"/>
        <v>0</v>
      </c>
      <c r="S4457" s="24"/>
      <c r="T4457" s="24"/>
    </row>
    <row r="4458">
      <c r="A4458" s="12" t="s">
        <v>4545</v>
      </c>
      <c r="F4458" s="19">
        <f>IFERROR(__xludf.DUMMYFUNCTION("SPLIT(A4454, "" |"")"),4452.0)</f>
        <v>4452</v>
      </c>
      <c r="G4458" s="19">
        <f>IFERROR(__xludf.DUMMYFUNCTION("""COMPUTED_VALUE"""),0.00236)</f>
        <v>0.00236</v>
      </c>
      <c r="H4458" s="19" t="str">
        <f>IFERROR(__xludf.DUMMYFUNCTION("""COMPUTED_VALUE"""),"-")</f>
        <v>-</v>
      </c>
      <c r="I4458" s="19">
        <f>IFERROR(__xludf.DUMMYFUNCTION("""COMPUTED_VALUE"""),0.0022)</f>
        <v>0.0022</v>
      </c>
      <c r="J4458" s="19">
        <f>IFERROR(__xludf.DUMMYFUNCTION("""COMPUTED_VALUE"""),0.04745)</f>
        <v>0.04745</v>
      </c>
      <c r="K4458" s="19" t="str">
        <f>IFERROR(__xludf.DUMMYFUNCTION("""COMPUTED_VALUE"""),"-")</f>
        <v>-</v>
      </c>
      <c r="L4458" s="19" t="str">
        <f>IFERROR(__xludf.DUMMYFUNCTION("""COMPUTED_VALUE"""),"-")</f>
        <v>-</v>
      </c>
      <c r="O4458" s="24">
        <f t="shared" si="4"/>
        <v>0</v>
      </c>
      <c r="P4458" s="24"/>
      <c r="Q4458" s="24">
        <f t="shared" si="6"/>
        <v>0</v>
      </c>
      <c r="R4458" s="24">
        <f t="shared" si="7"/>
        <v>0</v>
      </c>
      <c r="S4458" s="24"/>
      <c r="T4458" s="24"/>
    </row>
    <row r="4459">
      <c r="A4459" s="12" t="s">
        <v>4546</v>
      </c>
      <c r="F4459" s="19">
        <f>IFERROR(__xludf.DUMMYFUNCTION("SPLIT(A4455, "" |"")"),4453.0)</f>
        <v>4453</v>
      </c>
      <c r="G4459" s="19">
        <f>IFERROR(__xludf.DUMMYFUNCTION("""COMPUTED_VALUE"""),0.00246)</f>
        <v>0.00246</v>
      </c>
      <c r="H4459" s="19" t="str">
        <f>IFERROR(__xludf.DUMMYFUNCTION("""COMPUTED_VALUE"""),"-")</f>
        <v>-</v>
      </c>
      <c r="I4459" s="19">
        <f>IFERROR(__xludf.DUMMYFUNCTION("""COMPUTED_VALUE"""),0.0023)</f>
        <v>0.0023</v>
      </c>
      <c r="J4459" s="19">
        <f>IFERROR(__xludf.DUMMYFUNCTION("""COMPUTED_VALUE"""),0.04751)</f>
        <v>0.04751</v>
      </c>
      <c r="K4459" s="19" t="str">
        <f>IFERROR(__xludf.DUMMYFUNCTION("""COMPUTED_VALUE"""),"-")</f>
        <v>-</v>
      </c>
      <c r="L4459" s="19" t="str">
        <f>IFERROR(__xludf.DUMMYFUNCTION("""COMPUTED_VALUE"""),"-")</f>
        <v>-</v>
      </c>
      <c r="O4459" s="24">
        <f t="shared" si="4"/>
        <v>0</v>
      </c>
      <c r="P4459" s="24"/>
      <c r="Q4459" s="24">
        <f t="shared" si="6"/>
        <v>0</v>
      </c>
      <c r="R4459" s="24">
        <f t="shared" si="7"/>
        <v>0</v>
      </c>
      <c r="S4459" s="24"/>
      <c r="T4459" s="24"/>
    </row>
    <row r="4460">
      <c r="A4460" s="12" t="s">
        <v>4547</v>
      </c>
      <c r="F4460" s="19">
        <f>IFERROR(__xludf.DUMMYFUNCTION("SPLIT(A4456, "" |"")"),4454.0)</f>
        <v>4454</v>
      </c>
      <c r="G4460" s="19">
        <f>IFERROR(__xludf.DUMMYFUNCTION("""COMPUTED_VALUE"""),0.00239)</f>
        <v>0.00239</v>
      </c>
      <c r="H4460" s="19" t="str">
        <f>IFERROR(__xludf.DUMMYFUNCTION("""COMPUTED_VALUE"""),"-")</f>
        <v>-</v>
      </c>
      <c r="I4460" s="19">
        <f>IFERROR(__xludf.DUMMYFUNCTION("""COMPUTED_VALUE"""),0.00229)</f>
        <v>0.00229</v>
      </c>
      <c r="J4460" s="19">
        <f>IFERROR(__xludf.DUMMYFUNCTION("""COMPUTED_VALUE"""),0.04747)</f>
        <v>0.04747</v>
      </c>
      <c r="K4460" s="19" t="str">
        <f>IFERROR(__xludf.DUMMYFUNCTION("""COMPUTED_VALUE"""),"-")</f>
        <v>-</v>
      </c>
      <c r="L4460" s="19" t="str">
        <f>IFERROR(__xludf.DUMMYFUNCTION("""COMPUTED_VALUE"""),"-")</f>
        <v>-</v>
      </c>
      <c r="O4460" s="24">
        <f t="shared" si="4"/>
        <v>0</v>
      </c>
      <c r="P4460" s="24"/>
      <c r="Q4460" s="24">
        <f t="shared" si="6"/>
        <v>0</v>
      </c>
      <c r="R4460" s="24">
        <f t="shared" si="7"/>
        <v>0</v>
      </c>
      <c r="S4460" s="24"/>
      <c r="T4460" s="24"/>
    </row>
    <row r="4461">
      <c r="A4461" s="12" t="s">
        <v>4548</v>
      </c>
      <c r="F4461" s="19">
        <f>IFERROR(__xludf.DUMMYFUNCTION("SPLIT(A4457, "" |"")"),4455.0)</f>
        <v>4455</v>
      </c>
      <c r="G4461" s="19">
        <f>IFERROR(__xludf.DUMMYFUNCTION("""COMPUTED_VALUE"""),0.00236)</f>
        <v>0.00236</v>
      </c>
      <c r="H4461" s="19" t="str">
        <f>IFERROR(__xludf.DUMMYFUNCTION("""COMPUTED_VALUE"""),"-")</f>
        <v>-</v>
      </c>
      <c r="I4461" s="19">
        <f>IFERROR(__xludf.DUMMYFUNCTION("""COMPUTED_VALUE"""),0.00214)</f>
        <v>0.00214</v>
      </c>
      <c r="J4461" s="19">
        <f>IFERROR(__xludf.DUMMYFUNCTION("""COMPUTED_VALUE"""),0.04747)</f>
        <v>0.04747</v>
      </c>
      <c r="K4461" s="19" t="str">
        <f>IFERROR(__xludf.DUMMYFUNCTION("""COMPUTED_VALUE"""),"-")</f>
        <v>-</v>
      </c>
      <c r="L4461" s="19" t="str">
        <f>IFERROR(__xludf.DUMMYFUNCTION("""COMPUTED_VALUE"""),"-")</f>
        <v>-</v>
      </c>
      <c r="O4461" s="24">
        <f t="shared" si="4"/>
        <v>0</v>
      </c>
      <c r="P4461" s="24"/>
      <c r="Q4461" s="24">
        <f t="shared" si="6"/>
        <v>0</v>
      </c>
      <c r="R4461" s="24">
        <f t="shared" si="7"/>
        <v>0</v>
      </c>
      <c r="S4461" s="24"/>
      <c r="T4461" s="24"/>
    </row>
    <row r="4462">
      <c r="A4462" s="12" t="s">
        <v>4549</v>
      </c>
      <c r="F4462" s="19">
        <f>IFERROR(__xludf.DUMMYFUNCTION("SPLIT(A4458, "" |"")"),4456.0)</f>
        <v>4456</v>
      </c>
      <c r="G4462" s="19">
        <f>IFERROR(__xludf.DUMMYFUNCTION("""COMPUTED_VALUE"""),0.00241)</f>
        <v>0.00241</v>
      </c>
      <c r="H4462" s="19" t="str">
        <f>IFERROR(__xludf.DUMMYFUNCTION("""COMPUTED_VALUE"""),"-")</f>
        <v>-</v>
      </c>
      <c r="I4462" s="19">
        <f>IFERROR(__xludf.DUMMYFUNCTION("""COMPUTED_VALUE"""),0.00221)</f>
        <v>0.00221</v>
      </c>
      <c r="J4462" s="19">
        <f>IFERROR(__xludf.DUMMYFUNCTION("""COMPUTED_VALUE"""),0.04744)</f>
        <v>0.04744</v>
      </c>
      <c r="K4462" s="19" t="str">
        <f>IFERROR(__xludf.DUMMYFUNCTION("""COMPUTED_VALUE"""),"-")</f>
        <v>-</v>
      </c>
      <c r="L4462" s="19" t="str">
        <f>IFERROR(__xludf.DUMMYFUNCTION("""COMPUTED_VALUE"""),"-")</f>
        <v>-</v>
      </c>
      <c r="O4462" s="24">
        <f t="shared" si="4"/>
        <v>0</v>
      </c>
      <c r="P4462" s="24"/>
      <c r="Q4462" s="24">
        <f t="shared" si="6"/>
        <v>0</v>
      </c>
      <c r="R4462" s="24">
        <f t="shared" si="7"/>
        <v>0</v>
      </c>
      <c r="S4462" s="24"/>
      <c r="T4462" s="24"/>
    </row>
    <row r="4463">
      <c r="A4463" s="12" t="s">
        <v>4550</v>
      </c>
      <c r="F4463" s="19">
        <f>IFERROR(__xludf.DUMMYFUNCTION("SPLIT(A4459, "" |"")"),4457.0)</f>
        <v>4457</v>
      </c>
      <c r="G4463" s="19">
        <f>IFERROR(__xludf.DUMMYFUNCTION("""COMPUTED_VALUE"""),0.00235)</f>
        <v>0.00235</v>
      </c>
      <c r="H4463" s="19" t="str">
        <f>IFERROR(__xludf.DUMMYFUNCTION("""COMPUTED_VALUE"""),"-")</f>
        <v>-</v>
      </c>
      <c r="I4463" s="19">
        <f>IFERROR(__xludf.DUMMYFUNCTION("""COMPUTED_VALUE"""),0.00222)</f>
        <v>0.00222</v>
      </c>
      <c r="J4463" s="19">
        <f>IFERROR(__xludf.DUMMYFUNCTION("""COMPUTED_VALUE"""),0.04739)</f>
        <v>0.04739</v>
      </c>
      <c r="K4463" s="19" t="str">
        <f>IFERROR(__xludf.DUMMYFUNCTION("""COMPUTED_VALUE"""),"-")</f>
        <v>-</v>
      </c>
      <c r="L4463" s="19" t="str">
        <f>IFERROR(__xludf.DUMMYFUNCTION("""COMPUTED_VALUE"""),"-")</f>
        <v>-</v>
      </c>
      <c r="O4463" s="24">
        <f t="shared" si="4"/>
        <v>0</v>
      </c>
      <c r="P4463" s="24"/>
      <c r="Q4463" s="24">
        <f t="shared" si="6"/>
        <v>0</v>
      </c>
      <c r="R4463" s="24">
        <f t="shared" si="7"/>
        <v>0</v>
      </c>
      <c r="S4463" s="24"/>
      <c r="T4463" s="24"/>
    </row>
    <row r="4464">
      <c r="A4464" s="12" t="s">
        <v>4551</v>
      </c>
      <c r="F4464" s="19">
        <f>IFERROR(__xludf.DUMMYFUNCTION("SPLIT(A4460, "" |"")"),4458.0)</f>
        <v>4458</v>
      </c>
      <c r="G4464" s="19">
        <f>IFERROR(__xludf.DUMMYFUNCTION("""COMPUTED_VALUE"""),0.00238)</f>
        <v>0.00238</v>
      </c>
      <c r="H4464" s="19" t="str">
        <f>IFERROR(__xludf.DUMMYFUNCTION("""COMPUTED_VALUE"""),"-")</f>
        <v>-</v>
      </c>
      <c r="I4464" s="19">
        <f>IFERROR(__xludf.DUMMYFUNCTION("""COMPUTED_VALUE"""),0.00222)</f>
        <v>0.00222</v>
      </c>
      <c r="J4464" s="19">
        <f>IFERROR(__xludf.DUMMYFUNCTION("""COMPUTED_VALUE"""),0.0474)</f>
        <v>0.0474</v>
      </c>
      <c r="K4464" s="19" t="str">
        <f>IFERROR(__xludf.DUMMYFUNCTION("""COMPUTED_VALUE"""),"-")</f>
        <v>-</v>
      </c>
      <c r="L4464" s="19" t="str">
        <f>IFERROR(__xludf.DUMMYFUNCTION("""COMPUTED_VALUE"""),"-")</f>
        <v>-</v>
      </c>
      <c r="O4464" s="24">
        <f t="shared" si="4"/>
        <v>0</v>
      </c>
      <c r="P4464" s="24"/>
      <c r="Q4464" s="24">
        <f t="shared" si="6"/>
        <v>0</v>
      </c>
      <c r="R4464" s="24">
        <f t="shared" si="7"/>
        <v>0</v>
      </c>
      <c r="S4464" s="24"/>
      <c r="T4464" s="24"/>
    </row>
    <row r="4465">
      <c r="A4465" s="12" t="s">
        <v>4552</v>
      </c>
      <c r="F4465" s="19">
        <f>IFERROR(__xludf.DUMMYFUNCTION("SPLIT(A4461, "" |"")"),4459.0)</f>
        <v>4459</v>
      </c>
      <c r="G4465" s="19">
        <f>IFERROR(__xludf.DUMMYFUNCTION("""COMPUTED_VALUE"""),0.0024)</f>
        <v>0.0024</v>
      </c>
      <c r="H4465" s="19" t="str">
        <f>IFERROR(__xludf.DUMMYFUNCTION("""COMPUTED_VALUE"""),"-")</f>
        <v>-</v>
      </c>
      <c r="I4465" s="19">
        <f>IFERROR(__xludf.DUMMYFUNCTION("""COMPUTED_VALUE"""),0.00221)</f>
        <v>0.00221</v>
      </c>
      <c r="J4465" s="19">
        <f>IFERROR(__xludf.DUMMYFUNCTION("""COMPUTED_VALUE"""),0.04746)</f>
        <v>0.04746</v>
      </c>
      <c r="K4465" s="19" t="str">
        <f>IFERROR(__xludf.DUMMYFUNCTION("""COMPUTED_VALUE"""),"-")</f>
        <v>-</v>
      </c>
      <c r="L4465" s="19" t="str">
        <f>IFERROR(__xludf.DUMMYFUNCTION("""COMPUTED_VALUE"""),"-")</f>
        <v>-</v>
      </c>
      <c r="O4465" s="24">
        <f t="shared" si="4"/>
        <v>0</v>
      </c>
      <c r="P4465" s="24"/>
      <c r="Q4465" s="24">
        <f t="shared" si="6"/>
        <v>0</v>
      </c>
      <c r="R4465" s="24">
        <f t="shared" si="7"/>
        <v>0</v>
      </c>
      <c r="S4465" s="24"/>
      <c r="T4465" s="24"/>
    </row>
    <row r="4466">
      <c r="A4466" s="12" t="s">
        <v>4553</v>
      </c>
      <c r="F4466" s="19">
        <f>IFERROR(__xludf.DUMMYFUNCTION("SPLIT(A4462, "" |"")"),4460.0)</f>
        <v>4460</v>
      </c>
      <c r="G4466" s="19">
        <f>IFERROR(__xludf.DUMMYFUNCTION("""COMPUTED_VALUE"""),0.00234)</f>
        <v>0.00234</v>
      </c>
      <c r="H4466" s="19" t="str">
        <f>IFERROR(__xludf.DUMMYFUNCTION("""COMPUTED_VALUE"""),"-")</f>
        <v>-</v>
      </c>
      <c r="I4466" s="19">
        <f>IFERROR(__xludf.DUMMYFUNCTION("""COMPUTED_VALUE"""),0.00223)</f>
        <v>0.00223</v>
      </c>
      <c r="J4466" s="19">
        <f>IFERROR(__xludf.DUMMYFUNCTION("""COMPUTED_VALUE"""),0.04743)</f>
        <v>0.04743</v>
      </c>
      <c r="K4466" s="19" t="str">
        <f>IFERROR(__xludf.DUMMYFUNCTION("""COMPUTED_VALUE"""),"-")</f>
        <v>-</v>
      </c>
      <c r="L4466" s="19" t="str">
        <f>IFERROR(__xludf.DUMMYFUNCTION("""COMPUTED_VALUE"""),"-")</f>
        <v>-</v>
      </c>
      <c r="O4466" s="24">
        <f t="shared" si="4"/>
        <v>0</v>
      </c>
      <c r="P4466" s="24"/>
      <c r="Q4466" s="24">
        <f t="shared" si="6"/>
        <v>0</v>
      </c>
      <c r="R4466" s="24">
        <f t="shared" si="7"/>
        <v>0</v>
      </c>
      <c r="S4466" s="24"/>
      <c r="T4466" s="24"/>
    </row>
    <row r="4467">
      <c r="A4467" s="12" t="s">
        <v>4554</v>
      </c>
      <c r="F4467" s="19">
        <f>IFERROR(__xludf.DUMMYFUNCTION("SPLIT(A4463, "" |"")"),4461.0)</f>
        <v>4461</v>
      </c>
      <c r="G4467" s="19">
        <f>IFERROR(__xludf.DUMMYFUNCTION("""COMPUTED_VALUE"""),0.00234)</f>
        <v>0.00234</v>
      </c>
      <c r="H4467" s="19" t="str">
        <f>IFERROR(__xludf.DUMMYFUNCTION("""COMPUTED_VALUE"""),"-")</f>
        <v>-</v>
      </c>
      <c r="I4467" s="19">
        <f>IFERROR(__xludf.DUMMYFUNCTION("""COMPUTED_VALUE"""),0.00222)</f>
        <v>0.00222</v>
      </c>
      <c r="J4467" s="19">
        <f>IFERROR(__xludf.DUMMYFUNCTION("""COMPUTED_VALUE"""),0.04747)</f>
        <v>0.04747</v>
      </c>
      <c r="K4467" s="19" t="str">
        <f>IFERROR(__xludf.DUMMYFUNCTION("""COMPUTED_VALUE"""),"-")</f>
        <v>-</v>
      </c>
      <c r="L4467" s="19" t="str">
        <f>IFERROR(__xludf.DUMMYFUNCTION("""COMPUTED_VALUE"""),"-")</f>
        <v>-</v>
      </c>
      <c r="O4467" s="24">
        <f t="shared" si="4"/>
        <v>0</v>
      </c>
      <c r="P4467" s="24"/>
      <c r="Q4467" s="24">
        <f t="shared" si="6"/>
        <v>0</v>
      </c>
      <c r="R4467" s="24">
        <f t="shared" si="7"/>
        <v>0</v>
      </c>
      <c r="S4467" s="24"/>
      <c r="T4467" s="24"/>
    </row>
    <row r="4468">
      <c r="A4468" s="12" t="s">
        <v>4555</v>
      </c>
      <c r="F4468" s="19">
        <f>IFERROR(__xludf.DUMMYFUNCTION("SPLIT(A4464, "" |"")"),4462.0)</f>
        <v>4462</v>
      </c>
      <c r="G4468" s="19">
        <f>IFERROR(__xludf.DUMMYFUNCTION("""COMPUTED_VALUE"""),0.00239)</f>
        <v>0.00239</v>
      </c>
      <c r="H4468" s="19" t="str">
        <f>IFERROR(__xludf.DUMMYFUNCTION("""COMPUTED_VALUE"""),"-")</f>
        <v>-</v>
      </c>
      <c r="I4468" s="19">
        <f>IFERROR(__xludf.DUMMYFUNCTION("""COMPUTED_VALUE"""),0.00219)</f>
        <v>0.00219</v>
      </c>
      <c r="J4468" s="19">
        <f>IFERROR(__xludf.DUMMYFUNCTION("""COMPUTED_VALUE"""),0.04604)</f>
        <v>0.04604</v>
      </c>
      <c r="K4468" s="19" t="str">
        <f>IFERROR(__xludf.DUMMYFUNCTION("""COMPUTED_VALUE"""),"-")</f>
        <v>-</v>
      </c>
      <c r="L4468" s="19" t="str">
        <f>IFERROR(__xludf.DUMMYFUNCTION("""COMPUTED_VALUE"""),"-")</f>
        <v>-</v>
      </c>
      <c r="O4468" s="24">
        <f t="shared" si="4"/>
        <v>0</v>
      </c>
      <c r="P4468" s="24"/>
      <c r="Q4468" s="24">
        <f t="shared" si="6"/>
        <v>0</v>
      </c>
      <c r="R4468" s="24">
        <f t="shared" si="7"/>
        <v>0</v>
      </c>
      <c r="S4468" s="24"/>
      <c r="T4468" s="24"/>
    </row>
    <row r="4469">
      <c r="A4469" s="12" t="s">
        <v>4556</v>
      </c>
      <c r="F4469" s="19">
        <f>IFERROR(__xludf.DUMMYFUNCTION("SPLIT(A4465, "" |"")"),4463.0)</f>
        <v>4463</v>
      </c>
      <c r="G4469" s="19">
        <f>IFERROR(__xludf.DUMMYFUNCTION("""COMPUTED_VALUE"""),0.00235)</f>
        <v>0.00235</v>
      </c>
      <c r="H4469" s="19" t="str">
        <f>IFERROR(__xludf.DUMMYFUNCTION("""COMPUTED_VALUE"""),"-")</f>
        <v>-</v>
      </c>
      <c r="I4469" s="19">
        <f>IFERROR(__xludf.DUMMYFUNCTION("""COMPUTED_VALUE"""),0.0022)</f>
        <v>0.0022</v>
      </c>
      <c r="J4469" s="19">
        <f>IFERROR(__xludf.DUMMYFUNCTION("""COMPUTED_VALUE"""),0.04744)</f>
        <v>0.04744</v>
      </c>
      <c r="K4469" s="19" t="str">
        <f>IFERROR(__xludf.DUMMYFUNCTION("""COMPUTED_VALUE"""),"-")</f>
        <v>-</v>
      </c>
      <c r="L4469" s="19" t="str">
        <f>IFERROR(__xludf.DUMMYFUNCTION("""COMPUTED_VALUE"""),"-")</f>
        <v>-</v>
      </c>
      <c r="O4469" s="24">
        <f t="shared" si="4"/>
        <v>0</v>
      </c>
      <c r="P4469" s="24"/>
      <c r="Q4469" s="24">
        <f t="shared" si="6"/>
        <v>0</v>
      </c>
      <c r="R4469" s="24">
        <f t="shared" si="7"/>
        <v>0</v>
      </c>
      <c r="S4469" s="24"/>
      <c r="T4469" s="24"/>
    </row>
    <row r="4470">
      <c r="A4470" s="12" t="s">
        <v>4557</v>
      </c>
      <c r="F4470" s="19">
        <f>IFERROR(__xludf.DUMMYFUNCTION("SPLIT(A4466, "" |"")"),4464.0)</f>
        <v>4464</v>
      </c>
      <c r="G4470" s="19">
        <f>IFERROR(__xludf.DUMMYFUNCTION("""COMPUTED_VALUE"""),0.00237)</f>
        <v>0.00237</v>
      </c>
      <c r="H4470" s="19" t="str">
        <f>IFERROR(__xludf.DUMMYFUNCTION("""COMPUTED_VALUE"""),"-")</f>
        <v>-</v>
      </c>
      <c r="I4470" s="19">
        <f>IFERROR(__xludf.DUMMYFUNCTION("""COMPUTED_VALUE"""),0.00221)</f>
        <v>0.00221</v>
      </c>
      <c r="J4470" s="19">
        <f>IFERROR(__xludf.DUMMYFUNCTION("""COMPUTED_VALUE"""),0.04741)</f>
        <v>0.04741</v>
      </c>
      <c r="K4470" s="19" t="str">
        <f>IFERROR(__xludf.DUMMYFUNCTION("""COMPUTED_VALUE"""),"-")</f>
        <v>-</v>
      </c>
      <c r="L4470" s="19" t="str">
        <f>IFERROR(__xludf.DUMMYFUNCTION("""COMPUTED_VALUE"""),"-")</f>
        <v>-</v>
      </c>
      <c r="O4470" s="24">
        <f t="shared" si="4"/>
        <v>0</v>
      </c>
      <c r="P4470" s="24"/>
      <c r="Q4470" s="24">
        <f t="shared" si="6"/>
        <v>0</v>
      </c>
      <c r="R4470" s="24">
        <f t="shared" si="7"/>
        <v>0</v>
      </c>
      <c r="S4470" s="24"/>
      <c r="T4470" s="24"/>
    </row>
    <row r="4471">
      <c r="A4471" s="12" t="s">
        <v>4558</v>
      </c>
      <c r="F4471" s="19">
        <f>IFERROR(__xludf.DUMMYFUNCTION("SPLIT(A4467, "" |"")"),4465.0)</f>
        <v>4465</v>
      </c>
      <c r="G4471" s="19">
        <f>IFERROR(__xludf.DUMMYFUNCTION("""COMPUTED_VALUE"""),0.00237)</f>
        <v>0.00237</v>
      </c>
      <c r="H4471" s="19" t="str">
        <f>IFERROR(__xludf.DUMMYFUNCTION("""COMPUTED_VALUE"""),"-")</f>
        <v>-</v>
      </c>
      <c r="I4471" s="19">
        <f>IFERROR(__xludf.DUMMYFUNCTION("""COMPUTED_VALUE"""),0.00223)</f>
        <v>0.00223</v>
      </c>
      <c r="J4471" s="19">
        <f>IFERROR(__xludf.DUMMYFUNCTION("""COMPUTED_VALUE"""),0.04356)</f>
        <v>0.04356</v>
      </c>
      <c r="K4471" s="19" t="str">
        <f>IFERROR(__xludf.DUMMYFUNCTION("""COMPUTED_VALUE"""),"-")</f>
        <v>-</v>
      </c>
      <c r="L4471" s="19" t="str">
        <f>IFERROR(__xludf.DUMMYFUNCTION("""COMPUTED_VALUE"""),"-")</f>
        <v>-</v>
      </c>
      <c r="O4471" s="24">
        <f t="shared" si="4"/>
        <v>0</v>
      </c>
      <c r="P4471" s="24"/>
      <c r="Q4471" s="24">
        <f t="shared" si="6"/>
        <v>0</v>
      </c>
      <c r="R4471" s="24">
        <f t="shared" si="7"/>
        <v>1</v>
      </c>
      <c r="S4471" s="24"/>
      <c r="T4471" s="24"/>
    </row>
    <row r="4472">
      <c r="A4472" s="12" t="s">
        <v>4559</v>
      </c>
      <c r="F4472" s="19">
        <f>IFERROR(__xludf.DUMMYFUNCTION("SPLIT(A4468, "" |"")"),4466.0)</f>
        <v>4466</v>
      </c>
      <c r="G4472" s="19">
        <f>IFERROR(__xludf.DUMMYFUNCTION("""COMPUTED_VALUE"""),0.00243)</f>
        <v>0.00243</v>
      </c>
      <c r="H4472" s="19" t="str">
        <f>IFERROR(__xludf.DUMMYFUNCTION("""COMPUTED_VALUE"""),"-")</f>
        <v>-</v>
      </c>
      <c r="I4472" s="19">
        <f>IFERROR(__xludf.DUMMYFUNCTION("""COMPUTED_VALUE"""),0.0022)</f>
        <v>0.0022</v>
      </c>
      <c r="J4472" s="19">
        <f>IFERROR(__xludf.DUMMYFUNCTION("""COMPUTED_VALUE"""),0.04742)</f>
        <v>0.04742</v>
      </c>
      <c r="K4472" s="19" t="str">
        <f>IFERROR(__xludf.DUMMYFUNCTION("""COMPUTED_VALUE"""),"-")</f>
        <v>-</v>
      </c>
      <c r="L4472" s="19" t="str">
        <f>IFERROR(__xludf.DUMMYFUNCTION("""COMPUTED_VALUE"""),"-")</f>
        <v>-</v>
      </c>
      <c r="O4472" s="24">
        <f t="shared" si="4"/>
        <v>0</v>
      </c>
      <c r="P4472" s="24"/>
      <c r="Q4472" s="24">
        <f t="shared" si="6"/>
        <v>0</v>
      </c>
      <c r="R4472" s="24">
        <f t="shared" si="7"/>
        <v>0</v>
      </c>
      <c r="S4472" s="24"/>
      <c r="T4472" s="24"/>
    </row>
    <row r="4473">
      <c r="A4473" s="12" t="s">
        <v>4560</v>
      </c>
      <c r="F4473" s="19">
        <f>IFERROR(__xludf.DUMMYFUNCTION("SPLIT(A4469, "" |"")"),4467.0)</f>
        <v>4467</v>
      </c>
      <c r="G4473" s="19">
        <f>IFERROR(__xludf.DUMMYFUNCTION("""COMPUTED_VALUE"""),0.00235)</f>
        <v>0.00235</v>
      </c>
      <c r="H4473" s="19" t="str">
        <f>IFERROR(__xludf.DUMMYFUNCTION("""COMPUTED_VALUE"""),"-")</f>
        <v>-</v>
      </c>
      <c r="I4473" s="19">
        <f>IFERROR(__xludf.DUMMYFUNCTION("""COMPUTED_VALUE"""),0.0022)</f>
        <v>0.0022</v>
      </c>
      <c r="J4473" s="19">
        <f>IFERROR(__xludf.DUMMYFUNCTION("""COMPUTED_VALUE"""),0.04742)</f>
        <v>0.04742</v>
      </c>
      <c r="K4473" s="19" t="str">
        <f>IFERROR(__xludf.DUMMYFUNCTION("""COMPUTED_VALUE"""),"-")</f>
        <v>-</v>
      </c>
      <c r="L4473" s="19" t="str">
        <f>IFERROR(__xludf.DUMMYFUNCTION("""COMPUTED_VALUE"""),"-")</f>
        <v>-</v>
      </c>
      <c r="O4473" s="24">
        <f t="shared" si="4"/>
        <v>0</v>
      </c>
      <c r="P4473" s="24"/>
      <c r="Q4473" s="24">
        <f t="shared" si="6"/>
        <v>0</v>
      </c>
      <c r="R4473" s="24">
        <f t="shared" si="7"/>
        <v>0</v>
      </c>
      <c r="S4473" s="24"/>
      <c r="T4473" s="24"/>
    </row>
    <row r="4474">
      <c r="A4474" s="12" t="s">
        <v>4561</v>
      </c>
      <c r="F4474" s="19">
        <f>IFERROR(__xludf.DUMMYFUNCTION("SPLIT(A4470, "" |"")"),4468.0)</f>
        <v>4468</v>
      </c>
      <c r="G4474" s="19">
        <f>IFERROR(__xludf.DUMMYFUNCTION("""COMPUTED_VALUE"""),0.00238)</f>
        <v>0.00238</v>
      </c>
      <c r="H4474" s="19" t="str">
        <f>IFERROR(__xludf.DUMMYFUNCTION("""COMPUTED_VALUE"""),"-")</f>
        <v>-</v>
      </c>
      <c r="I4474" s="19">
        <f>IFERROR(__xludf.DUMMYFUNCTION("""COMPUTED_VALUE"""),0.00221)</f>
        <v>0.00221</v>
      </c>
      <c r="J4474" s="19">
        <f>IFERROR(__xludf.DUMMYFUNCTION("""COMPUTED_VALUE"""),0.04733)</f>
        <v>0.04733</v>
      </c>
      <c r="K4474" s="19" t="str">
        <f>IFERROR(__xludf.DUMMYFUNCTION("""COMPUTED_VALUE"""),"-")</f>
        <v>-</v>
      </c>
      <c r="L4474" s="19" t="str">
        <f>IFERROR(__xludf.DUMMYFUNCTION("""COMPUTED_VALUE"""),"-")</f>
        <v>-</v>
      </c>
      <c r="O4474" s="24">
        <f t="shared" si="4"/>
        <v>0</v>
      </c>
      <c r="P4474" s="24"/>
      <c r="Q4474" s="24">
        <f t="shared" si="6"/>
        <v>0</v>
      </c>
      <c r="R4474" s="24">
        <f t="shared" si="7"/>
        <v>0</v>
      </c>
      <c r="S4474" s="24"/>
      <c r="T4474" s="24"/>
    </row>
    <row r="4475">
      <c r="A4475" s="12" t="s">
        <v>4562</v>
      </c>
      <c r="F4475" s="19">
        <f>IFERROR(__xludf.DUMMYFUNCTION("SPLIT(A4471, "" |"")"),4469.0)</f>
        <v>4469</v>
      </c>
      <c r="G4475" s="19">
        <f>IFERROR(__xludf.DUMMYFUNCTION("""COMPUTED_VALUE"""),0.00231)</f>
        <v>0.00231</v>
      </c>
      <c r="H4475" s="19" t="str">
        <f>IFERROR(__xludf.DUMMYFUNCTION("""COMPUTED_VALUE"""),"-")</f>
        <v>-</v>
      </c>
      <c r="I4475" s="19">
        <f>IFERROR(__xludf.DUMMYFUNCTION("""COMPUTED_VALUE"""),0.00222)</f>
        <v>0.00222</v>
      </c>
      <c r="J4475" s="19">
        <f>IFERROR(__xludf.DUMMYFUNCTION("""COMPUTED_VALUE"""),0.04747)</f>
        <v>0.04747</v>
      </c>
      <c r="K4475" s="19" t="str">
        <f>IFERROR(__xludf.DUMMYFUNCTION("""COMPUTED_VALUE"""),"-")</f>
        <v>-</v>
      </c>
      <c r="L4475" s="19" t="str">
        <f>IFERROR(__xludf.DUMMYFUNCTION("""COMPUTED_VALUE"""),"-")</f>
        <v>-</v>
      </c>
      <c r="O4475" s="24">
        <f t="shared" si="4"/>
        <v>0</v>
      </c>
      <c r="P4475" s="24"/>
      <c r="Q4475" s="24">
        <f t="shared" si="6"/>
        <v>0</v>
      </c>
      <c r="R4475" s="24">
        <f t="shared" si="7"/>
        <v>0</v>
      </c>
      <c r="S4475" s="24"/>
      <c r="T4475" s="24"/>
    </row>
    <row r="4476">
      <c r="A4476" s="12" t="s">
        <v>4563</v>
      </c>
      <c r="F4476" s="19">
        <f>IFERROR(__xludf.DUMMYFUNCTION("SPLIT(A4472, "" |"")"),4470.0)</f>
        <v>4470</v>
      </c>
      <c r="G4476" s="19">
        <f>IFERROR(__xludf.DUMMYFUNCTION("""COMPUTED_VALUE"""),0.00241)</f>
        <v>0.00241</v>
      </c>
      <c r="H4476" s="19" t="str">
        <f>IFERROR(__xludf.DUMMYFUNCTION("""COMPUTED_VALUE"""),"-")</f>
        <v>-</v>
      </c>
      <c r="I4476" s="19">
        <f>IFERROR(__xludf.DUMMYFUNCTION("""COMPUTED_VALUE"""),0.00225)</f>
        <v>0.00225</v>
      </c>
      <c r="J4476" s="19">
        <f>IFERROR(__xludf.DUMMYFUNCTION("""COMPUTED_VALUE"""),0.04748)</f>
        <v>0.04748</v>
      </c>
      <c r="K4476" s="19" t="str">
        <f>IFERROR(__xludf.DUMMYFUNCTION("""COMPUTED_VALUE"""),"-")</f>
        <v>-</v>
      </c>
      <c r="L4476" s="19" t="str">
        <f>IFERROR(__xludf.DUMMYFUNCTION("""COMPUTED_VALUE"""),"-")</f>
        <v>-</v>
      </c>
      <c r="O4476" s="24">
        <f t="shared" si="4"/>
        <v>0</v>
      </c>
      <c r="P4476" s="24"/>
      <c r="Q4476" s="24">
        <f t="shared" si="6"/>
        <v>0</v>
      </c>
      <c r="R4476" s="24">
        <f t="shared" si="7"/>
        <v>0</v>
      </c>
      <c r="S4476" s="24"/>
      <c r="T4476" s="24"/>
    </row>
    <row r="4477">
      <c r="A4477" s="12" t="s">
        <v>4564</v>
      </c>
      <c r="F4477" s="19">
        <f>IFERROR(__xludf.DUMMYFUNCTION("SPLIT(A4473, "" |"")"),4471.0)</f>
        <v>4471</v>
      </c>
      <c r="G4477" s="19">
        <f>IFERROR(__xludf.DUMMYFUNCTION("""COMPUTED_VALUE"""),0.00237)</f>
        <v>0.00237</v>
      </c>
      <c r="H4477" s="19" t="str">
        <f>IFERROR(__xludf.DUMMYFUNCTION("""COMPUTED_VALUE"""),"-")</f>
        <v>-</v>
      </c>
      <c r="I4477" s="19">
        <f>IFERROR(__xludf.DUMMYFUNCTION("""COMPUTED_VALUE"""),0.00221)</f>
        <v>0.00221</v>
      </c>
      <c r="J4477" s="19">
        <f>IFERROR(__xludf.DUMMYFUNCTION("""COMPUTED_VALUE"""),0.04747)</f>
        <v>0.04747</v>
      </c>
      <c r="K4477" s="19" t="str">
        <f>IFERROR(__xludf.DUMMYFUNCTION("""COMPUTED_VALUE"""),"-")</f>
        <v>-</v>
      </c>
      <c r="L4477" s="19" t="str">
        <f>IFERROR(__xludf.DUMMYFUNCTION("""COMPUTED_VALUE"""),"-")</f>
        <v>-</v>
      </c>
      <c r="O4477" s="24">
        <f t="shared" si="4"/>
        <v>0</v>
      </c>
      <c r="P4477" s="24"/>
      <c r="Q4477" s="24">
        <f t="shared" si="6"/>
        <v>0</v>
      </c>
      <c r="R4477" s="24">
        <f t="shared" si="7"/>
        <v>0</v>
      </c>
      <c r="S4477" s="24"/>
      <c r="T4477" s="24"/>
    </row>
    <row r="4478">
      <c r="A4478" s="12" t="s">
        <v>4565</v>
      </c>
      <c r="F4478" s="19">
        <f>IFERROR(__xludf.DUMMYFUNCTION("SPLIT(A4474, "" |"")"),4472.0)</f>
        <v>4472</v>
      </c>
      <c r="G4478" s="19">
        <f>IFERROR(__xludf.DUMMYFUNCTION("""COMPUTED_VALUE"""),0.00234)</f>
        <v>0.00234</v>
      </c>
      <c r="H4478" s="19" t="str">
        <f>IFERROR(__xludf.DUMMYFUNCTION("""COMPUTED_VALUE"""),"-")</f>
        <v>-</v>
      </c>
      <c r="I4478" s="19">
        <f>IFERROR(__xludf.DUMMYFUNCTION("""COMPUTED_VALUE"""),0.00218)</f>
        <v>0.00218</v>
      </c>
      <c r="J4478" s="19">
        <f>IFERROR(__xludf.DUMMYFUNCTION("""COMPUTED_VALUE"""),0.04741)</f>
        <v>0.04741</v>
      </c>
      <c r="K4478" s="19" t="str">
        <f>IFERROR(__xludf.DUMMYFUNCTION("""COMPUTED_VALUE"""),"-")</f>
        <v>-</v>
      </c>
      <c r="L4478" s="19" t="str">
        <f>IFERROR(__xludf.DUMMYFUNCTION("""COMPUTED_VALUE"""),"-")</f>
        <v>-</v>
      </c>
      <c r="O4478" s="24">
        <f t="shared" si="4"/>
        <v>0</v>
      </c>
      <c r="P4478" s="24"/>
      <c r="Q4478" s="24">
        <f t="shared" si="6"/>
        <v>0</v>
      </c>
      <c r="R4478" s="24">
        <f t="shared" si="7"/>
        <v>0</v>
      </c>
      <c r="S4478" s="24"/>
      <c r="T4478" s="24"/>
    </row>
    <row r="4479">
      <c r="A4479" s="12" t="s">
        <v>4566</v>
      </c>
      <c r="F4479" s="19">
        <f>IFERROR(__xludf.DUMMYFUNCTION("SPLIT(A4475, "" |"")"),4473.0)</f>
        <v>4473</v>
      </c>
      <c r="G4479" s="19">
        <f>IFERROR(__xludf.DUMMYFUNCTION("""COMPUTED_VALUE"""),0.00237)</f>
        <v>0.00237</v>
      </c>
      <c r="H4479" s="19" t="str">
        <f>IFERROR(__xludf.DUMMYFUNCTION("""COMPUTED_VALUE"""),"-")</f>
        <v>-</v>
      </c>
      <c r="I4479" s="19">
        <f>IFERROR(__xludf.DUMMYFUNCTION("""COMPUTED_VALUE"""),0.00223)</f>
        <v>0.00223</v>
      </c>
      <c r="J4479" s="19">
        <f>IFERROR(__xludf.DUMMYFUNCTION("""COMPUTED_VALUE"""),0.04742)</f>
        <v>0.04742</v>
      </c>
      <c r="K4479" s="19" t="str">
        <f>IFERROR(__xludf.DUMMYFUNCTION("""COMPUTED_VALUE"""),"-")</f>
        <v>-</v>
      </c>
      <c r="L4479" s="19" t="str">
        <f>IFERROR(__xludf.DUMMYFUNCTION("""COMPUTED_VALUE"""),"-")</f>
        <v>-</v>
      </c>
      <c r="O4479" s="24">
        <f t="shared" si="4"/>
        <v>0</v>
      </c>
      <c r="P4479" s="24"/>
      <c r="Q4479" s="24">
        <f t="shared" si="6"/>
        <v>0</v>
      </c>
      <c r="R4479" s="24">
        <f t="shared" si="7"/>
        <v>0</v>
      </c>
      <c r="S4479" s="24"/>
      <c r="T4479" s="24"/>
    </row>
    <row r="4480">
      <c r="A4480" s="12" t="s">
        <v>4567</v>
      </c>
      <c r="F4480" s="19">
        <f>IFERROR(__xludf.DUMMYFUNCTION("SPLIT(A4476, "" |"")"),4474.0)</f>
        <v>4474</v>
      </c>
      <c r="G4480" s="19">
        <f>IFERROR(__xludf.DUMMYFUNCTION("""COMPUTED_VALUE"""),0.00233)</f>
        <v>0.00233</v>
      </c>
      <c r="H4480" s="19" t="str">
        <f>IFERROR(__xludf.DUMMYFUNCTION("""COMPUTED_VALUE"""),"-")</f>
        <v>-</v>
      </c>
      <c r="I4480" s="19">
        <f>IFERROR(__xludf.DUMMYFUNCTION("""COMPUTED_VALUE"""),0.00223)</f>
        <v>0.00223</v>
      </c>
      <c r="J4480" s="19">
        <f>IFERROR(__xludf.DUMMYFUNCTION("""COMPUTED_VALUE"""),0.04733)</f>
        <v>0.04733</v>
      </c>
      <c r="K4480" s="19" t="str">
        <f>IFERROR(__xludf.DUMMYFUNCTION("""COMPUTED_VALUE"""),"-")</f>
        <v>-</v>
      </c>
      <c r="L4480" s="19" t="str">
        <f>IFERROR(__xludf.DUMMYFUNCTION("""COMPUTED_VALUE"""),"-")</f>
        <v>-</v>
      </c>
      <c r="O4480" s="24">
        <f t="shared" si="4"/>
        <v>0</v>
      </c>
      <c r="P4480" s="24"/>
      <c r="Q4480" s="24">
        <f t="shared" si="6"/>
        <v>0</v>
      </c>
      <c r="R4480" s="24">
        <f t="shared" si="7"/>
        <v>0</v>
      </c>
      <c r="S4480" s="24"/>
      <c r="T4480" s="24"/>
    </row>
    <row r="4481">
      <c r="A4481" s="12" t="s">
        <v>4568</v>
      </c>
      <c r="F4481" s="19">
        <f>IFERROR(__xludf.DUMMYFUNCTION("SPLIT(A4477, "" |"")"),4475.0)</f>
        <v>4475</v>
      </c>
      <c r="G4481" s="19">
        <f>IFERROR(__xludf.DUMMYFUNCTION("""COMPUTED_VALUE"""),0.00224)</f>
        <v>0.00224</v>
      </c>
      <c r="H4481" s="19" t="str">
        <f>IFERROR(__xludf.DUMMYFUNCTION("""COMPUTED_VALUE"""),"-")</f>
        <v>-</v>
      </c>
      <c r="I4481" s="19">
        <f>IFERROR(__xludf.DUMMYFUNCTION("""COMPUTED_VALUE"""),0.00209)</f>
        <v>0.00209</v>
      </c>
      <c r="J4481" s="19">
        <f>IFERROR(__xludf.DUMMYFUNCTION("""COMPUTED_VALUE"""),0.04734)</f>
        <v>0.04734</v>
      </c>
      <c r="K4481" s="19" t="str">
        <f>IFERROR(__xludf.DUMMYFUNCTION("""COMPUTED_VALUE"""),"-")</f>
        <v>-</v>
      </c>
      <c r="L4481" s="19" t="str">
        <f>IFERROR(__xludf.DUMMYFUNCTION("""COMPUTED_VALUE"""),"-")</f>
        <v>-</v>
      </c>
      <c r="O4481" s="24">
        <f t="shared" si="4"/>
        <v>0</v>
      </c>
      <c r="P4481" s="24"/>
      <c r="Q4481" s="24">
        <f t="shared" si="6"/>
        <v>0</v>
      </c>
      <c r="R4481" s="24">
        <f t="shared" si="7"/>
        <v>0</v>
      </c>
      <c r="S4481" s="24"/>
      <c r="T4481" s="24"/>
    </row>
    <row r="4482">
      <c r="A4482" s="12" t="s">
        <v>4569</v>
      </c>
      <c r="F4482" s="19">
        <f>IFERROR(__xludf.DUMMYFUNCTION("SPLIT(A4478, "" |"")"),4476.0)</f>
        <v>4476</v>
      </c>
      <c r="G4482" s="19">
        <f>IFERROR(__xludf.DUMMYFUNCTION("""COMPUTED_VALUE"""),0.00243)</f>
        <v>0.00243</v>
      </c>
      <c r="H4482" s="19" t="str">
        <f>IFERROR(__xludf.DUMMYFUNCTION("""COMPUTED_VALUE"""),"-")</f>
        <v>-</v>
      </c>
      <c r="I4482" s="19">
        <f>IFERROR(__xludf.DUMMYFUNCTION("""COMPUTED_VALUE"""),0.0022)</f>
        <v>0.0022</v>
      </c>
      <c r="J4482" s="19">
        <f>IFERROR(__xludf.DUMMYFUNCTION("""COMPUTED_VALUE"""),0.04745)</f>
        <v>0.04745</v>
      </c>
      <c r="K4482" s="19" t="str">
        <f>IFERROR(__xludf.DUMMYFUNCTION("""COMPUTED_VALUE"""),"-")</f>
        <v>-</v>
      </c>
      <c r="L4482" s="19" t="str">
        <f>IFERROR(__xludf.DUMMYFUNCTION("""COMPUTED_VALUE"""),"-")</f>
        <v>-</v>
      </c>
      <c r="O4482" s="24">
        <f t="shared" si="4"/>
        <v>0</v>
      </c>
      <c r="P4482" s="24"/>
      <c r="Q4482" s="24">
        <f t="shared" si="6"/>
        <v>0</v>
      </c>
      <c r="R4482" s="24">
        <f t="shared" si="7"/>
        <v>0</v>
      </c>
      <c r="S4482" s="24"/>
      <c r="T4482" s="24"/>
    </row>
    <row r="4483">
      <c r="A4483" s="12" t="s">
        <v>4570</v>
      </c>
      <c r="F4483" s="19">
        <f>IFERROR(__xludf.DUMMYFUNCTION("SPLIT(A4479, "" |"")"),4477.0)</f>
        <v>4477</v>
      </c>
      <c r="G4483" s="19">
        <f>IFERROR(__xludf.DUMMYFUNCTION("""COMPUTED_VALUE"""),0.00232)</f>
        <v>0.00232</v>
      </c>
      <c r="H4483" s="19" t="str">
        <f>IFERROR(__xludf.DUMMYFUNCTION("""COMPUTED_VALUE"""),"-")</f>
        <v>-</v>
      </c>
      <c r="I4483" s="19">
        <f>IFERROR(__xludf.DUMMYFUNCTION("""COMPUTED_VALUE"""),0.00218)</f>
        <v>0.00218</v>
      </c>
      <c r="J4483" s="19">
        <f>IFERROR(__xludf.DUMMYFUNCTION("""COMPUTED_VALUE"""),0.04737)</f>
        <v>0.04737</v>
      </c>
      <c r="K4483" s="19" t="str">
        <f>IFERROR(__xludf.DUMMYFUNCTION("""COMPUTED_VALUE"""),"-")</f>
        <v>-</v>
      </c>
      <c r="L4483" s="19" t="str">
        <f>IFERROR(__xludf.DUMMYFUNCTION("""COMPUTED_VALUE"""),"-")</f>
        <v>-</v>
      </c>
      <c r="O4483" s="24">
        <f t="shared" si="4"/>
        <v>0</v>
      </c>
      <c r="P4483" s="24"/>
      <c r="Q4483" s="24">
        <f t="shared" si="6"/>
        <v>0</v>
      </c>
      <c r="R4483" s="24">
        <f t="shared" si="7"/>
        <v>0</v>
      </c>
      <c r="S4483" s="24"/>
      <c r="T4483" s="24"/>
    </row>
    <row r="4484">
      <c r="A4484" s="12" t="s">
        <v>4571</v>
      </c>
      <c r="F4484" s="19">
        <f>IFERROR(__xludf.DUMMYFUNCTION("SPLIT(A4480, "" |"")"),4478.0)</f>
        <v>4478</v>
      </c>
      <c r="G4484" s="19">
        <f>IFERROR(__xludf.DUMMYFUNCTION("""COMPUTED_VALUE"""),0.00236)</f>
        <v>0.00236</v>
      </c>
      <c r="H4484" s="19" t="str">
        <f>IFERROR(__xludf.DUMMYFUNCTION("""COMPUTED_VALUE"""),"-")</f>
        <v>-</v>
      </c>
      <c r="I4484" s="19">
        <f>IFERROR(__xludf.DUMMYFUNCTION("""COMPUTED_VALUE"""),0.00216)</f>
        <v>0.00216</v>
      </c>
      <c r="J4484" s="19">
        <f>IFERROR(__xludf.DUMMYFUNCTION("""COMPUTED_VALUE"""),0.04736)</f>
        <v>0.04736</v>
      </c>
      <c r="K4484" s="19" t="str">
        <f>IFERROR(__xludf.DUMMYFUNCTION("""COMPUTED_VALUE"""),"-")</f>
        <v>-</v>
      </c>
      <c r="L4484" s="19" t="str">
        <f>IFERROR(__xludf.DUMMYFUNCTION("""COMPUTED_VALUE"""),"-")</f>
        <v>-</v>
      </c>
      <c r="O4484" s="24">
        <f t="shared" si="4"/>
        <v>0</v>
      </c>
      <c r="P4484" s="24"/>
      <c r="Q4484" s="24">
        <f t="shared" si="6"/>
        <v>0</v>
      </c>
      <c r="R4484" s="24">
        <f t="shared" si="7"/>
        <v>0</v>
      </c>
      <c r="S4484" s="24"/>
      <c r="T4484" s="24"/>
    </row>
    <row r="4485">
      <c r="A4485" s="12" t="s">
        <v>4572</v>
      </c>
      <c r="F4485" s="19">
        <f>IFERROR(__xludf.DUMMYFUNCTION("SPLIT(A4481, "" |"")"),4479.0)</f>
        <v>4479</v>
      </c>
      <c r="G4485" s="19">
        <f>IFERROR(__xludf.DUMMYFUNCTION("""COMPUTED_VALUE"""),0.00231)</f>
        <v>0.00231</v>
      </c>
      <c r="H4485" s="19" t="str">
        <f>IFERROR(__xludf.DUMMYFUNCTION("""COMPUTED_VALUE"""),"-")</f>
        <v>-</v>
      </c>
      <c r="I4485" s="19">
        <f>IFERROR(__xludf.DUMMYFUNCTION("""COMPUTED_VALUE"""),0.00222)</f>
        <v>0.00222</v>
      </c>
      <c r="J4485" s="19">
        <f>IFERROR(__xludf.DUMMYFUNCTION("""COMPUTED_VALUE"""),0.04744)</f>
        <v>0.04744</v>
      </c>
      <c r="K4485" s="19" t="str">
        <f>IFERROR(__xludf.DUMMYFUNCTION("""COMPUTED_VALUE"""),"-")</f>
        <v>-</v>
      </c>
      <c r="L4485" s="19" t="str">
        <f>IFERROR(__xludf.DUMMYFUNCTION("""COMPUTED_VALUE"""),"-")</f>
        <v>-</v>
      </c>
      <c r="O4485" s="24">
        <f t="shared" si="4"/>
        <v>0</v>
      </c>
      <c r="P4485" s="24"/>
      <c r="Q4485" s="24">
        <f t="shared" si="6"/>
        <v>0</v>
      </c>
      <c r="R4485" s="24">
        <f t="shared" si="7"/>
        <v>0</v>
      </c>
      <c r="S4485" s="24"/>
      <c r="T4485" s="24"/>
    </row>
    <row r="4486">
      <c r="A4486" s="12" t="s">
        <v>4573</v>
      </c>
      <c r="F4486" s="19">
        <f>IFERROR(__xludf.DUMMYFUNCTION("SPLIT(A4482, "" |"")"),4480.0)</f>
        <v>4480</v>
      </c>
      <c r="G4486" s="19">
        <f>IFERROR(__xludf.DUMMYFUNCTION("""COMPUTED_VALUE"""),0.00238)</f>
        <v>0.00238</v>
      </c>
      <c r="H4486" s="19" t="str">
        <f>IFERROR(__xludf.DUMMYFUNCTION("""COMPUTED_VALUE"""),"-")</f>
        <v>-</v>
      </c>
      <c r="I4486" s="19">
        <f>IFERROR(__xludf.DUMMYFUNCTION("""COMPUTED_VALUE"""),0.00221)</f>
        <v>0.00221</v>
      </c>
      <c r="J4486" s="19">
        <f>IFERROR(__xludf.DUMMYFUNCTION("""COMPUTED_VALUE"""),0.04743)</f>
        <v>0.04743</v>
      </c>
      <c r="K4486" s="19" t="str">
        <f>IFERROR(__xludf.DUMMYFUNCTION("""COMPUTED_VALUE"""),"-")</f>
        <v>-</v>
      </c>
      <c r="L4486" s="19" t="str">
        <f>IFERROR(__xludf.DUMMYFUNCTION("""COMPUTED_VALUE"""),"-")</f>
        <v>-</v>
      </c>
      <c r="O4486" s="24">
        <f t="shared" si="4"/>
        <v>0</v>
      </c>
      <c r="P4486" s="24"/>
      <c r="Q4486" s="24">
        <f t="shared" si="6"/>
        <v>0</v>
      </c>
      <c r="R4486" s="24">
        <f t="shared" si="7"/>
        <v>0</v>
      </c>
      <c r="S4486" s="24"/>
      <c r="T4486" s="24"/>
    </row>
    <row r="4487">
      <c r="A4487" s="12" t="s">
        <v>4574</v>
      </c>
      <c r="F4487" s="19">
        <f>IFERROR(__xludf.DUMMYFUNCTION("SPLIT(A4483, "" |"")"),4481.0)</f>
        <v>4481</v>
      </c>
      <c r="G4487" s="19">
        <f>IFERROR(__xludf.DUMMYFUNCTION("""COMPUTED_VALUE"""),0.00237)</f>
        <v>0.00237</v>
      </c>
      <c r="H4487" s="19" t="str">
        <f>IFERROR(__xludf.DUMMYFUNCTION("""COMPUTED_VALUE"""),"-")</f>
        <v>-</v>
      </c>
      <c r="I4487" s="19">
        <f>IFERROR(__xludf.DUMMYFUNCTION("""COMPUTED_VALUE"""),0.00217)</f>
        <v>0.00217</v>
      </c>
      <c r="J4487" s="19">
        <f>IFERROR(__xludf.DUMMYFUNCTION("""COMPUTED_VALUE"""),0.04743)</f>
        <v>0.04743</v>
      </c>
      <c r="K4487" s="19" t="str">
        <f>IFERROR(__xludf.DUMMYFUNCTION("""COMPUTED_VALUE"""),"-")</f>
        <v>-</v>
      </c>
      <c r="L4487" s="19" t="str">
        <f>IFERROR(__xludf.DUMMYFUNCTION("""COMPUTED_VALUE"""),"-")</f>
        <v>-</v>
      </c>
      <c r="O4487" s="24">
        <f t="shared" si="4"/>
        <v>0</v>
      </c>
      <c r="P4487" s="24"/>
      <c r="Q4487" s="24">
        <f t="shared" si="6"/>
        <v>0</v>
      </c>
      <c r="R4487" s="24">
        <f t="shared" si="7"/>
        <v>0</v>
      </c>
      <c r="S4487" s="24"/>
      <c r="T4487" s="24"/>
    </row>
    <row r="4488">
      <c r="A4488" s="12" t="s">
        <v>4575</v>
      </c>
      <c r="F4488" s="19">
        <f>IFERROR(__xludf.DUMMYFUNCTION("SPLIT(A4484, "" |"")"),4482.0)</f>
        <v>4482</v>
      </c>
      <c r="G4488" s="19">
        <f>IFERROR(__xludf.DUMMYFUNCTION("""COMPUTED_VALUE"""),0.00239)</f>
        <v>0.00239</v>
      </c>
      <c r="H4488" s="19" t="str">
        <f>IFERROR(__xludf.DUMMYFUNCTION("""COMPUTED_VALUE"""),"-")</f>
        <v>-</v>
      </c>
      <c r="I4488" s="19">
        <f>IFERROR(__xludf.DUMMYFUNCTION("""COMPUTED_VALUE"""),0.00216)</f>
        <v>0.00216</v>
      </c>
      <c r="J4488" s="19">
        <f>IFERROR(__xludf.DUMMYFUNCTION("""COMPUTED_VALUE"""),0.04743)</f>
        <v>0.04743</v>
      </c>
      <c r="K4488" s="19" t="str">
        <f>IFERROR(__xludf.DUMMYFUNCTION("""COMPUTED_VALUE"""),"-")</f>
        <v>-</v>
      </c>
      <c r="L4488" s="19" t="str">
        <f>IFERROR(__xludf.DUMMYFUNCTION("""COMPUTED_VALUE"""),"-")</f>
        <v>-</v>
      </c>
      <c r="O4488" s="24">
        <f t="shared" si="4"/>
        <v>0</v>
      </c>
      <c r="P4488" s="24"/>
      <c r="Q4488" s="24">
        <f t="shared" si="6"/>
        <v>0</v>
      </c>
      <c r="R4488" s="24">
        <f t="shared" si="7"/>
        <v>0</v>
      </c>
      <c r="S4488" s="24"/>
      <c r="T4488" s="24"/>
    </row>
    <row r="4489">
      <c r="A4489" s="12" t="s">
        <v>4576</v>
      </c>
      <c r="F4489" s="19">
        <f>IFERROR(__xludf.DUMMYFUNCTION("SPLIT(A4485, "" |"")"),4483.0)</f>
        <v>4483</v>
      </c>
      <c r="G4489" s="19">
        <f>IFERROR(__xludf.DUMMYFUNCTION("""COMPUTED_VALUE"""),0.00234)</f>
        <v>0.00234</v>
      </c>
      <c r="H4489" s="19" t="str">
        <f>IFERROR(__xludf.DUMMYFUNCTION("""COMPUTED_VALUE"""),"-")</f>
        <v>-</v>
      </c>
      <c r="I4489" s="19">
        <f>IFERROR(__xludf.DUMMYFUNCTION("""COMPUTED_VALUE"""),0.00221)</f>
        <v>0.00221</v>
      </c>
      <c r="J4489" s="19">
        <f>IFERROR(__xludf.DUMMYFUNCTION("""COMPUTED_VALUE"""),0.04745)</f>
        <v>0.04745</v>
      </c>
      <c r="K4489" s="19" t="str">
        <f>IFERROR(__xludf.DUMMYFUNCTION("""COMPUTED_VALUE"""),"-")</f>
        <v>-</v>
      </c>
      <c r="L4489" s="19" t="str">
        <f>IFERROR(__xludf.DUMMYFUNCTION("""COMPUTED_VALUE"""),"-")</f>
        <v>-</v>
      </c>
      <c r="O4489" s="24">
        <f t="shared" si="4"/>
        <v>0</v>
      </c>
      <c r="P4489" s="24"/>
      <c r="Q4489" s="24">
        <f t="shared" si="6"/>
        <v>0</v>
      </c>
      <c r="R4489" s="24">
        <f t="shared" si="7"/>
        <v>0</v>
      </c>
      <c r="S4489" s="24"/>
      <c r="T4489" s="24"/>
    </row>
    <row r="4490">
      <c r="A4490" s="12" t="s">
        <v>4577</v>
      </c>
      <c r="F4490" s="19">
        <f>IFERROR(__xludf.DUMMYFUNCTION("SPLIT(A4486, "" |"")"),4484.0)</f>
        <v>4484</v>
      </c>
      <c r="G4490" s="19">
        <f>IFERROR(__xludf.DUMMYFUNCTION("""COMPUTED_VALUE"""),0.00245)</f>
        <v>0.00245</v>
      </c>
      <c r="H4490" s="19" t="str">
        <f>IFERROR(__xludf.DUMMYFUNCTION("""COMPUTED_VALUE"""),"-")</f>
        <v>-</v>
      </c>
      <c r="I4490" s="19">
        <f>IFERROR(__xludf.DUMMYFUNCTION("""COMPUTED_VALUE"""),0.00221)</f>
        <v>0.00221</v>
      </c>
      <c r="J4490" s="19">
        <f>IFERROR(__xludf.DUMMYFUNCTION("""COMPUTED_VALUE"""),0.0474)</f>
        <v>0.0474</v>
      </c>
      <c r="K4490" s="19" t="str">
        <f>IFERROR(__xludf.DUMMYFUNCTION("""COMPUTED_VALUE"""),"-")</f>
        <v>-</v>
      </c>
      <c r="L4490" s="19" t="str">
        <f>IFERROR(__xludf.DUMMYFUNCTION("""COMPUTED_VALUE"""),"-")</f>
        <v>-</v>
      </c>
      <c r="O4490" s="24">
        <f t="shared" si="4"/>
        <v>0</v>
      </c>
      <c r="P4490" s="24"/>
      <c r="Q4490" s="24">
        <f t="shared" si="6"/>
        <v>0</v>
      </c>
      <c r="R4490" s="24">
        <f t="shared" si="7"/>
        <v>0</v>
      </c>
      <c r="S4490" s="24"/>
      <c r="T4490" s="24"/>
    </row>
    <row r="4491">
      <c r="A4491" s="12" t="s">
        <v>4578</v>
      </c>
      <c r="F4491" s="19">
        <f>IFERROR(__xludf.DUMMYFUNCTION("SPLIT(A4487, "" |"")"),4485.0)</f>
        <v>4485</v>
      </c>
      <c r="G4491" s="19">
        <f>IFERROR(__xludf.DUMMYFUNCTION("""COMPUTED_VALUE"""),0.00238)</f>
        <v>0.00238</v>
      </c>
      <c r="H4491" s="19" t="str">
        <f>IFERROR(__xludf.DUMMYFUNCTION("""COMPUTED_VALUE"""),"-")</f>
        <v>-</v>
      </c>
      <c r="I4491" s="19">
        <f>IFERROR(__xludf.DUMMYFUNCTION("""COMPUTED_VALUE"""),0.00216)</f>
        <v>0.00216</v>
      </c>
      <c r="J4491" s="19">
        <f>IFERROR(__xludf.DUMMYFUNCTION("""COMPUTED_VALUE"""),0.04744)</f>
        <v>0.04744</v>
      </c>
      <c r="K4491" s="19" t="str">
        <f>IFERROR(__xludf.DUMMYFUNCTION("""COMPUTED_VALUE"""),"-")</f>
        <v>-</v>
      </c>
      <c r="L4491" s="19" t="str">
        <f>IFERROR(__xludf.DUMMYFUNCTION("""COMPUTED_VALUE"""),"-")</f>
        <v>-</v>
      </c>
      <c r="O4491" s="24">
        <f t="shared" si="4"/>
        <v>0</v>
      </c>
      <c r="P4491" s="24"/>
      <c r="Q4491" s="24">
        <f t="shared" si="6"/>
        <v>0</v>
      </c>
      <c r="R4491" s="24">
        <f t="shared" si="7"/>
        <v>0</v>
      </c>
      <c r="S4491" s="24"/>
      <c r="T4491" s="24"/>
    </row>
    <row r="4492">
      <c r="A4492" s="12" t="s">
        <v>4579</v>
      </c>
      <c r="F4492" s="19">
        <f>IFERROR(__xludf.DUMMYFUNCTION("SPLIT(A4488, "" |"")"),4486.0)</f>
        <v>4486</v>
      </c>
      <c r="G4492" s="19">
        <f>IFERROR(__xludf.DUMMYFUNCTION("""COMPUTED_VALUE"""),0.00232)</f>
        <v>0.00232</v>
      </c>
      <c r="H4492" s="19" t="str">
        <f>IFERROR(__xludf.DUMMYFUNCTION("""COMPUTED_VALUE"""),"-")</f>
        <v>-</v>
      </c>
      <c r="I4492" s="19">
        <f>IFERROR(__xludf.DUMMYFUNCTION("""COMPUTED_VALUE"""),0.00221)</f>
        <v>0.00221</v>
      </c>
      <c r="J4492" s="19">
        <f>IFERROR(__xludf.DUMMYFUNCTION("""COMPUTED_VALUE"""),0.04669)</f>
        <v>0.04669</v>
      </c>
      <c r="K4492" s="19" t="str">
        <f>IFERROR(__xludf.DUMMYFUNCTION("""COMPUTED_VALUE"""),"-")</f>
        <v>-</v>
      </c>
      <c r="L4492" s="19" t="str">
        <f>IFERROR(__xludf.DUMMYFUNCTION("""COMPUTED_VALUE"""),"-")</f>
        <v>-</v>
      </c>
      <c r="O4492" s="24">
        <f t="shared" si="4"/>
        <v>0</v>
      </c>
      <c r="P4492" s="24"/>
      <c r="Q4492" s="24">
        <f t="shared" si="6"/>
        <v>0</v>
      </c>
      <c r="R4492" s="24">
        <f t="shared" si="7"/>
        <v>0</v>
      </c>
      <c r="S4492" s="24"/>
      <c r="T4492" s="24"/>
    </row>
    <row r="4493">
      <c r="A4493" s="12" t="s">
        <v>4580</v>
      </c>
      <c r="F4493" s="19">
        <f>IFERROR(__xludf.DUMMYFUNCTION("SPLIT(A4489, "" |"")"),4487.0)</f>
        <v>4487</v>
      </c>
      <c r="G4493" s="19">
        <f>IFERROR(__xludf.DUMMYFUNCTION("""COMPUTED_VALUE"""),0.00232)</f>
        <v>0.00232</v>
      </c>
      <c r="H4493" s="19" t="str">
        <f>IFERROR(__xludf.DUMMYFUNCTION("""COMPUTED_VALUE"""),"-")</f>
        <v>-</v>
      </c>
      <c r="I4493" s="19">
        <f>IFERROR(__xludf.DUMMYFUNCTION("""COMPUTED_VALUE"""),0.00218)</f>
        <v>0.00218</v>
      </c>
      <c r="J4493" s="19">
        <f>IFERROR(__xludf.DUMMYFUNCTION("""COMPUTED_VALUE"""),0.0442)</f>
        <v>0.0442</v>
      </c>
      <c r="K4493" s="19" t="str">
        <f>IFERROR(__xludf.DUMMYFUNCTION("""COMPUTED_VALUE"""),"-")</f>
        <v>-</v>
      </c>
      <c r="L4493" s="19" t="str">
        <f>IFERROR(__xludf.DUMMYFUNCTION("""COMPUTED_VALUE"""),"-")</f>
        <v>-</v>
      </c>
      <c r="O4493" s="24">
        <f t="shared" si="4"/>
        <v>0</v>
      </c>
      <c r="P4493" s="24"/>
      <c r="Q4493" s="24">
        <f t="shared" si="6"/>
        <v>0</v>
      </c>
      <c r="R4493" s="24">
        <f t="shared" si="7"/>
        <v>1</v>
      </c>
      <c r="S4493" s="24"/>
      <c r="T4493" s="24"/>
    </row>
    <row r="4494">
      <c r="A4494" s="12" t="s">
        <v>4581</v>
      </c>
      <c r="F4494" s="19">
        <f>IFERROR(__xludf.DUMMYFUNCTION("SPLIT(A4490, "" |"")"),4488.0)</f>
        <v>4488</v>
      </c>
      <c r="G4494" s="19">
        <f>IFERROR(__xludf.DUMMYFUNCTION("""COMPUTED_VALUE"""),0.00233)</f>
        <v>0.00233</v>
      </c>
      <c r="H4494" s="19" t="str">
        <f>IFERROR(__xludf.DUMMYFUNCTION("""COMPUTED_VALUE"""),"-")</f>
        <v>-</v>
      </c>
      <c r="I4494" s="19">
        <f>IFERROR(__xludf.DUMMYFUNCTION("""COMPUTED_VALUE"""),0.00224)</f>
        <v>0.00224</v>
      </c>
      <c r="J4494" s="19">
        <f>IFERROR(__xludf.DUMMYFUNCTION("""COMPUTED_VALUE"""),0.04741)</f>
        <v>0.04741</v>
      </c>
      <c r="K4494" s="19" t="str">
        <f>IFERROR(__xludf.DUMMYFUNCTION("""COMPUTED_VALUE"""),"-")</f>
        <v>-</v>
      </c>
      <c r="L4494" s="19" t="str">
        <f>IFERROR(__xludf.DUMMYFUNCTION("""COMPUTED_VALUE"""),"-")</f>
        <v>-</v>
      </c>
      <c r="O4494" s="24">
        <f t="shared" si="4"/>
        <v>0</v>
      </c>
      <c r="P4494" s="24"/>
      <c r="Q4494" s="24">
        <f t="shared" si="6"/>
        <v>0</v>
      </c>
      <c r="R4494" s="24">
        <f t="shared" si="7"/>
        <v>0</v>
      </c>
      <c r="S4494" s="24"/>
      <c r="T4494" s="24"/>
    </row>
    <row r="4495">
      <c r="A4495" s="12" t="s">
        <v>4582</v>
      </c>
      <c r="F4495" s="19">
        <f>IFERROR(__xludf.DUMMYFUNCTION("SPLIT(A4491, "" |"")"),4489.0)</f>
        <v>4489</v>
      </c>
      <c r="G4495" s="19">
        <f>IFERROR(__xludf.DUMMYFUNCTION("""COMPUTED_VALUE"""),0.00236)</f>
        <v>0.00236</v>
      </c>
      <c r="H4495" s="19" t="str">
        <f>IFERROR(__xludf.DUMMYFUNCTION("""COMPUTED_VALUE"""),"-")</f>
        <v>-</v>
      </c>
      <c r="I4495" s="19">
        <f>IFERROR(__xludf.DUMMYFUNCTION("""COMPUTED_VALUE"""),0.00224)</f>
        <v>0.00224</v>
      </c>
      <c r="J4495" s="19">
        <f>IFERROR(__xludf.DUMMYFUNCTION("""COMPUTED_VALUE"""),0.04742)</f>
        <v>0.04742</v>
      </c>
      <c r="K4495" s="19" t="str">
        <f>IFERROR(__xludf.DUMMYFUNCTION("""COMPUTED_VALUE"""),"-")</f>
        <v>-</v>
      </c>
      <c r="L4495" s="19" t="str">
        <f>IFERROR(__xludf.DUMMYFUNCTION("""COMPUTED_VALUE"""),"-")</f>
        <v>-</v>
      </c>
      <c r="O4495" s="24">
        <f t="shared" si="4"/>
        <v>0</v>
      </c>
      <c r="P4495" s="24"/>
      <c r="Q4495" s="24">
        <f t="shared" si="6"/>
        <v>0</v>
      </c>
      <c r="R4495" s="24">
        <f t="shared" si="7"/>
        <v>0</v>
      </c>
      <c r="S4495" s="24"/>
      <c r="T4495" s="24"/>
    </row>
    <row r="4496">
      <c r="A4496" s="12" t="s">
        <v>4583</v>
      </c>
      <c r="F4496" s="19">
        <f>IFERROR(__xludf.DUMMYFUNCTION("SPLIT(A4492, "" |"")"),4490.0)</f>
        <v>4490</v>
      </c>
      <c r="G4496" s="19">
        <f>IFERROR(__xludf.DUMMYFUNCTION("""COMPUTED_VALUE"""),0.00227)</f>
        <v>0.00227</v>
      </c>
      <c r="H4496" s="19" t="str">
        <f>IFERROR(__xludf.DUMMYFUNCTION("""COMPUTED_VALUE"""),"-")</f>
        <v>-</v>
      </c>
      <c r="I4496" s="19">
        <f>IFERROR(__xludf.DUMMYFUNCTION("""COMPUTED_VALUE"""),0.00216)</f>
        <v>0.00216</v>
      </c>
      <c r="J4496" s="19">
        <f>IFERROR(__xludf.DUMMYFUNCTION("""COMPUTED_VALUE"""),0.04737)</f>
        <v>0.04737</v>
      </c>
      <c r="K4496" s="19" t="str">
        <f>IFERROR(__xludf.DUMMYFUNCTION("""COMPUTED_VALUE"""),"-")</f>
        <v>-</v>
      </c>
      <c r="L4496" s="19" t="str">
        <f>IFERROR(__xludf.DUMMYFUNCTION("""COMPUTED_VALUE"""),"-")</f>
        <v>-</v>
      </c>
      <c r="O4496" s="24">
        <f t="shared" si="4"/>
        <v>0</v>
      </c>
      <c r="P4496" s="24"/>
      <c r="Q4496" s="24">
        <f t="shared" si="6"/>
        <v>0</v>
      </c>
      <c r="R4496" s="24">
        <f t="shared" si="7"/>
        <v>0</v>
      </c>
      <c r="S4496" s="24"/>
      <c r="T4496" s="24"/>
    </row>
    <row r="4497">
      <c r="A4497" s="12" t="s">
        <v>4584</v>
      </c>
      <c r="F4497" s="19">
        <f>IFERROR(__xludf.DUMMYFUNCTION("SPLIT(A4493, "" |"")"),4491.0)</f>
        <v>4491</v>
      </c>
      <c r="G4497" s="19">
        <f>IFERROR(__xludf.DUMMYFUNCTION("""COMPUTED_VALUE"""),0.00223)</f>
        <v>0.00223</v>
      </c>
      <c r="H4497" s="19" t="str">
        <f>IFERROR(__xludf.DUMMYFUNCTION("""COMPUTED_VALUE"""),"-")</f>
        <v>-</v>
      </c>
      <c r="I4497" s="19">
        <f>IFERROR(__xludf.DUMMYFUNCTION("""COMPUTED_VALUE"""),0.00213)</f>
        <v>0.00213</v>
      </c>
      <c r="J4497" s="19">
        <f>IFERROR(__xludf.DUMMYFUNCTION("""COMPUTED_VALUE"""),0.04741)</f>
        <v>0.04741</v>
      </c>
      <c r="K4497" s="19" t="str">
        <f>IFERROR(__xludf.DUMMYFUNCTION("""COMPUTED_VALUE"""),"-")</f>
        <v>-</v>
      </c>
      <c r="L4497" s="19" t="str">
        <f>IFERROR(__xludf.DUMMYFUNCTION("""COMPUTED_VALUE"""),"-")</f>
        <v>-</v>
      </c>
      <c r="O4497" s="24">
        <f t="shared" si="4"/>
        <v>0</v>
      </c>
      <c r="P4497" s="24"/>
      <c r="Q4497" s="24">
        <f t="shared" si="6"/>
        <v>0</v>
      </c>
      <c r="R4497" s="24">
        <f t="shared" si="7"/>
        <v>0</v>
      </c>
      <c r="S4497" s="24"/>
      <c r="T4497" s="24"/>
    </row>
    <row r="4498">
      <c r="A4498" s="12" t="s">
        <v>4585</v>
      </c>
      <c r="F4498" s="19">
        <f>IFERROR(__xludf.DUMMYFUNCTION("SPLIT(A4494, "" |"")"),4492.0)</f>
        <v>4492</v>
      </c>
      <c r="G4498" s="19">
        <f>IFERROR(__xludf.DUMMYFUNCTION("""COMPUTED_VALUE"""),0.0024)</f>
        <v>0.0024</v>
      </c>
      <c r="H4498" s="19" t="str">
        <f>IFERROR(__xludf.DUMMYFUNCTION("""COMPUTED_VALUE"""),"-")</f>
        <v>-</v>
      </c>
      <c r="I4498" s="19">
        <f>IFERROR(__xludf.DUMMYFUNCTION("""COMPUTED_VALUE"""),0.00221)</f>
        <v>0.00221</v>
      </c>
      <c r="J4498" s="19">
        <f>IFERROR(__xludf.DUMMYFUNCTION("""COMPUTED_VALUE"""),0.04738)</f>
        <v>0.04738</v>
      </c>
      <c r="K4498" s="19" t="str">
        <f>IFERROR(__xludf.DUMMYFUNCTION("""COMPUTED_VALUE"""),"-")</f>
        <v>-</v>
      </c>
      <c r="L4498" s="19" t="str">
        <f>IFERROR(__xludf.DUMMYFUNCTION("""COMPUTED_VALUE"""),"-")</f>
        <v>-</v>
      </c>
      <c r="O4498" s="24">
        <f t="shared" si="4"/>
        <v>0</v>
      </c>
      <c r="P4498" s="24"/>
      <c r="Q4498" s="24">
        <f t="shared" si="6"/>
        <v>0</v>
      </c>
      <c r="R4498" s="24">
        <f t="shared" si="7"/>
        <v>0</v>
      </c>
      <c r="S4498" s="24"/>
      <c r="T4498" s="24"/>
    </row>
    <row r="4499">
      <c r="A4499" s="12" t="s">
        <v>4586</v>
      </c>
      <c r="F4499" s="19">
        <f>IFERROR(__xludf.DUMMYFUNCTION("SPLIT(A4495, "" |"")"),4493.0)</f>
        <v>4493</v>
      </c>
      <c r="G4499" s="19">
        <f>IFERROR(__xludf.DUMMYFUNCTION("""COMPUTED_VALUE"""),0.0024)</f>
        <v>0.0024</v>
      </c>
      <c r="H4499" s="19" t="str">
        <f>IFERROR(__xludf.DUMMYFUNCTION("""COMPUTED_VALUE"""),"-")</f>
        <v>-</v>
      </c>
      <c r="I4499" s="19">
        <f>IFERROR(__xludf.DUMMYFUNCTION("""COMPUTED_VALUE"""),0.00223)</f>
        <v>0.00223</v>
      </c>
      <c r="J4499" s="19">
        <f>IFERROR(__xludf.DUMMYFUNCTION("""COMPUTED_VALUE"""),0.04744)</f>
        <v>0.04744</v>
      </c>
      <c r="K4499" s="19" t="str">
        <f>IFERROR(__xludf.DUMMYFUNCTION("""COMPUTED_VALUE"""),"-")</f>
        <v>-</v>
      </c>
      <c r="L4499" s="19" t="str">
        <f>IFERROR(__xludf.DUMMYFUNCTION("""COMPUTED_VALUE"""),"-")</f>
        <v>-</v>
      </c>
      <c r="O4499" s="24">
        <f t="shared" si="4"/>
        <v>0</v>
      </c>
      <c r="P4499" s="24"/>
      <c r="Q4499" s="24">
        <f t="shared" si="6"/>
        <v>0</v>
      </c>
      <c r="R4499" s="24">
        <f t="shared" si="7"/>
        <v>0</v>
      </c>
      <c r="S4499" s="24"/>
      <c r="T4499" s="24"/>
    </row>
    <row r="4500">
      <c r="A4500" s="12" t="s">
        <v>4587</v>
      </c>
      <c r="F4500" s="19">
        <f>IFERROR(__xludf.DUMMYFUNCTION("SPLIT(A4496, "" |"")"),4494.0)</f>
        <v>4494</v>
      </c>
      <c r="G4500" s="19">
        <f>IFERROR(__xludf.DUMMYFUNCTION("""COMPUTED_VALUE"""),0.0024)</f>
        <v>0.0024</v>
      </c>
      <c r="H4500" s="19" t="str">
        <f>IFERROR(__xludf.DUMMYFUNCTION("""COMPUTED_VALUE"""),"-")</f>
        <v>-</v>
      </c>
      <c r="I4500" s="19">
        <f>IFERROR(__xludf.DUMMYFUNCTION("""COMPUTED_VALUE"""),0.00218)</f>
        <v>0.00218</v>
      </c>
      <c r="J4500" s="19">
        <f>IFERROR(__xludf.DUMMYFUNCTION("""COMPUTED_VALUE"""),0.04743)</f>
        <v>0.04743</v>
      </c>
      <c r="K4500" s="19" t="str">
        <f>IFERROR(__xludf.DUMMYFUNCTION("""COMPUTED_VALUE"""),"-")</f>
        <v>-</v>
      </c>
      <c r="L4500" s="19" t="str">
        <f>IFERROR(__xludf.DUMMYFUNCTION("""COMPUTED_VALUE"""),"-")</f>
        <v>-</v>
      </c>
      <c r="O4500" s="24">
        <f t="shared" si="4"/>
        <v>0</v>
      </c>
      <c r="P4500" s="24"/>
      <c r="Q4500" s="24">
        <f t="shared" si="6"/>
        <v>0</v>
      </c>
      <c r="R4500" s="24">
        <f t="shared" si="7"/>
        <v>0</v>
      </c>
      <c r="S4500" s="24"/>
      <c r="T4500" s="24"/>
    </row>
    <row r="4501">
      <c r="A4501" s="12" t="s">
        <v>4588</v>
      </c>
      <c r="F4501" s="19">
        <f>IFERROR(__xludf.DUMMYFUNCTION("SPLIT(A4497, "" |"")"),4495.0)</f>
        <v>4495</v>
      </c>
      <c r="G4501" s="19">
        <f>IFERROR(__xludf.DUMMYFUNCTION("""COMPUTED_VALUE"""),0.00235)</f>
        <v>0.00235</v>
      </c>
      <c r="H4501" s="19" t="str">
        <f>IFERROR(__xludf.DUMMYFUNCTION("""COMPUTED_VALUE"""),"-")</f>
        <v>-</v>
      </c>
      <c r="I4501" s="19">
        <f>IFERROR(__xludf.DUMMYFUNCTION("""COMPUTED_VALUE"""),0.00222)</f>
        <v>0.00222</v>
      </c>
      <c r="J4501" s="19">
        <f>IFERROR(__xludf.DUMMYFUNCTION("""COMPUTED_VALUE"""),0.04743)</f>
        <v>0.04743</v>
      </c>
      <c r="K4501" s="19" t="str">
        <f>IFERROR(__xludf.DUMMYFUNCTION("""COMPUTED_VALUE"""),"-")</f>
        <v>-</v>
      </c>
      <c r="L4501" s="19" t="str">
        <f>IFERROR(__xludf.DUMMYFUNCTION("""COMPUTED_VALUE"""),"-")</f>
        <v>-</v>
      </c>
      <c r="O4501" s="24">
        <f t="shared" si="4"/>
        <v>0</v>
      </c>
      <c r="P4501" s="24"/>
      <c r="Q4501" s="24">
        <f t="shared" si="6"/>
        <v>0</v>
      </c>
      <c r="R4501" s="24">
        <f t="shared" si="7"/>
        <v>0</v>
      </c>
      <c r="S4501" s="24"/>
      <c r="T4501" s="24"/>
    </row>
    <row r="4502">
      <c r="A4502" s="12" t="s">
        <v>4589</v>
      </c>
      <c r="F4502" s="19">
        <f>IFERROR(__xludf.DUMMYFUNCTION("SPLIT(A4498, "" |"")"),4496.0)</f>
        <v>4496</v>
      </c>
      <c r="G4502" s="19">
        <f>IFERROR(__xludf.DUMMYFUNCTION("""COMPUTED_VALUE"""),0.00239)</f>
        <v>0.00239</v>
      </c>
      <c r="H4502" s="19" t="str">
        <f>IFERROR(__xludf.DUMMYFUNCTION("""COMPUTED_VALUE"""),"-")</f>
        <v>-</v>
      </c>
      <c r="I4502" s="19">
        <f>IFERROR(__xludf.DUMMYFUNCTION("""COMPUTED_VALUE"""),0.00219)</f>
        <v>0.00219</v>
      </c>
      <c r="J4502" s="19">
        <f>IFERROR(__xludf.DUMMYFUNCTION("""COMPUTED_VALUE"""),0.04006)</f>
        <v>0.04006</v>
      </c>
      <c r="K4502" s="19" t="str">
        <f>IFERROR(__xludf.DUMMYFUNCTION("""COMPUTED_VALUE"""),"-")</f>
        <v>-</v>
      </c>
      <c r="L4502" s="19" t="str">
        <f>IFERROR(__xludf.DUMMYFUNCTION("""COMPUTED_VALUE"""),"-")</f>
        <v>-</v>
      </c>
      <c r="O4502" s="24">
        <f t="shared" si="4"/>
        <v>0</v>
      </c>
      <c r="P4502" s="24"/>
      <c r="Q4502" s="24">
        <f t="shared" si="6"/>
        <v>0</v>
      </c>
      <c r="R4502" s="24">
        <f t="shared" si="7"/>
        <v>1</v>
      </c>
      <c r="S4502" s="24"/>
      <c r="T4502" s="24"/>
    </row>
    <row r="4503">
      <c r="A4503" s="12" t="s">
        <v>4590</v>
      </c>
      <c r="F4503" s="19">
        <f>IFERROR(__xludf.DUMMYFUNCTION("SPLIT(A4499, "" |"")"),4497.0)</f>
        <v>4497</v>
      </c>
      <c r="G4503" s="19">
        <f>IFERROR(__xludf.DUMMYFUNCTION("""COMPUTED_VALUE"""),0.00221)</f>
        <v>0.00221</v>
      </c>
      <c r="H4503" s="19" t="str">
        <f>IFERROR(__xludf.DUMMYFUNCTION("""COMPUTED_VALUE"""),"-")</f>
        <v>-</v>
      </c>
      <c r="I4503" s="19">
        <f>IFERROR(__xludf.DUMMYFUNCTION("""COMPUTED_VALUE"""),0.00213)</f>
        <v>0.00213</v>
      </c>
      <c r="J4503" s="19">
        <f>IFERROR(__xludf.DUMMYFUNCTION("""COMPUTED_VALUE"""),0.04734)</f>
        <v>0.04734</v>
      </c>
      <c r="K4503" s="19" t="str">
        <f>IFERROR(__xludf.DUMMYFUNCTION("""COMPUTED_VALUE"""),"-")</f>
        <v>-</v>
      </c>
      <c r="L4503" s="19" t="str">
        <f>IFERROR(__xludf.DUMMYFUNCTION("""COMPUTED_VALUE"""),"-")</f>
        <v>-</v>
      </c>
      <c r="O4503" s="24">
        <f t="shared" si="4"/>
        <v>0</v>
      </c>
      <c r="P4503" s="24"/>
      <c r="Q4503" s="24">
        <f t="shared" si="6"/>
        <v>0</v>
      </c>
      <c r="R4503" s="24">
        <f t="shared" si="7"/>
        <v>0</v>
      </c>
      <c r="S4503" s="24"/>
      <c r="T4503" s="24"/>
    </row>
    <row r="4504">
      <c r="A4504" s="12" t="s">
        <v>4591</v>
      </c>
      <c r="F4504" s="19">
        <f>IFERROR(__xludf.DUMMYFUNCTION("SPLIT(A4500, "" |"")"),4498.0)</f>
        <v>4498</v>
      </c>
      <c r="G4504" s="19">
        <f>IFERROR(__xludf.DUMMYFUNCTION("""COMPUTED_VALUE"""),0.00238)</f>
        <v>0.00238</v>
      </c>
      <c r="H4504" s="19" t="str">
        <f>IFERROR(__xludf.DUMMYFUNCTION("""COMPUTED_VALUE"""),"-")</f>
        <v>-</v>
      </c>
      <c r="I4504" s="19">
        <f>IFERROR(__xludf.DUMMYFUNCTION("""COMPUTED_VALUE"""),0.0022)</f>
        <v>0.0022</v>
      </c>
      <c r="J4504" s="19">
        <f>IFERROR(__xludf.DUMMYFUNCTION("""COMPUTED_VALUE"""),0.04747)</f>
        <v>0.04747</v>
      </c>
      <c r="K4504" s="19" t="str">
        <f>IFERROR(__xludf.DUMMYFUNCTION("""COMPUTED_VALUE"""),"-")</f>
        <v>-</v>
      </c>
      <c r="L4504" s="19" t="str">
        <f>IFERROR(__xludf.DUMMYFUNCTION("""COMPUTED_VALUE"""),"-")</f>
        <v>-</v>
      </c>
      <c r="O4504" s="24">
        <f t="shared" si="4"/>
        <v>0</v>
      </c>
      <c r="P4504" s="24"/>
      <c r="Q4504" s="24">
        <f t="shared" si="6"/>
        <v>0</v>
      </c>
      <c r="R4504" s="24">
        <f t="shared" si="7"/>
        <v>0</v>
      </c>
      <c r="S4504" s="24"/>
      <c r="T4504" s="24"/>
    </row>
    <row r="4505">
      <c r="A4505" s="12" t="s">
        <v>4592</v>
      </c>
      <c r="F4505" s="19">
        <f>IFERROR(__xludf.DUMMYFUNCTION("SPLIT(A4501, "" |"")"),4499.0)</f>
        <v>4499</v>
      </c>
      <c r="G4505" s="19">
        <f>IFERROR(__xludf.DUMMYFUNCTION("""COMPUTED_VALUE"""),0.00231)</f>
        <v>0.00231</v>
      </c>
      <c r="H4505" s="19" t="str">
        <f>IFERROR(__xludf.DUMMYFUNCTION("""COMPUTED_VALUE"""),"-")</f>
        <v>-</v>
      </c>
      <c r="I4505" s="19">
        <f>IFERROR(__xludf.DUMMYFUNCTION("""COMPUTED_VALUE"""),0.00224)</f>
        <v>0.00224</v>
      </c>
      <c r="J4505" s="19">
        <f>IFERROR(__xludf.DUMMYFUNCTION("""COMPUTED_VALUE"""),0.04735)</f>
        <v>0.04735</v>
      </c>
      <c r="K4505" s="19" t="str">
        <f>IFERROR(__xludf.DUMMYFUNCTION("""COMPUTED_VALUE"""),"-")</f>
        <v>-</v>
      </c>
      <c r="L4505" s="19" t="str">
        <f>IFERROR(__xludf.DUMMYFUNCTION("""COMPUTED_VALUE"""),"-")</f>
        <v>-</v>
      </c>
      <c r="O4505" s="24">
        <f t="shared" si="4"/>
        <v>0</v>
      </c>
      <c r="P4505" s="24"/>
      <c r="Q4505" s="24">
        <f t="shared" si="6"/>
        <v>0</v>
      </c>
      <c r="R4505" s="24">
        <f t="shared" si="7"/>
        <v>0</v>
      </c>
      <c r="S4505" s="24"/>
      <c r="T4505" s="24"/>
    </row>
    <row r="4506">
      <c r="A4506" s="12" t="s">
        <v>4593</v>
      </c>
      <c r="F4506" s="19">
        <f>IFERROR(__xludf.DUMMYFUNCTION("SPLIT(A4502, "" |"")"),4500.0)</f>
        <v>4500</v>
      </c>
      <c r="G4506" s="19">
        <f>IFERROR(__xludf.DUMMYFUNCTION("""COMPUTED_VALUE"""),0.00238)</f>
        <v>0.00238</v>
      </c>
      <c r="H4506" s="19" t="str">
        <f>IFERROR(__xludf.DUMMYFUNCTION("""COMPUTED_VALUE"""),"-")</f>
        <v>-</v>
      </c>
      <c r="I4506" s="19">
        <f>IFERROR(__xludf.DUMMYFUNCTION("""COMPUTED_VALUE"""),0.00221)</f>
        <v>0.00221</v>
      </c>
      <c r="J4506" s="19">
        <f>IFERROR(__xludf.DUMMYFUNCTION("""COMPUTED_VALUE"""),0.04745)</f>
        <v>0.04745</v>
      </c>
      <c r="K4506" s="19" t="str">
        <f>IFERROR(__xludf.DUMMYFUNCTION("""COMPUTED_VALUE"""),"-")</f>
        <v>-</v>
      </c>
      <c r="L4506" s="19" t="str">
        <f>IFERROR(__xludf.DUMMYFUNCTION("""COMPUTED_VALUE"""),"-")</f>
        <v>-</v>
      </c>
      <c r="O4506" s="24">
        <f t="shared" si="4"/>
        <v>0</v>
      </c>
      <c r="P4506" s="24"/>
      <c r="Q4506" s="24">
        <f t="shared" si="6"/>
        <v>0</v>
      </c>
      <c r="R4506" s="24">
        <f t="shared" si="7"/>
        <v>0</v>
      </c>
      <c r="S4506" s="24"/>
      <c r="T4506" s="24"/>
    </row>
    <row r="4507">
      <c r="A4507" s="12" t="s">
        <v>4594</v>
      </c>
      <c r="F4507" s="19">
        <f>IFERROR(__xludf.DUMMYFUNCTION("SPLIT(A4503, "" |"")"),4501.0)</f>
        <v>4501</v>
      </c>
      <c r="G4507" s="19">
        <f>IFERROR(__xludf.DUMMYFUNCTION("""COMPUTED_VALUE"""),0.00233)</f>
        <v>0.00233</v>
      </c>
      <c r="H4507" s="19" t="str">
        <f>IFERROR(__xludf.DUMMYFUNCTION("""COMPUTED_VALUE"""),"-")</f>
        <v>-</v>
      </c>
      <c r="I4507" s="19">
        <f>IFERROR(__xludf.DUMMYFUNCTION("""COMPUTED_VALUE"""),0.00223)</f>
        <v>0.00223</v>
      </c>
      <c r="J4507" s="19">
        <f>IFERROR(__xludf.DUMMYFUNCTION("""COMPUTED_VALUE"""),0.04412)</f>
        <v>0.04412</v>
      </c>
      <c r="K4507" s="19" t="str">
        <f>IFERROR(__xludf.DUMMYFUNCTION("""COMPUTED_VALUE"""),"-")</f>
        <v>-</v>
      </c>
      <c r="L4507" s="19" t="str">
        <f>IFERROR(__xludf.DUMMYFUNCTION("""COMPUTED_VALUE"""),"-")</f>
        <v>-</v>
      </c>
      <c r="O4507" s="24">
        <f t="shared" si="4"/>
        <v>0</v>
      </c>
      <c r="P4507" s="24"/>
      <c r="Q4507" s="24">
        <f t="shared" si="6"/>
        <v>0</v>
      </c>
      <c r="R4507" s="24">
        <f t="shared" si="7"/>
        <v>1</v>
      </c>
      <c r="S4507" s="24"/>
      <c r="T4507" s="24"/>
    </row>
    <row r="4508">
      <c r="A4508" s="12" t="s">
        <v>4595</v>
      </c>
      <c r="F4508" s="19">
        <f>IFERROR(__xludf.DUMMYFUNCTION("SPLIT(A4504, "" |"")"),4502.0)</f>
        <v>4502</v>
      </c>
      <c r="G4508" s="19">
        <f>IFERROR(__xludf.DUMMYFUNCTION("""COMPUTED_VALUE"""),0.00236)</f>
        <v>0.00236</v>
      </c>
      <c r="H4508" s="19" t="str">
        <f>IFERROR(__xludf.DUMMYFUNCTION("""COMPUTED_VALUE"""),"-")</f>
        <v>-</v>
      </c>
      <c r="I4508" s="19">
        <f>IFERROR(__xludf.DUMMYFUNCTION("""COMPUTED_VALUE"""),0.00215)</f>
        <v>0.00215</v>
      </c>
      <c r="J4508" s="19">
        <f>IFERROR(__xludf.DUMMYFUNCTION("""COMPUTED_VALUE"""),0.04744)</f>
        <v>0.04744</v>
      </c>
      <c r="K4508" s="19" t="str">
        <f>IFERROR(__xludf.DUMMYFUNCTION("""COMPUTED_VALUE"""),"-")</f>
        <v>-</v>
      </c>
      <c r="L4508" s="19" t="str">
        <f>IFERROR(__xludf.DUMMYFUNCTION("""COMPUTED_VALUE"""),"-")</f>
        <v>-</v>
      </c>
      <c r="O4508" s="24">
        <f t="shared" si="4"/>
        <v>0</v>
      </c>
      <c r="P4508" s="24"/>
      <c r="Q4508" s="24">
        <f t="shared" si="6"/>
        <v>0</v>
      </c>
      <c r="R4508" s="24">
        <f t="shared" si="7"/>
        <v>0</v>
      </c>
      <c r="S4508" s="24"/>
      <c r="T4508" s="24"/>
    </row>
    <row r="4509">
      <c r="A4509" s="12" t="s">
        <v>4596</v>
      </c>
      <c r="F4509" s="19">
        <f>IFERROR(__xludf.DUMMYFUNCTION("SPLIT(A4505, "" |"")"),4503.0)</f>
        <v>4503</v>
      </c>
      <c r="G4509" s="19">
        <f>IFERROR(__xludf.DUMMYFUNCTION("""COMPUTED_VALUE"""),0.00229)</f>
        <v>0.00229</v>
      </c>
      <c r="H4509" s="19" t="str">
        <f>IFERROR(__xludf.DUMMYFUNCTION("""COMPUTED_VALUE"""),"-")</f>
        <v>-</v>
      </c>
      <c r="I4509" s="19">
        <f>IFERROR(__xludf.DUMMYFUNCTION("""COMPUTED_VALUE"""),0.00225)</f>
        <v>0.00225</v>
      </c>
      <c r="J4509" s="19">
        <f>IFERROR(__xludf.DUMMYFUNCTION("""COMPUTED_VALUE"""),0.04746)</f>
        <v>0.04746</v>
      </c>
      <c r="K4509" s="19" t="str">
        <f>IFERROR(__xludf.DUMMYFUNCTION("""COMPUTED_VALUE"""),"-")</f>
        <v>-</v>
      </c>
      <c r="L4509" s="19" t="str">
        <f>IFERROR(__xludf.DUMMYFUNCTION("""COMPUTED_VALUE"""),"-")</f>
        <v>-</v>
      </c>
      <c r="O4509" s="24">
        <f t="shared" si="4"/>
        <v>0</v>
      </c>
      <c r="P4509" s="24"/>
      <c r="Q4509" s="24">
        <f t="shared" si="6"/>
        <v>0</v>
      </c>
      <c r="R4509" s="24">
        <f t="shared" si="7"/>
        <v>0</v>
      </c>
      <c r="S4509" s="24"/>
      <c r="T4509" s="24"/>
    </row>
    <row r="4510">
      <c r="A4510" s="12" t="s">
        <v>4597</v>
      </c>
      <c r="F4510" s="19">
        <f>IFERROR(__xludf.DUMMYFUNCTION("SPLIT(A4506, "" |"")"),4504.0)</f>
        <v>4504</v>
      </c>
      <c r="G4510" s="19">
        <f>IFERROR(__xludf.DUMMYFUNCTION("""COMPUTED_VALUE"""),0.0024)</f>
        <v>0.0024</v>
      </c>
      <c r="H4510" s="19" t="str">
        <f>IFERROR(__xludf.DUMMYFUNCTION("""COMPUTED_VALUE"""),"-")</f>
        <v>-</v>
      </c>
      <c r="I4510" s="19">
        <f>IFERROR(__xludf.DUMMYFUNCTION("""COMPUTED_VALUE"""),0.0022)</f>
        <v>0.0022</v>
      </c>
      <c r="J4510" s="19">
        <f>IFERROR(__xludf.DUMMYFUNCTION("""COMPUTED_VALUE"""),0.04742)</f>
        <v>0.04742</v>
      </c>
      <c r="K4510" s="19" t="str">
        <f>IFERROR(__xludf.DUMMYFUNCTION("""COMPUTED_VALUE"""),"-")</f>
        <v>-</v>
      </c>
      <c r="L4510" s="19" t="str">
        <f>IFERROR(__xludf.DUMMYFUNCTION("""COMPUTED_VALUE"""),"-")</f>
        <v>-</v>
      </c>
      <c r="O4510" s="24">
        <f t="shared" si="4"/>
        <v>0</v>
      </c>
      <c r="P4510" s="24"/>
      <c r="Q4510" s="24">
        <f t="shared" si="6"/>
        <v>0</v>
      </c>
      <c r="R4510" s="24">
        <f t="shared" si="7"/>
        <v>0</v>
      </c>
      <c r="S4510" s="24"/>
      <c r="T4510" s="24"/>
    </row>
    <row r="4511">
      <c r="A4511" s="12" t="s">
        <v>4598</v>
      </c>
      <c r="F4511" s="19">
        <f>IFERROR(__xludf.DUMMYFUNCTION("SPLIT(A4507, "" |"")"),4505.0)</f>
        <v>4505</v>
      </c>
      <c r="G4511" s="19">
        <f>IFERROR(__xludf.DUMMYFUNCTION("""COMPUTED_VALUE"""),0.00235)</f>
        <v>0.00235</v>
      </c>
      <c r="H4511" s="19" t="str">
        <f>IFERROR(__xludf.DUMMYFUNCTION("""COMPUTED_VALUE"""),"-")</f>
        <v>-</v>
      </c>
      <c r="I4511" s="19">
        <f>IFERROR(__xludf.DUMMYFUNCTION("""COMPUTED_VALUE"""),0.00223)</f>
        <v>0.00223</v>
      </c>
      <c r="J4511" s="19">
        <f>IFERROR(__xludf.DUMMYFUNCTION("""COMPUTED_VALUE"""),0.04739)</f>
        <v>0.04739</v>
      </c>
      <c r="K4511" s="19" t="str">
        <f>IFERROR(__xludf.DUMMYFUNCTION("""COMPUTED_VALUE"""),"-")</f>
        <v>-</v>
      </c>
      <c r="L4511" s="19" t="str">
        <f>IFERROR(__xludf.DUMMYFUNCTION("""COMPUTED_VALUE"""),"-")</f>
        <v>-</v>
      </c>
      <c r="O4511" s="24">
        <f t="shared" si="4"/>
        <v>0</v>
      </c>
      <c r="P4511" s="24"/>
      <c r="Q4511" s="24">
        <f t="shared" si="6"/>
        <v>0</v>
      </c>
      <c r="R4511" s="24">
        <f t="shared" si="7"/>
        <v>0</v>
      </c>
      <c r="S4511" s="24"/>
      <c r="T4511" s="24"/>
    </row>
    <row r="4512">
      <c r="A4512" s="12" t="s">
        <v>4599</v>
      </c>
      <c r="F4512" s="19">
        <f>IFERROR(__xludf.DUMMYFUNCTION("SPLIT(A4508, "" |"")"),4506.0)</f>
        <v>4506</v>
      </c>
      <c r="G4512" s="19">
        <f>IFERROR(__xludf.DUMMYFUNCTION("""COMPUTED_VALUE"""),0.00239)</f>
        <v>0.00239</v>
      </c>
      <c r="H4512" s="19" t="str">
        <f>IFERROR(__xludf.DUMMYFUNCTION("""COMPUTED_VALUE"""),"-")</f>
        <v>-</v>
      </c>
      <c r="I4512" s="19">
        <f>IFERROR(__xludf.DUMMYFUNCTION("""COMPUTED_VALUE"""),0.00222)</f>
        <v>0.00222</v>
      </c>
      <c r="J4512" s="19">
        <f>IFERROR(__xludf.DUMMYFUNCTION("""COMPUTED_VALUE"""),0.04029)</f>
        <v>0.04029</v>
      </c>
      <c r="K4512" s="19" t="str">
        <f>IFERROR(__xludf.DUMMYFUNCTION("""COMPUTED_VALUE"""),"-")</f>
        <v>-</v>
      </c>
      <c r="L4512" s="19" t="str">
        <f>IFERROR(__xludf.DUMMYFUNCTION("""COMPUTED_VALUE"""),"-")</f>
        <v>-</v>
      </c>
      <c r="O4512" s="24">
        <f t="shared" si="4"/>
        <v>0</v>
      </c>
      <c r="P4512" s="24"/>
      <c r="Q4512" s="24">
        <f t="shared" si="6"/>
        <v>0</v>
      </c>
      <c r="R4512" s="24">
        <f t="shared" si="7"/>
        <v>1</v>
      </c>
      <c r="S4512" s="24"/>
      <c r="T4512" s="24"/>
    </row>
    <row r="4513">
      <c r="A4513" s="12" t="s">
        <v>4600</v>
      </c>
      <c r="F4513" s="19">
        <f>IFERROR(__xludf.DUMMYFUNCTION("SPLIT(A4509, "" |"")"),4507.0)</f>
        <v>4507</v>
      </c>
      <c r="G4513" s="19">
        <f>IFERROR(__xludf.DUMMYFUNCTION("""COMPUTED_VALUE"""),0.00248)</f>
        <v>0.00248</v>
      </c>
      <c r="H4513" s="19" t="str">
        <f>IFERROR(__xludf.DUMMYFUNCTION("""COMPUTED_VALUE"""),"-")</f>
        <v>-</v>
      </c>
      <c r="I4513" s="19">
        <f>IFERROR(__xludf.DUMMYFUNCTION("""COMPUTED_VALUE"""),0.00231)</f>
        <v>0.00231</v>
      </c>
      <c r="J4513" s="19">
        <f>IFERROR(__xludf.DUMMYFUNCTION("""COMPUTED_VALUE"""),0.04673)</f>
        <v>0.04673</v>
      </c>
      <c r="K4513" s="19" t="str">
        <f>IFERROR(__xludf.DUMMYFUNCTION("""COMPUTED_VALUE"""),"-")</f>
        <v>-</v>
      </c>
      <c r="L4513" s="19" t="str">
        <f>IFERROR(__xludf.DUMMYFUNCTION("""COMPUTED_VALUE"""),"-")</f>
        <v>-</v>
      </c>
      <c r="O4513" s="24">
        <f t="shared" si="4"/>
        <v>0</v>
      </c>
      <c r="P4513" s="24"/>
      <c r="Q4513" s="24">
        <f t="shared" si="6"/>
        <v>0</v>
      </c>
      <c r="R4513" s="24">
        <f t="shared" si="7"/>
        <v>0</v>
      </c>
      <c r="S4513" s="24"/>
      <c r="T4513" s="24"/>
    </row>
    <row r="4514">
      <c r="A4514" s="12" t="s">
        <v>4601</v>
      </c>
      <c r="F4514" s="19">
        <f>IFERROR(__xludf.DUMMYFUNCTION("SPLIT(A4510, "" |"")"),4508.0)</f>
        <v>4508</v>
      </c>
      <c r="G4514" s="19">
        <f>IFERROR(__xludf.DUMMYFUNCTION("""COMPUTED_VALUE"""),0.00252)</f>
        <v>0.00252</v>
      </c>
      <c r="H4514" s="19" t="str">
        <f>IFERROR(__xludf.DUMMYFUNCTION("""COMPUTED_VALUE"""),"-")</f>
        <v>-</v>
      </c>
      <c r="I4514" s="19">
        <f>IFERROR(__xludf.DUMMYFUNCTION("""COMPUTED_VALUE"""),0.00228)</f>
        <v>0.00228</v>
      </c>
      <c r="J4514" s="19">
        <f>IFERROR(__xludf.DUMMYFUNCTION("""COMPUTED_VALUE"""),0.04749)</f>
        <v>0.04749</v>
      </c>
      <c r="K4514" s="19" t="str">
        <f>IFERROR(__xludf.DUMMYFUNCTION("""COMPUTED_VALUE"""),"-")</f>
        <v>-</v>
      </c>
      <c r="L4514" s="19" t="str">
        <f>IFERROR(__xludf.DUMMYFUNCTION("""COMPUTED_VALUE"""),"-")</f>
        <v>-</v>
      </c>
      <c r="O4514" s="24">
        <f t="shared" si="4"/>
        <v>0</v>
      </c>
      <c r="P4514" s="24"/>
      <c r="Q4514" s="24">
        <f t="shared" si="6"/>
        <v>0</v>
      </c>
      <c r="R4514" s="24">
        <f t="shared" si="7"/>
        <v>0</v>
      </c>
      <c r="S4514" s="24"/>
      <c r="T4514" s="24"/>
    </row>
    <row r="4515">
      <c r="A4515" s="12" t="s">
        <v>4602</v>
      </c>
      <c r="F4515" s="19">
        <f>IFERROR(__xludf.DUMMYFUNCTION("SPLIT(A4511, "" |"")"),4509.0)</f>
        <v>4509</v>
      </c>
      <c r="G4515" s="19">
        <f>IFERROR(__xludf.DUMMYFUNCTION("""COMPUTED_VALUE"""),0.00238)</f>
        <v>0.00238</v>
      </c>
      <c r="H4515" s="19" t="str">
        <f>IFERROR(__xludf.DUMMYFUNCTION("""COMPUTED_VALUE"""),"-")</f>
        <v>-</v>
      </c>
      <c r="I4515" s="19">
        <f>IFERROR(__xludf.DUMMYFUNCTION("""COMPUTED_VALUE"""),0.00225)</f>
        <v>0.00225</v>
      </c>
      <c r="J4515" s="19">
        <f>IFERROR(__xludf.DUMMYFUNCTION("""COMPUTED_VALUE"""),0.0474)</f>
        <v>0.0474</v>
      </c>
      <c r="K4515" s="19" t="str">
        <f>IFERROR(__xludf.DUMMYFUNCTION("""COMPUTED_VALUE"""),"-")</f>
        <v>-</v>
      </c>
      <c r="L4515" s="19" t="str">
        <f>IFERROR(__xludf.DUMMYFUNCTION("""COMPUTED_VALUE"""),"-")</f>
        <v>-</v>
      </c>
      <c r="O4515" s="24">
        <f t="shared" si="4"/>
        <v>0</v>
      </c>
      <c r="P4515" s="24"/>
      <c r="Q4515" s="24">
        <f t="shared" si="6"/>
        <v>0</v>
      </c>
      <c r="R4515" s="24">
        <f t="shared" si="7"/>
        <v>0</v>
      </c>
      <c r="S4515" s="24"/>
      <c r="T4515" s="24"/>
    </row>
    <row r="4516">
      <c r="A4516" s="12" t="s">
        <v>4603</v>
      </c>
      <c r="F4516" s="19">
        <f>IFERROR(__xludf.DUMMYFUNCTION("SPLIT(A4512, "" |"")"),4510.0)</f>
        <v>4510</v>
      </c>
      <c r="G4516" s="19">
        <f>IFERROR(__xludf.DUMMYFUNCTION("""COMPUTED_VALUE"""),0.00223)</f>
        <v>0.00223</v>
      </c>
      <c r="H4516" s="19" t="str">
        <f>IFERROR(__xludf.DUMMYFUNCTION("""COMPUTED_VALUE"""),"-")</f>
        <v>-</v>
      </c>
      <c r="I4516" s="19">
        <f>IFERROR(__xludf.DUMMYFUNCTION("""COMPUTED_VALUE"""),0.00209)</f>
        <v>0.00209</v>
      </c>
      <c r="J4516" s="19">
        <f>IFERROR(__xludf.DUMMYFUNCTION("""COMPUTED_VALUE"""),0.04727)</f>
        <v>0.04727</v>
      </c>
      <c r="K4516" s="19" t="str">
        <f>IFERROR(__xludf.DUMMYFUNCTION("""COMPUTED_VALUE"""),"-")</f>
        <v>-</v>
      </c>
      <c r="L4516" s="19" t="str">
        <f>IFERROR(__xludf.DUMMYFUNCTION("""COMPUTED_VALUE"""),"-")</f>
        <v>-</v>
      </c>
      <c r="O4516" s="24">
        <f t="shared" si="4"/>
        <v>0</v>
      </c>
      <c r="P4516" s="24"/>
      <c r="Q4516" s="24">
        <f t="shared" si="6"/>
        <v>0</v>
      </c>
      <c r="R4516" s="24">
        <f t="shared" si="7"/>
        <v>0</v>
      </c>
      <c r="S4516" s="24"/>
      <c r="T4516" s="24"/>
    </row>
    <row r="4517">
      <c r="A4517" s="12" t="s">
        <v>4604</v>
      </c>
      <c r="F4517" s="19">
        <f>IFERROR(__xludf.DUMMYFUNCTION("SPLIT(A4513, "" |"")"),4511.0)</f>
        <v>4511</v>
      </c>
      <c r="G4517" s="19">
        <f>IFERROR(__xludf.DUMMYFUNCTION("""COMPUTED_VALUE"""),0.00239)</f>
        <v>0.00239</v>
      </c>
      <c r="H4517" s="19" t="str">
        <f>IFERROR(__xludf.DUMMYFUNCTION("""COMPUTED_VALUE"""),"-")</f>
        <v>-</v>
      </c>
      <c r="I4517" s="19">
        <f>IFERROR(__xludf.DUMMYFUNCTION("""COMPUTED_VALUE"""),0.00221)</f>
        <v>0.00221</v>
      </c>
      <c r="J4517" s="19">
        <f>IFERROR(__xludf.DUMMYFUNCTION("""COMPUTED_VALUE"""),0.04739)</f>
        <v>0.04739</v>
      </c>
      <c r="K4517" s="19" t="str">
        <f>IFERROR(__xludf.DUMMYFUNCTION("""COMPUTED_VALUE"""),"-")</f>
        <v>-</v>
      </c>
      <c r="L4517" s="19" t="str">
        <f>IFERROR(__xludf.DUMMYFUNCTION("""COMPUTED_VALUE"""),"-")</f>
        <v>-</v>
      </c>
      <c r="O4517" s="24">
        <f t="shared" si="4"/>
        <v>0</v>
      </c>
      <c r="P4517" s="24"/>
      <c r="Q4517" s="24">
        <f t="shared" si="6"/>
        <v>0</v>
      </c>
      <c r="R4517" s="24">
        <f t="shared" si="7"/>
        <v>0</v>
      </c>
      <c r="S4517" s="24"/>
      <c r="T4517" s="24"/>
    </row>
    <row r="4518">
      <c r="A4518" s="12" t="s">
        <v>4605</v>
      </c>
      <c r="F4518" s="19">
        <f>IFERROR(__xludf.DUMMYFUNCTION("SPLIT(A4514, "" |"")"),4512.0)</f>
        <v>4512</v>
      </c>
      <c r="G4518" s="19">
        <f>IFERROR(__xludf.DUMMYFUNCTION("""COMPUTED_VALUE"""),0.00237)</f>
        <v>0.00237</v>
      </c>
      <c r="H4518" s="19" t="str">
        <f>IFERROR(__xludf.DUMMYFUNCTION("""COMPUTED_VALUE"""),"-")</f>
        <v>-</v>
      </c>
      <c r="I4518" s="19">
        <f>IFERROR(__xludf.DUMMYFUNCTION("""COMPUTED_VALUE"""),0.00218)</f>
        <v>0.00218</v>
      </c>
      <c r="J4518" s="19">
        <f>IFERROR(__xludf.DUMMYFUNCTION("""COMPUTED_VALUE"""),0.04561)</f>
        <v>0.04561</v>
      </c>
      <c r="K4518" s="19" t="str">
        <f>IFERROR(__xludf.DUMMYFUNCTION("""COMPUTED_VALUE"""),"-")</f>
        <v>-</v>
      </c>
      <c r="L4518" s="19" t="str">
        <f>IFERROR(__xludf.DUMMYFUNCTION("""COMPUTED_VALUE"""),"-")</f>
        <v>-</v>
      </c>
      <c r="O4518" s="24">
        <f t="shared" si="4"/>
        <v>0</v>
      </c>
      <c r="P4518" s="24"/>
      <c r="Q4518" s="24">
        <f t="shared" si="6"/>
        <v>0</v>
      </c>
      <c r="R4518" s="24">
        <f t="shared" si="7"/>
        <v>0</v>
      </c>
      <c r="S4518" s="24"/>
      <c r="T4518" s="24"/>
    </row>
    <row r="4519">
      <c r="A4519" s="12" t="s">
        <v>4606</v>
      </c>
      <c r="F4519" s="19">
        <f>IFERROR(__xludf.DUMMYFUNCTION("SPLIT(A4515, "" |"")"),4513.0)</f>
        <v>4513</v>
      </c>
      <c r="G4519" s="19">
        <f>IFERROR(__xludf.DUMMYFUNCTION("""COMPUTED_VALUE"""),0.00242)</f>
        <v>0.00242</v>
      </c>
      <c r="H4519" s="19" t="str">
        <f>IFERROR(__xludf.DUMMYFUNCTION("""COMPUTED_VALUE"""),"-")</f>
        <v>-</v>
      </c>
      <c r="I4519" s="19">
        <f>IFERROR(__xludf.DUMMYFUNCTION("""COMPUTED_VALUE"""),0.00226)</f>
        <v>0.00226</v>
      </c>
      <c r="J4519" s="19">
        <f>IFERROR(__xludf.DUMMYFUNCTION("""COMPUTED_VALUE"""),0.04739)</f>
        <v>0.04739</v>
      </c>
      <c r="K4519" s="19" t="str">
        <f>IFERROR(__xludf.DUMMYFUNCTION("""COMPUTED_VALUE"""),"-")</f>
        <v>-</v>
      </c>
      <c r="L4519" s="19" t="str">
        <f>IFERROR(__xludf.DUMMYFUNCTION("""COMPUTED_VALUE"""),"-")</f>
        <v>-</v>
      </c>
      <c r="O4519" s="24">
        <f t="shared" si="4"/>
        <v>0</v>
      </c>
      <c r="P4519" s="24"/>
      <c r="Q4519" s="24">
        <f t="shared" si="6"/>
        <v>0</v>
      </c>
      <c r="R4519" s="24">
        <f t="shared" si="7"/>
        <v>0</v>
      </c>
      <c r="S4519" s="24"/>
      <c r="T4519" s="24"/>
    </row>
    <row r="4520">
      <c r="A4520" s="12" t="s">
        <v>4607</v>
      </c>
      <c r="F4520" s="19">
        <f>IFERROR(__xludf.DUMMYFUNCTION("SPLIT(A4516, "" |"")"),4514.0)</f>
        <v>4514</v>
      </c>
      <c r="G4520" s="19">
        <f>IFERROR(__xludf.DUMMYFUNCTION("""COMPUTED_VALUE"""),0.00233)</f>
        <v>0.00233</v>
      </c>
      <c r="H4520" s="19" t="str">
        <f>IFERROR(__xludf.DUMMYFUNCTION("""COMPUTED_VALUE"""),"-")</f>
        <v>-</v>
      </c>
      <c r="I4520" s="19">
        <f>IFERROR(__xludf.DUMMYFUNCTION("""COMPUTED_VALUE"""),0.00221)</f>
        <v>0.00221</v>
      </c>
      <c r="J4520" s="19">
        <f>IFERROR(__xludf.DUMMYFUNCTION("""COMPUTED_VALUE"""),0.04739)</f>
        <v>0.04739</v>
      </c>
      <c r="K4520" s="19" t="str">
        <f>IFERROR(__xludf.DUMMYFUNCTION("""COMPUTED_VALUE"""),"-")</f>
        <v>-</v>
      </c>
      <c r="L4520" s="19" t="str">
        <f>IFERROR(__xludf.DUMMYFUNCTION("""COMPUTED_VALUE"""),"-")</f>
        <v>-</v>
      </c>
      <c r="O4520" s="24">
        <f t="shared" si="4"/>
        <v>0</v>
      </c>
      <c r="P4520" s="24"/>
      <c r="Q4520" s="24">
        <f t="shared" si="6"/>
        <v>0</v>
      </c>
      <c r="R4520" s="24">
        <f t="shared" si="7"/>
        <v>0</v>
      </c>
      <c r="S4520" s="24"/>
      <c r="T4520" s="24"/>
    </row>
    <row r="4521">
      <c r="A4521" s="12" t="s">
        <v>4608</v>
      </c>
      <c r="F4521" s="19">
        <f>IFERROR(__xludf.DUMMYFUNCTION("SPLIT(A4517, "" |"")"),4515.0)</f>
        <v>4515</v>
      </c>
      <c r="G4521" s="19">
        <f>IFERROR(__xludf.DUMMYFUNCTION("""COMPUTED_VALUE"""),0.00237)</f>
        <v>0.00237</v>
      </c>
      <c r="H4521" s="19" t="str">
        <f>IFERROR(__xludf.DUMMYFUNCTION("""COMPUTED_VALUE"""),"-")</f>
        <v>-</v>
      </c>
      <c r="I4521" s="19">
        <f>IFERROR(__xludf.DUMMYFUNCTION("""COMPUTED_VALUE"""),0.00224)</f>
        <v>0.00224</v>
      </c>
      <c r="J4521" s="19">
        <f>IFERROR(__xludf.DUMMYFUNCTION("""COMPUTED_VALUE"""),0.04746)</f>
        <v>0.04746</v>
      </c>
      <c r="K4521" s="19" t="str">
        <f>IFERROR(__xludf.DUMMYFUNCTION("""COMPUTED_VALUE"""),"-")</f>
        <v>-</v>
      </c>
      <c r="L4521" s="19" t="str">
        <f>IFERROR(__xludf.DUMMYFUNCTION("""COMPUTED_VALUE"""),"-")</f>
        <v>-</v>
      </c>
      <c r="O4521" s="24">
        <f t="shared" si="4"/>
        <v>0</v>
      </c>
      <c r="P4521" s="24"/>
      <c r="Q4521" s="24">
        <f t="shared" si="6"/>
        <v>0</v>
      </c>
      <c r="R4521" s="24">
        <f t="shared" si="7"/>
        <v>0</v>
      </c>
      <c r="S4521" s="24"/>
      <c r="T4521" s="24"/>
    </row>
    <row r="4522">
      <c r="A4522" s="12" t="s">
        <v>4609</v>
      </c>
      <c r="F4522" s="19">
        <f>IFERROR(__xludf.DUMMYFUNCTION("SPLIT(A4518, "" |"")"),4516.0)</f>
        <v>4516</v>
      </c>
      <c r="G4522" s="19">
        <f>IFERROR(__xludf.DUMMYFUNCTION("""COMPUTED_VALUE"""),0.00237)</f>
        <v>0.00237</v>
      </c>
      <c r="H4522" s="19" t="str">
        <f>IFERROR(__xludf.DUMMYFUNCTION("""COMPUTED_VALUE"""),"-")</f>
        <v>-</v>
      </c>
      <c r="I4522" s="19">
        <f>IFERROR(__xludf.DUMMYFUNCTION("""COMPUTED_VALUE"""),0.0022)</f>
        <v>0.0022</v>
      </c>
      <c r="J4522" s="19">
        <f>IFERROR(__xludf.DUMMYFUNCTION("""COMPUTED_VALUE"""),0.04742)</f>
        <v>0.04742</v>
      </c>
      <c r="K4522" s="19" t="str">
        <f>IFERROR(__xludf.DUMMYFUNCTION("""COMPUTED_VALUE"""),"-")</f>
        <v>-</v>
      </c>
      <c r="L4522" s="19" t="str">
        <f>IFERROR(__xludf.DUMMYFUNCTION("""COMPUTED_VALUE"""),"-")</f>
        <v>-</v>
      </c>
      <c r="O4522" s="24">
        <f t="shared" si="4"/>
        <v>0</v>
      </c>
      <c r="P4522" s="24"/>
      <c r="Q4522" s="24">
        <f t="shared" si="6"/>
        <v>0</v>
      </c>
      <c r="R4522" s="24">
        <f t="shared" si="7"/>
        <v>0</v>
      </c>
      <c r="S4522" s="24"/>
      <c r="T4522" s="24"/>
    </row>
    <row r="4523">
      <c r="A4523" s="12" t="s">
        <v>4610</v>
      </c>
      <c r="F4523" s="19">
        <f>IFERROR(__xludf.DUMMYFUNCTION("SPLIT(A4519, "" |"")"),4517.0)</f>
        <v>4517</v>
      </c>
      <c r="G4523" s="19">
        <f>IFERROR(__xludf.DUMMYFUNCTION("""COMPUTED_VALUE"""),0.00219)</f>
        <v>0.00219</v>
      </c>
      <c r="H4523" s="19" t="str">
        <f>IFERROR(__xludf.DUMMYFUNCTION("""COMPUTED_VALUE"""),"-")</f>
        <v>-</v>
      </c>
      <c r="I4523" s="19">
        <f>IFERROR(__xludf.DUMMYFUNCTION("""COMPUTED_VALUE"""),0.00209)</f>
        <v>0.00209</v>
      </c>
      <c r="J4523" s="19">
        <f>IFERROR(__xludf.DUMMYFUNCTION("""COMPUTED_VALUE"""),0.04732)</f>
        <v>0.04732</v>
      </c>
      <c r="K4523" s="19" t="str">
        <f>IFERROR(__xludf.DUMMYFUNCTION("""COMPUTED_VALUE"""),"-")</f>
        <v>-</v>
      </c>
      <c r="L4523" s="19" t="str">
        <f>IFERROR(__xludf.DUMMYFUNCTION("""COMPUTED_VALUE"""),"-")</f>
        <v>-</v>
      </c>
      <c r="O4523" s="24">
        <f t="shared" si="4"/>
        <v>0</v>
      </c>
      <c r="P4523" s="24"/>
      <c r="Q4523" s="24">
        <f t="shared" si="6"/>
        <v>0</v>
      </c>
      <c r="R4523" s="24">
        <f t="shared" si="7"/>
        <v>0</v>
      </c>
      <c r="S4523" s="24"/>
      <c r="T4523" s="24"/>
    </row>
    <row r="4524">
      <c r="A4524" s="12" t="s">
        <v>4611</v>
      </c>
      <c r="F4524" s="19">
        <f>IFERROR(__xludf.DUMMYFUNCTION("SPLIT(A4520, "" |"")"),4518.0)</f>
        <v>4518</v>
      </c>
      <c r="G4524" s="19">
        <f>IFERROR(__xludf.DUMMYFUNCTION("""COMPUTED_VALUE"""),0.00234)</f>
        <v>0.00234</v>
      </c>
      <c r="H4524" s="19" t="str">
        <f>IFERROR(__xludf.DUMMYFUNCTION("""COMPUTED_VALUE"""),"-")</f>
        <v>-</v>
      </c>
      <c r="I4524" s="19">
        <f>IFERROR(__xludf.DUMMYFUNCTION("""COMPUTED_VALUE"""),0.00218)</f>
        <v>0.00218</v>
      </c>
      <c r="J4524" s="19">
        <f>IFERROR(__xludf.DUMMYFUNCTION("""COMPUTED_VALUE"""),0.04737)</f>
        <v>0.04737</v>
      </c>
      <c r="K4524" s="19" t="str">
        <f>IFERROR(__xludf.DUMMYFUNCTION("""COMPUTED_VALUE"""),"-")</f>
        <v>-</v>
      </c>
      <c r="L4524" s="19" t="str">
        <f>IFERROR(__xludf.DUMMYFUNCTION("""COMPUTED_VALUE"""),"-")</f>
        <v>-</v>
      </c>
      <c r="O4524" s="24">
        <f t="shared" si="4"/>
        <v>0</v>
      </c>
      <c r="P4524" s="24"/>
      <c r="Q4524" s="24">
        <f t="shared" si="6"/>
        <v>0</v>
      </c>
      <c r="R4524" s="24">
        <f t="shared" si="7"/>
        <v>0</v>
      </c>
      <c r="S4524" s="24"/>
      <c r="T4524" s="24"/>
    </row>
    <row r="4525">
      <c r="A4525" s="12" t="s">
        <v>4612</v>
      </c>
      <c r="F4525" s="19">
        <f>IFERROR(__xludf.DUMMYFUNCTION("SPLIT(A4521, "" |"")"),4519.0)</f>
        <v>4519</v>
      </c>
      <c r="G4525" s="19">
        <f>IFERROR(__xludf.DUMMYFUNCTION("""COMPUTED_VALUE"""),0.00244)</f>
        <v>0.00244</v>
      </c>
      <c r="H4525" s="19" t="str">
        <f>IFERROR(__xludf.DUMMYFUNCTION("""COMPUTED_VALUE"""),"-")</f>
        <v>-</v>
      </c>
      <c r="I4525" s="19">
        <f>IFERROR(__xludf.DUMMYFUNCTION("""COMPUTED_VALUE"""),0.00222)</f>
        <v>0.00222</v>
      </c>
      <c r="J4525" s="19">
        <f>IFERROR(__xludf.DUMMYFUNCTION("""COMPUTED_VALUE"""),0.04746)</f>
        <v>0.04746</v>
      </c>
      <c r="K4525" s="19" t="str">
        <f>IFERROR(__xludf.DUMMYFUNCTION("""COMPUTED_VALUE"""),"-")</f>
        <v>-</v>
      </c>
      <c r="L4525" s="19" t="str">
        <f>IFERROR(__xludf.DUMMYFUNCTION("""COMPUTED_VALUE"""),"-")</f>
        <v>-</v>
      </c>
      <c r="O4525" s="24">
        <f t="shared" si="4"/>
        <v>0</v>
      </c>
      <c r="P4525" s="24"/>
      <c r="Q4525" s="24">
        <f t="shared" si="6"/>
        <v>0</v>
      </c>
      <c r="R4525" s="24">
        <f t="shared" si="7"/>
        <v>0</v>
      </c>
      <c r="S4525" s="24"/>
      <c r="T4525" s="24"/>
    </row>
    <row r="4526">
      <c r="A4526" s="12" t="s">
        <v>4613</v>
      </c>
      <c r="F4526" s="19">
        <f>IFERROR(__xludf.DUMMYFUNCTION("SPLIT(A4522, "" |"")"),4520.0)</f>
        <v>4520</v>
      </c>
      <c r="G4526" s="19">
        <f>IFERROR(__xludf.DUMMYFUNCTION("""COMPUTED_VALUE"""),0.00236)</f>
        <v>0.00236</v>
      </c>
      <c r="H4526" s="19" t="str">
        <f>IFERROR(__xludf.DUMMYFUNCTION("""COMPUTED_VALUE"""),"-")</f>
        <v>-</v>
      </c>
      <c r="I4526" s="19">
        <f>IFERROR(__xludf.DUMMYFUNCTION("""COMPUTED_VALUE"""),0.00216)</f>
        <v>0.00216</v>
      </c>
      <c r="J4526" s="19">
        <f>IFERROR(__xludf.DUMMYFUNCTION("""COMPUTED_VALUE"""),0.04746)</f>
        <v>0.04746</v>
      </c>
      <c r="K4526" s="19" t="str">
        <f>IFERROR(__xludf.DUMMYFUNCTION("""COMPUTED_VALUE"""),"-")</f>
        <v>-</v>
      </c>
      <c r="L4526" s="19" t="str">
        <f>IFERROR(__xludf.DUMMYFUNCTION("""COMPUTED_VALUE"""),"-")</f>
        <v>-</v>
      </c>
      <c r="O4526" s="24">
        <f t="shared" si="4"/>
        <v>0</v>
      </c>
      <c r="P4526" s="24"/>
      <c r="Q4526" s="24">
        <f t="shared" si="6"/>
        <v>0</v>
      </c>
      <c r="R4526" s="24">
        <f t="shared" si="7"/>
        <v>0</v>
      </c>
      <c r="S4526" s="24"/>
      <c r="T4526" s="24"/>
    </row>
    <row r="4527">
      <c r="A4527" s="12" t="s">
        <v>4614</v>
      </c>
      <c r="F4527" s="19">
        <f>IFERROR(__xludf.DUMMYFUNCTION("SPLIT(A4523, "" |"")"),4521.0)</f>
        <v>4521</v>
      </c>
      <c r="G4527" s="19">
        <f>IFERROR(__xludf.DUMMYFUNCTION("""COMPUTED_VALUE"""),0.00224)</f>
        <v>0.00224</v>
      </c>
      <c r="H4527" s="19" t="str">
        <f>IFERROR(__xludf.DUMMYFUNCTION("""COMPUTED_VALUE"""),"-")</f>
        <v>-</v>
      </c>
      <c r="I4527" s="19">
        <f>IFERROR(__xludf.DUMMYFUNCTION("""COMPUTED_VALUE"""),0.00221)</f>
        <v>0.00221</v>
      </c>
      <c r="J4527" s="19">
        <f>IFERROR(__xludf.DUMMYFUNCTION("""COMPUTED_VALUE"""),0.04743)</f>
        <v>0.04743</v>
      </c>
      <c r="K4527" s="19" t="str">
        <f>IFERROR(__xludf.DUMMYFUNCTION("""COMPUTED_VALUE"""),"-")</f>
        <v>-</v>
      </c>
      <c r="L4527" s="19" t="str">
        <f>IFERROR(__xludf.DUMMYFUNCTION("""COMPUTED_VALUE"""),"-")</f>
        <v>-</v>
      </c>
      <c r="O4527" s="24">
        <f t="shared" si="4"/>
        <v>0</v>
      </c>
      <c r="P4527" s="24"/>
      <c r="Q4527" s="24">
        <f t="shared" si="6"/>
        <v>0</v>
      </c>
      <c r="R4527" s="24">
        <f t="shared" si="7"/>
        <v>0</v>
      </c>
      <c r="S4527" s="24"/>
      <c r="T4527" s="24"/>
    </row>
    <row r="4528">
      <c r="A4528" s="12" t="s">
        <v>4615</v>
      </c>
      <c r="F4528" s="19">
        <f>IFERROR(__xludf.DUMMYFUNCTION("SPLIT(A4524, "" |"")"),4522.0)</f>
        <v>4522</v>
      </c>
      <c r="G4528" s="19">
        <f>IFERROR(__xludf.DUMMYFUNCTION("""COMPUTED_VALUE"""),0.00236)</f>
        <v>0.00236</v>
      </c>
      <c r="H4528" s="19" t="str">
        <f>IFERROR(__xludf.DUMMYFUNCTION("""COMPUTED_VALUE"""),"-")</f>
        <v>-</v>
      </c>
      <c r="I4528" s="19">
        <f>IFERROR(__xludf.DUMMYFUNCTION("""COMPUTED_VALUE"""),0.00219)</f>
        <v>0.00219</v>
      </c>
      <c r="J4528" s="19">
        <f>IFERROR(__xludf.DUMMYFUNCTION("""COMPUTED_VALUE"""),0.04745)</f>
        <v>0.04745</v>
      </c>
      <c r="K4528" s="19" t="str">
        <f>IFERROR(__xludf.DUMMYFUNCTION("""COMPUTED_VALUE"""),"-")</f>
        <v>-</v>
      </c>
      <c r="L4528" s="19" t="str">
        <f>IFERROR(__xludf.DUMMYFUNCTION("""COMPUTED_VALUE"""),"-")</f>
        <v>-</v>
      </c>
      <c r="O4528" s="24">
        <f t="shared" si="4"/>
        <v>0</v>
      </c>
      <c r="P4528" s="24"/>
      <c r="Q4528" s="24">
        <f t="shared" si="6"/>
        <v>0</v>
      </c>
      <c r="R4528" s="24">
        <f t="shared" si="7"/>
        <v>0</v>
      </c>
      <c r="S4528" s="24"/>
      <c r="T4528" s="24"/>
    </row>
    <row r="4529">
      <c r="A4529" s="12" t="s">
        <v>4616</v>
      </c>
      <c r="F4529" s="19">
        <f>IFERROR(__xludf.DUMMYFUNCTION("SPLIT(A4525, "" |"")"),4523.0)</f>
        <v>4523</v>
      </c>
      <c r="G4529" s="19">
        <f>IFERROR(__xludf.DUMMYFUNCTION("""COMPUTED_VALUE"""),0.00233)</f>
        <v>0.00233</v>
      </c>
      <c r="H4529" s="19" t="str">
        <f>IFERROR(__xludf.DUMMYFUNCTION("""COMPUTED_VALUE"""),"-")</f>
        <v>-</v>
      </c>
      <c r="I4529" s="19">
        <f>IFERROR(__xludf.DUMMYFUNCTION("""COMPUTED_VALUE"""),0.00213)</f>
        <v>0.00213</v>
      </c>
      <c r="J4529" s="19">
        <f>IFERROR(__xludf.DUMMYFUNCTION("""COMPUTED_VALUE"""),0.04746)</f>
        <v>0.04746</v>
      </c>
      <c r="K4529" s="19" t="str">
        <f>IFERROR(__xludf.DUMMYFUNCTION("""COMPUTED_VALUE"""),"-")</f>
        <v>-</v>
      </c>
      <c r="L4529" s="19" t="str">
        <f>IFERROR(__xludf.DUMMYFUNCTION("""COMPUTED_VALUE"""),"-")</f>
        <v>-</v>
      </c>
      <c r="O4529" s="24">
        <f t="shared" si="4"/>
        <v>0</v>
      </c>
      <c r="P4529" s="24"/>
      <c r="Q4529" s="24">
        <f t="shared" si="6"/>
        <v>0</v>
      </c>
      <c r="R4529" s="24">
        <f t="shared" si="7"/>
        <v>0</v>
      </c>
      <c r="S4529" s="24"/>
      <c r="T4529" s="24"/>
    </row>
    <row r="4530">
      <c r="A4530" s="12" t="s">
        <v>4617</v>
      </c>
      <c r="F4530" s="19">
        <f>IFERROR(__xludf.DUMMYFUNCTION("SPLIT(A4526, "" |"")"),4524.0)</f>
        <v>4524</v>
      </c>
      <c r="G4530" s="19">
        <f>IFERROR(__xludf.DUMMYFUNCTION("""COMPUTED_VALUE"""),0.00238)</f>
        <v>0.00238</v>
      </c>
      <c r="H4530" s="19" t="str">
        <f>IFERROR(__xludf.DUMMYFUNCTION("""COMPUTED_VALUE"""),"-")</f>
        <v>-</v>
      </c>
      <c r="I4530" s="19">
        <f>IFERROR(__xludf.DUMMYFUNCTION("""COMPUTED_VALUE"""),0.00222)</f>
        <v>0.00222</v>
      </c>
      <c r="J4530" s="19">
        <f>IFERROR(__xludf.DUMMYFUNCTION("""COMPUTED_VALUE"""),0.04747)</f>
        <v>0.04747</v>
      </c>
      <c r="K4530" s="19" t="str">
        <f>IFERROR(__xludf.DUMMYFUNCTION("""COMPUTED_VALUE"""),"-")</f>
        <v>-</v>
      </c>
      <c r="L4530" s="19" t="str">
        <f>IFERROR(__xludf.DUMMYFUNCTION("""COMPUTED_VALUE"""),"-")</f>
        <v>-</v>
      </c>
      <c r="O4530" s="24">
        <f t="shared" si="4"/>
        <v>0</v>
      </c>
      <c r="P4530" s="24"/>
      <c r="Q4530" s="24">
        <f t="shared" si="6"/>
        <v>0</v>
      </c>
      <c r="R4530" s="24">
        <f t="shared" si="7"/>
        <v>0</v>
      </c>
      <c r="S4530" s="24"/>
      <c r="T4530" s="24"/>
    </row>
    <row r="4531">
      <c r="A4531" s="12" t="s">
        <v>4618</v>
      </c>
      <c r="F4531" s="19">
        <f>IFERROR(__xludf.DUMMYFUNCTION("SPLIT(A4527, "" |"")"),4525.0)</f>
        <v>4525</v>
      </c>
      <c r="G4531" s="19">
        <f>IFERROR(__xludf.DUMMYFUNCTION("""COMPUTED_VALUE"""),0.00234)</f>
        <v>0.00234</v>
      </c>
      <c r="H4531" s="19" t="str">
        <f>IFERROR(__xludf.DUMMYFUNCTION("""COMPUTED_VALUE"""),"-")</f>
        <v>-</v>
      </c>
      <c r="I4531" s="19">
        <f>IFERROR(__xludf.DUMMYFUNCTION("""COMPUTED_VALUE"""),0.0022)</f>
        <v>0.0022</v>
      </c>
      <c r="J4531" s="19">
        <f>IFERROR(__xludf.DUMMYFUNCTION("""COMPUTED_VALUE"""),0.04679)</f>
        <v>0.04679</v>
      </c>
      <c r="K4531" s="19" t="str">
        <f>IFERROR(__xludf.DUMMYFUNCTION("""COMPUTED_VALUE"""),"-")</f>
        <v>-</v>
      </c>
      <c r="L4531" s="19" t="str">
        <f>IFERROR(__xludf.DUMMYFUNCTION("""COMPUTED_VALUE"""),"-")</f>
        <v>-</v>
      </c>
      <c r="O4531" s="24">
        <f t="shared" si="4"/>
        <v>0</v>
      </c>
      <c r="P4531" s="24"/>
      <c r="Q4531" s="24">
        <f t="shared" si="6"/>
        <v>0</v>
      </c>
      <c r="R4531" s="24">
        <f t="shared" si="7"/>
        <v>0</v>
      </c>
      <c r="S4531" s="24"/>
      <c r="T4531" s="24"/>
    </row>
    <row r="4532">
      <c r="A4532" s="12" t="s">
        <v>4619</v>
      </c>
      <c r="F4532" s="19">
        <f>IFERROR(__xludf.DUMMYFUNCTION("SPLIT(A4528, "" |"")"),4526.0)</f>
        <v>4526</v>
      </c>
      <c r="G4532" s="19">
        <f>IFERROR(__xludf.DUMMYFUNCTION("""COMPUTED_VALUE"""),0.00238)</f>
        <v>0.00238</v>
      </c>
      <c r="H4532" s="19" t="str">
        <f>IFERROR(__xludf.DUMMYFUNCTION("""COMPUTED_VALUE"""),"-")</f>
        <v>-</v>
      </c>
      <c r="I4532" s="19">
        <f>IFERROR(__xludf.DUMMYFUNCTION("""COMPUTED_VALUE"""),0.00218)</f>
        <v>0.00218</v>
      </c>
      <c r="J4532" s="19">
        <f>IFERROR(__xludf.DUMMYFUNCTION("""COMPUTED_VALUE"""),0.0474)</f>
        <v>0.0474</v>
      </c>
      <c r="K4532" s="19" t="str">
        <f>IFERROR(__xludf.DUMMYFUNCTION("""COMPUTED_VALUE"""),"-")</f>
        <v>-</v>
      </c>
      <c r="L4532" s="19" t="str">
        <f>IFERROR(__xludf.DUMMYFUNCTION("""COMPUTED_VALUE"""),"-")</f>
        <v>-</v>
      </c>
      <c r="O4532" s="24">
        <f t="shared" si="4"/>
        <v>0</v>
      </c>
      <c r="P4532" s="24"/>
      <c r="Q4532" s="24">
        <f t="shared" si="6"/>
        <v>0</v>
      </c>
      <c r="R4532" s="24">
        <f t="shared" si="7"/>
        <v>0</v>
      </c>
      <c r="S4532" s="24"/>
      <c r="T4532" s="24"/>
    </row>
    <row r="4533">
      <c r="A4533" s="12" t="s">
        <v>4620</v>
      </c>
      <c r="F4533" s="19">
        <f>IFERROR(__xludf.DUMMYFUNCTION("SPLIT(A4529, "" |"")"),4527.0)</f>
        <v>4527</v>
      </c>
      <c r="G4533" s="19">
        <f>IFERROR(__xludf.DUMMYFUNCTION("""COMPUTED_VALUE"""),0.00241)</f>
        <v>0.00241</v>
      </c>
      <c r="H4533" s="19" t="str">
        <f>IFERROR(__xludf.DUMMYFUNCTION("""COMPUTED_VALUE"""),"-")</f>
        <v>-</v>
      </c>
      <c r="I4533" s="19">
        <f>IFERROR(__xludf.DUMMYFUNCTION("""COMPUTED_VALUE"""),0.00217)</f>
        <v>0.00217</v>
      </c>
      <c r="J4533" s="19">
        <f>IFERROR(__xludf.DUMMYFUNCTION("""COMPUTED_VALUE"""),0.0475)</f>
        <v>0.0475</v>
      </c>
      <c r="K4533" s="19" t="str">
        <f>IFERROR(__xludf.DUMMYFUNCTION("""COMPUTED_VALUE"""),"-")</f>
        <v>-</v>
      </c>
      <c r="L4533" s="19" t="str">
        <f>IFERROR(__xludf.DUMMYFUNCTION("""COMPUTED_VALUE"""),"-")</f>
        <v>-</v>
      </c>
      <c r="O4533" s="24">
        <f t="shared" si="4"/>
        <v>0</v>
      </c>
      <c r="P4533" s="24"/>
      <c r="Q4533" s="24">
        <f t="shared" si="6"/>
        <v>0</v>
      </c>
      <c r="R4533" s="24">
        <f t="shared" si="7"/>
        <v>0</v>
      </c>
      <c r="S4533" s="24"/>
      <c r="T4533" s="24"/>
    </row>
    <row r="4534">
      <c r="A4534" s="12" t="s">
        <v>4621</v>
      </c>
      <c r="F4534" s="19">
        <f>IFERROR(__xludf.DUMMYFUNCTION("SPLIT(A4530, "" |"")"),4528.0)</f>
        <v>4528</v>
      </c>
      <c r="G4534" s="19">
        <f>IFERROR(__xludf.DUMMYFUNCTION("""COMPUTED_VALUE"""),0.0024)</f>
        <v>0.0024</v>
      </c>
      <c r="H4534" s="19" t="str">
        <f>IFERROR(__xludf.DUMMYFUNCTION("""COMPUTED_VALUE"""),"-")</f>
        <v>-</v>
      </c>
      <c r="I4534" s="19">
        <f>IFERROR(__xludf.DUMMYFUNCTION("""COMPUTED_VALUE"""),0.0022)</f>
        <v>0.0022</v>
      </c>
      <c r="J4534" s="19">
        <f>IFERROR(__xludf.DUMMYFUNCTION("""COMPUTED_VALUE"""),0.04738)</f>
        <v>0.04738</v>
      </c>
      <c r="K4534" s="19" t="str">
        <f>IFERROR(__xludf.DUMMYFUNCTION("""COMPUTED_VALUE"""),"-")</f>
        <v>-</v>
      </c>
      <c r="L4534" s="19" t="str">
        <f>IFERROR(__xludf.DUMMYFUNCTION("""COMPUTED_VALUE"""),"-")</f>
        <v>-</v>
      </c>
      <c r="O4534" s="24">
        <f t="shared" si="4"/>
        <v>0</v>
      </c>
      <c r="P4534" s="24"/>
      <c r="Q4534" s="24">
        <f t="shared" si="6"/>
        <v>0</v>
      </c>
      <c r="R4534" s="24">
        <f t="shared" si="7"/>
        <v>0</v>
      </c>
      <c r="S4534" s="24"/>
      <c r="T4534" s="24"/>
    </row>
    <row r="4535">
      <c r="A4535" s="12" t="s">
        <v>4622</v>
      </c>
      <c r="F4535" s="19">
        <f>IFERROR(__xludf.DUMMYFUNCTION("SPLIT(A4531, "" |"")"),4529.0)</f>
        <v>4529</v>
      </c>
      <c r="G4535" s="19">
        <f>IFERROR(__xludf.DUMMYFUNCTION("""COMPUTED_VALUE"""),0.00243)</f>
        <v>0.00243</v>
      </c>
      <c r="H4535" s="19" t="str">
        <f>IFERROR(__xludf.DUMMYFUNCTION("""COMPUTED_VALUE"""),"-")</f>
        <v>-</v>
      </c>
      <c r="I4535" s="19">
        <f>IFERROR(__xludf.DUMMYFUNCTION("""COMPUTED_VALUE"""),0.00226)</f>
        <v>0.00226</v>
      </c>
      <c r="J4535" s="19">
        <f>IFERROR(__xludf.DUMMYFUNCTION("""COMPUTED_VALUE"""),0.04745)</f>
        <v>0.04745</v>
      </c>
      <c r="K4535" s="19" t="str">
        <f>IFERROR(__xludf.DUMMYFUNCTION("""COMPUTED_VALUE"""),"-")</f>
        <v>-</v>
      </c>
      <c r="L4535" s="19" t="str">
        <f>IFERROR(__xludf.DUMMYFUNCTION("""COMPUTED_VALUE"""),"-")</f>
        <v>-</v>
      </c>
      <c r="O4535" s="24">
        <f t="shared" si="4"/>
        <v>0</v>
      </c>
      <c r="P4535" s="24"/>
      <c r="Q4535" s="24">
        <f t="shared" si="6"/>
        <v>0</v>
      </c>
      <c r="R4535" s="24">
        <f t="shared" si="7"/>
        <v>0</v>
      </c>
      <c r="S4535" s="24"/>
      <c r="T4535" s="24"/>
    </row>
    <row r="4536">
      <c r="A4536" s="12" t="s">
        <v>4623</v>
      </c>
      <c r="F4536" s="19">
        <f>IFERROR(__xludf.DUMMYFUNCTION("SPLIT(A4532, "" |"")"),4530.0)</f>
        <v>4530</v>
      </c>
      <c r="G4536" s="19">
        <f>IFERROR(__xludf.DUMMYFUNCTION("""COMPUTED_VALUE"""),0.0024)</f>
        <v>0.0024</v>
      </c>
      <c r="H4536" s="19" t="str">
        <f>IFERROR(__xludf.DUMMYFUNCTION("""COMPUTED_VALUE"""),"-")</f>
        <v>-</v>
      </c>
      <c r="I4536" s="19">
        <f>IFERROR(__xludf.DUMMYFUNCTION("""COMPUTED_VALUE"""),0.00222)</f>
        <v>0.00222</v>
      </c>
      <c r="J4536" s="19">
        <f>IFERROR(__xludf.DUMMYFUNCTION("""COMPUTED_VALUE"""),0.04745)</f>
        <v>0.04745</v>
      </c>
      <c r="K4536" s="19" t="str">
        <f>IFERROR(__xludf.DUMMYFUNCTION("""COMPUTED_VALUE"""),"-")</f>
        <v>-</v>
      </c>
      <c r="L4536" s="19" t="str">
        <f>IFERROR(__xludf.DUMMYFUNCTION("""COMPUTED_VALUE"""),"-")</f>
        <v>-</v>
      </c>
      <c r="O4536" s="24">
        <f t="shared" si="4"/>
        <v>0</v>
      </c>
      <c r="P4536" s="24"/>
      <c r="Q4536" s="24">
        <f t="shared" si="6"/>
        <v>0</v>
      </c>
      <c r="R4536" s="24">
        <f t="shared" si="7"/>
        <v>0</v>
      </c>
      <c r="S4536" s="24"/>
      <c r="T4536" s="24"/>
    </row>
    <row r="4537">
      <c r="A4537" s="12" t="s">
        <v>4624</v>
      </c>
      <c r="F4537" s="19">
        <f>IFERROR(__xludf.DUMMYFUNCTION("SPLIT(A4533, "" |"")"),4531.0)</f>
        <v>4531</v>
      </c>
      <c r="G4537" s="19">
        <f>IFERROR(__xludf.DUMMYFUNCTION("""COMPUTED_VALUE"""),0.00233)</f>
        <v>0.00233</v>
      </c>
      <c r="H4537" s="19" t="str">
        <f>IFERROR(__xludf.DUMMYFUNCTION("""COMPUTED_VALUE"""),"-")</f>
        <v>-</v>
      </c>
      <c r="I4537" s="19">
        <f>IFERROR(__xludf.DUMMYFUNCTION("""COMPUTED_VALUE"""),0.00222)</f>
        <v>0.00222</v>
      </c>
      <c r="J4537" s="19">
        <f>IFERROR(__xludf.DUMMYFUNCTION("""COMPUTED_VALUE"""),0.04623)</f>
        <v>0.04623</v>
      </c>
      <c r="K4537" s="19" t="str">
        <f>IFERROR(__xludf.DUMMYFUNCTION("""COMPUTED_VALUE"""),"-")</f>
        <v>-</v>
      </c>
      <c r="L4537" s="19" t="str">
        <f>IFERROR(__xludf.DUMMYFUNCTION("""COMPUTED_VALUE"""),"-")</f>
        <v>-</v>
      </c>
      <c r="O4537" s="24">
        <f t="shared" si="4"/>
        <v>0</v>
      </c>
      <c r="P4537" s="24"/>
      <c r="Q4537" s="24">
        <f t="shared" si="6"/>
        <v>0</v>
      </c>
      <c r="R4537" s="24">
        <f t="shared" si="7"/>
        <v>0</v>
      </c>
      <c r="S4537" s="24"/>
      <c r="T4537" s="24"/>
    </row>
    <row r="4538">
      <c r="A4538" s="12" t="s">
        <v>4625</v>
      </c>
      <c r="F4538" s="19">
        <f>IFERROR(__xludf.DUMMYFUNCTION("SPLIT(A4534, "" |"")"),4532.0)</f>
        <v>4532</v>
      </c>
      <c r="G4538" s="19">
        <f>IFERROR(__xludf.DUMMYFUNCTION("""COMPUTED_VALUE"""),0.00245)</f>
        <v>0.00245</v>
      </c>
      <c r="H4538" s="19" t="str">
        <f>IFERROR(__xludf.DUMMYFUNCTION("""COMPUTED_VALUE"""),"-")</f>
        <v>-</v>
      </c>
      <c r="I4538" s="19">
        <f>IFERROR(__xludf.DUMMYFUNCTION("""COMPUTED_VALUE"""),0.00234)</f>
        <v>0.00234</v>
      </c>
      <c r="J4538" s="19">
        <f>IFERROR(__xludf.DUMMYFUNCTION("""COMPUTED_VALUE"""),0.04747)</f>
        <v>0.04747</v>
      </c>
      <c r="K4538" s="19" t="str">
        <f>IFERROR(__xludf.DUMMYFUNCTION("""COMPUTED_VALUE"""),"-")</f>
        <v>-</v>
      </c>
      <c r="L4538" s="19" t="str">
        <f>IFERROR(__xludf.DUMMYFUNCTION("""COMPUTED_VALUE"""),"-")</f>
        <v>-</v>
      </c>
      <c r="O4538" s="24">
        <f t="shared" si="4"/>
        <v>0</v>
      </c>
      <c r="P4538" s="24"/>
      <c r="Q4538" s="24">
        <f t="shared" si="6"/>
        <v>0</v>
      </c>
      <c r="R4538" s="24">
        <f t="shared" si="7"/>
        <v>0</v>
      </c>
      <c r="S4538" s="24"/>
      <c r="T4538" s="24"/>
    </row>
    <row r="4539">
      <c r="A4539" s="12" t="s">
        <v>4626</v>
      </c>
      <c r="F4539" s="19">
        <f>IFERROR(__xludf.DUMMYFUNCTION("SPLIT(A4535, "" |"")"),4533.0)</f>
        <v>4533</v>
      </c>
      <c r="G4539" s="19">
        <f>IFERROR(__xludf.DUMMYFUNCTION("""COMPUTED_VALUE"""),0.00243)</f>
        <v>0.00243</v>
      </c>
      <c r="H4539" s="19" t="str">
        <f>IFERROR(__xludf.DUMMYFUNCTION("""COMPUTED_VALUE"""),"-")</f>
        <v>-</v>
      </c>
      <c r="I4539" s="19">
        <f>IFERROR(__xludf.DUMMYFUNCTION("""COMPUTED_VALUE"""),0.00224)</f>
        <v>0.00224</v>
      </c>
      <c r="J4539" s="19">
        <f>IFERROR(__xludf.DUMMYFUNCTION("""COMPUTED_VALUE"""),0.04745)</f>
        <v>0.04745</v>
      </c>
      <c r="K4539" s="19" t="str">
        <f>IFERROR(__xludf.DUMMYFUNCTION("""COMPUTED_VALUE"""),"-")</f>
        <v>-</v>
      </c>
      <c r="L4539" s="19" t="str">
        <f>IFERROR(__xludf.DUMMYFUNCTION("""COMPUTED_VALUE"""),"-")</f>
        <v>-</v>
      </c>
      <c r="O4539" s="24">
        <f t="shared" si="4"/>
        <v>0</v>
      </c>
      <c r="P4539" s="24"/>
      <c r="Q4539" s="24">
        <f t="shared" si="6"/>
        <v>0</v>
      </c>
      <c r="R4539" s="24">
        <f t="shared" si="7"/>
        <v>0</v>
      </c>
      <c r="S4539" s="24"/>
      <c r="T4539" s="24"/>
    </row>
    <row r="4540">
      <c r="A4540" s="12" t="s">
        <v>4627</v>
      </c>
      <c r="F4540" s="19">
        <f>IFERROR(__xludf.DUMMYFUNCTION("SPLIT(A4536, "" |"")"),4534.0)</f>
        <v>4534</v>
      </c>
      <c r="G4540" s="19">
        <f>IFERROR(__xludf.DUMMYFUNCTION("""COMPUTED_VALUE"""),0.00237)</f>
        <v>0.00237</v>
      </c>
      <c r="H4540" s="19" t="str">
        <f>IFERROR(__xludf.DUMMYFUNCTION("""COMPUTED_VALUE"""),"-")</f>
        <v>-</v>
      </c>
      <c r="I4540" s="19">
        <f>IFERROR(__xludf.DUMMYFUNCTION("""COMPUTED_VALUE"""),0.00219)</f>
        <v>0.00219</v>
      </c>
      <c r="J4540" s="19">
        <f>IFERROR(__xludf.DUMMYFUNCTION("""COMPUTED_VALUE"""),0.04744)</f>
        <v>0.04744</v>
      </c>
      <c r="K4540" s="19" t="str">
        <f>IFERROR(__xludf.DUMMYFUNCTION("""COMPUTED_VALUE"""),"-")</f>
        <v>-</v>
      </c>
      <c r="L4540" s="19" t="str">
        <f>IFERROR(__xludf.DUMMYFUNCTION("""COMPUTED_VALUE"""),"-")</f>
        <v>-</v>
      </c>
      <c r="O4540" s="24">
        <f t="shared" si="4"/>
        <v>0</v>
      </c>
      <c r="P4540" s="24"/>
      <c r="Q4540" s="24">
        <f t="shared" si="6"/>
        <v>0</v>
      </c>
      <c r="R4540" s="24">
        <f t="shared" si="7"/>
        <v>0</v>
      </c>
      <c r="S4540" s="24"/>
      <c r="T4540" s="24"/>
    </row>
    <row r="4541">
      <c r="A4541" s="12" t="s">
        <v>4628</v>
      </c>
      <c r="F4541" s="19">
        <f>IFERROR(__xludf.DUMMYFUNCTION("SPLIT(A4537, "" |"")"),4535.0)</f>
        <v>4535</v>
      </c>
      <c r="G4541" s="19">
        <f>IFERROR(__xludf.DUMMYFUNCTION("""COMPUTED_VALUE"""),0.00232)</f>
        <v>0.00232</v>
      </c>
      <c r="H4541" s="19" t="str">
        <f>IFERROR(__xludf.DUMMYFUNCTION("""COMPUTED_VALUE"""),"-")</f>
        <v>-</v>
      </c>
      <c r="I4541" s="19">
        <f>IFERROR(__xludf.DUMMYFUNCTION("""COMPUTED_VALUE"""),0.00221)</f>
        <v>0.00221</v>
      </c>
      <c r="J4541" s="19">
        <f>IFERROR(__xludf.DUMMYFUNCTION("""COMPUTED_VALUE"""),0.04741)</f>
        <v>0.04741</v>
      </c>
      <c r="K4541" s="19" t="str">
        <f>IFERROR(__xludf.DUMMYFUNCTION("""COMPUTED_VALUE"""),"-")</f>
        <v>-</v>
      </c>
      <c r="L4541" s="19" t="str">
        <f>IFERROR(__xludf.DUMMYFUNCTION("""COMPUTED_VALUE"""),"-")</f>
        <v>-</v>
      </c>
      <c r="O4541" s="24">
        <f t="shared" si="4"/>
        <v>0</v>
      </c>
      <c r="P4541" s="24"/>
      <c r="Q4541" s="24">
        <f t="shared" si="6"/>
        <v>0</v>
      </c>
      <c r="R4541" s="24">
        <f t="shared" si="7"/>
        <v>0</v>
      </c>
      <c r="S4541" s="24"/>
      <c r="T4541" s="24"/>
    </row>
    <row r="4542">
      <c r="A4542" s="12" t="s">
        <v>4629</v>
      </c>
      <c r="F4542" s="19">
        <f>IFERROR(__xludf.DUMMYFUNCTION("SPLIT(A4538, "" |"")"),4536.0)</f>
        <v>4536</v>
      </c>
      <c r="G4542" s="19">
        <f>IFERROR(__xludf.DUMMYFUNCTION("""COMPUTED_VALUE"""),0.00236)</f>
        <v>0.00236</v>
      </c>
      <c r="H4542" s="19" t="str">
        <f>IFERROR(__xludf.DUMMYFUNCTION("""COMPUTED_VALUE"""),"-")</f>
        <v>-</v>
      </c>
      <c r="I4542" s="19">
        <f>IFERROR(__xludf.DUMMYFUNCTION("""COMPUTED_VALUE"""),0.00221)</f>
        <v>0.00221</v>
      </c>
      <c r="J4542" s="19">
        <f>IFERROR(__xludf.DUMMYFUNCTION("""COMPUTED_VALUE"""),0.04743)</f>
        <v>0.04743</v>
      </c>
      <c r="K4542" s="19" t="str">
        <f>IFERROR(__xludf.DUMMYFUNCTION("""COMPUTED_VALUE"""),"-")</f>
        <v>-</v>
      </c>
      <c r="L4542" s="19" t="str">
        <f>IFERROR(__xludf.DUMMYFUNCTION("""COMPUTED_VALUE"""),"-")</f>
        <v>-</v>
      </c>
      <c r="O4542" s="24">
        <f t="shared" si="4"/>
        <v>0</v>
      </c>
      <c r="P4542" s="24"/>
      <c r="Q4542" s="24">
        <f t="shared" si="6"/>
        <v>0</v>
      </c>
      <c r="R4542" s="24">
        <f t="shared" si="7"/>
        <v>0</v>
      </c>
      <c r="S4542" s="24"/>
      <c r="T4542" s="24"/>
    </row>
    <row r="4543">
      <c r="A4543" s="12" t="s">
        <v>4630</v>
      </c>
      <c r="F4543" s="19">
        <f>IFERROR(__xludf.DUMMYFUNCTION("SPLIT(A4539, "" |"")"),4537.0)</f>
        <v>4537</v>
      </c>
      <c r="G4543" s="19">
        <f>IFERROR(__xludf.DUMMYFUNCTION("""COMPUTED_VALUE"""),0.00236)</f>
        <v>0.00236</v>
      </c>
      <c r="H4543" s="19" t="str">
        <f>IFERROR(__xludf.DUMMYFUNCTION("""COMPUTED_VALUE"""),"-")</f>
        <v>-</v>
      </c>
      <c r="I4543" s="19">
        <f>IFERROR(__xludf.DUMMYFUNCTION("""COMPUTED_VALUE"""),0.00225)</f>
        <v>0.00225</v>
      </c>
      <c r="J4543" s="19">
        <f>IFERROR(__xludf.DUMMYFUNCTION("""COMPUTED_VALUE"""),0.04714)</f>
        <v>0.04714</v>
      </c>
      <c r="K4543" s="19" t="str">
        <f>IFERROR(__xludf.DUMMYFUNCTION("""COMPUTED_VALUE"""),"-")</f>
        <v>-</v>
      </c>
      <c r="L4543" s="19" t="str">
        <f>IFERROR(__xludf.DUMMYFUNCTION("""COMPUTED_VALUE"""),"-")</f>
        <v>-</v>
      </c>
      <c r="O4543" s="24">
        <f t="shared" si="4"/>
        <v>0</v>
      </c>
      <c r="P4543" s="24"/>
      <c r="Q4543" s="24">
        <f t="shared" si="6"/>
        <v>0</v>
      </c>
      <c r="R4543" s="24">
        <f t="shared" si="7"/>
        <v>0</v>
      </c>
      <c r="S4543" s="24"/>
      <c r="T4543" s="24"/>
    </row>
    <row r="4544">
      <c r="A4544" s="12" t="s">
        <v>4631</v>
      </c>
      <c r="F4544" s="19">
        <f>IFERROR(__xludf.DUMMYFUNCTION("SPLIT(A4540, "" |"")"),4538.0)</f>
        <v>4538</v>
      </c>
      <c r="G4544" s="19">
        <f>IFERROR(__xludf.DUMMYFUNCTION("""COMPUTED_VALUE"""),0.00242)</f>
        <v>0.00242</v>
      </c>
      <c r="H4544" s="19" t="str">
        <f>IFERROR(__xludf.DUMMYFUNCTION("""COMPUTED_VALUE"""),"-")</f>
        <v>-</v>
      </c>
      <c r="I4544" s="19">
        <f>IFERROR(__xludf.DUMMYFUNCTION("""COMPUTED_VALUE"""),0.00222)</f>
        <v>0.00222</v>
      </c>
      <c r="J4544" s="19">
        <f>IFERROR(__xludf.DUMMYFUNCTION("""COMPUTED_VALUE"""),0.04746)</f>
        <v>0.04746</v>
      </c>
      <c r="K4544" s="19" t="str">
        <f>IFERROR(__xludf.DUMMYFUNCTION("""COMPUTED_VALUE"""),"-")</f>
        <v>-</v>
      </c>
      <c r="L4544" s="19" t="str">
        <f>IFERROR(__xludf.DUMMYFUNCTION("""COMPUTED_VALUE"""),"-")</f>
        <v>-</v>
      </c>
      <c r="O4544" s="24">
        <f t="shared" si="4"/>
        <v>0</v>
      </c>
      <c r="P4544" s="24"/>
      <c r="Q4544" s="24">
        <f t="shared" si="6"/>
        <v>0</v>
      </c>
      <c r="R4544" s="24">
        <f t="shared" si="7"/>
        <v>0</v>
      </c>
      <c r="S4544" s="24"/>
      <c r="T4544" s="24"/>
    </row>
    <row r="4545">
      <c r="A4545" s="12" t="s">
        <v>4632</v>
      </c>
      <c r="F4545" s="19">
        <f>IFERROR(__xludf.DUMMYFUNCTION("SPLIT(A4541, "" |"")"),4539.0)</f>
        <v>4539</v>
      </c>
      <c r="G4545" s="19">
        <f>IFERROR(__xludf.DUMMYFUNCTION("""COMPUTED_VALUE"""),0.00237)</f>
        <v>0.00237</v>
      </c>
      <c r="H4545" s="19" t="str">
        <f>IFERROR(__xludf.DUMMYFUNCTION("""COMPUTED_VALUE"""),"-")</f>
        <v>-</v>
      </c>
      <c r="I4545" s="19">
        <f>IFERROR(__xludf.DUMMYFUNCTION("""COMPUTED_VALUE"""),0.00219)</f>
        <v>0.00219</v>
      </c>
      <c r="J4545" s="19">
        <f>IFERROR(__xludf.DUMMYFUNCTION("""COMPUTED_VALUE"""),0.04746)</f>
        <v>0.04746</v>
      </c>
      <c r="K4545" s="19" t="str">
        <f>IFERROR(__xludf.DUMMYFUNCTION("""COMPUTED_VALUE"""),"-")</f>
        <v>-</v>
      </c>
      <c r="L4545" s="19" t="str">
        <f>IFERROR(__xludf.DUMMYFUNCTION("""COMPUTED_VALUE"""),"-")</f>
        <v>-</v>
      </c>
      <c r="O4545" s="24">
        <f t="shared" si="4"/>
        <v>0</v>
      </c>
      <c r="P4545" s="24"/>
      <c r="Q4545" s="24">
        <f t="shared" si="6"/>
        <v>0</v>
      </c>
      <c r="R4545" s="24">
        <f t="shared" si="7"/>
        <v>0</v>
      </c>
      <c r="S4545" s="24"/>
      <c r="T4545" s="24"/>
    </row>
    <row r="4546">
      <c r="A4546" s="12" t="s">
        <v>4633</v>
      </c>
      <c r="F4546" s="19">
        <f>IFERROR(__xludf.DUMMYFUNCTION("SPLIT(A4542, "" |"")"),4540.0)</f>
        <v>4540</v>
      </c>
      <c r="G4546" s="19">
        <f>IFERROR(__xludf.DUMMYFUNCTION("""COMPUTED_VALUE"""),0.00236)</f>
        <v>0.00236</v>
      </c>
      <c r="H4546" s="19" t="str">
        <f>IFERROR(__xludf.DUMMYFUNCTION("""COMPUTED_VALUE"""),"-")</f>
        <v>-</v>
      </c>
      <c r="I4546" s="19">
        <f>IFERROR(__xludf.DUMMYFUNCTION("""COMPUTED_VALUE"""),0.00221)</f>
        <v>0.00221</v>
      </c>
      <c r="J4546" s="19">
        <f>IFERROR(__xludf.DUMMYFUNCTION("""COMPUTED_VALUE"""),0.0474)</f>
        <v>0.0474</v>
      </c>
      <c r="K4546" s="19" t="str">
        <f>IFERROR(__xludf.DUMMYFUNCTION("""COMPUTED_VALUE"""),"-")</f>
        <v>-</v>
      </c>
      <c r="L4546" s="19" t="str">
        <f>IFERROR(__xludf.DUMMYFUNCTION("""COMPUTED_VALUE"""),"-")</f>
        <v>-</v>
      </c>
      <c r="O4546" s="24">
        <f t="shared" si="4"/>
        <v>0</v>
      </c>
      <c r="P4546" s="24"/>
      <c r="Q4546" s="24">
        <f t="shared" si="6"/>
        <v>0</v>
      </c>
      <c r="R4546" s="24">
        <f t="shared" si="7"/>
        <v>0</v>
      </c>
      <c r="S4546" s="24"/>
      <c r="T4546" s="24"/>
    </row>
    <row r="4547">
      <c r="A4547" s="12" t="s">
        <v>4634</v>
      </c>
      <c r="F4547" s="19">
        <f>IFERROR(__xludf.DUMMYFUNCTION("SPLIT(A4543, "" |"")"),4541.0)</f>
        <v>4541</v>
      </c>
      <c r="G4547" s="19">
        <f>IFERROR(__xludf.DUMMYFUNCTION("""COMPUTED_VALUE"""),0.00233)</f>
        <v>0.00233</v>
      </c>
      <c r="H4547" s="19" t="str">
        <f>IFERROR(__xludf.DUMMYFUNCTION("""COMPUTED_VALUE"""),"-")</f>
        <v>-</v>
      </c>
      <c r="I4547" s="19">
        <f>IFERROR(__xludf.DUMMYFUNCTION("""COMPUTED_VALUE"""),0.00221)</f>
        <v>0.00221</v>
      </c>
      <c r="J4547" s="19">
        <f>IFERROR(__xludf.DUMMYFUNCTION("""COMPUTED_VALUE"""),0.04738)</f>
        <v>0.04738</v>
      </c>
      <c r="K4547" s="19" t="str">
        <f>IFERROR(__xludf.DUMMYFUNCTION("""COMPUTED_VALUE"""),"-")</f>
        <v>-</v>
      </c>
      <c r="L4547" s="19" t="str">
        <f>IFERROR(__xludf.DUMMYFUNCTION("""COMPUTED_VALUE"""),"-")</f>
        <v>-</v>
      </c>
      <c r="O4547" s="24">
        <f t="shared" si="4"/>
        <v>0</v>
      </c>
      <c r="P4547" s="24"/>
      <c r="Q4547" s="24">
        <f t="shared" si="6"/>
        <v>0</v>
      </c>
      <c r="R4547" s="24">
        <f t="shared" si="7"/>
        <v>0</v>
      </c>
      <c r="S4547" s="24"/>
      <c r="T4547" s="24"/>
    </row>
    <row r="4548">
      <c r="A4548" s="12" t="s">
        <v>4635</v>
      </c>
      <c r="F4548" s="19">
        <f>IFERROR(__xludf.DUMMYFUNCTION("SPLIT(A4544, "" |"")"),4542.0)</f>
        <v>4542</v>
      </c>
      <c r="G4548" s="19">
        <f>IFERROR(__xludf.DUMMYFUNCTION("""COMPUTED_VALUE"""),0.00246)</f>
        <v>0.00246</v>
      </c>
      <c r="H4548" s="19" t="str">
        <f>IFERROR(__xludf.DUMMYFUNCTION("""COMPUTED_VALUE"""),"-")</f>
        <v>-</v>
      </c>
      <c r="I4548" s="19">
        <f>IFERROR(__xludf.DUMMYFUNCTION("""COMPUTED_VALUE"""),0.00219)</f>
        <v>0.00219</v>
      </c>
      <c r="J4548" s="19">
        <f>IFERROR(__xludf.DUMMYFUNCTION("""COMPUTED_VALUE"""),0.04216)</f>
        <v>0.04216</v>
      </c>
      <c r="K4548" s="19" t="str">
        <f>IFERROR(__xludf.DUMMYFUNCTION("""COMPUTED_VALUE"""),"-")</f>
        <v>-</v>
      </c>
      <c r="L4548" s="19" t="str">
        <f>IFERROR(__xludf.DUMMYFUNCTION("""COMPUTED_VALUE"""),"-")</f>
        <v>-</v>
      </c>
      <c r="O4548" s="24">
        <f t="shared" si="4"/>
        <v>0</v>
      </c>
      <c r="P4548" s="24"/>
      <c r="Q4548" s="24">
        <f t="shared" si="6"/>
        <v>0</v>
      </c>
      <c r="R4548" s="24">
        <f t="shared" si="7"/>
        <v>1</v>
      </c>
      <c r="S4548" s="24"/>
      <c r="T4548" s="24"/>
    </row>
    <row r="4549">
      <c r="A4549" s="12" t="s">
        <v>4636</v>
      </c>
      <c r="F4549" s="19">
        <f>IFERROR(__xludf.DUMMYFUNCTION("SPLIT(A4545, "" |"")"),4543.0)</f>
        <v>4543</v>
      </c>
      <c r="G4549" s="19">
        <f>IFERROR(__xludf.DUMMYFUNCTION("""COMPUTED_VALUE"""),0.0023)</f>
        <v>0.0023</v>
      </c>
      <c r="H4549" s="19" t="str">
        <f>IFERROR(__xludf.DUMMYFUNCTION("""COMPUTED_VALUE"""),"-")</f>
        <v>-</v>
      </c>
      <c r="I4549" s="19">
        <f>IFERROR(__xludf.DUMMYFUNCTION("""COMPUTED_VALUE"""),0.00223)</f>
        <v>0.00223</v>
      </c>
      <c r="J4549" s="19">
        <f>IFERROR(__xludf.DUMMYFUNCTION("""COMPUTED_VALUE"""),0.04737)</f>
        <v>0.04737</v>
      </c>
      <c r="K4549" s="19" t="str">
        <f>IFERROR(__xludf.DUMMYFUNCTION("""COMPUTED_VALUE"""),"-")</f>
        <v>-</v>
      </c>
      <c r="L4549" s="19" t="str">
        <f>IFERROR(__xludf.DUMMYFUNCTION("""COMPUTED_VALUE"""),"-")</f>
        <v>-</v>
      </c>
      <c r="O4549" s="24">
        <f t="shared" si="4"/>
        <v>0</v>
      </c>
      <c r="P4549" s="24"/>
      <c r="Q4549" s="24">
        <f t="shared" si="6"/>
        <v>0</v>
      </c>
      <c r="R4549" s="24">
        <f t="shared" si="7"/>
        <v>0</v>
      </c>
      <c r="S4549" s="24"/>
      <c r="T4549" s="24"/>
    </row>
    <row r="4550">
      <c r="A4550" s="12" t="s">
        <v>4637</v>
      </c>
      <c r="F4550" s="19">
        <f>IFERROR(__xludf.DUMMYFUNCTION("SPLIT(A4546, "" |"")"),4544.0)</f>
        <v>4544</v>
      </c>
      <c r="G4550" s="19">
        <f>IFERROR(__xludf.DUMMYFUNCTION("""COMPUTED_VALUE"""),0.00233)</f>
        <v>0.00233</v>
      </c>
      <c r="H4550" s="19" t="str">
        <f>IFERROR(__xludf.DUMMYFUNCTION("""COMPUTED_VALUE"""),"-")</f>
        <v>-</v>
      </c>
      <c r="I4550" s="19">
        <f>IFERROR(__xludf.DUMMYFUNCTION("""COMPUTED_VALUE"""),0.00217)</f>
        <v>0.00217</v>
      </c>
      <c r="J4550" s="19">
        <f>IFERROR(__xludf.DUMMYFUNCTION("""COMPUTED_VALUE"""),0.04741)</f>
        <v>0.04741</v>
      </c>
      <c r="K4550" s="19" t="str">
        <f>IFERROR(__xludf.DUMMYFUNCTION("""COMPUTED_VALUE"""),"-")</f>
        <v>-</v>
      </c>
      <c r="L4550" s="19" t="str">
        <f>IFERROR(__xludf.DUMMYFUNCTION("""COMPUTED_VALUE"""),"-")</f>
        <v>-</v>
      </c>
      <c r="O4550" s="24">
        <f t="shared" si="4"/>
        <v>0</v>
      </c>
      <c r="P4550" s="24"/>
      <c r="Q4550" s="24">
        <f t="shared" si="6"/>
        <v>0</v>
      </c>
      <c r="R4550" s="24">
        <f t="shared" si="7"/>
        <v>0</v>
      </c>
      <c r="S4550" s="24"/>
      <c r="T4550" s="24"/>
    </row>
    <row r="4551">
      <c r="A4551" s="12" t="s">
        <v>4638</v>
      </c>
      <c r="F4551" s="19">
        <f>IFERROR(__xludf.DUMMYFUNCTION("SPLIT(A4547, "" |"")"),4545.0)</f>
        <v>4545</v>
      </c>
      <c r="G4551" s="19">
        <f>IFERROR(__xludf.DUMMYFUNCTION("""COMPUTED_VALUE"""),0.00233)</f>
        <v>0.00233</v>
      </c>
      <c r="H4551" s="19" t="str">
        <f>IFERROR(__xludf.DUMMYFUNCTION("""COMPUTED_VALUE"""),"-")</f>
        <v>-</v>
      </c>
      <c r="I4551" s="19">
        <f>IFERROR(__xludf.DUMMYFUNCTION("""COMPUTED_VALUE"""),0.00224)</f>
        <v>0.00224</v>
      </c>
      <c r="J4551" s="19">
        <f>IFERROR(__xludf.DUMMYFUNCTION("""COMPUTED_VALUE"""),0.04736)</f>
        <v>0.04736</v>
      </c>
      <c r="K4551" s="19" t="str">
        <f>IFERROR(__xludf.DUMMYFUNCTION("""COMPUTED_VALUE"""),"-")</f>
        <v>-</v>
      </c>
      <c r="L4551" s="19" t="str">
        <f>IFERROR(__xludf.DUMMYFUNCTION("""COMPUTED_VALUE"""),"-")</f>
        <v>-</v>
      </c>
      <c r="O4551" s="24">
        <f t="shared" si="4"/>
        <v>0</v>
      </c>
      <c r="P4551" s="24"/>
      <c r="Q4551" s="24">
        <f t="shared" si="6"/>
        <v>0</v>
      </c>
      <c r="R4551" s="24">
        <f t="shared" si="7"/>
        <v>0</v>
      </c>
      <c r="S4551" s="24"/>
      <c r="T4551" s="24"/>
    </row>
    <row r="4552">
      <c r="A4552" s="12" t="s">
        <v>4639</v>
      </c>
      <c r="F4552" s="19">
        <f>IFERROR(__xludf.DUMMYFUNCTION("SPLIT(A4548, "" |"")"),4546.0)</f>
        <v>4546</v>
      </c>
      <c r="G4552" s="19">
        <f>IFERROR(__xludf.DUMMYFUNCTION("""COMPUTED_VALUE"""),0.00241)</f>
        <v>0.00241</v>
      </c>
      <c r="H4552" s="19" t="str">
        <f>IFERROR(__xludf.DUMMYFUNCTION("""COMPUTED_VALUE"""),"-")</f>
        <v>-</v>
      </c>
      <c r="I4552" s="19">
        <f>IFERROR(__xludf.DUMMYFUNCTION("""COMPUTED_VALUE"""),0.00212)</f>
        <v>0.00212</v>
      </c>
      <c r="J4552" s="19">
        <f>IFERROR(__xludf.DUMMYFUNCTION("""COMPUTED_VALUE"""),0.04742)</f>
        <v>0.04742</v>
      </c>
      <c r="K4552" s="19" t="str">
        <f>IFERROR(__xludf.DUMMYFUNCTION("""COMPUTED_VALUE"""),"-")</f>
        <v>-</v>
      </c>
      <c r="L4552" s="19" t="str">
        <f>IFERROR(__xludf.DUMMYFUNCTION("""COMPUTED_VALUE"""),"-")</f>
        <v>-</v>
      </c>
      <c r="O4552" s="24">
        <f t="shared" si="4"/>
        <v>0</v>
      </c>
      <c r="P4552" s="24"/>
      <c r="Q4552" s="24">
        <f t="shared" si="6"/>
        <v>0</v>
      </c>
      <c r="R4552" s="24">
        <f t="shared" si="7"/>
        <v>0</v>
      </c>
      <c r="S4552" s="24"/>
      <c r="T4552" s="24"/>
    </row>
    <row r="4553">
      <c r="A4553" s="12" t="s">
        <v>4640</v>
      </c>
      <c r="F4553" s="19">
        <f>IFERROR(__xludf.DUMMYFUNCTION("SPLIT(A4549, "" |"")"),4547.0)</f>
        <v>4547</v>
      </c>
      <c r="G4553" s="19">
        <f>IFERROR(__xludf.DUMMYFUNCTION("""COMPUTED_VALUE"""),0.00242)</f>
        <v>0.00242</v>
      </c>
      <c r="H4553" s="19" t="str">
        <f>IFERROR(__xludf.DUMMYFUNCTION("""COMPUTED_VALUE"""),"-")</f>
        <v>-</v>
      </c>
      <c r="I4553" s="19">
        <f>IFERROR(__xludf.DUMMYFUNCTION("""COMPUTED_VALUE"""),0.0023)</f>
        <v>0.0023</v>
      </c>
      <c r="J4553" s="19">
        <f>IFERROR(__xludf.DUMMYFUNCTION("""COMPUTED_VALUE"""),0.04742)</f>
        <v>0.04742</v>
      </c>
      <c r="K4553" s="19" t="str">
        <f>IFERROR(__xludf.DUMMYFUNCTION("""COMPUTED_VALUE"""),"-")</f>
        <v>-</v>
      </c>
      <c r="L4553" s="19" t="str">
        <f>IFERROR(__xludf.DUMMYFUNCTION("""COMPUTED_VALUE"""),"-")</f>
        <v>-</v>
      </c>
      <c r="O4553" s="24">
        <f t="shared" si="4"/>
        <v>0</v>
      </c>
      <c r="P4553" s="24"/>
      <c r="Q4553" s="24">
        <f t="shared" si="6"/>
        <v>0</v>
      </c>
      <c r="R4553" s="24">
        <f t="shared" si="7"/>
        <v>0</v>
      </c>
      <c r="S4553" s="24"/>
      <c r="T4553" s="24"/>
    </row>
    <row r="4554">
      <c r="A4554" s="12" t="s">
        <v>4641</v>
      </c>
      <c r="F4554" s="19">
        <f>IFERROR(__xludf.DUMMYFUNCTION("SPLIT(A4550, "" |"")"),4548.0)</f>
        <v>4548</v>
      </c>
      <c r="G4554" s="19">
        <f>IFERROR(__xludf.DUMMYFUNCTION("""COMPUTED_VALUE"""),0.00237)</f>
        <v>0.00237</v>
      </c>
      <c r="H4554" s="19" t="str">
        <f>IFERROR(__xludf.DUMMYFUNCTION("""COMPUTED_VALUE"""),"-")</f>
        <v>-</v>
      </c>
      <c r="I4554" s="19">
        <f>IFERROR(__xludf.DUMMYFUNCTION("""COMPUTED_VALUE"""),0.0022)</f>
        <v>0.0022</v>
      </c>
      <c r="J4554" s="19">
        <f>IFERROR(__xludf.DUMMYFUNCTION("""COMPUTED_VALUE"""),0.04184)</f>
        <v>0.04184</v>
      </c>
      <c r="K4554" s="19" t="str">
        <f>IFERROR(__xludf.DUMMYFUNCTION("""COMPUTED_VALUE"""),"-")</f>
        <v>-</v>
      </c>
      <c r="L4554" s="19" t="str">
        <f>IFERROR(__xludf.DUMMYFUNCTION("""COMPUTED_VALUE"""),"-")</f>
        <v>-</v>
      </c>
      <c r="O4554" s="24">
        <f t="shared" si="4"/>
        <v>0</v>
      </c>
      <c r="P4554" s="24"/>
      <c r="Q4554" s="24">
        <f t="shared" si="6"/>
        <v>0</v>
      </c>
      <c r="R4554" s="24">
        <f t="shared" si="7"/>
        <v>1</v>
      </c>
      <c r="S4554" s="24"/>
      <c r="T4554" s="24"/>
    </row>
    <row r="4555">
      <c r="A4555" s="12" t="s">
        <v>4642</v>
      </c>
      <c r="F4555" s="19">
        <f>IFERROR(__xludf.DUMMYFUNCTION("SPLIT(A4551, "" |"")"),4549.0)</f>
        <v>4549</v>
      </c>
      <c r="G4555" s="19">
        <f>IFERROR(__xludf.DUMMYFUNCTION("""COMPUTED_VALUE"""),0.0023)</f>
        <v>0.0023</v>
      </c>
      <c r="H4555" s="19" t="str">
        <f>IFERROR(__xludf.DUMMYFUNCTION("""COMPUTED_VALUE"""),"-")</f>
        <v>-</v>
      </c>
      <c r="I4555" s="19">
        <f>IFERROR(__xludf.DUMMYFUNCTION("""COMPUTED_VALUE"""),0.0022)</f>
        <v>0.0022</v>
      </c>
      <c r="J4555" s="19">
        <f>IFERROR(__xludf.DUMMYFUNCTION("""COMPUTED_VALUE"""),0.04736)</f>
        <v>0.04736</v>
      </c>
      <c r="K4555" s="19" t="str">
        <f>IFERROR(__xludf.DUMMYFUNCTION("""COMPUTED_VALUE"""),"-")</f>
        <v>-</v>
      </c>
      <c r="L4555" s="19" t="str">
        <f>IFERROR(__xludf.DUMMYFUNCTION("""COMPUTED_VALUE"""),"-")</f>
        <v>-</v>
      </c>
      <c r="O4555" s="24">
        <f t="shared" si="4"/>
        <v>0</v>
      </c>
      <c r="P4555" s="24"/>
      <c r="Q4555" s="24">
        <f t="shared" si="6"/>
        <v>0</v>
      </c>
      <c r="R4555" s="24">
        <f t="shared" si="7"/>
        <v>0</v>
      </c>
      <c r="S4555" s="24"/>
      <c r="T4555" s="24"/>
    </row>
    <row r="4556">
      <c r="A4556" s="12" t="s">
        <v>4643</v>
      </c>
      <c r="F4556" s="19">
        <f>IFERROR(__xludf.DUMMYFUNCTION("SPLIT(A4552, "" |"")"),4550.0)</f>
        <v>4550</v>
      </c>
      <c r="G4556" s="19">
        <f>IFERROR(__xludf.DUMMYFUNCTION("""COMPUTED_VALUE"""),0.00227)</f>
        <v>0.00227</v>
      </c>
      <c r="H4556" s="19" t="str">
        <f>IFERROR(__xludf.DUMMYFUNCTION("""COMPUTED_VALUE"""),"-")</f>
        <v>-</v>
      </c>
      <c r="I4556" s="19">
        <f>IFERROR(__xludf.DUMMYFUNCTION("""COMPUTED_VALUE"""),0.0022)</f>
        <v>0.0022</v>
      </c>
      <c r="J4556" s="19">
        <f>IFERROR(__xludf.DUMMYFUNCTION("""COMPUTED_VALUE"""),0.04345)</f>
        <v>0.04345</v>
      </c>
      <c r="K4556" s="19" t="str">
        <f>IFERROR(__xludf.DUMMYFUNCTION("""COMPUTED_VALUE"""),"-")</f>
        <v>-</v>
      </c>
      <c r="L4556" s="19" t="str">
        <f>IFERROR(__xludf.DUMMYFUNCTION("""COMPUTED_VALUE"""),"-")</f>
        <v>-</v>
      </c>
      <c r="O4556" s="24">
        <f t="shared" si="4"/>
        <v>0</v>
      </c>
      <c r="P4556" s="24"/>
      <c r="Q4556" s="24">
        <f t="shared" si="6"/>
        <v>0</v>
      </c>
      <c r="R4556" s="24">
        <f t="shared" si="7"/>
        <v>1</v>
      </c>
      <c r="S4556" s="24"/>
      <c r="T4556" s="24"/>
    </row>
    <row r="4557">
      <c r="A4557" s="12" t="s">
        <v>4644</v>
      </c>
      <c r="F4557" s="19">
        <f>IFERROR(__xludf.DUMMYFUNCTION("SPLIT(A4553, "" |"")"),4551.0)</f>
        <v>4551</v>
      </c>
      <c r="G4557" s="19">
        <f>IFERROR(__xludf.DUMMYFUNCTION("""COMPUTED_VALUE"""),0.00236)</f>
        <v>0.00236</v>
      </c>
      <c r="H4557" s="19" t="str">
        <f>IFERROR(__xludf.DUMMYFUNCTION("""COMPUTED_VALUE"""),"-")</f>
        <v>-</v>
      </c>
      <c r="I4557" s="19">
        <f>IFERROR(__xludf.DUMMYFUNCTION("""COMPUTED_VALUE"""),0.00222)</f>
        <v>0.00222</v>
      </c>
      <c r="J4557" s="19">
        <f>IFERROR(__xludf.DUMMYFUNCTION("""COMPUTED_VALUE"""),0.04741)</f>
        <v>0.04741</v>
      </c>
      <c r="K4557" s="19" t="str">
        <f>IFERROR(__xludf.DUMMYFUNCTION("""COMPUTED_VALUE"""),"-")</f>
        <v>-</v>
      </c>
      <c r="L4557" s="19" t="str">
        <f>IFERROR(__xludf.DUMMYFUNCTION("""COMPUTED_VALUE"""),"-")</f>
        <v>-</v>
      </c>
      <c r="O4557" s="24">
        <f t="shared" si="4"/>
        <v>0</v>
      </c>
      <c r="P4557" s="24"/>
      <c r="Q4557" s="24">
        <f t="shared" si="6"/>
        <v>0</v>
      </c>
      <c r="R4557" s="24">
        <f t="shared" si="7"/>
        <v>0</v>
      </c>
      <c r="S4557" s="24"/>
      <c r="T4557" s="24"/>
    </row>
    <row r="4558">
      <c r="A4558" s="12" t="s">
        <v>4645</v>
      </c>
      <c r="F4558" s="19">
        <f>IFERROR(__xludf.DUMMYFUNCTION("SPLIT(A4554, "" |"")"),4552.0)</f>
        <v>4552</v>
      </c>
      <c r="G4558" s="19">
        <f>IFERROR(__xludf.DUMMYFUNCTION("""COMPUTED_VALUE"""),0.00238)</f>
        <v>0.00238</v>
      </c>
      <c r="H4558" s="19" t="str">
        <f>IFERROR(__xludf.DUMMYFUNCTION("""COMPUTED_VALUE"""),"-")</f>
        <v>-</v>
      </c>
      <c r="I4558" s="19">
        <f>IFERROR(__xludf.DUMMYFUNCTION("""COMPUTED_VALUE"""),0.00218)</f>
        <v>0.00218</v>
      </c>
      <c r="J4558" s="19">
        <f>IFERROR(__xludf.DUMMYFUNCTION("""COMPUTED_VALUE"""),0.04743)</f>
        <v>0.04743</v>
      </c>
      <c r="K4558" s="19" t="str">
        <f>IFERROR(__xludf.DUMMYFUNCTION("""COMPUTED_VALUE"""),"-")</f>
        <v>-</v>
      </c>
      <c r="L4558" s="19" t="str">
        <f>IFERROR(__xludf.DUMMYFUNCTION("""COMPUTED_VALUE"""),"-")</f>
        <v>-</v>
      </c>
      <c r="O4558" s="24">
        <f t="shared" si="4"/>
        <v>0</v>
      </c>
      <c r="P4558" s="24"/>
      <c r="Q4558" s="24">
        <f t="shared" si="6"/>
        <v>0</v>
      </c>
      <c r="R4558" s="24">
        <f t="shared" si="7"/>
        <v>0</v>
      </c>
      <c r="S4558" s="24"/>
      <c r="T4558" s="24"/>
    </row>
    <row r="4559">
      <c r="A4559" s="12" t="s">
        <v>4646</v>
      </c>
      <c r="F4559" s="19">
        <f>IFERROR(__xludf.DUMMYFUNCTION("SPLIT(A4555, "" |"")"),4553.0)</f>
        <v>4553</v>
      </c>
      <c r="G4559" s="19">
        <f>IFERROR(__xludf.DUMMYFUNCTION("""COMPUTED_VALUE"""),0.00238)</f>
        <v>0.00238</v>
      </c>
      <c r="H4559" s="19" t="str">
        <f>IFERROR(__xludf.DUMMYFUNCTION("""COMPUTED_VALUE"""),"-")</f>
        <v>-</v>
      </c>
      <c r="I4559" s="19">
        <f>IFERROR(__xludf.DUMMYFUNCTION("""COMPUTED_VALUE"""),0.00224)</f>
        <v>0.00224</v>
      </c>
      <c r="J4559" s="19">
        <f>IFERROR(__xludf.DUMMYFUNCTION("""COMPUTED_VALUE"""),0.04741)</f>
        <v>0.04741</v>
      </c>
      <c r="K4559" s="19" t="str">
        <f>IFERROR(__xludf.DUMMYFUNCTION("""COMPUTED_VALUE"""),"-")</f>
        <v>-</v>
      </c>
      <c r="L4559" s="19" t="str">
        <f>IFERROR(__xludf.DUMMYFUNCTION("""COMPUTED_VALUE"""),"-")</f>
        <v>-</v>
      </c>
      <c r="O4559" s="24">
        <f t="shared" si="4"/>
        <v>0</v>
      </c>
      <c r="P4559" s="24"/>
      <c r="Q4559" s="24">
        <f t="shared" si="6"/>
        <v>0</v>
      </c>
      <c r="R4559" s="24">
        <f t="shared" si="7"/>
        <v>0</v>
      </c>
      <c r="S4559" s="24"/>
      <c r="T4559" s="24"/>
    </row>
    <row r="4560">
      <c r="A4560" s="12" t="s">
        <v>4647</v>
      </c>
      <c r="F4560" s="19">
        <f>IFERROR(__xludf.DUMMYFUNCTION("SPLIT(A4556, "" |"")"),4554.0)</f>
        <v>4554</v>
      </c>
      <c r="G4560" s="19">
        <f>IFERROR(__xludf.DUMMYFUNCTION("""COMPUTED_VALUE"""),0.0024)</f>
        <v>0.0024</v>
      </c>
      <c r="H4560" s="19" t="str">
        <f>IFERROR(__xludf.DUMMYFUNCTION("""COMPUTED_VALUE"""),"-")</f>
        <v>-</v>
      </c>
      <c r="I4560" s="19">
        <f>IFERROR(__xludf.DUMMYFUNCTION("""COMPUTED_VALUE"""),0.00225)</f>
        <v>0.00225</v>
      </c>
      <c r="J4560" s="19">
        <f>IFERROR(__xludf.DUMMYFUNCTION("""COMPUTED_VALUE"""),0.04745)</f>
        <v>0.04745</v>
      </c>
      <c r="K4560" s="19" t="str">
        <f>IFERROR(__xludf.DUMMYFUNCTION("""COMPUTED_VALUE"""),"-")</f>
        <v>-</v>
      </c>
      <c r="L4560" s="19" t="str">
        <f>IFERROR(__xludf.DUMMYFUNCTION("""COMPUTED_VALUE"""),"-")</f>
        <v>-</v>
      </c>
      <c r="O4560" s="24">
        <f t="shared" si="4"/>
        <v>0</v>
      </c>
      <c r="P4560" s="24"/>
      <c r="Q4560" s="24">
        <f t="shared" si="6"/>
        <v>0</v>
      </c>
      <c r="R4560" s="24">
        <f t="shared" si="7"/>
        <v>0</v>
      </c>
      <c r="S4560" s="24"/>
      <c r="T4560" s="24"/>
    </row>
    <row r="4561">
      <c r="A4561" s="12" t="s">
        <v>4648</v>
      </c>
      <c r="F4561" s="19">
        <f>IFERROR(__xludf.DUMMYFUNCTION("SPLIT(A4557, "" |"")"),4555.0)</f>
        <v>4555</v>
      </c>
      <c r="G4561" s="19">
        <f>IFERROR(__xludf.DUMMYFUNCTION("""COMPUTED_VALUE"""),0.00225)</f>
        <v>0.00225</v>
      </c>
      <c r="H4561" s="19" t="str">
        <f>IFERROR(__xludf.DUMMYFUNCTION("""COMPUTED_VALUE"""),"-")</f>
        <v>-</v>
      </c>
      <c r="I4561" s="19">
        <f>IFERROR(__xludf.DUMMYFUNCTION("""COMPUTED_VALUE"""),0.0021)</f>
        <v>0.0021</v>
      </c>
      <c r="J4561" s="19">
        <f>IFERROR(__xludf.DUMMYFUNCTION("""COMPUTED_VALUE"""),0.04734)</f>
        <v>0.04734</v>
      </c>
      <c r="K4561" s="19" t="str">
        <f>IFERROR(__xludf.DUMMYFUNCTION("""COMPUTED_VALUE"""),"-")</f>
        <v>-</v>
      </c>
      <c r="L4561" s="19" t="str">
        <f>IFERROR(__xludf.DUMMYFUNCTION("""COMPUTED_VALUE"""),"-")</f>
        <v>-</v>
      </c>
      <c r="O4561" s="24">
        <f t="shared" si="4"/>
        <v>0</v>
      </c>
      <c r="P4561" s="24"/>
      <c r="Q4561" s="24">
        <f t="shared" si="6"/>
        <v>0</v>
      </c>
      <c r="R4561" s="24">
        <f t="shared" si="7"/>
        <v>0</v>
      </c>
      <c r="S4561" s="24"/>
      <c r="T4561" s="24"/>
    </row>
    <row r="4562">
      <c r="A4562" s="12" t="s">
        <v>4649</v>
      </c>
      <c r="F4562" s="19">
        <f>IFERROR(__xludf.DUMMYFUNCTION("SPLIT(A4558, "" |"")"),4556.0)</f>
        <v>4556</v>
      </c>
      <c r="G4562" s="19">
        <f>IFERROR(__xludf.DUMMYFUNCTION("""COMPUTED_VALUE"""),0.00241)</f>
        <v>0.00241</v>
      </c>
      <c r="H4562" s="19" t="str">
        <f>IFERROR(__xludf.DUMMYFUNCTION("""COMPUTED_VALUE"""),"-")</f>
        <v>-</v>
      </c>
      <c r="I4562" s="19">
        <f>IFERROR(__xludf.DUMMYFUNCTION("""COMPUTED_VALUE"""),0.00223)</f>
        <v>0.00223</v>
      </c>
      <c r="J4562" s="19">
        <f>IFERROR(__xludf.DUMMYFUNCTION("""COMPUTED_VALUE"""),0.04741)</f>
        <v>0.04741</v>
      </c>
      <c r="K4562" s="19" t="str">
        <f>IFERROR(__xludf.DUMMYFUNCTION("""COMPUTED_VALUE"""),"-")</f>
        <v>-</v>
      </c>
      <c r="L4562" s="19" t="str">
        <f>IFERROR(__xludf.DUMMYFUNCTION("""COMPUTED_VALUE"""),"-")</f>
        <v>-</v>
      </c>
      <c r="O4562" s="24">
        <f t="shared" si="4"/>
        <v>0</v>
      </c>
      <c r="P4562" s="24"/>
      <c r="Q4562" s="24">
        <f t="shared" si="6"/>
        <v>0</v>
      </c>
      <c r="R4562" s="24">
        <f t="shared" si="7"/>
        <v>0</v>
      </c>
      <c r="S4562" s="24"/>
      <c r="T4562" s="24"/>
    </row>
    <row r="4563">
      <c r="A4563" s="12" t="s">
        <v>4650</v>
      </c>
      <c r="F4563" s="19">
        <f>IFERROR(__xludf.DUMMYFUNCTION("SPLIT(A4559, "" |"")"),4557.0)</f>
        <v>4557</v>
      </c>
      <c r="G4563" s="19">
        <f>IFERROR(__xludf.DUMMYFUNCTION("""COMPUTED_VALUE"""),0.00235)</f>
        <v>0.00235</v>
      </c>
      <c r="H4563" s="19" t="str">
        <f>IFERROR(__xludf.DUMMYFUNCTION("""COMPUTED_VALUE"""),"-")</f>
        <v>-</v>
      </c>
      <c r="I4563" s="19">
        <f>IFERROR(__xludf.DUMMYFUNCTION("""COMPUTED_VALUE"""),0.00225)</f>
        <v>0.00225</v>
      </c>
      <c r="J4563" s="19">
        <f>IFERROR(__xludf.DUMMYFUNCTION("""COMPUTED_VALUE"""),0.04742)</f>
        <v>0.04742</v>
      </c>
      <c r="K4563" s="19" t="str">
        <f>IFERROR(__xludf.DUMMYFUNCTION("""COMPUTED_VALUE"""),"-")</f>
        <v>-</v>
      </c>
      <c r="L4563" s="19" t="str">
        <f>IFERROR(__xludf.DUMMYFUNCTION("""COMPUTED_VALUE"""),"-")</f>
        <v>-</v>
      </c>
      <c r="O4563" s="24">
        <f t="shared" si="4"/>
        <v>0</v>
      </c>
      <c r="P4563" s="24"/>
      <c r="Q4563" s="24">
        <f t="shared" si="6"/>
        <v>0</v>
      </c>
      <c r="R4563" s="24">
        <f t="shared" si="7"/>
        <v>0</v>
      </c>
      <c r="S4563" s="24"/>
      <c r="T4563" s="24"/>
    </row>
    <row r="4564">
      <c r="A4564" s="12" t="s">
        <v>4651</v>
      </c>
      <c r="F4564" s="19">
        <f>IFERROR(__xludf.DUMMYFUNCTION("SPLIT(A4560, "" |"")"),4558.0)</f>
        <v>4558</v>
      </c>
      <c r="G4564" s="19">
        <f>IFERROR(__xludf.DUMMYFUNCTION("""COMPUTED_VALUE"""),0.00235)</f>
        <v>0.00235</v>
      </c>
      <c r="H4564" s="19" t="str">
        <f>IFERROR(__xludf.DUMMYFUNCTION("""COMPUTED_VALUE"""),"-")</f>
        <v>-</v>
      </c>
      <c r="I4564" s="19">
        <f>IFERROR(__xludf.DUMMYFUNCTION("""COMPUTED_VALUE"""),0.00221)</f>
        <v>0.00221</v>
      </c>
      <c r="J4564" s="19">
        <f>IFERROR(__xludf.DUMMYFUNCTION("""COMPUTED_VALUE"""),0.04739)</f>
        <v>0.04739</v>
      </c>
      <c r="K4564" s="19" t="str">
        <f>IFERROR(__xludf.DUMMYFUNCTION("""COMPUTED_VALUE"""),"-")</f>
        <v>-</v>
      </c>
      <c r="L4564" s="19" t="str">
        <f>IFERROR(__xludf.DUMMYFUNCTION("""COMPUTED_VALUE"""),"-")</f>
        <v>-</v>
      </c>
      <c r="O4564" s="24">
        <f t="shared" si="4"/>
        <v>0</v>
      </c>
      <c r="P4564" s="24"/>
      <c r="Q4564" s="24">
        <f t="shared" si="6"/>
        <v>0</v>
      </c>
      <c r="R4564" s="24">
        <f t="shared" si="7"/>
        <v>0</v>
      </c>
      <c r="S4564" s="24"/>
      <c r="T4564" s="24"/>
    </row>
    <row r="4565">
      <c r="A4565" s="12" t="s">
        <v>4652</v>
      </c>
      <c r="F4565" s="19">
        <f>IFERROR(__xludf.DUMMYFUNCTION("SPLIT(A4561, "" |"")"),4559.0)</f>
        <v>4559</v>
      </c>
      <c r="G4565" s="19">
        <f>IFERROR(__xludf.DUMMYFUNCTION("""COMPUTED_VALUE"""),0.00237)</f>
        <v>0.00237</v>
      </c>
      <c r="H4565" s="19" t="str">
        <f>IFERROR(__xludf.DUMMYFUNCTION("""COMPUTED_VALUE"""),"-")</f>
        <v>-</v>
      </c>
      <c r="I4565" s="19">
        <f>IFERROR(__xludf.DUMMYFUNCTION("""COMPUTED_VALUE"""),0.00221)</f>
        <v>0.00221</v>
      </c>
      <c r="J4565" s="19">
        <f>IFERROR(__xludf.DUMMYFUNCTION("""COMPUTED_VALUE"""),0.04745)</f>
        <v>0.04745</v>
      </c>
      <c r="K4565" s="19" t="str">
        <f>IFERROR(__xludf.DUMMYFUNCTION("""COMPUTED_VALUE"""),"-")</f>
        <v>-</v>
      </c>
      <c r="L4565" s="19" t="str">
        <f>IFERROR(__xludf.DUMMYFUNCTION("""COMPUTED_VALUE"""),"-")</f>
        <v>-</v>
      </c>
      <c r="O4565" s="24">
        <f t="shared" si="4"/>
        <v>0</v>
      </c>
      <c r="P4565" s="24"/>
      <c r="Q4565" s="24">
        <f t="shared" si="6"/>
        <v>0</v>
      </c>
      <c r="R4565" s="24">
        <f t="shared" si="7"/>
        <v>0</v>
      </c>
      <c r="S4565" s="24"/>
      <c r="T4565" s="24"/>
    </row>
    <row r="4566">
      <c r="A4566" s="12" t="s">
        <v>4653</v>
      </c>
      <c r="F4566" s="19">
        <f>IFERROR(__xludf.DUMMYFUNCTION("SPLIT(A4562, "" |"")"),4560.0)</f>
        <v>4560</v>
      </c>
      <c r="G4566" s="19">
        <f>IFERROR(__xludf.DUMMYFUNCTION("""COMPUTED_VALUE"""),0.0024)</f>
        <v>0.0024</v>
      </c>
      <c r="H4566" s="19" t="str">
        <f>IFERROR(__xludf.DUMMYFUNCTION("""COMPUTED_VALUE"""),"-")</f>
        <v>-</v>
      </c>
      <c r="I4566" s="19">
        <f>IFERROR(__xludf.DUMMYFUNCTION("""COMPUTED_VALUE"""),0.00219)</f>
        <v>0.00219</v>
      </c>
      <c r="J4566" s="19">
        <f>IFERROR(__xludf.DUMMYFUNCTION("""COMPUTED_VALUE"""),0.04743)</f>
        <v>0.04743</v>
      </c>
      <c r="K4566" s="19" t="str">
        <f>IFERROR(__xludf.DUMMYFUNCTION("""COMPUTED_VALUE"""),"-")</f>
        <v>-</v>
      </c>
      <c r="L4566" s="19" t="str">
        <f>IFERROR(__xludf.DUMMYFUNCTION("""COMPUTED_VALUE"""),"-")</f>
        <v>-</v>
      </c>
      <c r="O4566" s="24">
        <f t="shared" si="4"/>
        <v>0</v>
      </c>
      <c r="P4566" s="24"/>
      <c r="Q4566" s="24">
        <f t="shared" si="6"/>
        <v>0</v>
      </c>
      <c r="R4566" s="24">
        <f t="shared" si="7"/>
        <v>0</v>
      </c>
      <c r="S4566" s="24"/>
      <c r="T4566" s="24"/>
    </row>
    <row r="4567">
      <c r="A4567" s="12" t="s">
        <v>4654</v>
      </c>
      <c r="F4567" s="19">
        <f>IFERROR(__xludf.DUMMYFUNCTION("SPLIT(A4563, "" |"")"),4561.0)</f>
        <v>4561</v>
      </c>
      <c r="G4567" s="19">
        <f>IFERROR(__xludf.DUMMYFUNCTION("""COMPUTED_VALUE"""),0.00222)</f>
        <v>0.00222</v>
      </c>
      <c r="H4567" s="19" t="str">
        <f>IFERROR(__xludf.DUMMYFUNCTION("""COMPUTED_VALUE"""),"-")</f>
        <v>-</v>
      </c>
      <c r="I4567" s="19">
        <f>IFERROR(__xludf.DUMMYFUNCTION("""COMPUTED_VALUE"""),0.00215)</f>
        <v>0.00215</v>
      </c>
      <c r="J4567" s="19">
        <f>IFERROR(__xludf.DUMMYFUNCTION("""COMPUTED_VALUE"""),0.04737)</f>
        <v>0.04737</v>
      </c>
      <c r="K4567" s="19" t="str">
        <f>IFERROR(__xludf.DUMMYFUNCTION("""COMPUTED_VALUE"""),"-")</f>
        <v>-</v>
      </c>
      <c r="L4567" s="19" t="str">
        <f>IFERROR(__xludf.DUMMYFUNCTION("""COMPUTED_VALUE"""),"-")</f>
        <v>-</v>
      </c>
      <c r="O4567" s="24">
        <f t="shared" si="4"/>
        <v>0</v>
      </c>
      <c r="P4567" s="24"/>
      <c r="Q4567" s="24">
        <f t="shared" si="6"/>
        <v>0</v>
      </c>
      <c r="R4567" s="24">
        <f t="shared" si="7"/>
        <v>0</v>
      </c>
      <c r="S4567" s="24"/>
      <c r="T4567" s="24"/>
    </row>
    <row r="4568">
      <c r="A4568" s="12" t="s">
        <v>4655</v>
      </c>
      <c r="F4568" s="19">
        <f>IFERROR(__xludf.DUMMYFUNCTION("SPLIT(A4564, "" |"")"),4562.0)</f>
        <v>4562</v>
      </c>
      <c r="G4568" s="19">
        <f>IFERROR(__xludf.DUMMYFUNCTION("""COMPUTED_VALUE"""),0.00237)</f>
        <v>0.00237</v>
      </c>
      <c r="H4568" s="19" t="str">
        <f>IFERROR(__xludf.DUMMYFUNCTION("""COMPUTED_VALUE"""),"-")</f>
        <v>-</v>
      </c>
      <c r="I4568" s="19">
        <f>IFERROR(__xludf.DUMMYFUNCTION("""COMPUTED_VALUE"""),0.0022)</f>
        <v>0.0022</v>
      </c>
      <c r="J4568" s="19">
        <f>IFERROR(__xludf.DUMMYFUNCTION("""COMPUTED_VALUE"""),0.04746)</f>
        <v>0.04746</v>
      </c>
      <c r="K4568" s="19" t="str">
        <f>IFERROR(__xludf.DUMMYFUNCTION("""COMPUTED_VALUE"""),"-")</f>
        <v>-</v>
      </c>
      <c r="L4568" s="19" t="str">
        <f>IFERROR(__xludf.DUMMYFUNCTION("""COMPUTED_VALUE"""),"-")</f>
        <v>-</v>
      </c>
      <c r="O4568" s="24">
        <f t="shared" si="4"/>
        <v>0</v>
      </c>
      <c r="P4568" s="24"/>
      <c r="Q4568" s="24">
        <f t="shared" si="6"/>
        <v>0</v>
      </c>
      <c r="R4568" s="24">
        <f t="shared" si="7"/>
        <v>0</v>
      </c>
      <c r="S4568" s="24"/>
      <c r="T4568" s="24"/>
    </row>
    <row r="4569">
      <c r="A4569" s="12" t="s">
        <v>4656</v>
      </c>
      <c r="F4569" s="19">
        <f>IFERROR(__xludf.DUMMYFUNCTION("SPLIT(A4565, "" |"")"),4563.0)</f>
        <v>4563</v>
      </c>
      <c r="G4569" s="19">
        <f>IFERROR(__xludf.DUMMYFUNCTION("""COMPUTED_VALUE"""),0.00232)</f>
        <v>0.00232</v>
      </c>
      <c r="H4569" s="19" t="str">
        <f>IFERROR(__xludf.DUMMYFUNCTION("""COMPUTED_VALUE"""),"-")</f>
        <v>-</v>
      </c>
      <c r="I4569" s="19">
        <f>IFERROR(__xludf.DUMMYFUNCTION("""COMPUTED_VALUE"""),0.00222)</f>
        <v>0.00222</v>
      </c>
      <c r="J4569" s="19">
        <f>IFERROR(__xludf.DUMMYFUNCTION("""COMPUTED_VALUE"""),0.04748)</f>
        <v>0.04748</v>
      </c>
      <c r="K4569" s="19" t="str">
        <f>IFERROR(__xludf.DUMMYFUNCTION("""COMPUTED_VALUE"""),"-")</f>
        <v>-</v>
      </c>
      <c r="L4569" s="19" t="str">
        <f>IFERROR(__xludf.DUMMYFUNCTION("""COMPUTED_VALUE"""),"-")</f>
        <v>-</v>
      </c>
      <c r="O4569" s="24">
        <f t="shared" si="4"/>
        <v>0</v>
      </c>
      <c r="P4569" s="24"/>
      <c r="Q4569" s="24">
        <f t="shared" si="6"/>
        <v>0</v>
      </c>
      <c r="R4569" s="24">
        <f t="shared" si="7"/>
        <v>0</v>
      </c>
      <c r="S4569" s="24"/>
      <c r="T4569" s="24"/>
    </row>
    <row r="4570">
      <c r="A4570" s="12" t="s">
        <v>4657</v>
      </c>
      <c r="F4570" s="19">
        <f>IFERROR(__xludf.DUMMYFUNCTION("SPLIT(A4566, "" |"")"),4564.0)</f>
        <v>4564</v>
      </c>
      <c r="G4570" s="19">
        <f>IFERROR(__xludf.DUMMYFUNCTION("""COMPUTED_VALUE"""),0.00235)</f>
        <v>0.00235</v>
      </c>
      <c r="H4570" s="19" t="str">
        <f>IFERROR(__xludf.DUMMYFUNCTION("""COMPUTED_VALUE"""),"-")</f>
        <v>-</v>
      </c>
      <c r="I4570" s="19">
        <f>IFERROR(__xludf.DUMMYFUNCTION("""COMPUTED_VALUE"""),0.00224)</f>
        <v>0.00224</v>
      </c>
      <c r="J4570" s="19">
        <f>IFERROR(__xludf.DUMMYFUNCTION("""COMPUTED_VALUE"""),0.04743)</f>
        <v>0.04743</v>
      </c>
      <c r="K4570" s="19" t="str">
        <f>IFERROR(__xludf.DUMMYFUNCTION("""COMPUTED_VALUE"""),"-")</f>
        <v>-</v>
      </c>
      <c r="L4570" s="19" t="str">
        <f>IFERROR(__xludf.DUMMYFUNCTION("""COMPUTED_VALUE"""),"-")</f>
        <v>-</v>
      </c>
      <c r="O4570" s="24">
        <f t="shared" si="4"/>
        <v>0</v>
      </c>
      <c r="P4570" s="24"/>
      <c r="Q4570" s="24">
        <f t="shared" si="6"/>
        <v>0</v>
      </c>
      <c r="R4570" s="24">
        <f t="shared" si="7"/>
        <v>0</v>
      </c>
      <c r="S4570" s="24"/>
      <c r="T4570" s="24"/>
    </row>
    <row r="4571">
      <c r="A4571" s="12" t="s">
        <v>4658</v>
      </c>
      <c r="F4571" s="19">
        <f>IFERROR(__xludf.DUMMYFUNCTION("SPLIT(A4567, "" |"")"),4565.0)</f>
        <v>4565</v>
      </c>
      <c r="G4571" s="19">
        <f>IFERROR(__xludf.DUMMYFUNCTION("""COMPUTED_VALUE"""),0.00234)</f>
        <v>0.00234</v>
      </c>
      <c r="H4571" s="19" t="str">
        <f>IFERROR(__xludf.DUMMYFUNCTION("""COMPUTED_VALUE"""),"-")</f>
        <v>-</v>
      </c>
      <c r="I4571" s="19">
        <f>IFERROR(__xludf.DUMMYFUNCTION("""COMPUTED_VALUE"""),0.00221)</f>
        <v>0.00221</v>
      </c>
      <c r="J4571" s="19">
        <f>IFERROR(__xludf.DUMMYFUNCTION("""COMPUTED_VALUE"""),0.04371)</f>
        <v>0.04371</v>
      </c>
      <c r="K4571" s="19" t="str">
        <f>IFERROR(__xludf.DUMMYFUNCTION("""COMPUTED_VALUE"""),"-")</f>
        <v>-</v>
      </c>
      <c r="L4571" s="19" t="str">
        <f>IFERROR(__xludf.DUMMYFUNCTION("""COMPUTED_VALUE"""),"-")</f>
        <v>-</v>
      </c>
      <c r="O4571" s="24">
        <f t="shared" si="4"/>
        <v>0</v>
      </c>
      <c r="P4571" s="24"/>
      <c r="Q4571" s="24">
        <f t="shared" si="6"/>
        <v>0</v>
      </c>
      <c r="R4571" s="24">
        <f t="shared" si="7"/>
        <v>1</v>
      </c>
      <c r="S4571" s="24"/>
      <c r="T4571" s="24"/>
    </row>
    <row r="4572">
      <c r="A4572" s="12" t="s">
        <v>4659</v>
      </c>
      <c r="F4572" s="19">
        <f>IFERROR(__xludf.DUMMYFUNCTION("SPLIT(A4568, "" |"")"),4566.0)</f>
        <v>4566</v>
      </c>
      <c r="G4572" s="19">
        <f>IFERROR(__xludf.DUMMYFUNCTION("""COMPUTED_VALUE"""),0.00233)</f>
        <v>0.00233</v>
      </c>
      <c r="H4572" s="19" t="str">
        <f>IFERROR(__xludf.DUMMYFUNCTION("""COMPUTED_VALUE"""),"-")</f>
        <v>-</v>
      </c>
      <c r="I4572" s="19">
        <f>IFERROR(__xludf.DUMMYFUNCTION("""COMPUTED_VALUE"""),0.00231)</f>
        <v>0.00231</v>
      </c>
      <c r="J4572" s="19">
        <f>IFERROR(__xludf.DUMMYFUNCTION("""COMPUTED_VALUE"""),0.04747)</f>
        <v>0.04747</v>
      </c>
      <c r="K4572" s="19" t="str">
        <f>IFERROR(__xludf.DUMMYFUNCTION("""COMPUTED_VALUE"""),"-")</f>
        <v>-</v>
      </c>
      <c r="L4572" s="19" t="str">
        <f>IFERROR(__xludf.DUMMYFUNCTION("""COMPUTED_VALUE"""),"-")</f>
        <v>-</v>
      </c>
      <c r="O4572" s="24">
        <f t="shared" si="4"/>
        <v>0</v>
      </c>
      <c r="P4572" s="24"/>
      <c r="Q4572" s="24">
        <f t="shared" si="6"/>
        <v>0</v>
      </c>
      <c r="R4572" s="24">
        <f t="shared" si="7"/>
        <v>0</v>
      </c>
      <c r="S4572" s="24"/>
      <c r="T4572" s="24"/>
    </row>
    <row r="4573">
      <c r="A4573" s="12" t="s">
        <v>4660</v>
      </c>
      <c r="F4573" s="19">
        <f>IFERROR(__xludf.DUMMYFUNCTION("SPLIT(A4569, "" |"")"),4567.0)</f>
        <v>4567</v>
      </c>
      <c r="G4573" s="19">
        <f>IFERROR(__xludf.DUMMYFUNCTION("""COMPUTED_VALUE"""),0.0023)</f>
        <v>0.0023</v>
      </c>
      <c r="H4573" s="19" t="str">
        <f>IFERROR(__xludf.DUMMYFUNCTION("""COMPUTED_VALUE"""),"-")</f>
        <v>-</v>
      </c>
      <c r="I4573" s="19">
        <f>IFERROR(__xludf.DUMMYFUNCTION("""COMPUTED_VALUE"""),0.0022)</f>
        <v>0.0022</v>
      </c>
      <c r="J4573" s="19">
        <f>IFERROR(__xludf.DUMMYFUNCTION("""COMPUTED_VALUE"""),0.04728)</f>
        <v>0.04728</v>
      </c>
      <c r="K4573" s="19" t="str">
        <f>IFERROR(__xludf.DUMMYFUNCTION("""COMPUTED_VALUE"""),"-")</f>
        <v>-</v>
      </c>
      <c r="L4573" s="19" t="str">
        <f>IFERROR(__xludf.DUMMYFUNCTION("""COMPUTED_VALUE"""),"-")</f>
        <v>-</v>
      </c>
      <c r="O4573" s="24">
        <f t="shared" si="4"/>
        <v>0</v>
      </c>
      <c r="P4573" s="24"/>
      <c r="Q4573" s="24">
        <f t="shared" si="6"/>
        <v>0</v>
      </c>
      <c r="R4573" s="24">
        <f t="shared" si="7"/>
        <v>0</v>
      </c>
      <c r="S4573" s="24"/>
      <c r="T4573" s="24"/>
    </row>
    <row r="4574">
      <c r="A4574" s="12" t="s">
        <v>4661</v>
      </c>
      <c r="F4574" s="19">
        <f>IFERROR(__xludf.DUMMYFUNCTION("SPLIT(A4570, "" |"")"),4568.0)</f>
        <v>4568</v>
      </c>
      <c r="G4574" s="19">
        <f>IFERROR(__xludf.DUMMYFUNCTION("""COMPUTED_VALUE"""),0.00234)</f>
        <v>0.00234</v>
      </c>
      <c r="H4574" s="19" t="str">
        <f>IFERROR(__xludf.DUMMYFUNCTION("""COMPUTED_VALUE"""),"-")</f>
        <v>-</v>
      </c>
      <c r="I4574" s="19">
        <f>IFERROR(__xludf.DUMMYFUNCTION("""COMPUTED_VALUE"""),0.00221)</f>
        <v>0.00221</v>
      </c>
      <c r="J4574" s="19">
        <f>IFERROR(__xludf.DUMMYFUNCTION("""COMPUTED_VALUE"""),0.04743)</f>
        <v>0.04743</v>
      </c>
      <c r="K4574" s="19" t="str">
        <f>IFERROR(__xludf.DUMMYFUNCTION("""COMPUTED_VALUE"""),"-")</f>
        <v>-</v>
      </c>
      <c r="L4574" s="19" t="str">
        <f>IFERROR(__xludf.DUMMYFUNCTION("""COMPUTED_VALUE"""),"-")</f>
        <v>-</v>
      </c>
      <c r="O4574" s="24">
        <f t="shared" si="4"/>
        <v>0</v>
      </c>
      <c r="P4574" s="24"/>
      <c r="Q4574" s="24">
        <f t="shared" si="6"/>
        <v>0</v>
      </c>
      <c r="R4574" s="24">
        <f t="shared" si="7"/>
        <v>0</v>
      </c>
      <c r="S4574" s="24"/>
      <c r="T4574" s="24"/>
    </row>
    <row r="4575">
      <c r="A4575" s="12" t="s">
        <v>4662</v>
      </c>
      <c r="F4575" s="19">
        <f>IFERROR(__xludf.DUMMYFUNCTION("SPLIT(A4571, "" |"")"),4569.0)</f>
        <v>4569</v>
      </c>
      <c r="G4575" s="19">
        <f>IFERROR(__xludf.DUMMYFUNCTION("""COMPUTED_VALUE"""),0.00238)</f>
        <v>0.00238</v>
      </c>
      <c r="H4575" s="19" t="str">
        <f>IFERROR(__xludf.DUMMYFUNCTION("""COMPUTED_VALUE"""),"-")</f>
        <v>-</v>
      </c>
      <c r="I4575" s="19">
        <f>IFERROR(__xludf.DUMMYFUNCTION("""COMPUTED_VALUE"""),0.00222)</f>
        <v>0.00222</v>
      </c>
      <c r="J4575" s="19">
        <f>IFERROR(__xludf.DUMMYFUNCTION("""COMPUTED_VALUE"""),0.04383)</f>
        <v>0.04383</v>
      </c>
      <c r="K4575" s="19" t="str">
        <f>IFERROR(__xludf.DUMMYFUNCTION("""COMPUTED_VALUE"""),"-")</f>
        <v>-</v>
      </c>
      <c r="L4575" s="19" t="str">
        <f>IFERROR(__xludf.DUMMYFUNCTION("""COMPUTED_VALUE"""),"-")</f>
        <v>-</v>
      </c>
      <c r="O4575" s="24">
        <f t="shared" si="4"/>
        <v>0</v>
      </c>
      <c r="P4575" s="24"/>
      <c r="Q4575" s="24">
        <f t="shared" si="6"/>
        <v>0</v>
      </c>
      <c r="R4575" s="24">
        <f t="shared" si="7"/>
        <v>1</v>
      </c>
      <c r="S4575" s="24"/>
      <c r="T4575" s="24"/>
    </row>
    <row r="4576">
      <c r="A4576" s="12" t="s">
        <v>4663</v>
      </c>
      <c r="F4576" s="19">
        <f>IFERROR(__xludf.DUMMYFUNCTION("SPLIT(A4572, "" |"")"),4570.0)</f>
        <v>4570</v>
      </c>
      <c r="G4576" s="19">
        <f>IFERROR(__xludf.DUMMYFUNCTION("""COMPUTED_VALUE"""),0.00238)</f>
        <v>0.00238</v>
      </c>
      <c r="H4576" s="19" t="str">
        <f>IFERROR(__xludf.DUMMYFUNCTION("""COMPUTED_VALUE"""),"-")</f>
        <v>-</v>
      </c>
      <c r="I4576" s="19">
        <f>IFERROR(__xludf.DUMMYFUNCTION("""COMPUTED_VALUE"""),0.00218)</f>
        <v>0.00218</v>
      </c>
      <c r="J4576" s="19">
        <f>IFERROR(__xludf.DUMMYFUNCTION("""COMPUTED_VALUE"""),0.04742)</f>
        <v>0.04742</v>
      </c>
      <c r="K4576" s="19" t="str">
        <f>IFERROR(__xludf.DUMMYFUNCTION("""COMPUTED_VALUE"""),"-")</f>
        <v>-</v>
      </c>
      <c r="L4576" s="19" t="str">
        <f>IFERROR(__xludf.DUMMYFUNCTION("""COMPUTED_VALUE"""),"-")</f>
        <v>-</v>
      </c>
      <c r="O4576" s="24">
        <f t="shared" si="4"/>
        <v>0</v>
      </c>
      <c r="P4576" s="24"/>
      <c r="Q4576" s="24">
        <f t="shared" si="6"/>
        <v>0</v>
      </c>
      <c r="R4576" s="24">
        <f t="shared" si="7"/>
        <v>0</v>
      </c>
      <c r="S4576" s="24"/>
      <c r="T4576" s="24"/>
    </row>
    <row r="4577">
      <c r="A4577" s="12" t="s">
        <v>4664</v>
      </c>
      <c r="F4577" s="19">
        <f>IFERROR(__xludf.DUMMYFUNCTION("SPLIT(A4573, "" |"")"),4571.0)</f>
        <v>4571</v>
      </c>
      <c r="G4577" s="19">
        <f>IFERROR(__xludf.DUMMYFUNCTION("""COMPUTED_VALUE"""),0.00236)</f>
        <v>0.00236</v>
      </c>
      <c r="H4577" s="19" t="str">
        <f>IFERROR(__xludf.DUMMYFUNCTION("""COMPUTED_VALUE"""),"-")</f>
        <v>-</v>
      </c>
      <c r="I4577" s="19">
        <f>IFERROR(__xludf.DUMMYFUNCTION("""COMPUTED_VALUE"""),0.00222)</f>
        <v>0.00222</v>
      </c>
      <c r="J4577" s="19">
        <f>IFERROR(__xludf.DUMMYFUNCTION("""COMPUTED_VALUE"""),0.04746)</f>
        <v>0.04746</v>
      </c>
      <c r="K4577" s="19" t="str">
        <f>IFERROR(__xludf.DUMMYFUNCTION("""COMPUTED_VALUE"""),"-")</f>
        <v>-</v>
      </c>
      <c r="L4577" s="19" t="str">
        <f>IFERROR(__xludf.DUMMYFUNCTION("""COMPUTED_VALUE"""),"-")</f>
        <v>-</v>
      </c>
      <c r="O4577" s="24">
        <f t="shared" si="4"/>
        <v>0</v>
      </c>
      <c r="P4577" s="24"/>
      <c r="Q4577" s="24">
        <f t="shared" si="6"/>
        <v>0</v>
      </c>
      <c r="R4577" s="24">
        <f t="shared" si="7"/>
        <v>0</v>
      </c>
      <c r="S4577" s="24"/>
      <c r="T4577" s="24"/>
    </row>
    <row r="4578">
      <c r="A4578" s="12" t="s">
        <v>4665</v>
      </c>
      <c r="F4578" s="19">
        <f>IFERROR(__xludf.DUMMYFUNCTION("SPLIT(A4574, "" |"")"),4572.0)</f>
        <v>4572</v>
      </c>
      <c r="G4578" s="19">
        <f>IFERROR(__xludf.DUMMYFUNCTION("""COMPUTED_VALUE"""),0.00226)</f>
        <v>0.00226</v>
      </c>
      <c r="H4578" s="19" t="str">
        <f>IFERROR(__xludf.DUMMYFUNCTION("""COMPUTED_VALUE"""),"-")</f>
        <v>-</v>
      </c>
      <c r="I4578" s="19">
        <f>IFERROR(__xludf.DUMMYFUNCTION("""COMPUTED_VALUE"""),0.00209)</f>
        <v>0.00209</v>
      </c>
      <c r="J4578" s="19">
        <f>IFERROR(__xludf.DUMMYFUNCTION("""COMPUTED_VALUE"""),0.04396)</f>
        <v>0.04396</v>
      </c>
      <c r="K4578" s="19" t="str">
        <f>IFERROR(__xludf.DUMMYFUNCTION("""COMPUTED_VALUE"""),"-")</f>
        <v>-</v>
      </c>
      <c r="L4578" s="19" t="str">
        <f>IFERROR(__xludf.DUMMYFUNCTION("""COMPUTED_VALUE"""),"-")</f>
        <v>-</v>
      </c>
      <c r="O4578" s="24">
        <f t="shared" si="4"/>
        <v>0</v>
      </c>
      <c r="P4578" s="24"/>
      <c r="Q4578" s="24">
        <f t="shared" si="6"/>
        <v>0</v>
      </c>
      <c r="R4578" s="24">
        <f t="shared" si="7"/>
        <v>1</v>
      </c>
      <c r="S4578" s="24"/>
      <c r="T4578" s="24"/>
    </row>
    <row r="4579">
      <c r="A4579" s="12" t="s">
        <v>4666</v>
      </c>
      <c r="F4579" s="19">
        <f>IFERROR(__xludf.DUMMYFUNCTION("SPLIT(A4575, "" |"")"),4573.0)</f>
        <v>4573</v>
      </c>
      <c r="G4579" s="19">
        <f>IFERROR(__xludf.DUMMYFUNCTION("""COMPUTED_VALUE"""),0.0024)</f>
        <v>0.0024</v>
      </c>
      <c r="H4579" s="19" t="str">
        <f>IFERROR(__xludf.DUMMYFUNCTION("""COMPUTED_VALUE"""),"-")</f>
        <v>-</v>
      </c>
      <c r="I4579" s="19">
        <f>IFERROR(__xludf.DUMMYFUNCTION("""COMPUTED_VALUE"""),0.00223)</f>
        <v>0.00223</v>
      </c>
      <c r="J4579" s="19">
        <f>IFERROR(__xludf.DUMMYFUNCTION("""COMPUTED_VALUE"""),0.04742)</f>
        <v>0.04742</v>
      </c>
      <c r="K4579" s="19" t="str">
        <f>IFERROR(__xludf.DUMMYFUNCTION("""COMPUTED_VALUE"""),"-")</f>
        <v>-</v>
      </c>
      <c r="L4579" s="19" t="str">
        <f>IFERROR(__xludf.DUMMYFUNCTION("""COMPUTED_VALUE"""),"-")</f>
        <v>-</v>
      </c>
      <c r="O4579" s="24">
        <f t="shared" si="4"/>
        <v>0</v>
      </c>
      <c r="P4579" s="24"/>
      <c r="Q4579" s="24">
        <f t="shared" si="6"/>
        <v>0</v>
      </c>
      <c r="R4579" s="24">
        <f t="shared" si="7"/>
        <v>0</v>
      </c>
      <c r="S4579" s="24"/>
      <c r="T4579" s="24"/>
    </row>
    <row r="4580">
      <c r="A4580" s="12" t="s">
        <v>4667</v>
      </c>
      <c r="F4580" s="19">
        <f>IFERROR(__xludf.DUMMYFUNCTION("SPLIT(A4576, "" |"")"),4574.0)</f>
        <v>4574</v>
      </c>
      <c r="G4580" s="19">
        <f>IFERROR(__xludf.DUMMYFUNCTION("""COMPUTED_VALUE"""),0.00239)</f>
        <v>0.00239</v>
      </c>
      <c r="H4580" s="19" t="str">
        <f>IFERROR(__xludf.DUMMYFUNCTION("""COMPUTED_VALUE"""),"-")</f>
        <v>-</v>
      </c>
      <c r="I4580" s="19">
        <f>IFERROR(__xludf.DUMMYFUNCTION("""COMPUTED_VALUE"""),0.0022)</f>
        <v>0.0022</v>
      </c>
      <c r="J4580" s="19">
        <f>IFERROR(__xludf.DUMMYFUNCTION("""COMPUTED_VALUE"""),0.04743)</f>
        <v>0.04743</v>
      </c>
      <c r="K4580" s="19" t="str">
        <f>IFERROR(__xludf.DUMMYFUNCTION("""COMPUTED_VALUE"""),"-")</f>
        <v>-</v>
      </c>
      <c r="L4580" s="19" t="str">
        <f>IFERROR(__xludf.DUMMYFUNCTION("""COMPUTED_VALUE"""),"-")</f>
        <v>-</v>
      </c>
      <c r="O4580" s="24">
        <f t="shared" si="4"/>
        <v>0</v>
      </c>
      <c r="P4580" s="24"/>
      <c r="Q4580" s="24">
        <f t="shared" si="6"/>
        <v>0</v>
      </c>
      <c r="R4580" s="24">
        <f t="shared" si="7"/>
        <v>0</v>
      </c>
      <c r="S4580" s="24"/>
      <c r="T4580" s="24"/>
    </row>
    <row r="4581">
      <c r="A4581" s="12" t="s">
        <v>4668</v>
      </c>
      <c r="F4581" s="19">
        <f>IFERROR(__xludf.DUMMYFUNCTION("SPLIT(A4577, "" |"")"),4575.0)</f>
        <v>4575</v>
      </c>
      <c r="G4581" s="19">
        <f>IFERROR(__xludf.DUMMYFUNCTION("""COMPUTED_VALUE"""),0.00232)</f>
        <v>0.00232</v>
      </c>
      <c r="H4581" s="19" t="str">
        <f>IFERROR(__xludf.DUMMYFUNCTION("""COMPUTED_VALUE"""),"-")</f>
        <v>-</v>
      </c>
      <c r="I4581" s="19">
        <f>IFERROR(__xludf.DUMMYFUNCTION("""COMPUTED_VALUE"""),0.00221)</f>
        <v>0.00221</v>
      </c>
      <c r="J4581" s="19">
        <f>IFERROR(__xludf.DUMMYFUNCTION("""COMPUTED_VALUE"""),0.04375)</f>
        <v>0.04375</v>
      </c>
      <c r="K4581" s="19" t="str">
        <f>IFERROR(__xludf.DUMMYFUNCTION("""COMPUTED_VALUE"""),"-")</f>
        <v>-</v>
      </c>
      <c r="L4581" s="19" t="str">
        <f>IFERROR(__xludf.DUMMYFUNCTION("""COMPUTED_VALUE"""),"-")</f>
        <v>-</v>
      </c>
      <c r="O4581" s="24">
        <f t="shared" si="4"/>
        <v>0</v>
      </c>
      <c r="P4581" s="24"/>
      <c r="Q4581" s="24">
        <f t="shared" si="6"/>
        <v>0</v>
      </c>
      <c r="R4581" s="24">
        <f t="shared" si="7"/>
        <v>1</v>
      </c>
      <c r="S4581" s="24"/>
      <c r="T4581" s="24"/>
    </row>
    <row r="4582">
      <c r="A4582" s="12" t="s">
        <v>4669</v>
      </c>
      <c r="F4582" s="19">
        <f>IFERROR(__xludf.DUMMYFUNCTION("SPLIT(A4578, "" |"")"),4576.0)</f>
        <v>4576</v>
      </c>
      <c r="G4582" s="19">
        <f>IFERROR(__xludf.DUMMYFUNCTION("""COMPUTED_VALUE"""),0.00237)</f>
        <v>0.00237</v>
      </c>
      <c r="H4582" s="19" t="str">
        <f>IFERROR(__xludf.DUMMYFUNCTION("""COMPUTED_VALUE"""),"-")</f>
        <v>-</v>
      </c>
      <c r="I4582" s="19">
        <f>IFERROR(__xludf.DUMMYFUNCTION("""COMPUTED_VALUE"""),0.00221)</f>
        <v>0.00221</v>
      </c>
      <c r="J4582" s="19">
        <f>IFERROR(__xludf.DUMMYFUNCTION("""COMPUTED_VALUE"""),0.0447)</f>
        <v>0.0447</v>
      </c>
      <c r="K4582" s="19" t="str">
        <f>IFERROR(__xludf.DUMMYFUNCTION("""COMPUTED_VALUE"""),"-")</f>
        <v>-</v>
      </c>
      <c r="L4582" s="19" t="str">
        <f>IFERROR(__xludf.DUMMYFUNCTION("""COMPUTED_VALUE"""),"-")</f>
        <v>-</v>
      </c>
      <c r="O4582" s="24">
        <f t="shared" si="4"/>
        <v>0</v>
      </c>
      <c r="P4582" s="24"/>
      <c r="Q4582" s="24">
        <f t="shared" si="6"/>
        <v>0</v>
      </c>
      <c r="R4582" s="24">
        <f t="shared" si="7"/>
        <v>1</v>
      </c>
      <c r="S4582" s="24"/>
      <c r="T4582" s="24"/>
    </row>
    <row r="4583">
      <c r="A4583" s="12" t="s">
        <v>4670</v>
      </c>
      <c r="F4583" s="19">
        <f>IFERROR(__xludf.DUMMYFUNCTION("SPLIT(A4579, "" |"")"),4577.0)</f>
        <v>4577</v>
      </c>
      <c r="G4583" s="19">
        <f>IFERROR(__xludf.DUMMYFUNCTION("""COMPUTED_VALUE"""),0.00236)</f>
        <v>0.00236</v>
      </c>
      <c r="H4583" s="19" t="str">
        <f>IFERROR(__xludf.DUMMYFUNCTION("""COMPUTED_VALUE"""),"-")</f>
        <v>-</v>
      </c>
      <c r="I4583" s="19">
        <f>IFERROR(__xludf.DUMMYFUNCTION("""COMPUTED_VALUE"""),0.00237)</f>
        <v>0.00237</v>
      </c>
      <c r="J4583" s="19">
        <f>IFERROR(__xludf.DUMMYFUNCTION("""COMPUTED_VALUE"""),0.04752)</f>
        <v>0.04752</v>
      </c>
      <c r="K4583" s="19" t="str">
        <f>IFERROR(__xludf.DUMMYFUNCTION("""COMPUTED_VALUE"""),"-")</f>
        <v>-</v>
      </c>
      <c r="L4583" s="19" t="str">
        <f>IFERROR(__xludf.DUMMYFUNCTION("""COMPUTED_VALUE"""),"-")</f>
        <v>-</v>
      </c>
      <c r="O4583" s="24">
        <f t="shared" si="4"/>
        <v>0</v>
      </c>
      <c r="P4583" s="24"/>
      <c r="Q4583" s="24">
        <f t="shared" si="6"/>
        <v>0</v>
      </c>
      <c r="R4583" s="24">
        <f t="shared" si="7"/>
        <v>0</v>
      </c>
      <c r="S4583" s="24"/>
      <c r="T4583" s="24"/>
    </row>
    <row r="4584">
      <c r="A4584" s="12" t="s">
        <v>4671</v>
      </c>
      <c r="F4584" s="19">
        <f>IFERROR(__xludf.DUMMYFUNCTION("SPLIT(A4580, "" |"")"),4578.0)</f>
        <v>4578</v>
      </c>
      <c r="G4584" s="19">
        <f>IFERROR(__xludf.DUMMYFUNCTION("""COMPUTED_VALUE"""),0.00252)</f>
        <v>0.00252</v>
      </c>
      <c r="H4584" s="19" t="str">
        <f>IFERROR(__xludf.DUMMYFUNCTION("""COMPUTED_VALUE"""),"-")</f>
        <v>-</v>
      </c>
      <c r="I4584" s="19">
        <f>IFERROR(__xludf.DUMMYFUNCTION("""COMPUTED_VALUE"""),0.00221)</f>
        <v>0.00221</v>
      </c>
      <c r="J4584" s="19">
        <f>IFERROR(__xludf.DUMMYFUNCTION("""COMPUTED_VALUE"""),0.04764)</f>
        <v>0.04764</v>
      </c>
      <c r="K4584" s="19" t="str">
        <f>IFERROR(__xludf.DUMMYFUNCTION("""COMPUTED_VALUE"""),"-")</f>
        <v>-</v>
      </c>
      <c r="L4584" s="19" t="str">
        <f>IFERROR(__xludf.DUMMYFUNCTION("""COMPUTED_VALUE"""),"-")</f>
        <v>-</v>
      </c>
      <c r="O4584" s="24">
        <f t="shared" si="4"/>
        <v>0</v>
      </c>
      <c r="P4584" s="24"/>
      <c r="Q4584" s="24">
        <f t="shared" si="6"/>
        <v>0</v>
      </c>
      <c r="R4584" s="24">
        <f t="shared" si="7"/>
        <v>0</v>
      </c>
      <c r="S4584" s="24"/>
      <c r="T4584" s="24"/>
    </row>
    <row r="4585">
      <c r="A4585" s="12" t="s">
        <v>4672</v>
      </c>
      <c r="F4585" s="19">
        <f>IFERROR(__xludf.DUMMYFUNCTION("SPLIT(A4581, "" |"")"),4579.0)</f>
        <v>4579</v>
      </c>
      <c r="G4585" s="19">
        <f>IFERROR(__xludf.DUMMYFUNCTION("""COMPUTED_VALUE"""),0.00242)</f>
        <v>0.00242</v>
      </c>
      <c r="H4585" s="19" t="str">
        <f>IFERROR(__xludf.DUMMYFUNCTION("""COMPUTED_VALUE"""),"-")</f>
        <v>-</v>
      </c>
      <c r="I4585" s="19">
        <f>IFERROR(__xludf.DUMMYFUNCTION("""COMPUTED_VALUE"""),0.00222)</f>
        <v>0.00222</v>
      </c>
      <c r="J4585" s="19">
        <f>IFERROR(__xludf.DUMMYFUNCTION("""COMPUTED_VALUE"""),0.04271)</f>
        <v>0.04271</v>
      </c>
      <c r="K4585" s="19" t="str">
        <f>IFERROR(__xludf.DUMMYFUNCTION("""COMPUTED_VALUE"""),"-")</f>
        <v>-</v>
      </c>
      <c r="L4585" s="19" t="str">
        <f>IFERROR(__xludf.DUMMYFUNCTION("""COMPUTED_VALUE"""),"-")</f>
        <v>-</v>
      </c>
      <c r="O4585" s="24">
        <f t="shared" si="4"/>
        <v>0</v>
      </c>
      <c r="P4585" s="24"/>
      <c r="Q4585" s="24">
        <f t="shared" si="6"/>
        <v>0</v>
      </c>
      <c r="R4585" s="24">
        <f t="shared" si="7"/>
        <v>1</v>
      </c>
      <c r="S4585" s="24"/>
      <c r="T4585" s="24"/>
    </row>
    <row r="4586">
      <c r="A4586" s="12" t="s">
        <v>4673</v>
      </c>
      <c r="F4586" s="19">
        <f>IFERROR(__xludf.DUMMYFUNCTION("SPLIT(A4582, "" |"")"),4580.0)</f>
        <v>4580</v>
      </c>
      <c r="G4586" s="19">
        <f>IFERROR(__xludf.DUMMYFUNCTION("""COMPUTED_VALUE"""),0.00239)</f>
        <v>0.00239</v>
      </c>
      <c r="H4586" s="19" t="str">
        <f>IFERROR(__xludf.DUMMYFUNCTION("""COMPUTED_VALUE"""),"-")</f>
        <v>-</v>
      </c>
      <c r="I4586" s="19">
        <f>IFERROR(__xludf.DUMMYFUNCTION("""COMPUTED_VALUE"""),0.00218)</f>
        <v>0.00218</v>
      </c>
      <c r="J4586" s="19">
        <f>IFERROR(__xludf.DUMMYFUNCTION("""COMPUTED_VALUE"""),0.04505)</f>
        <v>0.04505</v>
      </c>
      <c r="K4586" s="19" t="str">
        <f>IFERROR(__xludf.DUMMYFUNCTION("""COMPUTED_VALUE"""),"-")</f>
        <v>-</v>
      </c>
      <c r="L4586" s="19" t="str">
        <f>IFERROR(__xludf.DUMMYFUNCTION("""COMPUTED_VALUE"""),"-")</f>
        <v>-</v>
      </c>
      <c r="O4586" s="24">
        <f t="shared" si="4"/>
        <v>0</v>
      </c>
      <c r="P4586" s="24"/>
      <c r="Q4586" s="24">
        <f t="shared" si="6"/>
        <v>0</v>
      </c>
      <c r="R4586" s="24">
        <f t="shared" si="7"/>
        <v>0</v>
      </c>
      <c r="S4586" s="24"/>
      <c r="T4586" s="24"/>
    </row>
    <row r="4587">
      <c r="A4587" s="12" t="s">
        <v>4674</v>
      </c>
      <c r="F4587" s="19">
        <f>IFERROR(__xludf.DUMMYFUNCTION("SPLIT(A4583, "" |"")"),4581.0)</f>
        <v>4581</v>
      </c>
      <c r="G4587" s="19">
        <f>IFERROR(__xludf.DUMMYFUNCTION("""COMPUTED_VALUE"""),0.00243)</f>
        <v>0.00243</v>
      </c>
      <c r="H4587" s="19" t="str">
        <f>IFERROR(__xludf.DUMMYFUNCTION("""COMPUTED_VALUE"""),"-")</f>
        <v>-</v>
      </c>
      <c r="I4587" s="19">
        <f>IFERROR(__xludf.DUMMYFUNCTION("""COMPUTED_VALUE"""),0.00239)</f>
        <v>0.00239</v>
      </c>
      <c r="J4587" s="19">
        <f>IFERROR(__xludf.DUMMYFUNCTION("""COMPUTED_VALUE"""),0.04762)</f>
        <v>0.04762</v>
      </c>
      <c r="K4587" s="19" t="str">
        <f>IFERROR(__xludf.DUMMYFUNCTION("""COMPUTED_VALUE"""),"-")</f>
        <v>-</v>
      </c>
      <c r="L4587" s="19" t="str">
        <f>IFERROR(__xludf.DUMMYFUNCTION("""COMPUTED_VALUE"""),"-")</f>
        <v>-</v>
      </c>
      <c r="O4587" s="24">
        <f t="shared" si="4"/>
        <v>0</v>
      </c>
      <c r="P4587" s="24"/>
      <c r="Q4587" s="24">
        <f t="shared" si="6"/>
        <v>0</v>
      </c>
      <c r="R4587" s="24">
        <f t="shared" si="7"/>
        <v>0</v>
      </c>
      <c r="S4587" s="24"/>
      <c r="T4587" s="24"/>
    </row>
    <row r="4588">
      <c r="A4588" s="12" t="s">
        <v>4675</v>
      </c>
      <c r="F4588" s="19">
        <f>IFERROR(__xludf.DUMMYFUNCTION("SPLIT(A4584, "" |"")"),4582.0)</f>
        <v>4582</v>
      </c>
      <c r="G4588" s="19">
        <f>IFERROR(__xludf.DUMMYFUNCTION("""COMPUTED_VALUE"""),0.00243)</f>
        <v>0.00243</v>
      </c>
      <c r="H4588" s="19" t="str">
        <f>IFERROR(__xludf.DUMMYFUNCTION("""COMPUTED_VALUE"""),"-")</f>
        <v>-</v>
      </c>
      <c r="I4588" s="19">
        <f>IFERROR(__xludf.DUMMYFUNCTION("""COMPUTED_VALUE"""),0.00221)</f>
        <v>0.00221</v>
      </c>
      <c r="J4588" s="19">
        <f>IFERROR(__xludf.DUMMYFUNCTION("""COMPUTED_VALUE"""),0.04746)</f>
        <v>0.04746</v>
      </c>
      <c r="K4588" s="19" t="str">
        <f>IFERROR(__xludf.DUMMYFUNCTION("""COMPUTED_VALUE"""),"-")</f>
        <v>-</v>
      </c>
      <c r="L4588" s="19" t="str">
        <f>IFERROR(__xludf.DUMMYFUNCTION("""COMPUTED_VALUE"""),"-")</f>
        <v>-</v>
      </c>
      <c r="O4588" s="24">
        <f t="shared" si="4"/>
        <v>0</v>
      </c>
      <c r="P4588" s="24"/>
      <c r="Q4588" s="24">
        <f t="shared" si="6"/>
        <v>0</v>
      </c>
      <c r="R4588" s="24">
        <f t="shared" si="7"/>
        <v>0</v>
      </c>
      <c r="S4588" s="24"/>
      <c r="T4588" s="24"/>
    </row>
    <row r="4589">
      <c r="A4589" s="12" t="s">
        <v>4676</v>
      </c>
      <c r="F4589" s="19">
        <f>IFERROR(__xludf.DUMMYFUNCTION("SPLIT(A4585, "" |"")"),4583.0)</f>
        <v>4583</v>
      </c>
      <c r="G4589" s="19">
        <f>IFERROR(__xludf.DUMMYFUNCTION("""COMPUTED_VALUE"""),0.00233)</f>
        <v>0.00233</v>
      </c>
      <c r="H4589" s="19" t="str">
        <f>IFERROR(__xludf.DUMMYFUNCTION("""COMPUTED_VALUE"""),"-")</f>
        <v>-</v>
      </c>
      <c r="I4589" s="19">
        <f>IFERROR(__xludf.DUMMYFUNCTION("""COMPUTED_VALUE"""),0.00219)</f>
        <v>0.00219</v>
      </c>
      <c r="J4589" s="19">
        <f>IFERROR(__xludf.DUMMYFUNCTION("""COMPUTED_VALUE"""),0.04745)</f>
        <v>0.04745</v>
      </c>
      <c r="K4589" s="19" t="str">
        <f>IFERROR(__xludf.DUMMYFUNCTION("""COMPUTED_VALUE"""),"-")</f>
        <v>-</v>
      </c>
      <c r="L4589" s="19" t="str">
        <f>IFERROR(__xludf.DUMMYFUNCTION("""COMPUTED_VALUE"""),"-")</f>
        <v>-</v>
      </c>
      <c r="O4589" s="24">
        <f t="shared" si="4"/>
        <v>0</v>
      </c>
      <c r="P4589" s="24"/>
      <c r="Q4589" s="24">
        <f t="shared" si="6"/>
        <v>0</v>
      </c>
      <c r="R4589" s="24">
        <f t="shared" si="7"/>
        <v>0</v>
      </c>
      <c r="S4589" s="24"/>
      <c r="T4589" s="24"/>
    </row>
    <row r="4590">
      <c r="A4590" s="12" t="s">
        <v>4677</v>
      </c>
      <c r="F4590" s="19">
        <f>IFERROR(__xludf.DUMMYFUNCTION("SPLIT(A4586, "" |"")"),4584.0)</f>
        <v>4584</v>
      </c>
      <c r="G4590" s="19">
        <f>IFERROR(__xludf.DUMMYFUNCTION("""COMPUTED_VALUE"""),0.00239)</f>
        <v>0.00239</v>
      </c>
      <c r="H4590" s="19" t="str">
        <f>IFERROR(__xludf.DUMMYFUNCTION("""COMPUTED_VALUE"""),"-")</f>
        <v>-</v>
      </c>
      <c r="I4590" s="19">
        <f>IFERROR(__xludf.DUMMYFUNCTION("""COMPUTED_VALUE"""),0.00218)</f>
        <v>0.00218</v>
      </c>
      <c r="J4590" s="19">
        <f>IFERROR(__xludf.DUMMYFUNCTION("""COMPUTED_VALUE"""),0.04742)</f>
        <v>0.04742</v>
      </c>
      <c r="K4590" s="19" t="str">
        <f>IFERROR(__xludf.DUMMYFUNCTION("""COMPUTED_VALUE"""),"-")</f>
        <v>-</v>
      </c>
      <c r="L4590" s="19" t="str">
        <f>IFERROR(__xludf.DUMMYFUNCTION("""COMPUTED_VALUE"""),"-")</f>
        <v>-</v>
      </c>
      <c r="O4590" s="24">
        <f t="shared" si="4"/>
        <v>0</v>
      </c>
      <c r="P4590" s="24"/>
      <c r="Q4590" s="24">
        <f t="shared" si="6"/>
        <v>0</v>
      </c>
      <c r="R4590" s="24">
        <f t="shared" si="7"/>
        <v>0</v>
      </c>
      <c r="S4590" s="24"/>
      <c r="T4590" s="24"/>
    </row>
    <row r="4591">
      <c r="A4591" s="12" t="s">
        <v>4678</v>
      </c>
      <c r="F4591" s="19">
        <f>IFERROR(__xludf.DUMMYFUNCTION("SPLIT(A4587, "" |"")"),4585.0)</f>
        <v>4585</v>
      </c>
      <c r="G4591" s="19">
        <f>IFERROR(__xludf.DUMMYFUNCTION("""COMPUTED_VALUE"""),0.00223)</f>
        <v>0.00223</v>
      </c>
      <c r="H4591" s="19" t="str">
        <f>IFERROR(__xludf.DUMMYFUNCTION("""COMPUTED_VALUE"""),"-")</f>
        <v>-</v>
      </c>
      <c r="I4591" s="19">
        <f>IFERROR(__xludf.DUMMYFUNCTION("""COMPUTED_VALUE"""),0.00224)</f>
        <v>0.00224</v>
      </c>
      <c r="J4591" s="19">
        <f>IFERROR(__xludf.DUMMYFUNCTION("""COMPUTED_VALUE"""),0.04513)</f>
        <v>0.04513</v>
      </c>
      <c r="K4591" s="19" t="str">
        <f>IFERROR(__xludf.DUMMYFUNCTION("""COMPUTED_VALUE"""),"-")</f>
        <v>-</v>
      </c>
      <c r="L4591" s="19" t="str">
        <f>IFERROR(__xludf.DUMMYFUNCTION("""COMPUTED_VALUE"""),"-")</f>
        <v>-</v>
      </c>
      <c r="O4591" s="24">
        <f t="shared" si="4"/>
        <v>0</v>
      </c>
      <c r="P4591" s="24"/>
      <c r="Q4591" s="24">
        <f t="shared" si="6"/>
        <v>0</v>
      </c>
      <c r="R4591" s="24">
        <f t="shared" si="7"/>
        <v>0</v>
      </c>
      <c r="S4591" s="24"/>
      <c r="T4591" s="24"/>
    </row>
    <row r="4592">
      <c r="A4592" s="12" t="s">
        <v>4679</v>
      </c>
      <c r="F4592" s="19">
        <f>IFERROR(__xludf.DUMMYFUNCTION("SPLIT(A4588, "" |"")"),4586.0)</f>
        <v>4586</v>
      </c>
      <c r="G4592" s="19">
        <f>IFERROR(__xludf.DUMMYFUNCTION("""COMPUTED_VALUE"""),0.00245)</f>
        <v>0.00245</v>
      </c>
      <c r="H4592" s="19" t="str">
        <f>IFERROR(__xludf.DUMMYFUNCTION("""COMPUTED_VALUE"""),"-")</f>
        <v>-</v>
      </c>
      <c r="I4592" s="19">
        <f>IFERROR(__xludf.DUMMYFUNCTION("""COMPUTED_VALUE"""),0.00218)</f>
        <v>0.00218</v>
      </c>
      <c r="J4592" s="19">
        <f>IFERROR(__xludf.DUMMYFUNCTION("""COMPUTED_VALUE"""),0.04749)</f>
        <v>0.04749</v>
      </c>
      <c r="K4592" s="19" t="str">
        <f>IFERROR(__xludf.DUMMYFUNCTION("""COMPUTED_VALUE"""),"-")</f>
        <v>-</v>
      </c>
      <c r="L4592" s="19" t="str">
        <f>IFERROR(__xludf.DUMMYFUNCTION("""COMPUTED_VALUE"""),"-")</f>
        <v>-</v>
      </c>
      <c r="O4592" s="24">
        <f t="shared" si="4"/>
        <v>0</v>
      </c>
      <c r="P4592" s="24"/>
      <c r="Q4592" s="24">
        <f t="shared" si="6"/>
        <v>0</v>
      </c>
      <c r="R4592" s="24">
        <f t="shared" si="7"/>
        <v>0</v>
      </c>
      <c r="S4592" s="24"/>
      <c r="T4592" s="24"/>
    </row>
    <row r="4593">
      <c r="A4593" s="12" t="s">
        <v>4680</v>
      </c>
      <c r="F4593" s="19">
        <f>IFERROR(__xludf.DUMMYFUNCTION("SPLIT(A4589, "" |"")"),4587.0)</f>
        <v>4587</v>
      </c>
      <c r="G4593" s="19">
        <f>IFERROR(__xludf.DUMMYFUNCTION("""COMPUTED_VALUE"""),0.00234)</f>
        <v>0.00234</v>
      </c>
      <c r="H4593" s="19" t="str">
        <f>IFERROR(__xludf.DUMMYFUNCTION("""COMPUTED_VALUE"""),"-")</f>
        <v>-</v>
      </c>
      <c r="I4593" s="19">
        <f>IFERROR(__xludf.DUMMYFUNCTION("""COMPUTED_VALUE"""),0.00219)</f>
        <v>0.00219</v>
      </c>
      <c r="J4593" s="19">
        <f>IFERROR(__xludf.DUMMYFUNCTION("""COMPUTED_VALUE"""),0.04744)</f>
        <v>0.04744</v>
      </c>
      <c r="K4593" s="19" t="str">
        <f>IFERROR(__xludf.DUMMYFUNCTION("""COMPUTED_VALUE"""),"-")</f>
        <v>-</v>
      </c>
      <c r="L4593" s="19" t="str">
        <f>IFERROR(__xludf.DUMMYFUNCTION("""COMPUTED_VALUE"""),"-")</f>
        <v>-</v>
      </c>
      <c r="O4593" s="24">
        <f t="shared" si="4"/>
        <v>0</v>
      </c>
      <c r="P4593" s="24"/>
      <c r="Q4593" s="24">
        <f t="shared" si="6"/>
        <v>0</v>
      </c>
      <c r="R4593" s="24">
        <f t="shared" si="7"/>
        <v>0</v>
      </c>
      <c r="S4593" s="24"/>
      <c r="T4593" s="24"/>
    </row>
    <row r="4594">
      <c r="A4594" s="12" t="s">
        <v>4681</v>
      </c>
      <c r="F4594" s="19">
        <f>IFERROR(__xludf.DUMMYFUNCTION("SPLIT(A4590, "" |"")"),4588.0)</f>
        <v>4588</v>
      </c>
      <c r="G4594" s="19">
        <f>IFERROR(__xludf.DUMMYFUNCTION("""COMPUTED_VALUE"""),0.00233)</f>
        <v>0.00233</v>
      </c>
      <c r="H4594" s="19" t="str">
        <f>IFERROR(__xludf.DUMMYFUNCTION("""COMPUTED_VALUE"""),"-")</f>
        <v>-</v>
      </c>
      <c r="I4594" s="19">
        <f>IFERROR(__xludf.DUMMYFUNCTION("""COMPUTED_VALUE"""),0.00215)</f>
        <v>0.00215</v>
      </c>
      <c r="J4594" s="19">
        <f>IFERROR(__xludf.DUMMYFUNCTION("""COMPUTED_VALUE"""),0.04743)</f>
        <v>0.04743</v>
      </c>
      <c r="K4594" s="19" t="str">
        <f>IFERROR(__xludf.DUMMYFUNCTION("""COMPUTED_VALUE"""),"-")</f>
        <v>-</v>
      </c>
      <c r="L4594" s="19" t="str">
        <f>IFERROR(__xludf.DUMMYFUNCTION("""COMPUTED_VALUE"""),"-")</f>
        <v>-</v>
      </c>
      <c r="O4594" s="24">
        <f t="shared" si="4"/>
        <v>0</v>
      </c>
      <c r="P4594" s="24"/>
      <c r="Q4594" s="24">
        <f t="shared" si="6"/>
        <v>0</v>
      </c>
      <c r="R4594" s="24">
        <f t="shared" si="7"/>
        <v>0</v>
      </c>
      <c r="S4594" s="24"/>
      <c r="T4594" s="24"/>
    </row>
    <row r="4595">
      <c r="A4595" s="12" t="s">
        <v>4682</v>
      </c>
      <c r="F4595" s="19">
        <f>IFERROR(__xludf.DUMMYFUNCTION("SPLIT(A4591, "" |"")"),4589.0)</f>
        <v>4589</v>
      </c>
      <c r="G4595" s="19">
        <f>IFERROR(__xludf.DUMMYFUNCTION("""COMPUTED_VALUE"""),0.00236)</f>
        <v>0.00236</v>
      </c>
      <c r="H4595" s="19" t="str">
        <f>IFERROR(__xludf.DUMMYFUNCTION("""COMPUTED_VALUE"""),"-")</f>
        <v>-</v>
      </c>
      <c r="I4595" s="19">
        <f>IFERROR(__xludf.DUMMYFUNCTION("""COMPUTED_VALUE"""),0.0022)</f>
        <v>0.0022</v>
      </c>
      <c r="J4595" s="19">
        <f>IFERROR(__xludf.DUMMYFUNCTION("""COMPUTED_VALUE"""),0.04748)</f>
        <v>0.04748</v>
      </c>
      <c r="K4595" s="19" t="str">
        <f>IFERROR(__xludf.DUMMYFUNCTION("""COMPUTED_VALUE"""),"-")</f>
        <v>-</v>
      </c>
      <c r="L4595" s="19" t="str">
        <f>IFERROR(__xludf.DUMMYFUNCTION("""COMPUTED_VALUE"""),"-")</f>
        <v>-</v>
      </c>
      <c r="O4595" s="24">
        <f t="shared" si="4"/>
        <v>0</v>
      </c>
      <c r="P4595" s="24"/>
      <c r="Q4595" s="24">
        <f t="shared" si="6"/>
        <v>0</v>
      </c>
      <c r="R4595" s="24">
        <f t="shared" si="7"/>
        <v>0</v>
      </c>
      <c r="S4595" s="24"/>
      <c r="T4595" s="24"/>
    </row>
    <row r="4596">
      <c r="A4596" s="12" t="s">
        <v>4683</v>
      </c>
      <c r="F4596" s="19">
        <f>IFERROR(__xludf.DUMMYFUNCTION("SPLIT(A4592, "" |"")"),4590.0)</f>
        <v>4590</v>
      </c>
      <c r="G4596" s="19">
        <f>IFERROR(__xludf.DUMMYFUNCTION("""COMPUTED_VALUE"""),0.0024)</f>
        <v>0.0024</v>
      </c>
      <c r="H4596" s="19" t="str">
        <f>IFERROR(__xludf.DUMMYFUNCTION("""COMPUTED_VALUE"""),"-")</f>
        <v>-</v>
      </c>
      <c r="I4596" s="19">
        <f>IFERROR(__xludf.DUMMYFUNCTION("""COMPUTED_VALUE"""),0.00218)</f>
        <v>0.00218</v>
      </c>
      <c r="J4596" s="19">
        <f>IFERROR(__xludf.DUMMYFUNCTION("""COMPUTED_VALUE"""),0.04447)</f>
        <v>0.04447</v>
      </c>
      <c r="K4596" s="19" t="str">
        <f>IFERROR(__xludf.DUMMYFUNCTION("""COMPUTED_VALUE"""),"-")</f>
        <v>-</v>
      </c>
      <c r="L4596" s="19" t="str">
        <f>IFERROR(__xludf.DUMMYFUNCTION("""COMPUTED_VALUE"""),"-")</f>
        <v>-</v>
      </c>
      <c r="O4596" s="24">
        <f t="shared" si="4"/>
        <v>0</v>
      </c>
      <c r="P4596" s="24"/>
      <c r="Q4596" s="24">
        <f t="shared" si="6"/>
        <v>0</v>
      </c>
      <c r="R4596" s="24">
        <f t="shared" si="7"/>
        <v>1</v>
      </c>
      <c r="S4596" s="24"/>
      <c r="T4596" s="24"/>
    </row>
    <row r="4597">
      <c r="A4597" s="12" t="s">
        <v>4684</v>
      </c>
      <c r="F4597" s="19">
        <f>IFERROR(__xludf.DUMMYFUNCTION("SPLIT(A4593, "" |"")"),4591.0)</f>
        <v>4591</v>
      </c>
      <c r="G4597" s="19">
        <f>IFERROR(__xludf.DUMMYFUNCTION("""COMPUTED_VALUE"""),0.00224)</f>
        <v>0.00224</v>
      </c>
      <c r="H4597" s="19" t="str">
        <f>IFERROR(__xludf.DUMMYFUNCTION("""COMPUTED_VALUE"""),"-")</f>
        <v>-</v>
      </c>
      <c r="I4597" s="19">
        <f>IFERROR(__xludf.DUMMYFUNCTION("""COMPUTED_VALUE"""),0.00214)</f>
        <v>0.00214</v>
      </c>
      <c r="J4597" s="19">
        <f>IFERROR(__xludf.DUMMYFUNCTION("""COMPUTED_VALUE"""),0.04743)</f>
        <v>0.04743</v>
      </c>
      <c r="K4597" s="19" t="str">
        <f>IFERROR(__xludf.DUMMYFUNCTION("""COMPUTED_VALUE"""),"-")</f>
        <v>-</v>
      </c>
      <c r="L4597" s="19" t="str">
        <f>IFERROR(__xludf.DUMMYFUNCTION("""COMPUTED_VALUE"""),"-")</f>
        <v>-</v>
      </c>
      <c r="O4597" s="24">
        <f t="shared" si="4"/>
        <v>0</v>
      </c>
      <c r="P4597" s="24"/>
      <c r="Q4597" s="24">
        <f t="shared" si="6"/>
        <v>0</v>
      </c>
      <c r="R4597" s="24">
        <f t="shared" si="7"/>
        <v>0</v>
      </c>
      <c r="S4597" s="24"/>
      <c r="T4597" s="24"/>
    </row>
    <row r="4598">
      <c r="A4598" s="12" t="s">
        <v>4685</v>
      </c>
      <c r="F4598" s="19">
        <f>IFERROR(__xludf.DUMMYFUNCTION("SPLIT(A4594, "" |"")"),4592.0)</f>
        <v>4592</v>
      </c>
      <c r="G4598" s="19">
        <f>IFERROR(__xludf.DUMMYFUNCTION("""COMPUTED_VALUE"""),0.00237)</f>
        <v>0.00237</v>
      </c>
      <c r="H4598" s="19" t="str">
        <f>IFERROR(__xludf.DUMMYFUNCTION("""COMPUTED_VALUE"""),"-")</f>
        <v>-</v>
      </c>
      <c r="I4598" s="19">
        <f>IFERROR(__xludf.DUMMYFUNCTION("""COMPUTED_VALUE"""),0.00218)</f>
        <v>0.00218</v>
      </c>
      <c r="J4598" s="19">
        <f>IFERROR(__xludf.DUMMYFUNCTION("""COMPUTED_VALUE"""),0.04744)</f>
        <v>0.04744</v>
      </c>
      <c r="K4598" s="19" t="str">
        <f>IFERROR(__xludf.DUMMYFUNCTION("""COMPUTED_VALUE"""),"-")</f>
        <v>-</v>
      </c>
      <c r="L4598" s="19" t="str">
        <f>IFERROR(__xludf.DUMMYFUNCTION("""COMPUTED_VALUE"""),"-")</f>
        <v>-</v>
      </c>
      <c r="O4598" s="24">
        <f t="shared" si="4"/>
        <v>0</v>
      </c>
      <c r="P4598" s="24"/>
      <c r="Q4598" s="24">
        <f t="shared" si="6"/>
        <v>0</v>
      </c>
      <c r="R4598" s="24">
        <f t="shared" si="7"/>
        <v>0</v>
      </c>
      <c r="S4598" s="24"/>
      <c r="T4598" s="24"/>
    </row>
    <row r="4599">
      <c r="A4599" s="12" t="s">
        <v>4686</v>
      </c>
      <c r="F4599" s="19">
        <f>IFERROR(__xludf.DUMMYFUNCTION("SPLIT(A4595, "" |"")"),4593.0)</f>
        <v>4593</v>
      </c>
      <c r="G4599" s="19">
        <f>IFERROR(__xludf.DUMMYFUNCTION("""COMPUTED_VALUE"""),0.00234)</f>
        <v>0.00234</v>
      </c>
      <c r="H4599" s="19" t="str">
        <f>IFERROR(__xludf.DUMMYFUNCTION("""COMPUTED_VALUE"""),"-")</f>
        <v>-</v>
      </c>
      <c r="I4599" s="19">
        <f>IFERROR(__xludf.DUMMYFUNCTION("""COMPUTED_VALUE"""),0.0022)</f>
        <v>0.0022</v>
      </c>
      <c r="J4599" s="19">
        <f>IFERROR(__xludf.DUMMYFUNCTION("""COMPUTED_VALUE"""),0.04742)</f>
        <v>0.04742</v>
      </c>
      <c r="K4599" s="19" t="str">
        <f>IFERROR(__xludf.DUMMYFUNCTION("""COMPUTED_VALUE"""),"-")</f>
        <v>-</v>
      </c>
      <c r="L4599" s="19" t="str">
        <f>IFERROR(__xludf.DUMMYFUNCTION("""COMPUTED_VALUE"""),"-")</f>
        <v>-</v>
      </c>
      <c r="O4599" s="24">
        <f t="shared" si="4"/>
        <v>0</v>
      </c>
      <c r="P4599" s="24"/>
      <c r="Q4599" s="24">
        <f t="shared" si="6"/>
        <v>0</v>
      </c>
      <c r="R4599" s="24">
        <f t="shared" si="7"/>
        <v>0</v>
      </c>
      <c r="S4599" s="24"/>
      <c r="T4599" s="24"/>
    </row>
    <row r="4600">
      <c r="A4600" s="12" t="s">
        <v>4687</v>
      </c>
      <c r="F4600" s="19">
        <f>IFERROR(__xludf.DUMMYFUNCTION("SPLIT(A4596, "" |"")"),4594.0)</f>
        <v>4594</v>
      </c>
      <c r="G4600" s="19">
        <f>IFERROR(__xludf.DUMMYFUNCTION("""COMPUTED_VALUE"""),0.0024)</f>
        <v>0.0024</v>
      </c>
      <c r="H4600" s="19" t="str">
        <f>IFERROR(__xludf.DUMMYFUNCTION("""COMPUTED_VALUE"""),"-")</f>
        <v>-</v>
      </c>
      <c r="I4600" s="19">
        <f>IFERROR(__xludf.DUMMYFUNCTION("""COMPUTED_VALUE"""),0.0022)</f>
        <v>0.0022</v>
      </c>
      <c r="J4600" s="19">
        <f>IFERROR(__xludf.DUMMYFUNCTION("""COMPUTED_VALUE"""),0.04745)</f>
        <v>0.04745</v>
      </c>
      <c r="K4600" s="19" t="str">
        <f>IFERROR(__xludf.DUMMYFUNCTION("""COMPUTED_VALUE"""),"-")</f>
        <v>-</v>
      </c>
      <c r="L4600" s="19" t="str">
        <f>IFERROR(__xludf.DUMMYFUNCTION("""COMPUTED_VALUE"""),"-")</f>
        <v>-</v>
      </c>
      <c r="O4600" s="24">
        <f t="shared" si="4"/>
        <v>0</v>
      </c>
      <c r="P4600" s="24"/>
      <c r="Q4600" s="24">
        <f t="shared" si="6"/>
        <v>0</v>
      </c>
      <c r="R4600" s="24">
        <f t="shared" si="7"/>
        <v>0</v>
      </c>
      <c r="S4600" s="24"/>
      <c r="T4600" s="24"/>
    </row>
    <row r="4601">
      <c r="A4601" s="12" t="s">
        <v>4688</v>
      </c>
      <c r="F4601" s="19">
        <f>IFERROR(__xludf.DUMMYFUNCTION("SPLIT(A4597, "" |"")"),4595.0)</f>
        <v>4595</v>
      </c>
      <c r="G4601" s="19">
        <f>IFERROR(__xludf.DUMMYFUNCTION("""COMPUTED_VALUE"""),0.00232)</f>
        <v>0.00232</v>
      </c>
      <c r="H4601" s="19" t="str">
        <f>IFERROR(__xludf.DUMMYFUNCTION("""COMPUTED_VALUE"""),"-")</f>
        <v>-</v>
      </c>
      <c r="I4601" s="19">
        <f>IFERROR(__xludf.DUMMYFUNCTION("""COMPUTED_VALUE"""),0.00219)</f>
        <v>0.00219</v>
      </c>
      <c r="J4601" s="19">
        <f>IFERROR(__xludf.DUMMYFUNCTION("""COMPUTED_VALUE"""),0.03947)</f>
        <v>0.03947</v>
      </c>
      <c r="K4601" s="19" t="str">
        <f>IFERROR(__xludf.DUMMYFUNCTION("""COMPUTED_VALUE"""),"-")</f>
        <v>-</v>
      </c>
      <c r="L4601" s="19" t="str">
        <f>IFERROR(__xludf.DUMMYFUNCTION("""COMPUTED_VALUE"""),"-")</f>
        <v>-</v>
      </c>
      <c r="O4601" s="24">
        <f t="shared" si="4"/>
        <v>0</v>
      </c>
      <c r="P4601" s="24"/>
      <c r="Q4601" s="24">
        <f t="shared" si="6"/>
        <v>0</v>
      </c>
      <c r="R4601" s="24">
        <f t="shared" si="7"/>
        <v>1</v>
      </c>
      <c r="S4601" s="24"/>
      <c r="T4601" s="24"/>
    </row>
    <row r="4602">
      <c r="A4602" s="12" t="s">
        <v>4689</v>
      </c>
      <c r="F4602" s="19">
        <f>IFERROR(__xludf.DUMMYFUNCTION("SPLIT(A4598, "" |"")"),4596.0)</f>
        <v>4596</v>
      </c>
      <c r="G4602" s="19">
        <f>IFERROR(__xludf.DUMMYFUNCTION("""COMPUTED_VALUE"""),0.00232)</f>
        <v>0.00232</v>
      </c>
      <c r="H4602" s="19" t="str">
        <f>IFERROR(__xludf.DUMMYFUNCTION("""COMPUTED_VALUE"""),"-")</f>
        <v>-</v>
      </c>
      <c r="I4602" s="19">
        <f>IFERROR(__xludf.DUMMYFUNCTION("""COMPUTED_VALUE"""),0.00204)</f>
        <v>0.00204</v>
      </c>
      <c r="J4602" s="19">
        <f>IFERROR(__xludf.DUMMYFUNCTION("""COMPUTED_VALUE"""),0.04698)</f>
        <v>0.04698</v>
      </c>
      <c r="K4602" s="19" t="str">
        <f>IFERROR(__xludf.DUMMYFUNCTION("""COMPUTED_VALUE"""),"-")</f>
        <v>-</v>
      </c>
      <c r="L4602" s="19" t="str">
        <f>IFERROR(__xludf.DUMMYFUNCTION("""COMPUTED_VALUE"""),"-")</f>
        <v>-</v>
      </c>
      <c r="O4602" s="24">
        <f t="shared" si="4"/>
        <v>0</v>
      </c>
      <c r="P4602" s="24"/>
      <c r="Q4602" s="24">
        <f t="shared" si="6"/>
        <v>0</v>
      </c>
      <c r="R4602" s="24">
        <f t="shared" si="7"/>
        <v>0</v>
      </c>
      <c r="S4602" s="24"/>
      <c r="T4602" s="24"/>
    </row>
    <row r="4603">
      <c r="A4603" s="12" t="s">
        <v>4690</v>
      </c>
      <c r="F4603" s="19">
        <f>IFERROR(__xludf.DUMMYFUNCTION("SPLIT(A4599, "" |"")"),4597.0)</f>
        <v>4597</v>
      </c>
      <c r="G4603" s="19">
        <f>IFERROR(__xludf.DUMMYFUNCTION("""COMPUTED_VALUE"""),0.00236)</f>
        <v>0.00236</v>
      </c>
      <c r="H4603" s="19" t="str">
        <f>IFERROR(__xludf.DUMMYFUNCTION("""COMPUTED_VALUE"""),"-")</f>
        <v>-</v>
      </c>
      <c r="I4603" s="19">
        <f>IFERROR(__xludf.DUMMYFUNCTION("""COMPUTED_VALUE"""),0.00209)</f>
        <v>0.00209</v>
      </c>
      <c r="J4603" s="19">
        <f>IFERROR(__xludf.DUMMYFUNCTION("""COMPUTED_VALUE"""),0.04736)</f>
        <v>0.04736</v>
      </c>
      <c r="K4603" s="19" t="str">
        <f>IFERROR(__xludf.DUMMYFUNCTION("""COMPUTED_VALUE"""),"-")</f>
        <v>-</v>
      </c>
      <c r="L4603" s="19" t="str">
        <f>IFERROR(__xludf.DUMMYFUNCTION("""COMPUTED_VALUE"""),"-")</f>
        <v>-</v>
      </c>
      <c r="O4603" s="24">
        <f t="shared" si="4"/>
        <v>0</v>
      </c>
      <c r="P4603" s="24"/>
      <c r="Q4603" s="24">
        <f t="shared" si="6"/>
        <v>0</v>
      </c>
      <c r="R4603" s="24">
        <f t="shared" si="7"/>
        <v>0</v>
      </c>
      <c r="S4603" s="24"/>
      <c r="T4603" s="24"/>
    </row>
    <row r="4604">
      <c r="A4604" s="12" t="s">
        <v>4691</v>
      </c>
      <c r="F4604" s="19">
        <f>IFERROR(__xludf.DUMMYFUNCTION("SPLIT(A4600, "" |"")"),4598.0)</f>
        <v>4598</v>
      </c>
      <c r="G4604" s="19">
        <f>IFERROR(__xludf.DUMMYFUNCTION("""COMPUTED_VALUE"""),0.0024)</f>
        <v>0.0024</v>
      </c>
      <c r="H4604" s="19" t="str">
        <f>IFERROR(__xludf.DUMMYFUNCTION("""COMPUTED_VALUE"""),"-")</f>
        <v>-</v>
      </c>
      <c r="I4604" s="19">
        <f>IFERROR(__xludf.DUMMYFUNCTION("""COMPUTED_VALUE"""),0.0022)</f>
        <v>0.0022</v>
      </c>
      <c r="J4604" s="19">
        <f>IFERROR(__xludf.DUMMYFUNCTION("""COMPUTED_VALUE"""),0.04697)</f>
        <v>0.04697</v>
      </c>
      <c r="K4604" s="19" t="str">
        <f>IFERROR(__xludf.DUMMYFUNCTION("""COMPUTED_VALUE"""),"-")</f>
        <v>-</v>
      </c>
      <c r="L4604" s="19" t="str">
        <f>IFERROR(__xludf.DUMMYFUNCTION("""COMPUTED_VALUE"""),"-")</f>
        <v>-</v>
      </c>
      <c r="O4604" s="24">
        <f t="shared" si="4"/>
        <v>0</v>
      </c>
      <c r="P4604" s="24"/>
      <c r="Q4604" s="24">
        <f t="shared" si="6"/>
        <v>0</v>
      </c>
      <c r="R4604" s="24">
        <f t="shared" si="7"/>
        <v>0</v>
      </c>
      <c r="S4604" s="24"/>
      <c r="T4604" s="24"/>
    </row>
    <row r="4605">
      <c r="A4605" s="12" t="s">
        <v>4692</v>
      </c>
      <c r="F4605" s="19">
        <f>IFERROR(__xludf.DUMMYFUNCTION("SPLIT(A4601, "" |"")"),4599.0)</f>
        <v>4599</v>
      </c>
      <c r="G4605" s="19">
        <f>IFERROR(__xludf.DUMMYFUNCTION("""COMPUTED_VALUE"""),0.00232)</f>
        <v>0.00232</v>
      </c>
      <c r="H4605" s="19" t="str">
        <f>IFERROR(__xludf.DUMMYFUNCTION("""COMPUTED_VALUE"""),"-")</f>
        <v>-</v>
      </c>
      <c r="I4605" s="19">
        <f>IFERROR(__xludf.DUMMYFUNCTION("""COMPUTED_VALUE"""),0.00223)</f>
        <v>0.00223</v>
      </c>
      <c r="J4605" s="19">
        <f>IFERROR(__xludf.DUMMYFUNCTION("""COMPUTED_VALUE"""),0.04459)</f>
        <v>0.04459</v>
      </c>
      <c r="K4605" s="19" t="str">
        <f>IFERROR(__xludf.DUMMYFUNCTION("""COMPUTED_VALUE"""),"-")</f>
        <v>-</v>
      </c>
      <c r="L4605" s="19" t="str">
        <f>IFERROR(__xludf.DUMMYFUNCTION("""COMPUTED_VALUE"""),"-")</f>
        <v>-</v>
      </c>
      <c r="O4605" s="24">
        <f t="shared" si="4"/>
        <v>0</v>
      </c>
      <c r="P4605" s="24"/>
      <c r="Q4605" s="24">
        <f t="shared" si="6"/>
        <v>0</v>
      </c>
      <c r="R4605" s="24">
        <f t="shared" si="7"/>
        <v>1</v>
      </c>
      <c r="S4605" s="24"/>
      <c r="T4605" s="24"/>
    </row>
    <row r="4606">
      <c r="A4606" s="12" t="s">
        <v>4693</v>
      </c>
      <c r="F4606" s="19">
        <f>IFERROR(__xludf.DUMMYFUNCTION("SPLIT(A4602, "" |"")"),4600.0)</f>
        <v>4600</v>
      </c>
      <c r="G4606" s="19">
        <f>IFERROR(__xludf.DUMMYFUNCTION("""COMPUTED_VALUE"""),0.00234)</f>
        <v>0.00234</v>
      </c>
      <c r="H4606" s="19" t="str">
        <f>IFERROR(__xludf.DUMMYFUNCTION("""COMPUTED_VALUE"""),"-")</f>
        <v>-</v>
      </c>
      <c r="I4606" s="19">
        <f>IFERROR(__xludf.DUMMYFUNCTION("""COMPUTED_VALUE"""),0.00216)</f>
        <v>0.00216</v>
      </c>
      <c r="J4606" s="19">
        <f>IFERROR(__xludf.DUMMYFUNCTION("""COMPUTED_VALUE"""),0.04746)</f>
        <v>0.04746</v>
      </c>
      <c r="K4606" s="19" t="str">
        <f>IFERROR(__xludf.DUMMYFUNCTION("""COMPUTED_VALUE"""),"-")</f>
        <v>-</v>
      </c>
      <c r="L4606" s="19" t="str">
        <f>IFERROR(__xludf.DUMMYFUNCTION("""COMPUTED_VALUE"""),"-")</f>
        <v>-</v>
      </c>
      <c r="O4606" s="24">
        <f t="shared" si="4"/>
        <v>0</v>
      </c>
      <c r="P4606" s="24"/>
      <c r="Q4606" s="24">
        <f t="shared" si="6"/>
        <v>0</v>
      </c>
      <c r="R4606" s="24">
        <f t="shared" si="7"/>
        <v>0</v>
      </c>
      <c r="S4606" s="24"/>
      <c r="T4606" s="24"/>
    </row>
    <row r="4607">
      <c r="A4607" s="12" t="s">
        <v>4694</v>
      </c>
      <c r="F4607" s="19">
        <f>IFERROR(__xludf.DUMMYFUNCTION("SPLIT(A4603, "" |"")"),4601.0)</f>
        <v>4601</v>
      </c>
      <c r="G4607" s="19">
        <f>IFERROR(__xludf.DUMMYFUNCTION("""COMPUTED_VALUE"""),0.00231)</f>
        <v>0.00231</v>
      </c>
      <c r="H4607" s="19" t="str">
        <f>IFERROR(__xludf.DUMMYFUNCTION("""COMPUTED_VALUE"""),"-")</f>
        <v>-</v>
      </c>
      <c r="I4607" s="19">
        <f>IFERROR(__xludf.DUMMYFUNCTION("""COMPUTED_VALUE"""),0.00216)</f>
        <v>0.00216</v>
      </c>
      <c r="J4607" s="19">
        <f>IFERROR(__xludf.DUMMYFUNCTION("""COMPUTED_VALUE"""),0.04742)</f>
        <v>0.04742</v>
      </c>
      <c r="K4607" s="19" t="str">
        <f>IFERROR(__xludf.DUMMYFUNCTION("""COMPUTED_VALUE"""),"-")</f>
        <v>-</v>
      </c>
      <c r="L4607" s="19" t="str">
        <f>IFERROR(__xludf.DUMMYFUNCTION("""COMPUTED_VALUE"""),"-")</f>
        <v>-</v>
      </c>
      <c r="O4607" s="24">
        <f t="shared" si="4"/>
        <v>0</v>
      </c>
      <c r="P4607" s="24"/>
      <c r="Q4607" s="24">
        <f t="shared" si="6"/>
        <v>0</v>
      </c>
      <c r="R4607" s="24">
        <f t="shared" si="7"/>
        <v>0</v>
      </c>
      <c r="S4607" s="24"/>
      <c r="T4607" s="24"/>
    </row>
    <row r="4608">
      <c r="A4608" s="12" t="s">
        <v>4695</v>
      </c>
      <c r="F4608" s="19">
        <f>IFERROR(__xludf.DUMMYFUNCTION("SPLIT(A4604, "" |"")"),4602.0)</f>
        <v>4602</v>
      </c>
      <c r="G4608" s="19">
        <f>IFERROR(__xludf.DUMMYFUNCTION("""COMPUTED_VALUE"""),0.00241)</f>
        <v>0.00241</v>
      </c>
      <c r="H4608" s="19" t="str">
        <f>IFERROR(__xludf.DUMMYFUNCTION("""COMPUTED_VALUE"""),"-")</f>
        <v>-</v>
      </c>
      <c r="I4608" s="19">
        <f>IFERROR(__xludf.DUMMYFUNCTION("""COMPUTED_VALUE"""),0.00217)</f>
        <v>0.00217</v>
      </c>
      <c r="J4608" s="19">
        <f>IFERROR(__xludf.DUMMYFUNCTION("""COMPUTED_VALUE"""),0.04743)</f>
        <v>0.04743</v>
      </c>
      <c r="K4608" s="19" t="str">
        <f>IFERROR(__xludf.DUMMYFUNCTION("""COMPUTED_VALUE"""),"-")</f>
        <v>-</v>
      </c>
      <c r="L4608" s="19" t="str">
        <f>IFERROR(__xludf.DUMMYFUNCTION("""COMPUTED_VALUE"""),"-")</f>
        <v>-</v>
      </c>
      <c r="O4608" s="24">
        <f t="shared" si="4"/>
        <v>0</v>
      </c>
      <c r="P4608" s="24"/>
      <c r="Q4608" s="24">
        <f t="shared" si="6"/>
        <v>0</v>
      </c>
      <c r="R4608" s="24">
        <f t="shared" si="7"/>
        <v>0</v>
      </c>
      <c r="S4608" s="24"/>
      <c r="T4608" s="24"/>
    </row>
    <row r="4609">
      <c r="A4609" s="12" t="s">
        <v>4696</v>
      </c>
      <c r="F4609" s="19">
        <f>IFERROR(__xludf.DUMMYFUNCTION("SPLIT(A4605, "" |"")"),4603.0)</f>
        <v>4603</v>
      </c>
      <c r="G4609" s="19">
        <f>IFERROR(__xludf.DUMMYFUNCTION("""COMPUTED_VALUE"""),0.00226)</f>
        <v>0.00226</v>
      </c>
      <c r="H4609" s="19" t="str">
        <f>IFERROR(__xludf.DUMMYFUNCTION("""COMPUTED_VALUE"""),"-")</f>
        <v>-</v>
      </c>
      <c r="I4609" s="19">
        <f>IFERROR(__xludf.DUMMYFUNCTION("""COMPUTED_VALUE"""),0.00208)</f>
        <v>0.00208</v>
      </c>
      <c r="J4609" s="19">
        <f>IFERROR(__xludf.DUMMYFUNCTION("""COMPUTED_VALUE"""),0.04425)</f>
        <v>0.04425</v>
      </c>
      <c r="K4609" s="19" t="str">
        <f>IFERROR(__xludf.DUMMYFUNCTION("""COMPUTED_VALUE"""),"-")</f>
        <v>-</v>
      </c>
      <c r="L4609" s="19" t="str">
        <f>IFERROR(__xludf.DUMMYFUNCTION("""COMPUTED_VALUE"""),"-")</f>
        <v>-</v>
      </c>
      <c r="O4609" s="24">
        <f t="shared" si="4"/>
        <v>0</v>
      </c>
      <c r="P4609" s="24"/>
      <c r="Q4609" s="24">
        <f t="shared" si="6"/>
        <v>0</v>
      </c>
      <c r="R4609" s="24">
        <f t="shared" si="7"/>
        <v>1</v>
      </c>
      <c r="S4609" s="24"/>
      <c r="T4609" s="24"/>
    </row>
    <row r="4610">
      <c r="A4610" s="12" t="s">
        <v>4697</v>
      </c>
      <c r="F4610" s="19">
        <f>IFERROR(__xludf.DUMMYFUNCTION("SPLIT(A4606, "" |"")"),4604.0)</f>
        <v>4604</v>
      </c>
      <c r="G4610" s="19">
        <f>IFERROR(__xludf.DUMMYFUNCTION("""COMPUTED_VALUE"""),0.00224)</f>
        <v>0.00224</v>
      </c>
      <c r="H4610" s="19" t="str">
        <f>IFERROR(__xludf.DUMMYFUNCTION("""COMPUTED_VALUE"""),"-")</f>
        <v>-</v>
      </c>
      <c r="I4610" s="19">
        <f>IFERROR(__xludf.DUMMYFUNCTION("""COMPUTED_VALUE"""),0.00209)</f>
        <v>0.00209</v>
      </c>
      <c r="J4610" s="19">
        <f>IFERROR(__xludf.DUMMYFUNCTION("""COMPUTED_VALUE"""),0.03877)</f>
        <v>0.03877</v>
      </c>
      <c r="K4610" s="19" t="str">
        <f>IFERROR(__xludf.DUMMYFUNCTION("""COMPUTED_VALUE"""),"-")</f>
        <v>-</v>
      </c>
      <c r="L4610" s="19" t="str">
        <f>IFERROR(__xludf.DUMMYFUNCTION("""COMPUTED_VALUE"""),"-")</f>
        <v>-</v>
      </c>
      <c r="O4610" s="24">
        <f t="shared" si="4"/>
        <v>0</v>
      </c>
      <c r="P4610" s="24"/>
      <c r="Q4610" s="24">
        <f t="shared" si="6"/>
        <v>0</v>
      </c>
      <c r="R4610" s="24">
        <f t="shared" si="7"/>
        <v>1</v>
      </c>
      <c r="S4610" s="24"/>
      <c r="T4610" s="24"/>
    </row>
    <row r="4611">
      <c r="A4611" s="12" t="s">
        <v>4698</v>
      </c>
      <c r="F4611" s="19">
        <f>IFERROR(__xludf.DUMMYFUNCTION("SPLIT(A4607, "" |"")"),4605.0)</f>
        <v>4605</v>
      </c>
      <c r="G4611" s="19">
        <f>IFERROR(__xludf.DUMMYFUNCTION("""COMPUTED_VALUE"""),0.00232)</f>
        <v>0.00232</v>
      </c>
      <c r="H4611" s="19" t="str">
        <f>IFERROR(__xludf.DUMMYFUNCTION("""COMPUTED_VALUE"""),"-")</f>
        <v>-</v>
      </c>
      <c r="I4611" s="19">
        <f>IFERROR(__xludf.DUMMYFUNCTION("""COMPUTED_VALUE"""),0.00211)</f>
        <v>0.00211</v>
      </c>
      <c r="J4611" s="19">
        <f>IFERROR(__xludf.DUMMYFUNCTION("""COMPUTED_VALUE"""),0.04749)</f>
        <v>0.04749</v>
      </c>
      <c r="K4611" s="19" t="str">
        <f>IFERROR(__xludf.DUMMYFUNCTION("""COMPUTED_VALUE"""),"-")</f>
        <v>-</v>
      </c>
      <c r="L4611" s="19" t="str">
        <f>IFERROR(__xludf.DUMMYFUNCTION("""COMPUTED_VALUE"""),"-")</f>
        <v>-</v>
      </c>
      <c r="O4611" s="24">
        <f t="shared" si="4"/>
        <v>0</v>
      </c>
      <c r="P4611" s="24"/>
      <c r="Q4611" s="24">
        <f t="shared" si="6"/>
        <v>0</v>
      </c>
      <c r="R4611" s="24">
        <f t="shared" si="7"/>
        <v>0</v>
      </c>
      <c r="S4611" s="24"/>
      <c r="T4611" s="24"/>
    </row>
    <row r="4612">
      <c r="A4612" s="12" t="s">
        <v>4699</v>
      </c>
      <c r="F4612" s="19">
        <f>IFERROR(__xludf.DUMMYFUNCTION("SPLIT(A4608, "" |"")"),4606.0)</f>
        <v>4606</v>
      </c>
      <c r="G4612" s="19">
        <f>IFERROR(__xludf.DUMMYFUNCTION("""COMPUTED_VALUE"""),0.00238)</f>
        <v>0.00238</v>
      </c>
      <c r="H4612" s="19" t="str">
        <f>IFERROR(__xludf.DUMMYFUNCTION("""COMPUTED_VALUE"""),"-")</f>
        <v>-</v>
      </c>
      <c r="I4612" s="19">
        <f>IFERROR(__xludf.DUMMYFUNCTION("""COMPUTED_VALUE"""),0.0021)</f>
        <v>0.0021</v>
      </c>
      <c r="J4612" s="19">
        <f>IFERROR(__xludf.DUMMYFUNCTION("""COMPUTED_VALUE"""),0.04749)</f>
        <v>0.04749</v>
      </c>
      <c r="K4612" s="19" t="str">
        <f>IFERROR(__xludf.DUMMYFUNCTION("""COMPUTED_VALUE"""),"-")</f>
        <v>-</v>
      </c>
      <c r="L4612" s="19" t="str">
        <f>IFERROR(__xludf.DUMMYFUNCTION("""COMPUTED_VALUE"""),"-")</f>
        <v>-</v>
      </c>
      <c r="O4612" s="24">
        <f t="shared" si="4"/>
        <v>0</v>
      </c>
      <c r="P4612" s="24"/>
      <c r="Q4612" s="24">
        <f t="shared" si="6"/>
        <v>0</v>
      </c>
      <c r="R4612" s="24">
        <f t="shared" si="7"/>
        <v>0</v>
      </c>
      <c r="S4612" s="24"/>
      <c r="T4612" s="24"/>
    </row>
    <row r="4613">
      <c r="A4613" s="12" t="s">
        <v>4700</v>
      </c>
      <c r="F4613" s="19">
        <f>IFERROR(__xludf.DUMMYFUNCTION("SPLIT(A4609, "" |"")"),4607.0)</f>
        <v>4607</v>
      </c>
      <c r="G4613" s="19">
        <f>IFERROR(__xludf.DUMMYFUNCTION("""COMPUTED_VALUE"""),0.00233)</f>
        <v>0.00233</v>
      </c>
      <c r="H4613" s="19" t="str">
        <f>IFERROR(__xludf.DUMMYFUNCTION("""COMPUTED_VALUE"""),"-")</f>
        <v>-</v>
      </c>
      <c r="I4613" s="19">
        <f>IFERROR(__xludf.DUMMYFUNCTION("""COMPUTED_VALUE"""),0.00216)</f>
        <v>0.00216</v>
      </c>
      <c r="J4613" s="19">
        <f>IFERROR(__xludf.DUMMYFUNCTION("""COMPUTED_VALUE"""),0.0474)</f>
        <v>0.0474</v>
      </c>
      <c r="K4613" s="19" t="str">
        <f>IFERROR(__xludf.DUMMYFUNCTION("""COMPUTED_VALUE"""),"-")</f>
        <v>-</v>
      </c>
      <c r="L4613" s="19" t="str">
        <f>IFERROR(__xludf.DUMMYFUNCTION("""COMPUTED_VALUE"""),"-")</f>
        <v>-</v>
      </c>
      <c r="O4613" s="24">
        <f t="shared" si="4"/>
        <v>0</v>
      </c>
      <c r="P4613" s="24"/>
      <c r="Q4613" s="24">
        <f t="shared" si="6"/>
        <v>0</v>
      </c>
      <c r="R4613" s="24">
        <f t="shared" si="7"/>
        <v>0</v>
      </c>
      <c r="S4613" s="24"/>
      <c r="T4613" s="24"/>
    </row>
    <row r="4614">
      <c r="A4614" s="12" t="s">
        <v>4701</v>
      </c>
      <c r="F4614" s="19">
        <f>IFERROR(__xludf.DUMMYFUNCTION("SPLIT(A4610, "" |"")"),4608.0)</f>
        <v>4608</v>
      </c>
      <c r="G4614" s="19">
        <f>IFERROR(__xludf.DUMMYFUNCTION("""COMPUTED_VALUE"""),0.00242)</f>
        <v>0.00242</v>
      </c>
      <c r="H4614" s="19" t="str">
        <f>IFERROR(__xludf.DUMMYFUNCTION("""COMPUTED_VALUE"""),"-")</f>
        <v>-</v>
      </c>
      <c r="I4614" s="19">
        <f>IFERROR(__xludf.DUMMYFUNCTION("""COMPUTED_VALUE"""),0.00218)</f>
        <v>0.00218</v>
      </c>
      <c r="J4614" s="19">
        <f>IFERROR(__xludf.DUMMYFUNCTION("""COMPUTED_VALUE"""),0.04744)</f>
        <v>0.04744</v>
      </c>
      <c r="K4614" s="19" t="str">
        <f>IFERROR(__xludf.DUMMYFUNCTION("""COMPUTED_VALUE"""),"-")</f>
        <v>-</v>
      </c>
      <c r="L4614" s="19" t="str">
        <f>IFERROR(__xludf.DUMMYFUNCTION("""COMPUTED_VALUE"""),"-")</f>
        <v>-</v>
      </c>
      <c r="O4614" s="24">
        <f t="shared" si="4"/>
        <v>0</v>
      </c>
      <c r="P4614" s="24"/>
      <c r="Q4614" s="24">
        <f t="shared" si="6"/>
        <v>0</v>
      </c>
      <c r="R4614" s="24">
        <f t="shared" si="7"/>
        <v>0</v>
      </c>
      <c r="S4614" s="24"/>
      <c r="T4614" s="24"/>
    </row>
    <row r="4615">
      <c r="A4615" s="12" t="s">
        <v>4702</v>
      </c>
      <c r="F4615" s="19">
        <f>IFERROR(__xludf.DUMMYFUNCTION("SPLIT(A4611, "" |"")"),4609.0)</f>
        <v>4609</v>
      </c>
      <c r="G4615" s="19">
        <f>IFERROR(__xludf.DUMMYFUNCTION("""COMPUTED_VALUE"""),0.00233)</f>
        <v>0.00233</v>
      </c>
      <c r="H4615" s="19" t="str">
        <f>IFERROR(__xludf.DUMMYFUNCTION("""COMPUTED_VALUE"""),"-")</f>
        <v>-</v>
      </c>
      <c r="I4615" s="19">
        <f>IFERROR(__xludf.DUMMYFUNCTION("""COMPUTED_VALUE"""),0.00223)</f>
        <v>0.00223</v>
      </c>
      <c r="J4615" s="19">
        <f>IFERROR(__xludf.DUMMYFUNCTION("""COMPUTED_VALUE"""),0.04744)</f>
        <v>0.04744</v>
      </c>
      <c r="K4615" s="19" t="str">
        <f>IFERROR(__xludf.DUMMYFUNCTION("""COMPUTED_VALUE"""),"-")</f>
        <v>-</v>
      </c>
      <c r="L4615" s="19" t="str">
        <f>IFERROR(__xludf.DUMMYFUNCTION("""COMPUTED_VALUE"""),"-")</f>
        <v>-</v>
      </c>
      <c r="O4615" s="24">
        <f t="shared" si="4"/>
        <v>0</v>
      </c>
      <c r="P4615" s="24"/>
      <c r="Q4615" s="24">
        <f t="shared" si="6"/>
        <v>0</v>
      </c>
      <c r="R4615" s="24">
        <f t="shared" si="7"/>
        <v>0</v>
      </c>
      <c r="S4615" s="24"/>
      <c r="T4615" s="24"/>
    </row>
    <row r="4616">
      <c r="A4616" s="12" t="s">
        <v>4703</v>
      </c>
      <c r="F4616" s="19">
        <f>IFERROR(__xludf.DUMMYFUNCTION("SPLIT(A4612, "" |"")"),4610.0)</f>
        <v>4610</v>
      </c>
      <c r="G4616" s="19">
        <f>IFERROR(__xludf.DUMMYFUNCTION("""COMPUTED_VALUE"""),0.0024)</f>
        <v>0.0024</v>
      </c>
      <c r="H4616" s="19" t="str">
        <f>IFERROR(__xludf.DUMMYFUNCTION("""COMPUTED_VALUE"""),"-")</f>
        <v>-</v>
      </c>
      <c r="I4616" s="19">
        <f>IFERROR(__xludf.DUMMYFUNCTION("""COMPUTED_VALUE"""),0.00219)</f>
        <v>0.00219</v>
      </c>
      <c r="J4616" s="19">
        <f>IFERROR(__xludf.DUMMYFUNCTION("""COMPUTED_VALUE"""),0.03995)</f>
        <v>0.03995</v>
      </c>
      <c r="K4616" s="19" t="str">
        <f>IFERROR(__xludf.DUMMYFUNCTION("""COMPUTED_VALUE"""),"-")</f>
        <v>-</v>
      </c>
      <c r="L4616" s="19" t="str">
        <f>IFERROR(__xludf.DUMMYFUNCTION("""COMPUTED_VALUE"""),"-")</f>
        <v>-</v>
      </c>
      <c r="O4616" s="24">
        <f t="shared" si="4"/>
        <v>0</v>
      </c>
      <c r="P4616" s="24"/>
      <c r="Q4616" s="24">
        <f t="shared" si="6"/>
        <v>0</v>
      </c>
      <c r="R4616" s="24">
        <f t="shared" si="7"/>
        <v>1</v>
      </c>
      <c r="S4616" s="24"/>
      <c r="T4616" s="24"/>
    </row>
    <row r="4617">
      <c r="A4617" s="12" t="s">
        <v>4704</v>
      </c>
      <c r="F4617" s="19">
        <f>IFERROR(__xludf.DUMMYFUNCTION("SPLIT(A4613, "" |"")"),4611.0)</f>
        <v>4611</v>
      </c>
      <c r="G4617" s="19">
        <f>IFERROR(__xludf.DUMMYFUNCTION("""COMPUTED_VALUE"""),0.00231)</f>
        <v>0.00231</v>
      </c>
      <c r="H4617" s="19" t="str">
        <f>IFERROR(__xludf.DUMMYFUNCTION("""COMPUTED_VALUE"""),"-")</f>
        <v>-</v>
      </c>
      <c r="I4617" s="19">
        <f>IFERROR(__xludf.DUMMYFUNCTION("""COMPUTED_VALUE"""),0.0021)</f>
        <v>0.0021</v>
      </c>
      <c r="J4617" s="19">
        <f>IFERROR(__xludf.DUMMYFUNCTION("""COMPUTED_VALUE"""),0.04727)</f>
        <v>0.04727</v>
      </c>
      <c r="K4617" s="19" t="str">
        <f>IFERROR(__xludf.DUMMYFUNCTION("""COMPUTED_VALUE"""),"-")</f>
        <v>-</v>
      </c>
      <c r="L4617" s="19" t="str">
        <f>IFERROR(__xludf.DUMMYFUNCTION("""COMPUTED_VALUE"""),"-")</f>
        <v>-</v>
      </c>
      <c r="O4617" s="24">
        <f t="shared" si="4"/>
        <v>0</v>
      </c>
      <c r="P4617" s="24"/>
      <c r="Q4617" s="24">
        <f t="shared" si="6"/>
        <v>0</v>
      </c>
      <c r="R4617" s="24">
        <f t="shared" si="7"/>
        <v>0</v>
      </c>
      <c r="S4617" s="24"/>
      <c r="T4617" s="24"/>
    </row>
    <row r="4618">
      <c r="A4618" s="12" t="s">
        <v>4705</v>
      </c>
      <c r="F4618" s="19">
        <f>IFERROR(__xludf.DUMMYFUNCTION("SPLIT(A4614, "" |"")"),4612.0)</f>
        <v>4612</v>
      </c>
      <c r="G4618" s="19">
        <f>IFERROR(__xludf.DUMMYFUNCTION("""COMPUTED_VALUE"""),0.00236)</f>
        <v>0.00236</v>
      </c>
      <c r="H4618" s="19" t="str">
        <f>IFERROR(__xludf.DUMMYFUNCTION("""COMPUTED_VALUE"""),"-")</f>
        <v>-</v>
      </c>
      <c r="I4618" s="19">
        <f>IFERROR(__xludf.DUMMYFUNCTION("""COMPUTED_VALUE"""),0.00218)</f>
        <v>0.00218</v>
      </c>
      <c r="J4618" s="19">
        <f>IFERROR(__xludf.DUMMYFUNCTION("""COMPUTED_VALUE"""),0.04744)</f>
        <v>0.04744</v>
      </c>
      <c r="K4618" s="19" t="str">
        <f>IFERROR(__xludf.DUMMYFUNCTION("""COMPUTED_VALUE"""),"-")</f>
        <v>-</v>
      </c>
      <c r="L4618" s="19" t="str">
        <f>IFERROR(__xludf.DUMMYFUNCTION("""COMPUTED_VALUE"""),"-")</f>
        <v>-</v>
      </c>
      <c r="O4618" s="24">
        <f t="shared" si="4"/>
        <v>0</v>
      </c>
      <c r="P4618" s="24"/>
      <c r="Q4618" s="24">
        <f t="shared" si="6"/>
        <v>0</v>
      </c>
      <c r="R4618" s="24">
        <f t="shared" si="7"/>
        <v>0</v>
      </c>
      <c r="S4618" s="24"/>
      <c r="T4618" s="24"/>
    </row>
    <row r="4619">
      <c r="A4619" s="12" t="s">
        <v>4706</v>
      </c>
      <c r="F4619" s="19">
        <f>IFERROR(__xludf.DUMMYFUNCTION("SPLIT(A4615, "" |"")"),4613.0)</f>
        <v>4613</v>
      </c>
      <c r="G4619" s="19">
        <f>IFERROR(__xludf.DUMMYFUNCTION("""COMPUTED_VALUE"""),0.00238)</f>
        <v>0.00238</v>
      </c>
      <c r="H4619" s="19" t="str">
        <f>IFERROR(__xludf.DUMMYFUNCTION("""COMPUTED_VALUE"""),"-")</f>
        <v>-</v>
      </c>
      <c r="I4619" s="19">
        <f>IFERROR(__xludf.DUMMYFUNCTION("""COMPUTED_VALUE"""),0.0022)</f>
        <v>0.0022</v>
      </c>
      <c r="J4619" s="19">
        <f>IFERROR(__xludf.DUMMYFUNCTION("""COMPUTED_VALUE"""),0.04743)</f>
        <v>0.04743</v>
      </c>
      <c r="K4619" s="19" t="str">
        <f>IFERROR(__xludf.DUMMYFUNCTION("""COMPUTED_VALUE"""),"-")</f>
        <v>-</v>
      </c>
      <c r="L4619" s="19" t="str">
        <f>IFERROR(__xludf.DUMMYFUNCTION("""COMPUTED_VALUE"""),"-")</f>
        <v>-</v>
      </c>
      <c r="O4619" s="24">
        <f t="shared" si="4"/>
        <v>0</v>
      </c>
      <c r="P4619" s="24"/>
      <c r="Q4619" s="24">
        <f t="shared" si="6"/>
        <v>0</v>
      </c>
      <c r="R4619" s="24">
        <f t="shared" si="7"/>
        <v>0</v>
      </c>
      <c r="S4619" s="24"/>
      <c r="T4619" s="24"/>
    </row>
    <row r="4620">
      <c r="A4620" s="12" t="s">
        <v>4707</v>
      </c>
      <c r="F4620" s="19">
        <f>IFERROR(__xludf.DUMMYFUNCTION("SPLIT(A4616, "" |"")"),4614.0)</f>
        <v>4614</v>
      </c>
      <c r="G4620" s="19">
        <f>IFERROR(__xludf.DUMMYFUNCTION("""COMPUTED_VALUE"""),0.0024)</f>
        <v>0.0024</v>
      </c>
      <c r="H4620" s="19" t="str">
        <f>IFERROR(__xludf.DUMMYFUNCTION("""COMPUTED_VALUE"""),"-")</f>
        <v>-</v>
      </c>
      <c r="I4620" s="19">
        <f>IFERROR(__xludf.DUMMYFUNCTION("""COMPUTED_VALUE"""),0.0022)</f>
        <v>0.0022</v>
      </c>
      <c r="J4620" s="19">
        <f>IFERROR(__xludf.DUMMYFUNCTION("""COMPUTED_VALUE"""),0.04742)</f>
        <v>0.04742</v>
      </c>
      <c r="K4620" s="19" t="str">
        <f>IFERROR(__xludf.DUMMYFUNCTION("""COMPUTED_VALUE"""),"-")</f>
        <v>-</v>
      </c>
      <c r="L4620" s="19" t="str">
        <f>IFERROR(__xludf.DUMMYFUNCTION("""COMPUTED_VALUE"""),"-")</f>
        <v>-</v>
      </c>
      <c r="O4620" s="24">
        <f t="shared" si="4"/>
        <v>0</v>
      </c>
      <c r="P4620" s="24"/>
      <c r="Q4620" s="24">
        <f t="shared" si="6"/>
        <v>0</v>
      </c>
      <c r="R4620" s="24">
        <f t="shared" si="7"/>
        <v>0</v>
      </c>
      <c r="S4620" s="24"/>
      <c r="T4620" s="24"/>
    </row>
    <row r="4621">
      <c r="A4621" s="12" t="s">
        <v>4708</v>
      </c>
      <c r="F4621" s="19">
        <f>IFERROR(__xludf.DUMMYFUNCTION("SPLIT(A4617, "" |"")"),4615.0)</f>
        <v>4615</v>
      </c>
      <c r="G4621" s="19">
        <f>IFERROR(__xludf.DUMMYFUNCTION("""COMPUTED_VALUE"""),0.0023)</f>
        <v>0.0023</v>
      </c>
      <c r="H4621" s="19" t="str">
        <f>IFERROR(__xludf.DUMMYFUNCTION("""COMPUTED_VALUE"""),"-")</f>
        <v>-</v>
      </c>
      <c r="I4621" s="19">
        <f>IFERROR(__xludf.DUMMYFUNCTION("""COMPUTED_VALUE"""),0.00223)</f>
        <v>0.00223</v>
      </c>
      <c r="J4621" s="19">
        <f>IFERROR(__xludf.DUMMYFUNCTION("""COMPUTED_VALUE"""),0.04423)</f>
        <v>0.04423</v>
      </c>
      <c r="K4621" s="19" t="str">
        <f>IFERROR(__xludf.DUMMYFUNCTION("""COMPUTED_VALUE"""),"-")</f>
        <v>-</v>
      </c>
      <c r="L4621" s="19" t="str">
        <f>IFERROR(__xludf.DUMMYFUNCTION("""COMPUTED_VALUE"""),"-")</f>
        <v>-</v>
      </c>
      <c r="O4621" s="24">
        <f t="shared" si="4"/>
        <v>0</v>
      </c>
      <c r="P4621" s="24"/>
      <c r="Q4621" s="24">
        <f t="shared" si="6"/>
        <v>0</v>
      </c>
      <c r="R4621" s="24">
        <f t="shared" si="7"/>
        <v>1</v>
      </c>
      <c r="S4621" s="24"/>
      <c r="T4621" s="24"/>
    </row>
    <row r="4622">
      <c r="A4622" s="12" t="s">
        <v>4709</v>
      </c>
      <c r="F4622" s="19">
        <f>IFERROR(__xludf.DUMMYFUNCTION("SPLIT(A4618, "" |"")"),4616.0)</f>
        <v>4616</v>
      </c>
      <c r="G4622" s="19">
        <f>IFERROR(__xludf.DUMMYFUNCTION("""COMPUTED_VALUE"""),0.00234)</f>
        <v>0.00234</v>
      </c>
      <c r="H4622" s="19" t="str">
        <f>IFERROR(__xludf.DUMMYFUNCTION("""COMPUTED_VALUE"""),"-")</f>
        <v>-</v>
      </c>
      <c r="I4622" s="19">
        <f>IFERROR(__xludf.DUMMYFUNCTION("""COMPUTED_VALUE"""),0.00224)</f>
        <v>0.00224</v>
      </c>
      <c r="J4622" s="19">
        <f>IFERROR(__xludf.DUMMYFUNCTION("""COMPUTED_VALUE"""),0.04745)</f>
        <v>0.04745</v>
      </c>
      <c r="K4622" s="19" t="str">
        <f>IFERROR(__xludf.DUMMYFUNCTION("""COMPUTED_VALUE"""),"-")</f>
        <v>-</v>
      </c>
      <c r="L4622" s="19" t="str">
        <f>IFERROR(__xludf.DUMMYFUNCTION("""COMPUTED_VALUE"""),"-")</f>
        <v>-</v>
      </c>
      <c r="O4622" s="24">
        <f t="shared" si="4"/>
        <v>0</v>
      </c>
      <c r="P4622" s="24"/>
      <c r="Q4622" s="24">
        <f t="shared" si="6"/>
        <v>0</v>
      </c>
      <c r="R4622" s="24">
        <f t="shared" si="7"/>
        <v>0</v>
      </c>
      <c r="S4622" s="24"/>
      <c r="T4622" s="24"/>
    </row>
    <row r="4623">
      <c r="A4623" s="12" t="s">
        <v>4710</v>
      </c>
      <c r="F4623" s="19">
        <f>IFERROR(__xludf.DUMMYFUNCTION("SPLIT(A4619, "" |"")"),4617.0)</f>
        <v>4617</v>
      </c>
      <c r="G4623" s="19">
        <f>IFERROR(__xludf.DUMMYFUNCTION("""COMPUTED_VALUE"""),0.00236)</f>
        <v>0.00236</v>
      </c>
      <c r="H4623" s="19" t="str">
        <f>IFERROR(__xludf.DUMMYFUNCTION("""COMPUTED_VALUE"""),"-")</f>
        <v>-</v>
      </c>
      <c r="I4623" s="19">
        <f>IFERROR(__xludf.DUMMYFUNCTION("""COMPUTED_VALUE"""),0.00223)</f>
        <v>0.00223</v>
      </c>
      <c r="J4623" s="19">
        <f>IFERROR(__xludf.DUMMYFUNCTION("""COMPUTED_VALUE"""),0.04746)</f>
        <v>0.04746</v>
      </c>
      <c r="K4623" s="19" t="str">
        <f>IFERROR(__xludf.DUMMYFUNCTION("""COMPUTED_VALUE"""),"-")</f>
        <v>-</v>
      </c>
      <c r="L4623" s="19" t="str">
        <f>IFERROR(__xludf.DUMMYFUNCTION("""COMPUTED_VALUE"""),"-")</f>
        <v>-</v>
      </c>
      <c r="O4623" s="24">
        <f t="shared" si="4"/>
        <v>0</v>
      </c>
      <c r="P4623" s="24"/>
      <c r="Q4623" s="24">
        <f t="shared" si="6"/>
        <v>0</v>
      </c>
      <c r="R4623" s="24">
        <f t="shared" si="7"/>
        <v>0</v>
      </c>
      <c r="S4623" s="24"/>
      <c r="T4623" s="24"/>
    </row>
    <row r="4624">
      <c r="A4624" s="12" t="s">
        <v>4711</v>
      </c>
      <c r="F4624" s="19">
        <f>IFERROR(__xludf.DUMMYFUNCTION("SPLIT(A4620, "" |"")"),4618.0)</f>
        <v>4618</v>
      </c>
      <c r="G4624" s="19">
        <f>IFERROR(__xludf.DUMMYFUNCTION("""COMPUTED_VALUE"""),0.00235)</f>
        <v>0.00235</v>
      </c>
      <c r="H4624" s="19" t="str">
        <f>IFERROR(__xludf.DUMMYFUNCTION("""COMPUTED_VALUE"""),"-")</f>
        <v>-</v>
      </c>
      <c r="I4624" s="19">
        <f>IFERROR(__xludf.DUMMYFUNCTION("""COMPUTED_VALUE"""),0.00217)</f>
        <v>0.00217</v>
      </c>
      <c r="J4624" s="19">
        <f>IFERROR(__xludf.DUMMYFUNCTION("""COMPUTED_VALUE"""),0.0474)</f>
        <v>0.0474</v>
      </c>
      <c r="K4624" s="19" t="str">
        <f>IFERROR(__xludf.DUMMYFUNCTION("""COMPUTED_VALUE"""),"-")</f>
        <v>-</v>
      </c>
      <c r="L4624" s="19" t="str">
        <f>IFERROR(__xludf.DUMMYFUNCTION("""COMPUTED_VALUE"""),"-")</f>
        <v>-</v>
      </c>
      <c r="O4624" s="24">
        <f t="shared" si="4"/>
        <v>0</v>
      </c>
      <c r="P4624" s="24"/>
      <c r="Q4624" s="24">
        <f t="shared" si="6"/>
        <v>0</v>
      </c>
      <c r="R4624" s="24">
        <f t="shared" si="7"/>
        <v>0</v>
      </c>
      <c r="S4624" s="24"/>
      <c r="T4624" s="24"/>
    </row>
    <row r="4625">
      <c r="A4625" s="12" t="s">
        <v>4712</v>
      </c>
      <c r="F4625" s="19">
        <f>IFERROR(__xludf.DUMMYFUNCTION("SPLIT(A4621, "" |"")"),4619.0)</f>
        <v>4619</v>
      </c>
      <c r="G4625" s="19">
        <f>IFERROR(__xludf.DUMMYFUNCTION("""COMPUTED_VALUE"""),0.00233)</f>
        <v>0.00233</v>
      </c>
      <c r="H4625" s="19" t="str">
        <f>IFERROR(__xludf.DUMMYFUNCTION("""COMPUTED_VALUE"""),"-")</f>
        <v>-</v>
      </c>
      <c r="I4625" s="19">
        <f>IFERROR(__xludf.DUMMYFUNCTION("""COMPUTED_VALUE"""),0.0022)</f>
        <v>0.0022</v>
      </c>
      <c r="J4625" s="19">
        <f>IFERROR(__xludf.DUMMYFUNCTION("""COMPUTED_VALUE"""),0.04731)</f>
        <v>0.04731</v>
      </c>
      <c r="K4625" s="19" t="str">
        <f>IFERROR(__xludf.DUMMYFUNCTION("""COMPUTED_VALUE"""),"-")</f>
        <v>-</v>
      </c>
      <c r="L4625" s="19" t="str">
        <f>IFERROR(__xludf.DUMMYFUNCTION("""COMPUTED_VALUE"""),"-")</f>
        <v>-</v>
      </c>
      <c r="O4625" s="24">
        <f t="shared" si="4"/>
        <v>0</v>
      </c>
      <c r="P4625" s="24"/>
      <c r="Q4625" s="24">
        <f t="shared" si="6"/>
        <v>0</v>
      </c>
      <c r="R4625" s="24">
        <f t="shared" si="7"/>
        <v>0</v>
      </c>
      <c r="S4625" s="24"/>
      <c r="T4625" s="24"/>
    </row>
    <row r="4626">
      <c r="A4626" s="12" t="s">
        <v>4713</v>
      </c>
      <c r="F4626" s="19">
        <f>IFERROR(__xludf.DUMMYFUNCTION("SPLIT(A4622, "" |"")"),4620.0)</f>
        <v>4620</v>
      </c>
      <c r="G4626" s="19">
        <f>IFERROR(__xludf.DUMMYFUNCTION("""COMPUTED_VALUE"""),0.00249)</f>
        <v>0.00249</v>
      </c>
      <c r="H4626" s="19" t="str">
        <f>IFERROR(__xludf.DUMMYFUNCTION("""COMPUTED_VALUE"""),"-")</f>
        <v>-</v>
      </c>
      <c r="I4626" s="19">
        <f>IFERROR(__xludf.DUMMYFUNCTION("""COMPUTED_VALUE"""),0.00234)</f>
        <v>0.00234</v>
      </c>
      <c r="J4626" s="19">
        <f>IFERROR(__xludf.DUMMYFUNCTION("""COMPUTED_VALUE"""),0.04743)</f>
        <v>0.04743</v>
      </c>
      <c r="K4626" s="19" t="str">
        <f>IFERROR(__xludf.DUMMYFUNCTION("""COMPUTED_VALUE"""),"-")</f>
        <v>-</v>
      </c>
      <c r="L4626" s="19" t="str">
        <f>IFERROR(__xludf.DUMMYFUNCTION("""COMPUTED_VALUE"""),"-")</f>
        <v>-</v>
      </c>
      <c r="O4626" s="24">
        <f t="shared" si="4"/>
        <v>0</v>
      </c>
      <c r="P4626" s="24"/>
      <c r="Q4626" s="24">
        <f t="shared" si="6"/>
        <v>0</v>
      </c>
      <c r="R4626" s="24">
        <f t="shared" si="7"/>
        <v>0</v>
      </c>
      <c r="S4626" s="24"/>
      <c r="T4626" s="24"/>
    </row>
    <row r="4627">
      <c r="A4627" s="12" t="s">
        <v>4714</v>
      </c>
      <c r="F4627" s="19">
        <f>IFERROR(__xludf.DUMMYFUNCTION("SPLIT(A4623, "" |"")"),4621.0)</f>
        <v>4621</v>
      </c>
      <c r="G4627" s="19">
        <f>IFERROR(__xludf.DUMMYFUNCTION("""COMPUTED_VALUE"""),0.00236)</f>
        <v>0.00236</v>
      </c>
      <c r="H4627" s="19" t="str">
        <f>IFERROR(__xludf.DUMMYFUNCTION("""COMPUTED_VALUE"""),"-")</f>
        <v>-</v>
      </c>
      <c r="I4627" s="19">
        <f>IFERROR(__xludf.DUMMYFUNCTION("""COMPUTED_VALUE"""),0.00212)</f>
        <v>0.00212</v>
      </c>
      <c r="J4627" s="19">
        <f>IFERROR(__xludf.DUMMYFUNCTION("""COMPUTED_VALUE"""),0.04738)</f>
        <v>0.04738</v>
      </c>
      <c r="K4627" s="19" t="str">
        <f>IFERROR(__xludf.DUMMYFUNCTION("""COMPUTED_VALUE"""),"-")</f>
        <v>-</v>
      </c>
      <c r="L4627" s="19" t="str">
        <f>IFERROR(__xludf.DUMMYFUNCTION("""COMPUTED_VALUE"""),"-")</f>
        <v>-</v>
      </c>
      <c r="O4627" s="24">
        <f t="shared" si="4"/>
        <v>0</v>
      </c>
      <c r="P4627" s="24"/>
      <c r="Q4627" s="24">
        <f t="shared" si="6"/>
        <v>0</v>
      </c>
      <c r="R4627" s="24">
        <f t="shared" si="7"/>
        <v>0</v>
      </c>
      <c r="S4627" s="24"/>
      <c r="T4627" s="24"/>
    </row>
    <row r="4628">
      <c r="A4628" s="12" t="s">
        <v>4715</v>
      </c>
      <c r="F4628" s="19">
        <f>IFERROR(__xludf.DUMMYFUNCTION("SPLIT(A4624, "" |"")"),4622.0)</f>
        <v>4622</v>
      </c>
      <c r="G4628" s="19">
        <f>IFERROR(__xludf.DUMMYFUNCTION("""COMPUTED_VALUE"""),0.00232)</f>
        <v>0.00232</v>
      </c>
      <c r="H4628" s="19" t="str">
        <f>IFERROR(__xludf.DUMMYFUNCTION("""COMPUTED_VALUE"""),"-")</f>
        <v>-</v>
      </c>
      <c r="I4628" s="19">
        <f>IFERROR(__xludf.DUMMYFUNCTION("""COMPUTED_VALUE"""),0.00221)</f>
        <v>0.00221</v>
      </c>
      <c r="J4628" s="19">
        <f>IFERROR(__xludf.DUMMYFUNCTION("""COMPUTED_VALUE"""),0.04735)</f>
        <v>0.04735</v>
      </c>
      <c r="K4628" s="19" t="str">
        <f>IFERROR(__xludf.DUMMYFUNCTION("""COMPUTED_VALUE"""),"-")</f>
        <v>-</v>
      </c>
      <c r="L4628" s="19" t="str">
        <f>IFERROR(__xludf.DUMMYFUNCTION("""COMPUTED_VALUE"""),"-")</f>
        <v>-</v>
      </c>
      <c r="O4628" s="24">
        <f t="shared" si="4"/>
        <v>0</v>
      </c>
      <c r="P4628" s="24"/>
      <c r="Q4628" s="24">
        <f t="shared" si="6"/>
        <v>0</v>
      </c>
      <c r="R4628" s="24">
        <f t="shared" si="7"/>
        <v>0</v>
      </c>
      <c r="S4628" s="24"/>
      <c r="T4628" s="24"/>
    </row>
    <row r="4629">
      <c r="A4629" s="12" t="s">
        <v>4716</v>
      </c>
      <c r="F4629" s="19">
        <f>IFERROR(__xludf.DUMMYFUNCTION("SPLIT(A4625, "" |"")"),4623.0)</f>
        <v>4623</v>
      </c>
      <c r="G4629" s="19">
        <f>IFERROR(__xludf.DUMMYFUNCTION("""COMPUTED_VALUE"""),0.00231)</f>
        <v>0.00231</v>
      </c>
      <c r="H4629" s="19" t="str">
        <f>IFERROR(__xludf.DUMMYFUNCTION("""COMPUTED_VALUE"""),"-")</f>
        <v>-</v>
      </c>
      <c r="I4629" s="19">
        <f>IFERROR(__xludf.DUMMYFUNCTION("""COMPUTED_VALUE"""),0.00218)</f>
        <v>0.00218</v>
      </c>
      <c r="J4629" s="19">
        <f>IFERROR(__xludf.DUMMYFUNCTION("""COMPUTED_VALUE"""),0.04738)</f>
        <v>0.04738</v>
      </c>
      <c r="K4629" s="19" t="str">
        <f>IFERROR(__xludf.DUMMYFUNCTION("""COMPUTED_VALUE"""),"-")</f>
        <v>-</v>
      </c>
      <c r="L4629" s="19" t="str">
        <f>IFERROR(__xludf.DUMMYFUNCTION("""COMPUTED_VALUE"""),"-")</f>
        <v>-</v>
      </c>
      <c r="O4629" s="24">
        <f t="shared" si="4"/>
        <v>0</v>
      </c>
      <c r="P4629" s="24"/>
      <c r="Q4629" s="24">
        <f t="shared" si="6"/>
        <v>0</v>
      </c>
      <c r="R4629" s="24">
        <f t="shared" si="7"/>
        <v>0</v>
      </c>
      <c r="S4629" s="24"/>
      <c r="T4629" s="24"/>
    </row>
    <row r="4630">
      <c r="A4630" s="12" t="s">
        <v>4717</v>
      </c>
      <c r="F4630" s="19">
        <f>IFERROR(__xludf.DUMMYFUNCTION("SPLIT(A4626, "" |"")"),4624.0)</f>
        <v>4624</v>
      </c>
      <c r="G4630" s="19">
        <f>IFERROR(__xludf.DUMMYFUNCTION("""COMPUTED_VALUE"""),0.00241)</f>
        <v>0.00241</v>
      </c>
      <c r="H4630" s="19" t="str">
        <f>IFERROR(__xludf.DUMMYFUNCTION("""COMPUTED_VALUE"""),"-")</f>
        <v>-</v>
      </c>
      <c r="I4630" s="19">
        <f>IFERROR(__xludf.DUMMYFUNCTION("""COMPUTED_VALUE"""),0.00222)</f>
        <v>0.00222</v>
      </c>
      <c r="J4630" s="19">
        <f>IFERROR(__xludf.DUMMYFUNCTION("""COMPUTED_VALUE"""),0.04197)</f>
        <v>0.04197</v>
      </c>
      <c r="K4630" s="19" t="str">
        <f>IFERROR(__xludf.DUMMYFUNCTION("""COMPUTED_VALUE"""),"-")</f>
        <v>-</v>
      </c>
      <c r="L4630" s="19" t="str">
        <f>IFERROR(__xludf.DUMMYFUNCTION("""COMPUTED_VALUE"""),"-")</f>
        <v>-</v>
      </c>
      <c r="O4630" s="24">
        <f t="shared" si="4"/>
        <v>0</v>
      </c>
      <c r="P4630" s="24"/>
      <c r="Q4630" s="24">
        <f t="shared" si="6"/>
        <v>0</v>
      </c>
      <c r="R4630" s="24">
        <f t="shared" si="7"/>
        <v>1</v>
      </c>
      <c r="S4630" s="24"/>
      <c r="T4630" s="24"/>
    </row>
    <row r="4631">
      <c r="A4631" s="12" t="s">
        <v>4718</v>
      </c>
      <c r="F4631" s="19">
        <f>IFERROR(__xludf.DUMMYFUNCTION("SPLIT(A4627, "" |"")"),4625.0)</f>
        <v>4625</v>
      </c>
      <c r="G4631" s="19">
        <f>IFERROR(__xludf.DUMMYFUNCTION("""COMPUTED_VALUE"""),0.00241)</f>
        <v>0.00241</v>
      </c>
      <c r="H4631" s="19" t="str">
        <f>IFERROR(__xludf.DUMMYFUNCTION("""COMPUTED_VALUE"""),"-")</f>
        <v>-</v>
      </c>
      <c r="I4631" s="19">
        <f>IFERROR(__xludf.DUMMYFUNCTION("""COMPUTED_VALUE"""),0.0022)</f>
        <v>0.0022</v>
      </c>
      <c r="J4631" s="19">
        <f>IFERROR(__xludf.DUMMYFUNCTION("""COMPUTED_VALUE"""),0.04199)</f>
        <v>0.04199</v>
      </c>
      <c r="K4631" s="19" t="str">
        <f>IFERROR(__xludf.DUMMYFUNCTION("""COMPUTED_VALUE"""),"-")</f>
        <v>-</v>
      </c>
      <c r="L4631" s="19" t="str">
        <f>IFERROR(__xludf.DUMMYFUNCTION("""COMPUTED_VALUE"""),"-")</f>
        <v>-</v>
      </c>
      <c r="O4631" s="24">
        <f t="shared" si="4"/>
        <v>0</v>
      </c>
      <c r="P4631" s="24"/>
      <c r="Q4631" s="24">
        <f t="shared" si="6"/>
        <v>0</v>
      </c>
      <c r="R4631" s="24">
        <f t="shared" si="7"/>
        <v>1</v>
      </c>
      <c r="S4631" s="24"/>
      <c r="T4631" s="24"/>
    </row>
    <row r="4632">
      <c r="A4632" s="12" t="s">
        <v>4719</v>
      </c>
      <c r="F4632" s="19">
        <f>IFERROR(__xludf.DUMMYFUNCTION("SPLIT(A4628, "" |"")"),4626.0)</f>
        <v>4626</v>
      </c>
      <c r="G4632" s="19">
        <f>IFERROR(__xludf.DUMMYFUNCTION("""COMPUTED_VALUE"""),0.00236)</f>
        <v>0.00236</v>
      </c>
      <c r="H4632" s="19" t="str">
        <f>IFERROR(__xludf.DUMMYFUNCTION("""COMPUTED_VALUE"""),"-")</f>
        <v>-</v>
      </c>
      <c r="I4632" s="19">
        <f>IFERROR(__xludf.DUMMYFUNCTION("""COMPUTED_VALUE"""),0.00218)</f>
        <v>0.00218</v>
      </c>
      <c r="J4632" s="19">
        <f>IFERROR(__xludf.DUMMYFUNCTION("""COMPUTED_VALUE"""),0.04745)</f>
        <v>0.04745</v>
      </c>
      <c r="K4632" s="19" t="str">
        <f>IFERROR(__xludf.DUMMYFUNCTION("""COMPUTED_VALUE"""),"-")</f>
        <v>-</v>
      </c>
      <c r="L4632" s="19" t="str">
        <f>IFERROR(__xludf.DUMMYFUNCTION("""COMPUTED_VALUE"""),"-")</f>
        <v>-</v>
      </c>
      <c r="O4632" s="24">
        <f t="shared" si="4"/>
        <v>0</v>
      </c>
      <c r="P4632" s="24"/>
      <c r="Q4632" s="24">
        <f t="shared" si="6"/>
        <v>0</v>
      </c>
      <c r="R4632" s="24">
        <f t="shared" si="7"/>
        <v>0</v>
      </c>
      <c r="S4632" s="24"/>
      <c r="T4632" s="24"/>
    </row>
    <row r="4633">
      <c r="A4633" s="12" t="s">
        <v>4720</v>
      </c>
      <c r="F4633" s="19">
        <f>IFERROR(__xludf.DUMMYFUNCTION("SPLIT(A4629, "" |"")"),4627.0)</f>
        <v>4627</v>
      </c>
      <c r="G4633" s="19">
        <f>IFERROR(__xludf.DUMMYFUNCTION("""COMPUTED_VALUE"""),0.00231)</f>
        <v>0.00231</v>
      </c>
      <c r="H4633" s="19" t="str">
        <f>IFERROR(__xludf.DUMMYFUNCTION("""COMPUTED_VALUE"""),"-")</f>
        <v>-</v>
      </c>
      <c r="I4633" s="19">
        <f>IFERROR(__xludf.DUMMYFUNCTION("""COMPUTED_VALUE"""),0.00222)</f>
        <v>0.00222</v>
      </c>
      <c r="J4633" s="19">
        <f>IFERROR(__xludf.DUMMYFUNCTION("""COMPUTED_VALUE"""),0.04736)</f>
        <v>0.04736</v>
      </c>
      <c r="K4633" s="19" t="str">
        <f>IFERROR(__xludf.DUMMYFUNCTION("""COMPUTED_VALUE"""),"-")</f>
        <v>-</v>
      </c>
      <c r="L4633" s="19" t="str">
        <f>IFERROR(__xludf.DUMMYFUNCTION("""COMPUTED_VALUE"""),"-")</f>
        <v>-</v>
      </c>
      <c r="O4633" s="24">
        <f t="shared" si="4"/>
        <v>0</v>
      </c>
      <c r="P4633" s="24"/>
      <c r="Q4633" s="24">
        <f t="shared" si="6"/>
        <v>0</v>
      </c>
      <c r="R4633" s="24">
        <f t="shared" si="7"/>
        <v>0</v>
      </c>
      <c r="S4633" s="24"/>
      <c r="T4633" s="24"/>
    </row>
    <row r="4634">
      <c r="A4634" s="12" t="s">
        <v>4721</v>
      </c>
      <c r="F4634" s="19">
        <f>IFERROR(__xludf.DUMMYFUNCTION("SPLIT(A4630, "" |"")"),4628.0)</f>
        <v>4628</v>
      </c>
      <c r="G4634" s="19">
        <f>IFERROR(__xludf.DUMMYFUNCTION("""COMPUTED_VALUE"""),0.00231)</f>
        <v>0.00231</v>
      </c>
      <c r="H4634" s="19" t="str">
        <f>IFERROR(__xludf.DUMMYFUNCTION("""COMPUTED_VALUE"""),"-")</f>
        <v>-</v>
      </c>
      <c r="I4634" s="19">
        <f>IFERROR(__xludf.DUMMYFUNCTION("""COMPUTED_VALUE"""),0.00219)</f>
        <v>0.00219</v>
      </c>
      <c r="J4634" s="19">
        <f>IFERROR(__xludf.DUMMYFUNCTION("""COMPUTED_VALUE"""),0.04748)</f>
        <v>0.04748</v>
      </c>
      <c r="K4634" s="19" t="str">
        <f>IFERROR(__xludf.DUMMYFUNCTION("""COMPUTED_VALUE"""),"-")</f>
        <v>-</v>
      </c>
      <c r="L4634" s="19" t="str">
        <f>IFERROR(__xludf.DUMMYFUNCTION("""COMPUTED_VALUE"""),"-")</f>
        <v>-</v>
      </c>
      <c r="O4634" s="24">
        <f t="shared" si="4"/>
        <v>0</v>
      </c>
      <c r="P4634" s="24"/>
      <c r="Q4634" s="24">
        <f t="shared" si="6"/>
        <v>0</v>
      </c>
      <c r="R4634" s="24">
        <f t="shared" si="7"/>
        <v>0</v>
      </c>
      <c r="S4634" s="24"/>
      <c r="T4634" s="24"/>
    </row>
    <row r="4635">
      <c r="A4635" s="12" t="s">
        <v>4722</v>
      </c>
      <c r="F4635" s="19">
        <f>IFERROR(__xludf.DUMMYFUNCTION("SPLIT(A4631, "" |"")"),4629.0)</f>
        <v>4629</v>
      </c>
      <c r="G4635" s="19">
        <f>IFERROR(__xludf.DUMMYFUNCTION("""COMPUTED_VALUE"""),0.00232)</f>
        <v>0.00232</v>
      </c>
      <c r="H4635" s="19" t="str">
        <f>IFERROR(__xludf.DUMMYFUNCTION("""COMPUTED_VALUE"""),"-")</f>
        <v>-</v>
      </c>
      <c r="I4635" s="19">
        <f>IFERROR(__xludf.DUMMYFUNCTION("""COMPUTED_VALUE"""),0.00212)</f>
        <v>0.00212</v>
      </c>
      <c r="J4635" s="19">
        <f>IFERROR(__xludf.DUMMYFUNCTION("""COMPUTED_VALUE"""),0.04735)</f>
        <v>0.04735</v>
      </c>
      <c r="K4635" s="19" t="str">
        <f>IFERROR(__xludf.DUMMYFUNCTION("""COMPUTED_VALUE"""),"-")</f>
        <v>-</v>
      </c>
      <c r="L4635" s="19" t="str">
        <f>IFERROR(__xludf.DUMMYFUNCTION("""COMPUTED_VALUE"""),"-")</f>
        <v>-</v>
      </c>
      <c r="O4635" s="24">
        <f t="shared" si="4"/>
        <v>0</v>
      </c>
      <c r="P4635" s="24"/>
      <c r="Q4635" s="24">
        <f t="shared" si="6"/>
        <v>0</v>
      </c>
      <c r="R4635" s="24">
        <f t="shared" si="7"/>
        <v>0</v>
      </c>
      <c r="S4635" s="24"/>
      <c r="T4635" s="24"/>
    </row>
    <row r="4636">
      <c r="A4636" s="12" t="s">
        <v>4723</v>
      </c>
      <c r="F4636" s="19">
        <f>IFERROR(__xludf.DUMMYFUNCTION("SPLIT(A4632, "" |"")"),4630.0)</f>
        <v>4630</v>
      </c>
      <c r="G4636" s="19">
        <f>IFERROR(__xludf.DUMMYFUNCTION("""COMPUTED_VALUE"""),0.00236)</f>
        <v>0.00236</v>
      </c>
      <c r="H4636" s="19" t="str">
        <f>IFERROR(__xludf.DUMMYFUNCTION("""COMPUTED_VALUE"""),"-")</f>
        <v>-</v>
      </c>
      <c r="I4636" s="19">
        <f>IFERROR(__xludf.DUMMYFUNCTION("""COMPUTED_VALUE"""),0.00217)</f>
        <v>0.00217</v>
      </c>
      <c r="J4636" s="19">
        <f>IFERROR(__xludf.DUMMYFUNCTION("""COMPUTED_VALUE"""),0.04745)</f>
        <v>0.04745</v>
      </c>
      <c r="K4636" s="19" t="str">
        <f>IFERROR(__xludf.DUMMYFUNCTION("""COMPUTED_VALUE"""),"-")</f>
        <v>-</v>
      </c>
      <c r="L4636" s="19" t="str">
        <f>IFERROR(__xludf.DUMMYFUNCTION("""COMPUTED_VALUE"""),"-")</f>
        <v>-</v>
      </c>
      <c r="O4636" s="24">
        <f t="shared" si="4"/>
        <v>0</v>
      </c>
      <c r="P4636" s="24"/>
      <c r="Q4636" s="24">
        <f t="shared" si="6"/>
        <v>0</v>
      </c>
      <c r="R4636" s="24">
        <f t="shared" si="7"/>
        <v>0</v>
      </c>
      <c r="S4636" s="24"/>
      <c r="T4636" s="24"/>
    </row>
    <row r="4637">
      <c r="A4637" s="12" t="s">
        <v>4724</v>
      </c>
      <c r="F4637" s="19">
        <f>IFERROR(__xludf.DUMMYFUNCTION("SPLIT(A4633, "" |"")"),4631.0)</f>
        <v>4631</v>
      </c>
      <c r="G4637" s="19">
        <f>IFERROR(__xludf.DUMMYFUNCTION("""COMPUTED_VALUE"""),0.00235)</f>
        <v>0.00235</v>
      </c>
      <c r="H4637" s="19" t="str">
        <f>IFERROR(__xludf.DUMMYFUNCTION("""COMPUTED_VALUE"""),"-")</f>
        <v>-</v>
      </c>
      <c r="I4637" s="19">
        <f>IFERROR(__xludf.DUMMYFUNCTION("""COMPUTED_VALUE"""),0.00212)</f>
        <v>0.00212</v>
      </c>
      <c r="J4637" s="19">
        <f>IFERROR(__xludf.DUMMYFUNCTION("""COMPUTED_VALUE"""),0.04296)</f>
        <v>0.04296</v>
      </c>
      <c r="K4637" s="19" t="str">
        <f>IFERROR(__xludf.DUMMYFUNCTION("""COMPUTED_VALUE"""),"-")</f>
        <v>-</v>
      </c>
      <c r="L4637" s="19" t="str">
        <f>IFERROR(__xludf.DUMMYFUNCTION("""COMPUTED_VALUE"""),"-")</f>
        <v>-</v>
      </c>
      <c r="O4637" s="24">
        <f t="shared" si="4"/>
        <v>0</v>
      </c>
      <c r="P4637" s="24"/>
      <c r="Q4637" s="24">
        <f t="shared" si="6"/>
        <v>0</v>
      </c>
      <c r="R4637" s="24">
        <f t="shared" si="7"/>
        <v>1</v>
      </c>
      <c r="S4637" s="24"/>
      <c r="T4637" s="24"/>
    </row>
    <row r="4638">
      <c r="A4638" s="12" t="s">
        <v>4725</v>
      </c>
      <c r="F4638" s="19">
        <f>IFERROR(__xludf.DUMMYFUNCTION("SPLIT(A4634, "" |"")"),4632.0)</f>
        <v>4632</v>
      </c>
      <c r="G4638" s="19">
        <f>IFERROR(__xludf.DUMMYFUNCTION("""COMPUTED_VALUE"""),0.00232)</f>
        <v>0.00232</v>
      </c>
      <c r="H4638" s="19" t="str">
        <f>IFERROR(__xludf.DUMMYFUNCTION("""COMPUTED_VALUE"""),"-")</f>
        <v>-</v>
      </c>
      <c r="I4638" s="19">
        <f>IFERROR(__xludf.DUMMYFUNCTION("""COMPUTED_VALUE"""),0.00219)</f>
        <v>0.00219</v>
      </c>
      <c r="J4638" s="19">
        <f>IFERROR(__xludf.DUMMYFUNCTION("""COMPUTED_VALUE"""),0.04735)</f>
        <v>0.04735</v>
      </c>
      <c r="K4638" s="19" t="str">
        <f>IFERROR(__xludf.DUMMYFUNCTION("""COMPUTED_VALUE"""),"-")</f>
        <v>-</v>
      </c>
      <c r="L4638" s="19" t="str">
        <f>IFERROR(__xludf.DUMMYFUNCTION("""COMPUTED_VALUE"""),"-")</f>
        <v>-</v>
      </c>
      <c r="O4638" s="24">
        <f t="shared" si="4"/>
        <v>0</v>
      </c>
      <c r="P4638" s="24"/>
      <c r="Q4638" s="24">
        <f t="shared" si="6"/>
        <v>0</v>
      </c>
      <c r="R4638" s="24">
        <f t="shared" si="7"/>
        <v>0</v>
      </c>
      <c r="S4638" s="24"/>
      <c r="T4638" s="24"/>
    </row>
    <row r="4639">
      <c r="A4639" s="12" t="s">
        <v>4726</v>
      </c>
      <c r="F4639" s="19">
        <f>IFERROR(__xludf.DUMMYFUNCTION("SPLIT(A4635, "" |"")"),4633.0)</f>
        <v>4633</v>
      </c>
      <c r="G4639" s="19">
        <f>IFERROR(__xludf.DUMMYFUNCTION("""COMPUTED_VALUE"""),0.0022)</f>
        <v>0.0022</v>
      </c>
      <c r="H4639" s="19" t="str">
        <f>IFERROR(__xludf.DUMMYFUNCTION("""COMPUTED_VALUE"""),"-")</f>
        <v>-</v>
      </c>
      <c r="I4639" s="19">
        <f>IFERROR(__xludf.DUMMYFUNCTION("""COMPUTED_VALUE"""),0.00223)</f>
        <v>0.00223</v>
      </c>
      <c r="J4639" s="19">
        <f>IFERROR(__xludf.DUMMYFUNCTION("""COMPUTED_VALUE"""),0.04747)</f>
        <v>0.04747</v>
      </c>
      <c r="K4639" s="19" t="str">
        <f>IFERROR(__xludf.DUMMYFUNCTION("""COMPUTED_VALUE"""),"-")</f>
        <v>-</v>
      </c>
      <c r="L4639" s="19" t="str">
        <f>IFERROR(__xludf.DUMMYFUNCTION("""COMPUTED_VALUE"""),"-")</f>
        <v>-</v>
      </c>
      <c r="O4639" s="24">
        <f t="shared" si="4"/>
        <v>0</v>
      </c>
      <c r="P4639" s="24"/>
      <c r="Q4639" s="24">
        <f t="shared" si="6"/>
        <v>0</v>
      </c>
      <c r="R4639" s="24">
        <f t="shared" si="7"/>
        <v>0</v>
      </c>
      <c r="S4639" s="24"/>
      <c r="T4639" s="24"/>
    </row>
    <row r="4640">
      <c r="A4640" s="12" t="s">
        <v>4727</v>
      </c>
      <c r="F4640" s="19">
        <f>IFERROR(__xludf.DUMMYFUNCTION("SPLIT(A4636, "" |"")"),4634.0)</f>
        <v>4634</v>
      </c>
      <c r="G4640" s="19">
        <f>IFERROR(__xludf.DUMMYFUNCTION("""COMPUTED_VALUE"""),0.00241)</f>
        <v>0.00241</v>
      </c>
      <c r="H4640" s="19" t="str">
        <f>IFERROR(__xludf.DUMMYFUNCTION("""COMPUTED_VALUE"""),"-")</f>
        <v>-</v>
      </c>
      <c r="I4640" s="19">
        <f>IFERROR(__xludf.DUMMYFUNCTION("""COMPUTED_VALUE"""),0.0022)</f>
        <v>0.0022</v>
      </c>
      <c r="J4640" s="19">
        <f>IFERROR(__xludf.DUMMYFUNCTION("""COMPUTED_VALUE"""),0.04738)</f>
        <v>0.04738</v>
      </c>
      <c r="K4640" s="19" t="str">
        <f>IFERROR(__xludf.DUMMYFUNCTION("""COMPUTED_VALUE"""),"-")</f>
        <v>-</v>
      </c>
      <c r="L4640" s="19" t="str">
        <f>IFERROR(__xludf.DUMMYFUNCTION("""COMPUTED_VALUE"""),"-")</f>
        <v>-</v>
      </c>
      <c r="O4640" s="24">
        <f t="shared" si="4"/>
        <v>0</v>
      </c>
      <c r="P4640" s="24"/>
      <c r="Q4640" s="24">
        <f t="shared" si="6"/>
        <v>0</v>
      </c>
      <c r="R4640" s="24">
        <f t="shared" si="7"/>
        <v>0</v>
      </c>
      <c r="S4640" s="24"/>
      <c r="T4640" s="24"/>
    </row>
    <row r="4641">
      <c r="A4641" s="12" t="s">
        <v>4728</v>
      </c>
      <c r="F4641" s="19">
        <f>IFERROR(__xludf.DUMMYFUNCTION("SPLIT(A4637, "" |"")"),4635.0)</f>
        <v>4635</v>
      </c>
      <c r="G4641" s="19">
        <f>IFERROR(__xludf.DUMMYFUNCTION("""COMPUTED_VALUE"""),0.00235)</f>
        <v>0.00235</v>
      </c>
      <c r="H4641" s="19" t="str">
        <f>IFERROR(__xludf.DUMMYFUNCTION("""COMPUTED_VALUE"""),"-")</f>
        <v>-</v>
      </c>
      <c r="I4641" s="19">
        <f>IFERROR(__xludf.DUMMYFUNCTION("""COMPUTED_VALUE"""),0.00221)</f>
        <v>0.00221</v>
      </c>
      <c r="J4641" s="19">
        <f>IFERROR(__xludf.DUMMYFUNCTION("""COMPUTED_VALUE"""),0.04703)</f>
        <v>0.04703</v>
      </c>
      <c r="K4641" s="19" t="str">
        <f>IFERROR(__xludf.DUMMYFUNCTION("""COMPUTED_VALUE"""),"-")</f>
        <v>-</v>
      </c>
      <c r="L4641" s="19" t="str">
        <f>IFERROR(__xludf.DUMMYFUNCTION("""COMPUTED_VALUE"""),"-")</f>
        <v>-</v>
      </c>
      <c r="O4641" s="24">
        <f t="shared" si="4"/>
        <v>0</v>
      </c>
      <c r="P4641" s="24"/>
      <c r="Q4641" s="24">
        <f t="shared" si="6"/>
        <v>0</v>
      </c>
      <c r="R4641" s="24">
        <f t="shared" si="7"/>
        <v>0</v>
      </c>
      <c r="S4641" s="24"/>
      <c r="T4641" s="24"/>
    </row>
    <row r="4642">
      <c r="A4642" s="12" t="s">
        <v>4729</v>
      </c>
      <c r="F4642" s="19">
        <f>IFERROR(__xludf.DUMMYFUNCTION("SPLIT(A4638, "" |"")"),4636.0)</f>
        <v>4636</v>
      </c>
      <c r="G4642" s="19">
        <f>IFERROR(__xludf.DUMMYFUNCTION("""COMPUTED_VALUE"""),0.00258)</f>
        <v>0.00258</v>
      </c>
      <c r="H4642" s="19" t="str">
        <f>IFERROR(__xludf.DUMMYFUNCTION("""COMPUTED_VALUE"""),"-")</f>
        <v>-</v>
      </c>
      <c r="I4642" s="19">
        <f>IFERROR(__xludf.DUMMYFUNCTION("""COMPUTED_VALUE"""),0.00215)</f>
        <v>0.00215</v>
      </c>
      <c r="J4642" s="19">
        <f>IFERROR(__xludf.DUMMYFUNCTION("""COMPUTED_VALUE"""),0.04733)</f>
        <v>0.04733</v>
      </c>
      <c r="K4642" s="19" t="str">
        <f>IFERROR(__xludf.DUMMYFUNCTION("""COMPUTED_VALUE"""),"-")</f>
        <v>-</v>
      </c>
      <c r="L4642" s="19" t="str">
        <f>IFERROR(__xludf.DUMMYFUNCTION("""COMPUTED_VALUE"""),"-")</f>
        <v>-</v>
      </c>
      <c r="O4642" s="24">
        <f t="shared" si="4"/>
        <v>0</v>
      </c>
      <c r="P4642" s="24"/>
      <c r="Q4642" s="24">
        <f t="shared" si="6"/>
        <v>0</v>
      </c>
      <c r="R4642" s="24">
        <f t="shared" si="7"/>
        <v>0</v>
      </c>
      <c r="S4642" s="24"/>
      <c r="T4642" s="24"/>
    </row>
    <row r="4643">
      <c r="A4643" s="12" t="s">
        <v>4730</v>
      </c>
      <c r="F4643" s="19">
        <f>IFERROR(__xludf.DUMMYFUNCTION("SPLIT(A4639, "" |"")"),4637.0)</f>
        <v>4637</v>
      </c>
      <c r="G4643" s="19">
        <f>IFERROR(__xludf.DUMMYFUNCTION("""COMPUTED_VALUE"""),0.00234)</f>
        <v>0.00234</v>
      </c>
      <c r="H4643" s="19" t="str">
        <f>IFERROR(__xludf.DUMMYFUNCTION("""COMPUTED_VALUE"""),"-")</f>
        <v>-</v>
      </c>
      <c r="I4643" s="19">
        <f>IFERROR(__xludf.DUMMYFUNCTION("""COMPUTED_VALUE"""),0.0022)</f>
        <v>0.0022</v>
      </c>
      <c r="J4643" s="19">
        <f>IFERROR(__xludf.DUMMYFUNCTION("""COMPUTED_VALUE"""),0.04737)</f>
        <v>0.04737</v>
      </c>
      <c r="K4643" s="19" t="str">
        <f>IFERROR(__xludf.DUMMYFUNCTION("""COMPUTED_VALUE"""),"-")</f>
        <v>-</v>
      </c>
      <c r="L4643" s="19" t="str">
        <f>IFERROR(__xludf.DUMMYFUNCTION("""COMPUTED_VALUE"""),"-")</f>
        <v>-</v>
      </c>
      <c r="O4643" s="24">
        <f t="shared" si="4"/>
        <v>0</v>
      </c>
      <c r="P4643" s="24"/>
      <c r="Q4643" s="24">
        <f t="shared" si="6"/>
        <v>0</v>
      </c>
      <c r="R4643" s="24">
        <f t="shared" si="7"/>
        <v>0</v>
      </c>
      <c r="S4643" s="24"/>
      <c r="T4643" s="24"/>
    </row>
    <row r="4644">
      <c r="A4644" s="12" t="s">
        <v>4731</v>
      </c>
      <c r="F4644" s="19">
        <f>IFERROR(__xludf.DUMMYFUNCTION("SPLIT(A4640, "" |"")"),4638.0)</f>
        <v>4638</v>
      </c>
      <c r="G4644" s="19">
        <f>IFERROR(__xludf.DUMMYFUNCTION("""COMPUTED_VALUE"""),0.00238)</f>
        <v>0.00238</v>
      </c>
      <c r="H4644" s="19" t="str">
        <f>IFERROR(__xludf.DUMMYFUNCTION("""COMPUTED_VALUE"""),"-")</f>
        <v>-</v>
      </c>
      <c r="I4644" s="19">
        <f>IFERROR(__xludf.DUMMYFUNCTION("""COMPUTED_VALUE"""),0.00223)</f>
        <v>0.00223</v>
      </c>
      <c r="J4644" s="19">
        <f>IFERROR(__xludf.DUMMYFUNCTION("""COMPUTED_VALUE"""),0.04088)</f>
        <v>0.04088</v>
      </c>
      <c r="K4644" s="19" t="str">
        <f>IFERROR(__xludf.DUMMYFUNCTION("""COMPUTED_VALUE"""),"-")</f>
        <v>-</v>
      </c>
      <c r="L4644" s="19" t="str">
        <f>IFERROR(__xludf.DUMMYFUNCTION("""COMPUTED_VALUE"""),"-")</f>
        <v>-</v>
      </c>
      <c r="O4644" s="24">
        <f t="shared" si="4"/>
        <v>0</v>
      </c>
      <c r="P4644" s="24"/>
      <c r="Q4644" s="24">
        <f t="shared" si="6"/>
        <v>0</v>
      </c>
      <c r="R4644" s="24">
        <f t="shared" si="7"/>
        <v>1</v>
      </c>
      <c r="S4644" s="24"/>
      <c r="T4644" s="24"/>
    </row>
    <row r="4645">
      <c r="A4645" s="12" t="s">
        <v>4732</v>
      </c>
      <c r="F4645" s="19">
        <f>IFERROR(__xludf.DUMMYFUNCTION("SPLIT(A4641, "" |"")"),4639.0)</f>
        <v>4639</v>
      </c>
      <c r="G4645" s="19">
        <f>IFERROR(__xludf.DUMMYFUNCTION("""COMPUTED_VALUE"""),0.00228)</f>
        <v>0.00228</v>
      </c>
      <c r="H4645" s="19" t="str">
        <f>IFERROR(__xludf.DUMMYFUNCTION("""COMPUTED_VALUE"""),"-")</f>
        <v>-</v>
      </c>
      <c r="I4645" s="19">
        <f>IFERROR(__xludf.DUMMYFUNCTION("""COMPUTED_VALUE"""),0.00217)</f>
        <v>0.00217</v>
      </c>
      <c r="J4645" s="19">
        <f>IFERROR(__xludf.DUMMYFUNCTION("""COMPUTED_VALUE"""),0.04736)</f>
        <v>0.04736</v>
      </c>
      <c r="K4645" s="19" t="str">
        <f>IFERROR(__xludf.DUMMYFUNCTION("""COMPUTED_VALUE"""),"-")</f>
        <v>-</v>
      </c>
      <c r="L4645" s="19" t="str">
        <f>IFERROR(__xludf.DUMMYFUNCTION("""COMPUTED_VALUE"""),"-")</f>
        <v>-</v>
      </c>
      <c r="O4645" s="24">
        <f t="shared" si="4"/>
        <v>0</v>
      </c>
      <c r="P4645" s="24"/>
      <c r="Q4645" s="24">
        <f t="shared" si="6"/>
        <v>0</v>
      </c>
      <c r="R4645" s="24">
        <f t="shared" si="7"/>
        <v>0</v>
      </c>
      <c r="S4645" s="24"/>
      <c r="T4645" s="24"/>
    </row>
    <row r="4646">
      <c r="A4646" s="12" t="s">
        <v>4733</v>
      </c>
      <c r="F4646" s="19">
        <f>IFERROR(__xludf.DUMMYFUNCTION("SPLIT(A4642, "" |"")"),4640.0)</f>
        <v>4640</v>
      </c>
      <c r="G4646" s="19">
        <f>IFERROR(__xludf.DUMMYFUNCTION("""COMPUTED_VALUE"""),0.00242)</f>
        <v>0.00242</v>
      </c>
      <c r="H4646" s="19" t="str">
        <f>IFERROR(__xludf.DUMMYFUNCTION("""COMPUTED_VALUE"""),"-")</f>
        <v>-</v>
      </c>
      <c r="I4646" s="19">
        <f>IFERROR(__xludf.DUMMYFUNCTION("""COMPUTED_VALUE"""),0.00219)</f>
        <v>0.00219</v>
      </c>
      <c r="J4646" s="19">
        <f>IFERROR(__xludf.DUMMYFUNCTION("""COMPUTED_VALUE"""),0.04747)</f>
        <v>0.04747</v>
      </c>
      <c r="K4646" s="19" t="str">
        <f>IFERROR(__xludf.DUMMYFUNCTION("""COMPUTED_VALUE"""),"-")</f>
        <v>-</v>
      </c>
      <c r="L4646" s="19" t="str">
        <f>IFERROR(__xludf.DUMMYFUNCTION("""COMPUTED_VALUE"""),"-")</f>
        <v>-</v>
      </c>
      <c r="O4646" s="24">
        <f t="shared" si="4"/>
        <v>0</v>
      </c>
      <c r="P4646" s="24"/>
      <c r="Q4646" s="24">
        <f t="shared" si="6"/>
        <v>0</v>
      </c>
      <c r="R4646" s="24">
        <f t="shared" si="7"/>
        <v>0</v>
      </c>
      <c r="S4646" s="24"/>
      <c r="T4646" s="24"/>
    </row>
    <row r="4647">
      <c r="A4647" s="12" t="s">
        <v>4734</v>
      </c>
      <c r="F4647" s="19">
        <f>IFERROR(__xludf.DUMMYFUNCTION("SPLIT(A4643, "" |"")"),4641.0)</f>
        <v>4641</v>
      </c>
      <c r="G4647" s="19">
        <f>IFERROR(__xludf.DUMMYFUNCTION("""COMPUTED_VALUE"""),0.00231)</f>
        <v>0.00231</v>
      </c>
      <c r="H4647" s="19" t="str">
        <f>IFERROR(__xludf.DUMMYFUNCTION("""COMPUTED_VALUE"""),"-")</f>
        <v>-</v>
      </c>
      <c r="I4647" s="19">
        <f>IFERROR(__xludf.DUMMYFUNCTION("""COMPUTED_VALUE"""),0.00215)</f>
        <v>0.00215</v>
      </c>
      <c r="J4647" s="19">
        <f>IFERROR(__xludf.DUMMYFUNCTION("""COMPUTED_VALUE"""),0.0474)</f>
        <v>0.0474</v>
      </c>
      <c r="K4647" s="19" t="str">
        <f>IFERROR(__xludf.DUMMYFUNCTION("""COMPUTED_VALUE"""),"-")</f>
        <v>-</v>
      </c>
      <c r="L4647" s="19" t="str">
        <f>IFERROR(__xludf.DUMMYFUNCTION("""COMPUTED_VALUE"""),"-")</f>
        <v>-</v>
      </c>
      <c r="O4647" s="24">
        <f t="shared" si="4"/>
        <v>0</v>
      </c>
      <c r="P4647" s="24"/>
      <c r="Q4647" s="24">
        <f t="shared" si="6"/>
        <v>0</v>
      </c>
      <c r="R4647" s="24">
        <f t="shared" si="7"/>
        <v>0</v>
      </c>
      <c r="S4647" s="24"/>
      <c r="T4647" s="24"/>
    </row>
    <row r="4648">
      <c r="A4648" s="12" t="s">
        <v>4735</v>
      </c>
      <c r="F4648" s="19">
        <f>IFERROR(__xludf.DUMMYFUNCTION("SPLIT(A4644, "" |"")"),4642.0)</f>
        <v>4642</v>
      </c>
      <c r="G4648" s="19">
        <f>IFERROR(__xludf.DUMMYFUNCTION("""COMPUTED_VALUE"""),0.00235)</f>
        <v>0.00235</v>
      </c>
      <c r="H4648" s="19" t="str">
        <f>IFERROR(__xludf.DUMMYFUNCTION("""COMPUTED_VALUE"""),"-")</f>
        <v>-</v>
      </c>
      <c r="I4648" s="19">
        <f>IFERROR(__xludf.DUMMYFUNCTION("""COMPUTED_VALUE"""),0.00221)</f>
        <v>0.00221</v>
      </c>
      <c r="J4648" s="19">
        <f>IFERROR(__xludf.DUMMYFUNCTION("""COMPUTED_VALUE"""),0.04746)</f>
        <v>0.04746</v>
      </c>
      <c r="K4648" s="19" t="str">
        <f>IFERROR(__xludf.DUMMYFUNCTION("""COMPUTED_VALUE"""),"-")</f>
        <v>-</v>
      </c>
      <c r="L4648" s="19" t="str">
        <f>IFERROR(__xludf.DUMMYFUNCTION("""COMPUTED_VALUE"""),"-")</f>
        <v>-</v>
      </c>
      <c r="O4648" s="24">
        <f t="shared" si="4"/>
        <v>0</v>
      </c>
      <c r="P4648" s="24"/>
      <c r="Q4648" s="24">
        <f t="shared" si="6"/>
        <v>0</v>
      </c>
      <c r="R4648" s="24">
        <f t="shared" si="7"/>
        <v>0</v>
      </c>
      <c r="S4648" s="24"/>
      <c r="T4648" s="24"/>
    </row>
    <row r="4649">
      <c r="A4649" s="12" t="s">
        <v>4736</v>
      </c>
      <c r="F4649" s="19">
        <f>IFERROR(__xludf.DUMMYFUNCTION("SPLIT(A4645, "" |"")"),4643.0)</f>
        <v>4643</v>
      </c>
      <c r="G4649" s="19">
        <f>IFERROR(__xludf.DUMMYFUNCTION("""COMPUTED_VALUE"""),0.00235)</f>
        <v>0.00235</v>
      </c>
      <c r="H4649" s="19" t="str">
        <f>IFERROR(__xludf.DUMMYFUNCTION("""COMPUTED_VALUE"""),"-")</f>
        <v>-</v>
      </c>
      <c r="I4649" s="19">
        <f>IFERROR(__xludf.DUMMYFUNCTION("""COMPUTED_VALUE"""),0.00222)</f>
        <v>0.00222</v>
      </c>
      <c r="J4649" s="19">
        <f>IFERROR(__xludf.DUMMYFUNCTION("""COMPUTED_VALUE"""),0.04747)</f>
        <v>0.04747</v>
      </c>
      <c r="K4649" s="19" t="str">
        <f>IFERROR(__xludf.DUMMYFUNCTION("""COMPUTED_VALUE"""),"-")</f>
        <v>-</v>
      </c>
      <c r="L4649" s="19" t="str">
        <f>IFERROR(__xludf.DUMMYFUNCTION("""COMPUTED_VALUE"""),"-")</f>
        <v>-</v>
      </c>
      <c r="O4649" s="24">
        <f t="shared" si="4"/>
        <v>0</v>
      </c>
      <c r="P4649" s="24"/>
      <c r="Q4649" s="24">
        <f t="shared" si="6"/>
        <v>0</v>
      </c>
      <c r="R4649" s="24">
        <f t="shared" si="7"/>
        <v>0</v>
      </c>
      <c r="S4649" s="24"/>
      <c r="T4649" s="24"/>
    </row>
    <row r="4650">
      <c r="A4650" s="12" t="s">
        <v>4737</v>
      </c>
      <c r="F4650" s="19">
        <f>IFERROR(__xludf.DUMMYFUNCTION("SPLIT(A4646, "" |"")"),4644.0)</f>
        <v>4644</v>
      </c>
      <c r="G4650" s="19">
        <f>IFERROR(__xludf.DUMMYFUNCTION("""COMPUTED_VALUE"""),0.00231)</f>
        <v>0.00231</v>
      </c>
      <c r="H4650" s="19" t="str">
        <f>IFERROR(__xludf.DUMMYFUNCTION("""COMPUTED_VALUE"""),"-")</f>
        <v>-</v>
      </c>
      <c r="I4650" s="19">
        <f>IFERROR(__xludf.DUMMYFUNCTION("""COMPUTED_VALUE"""),0.00211)</f>
        <v>0.00211</v>
      </c>
      <c r="J4650" s="19">
        <f>IFERROR(__xludf.DUMMYFUNCTION("""COMPUTED_VALUE"""),0.04741)</f>
        <v>0.04741</v>
      </c>
      <c r="K4650" s="19" t="str">
        <f>IFERROR(__xludf.DUMMYFUNCTION("""COMPUTED_VALUE"""),"-")</f>
        <v>-</v>
      </c>
      <c r="L4650" s="19" t="str">
        <f>IFERROR(__xludf.DUMMYFUNCTION("""COMPUTED_VALUE"""),"-")</f>
        <v>-</v>
      </c>
      <c r="O4650" s="24">
        <f t="shared" si="4"/>
        <v>0</v>
      </c>
      <c r="P4650" s="24"/>
      <c r="Q4650" s="24">
        <f t="shared" si="6"/>
        <v>0</v>
      </c>
      <c r="R4650" s="24">
        <f t="shared" si="7"/>
        <v>0</v>
      </c>
      <c r="S4650" s="24"/>
      <c r="T4650" s="24"/>
    </row>
    <row r="4651">
      <c r="A4651" s="12" t="s">
        <v>4738</v>
      </c>
      <c r="F4651" s="19">
        <f>IFERROR(__xludf.DUMMYFUNCTION("SPLIT(A4647, "" |"")"),4645.0)</f>
        <v>4645</v>
      </c>
      <c r="G4651" s="19">
        <f>IFERROR(__xludf.DUMMYFUNCTION("""COMPUTED_VALUE"""),0.00243)</f>
        <v>0.00243</v>
      </c>
      <c r="H4651" s="19" t="str">
        <f>IFERROR(__xludf.DUMMYFUNCTION("""COMPUTED_VALUE"""),"-")</f>
        <v>-</v>
      </c>
      <c r="I4651" s="19">
        <f>IFERROR(__xludf.DUMMYFUNCTION("""COMPUTED_VALUE"""),0.00224)</f>
        <v>0.00224</v>
      </c>
      <c r="J4651" s="19">
        <f>IFERROR(__xludf.DUMMYFUNCTION("""COMPUTED_VALUE"""),0.04742)</f>
        <v>0.04742</v>
      </c>
      <c r="K4651" s="19" t="str">
        <f>IFERROR(__xludf.DUMMYFUNCTION("""COMPUTED_VALUE"""),"-")</f>
        <v>-</v>
      </c>
      <c r="L4651" s="19" t="str">
        <f>IFERROR(__xludf.DUMMYFUNCTION("""COMPUTED_VALUE"""),"-")</f>
        <v>-</v>
      </c>
      <c r="O4651" s="24">
        <f t="shared" si="4"/>
        <v>0</v>
      </c>
      <c r="P4651" s="24"/>
      <c r="Q4651" s="24">
        <f t="shared" si="6"/>
        <v>0</v>
      </c>
      <c r="R4651" s="24">
        <f t="shared" si="7"/>
        <v>0</v>
      </c>
      <c r="S4651" s="24"/>
      <c r="T4651" s="24"/>
    </row>
    <row r="4652">
      <c r="A4652" s="12" t="s">
        <v>4739</v>
      </c>
      <c r="F4652" s="19">
        <f>IFERROR(__xludf.DUMMYFUNCTION("SPLIT(A4648, "" |"")"),4646.0)</f>
        <v>4646</v>
      </c>
      <c r="G4652" s="19">
        <f>IFERROR(__xludf.DUMMYFUNCTION("""COMPUTED_VALUE"""),0.00241)</f>
        <v>0.00241</v>
      </c>
      <c r="H4652" s="19" t="str">
        <f>IFERROR(__xludf.DUMMYFUNCTION("""COMPUTED_VALUE"""),"-")</f>
        <v>-</v>
      </c>
      <c r="I4652" s="19">
        <f>IFERROR(__xludf.DUMMYFUNCTION("""COMPUTED_VALUE"""),0.0022)</f>
        <v>0.0022</v>
      </c>
      <c r="J4652" s="19">
        <f>IFERROR(__xludf.DUMMYFUNCTION("""COMPUTED_VALUE"""),0.04744)</f>
        <v>0.04744</v>
      </c>
      <c r="K4652" s="19" t="str">
        <f>IFERROR(__xludf.DUMMYFUNCTION("""COMPUTED_VALUE"""),"-")</f>
        <v>-</v>
      </c>
      <c r="L4652" s="19" t="str">
        <f>IFERROR(__xludf.DUMMYFUNCTION("""COMPUTED_VALUE"""),"-")</f>
        <v>-</v>
      </c>
      <c r="O4652" s="24">
        <f t="shared" si="4"/>
        <v>0</v>
      </c>
      <c r="P4652" s="24"/>
      <c r="Q4652" s="24">
        <f t="shared" si="6"/>
        <v>0</v>
      </c>
      <c r="R4652" s="24">
        <f t="shared" si="7"/>
        <v>0</v>
      </c>
      <c r="S4652" s="24"/>
      <c r="T4652" s="24"/>
    </row>
    <row r="4653">
      <c r="A4653" s="12" t="s">
        <v>4740</v>
      </c>
      <c r="F4653" s="19">
        <f>IFERROR(__xludf.DUMMYFUNCTION("SPLIT(A4649, "" |"")"),4647.0)</f>
        <v>4647</v>
      </c>
      <c r="G4653" s="19">
        <f>IFERROR(__xludf.DUMMYFUNCTION("""COMPUTED_VALUE"""),0.00235)</f>
        <v>0.00235</v>
      </c>
      <c r="H4653" s="19" t="str">
        <f>IFERROR(__xludf.DUMMYFUNCTION("""COMPUTED_VALUE"""),"-")</f>
        <v>-</v>
      </c>
      <c r="I4653" s="19">
        <f>IFERROR(__xludf.DUMMYFUNCTION("""COMPUTED_VALUE"""),0.00223)</f>
        <v>0.00223</v>
      </c>
      <c r="J4653" s="19">
        <f>IFERROR(__xludf.DUMMYFUNCTION("""COMPUTED_VALUE"""),0.04587)</f>
        <v>0.04587</v>
      </c>
      <c r="K4653" s="19" t="str">
        <f>IFERROR(__xludf.DUMMYFUNCTION("""COMPUTED_VALUE"""),"-")</f>
        <v>-</v>
      </c>
      <c r="L4653" s="19" t="str">
        <f>IFERROR(__xludf.DUMMYFUNCTION("""COMPUTED_VALUE"""),"-")</f>
        <v>-</v>
      </c>
      <c r="O4653" s="24">
        <f t="shared" si="4"/>
        <v>0</v>
      </c>
      <c r="P4653" s="24"/>
      <c r="Q4653" s="24">
        <f t="shared" si="6"/>
        <v>0</v>
      </c>
      <c r="R4653" s="24">
        <f t="shared" si="7"/>
        <v>0</v>
      </c>
      <c r="S4653" s="24"/>
      <c r="T4653" s="24"/>
    </row>
    <row r="4654">
      <c r="A4654" s="12" t="s">
        <v>4741</v>
      </c>
      <c r="F4654" s="19">
        <f>IFERROR(__xludf.DUMMYFUNCTION("SPLIT(A4650, "" |"")"),4648.0)</f>
        <v>4648</v>
      </c>
      <c r="G4654" s="19">
        <f>IFERROR(__xludf.DUMMYFUNCTION("""COMPUTED_VALUE"""),0.00248)</f>
        <v>0.00248</v>
      </c>
      <c r="H4654" s="19" t="str">
        <f>IFERROR(__xludf.DUMMYFUNCTION("""COMPUTED_VALUE"""),"-")</f>
        <v>-</v>
      </c>
      <c r="I4654" s="19">
        <f>IFERROR(__xludf.DUMMYFUNCTION("""COMPUTED_VALUE"""),0.00224)</f>
        <v>0.00224</v>
      </c>
      <c r="J4654" s="19">
        <f>IFERROR(__xludf.DUMMYFUNCTION("""COMPUTED_VALUE"""),0.04747)</f>
        <v>0.04747</v>
      </c>
      <c r="K4654" s="19" t="str">
        <f>IFERROR(__xludf.DUMMYFUNCTION("""COMPUTED_VALUE"""),"-")</f>
        <v>-</v>
      </c>
      <c r="L4654" s="19" t="str">
        <f>IFERROR(__xludf.DUMMYFUNCTION("""COMPUTED_VALUE"""),"-")</f>
        <v>-</v>
      </c>
      <c r="O4654" s="24">
        <f t="shared" si="4"/>
        <v>0</v>
      </c>
      <c r="P4654" s="24"/>
      <c r="Q4654" s="24">
        <f t="shared" si="6"/>
        <v>0</v>
      </c>
      <c r="R4654" s="24">
        <f t="shared" si="7"/>
        <v>0</v>
      </c>
      <c r="S4654" s="24"/>
      <c r="T4654" s="24"/>
    </row>
    <row r="4655">
      <c r="A4655" s="12" t="s">
        <v>4742</v>
      </c>
      <c r="F4655" s="19">
        <f>IFERROR(__xludf.DUMMYFUNCTION("SPLIT(A4651, "" |"")"),4649.0)</f>
        <v>4649</v>
      </c>
      <c r="G4655" s="19">
        <f>IFERROR(__xludf.DUMMYFUNCTION("""COMPUTED_VALUE"""),0.00237)</f>
        <v>0.00237</v>
      </c>
      <c r="H4655" s="19" t="str">
        <f>IFERROR(__xludf.DUMMYFUNCTION("""COMPUTED_VALUE"""),"-")</f>
        <v>-</v>
      </c>
      <c r="I4655" s="19">
        <f>IFERROR(__xludf.DUMMYFUNCTION("""COMPUTED_VALUE"""),0.00215)</f>
        <v>0.00215</v>
      </c>
      <c r="J4655" s="19">
        <f>IFERROR(__xludf.DUMMYFUNCTION("""COMPUTED_VALUE"""),0.04748)</f>
        <v>0.04748</v>
      </c>
      <c r="K4655" s="19" t="str">
        <f>IFERROR(__xludf.DUMMYFUNCTION("""COMPUTED_VALUE"""),"-")</f>
        <v>-</v>
      </c>
      <c r="L4655" s="19" t="str">
        <f>IFERROR(__xludf.DUMMYFUNCTION("""COMPUTED_VALUE"""),"-")</f>
        <v>-</v>
      </c>
      <c r="O4655" s="24">
        <f t="shared" si="4"/>
        <v>0</v>
      </c>
      <c r="P4655" s="24"/>
      <c r="Q4655" s="24">
        <f t="shared" si="6"/>
        <v>0</v>
      </c>
      <c r="R4655" s="24">
        <f t="shared" si="7"/>
        <v>0</v>
      </c>
      <c r="S4655" s="24"/>
      <c r="T4655" s="24"/>
    </row>
    <row r="4656">
      <c r="A4656" s="12" t="s">
        <v>4743</v>
      </c>
      <c r="F4656" s="19">
        <f>IFERROR(__xludf.DUMMYFUNCTION("SPLIT(A4652, "" |"")"),4650.0)</f>
        <v>4650</v>
      </c>
      <c r="G4656" s="19">
        <f>IFERROR(__xludf.DUMMYFUNCTION("""COMPUTED_VALUE"""),0.00228)</f>
        <v>0.00228</v>
      </c>
      <c r="H4656" s="19" t="str">
        <f>IFERROR(__xludf.DUMMYFUNCTION("""COMPUTED_VALUE"""),"-")</f>
        <v>-</v>
      </c>
      <c r="I4656" s="19">
        <f>IFERROR(__xludf.DUMMYFUNCTION("""COMPUTED_VALUE"""),0.00215)</f>
        <v>0.00215</v>
      </c>
      <c r="J4656" s="19">
        <f>IFERROR(__xludf.DUMMYFUNCTION("""COMPUTED_VALUE"""),0.04742)</f>
        <v>0.04742</v>
      </c>
      <c r="K4656" s="19" t="str">
        <f>IFERROR(__xludf.DUMMYFUNCTION("""COMPUTED_VALUE"""),"-")</f>
        <v>-</v>
      </c>
      <c r="L4656" s="19" t="str">
        <f>IFERROR(__xludf.DUMMYFUNCTION("""COMPUTED_VALUE"""),"-")</f>
        <v>-</v>
      </c>
      <c r="O4656" s="24">
        <f t="shared" si="4"/>
        <v>0</v>
      </c>
      <c r="P4656" s="24"/>
      <c r="Q4656" s="24">
        <f t="shared" si="6"/>
        <v>0</v>
      </c>
      <c r="R4656" s="24">
        <f t="shared" si="7"/>
        <v>0</v>
      </c>
      <c r="S4656" s="24"/>
      <c r="T4656" s="24"/>
    </row>
    <row r="4657">
      <c r="A4657" s="12" t="s">
        <v>4744</v>
      </c>
      <c r="F4657" s="19">
        <f>IFERROR(__xludf.DUMMYFUNCTION("SPLIT(A4653, "" |"")"),4651.0)</f>
        <v>4651</v>
      </c>
      <c r="G4657" s="19">
        <f>IFERROR(__xludf.DUMMYFUNCTION("""COMPUTED_VALUE"""),0.00233)</f>
        <v>0.00233</v>
      </c>
      <c r="H4657" s="19" t="str">
        <f>IFERROR(__xludf.DUMMYFUNCTION("""COMPUTED_VALUE"""),"-")</f>
        <v>-</v>
      </c>
      <c r="I4657" s="19">
        <f>IFERROR(__xludf.DUMMYFUNCTION("""COMPUTED_VALUE"""),0.00217)</f>
        <v>0.00217</v>
      </c>
      <c r="J4657" s="19">
        <f>IFERROR(__xludf.DUMMYFUNCTION("""COMPUTED_VALUE"""),0.04746)</f>
        <v>0.04746</v>
      </c>
      <c r="K4657" s="19" t="str">
        <f>IFERROR(__xludf.DUMMYFUNCTION("""COMPUTED_VALUE"""),"-")</f>
        <v>-</v>
      </c>
      <c r="L4657" s="19" t="str">
        <f>IFERROR(__xludf.DUMMYFUNCTION("""COMPUTED_VALUE"""),"-")</f>
        <v>-</v>
      </c>
      <c r="O4657" s="24">
        <f t="shared" si="4"/>
        <v>0</v>
      </c>
      <c r="P4657" s="24"/>
      <c r="Q4657" s="24">
        <f t="shared" si="6"/>
        <v>0</v>
      </c>
      <c r="R4657" s="24">
        <f t="shared" si="7"/>
        <v>0</v>
      </c>
      <c r="S4657" s="24"/>
      <c r="T4657" s="24"/>
    </row>
    <row r="4658">
      <c r="A4658" s="12" t="s">
        <v>4745</v>
      </c>
      <c r="F4658" s="19">
        <f>IFERROR(__xludf.DUMMYFUNCTION("SPLIT(A4654, "" |"")"),4652.0)</f>
        <v>4652</v>
      </c>
      <c r="G4658" s="19">
        <f>IFERROR(__xludf.DUMMYFUNCTION("""COMPUTED_VALUE"""),0.00238)</f>
        <v>0.00238</v>
      </c>
      <c r="H4658" s="19" t="str">
        <f>IFERROR(__xludf.DUMMYFUNCTION("""COMPUTED_VALUE"""),"-")</f>
        <v>-</v>
      </c>
      <c r="I4658" s="19">
        <f>IFERROR(__xludf.DUMMYFUNCTION("""COMPUTED_VALUE"""),0.00219)</f>
        <v>0.00219</v>
      </c>
      <c r="J4658" s="19">
        <f>IFERROR(__xludf.DUMMYFUNCTION("""COMPUTED_VALUE"""),0.04743)</f>
        <v>0.04743</v>
      </c>
      <c r="K4658" s="19" t="str">
        <f>IFERROR(__xludf.DUMMYFUNCTION("""COMPUTED_VALUE"""),"-")</f>
        <v>-</v>
      </c>
      <c r="L4658" s="19" t="str">
        <f>IFERROR(__xludf.DUMMYFUNCTION("""COMPUTED_VALUE"""),"-")</f>
        <v>-</v>
      </c>
      <c r="O4658" s="24">
        <f t="shared" si="4"/>
        <v>0</v>
      </c>
      <c r="P4658" s="24"/>
      <c r="Q4658" s="24">
        <f t="shared" si="6"/>
        <v>0</v>
      </c>
      <c r="R4658" s="24">
        <f t="shared" si="7"/>
        <v>0</v>
      </c>
      <c r="S4658" s="24"/>
      <c r="T4658" s="24"/>
    </row>
    <row r="4659">
      <c r="A4659" s="12" t="s">
        <v>4746</v>
      </c>
      <c r="F4659" s="19">
        <f>IFERROR(__xludf.DUMMYFUNCTION("SPLIT(A4655, "" |"")"),4653.0)</f>
        <v>4653</v>
      </c>
      <c r="G4659" s="19">
        <f>IFERROR(__xludf.DUMMYFUNCTION("""COMPUTED_VALUE"""),0.00235)</f>
        <v>0.00235</v>
      </c>
      <c r="H4659" s="19" t="str">
        <f>IFERROR(__xludf.DUMMYFUNCTION("""COMPUTED_VALUE"""),"-")</f>
        <v>-</v>
      </c>
      <c r="I4659" s="19">
        <f>IFERROR(__xludf.DUMMYFUNCTION("""COMPUTED_VALUE"""),0.0022)</f>
        <v>0.0022</v>
      </c>
      <c r="J4659" s="19">
        <f>IFERROR(__xludf.DUMMYFUNCTION("""COMPUTED_VALUE"""),0.04601)</f>
        <v>0.04601</v>
      </c>
      <c r="K4659" s="19" t="str">
        <f>IFERROR(__xludf.DUMMYFUNCTION("""COMPUTED_VALUE"""),"-")</f>
        <v>-</v>
      </c>
      <c r="L4659" s="19" t="str">
        <f>IFERROR(__xludf.DUMMYFUNCTION("""COMPUTED_VALUE"""),"-")</f>
        <v>-</v>
      </c>
      <c r="O4659" s="24">
        <f t="shared" si="4"/>
        <v>0</v>
      </c>
      <c r="P4659" s="24"/>
      <c r="Q4659" s="24">
        <f t="shared" si="6"/>
        <v>0</v>
      </c>
      <c r="R4659" s="24">
        <f t="shared" si="7"/>
        <v>0</v>
      </c>
      <c r="S4659" s="24"/>
      <c r="T4659" s="24"/>
    </row>
    <row r="4660">
      <c r="A4660" s="12" t="s">
        <v>4747</v>
      </c>
      <c r="F4660" s="19">
        <f>IFERROR(__xludf.DUMMYFUNCTION("SPLIT(A4656, "" |"")"),4654.0)</f>
        <v>4654</v>
      </c>
      <c r="G4660" s="19">
        <f>IFERROR(__xludf.DUMMYFUNCTION("""COMPUTED_VALUE"""),0.00244)</f>
        <v>0.00244</v>
      </c>
      <c r="H4660" s="19" t="str">
        <f>IFERROR(__xludf.DUMMYFUNCTION("""COMPUTED_VALUE"""),"-")</f>
        <v>-</v>
      </c>
      <c r="I4660" s="19">
        <f>IFERROR(__xludf.DUMMYFUNCTION("""COMPUTED_VALUE"""),0.00227)</f>
        <v>0.00227</v>
      </c>
      <c r="J4660" s="19">
        <f>IFERROR(__xludf.DUMMYFUNCTION("""COMPUTED_VALUE"""),0.04741)</f>
        <v>0.04741</v>
      </c>
      <c r="K4660" s="19" t="str">
        <f>IFERROR(__xludf.DUMMYFUNCTION("""COMPUTED_VALUE"""),"-")</f>
        <v>-</v>
      </c>
      <c r="L4660" s="19" t="str">
        <f>IFERROR(__xludf.DUMMYFUNCTION("""COMPUTED_VALUE"""),"-")</f>
        <v>-</v>
      </c>
      <c r="O4660" s="24">
        <f t="shared" si="4"/>
        <v>0</v>
      </c>
      <c r="P4660" s="24"/>
      <c r="Q4660" s="24">
        <f t="shared" si="6"/>
        <v>0</v>
      </c>
      <c r="R4660" s="24">
        <f t="shared" si="7"/>
        <v>0</v>
      </c>
      <c r="S4660" s="24"/>
      <c r="T4660" s="24"/>
    </row>
    <row r="4661">
      <c r="A4661" s="12" t="s">
        <v>4748</v>
      </c>
      <c r="F4661" s="19">
        <f>IFERROR(__xludf.DUMMYFUNCTION("SPLIT(A4657, "" |"")"),4655.0)</f>
        <v>4655</v>
      </c>
      <c r="G4661" s="19">
        <f>IFERROR(__xludf.DUMMYFUNCTION("""COMPUTED_VALUE"""),0.00236)</f>
        <v>0.00236</v>
      </c>
      <c r="H4661" s="19" t="str">
        <f>IFERROR(__xludf.DUMMYFUNCTION("""COMPUTED_VALUE"""),"-")</f>
        <v>-</v>
      </c>
      <c r="I4661" s="19">
        <f>IFERROR(__xludf.DUMMYFUNCTION("""COMPUTED_VALUE"""),0.00219)</f>
        <v>0.00219</v>
      </c>
      <c r="J4661" s="19">
        <f>IFERROR(__xludf.DUMMYFUNCTION("""COMPUTED_VALUE"""),0.04739)</f>
        <v>0.04739</v>
      </c>
      <c r="K4661" s="19" t="str">
        <f>IFERROR(__xludf.DUMMYFUNCTION("""COMPUTED_VALUE"""),"-")</f>
        <v>-</v>
      </c>
      <c r="L4661" s="19" t="str">
        <f>IFERROR(__xludf.DUMMYFUNCTION("""COMPUTED_VALUE"""),"-")</f>
        <v>-</v>
      </c>
      <c r="O4661" s="24">
        <f t="shared" si="4"/>
        <v>0</v>
      </c>
      <c r="P4661" s="24"/>
      <c r="Q4661" s="24">
        <f t="shared" si="6"/>
        <v>0</v>
      </c>
      <c r="R4661" s="24">
        <f t="shared" si="7"/>
        <v>0</v>
      </c>
      <c r="S4661" s="24"/>
      <c r="T4661" s="24"/>
    </row>
    <row r="4662">
      <c r="A4662" s="12" t="s">
        <v>4749</v>
      </c>
      <c r="F4662" s="19">
        <f>IFERROR(__xludf.DUMMYFUNCTION("SPLIT(A4658, "" |"")"),4656.0)</f>
        <v>4656</v>
      </c>
      <c r="G4662" s="19">
        <f>IFERROR(__xludf.DUMMYFUNCTION("""COMPUTED_VALUE"""),0.00238)</f>
        <v>0.00238</v>
      </c>
      <c r="H4662" s="19" t="str">
        <f>IFERROR(__xludf.DUMMYFUNCTION("""COMPUTED_VALUE"""),"-")</f>
        <v>-</v>
      </c>
      <c r="I4662" s="19">
        <f>IFERROR(__xludf.DUMMYFUNCTION("""COMPUTED_VALUE"""),0.00216)</f>
        <v>0.00216</v>
      </c>
      <c r="J4662" s="19">
        <f>IFERROR(__xludf.DUMMYFUNCTION("""COMPUTED_VALUE"""),0.04115)</f>
        <v>0.04115</v>
      </c>
      <c r="K4662" s="19" t="str">
        <f>IFERROR(__xludf.DUMMYFUNCTION("""COMPUTED_VALUE"""),"-")</f>
        <v>-</v>
      </c>
      <c r="L4662" s="19" t="str">
        <f>IFERROR(__xludf.DUMMYFUNCTION("""COMPUTED_VALUE"""),"-")</f>
        <v>-</v>
      </c>
      <c r="O4662" s="24">
        <f t="shared" si="4"/>
        <v>0</v>
      </c>
      <c r="P4662" s="24"/>
      <c r="Q4662" s="24">
        <f t="shared" si="6"/>
        <v>0</v>
      </c>
      <c r="R4662" s="24">
        <f t="shared" si="7"/>
        <v>1</v>
      </c>
      <c r="S4662" s="24"/>
      <c r="T4662" s="24"/>
    </row>
    <row r="4663">
      <c r="A4663" s="12" t="s">
        <v>4750</v>
      </c>
      <c r="F4663" s="19">
        <f>IFERROR(__xludf.DUMMYFUNCTION("SPLIT(A4659, "" |"")"),4657.0)</f>
        <v>4657</v>
      </c>
      <c r="G4663" s="19">
        <f>IFERROR(__xludf.DUMMYFUNCTION("""COMPUTED_VALUE"""),0.00231)</f>
        <v>0.00231</v>
      </c>
      <c r="H4663" s="19" t="str">
        <f>IFERROR(__xludf.DUMMYFUNCTION("""COMPUTED_VALUE"""),"-")</f>
        <v>-</v>
      </c>
      <c r="I4663" s="19">
        <f>IFERROR(__xludf.DUMMYFUNCTION("""COMPUTED_VALUE"""),0.00218)</f>
        <v>0.00218</v>
      </c>
      <c r="J4663" s="19">
        <f>IFERROR(__xludf.DUMMYFUNCTION("""COMPUTED_VALUE"""),0.0475)</f>
        <v>0.0475</v>
      </c>
      <c r="K4663" s="19" t="str">
        <f>IFERROR(__xludf.DUMMYFUNCTION("""COMPUTED_VALUE"""),"-")</f>
        <v>-</v>
      </c>
      <c r="L4663" s="19" t="str">
        <f>IFERROR(__xludf.DUMMYFUNCTION("""COMPUTED_VALUE"""),"-")</f>
        <v>-</v>
      </c>
      <c r="O4663" s="24">
        <f t="shared" si="4"/>
        <v>0</v>
      </c>
      <c r="P4663" s="24"/>
      <c r="Q4663" s="24">
        <f t="shared" si="6"/>
        <v>0</v>
      </c>
      <c r="R4663" s="24">
        <f t="shared" si="7"/>
        <v>0</v>
      </c>
      <c r="S4663" s="24"/>
      <c r="T4663" s="24"/>
    </row>
    <row r="4664">
      <c r="A4664" s="12" t="s">
        <v>4751</v>
      </c>
      <c r="F4664" s="19">
        <f>IFERROR(__xludf.DUMMYFUNCTION("SPLIT(A4660, "" |"")"),4658.0)</f>
        <v>4658</v>
      </c>
      <c r="G4664" s="19">
        <f>IFERROR(__xludf.DUMMYFUNCTION("""COMPUTED_VALUE"""),0.00243)</f>
        <v>0.00243</v>
      </c>
      <c r="H4664" s="19" t="str">
        <f>IFERROR(__xludf.DUMMYFUNCTION("""COMPUTED_VALUE"""),"-")</f>
        <v>-</v>
      </c>
      <c r="I4664" s="19">
        <f>IFERROR(__xludf.DUMMYFUNCTION("""COMPUTED_VALUE"""),0.00219)</f>
        <v>0.00219</v>
      </c>
      <c r="J4664" s="19">
        <f>IFERROR(__xludf.DUMMYFUNCTION("""COMPUTED_VALUE"""),0.04744)</f>
        <v>0.04744</v>
      </c>
      <c r="K4664" s="19" t="str">
        <f>IFERROR(__xludf.DUMMYFUNCTION("""COMPUTED_VALUE"""),"-")</f>
        <v>-</v>
      </c>
      <c r="L4664" s="19" t="str">
        <f>IFERROR(__xludf.DUMMYFUNCTION("""COMPUTED_VALUE"""),"-")</f>
        <v>-</v>
      </c>
      <c r="O4664" s="24">
        <f t="shared" si="4"/>
        <v>0</v>
      </c>
      <c r="P4664" s="24"/>
      <c r="Q4664" s="24">
        <f t="shared" si="6"/>
        <v>0</v>
      </c>
      <c r="R4664" s="24">
        <f t="shared" si="7"/>
        <v>0</v>
      </c>
      <c r="S4664" s="24"/>
      <c r="T4664" s="24"/>
    </row>
    <row r="4665">
      <c r="A4665" s="12" t="s">
        <v>4752</v>
      </c>
      <c r="F4665" s="19">
        <f>IFERROR(__xludf.DUMMYFUNCTION("SPLIT(A4661, "" |"")"),4659.0)</f>
        <v>4659</v>
      </c>
      <c r="G4665" s="19">
        <f>IFERROR(__xludf.DUMMYFUNCTION("""COMPUTED_VALUE"""),0.00233)</f>
        <v>0.00233</v>
      </c>
      <c r="H4665" s="19" t="str">
        <f>IFERROR(__xludf.DUMMYFUNCTION("""COMPUTED_VALUE"""),"-")</f>
        <v>-</v>
      </c>
      <c r="I4665" s="19">
        <f>IFERROR(__xludf.DUMMYFUNCTION("""COMPUTED_VALUE"""),0.00217)</f>
        <v>0.00217</v>
      </c>
      <c r="J4665" s="19">
        <f>IFERROR(__xludf.DUMMYFUNCTION("""COMPUTED_VALUE"""),0.04745)</f>
        <v>0.04745</v>
      </c>
      <c r="K4665" s="19" t="str">
        <f>IFERROR(__xludf.DUMMYFUNCTION("""COMPUTED_VALUE"""),"-")</f>
        <v>-</v>
      </c>
      <c r="L4665" s="19" t="str">
        <f>IFERROR(__xludf.DUMMYFUNCTION("""COMPUTED_VALUE"""),"-")</f>
        <v>-</v>
      </c>
      <c r="O4665" s="24">
        <f t="shared" si="4"/>
        <v>0</v>
      </c>
      <c r="P4665" s="24"/>
      <c r="Q4665" s="24">
        <f t="shared" si="6"/>
        <v>0</v>
      </c>
      <c r="R4665" s="24">
        <f t="shared" si="7"/>
        <v>0</v>
      </c>
      <c r="S4665" s="24"/>
      <c r="T4665" s="24"/>
    </row>
    <row r="4666">
      <c r="A4666" s="12" t="s">
        <v>4753</v>
      </c>
      <c r="F4666" s="19">
        <f>IFERROR(__xludf.DUMMYFUNCTION("SPLIT(A4662, "" |"")"),4660.0)</f>
        <v>4660</v>
      </c>
      <c r="G4666" s="19">
        <f>IFERROR(__xludf.DUMMYFUNCTION("""COMPUTED_VALUE"""),0.00239)</f>
        <v>0.00239</v>
      </c>
      <c r="H4666" s="19" t="str">
        <f>IFERROR(__xludf.DUMMYFUNCTION("""COMPUTED_VALUE"""),"-")</f>
        <v>-</v>
      </c>
      <c r="I4666" s="19">
        <f>IFERROR(__xludf.DUMMYFUNCTION("""COMPUTED_VALUE"""),0.00217)</f>
        <v>0.00217</v>
      </c>
      <c r="J4666" s="19">
        <f>IFERROR(__xludf.DUMMYFUNCTION("""COMPUTED_VALUE"""),0.04737)</f>
        <v>0.04737</v>
      </c>
      <c r="K4666" s="19" t="str">
        <f>IFERROR(__xludf.DUMMYFUNCTION("""COMPUTED_VALUE"""),"-")</f>
        <v>-</v>
      </c>
      <c r="L4666" s="19" t="str">
        <f>IFERROR(__xludf.DUMMYFUNCTION("""COMPUTED_VALUE"""),"-")</f>
        <v>-</v>
      </c>
      <c r="O4666" s="24">
        <f t="shared" si="4"/>
        <v>0</v>
      </c>
      <c r="P4666" s="24"/>
      <c r="Q4666" s="24">
        <f t="shared" si="6"/>
        <v>0</v>
      </c>
      <c r="R4666" s="24">
        <f t="shared" si="7"/>
        <v>0</v>
      </c>
      <c r="S4666" s="24"/>
      <c r="T4666" s="24"/>
    </row>
    <row r="4667">
      <c r="A4667" s="12" t="s">
        <v>4754</v>
      </c>
      <c r="F4667" s="19">
        <f>IFERROR(__xludf.DUMMYFUNCTION("SPLIT(A4663, "" |"")"),4661.0)</f>
        <v>4661</v>
      </c>
      <c r="G4667" s="19">
        <f>IFERROR(__xludf.DUMMYFUNCTION("""COMPUTED_VALUE"""),0.00237)</f>
        <v>0.00237</v>
      </c>
      <c r="H4667" s="19" t="str">
        <f>IFERROR(__xludf.DUMMYFUNCTION("""COMPUTED_VALUE"""),"-")</f>
        <v>-</v>
      </c>
      <c r="I4667" s="19">
        <f>IFERROR(__xludf.DUMMYFUNCTION("""COMPUTED_VALUE"""),0.00221)</f>
        <v>0.00221</v>
      </c>
      <c r="J4667" s="19">
        <f>IFERROR(__xludf.DUMMYFUNCTION("""COMPUTED_VALUE"""),0.04733)</f>
        <v>0.04733</v>
      </c>
      <c r="K4667" s="19" t="str">
        <f>IFERROR(__xludf.DUMMYFUNCTION("""COMPUTED_VALUE"""),"-")</f>
        <v>-</v>
      </c>
      <c r="L4667" s="19" t="str">
        <f>IFERROR(__xludf.DUMMYFUNCTION("""COMPUTED_VALUE"""),"-")</f>
        <v>-</v>
      </c>
      <c r="O4667" s="24">
        <f t="shared" si="4"/>
        <v>0</v>
      </c>
      <c r="P4667" s="24"/>
      <c r="Q4667" s="24">
        <f t="shared" si="6"/>
        <v>0</v>
      </c>
      <c r="R4667" s="24">
        <f t="shared" si="7"/>
        <v>0</v>
      </c>
      <c r="S4667" s="24"/>
      <c r="T4667" s="24"/>
    </row>
    <row r="4668">
      <c r="A4668" s="12" t="s">
        <v>4755</v>
      </c>
      <c r="F4668" s="19">
        <f>IFERROR(__xludf.DUMMYFUNCTION("SPLIT(A4664, "" |"")"),4662.0)</f>
        <v>4662</v>
      </c>
      <c r="G4668" s="19">
        <f>IFERROR(__xludf.DUMMYFUNCTION("""COMPUTED_VALUE"""),0.00223)</f>
        <v>0.00223</v>
      </c>
      <c r="H4668" s="19" t="str">
        <f>IFERROR(__xludf.DUMMYFUNCTION("""COMPUTED_VALUE"""),"-")</f>
        <v>-</v>
      </c>
      <c r="I4668" s="19">
        <f>IFERROR(__xludf.DUMMYFUNCTION("""COMPUTED_VALUE"""),0.00209)</f>
        <v>0.00209</v>
      </c>
      <c r="J4668" s="19">
        <f>IFERROR(__xludf.DUMMYFUNCTION("""COMPUTED_VALUE"""),0.0473)</f>
        <v>0.0473</v>
      </c>
      <c r="K4668" s="19" t="str">
        <f>IFERROR(__xludf.DUMMYFUNCTION("""COMPUTED_VALUE"""),"-")</f>
        <v>-</v>
      </c>
      <c r="L4668" s="19" t="str">
        <f>IFERROR(__xludf.DUMMYFUNCTION("""COMPUTED_VALUE"""),"-")</f>
        <v>-</v>
      </c>
      <c r="O4668" s="24">
        <f t="shared" si="4"/>
        <v>0</v>
      </c>
      <c r="P4668" s="24"/>
      <c r="Q4668" s="24">
        <f t="shared" si="6"/>
        <v>0</v>
      </c>
      <c r="R4668" s="24">
        <f t="shared" si="7"/>
        <v>0</v>
      </c>
      <c r="S4668" s="24"/>
      <c r="T4668" s="24"/>
    </row>
    <row r="4669">
      <c r="A4669" s="12" t="s">
        <v>4756</v>
      </c>
      <c r="F4669" s="19">
        <f>IFERROR(__xludf.DUMMYFUNCTION("SPLIT(A4665, "" |"")"),4663.0)</f>
        <v>4663</v>
      </c>
      <c r="G4669" s="19">
        <f>IFERROR(__xludf.DUMMYFUNCTION("""COMPUTED_VALUE"""),0.00221)</f>
        <v>0.00221</v>
      </c>
      <c r="H4669" s="19" t="str">
        <f>IFERROR(__xludf.DUMMYFUNCTION("""COMPUTED_VALUE"""),"-")</f>
        <v>-</v>
      </c>
      <c r="I4669" s="19">
        <f>IFERROR(__xludf.DUMMYFUNCTION("""COMPUTED_VALUE"""),0.00225)</f>
        <v>0.00225</v>
      </c>
      <c r="J4669" s="19">
        <f>IFERROR(__xludf.DUMMYFUNCTION("""COMPUTED_VALUE"""),0.03969)</f>
        <v>0.03969</v>
      </c>
      <c r="K4669" s="19" t="str">
        <f>IFERROR(__xludf.DUMMYFUNCTION("""COMPUTED_VALUE"""),"-")</f>
        <v>-</v>
      </c>
      <c r="L4669" s="19" t="str">
        <f>IFERROR(__xludf.DUMMYFUNCTION("""COMPUTED_VALUE"""),"-")</f>
        <v>-</v>
      </c>
      <c r="O4669" s="24">
        <f t="shared" si="4"/>
        <v>0</v>
      </c>
      <c r="P4669" s="24"/>
      <c r="Q4669" s="24">
        <f t="shared" si="6"/>
        <v>0</v>
      </c>
      <c r="R4669" s="24">
        <f t="shared" si="7"/>
        <v>1</v>
      </c>
      <c r="S4669" s="24"/>
      <c r="T4669" s="24"/>
    </row>
    <row r="4670">
      <c r="A4670" s="12" t="s">
        <v>4757</v>
      </c>
      <c r="F4670" s="19">
        <f>IFERROR(__xludf.DUMMYFUNCTION("SPLIT(A4666, "" |"")"),4664.0)</f>
        <v>4664</v>
      </c>
      <c r="G4670" s="19">
        <f>IFERROR(__xludf.DUMMYFUNCTION("""COMPUTED_VALUE"""),0.00244)</f>
        <v>0.00244</v>
      </c>
      <c r="H4670" s="19" t="str">
        <f>IFERROR(__xludf.DUMMYFUNCTION("""COMPUTED_VALUE"""),"-")</f>
        <v>-</v>
      </c>
      <c r="I4670" s="19">
        <f>IFERROR(__xludf.DUMMYFUNCTION("""COMPUTED_VALUE"""),0.00219)</f>
        <v>0.00219</v>
      </c>
      <c r="J4670" s="19">
        <f>IFERROR(__xludf.DUMMYFUNCTION("""COMPUTED_VALUE"""),0.04264)</f>
        <v>0.04264</v>
      </c>
      <c r="K4670" s="19" t="str">
        <f>IFERROR(__xludf.DUMMYFUNCTION("""COMPUTED_VALUE"""),"-")</f>
        <v>-</v>
      </c>
      <c r="L4670" s="19" t="str">
        <f>IFERROR(__xludf.DUMMYFUNCTION("""COMPUTED_VALUE"""),"-")</f>
        <v>-</v>
      </c>
      <c r="O4670" s="24">
        <f t="shared" si="4"/>
        <v>0</v>
      </c>
      <c r="P4670" s="24"/>
      <c r="Q4670" s="24">
        <f t="shared" si="6"/>
        <v>0</v>
      </c>
      <c r="R4670" s="24">
        <f t="shared" si="7"/>
        <v>1</v>
      </c>
      <c r="S4670" s="24"/>
      <c r="T4670" s="24"/>
    </row>
    <row r="4671">
      <c r="A4671" s="12" t="s">
        <v>4758</v>
      </c>
      <c r="F4671" s="19">
        <f>IFERROR(__xludf.DUMMYFUNCTION("SPLIT(A4667, "" |"")"),4665.0)</f>
        <v>4665</v>
      </c>
      <c r="G4671" s="19">
        <f>IFERROR(__xludf.DUMMYFUNCTION("""COMPUTED_VALUE"""),0.00238)</f>
        <v>0.00238</v>
      </c>
      <c r="H4671" s="19" t="str">
        <f>IFERROR(__xludf.DUMMYFUNCTION("""COMPUTED_VALUE"""),"-")</f>
        <v>-</v>
      </c>
      <c r="I4671" s="19">
        <f>IFERROR(__xludf.DUMMYFUNCTION("""COMPUTED_VALUE"""),0.00222)</f>
        <v>0.00222</v>
      </c>
      <c r="J4671" s="19">
        <f>IFERROR(__xludf.DUMMYFUNCTION("""COMPUTED_VALUE"""),0.04736)</f>
        <v>0.04736</v>
      </c>
      <c r="K4671" s="19" t="str">
        <f>IFERROR(__xludf.DUMMYFUNCTION("""COMPUTED_VALUE"""),"-")</f>
        <v>-</v>
      </c>
      <c r="L4671" s="19" t="str">
        <f>IFERROR(__xludf.DUMMYFUNCTION("""COMPUTED_VALUE"""),"-")</f>
        <v>-</v>
      </c>
      <c r="O4671" s="24">
        <f t="shared" si="4"/>
        <v>0</v>
      </c>
      <c r="P4671" s="24"/>
      <c r="Q4671" s="24">
        <f t="shared" si="6"/>
        <v>0</v>
      </c>
      <c r="R4671" s="24">
        <f t="shared" si="7"/>
        <v>0</v>
      </c>
      <c r="S4671" s="24"/>
      <c r="T4671" s="24"/>
    </row>
    <row r="4672">
      <c r="A4672" s="12" t="s">
        <v>4759</v>
      </c>
      <c r="F4672" s="19">
        <f>IFERROR(__xludf.DUMMYFUNCTION("SPLIT(A4668, "" |"")"),4666.0)</f>
        <v>4666</v>
      </c>
      <c r="G4672" s="19">
        <f>IFERROR(__xludf.DUMMYFUNCTION("""COMPUTED_VALUE"""),0.00238)</f>
        <v>0.00238</v>
      </c>
      <c r="H4672" s="19" t="str">
        <f>IFERROR(__xludf.DUMMYFUNCTION("""COMPUTED_VALUE"""),"-")</f>
        <v>-</v>
      </c>
      <c r="I4672" s="19">
        <f>IFERROR(__xludf.DUMMYFUNCTION("""COMPUTED_VALUE"""),0.00215)</f>
        <v>0.00215</v>
      </c>
      <c r="J4672" s="19">
        <f>IFERROR(__xludf.DUMMYFUNCTION("""COMPUTED_VALUE"""),0.04623)</f>
        <v>0.04623</v>
      </c>
      <c r="K4672" s="19" t="str">
        <f>IFERROR(__xludf.DUMMYFUNCTION("""COMPUTED_VALUE"""),"-")</f>
        <v>-</v>
      </c>
      <c r="L4672" s="19" t="str">
        <f>IFERROR(__xludf.DUMMYFUNCTION("""COMPUTED_VALUE"""),"-")</f>
        <v>-</v>
      </c>
      <c r="O4672" s="24">
        <f t="shared" si="4"/>
        <v>0</v>
      </c>
      <c r="P4672" s="24"/>
      <c r="Q4672" s="24">
        <f t="shared" si="6"/>
        <v>0</v>
      </c>
      <c r="R4672" s="24">
        <f t="shared" si="7"/>
        <v>0</v>
      </c>
      <c r="S4672" s="24"/>
      <c r="T4672" s="24"/>
    </row>
    <row r="4673">
      <c r="A4673" s="12" t="s">
        <v>4760</v>
      </c>
      <c r="F4673" s="19">
        <f>IFERROR(__xludf.DUMMYFUNCTION("SPLIT(A4669, "" |"")"),4667.0)</f>
        <v>4667</v>
      </c>
      <c r="G4673" s="19">
        <f>IFERROR(__xludf.DUMMYFUNCTION("""COMPUTED_VALUE"""),0.0024)</f>
        <v>0.0024</v>
      </c>
      <c r="H4673" s="19" t="str">
        <f>IFERROR(__xludf.DUMMYFUNCTION("""COMPUTED_VALUE"""),"-")</f>
        <v>-</v>
      </c>
      <c r="I4673" s="19">
        <f>IFERROR(__xludf.DUMMYFUNCTION("""COMPUTED_VALUE"""),0.0022)</f>
        <v>0.0022</v>
      </c>
      <c r="J4673" s="19">
        <f>IFERROR(__xludf.DUMMYFUNCTION("""COMPUTED_VALUE"""),0.04742)</f>
        <v>0.04742</v>
      </c>
      <c r="K4673" s="19" t="str">
        <f>IFERROR(__xludf.DUMMYFUNCTION("""COMPUTED_VALUE"""),"-")</f>
        <v>-</v>
      </c>
      <c r="L4673" s="19" t="str">
        <f>IFERROR(__xludf.DUMMYFUNCTION("""COMPUTED_VALUE"""),"-")</f>
        <v>-</v>
      </c>
      <c r="O4673" s="24">
        <f t="shared" si="4"/>
        <v>0</v>
      </c>
      <c r="P4673" s="24"/>
      <c r="Q4673" s="24">
        <f t="shared" si="6"/>
        <v>0</v>
      </c>
      <c r="R4673" s="24">
        <f t="shared" si="7"/>
        <v>0</v>
      </c>
      <c r="S4673" s="24"/>
      <c r="T4673" s="24"/>
    </row>
    <row r="4674">
      <c r="A4674" s="12" t="s">
        <v>4761</v>
      </c>
      <c r="F4674" s="19">
        <f>IFERROR(__xludf.DUMMYFUNCTION("SPLIT(A4670, "" |"")"),4668.0)</f>
        <v>4668</v>
      </c>
      <c r="G4674" s="19">
        <f>IFERROR(__xludf.DUMMYFUNCTION("""COMPUTED_VALUE"""),0.00237)</f>
        <v>0.00237</v>
      </c>
      <c r="H4674" s="19" t="str">
        <f>IFERROR(__xludf.DUMMYFUNCTION("""COMPUTED_VALUE"""),"-")</f>
        <v>-</v>
      </c>
      <c r="I4674" s="19">
        <f>IFERROR(__xludf.DUMMYFUNCTION("""COMPUTED_VALUE"""),0.00221)</f>
        <v>0.00221</v>
      </c>
      <c r="J4674" s="19">
        <f>IFERROR(__xludf.DUMMYFUNCTION("""COMPUTED_VALUE"""),0.04734)</f>
        <v>0.04734</v>
      </c>
      <c r="K4674" s="19" t="str">
        <f>IFERROR(__xludf.DUMMYFUNCTION("""COMPUTED_VALUE"""),"-")</f>
        <v>-</v>
      </c>
      <c r="L4674" s="19" t="str">
        <f>IFERROR(__xludf.DUMMYFUNCTION("""COMPUTED_VALUE"""),"-")</f>
        <v>-</v>
      </c>
      <c r="O4674" s="24">
        <f t="shared" si="4"/>
        <v>0</v>
      </c>
      <c r="P4674" s="24"/>
      <c r="Q4674" s="24">
        <f t="shared" si="6"/>
        <v>0</v>
      </c>
      <c r="R4674" s="24">
        <f t="shared" si="7"/>
        <v>0</v>
      </c>
      <c r="S4674" s="24"/>
      <c r="T4674" s="24"/>
    </row>
    <row r="4675">
      <c r="A4675" s="12" t="s">
        <v>4762</v>
      </c>
      <c r="F4675" s="19">
        <f>IFERROR(__xludf.DUMMYFUNCTION("SPLIT(A4671, "" |"")"),4669.0)</f>
        <v>4669</v>
      </c>
      <c r="G4675" s="19">
        <f>IFERROR(__xludf.DUMMYFUNCTION("""COMPUTED_VALUE"""),0.00252)</f>
        <v>0.00252</v>
      </c>
      <c r="H4675" s="19" t="str">
        <f>IFERROR(__xludf.DUMMYFUNCTION("""COMPUTED_VALUE"""),"-")</f>
        <v>-</v>
      </c>
      <c r="I4675" s="19">
        <f>IFERROR(__xludf.DUMMYFUNCTION("""COMPUTED_VALUE"""),0.00238)</f>
        <v>0.00238</v>
      </c>
      <c r="J4675" s="19">
        <f>IFERROR(__xludf.DUMMYFUNCTION("""COMPUTED_VALUE"""),0.04666)</f>
        <v>0.04666</v>
      </c>
      <c r="K4675" s="19" t="str">
        <f>IFERROR(__xludf.DUMMYFUNCTION("""COMPUTED_VALUE"""),"-")</f>
        <v>-</v>
      </c>
      <c r="L4675" s="19" t="str">
        <f>IFERROR(__xludf.DUMMYFUNCTION("""COMPUTED_VALUE"""),"-")</f>
        <v>-</v>
      </c>
      <c r="O4675" s="24">
        <f t="shared" si="4"/>
        <v>0</v>
      </c>
      <c r="P4675" s="24"/>
      <c r="Q4675" s="24">
        <f t="shared" si="6"/>
        <v>0</v>
      </c>
      <c r="R4675" s="24">
        <f t="shared" si="7"/>
        <v>0</v>
      </c>
      <c r="S4675" s="24"/>
      <c r="T4675" s="24"/>
    </row>
    <row r="4676">
      <c r="A4676" s="12" t="s">
        <v>4763</v>
      </c>
      <c r="F4676" s="19">
        <f>IFERROR(__xludf.DUMMYFUNCTION("SPLIT(A4672, "" |"")"),4670.0)</f>
        <v>4670</v>
      </c>
      <c r="G4676" s="19">
        <f>IFERROR(__xludf.DUMMYFUNCTION("""COMPUTED_VALUE"""),0.00227)</f>
        <v>0.00227</v>
      </c>
      <c r="H4676" s="19" t="str">
        <f>IFERROR(__xludf.DUMMYFUNCTION("""COMPUTED_VALUE"""),"-")</f>
        <v>-</v>
      </c>
      <c r="I4676" s="19">
        <f>IFERROR(__xludf.DUMMYFUNCTION("""COMPUTED_VALUE"""),0.00211)</f>
        <v>0.00211</v>
      </c>
      <c r="J4676" s="19">
        <f>IFERROR(__xludf.DUMMYFUNCTION("""COMPUTED_VALUE"""),0.04734)</f>
        <v>0.04734</v>
      </c>
      <c r="K4676" s="19" t="str">
        <f>IFERROR(__xludf.DUMMYFUNCTION("""COMPUTED_VALUE"""),"-")</f>
        <v>-</v>
      </c>
      <c r="L4676" s="19" t="str">
        <f>IFERROR(__xludf.DUMMYFUNCTION("""COMPUTED_VALUE"""),"-")</f>
        <v>-</v>
      </c>
      <c r="O4676" s="24">
        <f t="shared" si="4"/>
        <v>0</v>
      </c>
      <c r="P4676" s="24"/>
      <c r="Q4676" s="24">
        <f t="shared" si="6"/>
        <v>0</v>
      </c>
      <c r="R4676" s="24">
        <f t="shared" si="7"/>
        <v>0</v>
      </c>
      <c r="S4676" s="24"/>
      <c r="T4676" s="24"/>
    </row>
    <row r="4677">
      <c r="A4677" s="12" t="s">
        <v>4764</v>
      </c>
      <c r="F4677" s="19">
        <f>IFERROR(__xludf.DUMMYFUNCTION("SPLIT(A4673, "" |"")"),4671.0)</f>
        <v>4671</v>
      </c>
      <c r="G4677" s="19">
        <f>IFERROR(__xludf.DUMMYFUNCTION("""COMPUTED_VALUE"""),0.00235)</f>
        <v>0.00235</v>
      </c>
      <c r="H4677" s="19" t="str">
        <f>IFERROR(__xludf.DUMMYFUNCTION("""COMPUTED_VALUE"""),"-")</f>
        <v>-</v>
      </c>
      <c r="I4677" s="19">
        <f>IFERROR(__xludf.DUMMYFUNCTION("""COMPUTED_VALUE"""),0.00216)</f>
        <v>0.00216</v>
      </c>
      <c r="J4677" s="19">
        <f>IFERROR(__xludf.DUMMYFUNCTION("""COMPUTED_VALUE"""),0.04744)</f>
        <v>0.04744</v>
      </c>
      <c r="K4677" s="19" t="str">
        <f>IFERROR(__xludf.DUMMYFUNCTION("""COMPUTED_VALUE"""),"-")</f>
        <v>-</v>
      </c>
      <c r="L4677" s="19" t="str">
        <f>IFERROR(__xludf.DUMMYFUNCTION("""COMPUTED_VALUE"""),"-")</f>
        <v>-</v>
      </c>
      <c r="O4677" s="24">
        <f t="shared" si="4"/>
        <v>0</v>
      </c>
      <c r="P4677" s="24"/>
      <c r="Q4677" s="24">
        <f t="shared" si="6"/>
        <v>0</v>
      </c>
      <c r="R4677" s="24">
        <f t="shared" si="7"/>
        <v>0</v>
      </c>
      <c r="S4677" s="24"/>
      <c r="T4677" s="24"/>
    </row>
    <row r="4678">
      <c r="A4678" s="12" t="s">
        <v>4765</v>
      </c>
      <c r="F4678" s="19">
        <f>IFERROR(__xludf.DUMMYFUNCTION("SPLIT(A4674, "" |"")"),4672.0)</f>
        <v>4672</v>
      </c>
      <c r="G4678" s="19">
        <f>IFERROR(__xludf.DUMMYFUNCTION("""COMPUTED_VALUE"""),0.00236)</f>
        <v>0.00236</v>
      </c>
      <c r="H4678" s="19" t="str">
        <f>IFERROR(__xludf.DUMMYFUNCTION("""COMPUTED_VALUE"""),"-")</f>
        <v>-</v>
      </c>
      <c r="I4678" s="19">
        <f>IFERROR(__xludf.DUMMYFUNCTION("""COMPUTED_VALUE"""),0.0022)</f>
        <v>0.0022</v>
      </c>
      <c r="J4678" s="19">
        <f>IFERROR(__xludf.DUMMYFUNCTION("""COMPUTED_VALUE"""),0.04744)</f>
        <v>0.04744</v>
      </c>
      <c r="K4678" s="19" t="str">
        <f>IFERROR(__xludf.DUMMYFUNCTION("""COMPUTED_VALUE"""),"-")</f>
        <v>-</v>
      </c>
      <c r="L4678" s="19" t="str">
        <f>IFERROR(__xludf.DUMMYFUNCTION("""COMPUTED_VALUE"""),"-")</f>
        <v>-</v>
      </c>
      <c r="O4678" s="24">
        <f t="shared" si="4"/>
        <v>0</v>
      </c>
      <c r="P4678" s="24"/>
      <c r="Q4678" s="24">
        <f t="shared" si="6"/>
        <v>0</v>
      </c>
      <c r="R4678" s="24">
        <f t="shared" si="7"/>
        <v>0</v>
      </c>
      <c r="S4678" s="24"/>
      <c r="T4678" s="24"/>
    </row>
    <row r="4679">
      <c r="A4679" s="12" t="s">
        <v>4766</v>
      </c>
      <c r="F4679" s="19">
        <f>IFERROR(__xludf.DUMMYFUNCTION("SPLIT(A4675, "" |"")"),4673.0)</f>
        <v>4673</v>
      </c>
      <c r="G4679" s="19">
        <f>IFERROR(__xludf.DUMMYFUNCTION("""COMPUTED_VALUE"""),0.00234)</f>
        <v>0.00234</v>
      </c>
      <c r="H4679" s="19" t="str">
        <f>IFERROR(__xludf.DUMMYFUNCTION("""COMPUTED_VALUE"""),"-")</f>
        <v>-</v>
      </c>
      <c r="I4679" s="19">
        <f>IFERROR(__xludf.DUMMYFUNCTION("""COMPUTED_VALUE"""),0.00221)</f>
        <v>0.00221</v>
      </c>
      <c r="J4679" s="19">
        <f>IFERROR(__xludf.DUMMYFUNCTION("""COMPUTED_VALUE"""),0.04746)</f>
        <v>0.04746</v>
      </c>
      <c r="K4679" s="19" t="str">
        <f>IFERROR(__xludf.DUMMYFUNCTION("""COMPUTED_VALUE"""),"-")</f>
        <v>-</v>
      </c>
      <c r="L4679" s="19" t="str">
        <f>IFERROR(__xludf.DUMMYFUNCTION("""COMPUTED_VALUE"""),"-")</f>
        <v>-</v>
      </c>
      <c r="O4679" s="24">
        <f t="shared" si="4"/>
        <v>0</v>
      </c>
      <c r="P4679" s="24"/>
      <c r="Q4679" s="24">
        <f t="shared" si="6"/>
        <v>0</v>
      </c>
      <c r="R4679" s="24">
        <f t="shared" si="7"/>
        <v>0</v>
      </c>
      <c r="S4679" s="24"/>
      <c r="T4679" s="24"/>
    </row>
    <row r="4680">
      <c r="A4680" s="12" t="s">
        <v>4767</v>
      </c>
      <c r="F4680" s="19">
        <f>IFERROR(__xludf.DUMMYFUNCTION("SPLIT(A4676, "" |"")"),4674.0)</f>
        <v>4674</v>
      </c>
      <c r="G4680" s="19">
        <f>IFERROR(__xludf.DUMMYFUNCTION("""COMPUTED_VALUE"""),0.00234)</f>
        <v>0.00234</v>
      </c>
      <c r="H4680" s="19" t="str">
        <f>IFERROR(__xludf.DUMMYFUNCTION("""COMPUTED_VALUE"""),"-")</f>
        <v>-</v>
      </c>
      <c r="I4680" s="19">
        <f>IFERROR(__xludf.DUMMYFUNCTION("""COMPUTED_VALUE"""),0.00216)</f>
        <v>0.00216</v>
      </c>
      <c r="J4680" s="19">
        <f>IFERROR(__xludf.DUMMYFUNCTION("""COMPUTED_VALUE"""),0.04741)</f>
        <v>0.04741</v>
      </c>
      <c r="K4680" s="19" t="str">
        <f>IFERROR(__xludf.DUMMYFUNCTION("""COMPUTED_VALUE"""),"-")</f>
        <v>-</v>
      </c>
      <c r="L4680" s="19" t="str">
        <f>IFERROR(__xludf.DUMMYFUNCTION("""COMPUTED_VALUE"""),"-")</f>
        <v>-</v>
      </c>
      <c r="O4680" s="24">
        <f t="shared" si="4"/>
        <v>0</v>
      </c>
      <c r="P4680" s="24"/>
      <c r="Q4680" s="24">
        <f t="shared" si="6"/>
        <v>0</v>
      </c>
      <c r="R4680" s="24">
        <f t="shared" si="7"/>
        <v>0</v>
      </c>
      <c r="S4680" s="24"/>
      <c r="T4680" s="24"/>
    </row>
    <row r="4681">
      <c r="A4681" s="12" t="s">
        <v>4768</v>
      </c>
      <c r="F4681" s="19">
        <f>IFERROR(__xludf.DUMMYFUNCTION("SPLIT(A4677, "" |"")"),4675.0)</f>
        <v>4675</v>
      </c>
      <c r="G4681" s="19">
        <f>IFERROR(__xludf.DUMMYFUNCTION("""COMPUTED_VALUE"""),0.0024)</f>
        <v>0.0024</v>
      </c>
      <c r="H4681" s="19" t="str">
        <f>IFERROR(__xludf.DUMMYFUNCTION("""COMPUTED_VALUE"""),"-")</f>
        <v>-</v>
      </c>
      <c r="I4681" s="19">
        <f>IFERROR(__xludf.DUMMYFUNCTION("""COMPUTED_VALUE"""),0.0022)</f>
        <v>0.0022</v>
      </c>
      <c r="J4681" s="19">
        <f>IFERROR(__xludf.DUMMYFUNCTION("""COMPUTED_VALUE"""),0.04742)</f>
        <v>0.04742</v>
      </c>
      <c r="K4681" s="19" t="str">
        <f>IFERROR(__xludf.DUMMYFUNCTION("""COMPUTED_VALUE"""),"-")</f>
        <v>-</v>
      </c>
      <c r="L4681" s="19" t="str">
        <f>IFERROR(__xludf.DUMMYFUNCTION("""COMPUTED_VALUE"""),"-")</f>
        <v>-</v>
      </c>
      <c r="O4681" s="24">
        <f t="shared" si="4"/>
        <v>0</v>
      </c>
      <c r="P4681" s="24"/>
      <c r="Q4681" s="24">
        <f t="shared" si="6"/>
        <v>0</v>
      </c>
      <c r="R4681" s="24">
        <f t="shared" si="7"/>
        <v>0</v>
      </c>
      <c r="S4681" s="24"/>
      <c r="T4681" s="24"/>
    </row>
    <row r="4682">
      <c r="A4682" s="12" t="s">
        <v>4769</v>
      </c>
      <c r="F4682" s="19">
        <f>IFERROR(__xludf.DUMMYFUNCTION("SPLIT(A4678, "" |"")"),4676.0)</f>
        <v>4676</v>
      </c>
      <c r="G4682" s="19">
        <f>IFERROR(__xludf.DUMMYFUNCTION("""COMPUTED_VALUE"""),0.00228)</f>
        <v>0.00228</v>
      </c>
      <c r="H4682" s="19" t="str">
        <f>IFERROR(__xludf.DUMMYFUNCTION("""COMPUTED_VALUE"""),"-")</f>
        <v>-</v>
      </c>
      <c r="I4682" s="19">
        <f>IFERROR(__xludf.DUMMYFUNCTION("""COMPUTED_VALUE"""),0.00212)</f>
        <v>0.00212</v>
      </c>
      <c r="J4682" s="19">
        <f>IFERROR(__xludf.DUMMYFUNCTION("""COMPUTED_VALUE"""),0.04371)</f>
        <v>0.04371</v>
      </c>
      <c r="K4682" s="19" t="str">
        <f>IFERROR(__xludf.DUMMYFUNCTION("""COMPUTED_VALUE"""),"-")</f>
        <v>-</v>
      </c>
      <c r="L4682" s="19" t="str">
        <f>IFERROR(__xludf.DUMMYFUNCTION("""COMPUTED_VALUE"""),"-")</f>
        <v>-</v>
      </c>
      <c r="O4682" s="24">
        <f t="shared" si="4"/>
        <v>0</v>
      </c>
      <c r="P4682" s="24"/>
      <c r="Q4682" s="24">
        <f t="shared" si="6"/>
        <v>0</v>
      </c>
      <c r="R4682" s="24">
        <f t="shared" si="7"/>
        <v>1</v>
      </c>
      <c r="S4682" s="24"/>
      <c r="T4682" s="24"/>
    </row>
    <row r="4683">
      <c r="A4683" s="12" t="s">
        <v>4770</v>
      </c>
      <c r="F4683" s="19">
        <f>IFERROR(__xludf.DUMMYFUNCTION("SPLIT(A4679, "" |"")"),4677.0)</f>
        <v>4677</v>
      </c>
      <c r="G4683" s="19">
        <f>IFERROR(__xludf.DUMMYFUNCTION("""COMPUTED_VALUE"""),0.00231)</f>
        <v>0.00231</v>
      </c>
      <c r="H4683" s="19" t="str">
        <f>IFERROR(__xludf.DUMMYFUNCTION("""COMPUTED_VALUE"""),"-")</f>
        <v>-</v>
      </c>
      <c r="I4683" s="19">
        <f>IFERROR(__xludf.DUMMYFUNCTION("""COMPUTED_VALUE"""),0.00215)</f>
        <v>0.00215</v>
      </c>
      <c r="J4683" s="19">
        <f>IFERROR(__xludf.DUMMYFUNCTION("""COMPUTED_VALUE"""),0.03909)</f>
        <v>0.03909</v>
      </c>
      <c r="K4683" s="19" t="str">
        <f>IFERROR(__xludf.DUMMYFUNCTION("""COMPUTED_VALUE"""),"-")</f>
        <v>-</v>
      </c>
      <c r="L4683" s="19" t="str">
        <f>IFERROR(__xludf.DUMMYFUNCTION("""COMPUTED_VALUE"""),"-")</f>
        <v>-</v>
      </c>
      <c r="O4683" s="24">
        <f t="shared" si="4"/>
        <v>0</v>
      </c>
      <c r="P4683" s="24"/>
      <c r="Q4683" s="24">
        <f t="shared" si="6"/>
        <v>0</v>
      </c>
      <c r="R4683" s="24">
        <f t="shared" si="7"/>
        <v>1</v>
      </c>
      <c r="S4683" s="24"/>
      <c r="T4683" s="24"/>
    </row>
    <row r="4684">
      <c r="A4684" s="12" t="s">
        <v>4771</v>
      </c>
      <c r="F4684" s="19">
        <f>IFERROR(__xludf.DUMMYFUNCTION("SPLIT(A4680, "" |"")"),4678.0)</f>
        <v>4678</v>
      </c>
      <c r="G4684" s="19">
        <f>IFERROR(__xludf.DUMMYFUNCTION("""COMPUTED_VALUE"""),0.00219)</f>
        <v>0.00219</v>
      </c>
      <c r="H4684" s="19" t="str">
        <f>IFERROR(__xludf.DUMMYFUNCTION("""COMPUTED_VALUE"""),"-")</f>
        <v>-</v>
      </c>
      <c r="I4684" s="19">
        <f>IFERROR(__xludf.DUMMYFUNCTION("""COMPUTED_VALUE"""),0.00224)</f>
        <v>0.00224</v>
      </c>
      <c r="J4684" s="19">
        <f>IFERROR(__xludf.DUMMYFUNCTION("""COMPUTED_VALUE"""),0.04749)</f>
        <v>0.04749</v>
      </c>
      <c r="K4684" s="19" t="str">
        <f>IFERROR(__xludf.DUMMYFUNCTION("""COMPUTED_VALUE"""),"-")</f>
        <v>-</v>
      </c>
      <c r="L4684" s="19" t="str">
        <f>IFERROR(__xludf.DUMMYFUNCTION("""COMPUTED_VALUE"""),"-")</f>
        <v>-</v>
      </c>
      <c r="O4684" s="24">
        <f t="shared" si="4"/>
        <v>0</v>
      </c>
      <c r="P4684" s="24"/>
      <c r="Q4684" s="24">
        <f t="shared" si="6"/>
        <v>0</v>
      </c>
      <c r="R4684" s="24">
        <f t="shared" si="7"/>
        <v>0</v>
      </c>
      <c r="S4684" s="24"/>
      <c r="T4684" s="24"/>
    </row>
    <row r="4685">
      <c r="A4685" s="12" t="s">
        <v>4772</v>
      </c>
      <c r="F4685" s="19">
        <f>IFERROR(__xludf.DUMMYFUNCTION("SPLIT(A4681, "" |"")"),4679.0)</f>
        <v>4679</v>
      </c>
      <c r="G4685" s="19">
        <f>IFERROR(__xludf.DUMMYFUNCTION("""COMPUTED_VALUE"""),0.00232)</f>
        <v>0.00232</v>
      </c>
      <c r="H4685" s="19" t="str">
        <f>IFERROR(__xludf.DUMMYFUNCTION("""COMPUTED_VALUE"""),"-")</f>
        <v>-</v>
      </c>
      <c r="I4685" s="19">
        <f>IFERROR(__xludf.DUMMYFUNCTION("""COMPUTED_VALUE"""),0.00219)</f>
        <v>0.00219</v>
      </c>
      <c r="J4685" s="19">
        <f>IFERROR(__xludf.DUMMYFUNCTION("""COMPUTED_VALUE"""),0.04744)</f>
        <v>0.04744</v>
      </c>
      <c r="K4685" s="19" t="str">
        <f>IFERROR(__xludf.DUMMYFUNCTION("""COMPUTED_VALUE"""),"-")</f>
        <v>-</v>
      </c>
      <c r="L4685" s="19" t="str">
        <f>IFERROR(__xludf.DUMMYFUNCTION("""COMPUTED_VALUE"""),"-")</f>
        <v>-</v>
      </c>
      <c r="O4685" s="24">
        <f t="shared" si="4"/>
        <v>0</v>
      </c>
      <c r="P4685" s="24"/>
      <c r="Q4685" s="24">
        <f t="shared" si="6"/>
        <v>0</v>
      </c>
      <c r="R4685" s="24">
        <f t="shared" si="7"/>
        <v>0</v>
      </c>
      <c r="S4685" s="24"/>
      <c r="T4685" s="24"/>
    </row>
    <row r="4686">
      <c r="A4686" s="12" t="s">
        <v>4773</v>
      </c>
      <c r="F4686" s="19">
        <f>IFERROR(__xludf.DUMMYFUNCTION("SPLIT(A4682, "" |"")"),4680.0)</f>
        <v>4680</v>
      </c>
      <c r="G4686" s="19">
        <f>IFERROR(__xludf.DUMMYFUNCTION("""COMPUTED_VALUE"""),0.00237)</f>
        <v>0.00237</v>
      </c>
      <c r="H4686" s="19" t="str">
        <f>IFERROR(__xludf.DUMMYFUNCTION("""COMPUTED_VALUE"""),"-")</f>
        <v>-</v>
      </c>
      <c r="I4686" s="19">
        <f>IFERROR(__xludf.DUMMYFUNCTION("""COMPUTED_VALUE"""),0.00219)</f>
        <v>0.00219</v>
      </c>
      <c r="J4686" s="19">
        <f>IFERROR(__xludf.DUMMYFUNCTION("""COMPUTED_VALUE"""),0.04741)</f>
        <v>0.04741</v>
      </c>
      <c r="K4686" s="19" t="str">
        <f>IFERROR(__xludf.DUMMYFUNCTION("""COMPUTED_VALUE"""),"-")</f>
        <v>-</v>
      </c>
      <c r="L4686" s="19" t="str">
        <f>IFERROR(__xludf.DUMMYFUNCTION("""COMPUTED_VALUE"""),"-")</f>
        <v>-</v>
      </c>
      <c r="O4686" s="24">
        <f t="shared" si="4"/>
        <v>0</v>
      </c>
      <c r="P4686" s="24"/>
      <c r="Q4686" s="24">
        <f t="shared" si="6"/>
        <v>0</v>
      </c>
      <c r="R4686" s="24">
        <f t="shared" si="7"/>
        <v>0</v>
      </c>
      <c r="S4686" s="24"/>
      <c r="T4686" s="24"/>
    </row>
    <row r="4687">
      <c r="A4687" s="12" t="s">
        <v>4774</v>
      </c>
      <c r="F4687" s="19">
        <f>IFERROR(__xludf.DUMMYFUNCTION("SPLIT(A4683, "" |"")"),4681.0)</f>
        <v>4681</v>
      </c>
      <c r="G4687" s="19">
        <f>IFERROR(__xludf.DUMMYFUNCTION("""COMPUTED_VALUE"""),0.00237)</f>
        <v>0.00237</v>
      </c>
      <c r="H4687" s="19" t="str">
        <f>IFERROR(__xludf.DUMMYFUNCTION("""COMPUTED_VALUE"""),"-")</f>
        <v>-</v>
      </c>
      <c r="I4687" s="19">
        <f>IFERROR(__xludf.DUMMYFUNCTION("""COMPUTED_VALUE"""),0.00223)</f>
        <v>0.00223</v>
      </c>
      <c r="J4687" s="19">
        <f>IFERROR(__xludf.DUMMYFUNCTION("""COMPUTED_VALUE"""),0.04742)</f>
        <v>0.04742</v>
      </c>
      <c r="K4687" s="19" t="str">
        <f>IFERROR(__xludf.DUMMYFUNCTION("""COMPUTED_VALUE"""),"-")</f>
        <v>-</v>
      </c>
      <c r="L4687" s="19" t="str">
        <f>IFERROR(__xludf.DUMMYFUNCTION("""COMPUTED_VALUE"""),"-")</f>
        <v>-</v>
      </c>
      <c r="O4687" s="24">
        <f t="shared" si="4"/>
        <v>0</v>
      </c>
      <c r="P4687" s="24"/>
      <c r="Q4687" s="24">
        <f t="shared" si="6"/>
        <v>0</v>
      </c>
      <c r="R4687" s="24">
        <f t="shared" si="7"/>
        <v>0</v>
      </c>
      <c r="S4687" s="24"/>
      <c r="T4687" s="24"/>
    </row>
    <row r="4688">
      <c r="A4688" s="12" t="s">
        <v>4775</v>
      </c>
      <c r="F4688" s="19">
        <f>IFERROR(__xludf.DUMMYFUNCTION("SPLIT(A4684, "" |"")"),4682.0)</f>
        <v>4682</v>
      </c>
      <c r="G4688" s="19">
        <f>IFERROR(__xludf.DUMMYFUNCTION("""COMPUTED_VALUE"""),0.00241)</f>
        <v>0.00241</v>
      </c>
      <c r="H4688" s="19" t="str">
        <f>IFERROR(__xludf.DUMMYFUNCTION("""COMPUTED_VALUE"""),"-")</f>
        <v>-</v>
      </c>
      <c r="I4688" s="19">
        <f>IFERROR(__xludf.DUMMYFUNCTION("""COMPUTED_VALUE"""),0.00219)</f>
        <v>0.00219</v>
      </c>
      <c r="J4688" s="19">
        <f>IFERROR(__xludf.DUMMYFUNCTION("""COMPUTED_VALUE"""),0.04742)</f>
        <v>0.04742</v>
      </c>
      <c r="K4688" s="19" t="str">
        <f>IFERROR(__xludf.DUMMYFUNCTION("""COMPUTED_VALUE"""),"-")</f>
        <v>-</v>
      </c>
      <c r="L4688" s="19" t="str">
        <f>IFERROR(__xludf.DUMMYFUNCTION("""COMPUTED_VALUE"""),"-")</f>
        <v>-</v>
      </c>
      <c r="O4688" s="24">
        <f t="shared" si="4"/>
        <v>0</v>
      </c>
      <c r="P4688" s="24"/>
      <c r="Q4688" s="24">
        <f t="shared" si="6"/>
        <v>0</v>
      </c>
      <c r="R4688" s="24">
        <f t="shared" si="7"/>
        <v>0</v>
      </c>
      <c r="S4688" s="24"/>
      <c r="T4688" s="24"/>
    </row>
    <row r="4689">
      <c r="A4689" s="12" t="s">
        <v>4776</v>
      </c>
      <c r="F4689" s="19">
        <f>IFERROR(__xludf.DUMMYFUNCTION("SPLIT(A4685, "" |"")"),4683.0)</f>
        <v>4683</v>
      </c>
      <c r="G4689" s="19">
        <f>IFERROR(__xludf.DUMMYFUNCTION("""COMPUTED_VALUE"""),0.00234)</f>
        <v>0.00234</v>
      </c>
      <c r="H4689" s="19" t="str">
        <f>IFERROR(__xludf.DUMMYFUNCTION("""COMPUTED_VALUE"""),"-")</f>
        <v>-</v>
      </c>
      <c r="I4689" s="19">
        <f>IFERROR(__xludf.DUMMYFUNCTION("""COMPUTED_VALUE"""),0.0021)</f>
        <v>0.0021</v>
      </c>
      <c r="J4689" s="19">
        <f>IFERROR(__xludf.DUMMYFUNCTION("""COMPUTED_VALUE"""),0.04744)</f>
        <v>0.04744</v>
      </c>
      <c r="K4689" s="19" t="str">
        <f>IFERROR(__xludf.DUMMYFUNCTION("""COMPUTED_VALUE"""),"-")</f>
        <v>-</v>
      </c>
      <c r="L4689" s="19" t="str">
        <f>IFERROR(__xludf.DUMMYFUNCTION("""COMPUTED_VALUE"""),"-")</f>
        <v>-</v>
      </c>
      <c r="O4689" s="24">
        <f t="shared" si="4"/>
        <v>0</v>
      </c>
      <c r="P4689" s="24"/>
      <c r="Q4689" s="24">
        <f t="shared" si="6"/>
        <v>0</v>
      </c>
      <c r="R4689" s="24">
        <f t="shared" si="7"/>
        <v>0</v>
      </c>
      <c r="S4689" s="24"/>
      <c r="T4689" s="24"/>
    </row>
    <row r="4690">
      <c r="A4690" s="12" t="s">
        <v>4777</v>
      </c>
      <c r="F4690" s="19">
        <f>IFERROR(__xludf.DUMMYFUNCTION("SPLIT(A4686, "" |"")"),4684.0)</f>
        <v>4684</v>
      </c>
      <c r="G4690" s="19">
        <f>IFERROR(__xludf.DUMMYFUNCTION("""COMPUTED_VALUE"""),0.00246)</f>
        <v>0.00246</v>
      </c>
      <c r="H4690" s="19" t="str">
        <f>IFERROR(__xludf.DUMMYFUNCTION("""COMPUTED_VALUE"""),"-")</f>
        <v>-</v>
      </c>
      <c r="I4690" s="19">
        <f>IFERROR(__xludf.DUMMYFUNCTION("""COMPUTED_VALUE"""),0.00221)</f>
        <v>0.00221</v>
      </c>
      <c r="J4690" s="19">
        <f>IFERROR(__xludf.DUMMYFUNCTION("""COMPUTED_VALUE"""),0.04747)</f>
        <v>0.04747</v>
      </c>
      <c r="K4690" s="19" t="str">
        <f>IFERROR(__xludf.DUMMYFUNCTION("""COMPUTED_VALUE"""),"-")</f>
        <v>-</v>
      </c>
      <c r="L4690" s="19" t="str">
        <f>IFERROR(__xludf.DUMMYFUNCTION("""COMPUTED_VALUE"""),"-")</f>
        <v>-</v>
      </c>
      <c r="O4690" s="24">
        <f t="shared" si="4"/>
        <v>0</v>
      </c>
      <c r="P4690" s="24"/>
      <c r="Q4690" s="24">
        <f t="shared" si="6"/>
        <v>0</v>
      </c>
      <c r="R4690" s="24">
        <f t="shared" si="7"/>
        <v>0</v>
      </c>
      <c r="S4690" s="24"/>
      <c r="T4690" s="24"/>
    </row>
    <row r="4691">
      <c r="A4691" s="12" t="s">
        <v>4778</v>
      </c>
      <c r="F4691" s="19">
        <f>IFERROR(__xludf.DUMMYFUNCTION("SPLIT(A4687, "" |"")"),4685.0)</f>
        <v>4685</v>
      </c>
      <c r="G4691" s="19">
        <f>IFERROR(__xludf.DUMMYFUNCTION("""COMPUTED_VALUE"""),0.00235)</f>
        <v>0.00235</v>
      </c>
      <c r="H4691" s="19" t="str">
        <f>IFERROR(__xludf.DUMMYFUNCTION("""COMPUTED_VALUE"""),"-")</f>
        <v>-</v>
      </c>
      <c r="I4691" s="19">
        <f>IFERROR(__xludf.DUMMYFUNCTION("""COMPUTED_VALUE"""),0.00218)</f>
        <v>0.00218</v>
      </c>
      <c r="J4691" s="19">
        <f>IFERROR(__xludf.DUMMYFUNCTION("""COMPUTED_VALUE"""),0.04746)</f>
        <v>0.04746</v>
      </c>
      <c r="K4691" s="19" t="str">
        <f>IFERROR(__xludf.DUMMYFUNCTION("""COMPUTED_VALUE"""),"-")</f>
        <v>-</v>
      </c>
      <c r="L4691" s="19" t="str">
        <f>IFERROR(__xludf.DUMMYFUNCTION("""COMPUTED_VALUE"""),"-")</f>
        <v>-</v>
      </c>
      <c r="O4691" s="24">
        <f t="shared" si="4"/>
        <v>0</v>
      </c>
      <c r="P4691" s="24"/>
      <c r="Q4691" s="24">
        <f t="shared" si="6"/>
        <v>0</v>
      </c>
      <c r="R4691" s="24">
        <f t="shared" si="7"/>
        <v>0</v>
      </c>
      <c r="S4691" s="24"/>
      <c r="T4691" s="24"/>
    </row>
    <row r="4692">
      <c r="A4692" s="12" t="s">
        <v>4779</v>
      </c>
      <c r="F4692" s="19">
        <f>IFERROR(__xludf.DUMMYFUNCTION("SPLIT(A4688, "" |"")"),4686.0)</f>
        <v>4686</v>
      </c>
      <c r="G4692" s="19">
        <f>IFERROR(__xludf.DUMMYFUNCTION("""COMPUTED_VALUE"""),0.00239)</f>
        <v>0.00239</v>
      </c>
      <c r="H4692" s="19" t="str">
        <f>IFERROR(__xludf.DUMMYFUNCTION("""COMPUTED_VALUE"""),"-")</f>
        <v>-</v>
      </c>
      <c r="I4692" s="19">
        <f>IFERROR(__xludf.DUMMYFUNCTION("""COMPUTED_VALUE"""),0.00218)</f>
        <v>0.00218</v>
      </c>
      <c r="J4692" s="19">
        <f>IFERROR(__xludf.DUMMYFUNCTION("""COMPUTED_VALUE"""),0.04747)</f>
        <v>0.04747</v>
      </c>
      <c r="K4692" s="19" t="str">
        <f>IFERROR(__xludf.DUMMYFUNCTION("""COMPUTED_VALUE"""),"-")</f>
        <v>-</v>
      </c>
      <c r="L4692" s="19" t="str">
        <f>IFERROR(__xludf.DUMMYFUNCTION("""COMPUTED_VALUE"""),"-")</f>
        <v>-</v>
      </c>
      <c r="O4692" s="24">
        <f t="shared" si="4"/>
        <v>0</v>
      </c>
      <c r="P4692" s="24"/>
      <c r="Q4692" s="24">
        <f t="shared" si="6"/>
        <v>0</v>
      </c>
      <c r="R4692" s="24">
        <f t="shared" si="7"/>
        <v>0</v>
      </c>
      <c r="S4692" s="24"/>
      <c r="T4692" s="24"/>
    </row>
    <row r="4693">
      <c r="A4693" s="12" t="s">
        <v>4780</v>
      </c>
      <c r="F4693" s="19">
        <f>IFERROR(__xludf.DUMMYFUNCTION("SPLIT(A4689, "" |"")"),4687.0)</f>
        <v>4687</v>
      </c>
      <c r="G4693" s="19">
        <f>IFERROR(__xludf.DUMMYFUNCTION("""COMPUTED_VALUE"""),0.00233)</f>
        <v>0.00233</v>
      </c>
      <c r="H4693" s="19" t="str">
        <f>IFERROR(__xludf.DUMMYFUNCTION("""COMPUTED_VALUE"""),"-")</f>
        <v>-</v>
      </c>
      <c r="I4693" s="19">
        <f>IFERROR(__xludf.DUMMYFUNCTION("""COMPUTED_VALUE"""),0.0022)</f>
        <v>0.0022</v>
      </c>
      <c r="J4693" s="19">
        <f>IFERROR(__xludf.DUMMYFUNCTION("""COMPUTED_VALUE"""),0.04743)</f>
        <v>0.04743</v>
      </c>
      <c r="K4693" s="19" t="str">
        <f>IFERROR(__xludf.DUMMYFUNCTION("""COMPUTED_VALUE"""),"-")</f>
        <v>-</v>
      </c>
      <c r="L4693" s="19" t="str">
        <f>IFERROR(__xludf.DUMMYFUNCTION("""COMPUTED_VALUE"""),"-")</f>
        <v>-</v>
      </c>
      <c r="O4693" s="24">
        <f t="shared" si="4"/>
        <v>0</v>
      </c>
      <c r="P4693" s="24"/>
      <c r="Q4693" s="24">
        <f t="shared" si="6"/>
        <v>0</v>
      </c>
      <c r="R4693" s="24">
        <f t="shared" si="7"/>
        <v>0</v>
      </c>
      <c r="S4693" s="24"/>
      <c r="T4693" s="24"/>
    </row>
    <row r="4694">
      <c r="A4694" s="12" t="s">
        <v>4781</v>
      </c>
      <c r="F4694" s="19">
        <f>IFERROR(__xludf.DUMMYFUNCTION("SPLIT(A4690, "" |"")"),4688.0)</f>
        <v>4688</v>
      </c>
      <c r="G4694" s="19">
        <f>IFERROR(__xludf.DUMMYFUNCTION("""COMPUTED_VALUE"""),0.00239)</f>
        <v>0.00239</v>
      </c>
      <c r="H4694" s="19" t="str">
        <f>IFERROR(__xludf.DUMMYFUNCTION("""COMPUTED_VALUE"""),"-")</f>
        <v>-</v>
      </c>
      <c r="I4694" s="19">
        <f>IFERROR(__xludf.DUMMYFUNCTION("""COMPUTED_VALUE"""),0.00218)</f>
        <v>0.00218</v>
      </c>
      <c r="J4694" s="19">
        <f>IFERROR(__xludf.DUMMYFUNCTION("""COMPUTED_VALUE"""),0.04741)</f>
        <v>0.04741</v>
      </c>
      <c r="K4694" s="19" t="str">
        <f>IFERROR(__xludf.DUMMYFUNCTION("""COMPUTED_VALUE"""),"-")</f>
        <v>-</v>
      </c>
      <c r="L4694" s="19" t="str">
        <f>IFERROR(__xludf.DUMMYFUNCTION("""COMPUTED_VALUE"""),"-")</f>
        <v>-</v>
      </c>
      <c r="O4694" s="24">
        <f t="shared" si="4"/>
        <v>0</v>
      </c>
      <c r="P4694" s="24"/>
      <c r="Q4694" s="24">
        <f t="shared" si="6"/>
        <v>0</v>
      </c>
      <c r="R4694" s="24">
        <f t="shared" si="7"/>
        <v>0</v>
      </c>
      <c r="S4694" s="24"/>
      <c r="T4694" s="24"/>
    </row>
    <row r="4695">
      <c r="A4695" s="12" t="s">
        <v>4782</v>
      </c>
      <c r="F4695" s="19">
        <f>IFERROR(__xludf.DUMMYFUNCTION("SPLIT(A4691, "" |"")"),4689.0)</f>
        <v>4689</v>
      </c>
      <c r="G4695" s="19">
        <f>IFERROR(__xludf.DUMMYFUNCTION("""COMPUTED_VALUE"""),0.00234)</f>
        <v>0.00234</v>
      </c>
      <c r="H4695" s="19" t="str">
        <f>IFERROR(__xludf.DUMMYFUNCTION("""COMPUTED_VALUE"""),"-")</f>
        <v>-</v>
      </c>
      <c r="I4695" s="19">
        <f>IFERROR(__xludf.DUMMYFUNCTION("""COMPUTED_VALUE"""),0.00223)</f>
        <v>0.00223</v>
      </c>
      <c r="J4695" s="19">
        <f>IFERROR(__xludf.DUMMYFUNCTION("""COMPUTED_VALUE"""),0.04245)</f>
        <v>0.04245</v>
      </c>
      <c r="K4695" s="19" t="str">
        <f>IFERROR(__xludf.DUMMYFUNCTION("""COMPUTED_VALUE"""),"-")</f>
        <v>-</v>
      </c>
      <c r="L4695" s="19" t="str">
        <f>IFERROR(__xludf.DUMMYFUNCTION("""COMPUTED_VALUE"""),"-")</f>
        <v>-</v>
      </c>
      <c r="O4695" s="24">
        <f t="shared" si="4"/>
        <v>0</v>
      </c>
      <c r="P4695" s="24"/>
      <c r="Q4695" s="24">
        <f t="shared" si="6"/>
        <v>0</v>
      </c>
      <c r="R4695" s="24">
        <f t="shared" si="7"/>
        <v>1</v>
      </c>
      <c r="S4695" s="24"/>
      <c r="T4695" s="24"/>
    </row>
    <row r="4696">
      <c r="A4696" s="12" t="s">
        <v>4783</v>
      </c>
      <c r="F4696" s="19">
        <f>IFERROR(__xludf.DUMMYFUNCTION("SPLIT(A4692, "" |"")"),4690.0)</f>
        <v>4690</v>
      </c>
      <c r="G4696" s="19">
        <f>IFERROR(__xludf.DUMMYFUNCTION("""COMPUTED_VALUE"""),0.00235)</f>
        <v>0.00235</v>
      </c>
      <c r="H4696" s="19" t="str">
        <f>IFERROR(__xludf.DUMMYFUNCTION("""COMPUTED_VALUE"""),"-")</f>
        <v>-</v>
      </c>
      <c r="I4696" s="19">
        <f>IFERROR(__xludf.DUMMYFUNCTION("""COMPUTED_VALUE"""),0.00221)</f>
        <v>0.00221</v>
      </c>
      <c r="J4696" s="19">
        <f>IFERROR(__xludf.DUMMYFUNCTION("""COMPUTED_VALUE"""),0.0474)</f>
        <v>0.0474</v>
      </c>
      <c r="K4696" s="19" t="str">
        <f>IFERROR(__xludf.DUMMYFUNCTION("""COMPUTED_VALUE"""),"-")</f>
        <v>-</v>
      </c>
      <c r="L4696" s="19" t="str">
        <f>IFERROR(__xludf.DUMMYFUNCTION("""COMPUTED_VALUE"""),"-")</f>
        <v>-</v>
      </c>
      <c r="O4696" s="24">
        <f t="shared" si="4"/>
        <v>0</v>
      </c>
      <c r="P4696" s="24"/>
      <c r="Q4696" s="24">
        <f t="shared" si="6"/>
        <v>0</v>
      </c>
      <c r="R4696" s="24">
        <f t="shared" si="7"/>
        <v>0</v>
      </c>
      <c r="S4696" s="24"/>
      <c r="T4696" s="24"/>
    </row>
    <row r="4697">
      <c r="A4697" s="12" t="s">
        <v>4784</v>
      </c>
      <c r="F4697" s="19">
        <f>IFERROR(__xludf.DUMMYFUNCTION("SPLIT(A4693, "" |"")"),4691.0)</f>
        <v>4691</v>
      </c>
      <c r="G4697" s="19">
        <f>IFERROR(__xludf.DUMMYFUNCTION("""COMPUTED_VALUE"""),0.00224)</f>
        <v>0.00224</v>
      </c>
      <c r="H4697" s="19" t="str">
        <f>IFERROR(__xludf.DUMMYFUNCTION("""COMPUTED_VALUE"""),"-")</f>
        <v>-</v>
      </c>
      <c r="I4697" s="19">
        <f>IFERROR(__xludf.DUMMYFUNCTION("""COMPUTED_VALUE"""),0.00213)</f>
        <v>0.00213</v>
      </c>
      <c r="J4697" s="19">
        <f>IFERROR(__xludf.DUMMYFUNCTION("""COMPUTED_VALUE"""),0.04747)</f>
        <v>0.04747</v>
      </c>
      <c r="K4697" s="19" t="str">
        <f>IFERROR(__xludf.DUMMYFUNCTION("""COMPUTED_VALUE"""),"-")</f>
        <v>-</v>
      </c>
      <c r="L4697" s="19" t="str">
        <f>IFERROR(__xludf.DUMMYFUNCTION("""COMPUTED_VALUE"""),"-")</f>
        <v>-</v>
      </c>
      <c r="O4697" s="24">
        <f t="shared" si="4"/>
        <v>0</v>
      </c>
      <c r="P4697" s="24"/>
      <c r="Q4697" s="24">
        <f t="shared" si="6"/>
        <v>0</v>
      </c>
      <c r="R4697" s="24">
        <f t="shared" si="7"/>
        <v>0</v>
      </c>
      <c r="S4697" s="24"/>
      <c r="T4697" s="24"/>
    </row>
    <row r="4698">
      <c r="A4698" s="12" t="s">
        <v>4785</v>
      </c>
      <c r="F4698" s="19">
        <f>IFERROR(__xludf.DUMMYFUNCTION("SPLIT(A4694, "" |"")"),4692.0)</f>
        <v>4692</v>
      </c>
      <c r="G4698" s="19">
        <f>IFERROR(__xludf.DUMMYFUNCTION("""COMPUTED_VALUE"""),0.00234)</f>
        <v>0.00234</v>
      </c>
      <c r="H4698" s="19" t="str">
        <f>IFERROR(__xludf.DUMMYFUNCTION("""COMPUTED_VALUE"""),"-")</f>
        <v>-</v>
      </c>
      <c r="I4698" s="19">
        <f>IFERROR(__xludf.DUMMYFUNCTION("""COMPUTED_VALUE"""),0.00219)</f>
        <v>0.00219</v>
      </c>
      <c r="J4698" s="19">
        <f>IFERROR(__xludf.DUMMYFUNCTION("""COMPUTED_VALUE"""),0.04736)</f>
        <v>0.04736</v>
      </c>
      <c r="K4698" s="19" t="str">
        <f>IFERROR(__xludf.DUMMYFUNCTION("""COMPUTED_VALUE"""),"-")</f>
        <v>-</v>
      </c>
      <c r="L4698" s="19" t="str">
        <f>IFERROR(__xludf.DUMMYFUNCTION("""COMPUTED_VALUE"""),"-")</f>
        <v>-</v>
      </c>
      <c r="O4698" s="24">
        <f t="shared" si="4"/>
        <v>0</v>
      </c>
      <c r="P4698" s="24"/>
      <c r="Q4698" s="24">
        <f t="shared" si="6"/>
        <v>0</v>
      </c>
      <c r="R4698" s="24">
        <f t="shared" si="7"/>
        <v>0</v>
      </c>
      <c r="S4698" s="24"/>
      <c r="T4698" s="24"/>
    </row>
    <row r="4699">
      <c r="A4699" s="12" t="s">
        <v>4786</v>
      </c>
      <c r="F4699" s="19">
        <f>IFERROR(__xludf.DUMMYFUNCTION("SPLIT(A4695, "" |"")"),4693.0)</f>
        <v>4693</v>
      </c>
      <c r="G4699" s="19">
        <f>IFERROR(__xludf.DUMMYFUNCTION("""COMPUTED_VALUE"""),0.00234)</f>
        <v>0.00234</v>
      </c>
      <c r="H4699" s="19" t="str">
        <f>IFERROR(__xludf.DUMMYFUNCTION("""COMPUTED_VALUE"""),"-")</f>
        <v>-</v>
      </c>
      <c r="I4699" s="19">
        <f>IFERROR(__xludf.DUMMYFUNCTION("""COMPUTED_VALUE"""),0.00221)</f>
        <v>0.00221</v>
      </c>
      <c r="J4699" s="19">
        <f>IFERROR(__xludf.DUMMYFUNCTION("""COMPUTED_VALUE"""),0.04737)</f>
        <v>0.04737</v>
      </c>
      <c r="K4699" s="19" t="str">
        <f>IFERROR(__xludf.DUMMYFUNCTION("""COMPUTED_VALUE"""),"-")</f>
        <v>-</v>
      </c>
      <c r="L4699" s="19" t="str">
        <f>IFERROR(__xludf.DUMMYFUNCTION("""COMPUTED_VALUE"""),"-")</f>
        <v>-</v>
      </c>
      <c r="O4699" s="24">
        <f t="shared" si="4"/>
        <v>0</v>
      </c>
      <c r="P4699" s="24"/>
      <c r="Q4699" s="24">
        <f t="shared" si="6"/>
        <v>0</v>
      </c>
      <c r="R4699" s="24">
        <f t="shared" si="7"/>
        <v>0</v>
      </c>
      <c r="S4699" s="24"/>
      <c r="T4699" s="24"/>
    </row>
    <row r="4700">
      <c r="A4700" s="12" t="s">
        <v>4787</v>
      </c>
      <c r="F4700" s="19">
        <f>IFERROR(__xludf.DUMMYFUNCTION("SPLIT(A4696, "" |"")"),4694.0)</f>
        <v>4694</v>
      </c>
      <c r="G4700" s="19">
        <f>IFERROR(__xludf.DUMMYFUNCTION("""COMPUTED_VALUE"""),0.00237)</f>
        <v>0.00237</v>
      </c>
      <c r="H4700" s="19" t="str">
        <f>IFERROR(__xludf.DUMMYFUNCTION("""COMPUTED_VALUE"""),"-")</f>
        <v>-</v>
      </c>
      <c r="I4700" s="19">
        <f>IFERROR(__xludf.DUMMYFUNCTION("""COMPUTED_VALUE"""),0.00219)</f>
        <v>0.00219</v>
      </c>
      <c r="J4700" s="19">
        <f>IFERROR(__xludf.DUMMYFUNCTION("""COMPUTED_VALUE"""),0.04738)</f>
        <v>0.04738</v>
      </c>
      <c r="K4700" s="19" t="str">
        <f>IFERROR(__xludf.DUMMYFUNCTION("""COMPUTED_VALUE"""),"-")</f>
        <v>-</v>
      </c>
      <c r="L4700" s="19" t="str">
        <f>IFERROR(__xludf.DUMMYFUNCTION("""COMPUTED_VALUE"""),"-")</f>
        <v>-</v>
      </c>
      <c r="O4700" s="24">
        <f t="shared" si="4"/>
        <v>0</v>
      </c>
      <c r="P4700" s="24"/>
      <c r="Q4700" s="24">
        <f t="shared" si="6"/>
        <v>0</v>
      </c>
      <c r="R4700" s="24">
        <f t="shared" si="7"/>
        <v>0</v>
      </c>
      <c r="S4700" s="24"/>
      <c r="T4700" s="24"/>
    </row>
    <row r="4701">
      <c r="A4701" s="12" t="s">
        <v>4788</v>
      </c>
      <c r="F4701" s="19">
        <f>IFERROR(__xludf.DUMMYFUNCTION("SPLIT(A4697, "" |"")"),4695.0)</f>
        <v>4695</v>
      </c>
      <c r="G4701" s="19">
        <f>IFERROR(__xludf.DUMMYFUNCTION("""COMPUTED_VALUE"""),0.00233)</f>
        <v>0.00233</v>
      </c>
      <c r="H4701" s="19" t="str">
        <f>IFERROR(__xludf.DUMMYFUNCTION("""COMPUTED_VALUE"""),"-")</f>
        <v>-</v>
      </c>
      <c r="I4701" s="19">
        <f>IFERROR(__xludf.DUMMYFUNCTION("""COMPUTED_VALUE"""),0.00216)</f>
        <v>0.00216</v>
      </c>
      <c r="J4701" s="19">
        <f>IFERROR(__xludf.DUMMYFUNCTION("""COMPUTED_VALUE"""),0.04738)</f>
        <v>0.04738</v>
      </c>
      <c r="K4701" s="19" t="str">
        <f>IFERROR(__xludf.DUMMYFUNCTION("""COMPUTED_VALUE"""),"-")</f>
        <v>-</v>
      </c>
      <c r="L4701" s="19" t="str">
        <f>IFERROR(__xludf.DUMMYFUNCTION("""COMPUTED_VALUE"""),"-")</f>
        <v>-</v>
      </c>
      <c r="O4701" s="24">
        <f t="shared" si="4"/>
        <v>0</v>
      </c>
      <c r="P4701" s="24"/>
      <c r="Q4701" s="24">
        <f t="shared" si="6"/>
        <v>0</v>
      </c>
      <c r="R4701" s="24">
        <f t="shared" si="7"/>
        <v>0</v>
      </c>
      <c r="S4701" s="24"/>
      <c r="T4701" s="24"/>
    </row>
    <row r="4702">
      <c r="A4702" s="12" t="s">
        <v>4789</v>
      </c>
      <c r="F4702" s="19">
        <f>IFERROR(__xludf.DUMMYFUNCTION("SPLIT(A4698, "" |"")"),4696.0)</f>
        <v>4696</v>
      </c>
      <c r="G4702" s="19">
        <f>IFERROR(__xludf.DUMMYFUNCTION("""COMPUTED_VALUE"""),0.00234)</f>
        <v>0.00234</v>
      </c>
      <c r="H4702" s="19" t="str">
        <f>IFERROR(__xludf.DUMMYFUNCTION("""COMPUTED_VALUE"""),"-")</f>
        <v>-</v>
      </c>
      <c r="I4702" s="19">
        <f>IFERROR(__xludf.DUMMYFUNCTION("""COMPUTED_VALUE"""),0.00218)</f>
        <v>0.00218</v>
      </c>
      <c r="J4702" s="19">
        <f>IFERROR(__xludf.DUMMYFUNCTION("""COMPUTED_VALUE"""),0.04744)</f>
        <v>0.04744</v>
      </c>
      <c r="K4702" s="19" t="str">
        <f>IFERROR(__xludf.DUMMYFUNCTION("""COMPUTED_VALUE"""),"-")</f>
        <v>-</v>
      </c>
      <c r="L4702" s="19" t="str">
        <f>IFERROR(__xludf.DUMMYFUNCTION("""COMPUTED_VALUE"""),"-")</f>
        <v>-</v>
      </c>
      <c r="O4702" s="24">
        <f t="shared" si="4"/>
        <v>0</v>
      </c>
      <c r="P4702" s="24"/>
      <c r="Q4702" s="24">
        <f t="shared" si="6"/>
        <v>0</v>
      </c>
      <c r="R4702" s="24">
        <f t="shared" si="7"/>
        <v>0</v>
      </c>
      <c r="S4702" s="24"/>
      <c r="T4702" s="24"/>
    </row>
    <row r="4703">
      <c r="A4703" s="12" t="s">
        <v>4790</v>
      </c>
      <c r="F4703" s="19">
        <f>IFERROR(__xludf.DUMMYFUNCTION("SPLIT(A4699, "" |"")"),4697.0)</f>
        <v>4697</v>
      </c>
      <c r="G4703" s="19">
        <f>IFERROR(__xludf.DUMMYFUNCTION("""COMPUTED_VALUE"""),0.00235)</f>
        <v>0.00235</v>
      </c>
      <c r="H4703" s="19" t="str">
        <f>IFERROR(__xludf.DUMMYFUNCTION("""COMPUTED_VALUE"""),"-")</f>
        <v>-</v>
      </c>
      <c r="I4703" s="19">
        <f>IFERROR(__xludf.DUMMYFUNCTION("""COMPUTED_VALUE"""),0.0022)</f>
        <v>0.0022</v>
      </c>
      <c r="J4703" s="19">
        <f>IFERROR(__xludf.DUMMYFUNCTION("""COMPUTED_VALUE"""),0.04747)</f>
        <v>0.04747</v>
      </c>
      <c r="K4703" s="19" t="str">
        <f>IFERROR(__xludf.DUMMYFUNCTION("""COMPUTED_VALUE"""),"-")</f>
        <v>-</v>
      </c>
      <c r="L4703" s="19" t="str">
        <f>IFERROR(__xludf.DUMMYFUNCTION("""COMPUTED_VALUE"""),"-")</f>
        <v>-</v>
      </c>
      <c r="O4703" s="24">
        <f t="shared" si="4"/>
        <v>0</v>
      </c>
      <c r="P4703" s="24"/>
      <c r="Q4703" s="24">
        <f t="shared" si="6"/>
        <v>0</v>
      </c>
      <c r="R4703" s="24">
        <f t="shared" si="7"/>
        <v>0</v>
      </c>
      <c r="S4703" s="24"/>
      <c r="T4703" s="24"/>
    </row>
    <row r="4704">
      <c r="A4704" s="12" t="s">
        <v>4791</v>
      </c>
      <c r="F4704" s="19">
        <f>IFERROR(__xludf.DUMMYFUNCTION("SPLIT(A4700, "" |"")"),4698.0)</f>
        <v>4698</v>
      </c>
      <c r="G4704" s="19">
        <f>IFERROR(__xludf.DUMMYFUNCTION("""COMPUTED_VALUE"""),0.00238)</f>
        <v>0.00238</v>
      </c>
      <c r="H4704" s="19" t="str">
        <f>IFERROR(__xludf.DUMMYFUNCTION("""COMPUTED_VALUE"""),"-")</f>
        <v>-</v>
      </c>
      <c r="I4704" s="19">
        <f>IFERROR(__xludf.DUMMYFUNCTION("""COMPUTED_VALUE"""),0.0022)</f>
        <v>0.0022</v>
      </c>
      <c r="J4704" s="19">
        <f>IFERROR(__xludf.DUMMYFUNCTION("""COMPUTED_VALUE"""),0.04022)</f>
        <v>0.04022</v>
      </c>
      <c r="K4704" s="19" t="str">
        <f>IFERROR(__xludf.DUMMYFUNCTION("""COMPUTED_VALUE"""),"-")</f>
        <v>-</v>
      </c>
      <c r="L4704" s="19" t="str">
        <f>IFERROR(__xludf.DUMMYFUNCTION("""COMPUTED_VALUE"""),"-")</f>
        <v>-</v>
      </c>
      <c r="O4704" s="24">
        <f t="shared" si="4"/>
        <v>0</v>
      </c>
      <c r="P4704" s="24"/>
      <c r="Q4704" s="24">
        <f t="shared" si="6"/>
        <v>0</v>
      </c>
      <c r="R4704" s="24">
        <f t="shared" si="7"/>
        <v>1</v>
      </c>
      <c r="S4704" s="24"/>
      <c r="T4704" s="24"/>
    </row>
    <row r="4705">
      <c r="A4705" s="12" t="s">
        <v>4792</v>
      </c>
      <c r="F4705" s="19">
        <f>IFERROR(__xludf.DUMMYFUNCTION("SPLIT(A4701, "" |"")"),4699.0)</f>
        <v>4699</v>
      </c>
      <c r="G4705" s="19">
        <f>IFERROR(__xludf.DUMMYFUNCTION("""COMPUTED_VALUE"""),0.00229)</f>
        <v>0.00229</v>
      </c>
      <c r="H4705" s="19" t="str">
        <f>IFERROR(__xludf.DUMMYFUNCTION("""COMPUTED_VALUE"""),"-")</f>
        <v>-</v>
      </c>
      <c r="I4705" s="19">
        <f>IFERROR(__xludf.DUMMYFUNCTION("""COMPUTED_VALUE"""),0.00217)</f>
        <v>0.00217</v>
      </c>
      <c r="J4705" s="19">
        <f>IFERROR(__xludf.DUMMYFUNCTION("""COMPUTED_VALUE"""),0.04745)</f>
        <v>0.04745</v>
      </c>
      <c r="K4705" s="19" t="str">
        <f>IFERROR(__xludf.DUMMYFUNCTION("""COMPUTED_VALUE"""),"-")</f>
        <v>-</v>
      </c>
      <c r="L4705" s="19" t="str">
        <f>IFERROR(__xludf.DUMMYFUNCTION("""COMPUTED_VALUE"""),"-")</f>
        <v>-</v>
      </c>
      <c r="O4705" s="24">
        <f t="shared" si="4"/>
        <v>0</v>
      </c>
      <c r="P4705" s="24"/>
      <c r="Q4705" s="24">
        <f t="shared" si="6"/>
        <v>0</v>
      </c>
      <c r="R4705" s="24">
        <f t="shared" si="7"/>
        <v>0</v>
      </c>
      <c r="S4705" s="24"/>
      <c r="T4705" s="24"/>
    </row>
    <row r="4706">
      <c r="A4706" s="12" t="s">
        <v>4793</v>
      </c>
      <c r="F4706" s="19">
        <f>IFERROR(__xludf.DUMMYFUNCTION("SPLIT(A4702, "" |"")"),4700.0)</f>
        <v>4700</v>
      </c>
      <c r="G4706" s="19">
        <f>IFERROR(__xludf.DUMMYFUNCTION("""COMPUTED_VALUE"""),0.00235)</f>
        <v>0.00235</v>
      </c>
      <c r="H4706" s="19" t="str">
        <f>IFERROR(__xludf.DUMMYFUNCTION("""COMPUTED_VALUE"""),"-")</f>
        <v>-</v>
      </c>
      <c r="I4706" s="19">
        <f>IFERROR(__xludf.DUMMYFUNCTION("""COMPUTED_VALUE"""),0.00218)</f>
        <v>0.00218</v>
      </c>
      <c r="J4706" s="19">
        <f>IFERROR(__xludf.DUMMYFUNCTION("""COMPUTED_VALUE"""),0.04746)</f>
        <v>0.04746</v>
      </c>
      <c r="K4706" s="19" t="str">
        <f>IFERROR(__xludf.DUMMYFUNCTION("""COMPUTED_VALUE"""),"-")</f>
        <v>-</v>
      </c>
      <c r="L4706" s="19" t="str">
        <f>IFERROR(__xludf.DUMMYFUNCTION("""COMPUTED_VALUE"""),"-")</f>
        <v>-</v>
      </c>
      <c r="O4706" s="24">
        <f t="shared" si="4"/>
        <v>0</v>
      </c>
      <c r="P4706" s="24"/>
      <c r="Q4706" s="24">
        <f t="shared" si="6"/>
        <v>0</v>
      </c>
      <c r="R4706" s="24">
        <f t="shared" si="7"/>
        <v>0</v>
      </c>
      <c r="S4706" s="24"/>
      <c r="T4706" s="24"/>
    </row>
    <row r="4707">
      <c r="A4707" s="12" t="s">
        <v>4794</v>
      </c>
      <c r="F4707" s="19">
        <f>IFERROR(__xludf.DUMMYFUNCTION("SPLIT(A4703, "" |"")"),4701.0)</f>
        <v>4701</v>
      </c>
      <c r="G4707" s="19">
        <f>IFERROR(__xludf.DUMMYFUNCTION("""COMPUTED_VALUE"""),0.00236)</f>
        <v>0.00236</v>
      </c>
      <c r="H4707" s="19" t="str">
        <f>IFERROR(__xludf.DUMMYFUNCTION("""COMPUTED_VALUE"""),"-")</f>
        <v>-</v>
      </c>
      <c r="I4707" s="19">
        <f>IFERROR(__xludf.DUMMYFUNCTION("""COMPUTED_VALUE"""),0.00219)</f>
        <v>0.00219</v>
      </c>
      <c r="J4707" s="19">
        <f>IFERROR(__xludf.DUMMYFUNCTION("""COMPUTED_VALUE"""),0.04748)</f>
        <v>0.04748</v>
      </c>
      <c r="K4707" s="19" t="str">
        <f>IFERROR(__xludf.DUMMYFUNCTION("""COMPUTED_VALUE"""),"-")</f>
        <v>-</v>
      </c>
      <c r="L4707" s="19" t="str">
        <f>IFERROR(__xludf.DUMMYFUNCTION("""COMPUTED_VALUE"""),"-")</f>
        <v>-</v>
      </c>
      <c r="O4707" s="24">
        <f t="shared" si="4"/>
        <v>0</v>
      </c>
      <c r="P4707" s="24"/>
      <c r="Q4707" s="24">
        <f t="shared" si="6"/>
        <v>0</v>
      </c>
      <c r="R4707" s="24">
        <f t="shared" si="7"/>
        <v>0</v>
      </c>
      <c r="S4707" s="24"/>
      <c r="T4707" s="24"/>
    </row>
    <row r="4708">
      <c r="A4708" s="12" t="s">
        <v>4795</v>
      </c>
      <c r="F4708" s="19">
        <f>IFERROR(__xludf.DUMMYFUNCTION("SPLIT(A4704, "" |"")"),4702.0)</f>
        <v>4702</v>
      </c>
      <c r="G4708" s="19">
        <f>IFERROR(__xludf.DUMMYFUNCTION("""COMPUTED_VALUE"""),0.00239)</f>
        <v>0.00239</v>
      </c>
      <c r="H4708" s="19" t="str">
        <f>IFERROR(__xludf.DUMMYFUNCTION("""COMPUTED_VALUE"""),"-")</f>
        <v>-</v>
      </c>
      <c r="I4708" s="19">
        <f>IFERROR(__xludf.DUMMYFUNCTION("""COMPUTED_VALUE"""),0.00217)</f>
        <v>0.00217</v>
      </c>
      <c r="J4708" s="19">
        <f>IFERROR(__xludf.DUMMYFUNCTION("""COMPUTED_VALUE"""),0.04749)</f>
        <v>0.04749</v>
      </c>
      <c r="K4708" s="19" t="str">
        <f>IFERROR(__xludf.DUMMYFUNCTION("""COMPUTED_VALUE"""),"-")</f>
        <v>-</v>
      </c>
      <c r="L4708" s="19" t="str">
        <f>IFERROR(__xludf.DUMMYFUNCTION("""COMPUTED_VALUE"""),"-")</f>
        <v>-</v>
      </c>
      <c r="O4708" s="24">
        <f t="shared" si="4"/>
        <v>0</v>
      </c>
      <c r="P4708" s="24"/>
      <c r="Q4708" s="24">
        <f t="shared" si="6"/>
        <v>0</v>
      </c>
      <c r="R4708" s="24">
        <f t="shared" si="7"/>
        <v>0</v>
      </c>
      <c r="S4708" s="24"/>
      <c r="T4708" s="24"/>
    </row>
    <row r="4709">
      <c r="A4709" s="12" t="s">
        <v>4796</v>
      </c>
      <c r="F4709" s="19">
        <f>IFERROR(__xludf.DUMMYFUNCTION("SPLIT(A4705, "" |"")"),4703.0)</f>
        <v>4703</v>
      </c>
      <c r="G4709" s="19">
        <f>IFERROR(__xludf.DUMMYFUNCTION("""COMPUTED_VALUE"""),0.0024)</f>
        <v>0.0024</v>
      </c>
      <c r="H4709" s="19" t="str">
        <f>IFERROR(__xludf.DUMMYFUNCTION("""COMPUTED_VALUE"""),"-")</f>
        <v>-</v>
      </c>
      <c r="I4709" s="19">
        <f>IFERROR(__xludf.DUMMYFUNCTION("""COMPUTED_VALUE"""),0.00217)</f>
        <v>0.00217</v>
      </c>
      <c r="J4709" s="19">
        <f>IFERROR(__xludf.DUMMYFUNCTION("""COMPUTED_VALUE"""),0.04738)</f>
        <v>0.04738</v>
      </c>
      <c r="K4709" s="19" t="str">
        <f>IFERROR(__xludf.DUMMYFUNCTION("""COMPUTED_VALUE"""),"-")</f>
        <v>-</v>
      </c>
      <c r="L4709" s="19" t="str">
        <f>IFERROR(__xludf.DUMMYFUNCTION("""COMPUTED_VALUE"""),"-")</f>
        <v>-</v>
      </c>
      <c r="O4709" s="24">
        <f t="shared" si="4"/>
        <v>0</v>
      </c>
      <c r="P4709" s="24"/>
      <c r="Q4709" s="24">
        <f t="shared" si="6"/>
        <v>0</v>
      </c>
      <c r="R4709" s="24">
        <f t="shared" si="7"/>
        <v>0</v>
      </c>
      <c r="S4709" s="24"/>
      <c r="T4709" s="24"/>
    </row>
    <row r="4710">
      <c r="A4710" s="12" t="s">
        <v>4797</v>
      </c>
      <c r="F4710" s="19">
        <f>IFERROR(__xludf.DUMMYFUNCTION("SPLIT(A4706, "" |"")"),4704.0)</f>
        <v>4704</v>
      </c>
      <c r="G4710" s="19">
        <f>IFERROR(__xludf.DUMMYFUNCTION("""COMPUTED_VALUE"""),0.00235)</f>
        <v>0.00235</v>
      </c>
      <c r="H4710" s="19" t="str">
        <f>IFERROR(__xludf.DUMMYFUNCTION("""COMPUTED_VALUE"""),"-")</f>
        <v>-</v>
      </c>
      <c r="I4710" s="19">
        <f>IFERROR(__xludf.DUMMYFUNCTION("""COMPUTED_VALUE"""),0.00213)</f>
        <v>0.00213</v>
      </c>
      <c r="J4710" s="19">
        <f>IFERROR(__xludf.DUMMYFUNCTION("""COMPUTED_VALUE"""),0.04263)</f>
        <v>0.04263</v>
      </c>
      <c r="K4710" s="19" t="str">
        <f>IFERROR(__xludf.DUMMYFUNCTION("""COMPUTED_VALUE"""),"-")</f>
        <v>-</v>
      </c>
      <c r="L4710" s="19" t="str">
        <f>IFERROR(__xludf.DUMMYFUNCTION("""COMPUTED_VALUE"""),"-")</f>
        <v>-</v>
      </c>
      <c r="O4710" s="24">
        <f t="shared" si="4"/>
        <v>0</v>
      </c>
      <c r="P4710" s="24"/>
      <c r="Q4710" s="24">
        <f t="shared" si="6"/>
        <v>0</v>
      </c>
      <c r="R4710" s="24">
        <f t="shared" si="7"/>
        <v>1</v>
      </c>
      <c r="S4710" s="24"/>
      <c r="T4710" s="24"/>
    </row>
    <row r="4711">
      <c r="A4711" s="12" t="s">
        <v>4798</v>
      </c>
      <c r="F4711" s="19">
        <f>IFERROR(__xludf.DUMMYFUNCTION("SPLIT(A4707, "" |"")"),4705.0)</f>
        <v>4705</v>
      </c>
      <c r="G4711" s="19">
        <f>IFERROR(__xludf.DUMMYFUNCTION("""COMPUTED_VALUE"""),0.00217)</f>
        <v>0.00217</v>
      </c>
      <c r="H4711" s="19" t="str">
        <f>IFERROR(__xludf.DUMMYFUNCTION("""COMPUTED_VALUE"""),"-")</f>
        <v>-</v>
      </c>
      <c r="I4711" s="19">
        <f>IFERROR(__xludf.DUMMYFUNCTION("""COMPUTED_VALUE"""),0.00221)</f>
        <v>0.00221</v>
      </c>
      <c r="J4711" s="19">
        <f>IFERROR(__xludf.DUMMYFUNCTION("""COMPUTED_VALUE"""),0.04744)</f>
        <v>0.04744</v>
      </c>
      <c r="K4711" s="19" t="str">
        <f>IFERROR(__xludf.DUMMYFUNCTION("""COMPUTED_VALUE"""),"-")</f>
        <v>-</v>
      </c>
      <c r="L4711" s="19" t="str">
        <f>IFERROR(__xludf.DUMMYFUNCTION("""COMPUTED_VALUE"""),"-")</f>
        <v>-</v>
      </c>
      <c r="O4711" s="24">
        <f t="shared" si="4"/>
        <v>0</v>
      </c>
      <c r="P4711" s="24"/>
      <c r="Q4711" s="24">
        <f t="shared" si="6"/>
        <v>0</v>
      </c>
      <c r="R4711" s="24">
        <f t="shared" si="7"/>
        <v>0</v>
      </c>
      <c r="S4711" s="24"/>
      <c r="T4711" s="24"/>
    </row>
    <row r="4712">
      <c r="A4712" s="12" t="s">
        <v>4799</v>
      </c>
      <c r="F4712" s="19">
        <f>IFERROR(__xludf.DUMMYFUNCTION("SPLIT(A4708, "" |"")"),4706.0)</f>
        <v>4706</v>
      </c>
      <c r="G4712" s="19">
        <f>IFERROR(__xludf.DUMMYFUNCTION("""COMPUTED_VALUE"""),0.0024)</f>
        <v>0.0024</v>
      </c>
      <c r="H4712" s="19" t="str">
        <f>IFERROR(__xludf.DUMMYFUNCTION("""COMPUTED_VALUE"""),"-")</f>
        <v>-</v>
      </c>
      <c r="I4712" s="19">
        <f>IFERROR(__xludf.DUMMYFUNCTION("""COMPUTED_VALUE"""),0.00219)</f>
        <v>0.00219</v>
      </c>
      <c r="J4712" s="19">
        <f>IFERROR(__xludf.DUMMYFUNCTION("""COMPUTED_VALUE"""),0.0474)</f>
        <v>0.0474</v>
      </c>
      <c r="K4712" s="19" t="str">
        <f>IFERROR(__xludf.DUMMYFUNCTION("""COMPUTED_VALUE"""),"-")</f>
        <v>-</v>
      </c>
      <c r="L4712" s="19" t="str">
        <f>IFERROR(__xludf.DUMMYFUNCTION("""COMPUTED_VALUE"""),"-")</f>
        <v>-</v>
      </c>
      <c r="O4712" s="24">
        <f t="shared" si="4"/>
        <v>0</v>
      </c>
      <c r="P4712" s="24"/>
      <c r="Q4712" s="24">
        <f t="shared" si="6"/>
        <v>0</v>
      </c>
      <c r="R4712" s="24">
        <f t="shared" si="7"/>
        <v>0</v>
      </c>
      <c r="S4712" s="24"/>
      <c r="T4712" s="24"/>
    </row>
    <row r="4713">
      <c r="A4713" s="12" t="s">
        <v>4800</v>
      </c>
      <c r="F4713" s="19">
        <f>IFERROR(__xludf.DUMMYFUNCTION("SPLIT(A4709, "" |"")"),4707.0)</f>
        <v>4707</v>
      </c>
      <c r="G4713" s="19">
        <f>IFERROR(__xludf.DUMMYFUNCTION("""COMPUTED_VALUE"""),0.00236)</f>
        <v>0.00236</v>
      </c>
      <c r="H4713" s="19" t="str">
        <f>IFERROR(__xludf.DUMMYFUNCTION("""COMPUTED_VALUE"""),"-")</f>
        <v>-</v>
      </c>
      <c r="I4713" s="19">
        <f>IFERROR(__xludf.DUMMYFUNCTION("""COMPUTED_VALUE"""),0.00221)</f>
        <v>0.00221</v>
      </c>
      <c r="J4713" s="19">
        <f>IFERROR(__xludf.DUMMYFUNCTION("""COMPUTED_VALUE"""),0.04745)</f>
        <v>0.04745</v>
      </c>
      <c r="K4713" s="19" t="str">
        <f>IFERROR(__xludf.DUMMYFUNCTION("""COMPUTED_VALUE"""),"-")</f>
        <v>-</v>
      </c>
      <c r="L4713" s="19" t="str">
        <f>IFERROR(__xludf.DUMMYFUNCTION("""COMPUTED_VALUE"""),"-")</f>
        <v>-</v>
      </c>
      <c r="O4713" s="24">
        <f t="shared" si="4"/>
        <v>0</v>
      </c>
      <c r="P4713" s="24"/>
      <c r="Q4713" s="24">
        <f t="shared" si="6"/>
        <v>0</v>
      </c>
      <c r="R4713" s="24">
        <f t="shared" si="7"/>
        <v>0</v>
      </c>
      <c r="S4713" s="24"/>
      <c r="T4713" s="24"/>
    </row>
    <row r="4714">
      <c r="A4714" s="12" t="s">
        <v>4801</v>
      </c>
      <c r="F4714" s="19">
        <f>IFERROR(__xludf.DUMMYFUNCTION("SPLIT(A4710, "" |"")"),4708.0)</f>
        <v>4708</v>
      </c>
      <c r="G4714" s="19">
        <f>IFERROR(__xludf.DUMMYFUNCTION("""COMPUTED_VALUE"""),0.00237)</f>
        <v>0.00237</v>
      </c>
      <c r="H4714" s="19" t="str">
        <f>IFERROR(__xludf.DUMMYFUNCTION("""COMPUTED_VALUE"""),"-")</f>
        <v>-</v>
      </c>
      <c r="I4714" s="19">
        <f>IFERROR(__xludf.DUMMYFUNCTION("""COMPUTED_VALUE"""),0.00224)</f>
        <v>0.00224</v>
      </c>
      <c r="J4714" s="19">
        <f>IFERROR(__xludf.DUMMYFUNCTION("""COMPUTED_VALUE"""),0.04739)</f>
        <v>0.04739</v>
      </c>
      <c r="K4714" s="19" t="str">
        <f>IFERROR(__xludf.DUMMYFUNCTION("""COMPUTED_VALUE"""),"-")</f>
        <v>-</v>
      </c>
      <c r="L4714" s="19" t="str">
        <f>IFERROR(__xludf.DUMMYFUNCTION("""COMPUTED_VALUE"""),"-")</f>
        <v>-</v>
      </c>
      <c r="O4714" s="24">
        <f t="shared" si="4"/>
        <v>0</v>
      </c>
      <c r="P4714" s="24"/>
      <c r="Q4714" s="24">
        <f t="shared" si="6"/>
        <v>0</v>
      </c>
      <c r="R4714" s="24">
        <f t="shared" si="7"/>
        <v>0</v>
      </c>
      <c r="S4714" s="24"/>
      <c r="T4714" s="24"/>
    </row>
    <row r="4715">
      <c r="A4715" s="12" t="s">
        <v>4802</v>
      </c>
      <c r="F4715" s="19">
        <f>IFERROR(__xludf.DUMMYFUNCTION("SPLIT(A4711, "" |"")"),4709.0)</f>
        <v>4709</v>
      </c>
      <c r="G4715" s="19">
        <f>IFERROR(__xludf.DUMMYFUNCTION("""COMPUTED_VALUE"""),0.00221)</f>
        <v>0.00221</v>
      </c>
      <c r="H4715" s="19" t="str">
        <f>IFERROR(__xludf.DUMMYFUNCTION("""COMPUTED_VALUE"""),"-")</f>
        <v>-</v>
      </c>
      <c r="I4715" s="19">
        <f>IFERROR(__xludf.DUMMYFUNCTION("""COMPUTED_VALUE"""),0.00219)</f>
        <v>0.00219</v>
      </c>
      <c r="J4715" s="19">
        <f>IFERROR(__xludf.DUMMYFUNCTION("""COMPUTED_VALUE"""),0.04551)</f>
        <v>0.04551</v>
      </c>
      <c r="K4715" s="19" t="str">
        <f>IFERROR(__xludf.DUMMYFUNCTION("""COMPUTED_VALUE"""),"-")</f>
        <v>-</v>
      </c>
      <c r="L4715" s="19" t="str">
        <f>IFERROR(__xludf.DUMMYFUNCTION("""COMPUTED_VALUE"""),"-")</f>
        <v>-</v>
      </c>
      <c r="O4715" s="24">
        <f t="shared" si="4"/>
        <v>0</v>
      </c>
      <c r="P4715" s="24"/>
      <c r="Q4715" s="24">
        <f t="shared" si="6"/>
        <v>0</v>
      </c>
      <c r="R4715" s="24">
        <f t="shared" si="7"/>
        <v>0</v>
      </c>
      <c r="S4715" s="24"/>
      <c r="T4715" s="24"/>
    </row>
    <row r="4716">
      <c r="A4716" s="12" t="s">
        <v>4803</v>
      </c>
      <c r="F4716" s="19">
        <f>IFERROR(__xludf.DUMMYFUNCTION("SPLIT(A4712, "" |"")"),4710.0)</f>
        <v>4710</v>
      </c>
      <c r="G4716" s="19">
        <f>IFERROR(__xludf.DUMMYFUNCTION("""COMPUTED_VALUE"""),0.00233)</f>
        <v>0.00233</v>
      </c>
      <c r="H4716" s="19" t="str">
        <f>IFERROR(__xludf.DUMMYFUNCTION("""COMPUTED_VALUE"""),"-")</f>
        <v>-</v>
      </c>
      <c r="I4716" s="19">
        <f>IFERROR(__xludf.DUMMYFUNCTION("""COMPUTED_VALUE"""),0.00216)</f>
        <v>0.00216</v>
      </c>
      <c r="J4716" s="19">
        <f>IFERROR(__xludf.DUMMYFUNCTION("""COMPUTED_VALUE"""),0.04741)</f>
        <v>0.04741</v>
      </c>
      <c r="K4716" s="19" t="str">
        <f>IFERROR(__xludf.DUMMYFUNCTION("""COMPUTED_VALUE"""),"-")</f>
        <v>-</v>
      </c>
      <c r="L4716" s="19" t="str">
        <f>IFERROR(__xludf.DUMMYFUNCTION("""COMPUTED_VALUE"""),"-")</f>
        <v>-</v>
      </c>
      <c r="O4716" s="24">
        <f t="shared" si="4"/>
        <v>0</v>
      </c>
      <c r="P4716" s="24"/>
      <c r="Q4716" s="24">
        <f t="shared" si="6"/>
        <v>0</v>
      </c>
      <c r="R4716" s="24">
        <f t="shared" si="7"/>
        <v>0</v>
      </c>
      <c r="S4716" s="24"/>
      <c r="T4716" s="24"/>
    </row>
    <row r="4717">
      <c r="A4717" s="12" t="s">
        <v>4804</v>
      </c>
      <c r="F4717" s="19">
        <f>IFERROR(__xludf.DUMMYFUNCTION("SPLIT(A4713, "" |"")"),4711.0)</f>
        <v>4711</v>
      </c>
      <c r="G4717" s="19">
        <f>IFERROR(__xludf.DUMMYFUNCTION("""COMPUTED_VALUE"""),0.00234)</f>
        <v>0.00234</v>
      </c>
      <c r="H4717" s="19" t="str">
        <f>IFERROR(__xludf.DUMMYFUNCTION("""COMPUTED_VALUE"""),"-")</f>
        <v>-</v>
      </c>
      <c r="I4717" s="19">
        <f>IFERROR(__xludf.DUMMYFUNCTION("""COMPUTED_VALUE"""),0.00218)</f>
        <v>0.00218</v>
      </c>
      <c r="J4717" s="19">
        <f>IFERROR(__xludf.DUMMYFUNCTION("""COMPUTED_VALUE"""),0.0474)</f>
        <v>0.0474</v>
      </c>
      <c r="K4717" s="19" t="str">
        <f>IFERROR(__xludf.DUMMYFUNCTION("""COMPUTED_VALUE"""),"-")</f>
        <v>-</v>
      </c>
      <c r="L4717" s="19" t="str">
        <f>IFERROR(__xludf.DUMMYFUNCTION("""COMPUTED_VALUE"""),"-")</f>
        <v>-</v>
      </c>
      <c r="O4717" s="24">
        <f t="shared" si="4"/>
        <v>0</v>
      </c>
      <c r="P4717" s="24"/>
      <c r="Q4717" s="24">
        <f t="shared" si="6"/>
        <v>0</v>
      </c>
      <c r="R4717" s="24">
        <f t="shared" si="7"/>
        <v>0</v>
      </c>
      <c r="S4717" s="24"/>
      <c r="T4717" s="24"/>
    </row>
    <row r="4718">
      <c r="A4718" s="12" t="s">
        <v>4805</v>
      </c>
      <c r="F4718" s="19">
        <f>IFERROR(__xludf.DUMMYFUNCTION("SPLIT(A4714, "" |"")"),4712.0)</f>
        <v>4712</v>
      </c>
      <c r="G4718" s="19">
        <f>IFERROR(__xludf.DUMMYFUNCTION("""COMPUTED_VALUE"""),0.00243)</f>
        <v>0.00243</v>
      </c>
      <c r="H4718" s="19" t="str">
        <f>IFERROR(__xludf.DUMMYFUNCTION("""COMPUTED_VALUE"""),"-")</f>
        <v>-</v>
      </c>
      <c r="I4718" s="19">
        <f>IFERROR(__xludf.DUMMYFUNCTION("""COMPUTED_VALUE"""),0.00217)</f>
        <v>0.00217</v>
      </c>
      <c r="J4718" s="19">
        <f>IFERROR(__xludf.DUMMYFUNCTION("""COMPUTED_VALUE"""),0.04738)</f>
        <v>0.04738</v>
      </c>
      <c r="K4718" s="19" t="str">
        <f>IFERROR(__xludf.DUMMYFUNCTION("""COMPUTED_VALUE"""),"-")</f>
        <v>-</v>
      </c>
      <c r="L4718" s="19" t="str">
        <f>IFERROR(__xludf.DUMMYFUNCTION("""COMPUTED_VALUE"""),"-")</f>
        <v>-</v>
      </c>
      <c r="O4718" s="24">
        <f t="shared" si="4"/>
        <v>0</v>
      </c>
      <c r="P4718" s="24"/>
      <c r="Q4718" s="24">
        <f t="shared" si="6"/>
        <v>0</v>
      </c>
      <c r="R4718" s="24">
        <f t="shared" si="7"/>
        <v>0</v>
      </c>
      <c r="S4718" s="24"/>
      <c r="T4718" s="24"/>
    </row>
    <row r="4719">
      <c r="A4719" s="12" t="s">
        <v>4806</v>
      </c>
      <c r="F4719" s="19">
        <f>IFERROR(__xludf.DUMMYFUNCTION("SPLIT(A4715, "" |"")"),4713.0)</f>
        <v>4713</v>
      </c>
      <c r="G4719" s="19">
        <f>IFERROR(__xludf.DUMMYFUNCTION("""COMPUTED_VALUE"""),0.00236)</f>
        <v>0.00236</v>
      </c>
      <c r="H4719" s="19" t="str">
        <f>IFERROR(__xludf.DUMMYFUNCTION("""COMPUTED_VALUE"""),"-")</f>
        <v>-</v>
      </c>
      <c r="I4719" s="19">
        <f>IFERROR(__xludf.DUMMYFUNCTION("""COMPUTED_VALUE"""),0.00224)</f>
        <v>0.00224</v>
      </c>
      <c r="J4719" s="19">
        <f>IFERROR(__xludf.DUMMYFUNCTION("""COMPUTED_VALUE"""),0.04746)</f>
        <v>0.04746</v>
      </c>
      <c r="K4719" s="19" t="str">
        <f>IFERROR(__xludf.DUMMYFUNCTION("""COMPUTED_VALUE"""),"-")</f>
        <v>-</v>
      </c>
      <c r="L4719" s="19" t="str">
        <f>IFERROR(__xludf.DUMMYFUNCTION("""COMPUTED_VALUE"""),"-")</f>
        <v>-</v>
      </c>
      <c r="O4719" s="24">
        <f t="shared" si="4"/>
        <v>0</v>
      </c>
      <c r="P4719" s="24"/>
      <c r="Q4719" s="24">
        <f t="shared" si="6"/>
        <v>0</v>
      </c>
      <c r="R4719" s="24">
        <f t="shared" si="7"/>
        <v>0</v>
      </c>
      <c r="S4719" s="24"/>
      <c r="T4719" s="24"/>
    </row>
    <row r="4720">
      <c r="A4720" s="12" t="s">
        <v>4807</v>
      </c>
      <c r="F4720" s="19">
        <f>IFERROR(__xludf.DUMMYFUNCTION("SPLIT(A4716, "" |"")"),4714.0)</f>
        <v>4714</v>
      </c>
      <c r="G4720" s="19">
        <f>IFERROR(__xludf.DUMMYFUNCTION("""COMPUTED_VALUE"""),0.00238)</f>
        <v>0.00238</v>
      </c>
      <c r="H4720" s="19" t="str">
        <f>IFERROR(__xludf.DUMMYFUNCTION("""COMPUTED_VALUE"""),"-")</f>
        <v>-</v>
      </c>
      <c r="I4720" s="19">
        <f>IFERROR(__xludf.DUMMYFUNCTION("""COMPUTED_VALUE"""),0.00218)</f>
        <v>0.00218</v>
      </c>
      <c r="J4720" s="19">
        <f>IFERROR(__xludf.DUMMYFUNCTION("""COMPUTED_VALUE"""),0.04459)</f>
        <v>0.04459</v>
      </c>
      <c r="K4720" s="19" t="str">
        <f>IFERROR(__xludf.DUMMYFUNCTION("""COMPUTED_VALUE"""),"-")</f>
        <v>-</v>
      </c>
      <c r="L4720" s="19" t="str">
        <f>IFERROR(__xludf.DUMMYFUNCTION("""COMPUTED_VALUE"""),"-")</f>
        <v>-</v>
      </c>
      <c r="O4720" s="24">
        <f t="shared" si="4"/>
        <v>0</v>
      </c>
      <c r="P4720" s="24"/>
      <c r="Q4720" s="24">
        <f t="shared" si="6"/>
        <v>0</v>
      </c>
      <c r="R4720" s="24">
        <f t="shared" si="7"/>
        <v>1</v>
      </c>
      <c r="S4720" s="24"/>
      <c r="T4720" s="24"/>
    </row>
    <row r="4721">
      <c r="A4721" s="12" t="s">
        <v>4808</v>
      </c>
      <c r="F4721" s="19">
        <f>IFERROR(__xludf.DUMMYFUNCTION("SPLIT(A4717, "" |"")"),4715.0)</f>
        <v>4715</v>
      </c>
      <c r="G4721" s="19">
        <f>IFERROR(__xludf.DUMMYFUNCTION("""COMPUTED_VALUE"""),0.00231)</f>
        <v>0.00231</v>
      </c>
      <c r="H4721" s="19" t="str">
        <f>IFERROR(__xludf.DUMMYFUNCTION("""COMPUTED_VALUE"""),"-")</f>
        <v>-</v>
      </c>
      <c r="I4721" s="19">
        <f>IFERROR(__xludf.DUMMYFUNCTION("""COMPUTED_VALUE"""),0.00217)</f>
        <v>0.00217</v>
      </c>
      <c r="J4721" s="19">
        <f>IFERROR(__xludf.DUMMYFUNCTION("""COMPUTED_VALUE"""),0.04744)</f>
        <v>0.04744</v>
      </c>
      <c r="K4721" s="19" t="str">
        <f>IFERROR(__xludf.DUMMYFUNCTION("""COMPUTED_VALUE"""),"-")</f>
        <v>-</v>
      </c>
      <c r="L4721" s="19" t="str">
        <f>IFERROR(__xludf.DUMMYFUNCTION("""COMPUTED_VALUE"""),"-")</f>
        <v>-</v>
      </c>
      <c r="O4721" s="24">
        <f t="shared" si="4"/>
        <v>0</v>
      </c>
      <c r="P4721" s="24"/>
      <c r="Q4721" s="24">
        <f t="shared" si="6"/>
        <v>0</v>
      </c>
      <c r="R4721" s="24">
        <f t="shared" si="7"/>
        <v>0</v>
      </c>
      <c r="S4721" s="24"/>
      <c r="T4721" s="24"/>
    </row>
    <row r="4722">
      <c r="A4722" s="12" t="s">
        <v>4809</v>
      </c>
      <c r="F4722" s="19">
        <f>IFERROR(__xludf.DUMMYFUNCTION("SPLIT(A4718, "" |"")"),4716.0)</f>
        <v>4716</v>
      </c>
      <c r="G4722" s="19">
        <f>IFERROR(__xludf.DUMMYFUNCTION("""COMPUTED_VALUE"""),0.00236)</f>
        <v>0.00236</v>
      </c>
      <c r="H4722" s="19" t="str">
        <f>IFERROR(__xludf.DUMMYFUNCTION("""COMPUTED_VALUE"""),"-")</f>
        <v>-</v>
      </c>
      <c r="I4722" s="19">
        <f>IFERROR(__xludf.DUMMYFUNCTION("""COMPUTED_VALUE"""),0.00223)</f>
        <v>0.00223</v>
      </c>
      <c r="J4722" s="19">
        <f>IFERROR(__xludf.DUMMYFUNCTION("""COMPUTED_VALUE"""),0.04745)</f>
        <v>0.04745</v>
      </c>
      <c r="K4722" s="19" t="str">
        <f>IFERROR(__xludf.DUMMYFUNCTION("""COMPUTED_VALUE"""),"-")</f>
        <v>-</v>
      </c>
      <c r="L4722" s="19" t="str">
        <f>IFERROR(__xludf.DUMMYFUNCTION("""COMPUTED_VALUE"""),"-")</f>
        <v>-</v>
      </c>
      <c r="O4722" s="24">
        <f t="shared" si="4"/>
        <v>0</v>
      </c>
      <c r="P4722" s="24"/>
      <c r="Q4722" s="24">
        <f t="shared" si="6"/>
        <v>0</v>
      </c>
      <c r="R4722" s="24">
        <f t="shared" si="7"/>
        <v>0</v>
      </c>
      <c r="S4722" s="24"/>
      <c r="T4722" s="24"/>
    </row>
    <row r="4723">
      <c r="A4723" s="12" t="s">
        <v>4810</v>
      </c>
      <c r="F4723" s="19">
        <f>IFERROR(__xludf.DUMMYFUNCTION("SPLIT(A4719, "" |"")"),4717.0)</f>
        <v>4717</v>
      </c>
      <c r="G4723" s="19">
        <f>IFERROR(__xludf.DUMMYFUNCTION("""COMPUTED_VALUE"""),0.00233)</f>
        <v>0.00233</v>
      </c>
      <c r="H4723" s="19" t="str">
        <f>IFERROR(__xludf.DUMMYFUNCTION("""COMPUTED_VALUE"""),"-")</f>
        <v>-</v>
      </c>
      <c r="I4723" s="19">
        <f>IFERROR(__xludf.DUMMYFUNCTION("""COMPUTED_VALUE"""),0.00221)</f>
        <v>0.00221</v>
      </c>
      <c r="J4723" s="19">
        <f>IFERROR(__xludf.DUMMYFUNCTION("""COMPUTED_VALUE"""),0.04738)</f>
        <v>0.04738</v>
      </c>
      <c r="K4723" s="19" t="str">
        <f>IFERROR(__xludf.DUMMYFUNCTION("""COMPUTED_VALUE"""),"-")</f>
        <v>-</v>
      </c>
      <c r="L4723" s="19" t="str">
        <f>IFERROR(__xludf.DUMMYFUNCTION("""COMPUTED_VALUE"""),"-")</f>
        <v>-</v>
      </c>
      <c r="O4723" s="24">
        <f t="shared" si="4"/>
        <v>0</v>
      </c>
      <c r="P4723" s="24"/>
      <c r="Q4723" s="24">
        <f t="shared" si="6"/>
        <v>0</v>
      </c>
      <c r="R4723" s="24">
        <f t="shared" si="7"/>
        <v>0</v>
      </c>
      <c r="S4723" s="24"/>
      <c r="T4723" s="24"/>
    </row>
    <row r="4724">
      <c r="A4724" s="12" t="s">
        <v>4811</v>
      </c>
      <c r="F4724" s="19">
        <f>IFERROR(__xludf.DUMMYFUNCTION("SPLIT(A4720, "" |"")"),4718.0)</f>
        <v>4718</v>
      </c>
      <c r="G4724" s="19">
        <f>IFERROR(__xludf.DUMMYFUNCTION("""COMPUTED_VALUE"""),0.00241)</f>
        <v>0.00241</v>
      </c>
      <c r="H4724" s="19" t="str">
        <f>IFERROR(__xludf.DUMMYFUNCTION("""COMPUTED_VALUE"""),"-")</f>
        <v>-</v>
      </c>
      <c r="I4724" s="19">
        <f>IFERROR(__xludf.DUMMYFUNCTION("""COMPUTED_VALUE"""),0.00223)</f>
        <v>0.00223</v>
      </c>
      <c r="J4724" s="19">
        <f>IFERROR(__xludf.DUMMYFUNCTION("""COMPUTED_VALUE"""),0.04746)</f>
        <v>0.04746</v>
      </c>
      <c r="K4724" s="19" t="str">
        <f>IFERROR(__xludf.DUMMYFUNCTION("""COMPUTED_VALUE"""),"-")</f>
        <v>-</v>
      </c>
      <c r="L4724" s="19" t="str">
        <f>IFERROR(__xludf.DUMMYFUNCTION("""COMPUTED_VALUE"""),"-")</f>
        <v>-</v>
      </c>
      <c r="O4724" s="24">
        <f t="shared" si="4"/>
        <v>0</v>
      </c>
      <c r="P4724" s="24"/>
      <c r="Q4724" s="24">
        <f t="shared" si="6"/>
        <v>0</v>
      </c>
      <c r="R4724" s="24">
        <f t="shared" si="7"/>
        <v>0</v>
      </c>
      <c r="S4724" s="24"/>
      <c r="T4724" s="24"/>
    </row>
    <row r="4725">
      <c r="A4725" s="12" t="s">
        <v>4812</v>
      </c>
      <c r="F4725" s="19">
        <f>IFERROR(__xludf.DUMMYFUNCTION("SPLIT(A4721, "" |"")"),4719.0)</f>
        <v>4719</v>
      </c>
      <c r="G4725" s="19">
        <f>IFERROR(__xludf.DUMMYFUNCTION("""COMPUTED_VALUE"""),0.00231)</f>
        <v>0.00231</v>
      </c>
      <c r="H4725" s="19" t="str">
        <f>IFERROR(__xludf.DUMMYFUNCTION("""COMPUTED_VALUE"""),"-")</f>
        <v>-</v>
      </c>
      <c r="I4725" s="19">
        <f>IFERROR(__xludf.DUMMYFUNCTION("""COMPUTED_VALUE"""),0.00221)</f>
        <v>0.00221</v>
      </c>
      <c r="J4725" s="19">
        <f>IFERROR(__xludf.DUMMYFUNCTION("""COMPUTED_VALUE"""),0.04742)</f>
        <v>0.04742</v>
      </c>
      <c r="K4725" s="19" t="str">
        <f>IFERROR(__xludf.DUMMYFUNCTION("""COMPUTED_VALUE"""),"-")</f>
        <v>-</v>
      </c>
      <c r="L4725" s="19" t="str">
        <f>IFERROR(__xludf.DUMMYFUNCTION("""COMPUTED_VALUE"""),"-")</f>
        <v>-</v>
      </c>
      <c r="O4725" s="24">
        <f t="shared" si="4"/>
        <v>0</v>
      </c>
      <c r="P4725" s="24"/>
      <c r="Q4725" s="24">
        <f t="shared" si="6"/>
        <v>0</v>
      </c>
      <c r="R4725" s="24">
        <f t="shared" si="7"/>
        <v>0</v>
      </c>
      <c r="S4725" s="24"/>
      <c r="T4725" s="24"/>
    </row>
    <row r="4726">
      <c r="A4726" s="12" t="s">
        <v>4813</v>
      </c>
      <c r="F4726" s="19">
        <f>IFERROR(__xludf.DUMMYFUNCTION("SPLIT(A4722, "" |"")"),4720.0)</f>
        <v>4720</v>
      </c>
      <c r="G4726" s="19">
        <f>IFERROR(__xludf.DUMMYFUNCTION("""COMPUTED_VALUE"""),0.00238)</f>
        <v>0.00238</v>
      </c>
      <c r="H4726" s="19" t="str">
        <f>IFERROR(__xludf.DUMMYFUNCTION("""COMPUTED_VALUE"""),"-")</f>
        <v>-</v>
      </c>
      <c r="I4726" s="19">
        <f>IFERROR(__xludf.DUMMYFUNCTION("""COMPUTED_VALUE"""),0.00223)</f>
        <v>0.00223</v>
      </c>
      <c r="J4726" s="19">
        <f>IFERROR(__xludf.DUMMYFUNCTION("""COMPUTED_VALUE"""),0.04745)</f>
        <v>0.04745</v>
      </c>
      <c r="K4726" s="19" t="str">
        <f>IFERROR(__xludf.DUMMYFUNCTION("""COMPUTED_VALUE"""),"-")</f>
        <v>-</v>
      </c>
      <c r="L4726" s="19" t="str">
        <f>IFERROR(__xludf.DUMMYFUNCTION("""COMPUTED_VALUE"""),"-")</f>
        <v>-</v>
      </c>
      <c r="O4726" s="24">
        <f t="shared" si="4"/>
        <v>0</v>
      </c>
      <c r="P4726" s="24"/>
      <c r="Q4726" s="24">
        <f t="shared" si="6"/>
        <v>0</v>
      </c>
      <c r="R4726" s="24">
        <f t="shared" si="7"/>
        <v>0</v>
      </c>
      <c r="S4726" s="24"/>
      <c r="T4726" s="24"/>
    </row>
    <row r="4727">
      <c r="A4727" s="12" t="s">
        <v>4814</v>
      </c>
      <c r="F4727" s="19">
        <f>IFERROR(__xludf.DUMMYFUNCTION("SPLIT(A4723, "" |"")"),4721.0)</f>
        <v>4721</v>
      </c>
      <c r="G4727" s="19">
        <f>IFERROR(__xludf.DUMMYFUNCTION("""COMPUTED_VALUE"""),0.0023)</f>
        <v>0.0023</v>
      </c>
      <c r="H4727" s="19" t="str">
        <f>IFERROR(__xludf.DUMMYFUNCTION("""COMPUTED_VALUE"""),"-")</f>
        <v>-</v>
      </c>
      <c r="I4727" s="19">
        <f>IFERROR(__xludf.DUMMYFUNCTION("""COMPUTED_VALUE"""),0.00223)</f>
        <v>0.00223</v>
      </c>
      <c r="J4727" s="19">
        <f>IFERROR(__xludf.DUMMYFUNCTION("""COMPUTED_VALUE"""),0.03939)</f>
        <v>0.03939</v>
      </c>
      <c r="K4727" s="19" t="str">
        <f>IFERROR(__xludf.DUMMYFUNCTION("""COMPUTED_VALUE"""),"-")</f>
        <v>-</v>
      </c>
      <c r="L4727" s="19" t="str">
        <f>IFERROR(__xludf.DUMMYFUNCTION("""COMPUTED_VALUE"""),"-")</f>
        <v>-</v>
      </c>
      <c r="O4727" s="24">
        <f t="shared" si="4"/>
        <v>0</v>
      </c>
      <c r="P4727" s="24"/>
      <c r="Q4727" s="24">
        <f t="shared" si="6"/>
        <v>0</v>
      </c>
      <c r="R4727" s="24">
        <f t="shared" si="7"/>
        <v>1</v>
      </c>
      <c r="S4727" s="24"/>
      <c r="T4727" s="24"/>
    </row>
    <row r="4728">
      <c r="A4728" s="12" t="s">
        <v>4815</v>
      </c>
      <c r="F4728" s="19">
        <f>IFERROR(__xludf.DUMMYFUNCTION("SPLIT(A4724, "" |"")"),4722.0)</f>
        <v>4722</v>
      </c>
      <c r="G4728" s="19">
        <f>IFERROR(__xludf.DUMMYFUNCTION("""COMPUTED_VALUE"""),0.00238)</f>
        <v>0.00238</v>
      </c>
      <c r="H4728" s="19" t="str">
        <f>IFERROR(__xludf.DUMMYFUNCTION("""COMPUTED_VALUE"""),"-")</f>
        <v>-</v>
      </c>
      <c r="I4728" s="19">
        <f>IFERROR(__xludf.DUMMYFUNCTION("""COMPUTED_VALUE"""),0.00218)</f>
        <v>0.00218</v>
      </c>
      <c r="J4728" s="19">
        <f>IFERROR(__xludf.DUMMYFUNCTION("""COMPUTED_VALUE"""),0.0474)</f>
        <v>0.0474</v>
      </c>
      <c r="K4728" s="19" t="str">
        <f>IFERROR(__xludf.DUMMYFUNCTION("""COMPUTED_VALUE"""),"-")</f>
        <v>-</v>
      </c>
      <c r="L4728" s="19" t="str">
        <f>IFERROR(__xludf.DUMMYFUNCTION("""COMPUTED_VALUE"""),"-")</f>
        <v>-</v>
      </c>
      <c r="O4728" s="24">
        <f t="shared" si="4"/>
        <v>0</v>
      </c>
      <c r="P4728" s="24"/>
      <c r="Q4728" s="24">
        <f t="shared" si="6"/>
        <v>0</v>
      </c>
      <c r="R4728" s="24">
        <f t="shared" si="7"/>
        <v>0</v>
      </c>
      <c r="S4728" s="24"/>
      <c r="T4728" s="24"/>
    </row>
    <row r="4729">
      <c r="A4729" s="12" t="s">
        <v>4816</v>
      </c>
      <c r="F4729" s="19">
        <f>IFERROR(__xludf.DUMMYFUNCTION("SPLIT(A4725, "" |"")"),4723.0)</f>
        <v>4723</v>
      </c>
      <c r="G4729" s="19">
        <f>IFERROR(__xludf.DUMMYFUNCTION("""COMPUTED_VALUE"""),0.00239)</f>
        <v>0.00239</v>
      </c>
      <c r="H4729" s="19" t="str">
        <f>IFERROR(__xludf.DUMMYFUNCTION("""COMPUTED_VALUE"""),"-")</f>
        <v>-</v>
      </c>
      <c r="I4729" s="19">
        <f>IFERROR(__xludf.DUMMYFUNCTION("""COMPUTED_VALUE"""),0.00222)</f>
        <v>0.00222</v>
      </c>
      <c r="J4729" s="19">
        <f>IFERROR(__xludf.DUMMYFUNCTION("""COMPUTED_VALUE"""),0.04748)</f>
        <v>0.04748</v>
      </c>
      <c r="K4729" s="19" t="str">
        <f>IFERROR(__xludf.DUMMYFUNCTION("""COMPUTED_VALUE"""),"-")</f>
        <v>-</v>
      </c>
      <c r="L4729" s="19" t="str">
        <f>IFERROR(__xludf.DUMMYFUNCTION("""COMPUTED_VALUE"""),"-")</f>
        <v>-</v>
      </c>
      <c r="O4729" s="24">
        <f t="shared" si="4"/>
        <v>0</v>
      </c>
      <c r="P4729" s="24"/>
      <c r="Q4729" s="24">
        <f t="shared" si="6"/>
        <v>0</v>
      </c>
      <c r="R4729" s="24">
        <f t="shared" si="7"/>
        <v>0</v>
      </c>
      <c r="S4729" s="24"/>
      <c r="T4729" s="24"/>
    </row>
    <row r="4730">
      <c r="A4730" s="12" t="s">
        <v>4817</v>
      </c>
      <c r="F4730" s="19">
        <f>IFERROR(__xludf.DUMMYFUNCTION("SPLIT(A4726, "" |"")"),4724.0)</f>
        <v>4724</v>
      </c>
      <c r="G4730" s="19">
        <f>IFERROR(__xludf.DUMMYFUNCTION("""COMPUTED_VALUE"""),0.00239)</f>
        <v>0.00239</v>
      </c>
      <c r="H4730" s="19" t="str">
        <f>IFERROR(__xludf.DUMMYFUNCTION("""COMPUTED_VALUE"""),"-")</f>
        <v>-</v>
      </c>
      <c r="I4730" s="19">
        <f>IFERROR(__xludf.DUMMYFUNCTION("""COMPUTED_VALUE"""),0.00219)</f>
        <v>0.00219</v>
      </c>
      <c r="J4730" s="19">
        <f>IFERROR(__xludf.DUMMYFUNCTION("""COMPUTED_VALUE"""),0.04747)</f>
        <v>0.04747</v>
      </c>
      <c r="K4730" s="19" t="str">
        <f>IFERROR(__xludf.DUMMYFUNCTION("""COMPUTED_VALUE"""),"-")</f>
        <v>-</v>
      </c>
      <c r="L4730" s="19" t="str">
        <f>IFERROR(__xludf.DUMMYFUNCTION("""COMPUTED_VALUE"""),"-")</f>
        <v>-</v>
      </c>
      <c r="O4730" s="24">
        <f t="shared" si="4"/>
        <v>0</v>
      </c>
      <c r="P4730" s="24"/>
      <c r="Q4730" s="24">
        <f t="shared" si="6"/>
        <v>0</v>
      </c>
      <c r="R4730" s="24">
        <f t="shared" si="7"/>
        <v>0</v>
      </c>
      <c r="S4730" s="24"/>
      <c r="T4730" s="24"/>
    </row>
    <row r="4731">
      <c r="A4731" s="12" t="s">
        <v>4818</v>
      </c>
      <c r="F4731" s="19">
        <f>IFERROR(__xludf.DUMMYFUNCTION("SPLIT(A4727, "" |"")"),4725.0)</f>
        <v>4725</v>
      </c>
      <c r="G4731" s="19">
        <f>IFERROR(__xludf.DUMMYFUNCTION("""COMPUTED_VALUE"""),0.00234)</f>
        <v>0.00234</v>
      </c>
      <c r="H4731" s="19" t="str">
        <f>IFERROR(__xludf.DUMMYFUNCTION("""COMPUTED_VALUE"""),"-")</f>
        <v>-</v>
      </c>
      <c r="I4731" s="19">
        <f>IFERROR(__xludf.DUMMYFUNCTION("""COMPUTED_VALUE"""),0.00218)</f>
        <v>0.00218</v>
      </c>
      <c r="J4731" s="19">
        <f>IFERROR(__xludf.DUMMYFUNCTION("""COMPUTED_VALUE"""),0.04738)</f>
        <v>0.04738</v>
      </c>
      <c r="K4731" s="19" t="str">
        <f>IFERROR(__xludf.DUMMYFUNCTION("""COMPUTED_VALUE"""),"-")</f>
        <v>-</v>
      </c>
      <c r="L4731" s="19" t="str">
        <f>IFERROR(__xludf.DUMMYFUNCTION("""COMPUTED_VALUE"""),"-")</f>
        <v>-</v>
      </c>
      <c r="O4731" s="24">
        <f t="shared" si="4"/>
        <v>0</v>
      </c>
      <c r="P4731" s="24"/>
      <c r="Q4731" s="24">
        <f t="shared" si="6"/>
        <v>0</v>
      </c>
      <c r="R4731" s="24">
        <f t="shared" si="7"/>
        <v>0</v>
      </c>
      <c r="S4731" s="24"/>
      <c r="T4731" s="24"/>
    </row>
    <row r="4732">
      <c r="A4732" s="12" t="s">
        <v>4819</v>
      </c>
      <c r="F4732" s="19">
        <f>IFERROR(__xludf.DUMMYFUNCTION("SPLIT(A4728, "" |"")"),4726.0)</f>
        <v>4726</v>
      </c>
      <c r="G4732" s="19">
        <f>IFERROR(__xludf.DUMMYFUNCTION("""COMPUTED_VALUE"""),0.00237)</f>
        <v>0.00237</v>
      </c>
      <c r="H4732" s="19" t="str">
        <f>IFERROR(__xludf.DUMMYFUNCTION("""COMPUTED_VALUE"""),"-")</f>
        <v>-</v>
      </c>
      <c r="I4732" s="19">
        <f>IFERROR(__xludf.DUMMYFUNCTION("""COMPUTED_VALUE"""),0.0022)</f>
        <v>0.0022</v>
      </c>
      <c r="J4732" s="19">
        <f>IFERROR(__xludf.DUMMYFUNCTION("""COMPUTED_VALUE"""),0.0454)</f>
        <v>0.0454</v>
      </c>
      <c r="K4732" s="19" t="str">
        <f>IFERROR(__xludf.DUMMYFUNCTION("""COMPUTED_VALUE"""),"-")</f>
        <v>-</v>
      </c>
      <c r="L4732" s="19" t="str">
        <f>IFERROR(__xludf.DUMMYFUNCTION("""COMPUTED_VALUE"""),"-")</f>
        <v>-</v>
      </c>
      <c r="O4732" s="24">
        <f t="shared" si="4"/>
        <v>0</v>
      </c>
      <c r="P4732" s="24"/>
      <c r="Q4732" s="24">
        <f t="shared" si="6"/>
        <v>0</v>
      </c>
      <c r="R4732" s="24">
        <f t="shared" si="7"/>
        <v>0</v>
      </c>
      <c r="S4732" s="24"/>
      <c r="T4732" s="24"/>
    </row>
    <row r="4733">
      <c r="A4733" s="12" t="s">
        <v>4820</v>
      </c>
      <c r="F4733" s="19">
        <f>IFERROR(__xludf.DUMMYFUNCTION("SPLIT(A4729, "" |"")"),4727.0)</f>
        <v>4727</v>
      </c>
      <c r="G4733" s="19">
        <f>IFERROR(__xludf.DUMMYFUNCTION("""COMPUTED_VALUE"""),0.00239)</f>
        <v>0.00239</v>
      </c>
      <c r="H4733" s="19" t="str">
        <f>IFERROR(__xludf.DUMMYFUNCTION("""COMPUTED_VALUE"""),"-")</f>
        <v>-</v>
      </c>
      <c r="I4733" s="19">
        <f>IFERROR(__xludf.DUMMYFUNCTION("""COMPUTED_VALUE"""),0.00221)</f>
        <v>0.00221</v>
      </c>
      <c r="J4733" s="19">
        <f>IFERROR(__xludf.DUMMYFUNCTION("""COMPUTED_VALUE"""),0.04742)</f>
        <v>0.04742</v>
      </c>
      <c r="K4733" s="19" t="str">
        <f>IFERROR(__xludf.DUMMYFUNCTION("""COMPUTED_VALUE"""),"-")</f>
        <v>-</v>
      </c>
      <c r="L4733" s="19" t="str">
        <f>IFERROR(__xludf.DUMMYFUNCTION("""COMPUTED_VALUE"""),"-")</f>
        <v>-</v>
      </c>
      <c r="O4733" s="24">
        <f t="shared" si="4"/>
        <v>0</v>
      </c>
      <c r="P4733" s="24"/>
      <c r="Q4733" s="24">
        <f t="shared" si="6"/>
        <v>0</v>
      </c>
      <c r="R4733" s="24">
        <f t="shared" si="7"/>
        <v>0</v>
      </c>
      <c r="S4733" s="24"/>
      <c r="T4733" s="24"/>
    </row>
    <row r="4734">
      <c r="A4734" s="12" t="s">
        <v>4821</v>
      </c>
      <c r="F4734" s="19">
        <f>IFERROR(__xludf.DUMMYFUNCTION("SPLIT(A4730, "" |"")"),4728.0)</f>
        <v>4728</v>
      </c>
      <c r="G4734" s="19">
        <f>IFERROR(__xludf.DUMMYFUNCTION("""COMPUTED_VALUE"""),0.00218)</f>
        <v>0.00218</v>
      </c>
      <c r="H4734" s="19" t="str">
        <f>IFERROR(__xludf.DUMMYFUNCTION("""COMPUTED_VALUE"""),"-")</f>
        <v>-</v>
      </c>
      <c r="I4734" s="19">
        <f>IFERROR(__xludf.DUMMYFUNCTION("""COMPUTED_VALUE"""),0.00205)</f>
        <v>0.00205</v>
      </c>
      <c r="J4734" s="19">
        <f>IFERROR(__xludf.DUMMYFUNCTION("""COMPUTED_VALUE"""),0.04727)</f>
        <v>0.04727</v>
      </c>
      <c r="K4734" s="19" t="str">
        <f>IFERROR(__xludf.DUMMYFUNCTION("""COMPUTED_VALUE"""),"-")</f>
        <v>-</v>
      </c>
      <c r="L4734" s="19" t="str">
        <f>IFERROR(__xludf.DUMMYFUNCTION("""COMPUTED_VALUE"""),"-")</f>
        <v>-</v>
      </c>
      <c r="O4734" s="24">
        <f t="shared" si="4"/>
        <v>0</v>
      </c>
      <c r="P4734" s="24"/>
      <c r="Q4734" s="24">
        <f t="shared" si="6"/>
        <v>0</v>
      </c>
      <c r="R4734" s="24">
        <f t="shared" si="7"/>
        <v>0</v>
      </c>
      <c r="S4734" s="24"/>
      <c r="T4734" s="24"/>
    </row>
    <row r="4735">
      <c r="A4735" s="12" t="s">
        <v>4822</v>
      </c>
      <c r="F4735" s="19">
        <f>IFERROR(__xludf.DUMMYFUNCTION("SPLIT(A4731, "" |"")"),4729.0)</f>
        <v>4729</v>
      </c>
      <c r="G4735" s="19">
        <f>IFERROR(__xludf.DUMMYFUNCTION("""COMPUTED_VALUE"""),0.00242)</f>
        <v>0.00242</v>
      </c>
      <c r="H4735" s="19" t="str">
        <f>IFERROR(__xludf.DUMMYFUNCTION("""COMPUTED_VALUE"""),"-")</f>
        <v>-</v>
      </c>
      <c r="I4735" s="19">
        <f>IFERROR(__xludf.DUMMYFUNCTION("""COMPUTED_VALUE"""),0.00223)</f>
        <v>0.00223</v>
      </c>
      <c r="J4735" s="19">
        <f>IFERROR(__xludf.DUMMYFUNCTION("""COMPUTED_VALUE"""),0.04685)</f>
        <v>0.04685</v>
      </c>
      <c r="K4735" s="19" t="str">
        <f>IFERROR(__xludf.DUMMYFUNCTION("""COMPUTED_VALUE"""),"-")</f>
        <v>-</v>
      </c>
      <c r="L4735" s="19" t="str">
        <f>IFERROR(__xludf.DUMMYFUNCTION("""COMPUTED_VALUE"""),"-")</f>
        <v>-</v>
      </c>
      <c r="O4735" s="24">
        <f t="shared" si="4"/>
        <v>0</v>
      </c>
      <c r="P4735" s="24"/>
      <c r="Q4735" s="24">
        <f t="shared" si="6"/>
        <v>0</v>
      </c>
      <c r="R4735" s="24">
        <f t="shared" si="7"/>
        <v>0</v>
      </c>
      <c r="S4735" s="24"/>
      <c r="T4735" s="24"/>
    </row>
    <row r="4736">
      <c r="A4736" s="12" t="s">
        <v>4823</v>
      </c>
      <c r="F4736" s="19">
        <f>IFERROR(__xludf.DUMMYFUNCTION("SPLIT(A4732, "" |"")"),4730.0)</f>
        <v>4730</v>
      </c>
      <c r="G4736" s="19">
        <f>IFERROR(__xludf.DUMMYFUNCTION("""COMPUTED_VALUE"""),0.00234)</f>
        <v>0.00234</v>
      </c>
      <c r="H4736" s="19" t="str">
        <f>IFERROR(__xludf.DUMMYFUNCTION("""COMPUTED_VALUE"""),"-")</f>
        <v>-</v>
      </c>
      <c r="I4736" s="19">
        <f>IFERROR(__xludf.DUMMYFUNCTION("""COMPUTED_VALUE"""),0.00216)</f>
        <v>0.00216</v>
      </c>
      <c r="J4736" s="19">
        <f>IFERROR(__xludf.DUMMYFUNCTION("""COMPUTED_VALUE"""),0.04742)</f>
        <v>0.04742</v>
      </c>
      <c r="K4736" s="19" t="str">
        <f>IFERROR(__xludf.DUMMYFUNCTION("""COMPUTED_VALUE"""),"-")</f>
        <v>-</v>
      </c>
      <c r="L4736" s="19" t="str">
        <f>IFERROR(__xludf.DUMMYFUNCTION("""COMPUTED_VALUE"""),"-")</f>
        <v>-</v>
      </c>
      <c r="O4736" s="24">
        <f t="shared" si="4"/>
        <v>0</v>
      </c>
      <c r="P4736" s="24"/>
      <c r="Q4736" s="24">
        <f t="shared" si="6"/>
        <v>0</v>
      </c>
      <c r="R4736" s="24">
        <f t="shared" si="7"/>
        <v>0</v>
      </c>
      <c r="S4736" s="24"/>
      <c r="T4736" s="24"/>
    </row>
    <row r="4737">
      <c r="A4737" s="12" t="s">
        <v>4824</v>
      </c>
      <c r="F4737" s="19">
        <f>IFERROR(__xludf.DUMMYFUNCTION("SPLIT(A4733, "" |"")"),4731.0)</f>
        <v>4731</v>
      </c>
      <c r="G4737" s="19">
        <f>IFERROR(__xludf.DUMMYFUNCTION("""COMPUTED_VALUE"""),0.00226)</f>
        <v>0.00226</v>
      </c>
      <c r="H4737" s="19" t="str">
        <f>IFERROR(__xludf.DUMMYFUNCTION("""COMPUTED_VALUE"""),"-")</f>
        <v>-</v>
      </c>
      <c r="I4737" s="19">
        <f>IFERROR(__xludf.DUMMYFUNCTION("""COMPUTED_VALUE"""),0.00208)</f>
        <v>0.00208</v>
      </c>
      <c r="J4737" s="19">
        <f>IFERROR(__xludf.DUMMYFUNCTION("""COMPUTED_VALUE"""),0.04729)</f>
        <v>0.04729</v>
      </c>
      <c r="K4737" s="19" t="str">
        <f>IFERROR(__xludf.DUMMYFUNCTION("""COMPUTED_VALUE"""),"-")</f>
        <v>-</v>
      </c>
      <c r="L4737" s="19" t="str">
        <f>IFERROR(__xludf.DUMMYFUNCTION("""COMPUTED_VALUE"""),"-")</f>
        <v>-</v>
      </c>
      <c r="O4737" s="24">
        <f t="shared" si="4"/>
        <v>0</v>
      </c>
      <c r="P4737" s="24"/>
      <c r="Q4737" s="24">
        <f t="shared" si="6"/>
        <v>0</v>
      </c>
      <c r="R4737" s="24">
        <f t="shared" si="7"/>
        <v>0</v>
      </c>
      <c r="S4737" s="24"/>
      <c r="T4737" s="24"/>
    </row>
    <row r="4738">
      <c r="A4738" s="12" t="s">
        <v>4825</v>
      </c>
      <c r="F4738" s="19">
        <f>IFERROR(__xludf.DUMMYFUNCTION("SPLIT(A4734, "" |"")"),4732.0)</f>
        <v>4732</v>
      </c>
      <c r="G4738" s="19">
        <f>IFERROR(__xludf.DUMMYFUNCTION("""COMPUTED_VALUE"""),0.00225)</f>
        <v>0.00225</v>
      </c>
      <c r="H4738" s="19" t="str">
        <f>IFERROR(__xludf.DUMMYFUNCTION("""COMPUTED_VALUE"""),"-")</f>
        <v>-</v>
      </c>
      <c r="I4738" s="19">
        <f>IFERROR(__xludf.DUMMYFUNCTION("""COMPUTED_VALUE"""),0.00207)</f>
        <v>0.00207</v>
      </c>
      <c r="J4738" s="19">
        <f>IFERROR(__xludf.DUMMYFUNCTION("""COMPUTED_VALUE"""),0.04729)</f>
        <v>0.04729</v>
      </c>
      <c r="K4738" s="19" t="str">
        <f>IFERROR(__xludf.DUMMYFUNCTION("""COMPUTED_VALUE"""),"-")</f>
        <v>-</v>
      </c>
      <c r="L4738" s="19" t="str">
        <f>IFERROR(__xludf.DUMMYFUNCTION("""COMPUTED_VALUE"""),"-")</f>
        <v>-</v>
      </c>
      <c r="O4738" s="24">
        <f t="shared" si="4"/>
        <v>0</v>
      </c>
      <c r="P4738" s="24"/>
      <c r="Q4738" s="24">
        <f t="shared" si="6"/>
        <v>0</v>
      </c>
      <c r="R4738" s="24">
        <f t="shared" si="7"/>
        <v>0</v>
      </c>
      <c r="S4738" s="24"/>
      <c r="T4738" s="24"/>
    </row>
    <row r="4739">
      <c r="A4739" s="12" t="s">
        <v>4826</v>
      </c>
      <c r="F4739" s="19">
        <f>IFERROR(__xludf.DUMMYFUNCTION("SPLIT(A4735, "" |"")"),4733.0)</f>
        <v>4733</v>
      </c>
      <c r="G4739" s="19">
        <f>IFERROR(__xludf.DUMMYFUNCTION("""COMPUTED_VALUE"""),0.00238)</f>
        <v>0.00238</v>
      </c>
      <c r="H4739" s="19" t="str">
        <f>IFERROR(__xludf.DUMMYFUNCTION("""COMPUTED_VALUE"""),"-")</f>
        <v>-</v>
      </c>
      <c r="I4739" s="19">
        <f>IFERROR(__xludf.DUMMYFUNCTION("""COMPUTED_VALUE"""),0.00224)</f>
        <v>0.00224</v>
      </c>
      <c r="J4739" s="19">
        <f>IFERROR(__xludf.DUMMYFUNCTION("""COMPUTED_VALUE"""),0.04748)</f>
        <v>0.04748</v>
      </c>
      <c r="K4739" s="19" t="str">
        <f>IFERROR(__xludf.DUMMYFUNCTION("""COMPUTED_VALUE"""),"-")</f>
        <v>-</v>
      </c>
      <c r="L4739" s="19" t="str">
        <f>IFERROR(__xludf.DUMMYFUNCTION("""COMPUTED_VALUE"""),"-")</f>
        <v>-</v>
      </c>
      <c r="O4739" s="24">
        <f t="shared" si="4"/>
        <v>0</v>
      </c>
      <c r="P4739" s="24"/>
      <c r="Q4739" s="24">
        <f t="shared" si="6"/>
        <v>0</v>
      </c>
      <c r="R4739" s="24">
        <f t="shared" si="7"/>
        <v>0</v>
      </c>
      <c r="S4739" s="24"/>
      <c r="T4739" s="24"/>
    </row>
    <row r="4740">
      <c r="A4740" s="12" t="s">
        <v>4827</v>
      </c>
      <c r="F4740" s="19">
        <f>IFERROR(__xludf.DUMMYFUNCTION("SPLIT(A4736, "" |"")"),4734.0)</f>
        <v>4734</v>
      </c>
      <c r="G4740" s="19">
        <f>IFERROR(__xludf.DUMMYFUNCTION("""COMPUTED_VALUE"""),0.00241)</f>
        <v>0.00241</v>
      </c>
      <c r="H4740" s="19" t="str">
        <f>IFERROR(__xludf.DUMMYFUNCTION("""COMPUTED_VALUE"""),"-")</f>
        <v>-</v>
      </c>
      <c r="I4740" s="19">
        <f>IFERROR(__xludf.DUMMYFUNCTION("""COMPUTED_VALUE"""),0.00222)</f>
        <v>0.00222</v>
      </c>
      <c r="J4740" s="19">
        <f>IFERROR(__xludf.DUMMYFUNCTION("""COMPUTED_VALUE"""),0.04747)</f>
        <v>0.04747</v>
      </c>
      <c r="K4740" s="19" t="str">
        <f>IFERROR(__xludf.DUMMYFUNCTION("""COMPUTED_VALUE"""),"-")</f>
        <v>-</v>
      </c>
      <c r="L4740" s="19" t="str">
        <f>IFERROR(__xludf.DUMMYFUNCTION("""COMPUTED_VALUE"""),"-")</f>
        <v>-</v>
      </c>
      <c r="O4740" s="24">
        <f t="shared" si="4"/>
        <v>0</v>
      </c>
      <c r="P4740" s="24"/>
      <c r="Q4740" s="24">
        <f t="shared" si="6"/>
        <v>0</v>
      </c>
      <c r="R4740" s="24">
        <f t="shared" si="7"/>
        <v>0</v>
      </c>
      <c r="S4740" s="24"/>
      <c r="T4740" s="24"/>
    </row>
    <row r="4741">
      <c r="A4741" s="12" t="s">
        <v>4828</v>
      </c>
      <c r="F4741" s="19">
        <f>IFERROR(__xludf.DUMMYFUNCTION("SPLIT(A4737, "" |"")"),4735.0)</f>
        <v>4735</v>
      </c>
      <c r="G4741" s="19">
        <f>IFERROR(__xludf.DUMMYFUNCTION("""COMPUTED_VALUE"""),0.00234)</f>
        <v>0.00234</v>
      </c>
      <c r="H4741" s="19" t="str">
        <f>IFERROR(__xludf.DUMMYFUNCTION("""COMPUTED_VALUE"""),"-")</f>
        <v>-</v>
      </c>
      <c r="I4741" s="19">
        <f>IFERROR(__xludf.DUMMYFUNCTION("""COMPUTED_VALUE"""),0.00216)</f>
        <v>0.00216</v>
      </c>
      <c r="J4741" s="19">
        <f>IFERROR(__xludf.DUMMYFUNCTION("""COMPUTED_VALUE"""),0.04742)</f>
        <v>0.04742</v>
      </c>
      <c r="K4741" s="19" t="str">
        <f>IFERROR(__xludf.DUMMYFUNCTION("""COMPUTED_VALUE"""),"-")</f>
        <v>-</v>
      </c>
      <c r="L4741" s="19" t="str">
        <f>IFERROR(__xludf.DUMMYFUNCTION("""COMPUTED_VALUE"""),"-")</f>
        <v>-</v>
      </c>
      <c r="O4741" s="24">
        <f t="shared" si="4"/>
        <v>0</v>
      </c>
      <c r="P4741" s="24"/>
      <c r="Q4741" s="24">
        <f t="shared" si="6"/>
        <v>0</v>
      </c>
      <c r="R4741" s="24">
        <f t="shared" si="7"/>
        <v>0</v>
      </c>
      <c r="S4741" s="24"/>
      <c r="T4741" s="24"/>
    </row>
    <row r="4742">
      <c r="A4742" s="12" t="s">
        <v>4829</v>
      </c>
      <c r="F4742" s="19">
        <f>IFERROR(__xludf.DUMMYFUNCTION("SPLIT(A4738, "" |"")"),4736.0)</f>
        <v>4736</v>
      </c>
      <c r="G4742" s="19">
        <f>IFERROR(__xludf.DUMMYFUNCTION("""COMPUTED_VALUE"""),0.00235)</f>
        <v>0.00235</v>
      </c>
      <c r="H4742" s="19" t="str">
        <f>IFERROR(__xludf.DUMMYFUNCTION("""COMPUTED_VALUE"""),"-")</f>
        <v>-</v>
      </c>
      <c r="I4742" s="19">
        <f>IFERROR(__xludf.DUMMYFUNCTION("""COMPUTED_VALUE"""),0.00221)</f>
        <v>0.00221</v>
      </c>
      <c r="J4742" s="19">
        <f>IFERROR(__xludf.DUMMYFUNCTION("""COMPUTED_VALUE"""),0.04743)</f>
        <v>0.04743</v>
      </c>
      <c r="K4742" s="19" t="str">
        <f>IFERROR(__xludf.DUMMYFUNCTION("""COMPUTED_VALUE"""),"-")</f>
        <v>-</v>
      </c>
      <c r="L4742" s="19" t="str">
        <f>IFERROR(__xludf.DUMMYFUNCTION("""COMPUTED_VALUE"""),"-")</f>
        <v>-</v>
      </c>
      <c r="O4742" s="24">
        <f t="shared" si="4"/>
        <v>0</v>
      </c>
      <c r="P4742" s="24"/>
      <c r="Q4742" s="24">
        <f t="shared" si="6"/>
        <v>0</v>
      </c>
      <c r="R4742" s="24">
        <f t="shared" si="7"/>
        <v>0</v>
      </c>
      <c r="S4742" s="24"/>
      <c r="T4742" s="24"/>
    </row>
    <row r="4743">
      <c r="A4743" s="12" t="s">
        <v>4830</v>
      </c>
      <c r="F4743" s="19">
        <f>IFERROR(__xludf.DUMMYFUNCTION("SPLIT(A4739, "" |"")"),4737.0)</f>
        <v>4737</v>
      </c>
      <c r="G4743" s="19">
        <f>IFERROR(__xludf.DUMMYFUNCTION("""COMPUTED_VALUE"""),0.00237)</f>
        <v>0.00237</v>
      </c>
      <c r="H4743" s="19" t="str">
        <f>IFERROR(__xludf.DUMMYFUNCTION("""COMPUTED_VALUE"""),"-")</f>
        <v>-</v>
      </c>
      <c r="I4743" s="19">
        <f>IFERROR(__xludf.DUMMYFUNCTION("""COMPUTED_VALUE"""),0.00223)</f>
        <v>0.00223</v>
      </c>
      <c r="J4743" s="19">
        <f>IFERROR(__xludf.DUMMYFUNCTION("""COMPUTED_VALUE"""),0.04738)</f>
        <v>0.04738</v>
      </c>
      <c r="K4743" s="19" t="str">
        <f>IFERROR(__xludf.DUMMYFUNCTION("""COMPUTED_VALUE"""),"-")</f>
        <v>-</v>
      </c>
      <c r="L4743" s="19" t="str">
        <f>IFERROR(__xludf.DUMMYFUNCTION("""COMPUTED_VALUE"""),"-")</f>
        <v>-</v>
      </c>
      <c r="O4743" s="24">
        <f t="shared" si="4"/>
        <v>0</v>
      </c>
      <c r="P4743" s="24"/>
      <c r="Q4743" s="24">
        <f t="shared" si="6"/>
        <v>0</v>
      </c>
      <c r="R4743" s="24">
        <f t="shared" si="7"/>
        <v>0</v>
      </c>
      <c r="S4743" s="24"/>
      <c r="T4743" s="24"/>
    </row>
    <row r="4744">
      <c r="A4744" s="12" t="s">
        <v>4831</v>
      </c>
      <c r="F4744" s="19">
        <f>IFERROR(__xludf.DUMMYFUNCTION("SPLIT(A4740, "" |"")"),4738.0)</f>
        <v>4738</v>
      </c>
      <c r="G4744" s="19">
        <f>IFERROR(__xludf.DUMMYFUNCTION("""COMPUTED_VALUE"""),0.00234)</f>
        <v>0.00234</v>
      </c>
      <c r="H4744" s="19" t="str">
        <f>IFERROR(__xludf.DUMMYFUNCTION("""COMPUTED_VALUE"""),"-")</f>
        <v>-</v>
      </c>
      <c r="I4744" s="19">
        <f>IFERROR(__xludf.DUMMYFUNCTION("""COMPUTED_VALUE"""),0.0021)</f>
        <v>0.0021</v>
      </c>
      <c r="J4744" s="19">
        <f>IFERROR(__xludf.DUMMYFUNCTION("""COMPUTED_VALUE"""),0.04734)</f>
        <v>0.04734</v>
      </c>
      <c r="K4744" s="19" t="str">
        <f>IFERROR(__xludf.DUMMYFUNCTION("""COMPUTED_VALUE"""),"-")</f>
        <v>-</v>
      </c>
      <c r="L4744" s="19" t="str">
        <f>IFERROR(__xludf.DUMMYFUNCTION("""COMPUTED_VALUE"""),"-")</f>
        <v>-</v>
      </c>
      <c r="O4744" s="24">
        <f t="shared" si="4"/>
        <v>0</v>
      </c>
      <c r="P4744" s="24"/>
      <c r="Q4744" s="24">
        <f t="shared" si="6"/>
        <v>0</v>
      </c>
      <c r="R4744" s="24">
        <f t="shared" si="7"/>
        <v>0</v>
      </c>
      <c r="S4744" s="24"/>
      <c r="T4744" s="24"/>
    </row>
    <row r="4745">
      <c r="A4745" s="12" t="s">
        <v>4832</v>
      </c>
      <c r="F4745" s="19">
        <f>IFERROR(__xludf.DUMMYFUNCTION("SPLIT(A4741, "" |"")"),4739.0)</f>
        <v>4739</v>
      </c>
      <c r="G4745" s="19">
        <f>IFERROR(__xludf.DUMMYFUNCTION("""COMPUTED_VALUE"""),0.00237)</f>
        <v>0.00237</v>
      </c>
      <c r="H4745" s="19" t="str">
        <f>IFERROR(__xludf.DUMMYFUNCTION("""COMPUTED_VALUE"""),"-")</f>
        <v>-</v>
      </c>
      <c r="I4745" s="19">
        <f>IFERROR(__xludf.DUMMYFUNCTION("""COMPUTED_VALUE"""),0.00221)</f>
        <v>0.00221</v>
      </c>
      <c r="J4745" s="19">
        <f>IFERROR(__xludf.DUMMYFUNCTION("""COMPUTED_VALUE"""),0.04739)</f>
        <v>0.04739</v>
      </c>
      <c r="K4745" s="19" t="str">
        <f>IFERROR(__xludf.DUMMYFUNCTION("""COMPUTED_VALUE"""),"-")</f>
        <v>-</v>
      </c>
      <c r="L4745" s="19" t="str">
        <f>IFERROR(__xludf.DUMMYFUNCTION("""COMPUTED_VALUE"""),"-")</f>
        <v>-</v>
      </c>
      <c r="O4745" s="24">
        <f t="shared" si="4"/>
        <v>0</v>
      </c>
      <c r="P4745" s="24"/>
      <c r="Q4745" s="24">
        <f t="shared" si="6"/>
        <v>0</v>
      </c>
      <c r="R4745" s="24">
        <f t="shared" si="7"/>
        <v>0</v>
      </c>
      <c r="S4745" s="24"/>
      <c r="T4745" s="24"/>
    </row>
    <row r="4746">
      <c r="A4746" s="12" t="s">
        <v>4833</v>
      </c>
      <c r="F4746" s="19">
        <f>IFERROR(__xludf.DUMMYFUNCTION("SPLIT(A4742, "" |"")"),4740.0)</f>
        <v>4740</v>
      </c>
      <c r="G4746" s="19">
        <f>IFERROR(__xludf.DUMMYFUNCTION("""COMPUTED_VALUE"""),0.00233)</f>
        <v>0.00233</v>
      </c>
      <c r="H4746" s="19" t="str">
        <f>IFERROR(__xludf.DUMMYFUNCTION("""COMPUTED_VALUE"""),"-")</f>
        <v>-</v>
      </c>
      <c r="I4746" s="19">
        <f>IFERROR(__xludf.DUMMYFUNCTION("""COMPUTED_VALUE"""),0.00224)</f>
        <v>0.00224</v>
      </c>
      <c r="J4746" s="19">
        <f>IFERROR(__xludf.DUMMYFUNCTION("""COMPUTED_VALUE"""),0.04746)</f>
        <v>0.04746</v>
      </c>
      <c r="K4746" s="19" t="str">
        <f>IFERROR(__xludf.DUMMYFUNCTION("""COMPUTED_VALUE"""),"-")</f>
        <v>-</v>
      </c>
      <c r="L4746" s="19" t="str">
        <f>IFERROR(__xludf.DUMMYFUNCTION("""COMPUTED_VALUE"""),"-")</f>
        <v>-</v>
      </c>
      <c r="O4746" s="24">
        <f t="shared" si="4"/>
        <v>0</v>
      </c>
      <c r="P4746" s="24"/>
      <c r="Q4746" s="24">
        <f t="shared" si="6"/>
        <v>0</v>
      </c>
      <c r="R4746" s="24">
        <f t="shared" si="7"/>
        <v>0</v>
      </c>
      <c r="S4746" s="24"/>
      <c r="T4746" s="24"/>
    </row>
    <row r="4747">
      <c r="A4747" s="12" t="s">
        <v>4834</v>
      </c>
      <c r="F4747" s="19">
        <f>IFERROR(__xludf.DUMMYFUNCTION("SPLIT(A4743, "" |"")"),4741.0)</f>
        <v>4741</v>
      </c>
      <c r="G4747" s="19">
        <f>IFERROR(__xludf.DUMMYFUNCTION("""COMPUTED_VALUE"""),0.00235)</f>
        <v>0.00235</v>
      </c>
      <c r="H4747" s="19" t="str">
        <f>IFERROR(__xludf.DUMMYFUNCTION("""COMPUTED_VALUE"""),"-")</f>
        <v>-</v>
      </c>
      <c r="I4747" s="19">
        <f>IFERROR(__xludf.DUMMYFUNCTION("""COMPUTED_VALUE"""),0.00222)</f>
        <v>0.00222</v>
      </c>
      <c r="J4747" s="19">
        <f>IFERROR(__xludf.DUMMYFUNCTION("""COMPUTED_VALUE"""),0.04751)</f>
        <v>0.04751</v>
      </c>
      <c r="K4747" s="19" t="str">
        <f>IFERROR(__xludf.DUMMYFUNCTION("""COMPUTED_VALUE"""),"-")</f>
        <v>-</v>
      </c>
      <c r="L4747" s="19" t="str">
        <f>IFERROR(__xludf.DUMMYFUNCTION("""COMPUTED_VALUE"""),"-")</f>
        <v>-</v>
      </c>
      <c r="O4747" s="24">
        <f t="shared" si="4"/>
        <v>0</v>
      </c>
      <c r="P4747" s="24"/>
      <c r="Q4747" s="24">
        <f t="shared" si="6"/>
        <v>0</v>
      </c>
      <c r="R4747" s="24">
        <f t="shared" si="7"/>
        <v>0</v>
      </c>
      <c r="S4747" s="24"/>
      <c r="T4747" s="24"/>
    </row>
    <row r="4748">
      <c r="A4748" s="12" t="s">
        <v>4835</v>
      </c>
      <c r="F4748" s="19">
        <f>IFERROR(__xludf.DUMMYFUNCTION("SPLIT(A4744, "" |"")"),4742.0)</f>
        <v>4742</v>
      </c>
      <c r="G4748" s="19">
        <f>IFERROR(__xludf.DUMMYFUNCTION("""COMPUTED_VALUE"""),0.00239)</f>
        <v>0.00239</v>
      </c>
      <c r="H4748" s="19" t="str">
        <f>IFERROR(__xludf.DUMMYFUNCTION("""COMPUTED_VALUE"""),"-")</f>
        <v>-</v>
      </c>
      <c r="I4748" s="19">
        <f>IFERROR(__xludf.DUMMYFUNCTION("""COMPUTED_VALUE"""),0.00214)</f>
        <v>0.00214</v>
      </c>
      <c r="J4748" s="19">
        <f>IFERROR(__xludf.DUMMYFUNCTION("""COMPUTED_VALUE"""),0.04751)</f>
        <v>0.04751</v>
      </c>
      <c r="K4748" s="19" t="str">
        <f>IFERROR(__xludf.DUMMYFUNCTION("""COMPUTED_VALUE"""),"-")</f>
        <v>-</v>
      </c>
      <c r="L4748" s="19" t="str">
        <f>IFERROR(__xludf.DUMMYFUNCTION("""COMPUTED_VALUE"""),"-")</f>
        <v>-</v>
      </c>
      <c r="O4748" s="24">
        <f t="shared" si="4"/>
        <v>0</v>
      </c>
      <c r="P4748" s="24"/>
      <c r="Q4748" s="24">
        <f t="shared" si="6"/>
        <v>0</v>
      </c>
      <c r="R4748" s="24">
        <f t="shared" si="7"/>
        <v>0</v>
      </c>
      <c r="S4748" s="24"/>
      <c r="T4748" s="24"/>
    </row>
    <row r="4749">
      <c r="A4749" s="12" t="s">
        <v>4836</v>
      </c>
      <c r="F4749" s="19">
        <f>IFERROR(__xludf.DUMMYFUNCTION("SPLIT(A4745, "" |"")"),4743.0)</f>
        <v>4743</v>
      </c>
      <c r="G4749" s="19">
        <f>IFERROR(__xludf.DUMMYFUNCTION("""COMPUTED_VALUE"""),0.00231)</f>
        <v>0.00231</v>
      </c>
      <c r="H4749" s="19" t="str">
        <f>IFERROR(__xludf.DUMMYFUNCTION("""COMPUTED_VALUE"""),"-")</f>
        <v>-</v>
      </c>
      <c r="I4749" s="19">
        <f>IFERROR(__xludf.DUMMYFUNCTION("""COMPUTED_VALUE"""),0.00219)</f>
        <v>0.00219</v>
      </c>
      <c r="J4749" s="19">
        <f>IFERROR(__xludf.DUMMYFUNCTION("""COMPUTED_VALUE"""),0.04738)</f>
        <v>0.04738</v>
      </c>
      <c r="K4749" s="19" t="str">
        <f>IFERROR(__xludf.DUMMYFUNCTION("""COMPUTED_VALUE"""),"-")</f>
        <v>-</v>
      </c>
      <c r="L4749" s="19" t="str">
        <f>IFERROR(__xludf.DUMMYFUNCTION("""COMPUTED_VALUE"""),"-")</f>
        <v>-</v>
      </c>
      <c r="O4749" s="24">
        <f t="shared" si="4"/>
        <v>0</v>
      </c>
      <c r="P4749" s="24"/>
      <c r="Q4749" s="24">
        <f t="shared" si="6"/>
        <v>0</v>
      </c>
      <c r="R4749" s="24">
        <f t="shared" si="7"/>
        <v>0</v>
      </c>
      <c r="S4749" s="24"/>
      <c r="T4749" s="24"/>
    </row>
    <row r="4750">
      <c r="A4750" s="12" t="s">
        <v>4837</v>
      </c>
      <c r="F4750" s="19">
        <f>IFERROR(__xludf.DUMMYFUNCTION("SPLIT(A4746, "" |"")"),4744.0)</f>
        <v>4744</v>
      </c>
      <c r="G4750" s="19">
        <f>IFERROR(__xludf.DUMMYFUNCTION("""COMPUTED_VALUE"""),0.00241)</f>
        <v>0.00241</v>
      </c>
      <c r="H4750" s="19" t="str">
        <f>IFERROR(__xludf.DUMMYFUNCTION("""COMPUTED_VALUE"""),"-")</f>
        <v>-</v>
      </c>
      <c r="I4750" s="19">
        <f>IFERROR(__xludf.DUMMYFUNCTION("""COMPUTED_VALUE"""),0.00219)</f>
        <v>0.00219</v>
      </c>
      <c r="J4750" s="19">
        <f>IFERROR(__xludf.DUMMYFUNCTION("""COMPUTED_VALUE"""),0.04736)</f>
        <v>0.04736</v>
      </c>
      <c r="K4750" s="19" t="str">
        <f>IFERROR(__xludf.DUMMYFUNCTION("""COMPUTED_VALUE"""),"-")</f>
        <v>-</v>
      </c>
      <c r="L4750" s="19" t="str">
        <f>IFERROR(__xludf.DUMMYFUNCTION("""COMPUTED_VALUE"""),"-")</f>
        <v>-</v>
      </c>
      <c r="O4750" s="24">
        <f t="shared" si="4"/>
        <v>0</v>
      </c>
      <c r="P4750" s="24"/>
      <c r="Q4750" s="24">
        <f t="shared" si="6"/>
        <v>0</v>
      </c>
      <c r="R4750" s="24">
        <f t="shared" si="7"/>
        <v>0</v>
      </c>
      <c r="S4750" s="24"/>
      <c r="T4750" s="24"/>
    </row>
    <row r="4751">
      <c r="A4751" s="12" t="s">
        <v>4838</v>
      </c>
      <c r="F4751" s="19">
        <f>IFERROR(__xludf.DUMMYFUNCTION("SPLIT(A4747, "" |"")"),4745.0)</f>
        <v>4745</v>
      </c>
      <c r="G4751" s="19">
        <f>IFERROR(__xludf.DUMMYFUNCTION("""COMPUTED_VALUE"""),0.00239)</f>
        <v>0.00239</v>
      </c>
      <c r="H4751" s="19" t="str">
        <f>IFERROR(__xludf.DUMMYFUNCTION("""COMPUTED_VALUE"""),"-")</f>
        <v>-</v>
      </c>
      <c r="I4751" s="19">
        <f>IFERROR(__xludf.DUMMYFUNCTION("""COMPUTED_VALUE"""),0.00223)</f>
        <v>0.00223</v>
      </c>
      <c r="J4751" s="19">
        <f>IFERROR(__xludf.DUMMYFUNCTION("""COMPUTED_VALUE"""),0.04742)</f>
        <v>0.04742</v>
      </c>
      <c r="K4751" s="19" t="str">
        <f>IFERROR(__xludf.DUMMYFUNCTION("""COMPUTED_VALUE"""),"-")</f>
        <v>-</v>
      </c>
      <c r="L4751" s="19" t="str">
        <f>IFERROR(__xludf.DUMMYFUNCTION("""COMPUTED_VALUE"""),"-")</f>
        <v>-</v>
      </c>
      <c r="O4751" s="24">
        <f t="shared" si="4"/>
        <v>0</v>
      </c>
      <c r="P4751" s="24"/>
      <c r="Q4751" s="24">
        <f t="shared" si="6"/>
        <v>0</v>
      </c>
      <c r="R4751" s="24">
        <f t="shared" si="7"/>
        <v>0</v>
      </c>
      <c r="S4751" s="24"/>
      <c r="T4751" s="24"/>
    </row>
    <row r="4752">
      <c r="A4752" s="12" t="s">
        <v>4839</v>
      </c>
      <c r="F4752" s="19">
        <f>IFERROR(__xludf.DUMMYFUNCTION("SPLIT(A4748, "" |"")"),4746.0)</f>
        <v>4746</v>
      </c>
      <c r="G4752" s="19">
        <f>IFERROR(__xludf.DUMMYFUNCTION("""COMPUTED_VALUE"""),0.00233)</f>
        <v>0.00233</v>
      </c>
      <c r="H4752" s="19" t="str">
        <f>IFERROR(__xludf.DUMMYFUNCTION("""COMPUTED_VALUE"""),"-")</f>
        <v>-</v>
      </c>
      <c r="I4752" s="19">
        <f>IFERROR(__xludf.DUMMYFUNCTION("""COMPUTED_VALUE"""),0.00211)</f>
        <v>0.00211</v>
      </c>
      <c r="J4752" s="19">
        <f>IFERROR(__xludf.DUMMYFUNCTION("""COMPUTED_VALUE"""),0.04743)</f>
        <v>0.04743</v>
      </c>
      <c r="K4752" s="19" t="str">
        <f>IFERROR(__xludf.DUMMYFUNCTION("""COMPUTED_VALUE"""),"-")</f>
        <v>-</v>
      </c>
      <c r="L4752" s="19" t="str">
        <f>IFERROR(__xludf.DUMMYFUNCTION("""COMPUTED_VALUE"""),"-")</f>
        <v>-</v>
      </c>
      <c r="O4752" s="24">
        <f t="shared" si="4"/>
        <v>0</v>
      </c>
      <c r="P4752" s="24"/>
      <c r="Q4752" s="24">
        <f t="shared" si="6"/>
        <v>0</v>
      </c>
      <c r="R4752" s="24">
        <f t="shared" si="7"/>
        <v>0</v>
      </c>
      <c r="S4752" s="24"/>
      <c r="T4752" s="24"/>
    </row>
    <row r="4753">
      <c r="A4753" s="12" t="s">
        <v>4840</v>
      </c>
      <c r="F4753" s="19">
        <f>IFERROR(__xludf.DUMMYFUNCTION("SPLIT(A4749, "" |"")"),4747.0)</f>
        <v>4747</v>
      </c>
      <c r="G4753" s="19">
        <f>IFERROR(__xludf.DUMMYFUNCTION("""COMPUTED_VALUE"""),0.00235)</f>
        <v>0.00235</v>
      </c>
      <c r="H4753" s="19" t="str">
        <f>IFERROR(__xludf.DUMMYFUNCTION("""COMPUTED_VALUE"""),"-")</f>
        <v>-</v>
      </c>
      <c r="I4753" s="19">
        <f>IFERROR(__xludf.DUMMYFUNCTION("""COMPUTED_VALUE"""),0.00221)</f>
        <v>0.00221</v>
      </c>
      <c r="J4753" s="19">
        <f>IFERROR(__xludf.DUMMYFUNCTION("""COMPUTED_VALUE"""),0.04749)</f>
        <v>0.04749</v>
      </c>
      <c r="K4753" s="19" t="str">
        <f>IFERROR(__xludf.DUMMYFUNCTION("""COMPUTED_VALUE"""),"-")</f>
        <v>-</v>
      </c>
      <c r="L4753" s="19" t="str">
        <f>IFERROR(__xludf.DUMMYFUNCTION("""COMPUTED_VALUE"""),"-")</f>
        <v>-</v>
      </c>
      <c r="O4753" s="24">
        <f t="shared" si="4"/>
        <v>0</v>
      </c>
      <c r="P4753" s="24"/>
      <c r="Q4753" s="24">
        <f t="shared" si="6"/>
        <v>0</v>
      </c>
      <c r="R4753" s="24">
        <f t="shared" si="7"/>
        <v>0</v>
      </c>
      <c r="S4753" s="24"/>
      <c r="T4753" s="24"/>
    </row>
    <row r="4754">
      <c r="A4754" s="12" t="s">
        <v>4841</v>
      </c>
      <c r="F4754" s="19">
        <f>IFERROR(__xludf.DUMMYFUNCTION("SPLIT(A4750, "" |"")"),4748.0)</f>
        <v>4748</v>
      </c>
      <c r="G4754" s="19">
        <f>IFERROR(__xludf.DUMMYFUNCTION("""COMPUTED_VALUE"""),0.00232)</f>
        <v>0.00232</v>
      </c>
      <c r="H4754" s="19" t="str">
        <f>IFERROR(__xludf.DUMMYFUNCTION("""COMPUTED_VALUE"""),"-")</f>
        <v>-</v>
      </c>
      <c r="I4754" s="19">
        <f>IFERROR(__xludf.DUMMYFUNCTION("""COMPUTED_VALUE"""),0.0022)</f>
        <v>0.0022</v>
      </c>
      <c r="J4754" s="19">
        <f>IFERROR(__xludf.DUMMYFUNCTION("""COMPUTED_VALUE"""),0.04665)</f>
        <v>0.04665</v>
      </c>
      <c r="K4754" s="19" t="str">
        <f>IFERROR(__xludf.DUMMYFUNCTION("""COMPUTED_VALUE"""),"-")</f>
        <v>-</v>
      </c>
      <c r="L4754" s="19" t="str">
        <f>IFERROR(__xludf.DUMMYFUNCTION("""COMPUTED_VALUE"""),"-")</f>
        <v>-</v>
      </c>
      <c r="O4754" s="24">
        <f t="shared" si="4"/>
        <v>0</v>
      </c>
      <c r="P4754" s="24"/>
      <c r="Q4754" s="24">
        <f t="shared" si="6"/>
        <v>0</v>
      </c>
      <c r="R4754" s="24">
        <f t="shared" si="7"/>
        <v>0</v>
      </c>
      <c r="S4754" s="24"/>
      <c r="T4754" s="24"/>
    </row>
    <row r="4755">
      <c r="A4755" s="12" t="s">
        <v>4842</v>
      </c>
      <c r="F4755" s="19">
        <f>IFERROR(__xludf.DUMMYFUNCTION("SPLIT(A4751, "" |"")"),4749.0)</f>
        <v>4749</v>
      </c>
      <c r="G4755" s="19">
        <f>IFERROR(__xludf.DUMMYFUNCTION("""COMPUTED_VALUE"""),0.00232)</f>
        <v>0.00232</v>
      </c>
      <c r="H4755" s="19" t="str">
        <f>IFERROR(__xludf.DUMMYFUNCTION("""COMPUTED_VALUE"""),"-")</f>
        <v>-</v>
      </c>
      <c r="I4755" s="19">
        <f>IFERROR(__xludf.DUMMYFUNCTION("""COMPUTED_VALUE"""),0.00217)</f>
        <v>0.00217</v>
      </c>
      <c r="J4755" s="19">
        <f>IFERROR(__xludf.DUMMYFUNCTION("""COMPUTED_VALUE"""),0.04737)</f>
        <v>0.04737</v>
      </c>
      <c r="K4755" s="19" t="str">
        <f>IFERROR(__xludf.DUMMYFUNCTION("""COMPUTED_VALUE"""),"-")</f>
        <v>-</v>
      </c>
      <c r="L4755" s="19" t="str">
        <f>IFERROR(__xludf.DUMMYFUNCTION("""COMPUTED_VALUE"""),"-")</f>
        <v>-</v>
      </c>
      <c r="O4755" s="24">
        <f t="shared" si="4"/>
        <v>0</v>
      </c>
      <c r="P4755" s="24"/>
      <c r="Q4755" s="24">
        <f t="shared" si="6"/>
        <v>0</v>
      </c>
      <c r="R4755" s="24">
        <f t="shared" si="7"/>
        <v>0</v>
      </c>
      <c r="S4755" s="24"/>
      <c r="T4755" s="24"/>
    </row>
    <row r="4756">
      <c r="A4756" s="12" t="s">
        <v>4843</v>
      </c>
      <c r="F4756" s="19">
        <f>IFERROR(__xludf.DUMMYFUNCTION("SPLIT(A4752, "" |"")"),4750.0)</f>
        <v>4750</v>
      </c>
      <c r="G4756" s="19">
        <f>IFERROR(__xludf.DUMMYFUNCTION("""COMPUTED_VALUE"""),0.00233)</f>
        <v>0.00233</v>
      </c>
      <c r="H4756" s="19" t="str">
        <f>IFERROR(__xludf.DUMMYFUNCTION("""COMPUTED_VALUE"""),"-")</f>
        <v>-</v>
      </c>
      <c r="I4756" s="19">
        <f>IFERROR(__xludf.DUMMYFUNCTION("""COMPUTED_VALUE"""),0.0022)</f>
        <v>0.0022</v>
      </c>
      <c r="J4756" s="19">
        <f>IFERROR(__xludf.DUMMYFUNCTION("""COMPUTED_VALUE"""),0.04731)</f>
        <v>0.04731</v>
      </c>
      <c r="K4756" s="19" t="str">
        <f>IFERROR(__xludf.DUMMYFUNCTION("""COMPUTED_VALUE"""),"-")</f>
        <v>-</v>
      </c>
      <c r="L4756" s="19" t="str">
        <f>IFERROR(__xludf.DUMMYFUNCTION("""COMPUTED_VALUE"""),"-")</f>
        <v>-</v>
      </c>
      <c r="O4756" s="24">
        <f t="shared" si="4"/>
        <v>0</v>
      </c>
      <c r="P4756" s="24"/>
      <c r="Q4756" s="24">
        <f t="shared" si="6"/>
        <v>0</v>
      </c>
      <c r="R4756" s="24">
        <f t="shared" si="7"/>
        <v>0</v>
      </c>
      <c r="S4756" s="24"/>
      <c r="T4756" s="24"/>
    </row>
    <row r="4757">
      <c r="A4757" s="12" t="s">
        <v>4844</v>
      </c>
      <c r="F4757" s="19">
        <f>IFERROR(__xludf.DUMMYFUNCTION("SPLIT(A4753, "" |"")"),4751.0)</f>
        <v>4751</v>
      </c>
      <c r="G4757" s="19">
        <f>IFERROR(__xludf.DUMMYFUNCTION("""COMPUTED_VALUE"""),0.00235)</f>
        <v>0.00235</v>
      </c>
      <c r="H4757" s="19" t="str">
        <f>IFERROR(__xludf.DUMMYFUNCTION("""COMPUTED_VALUE"""),"-")</f>
        <v>-</v>
      </c>
      <c r="I4757" s="19">
        <f>IFERROR(__xludf.DUMMYFUNCTION("""COMPUTED_VALUE"""),0.00217)</f>
        <v>0.00217</v>
      </c>
      <c r="J4757" s="19">
        <f>IFERROR(__xludf.DUMMYFUNCTION("""COMPUTED_VALUE"""),0.04739)</f>
        <v>0.04739</v>
      </c>
      <c r="K4757" s="19" t="str">
        <f>IFERROR(__xludf.DUMMYFUNCTION("""COMPUTED_VALUE"""),"-")</f>
        <v>-</v>
      </c>
      <c r="L4757" s="19" t="str">
        <f>IFERROR(__xludf.DUMMYFUNCTION("""COMPUTED_VALUE"""),"-")</f>
        <v>-</v>
      </c>
      <c r="O4757" s="24">
        <f t="shared" si="4"/>
        <v>0</v>
      </c>
      <c r="P4757" s="24"/>
      <c r="Q4757" s="24">
        <f t="shared" si="6"/>
        <v>0</v>
      </c>
      <c r="R4757" s="24">
        <f t="shared" si="7"/>
        <v>0</v>
      </c>
      <c r="S4757" s="24"/>
      <c r="T4757" s="24"/>
    </row>
    <row r="4758">
      <c r="A4758" s="12" t="s">
        <v>4845</v>
      </c>
      <c r="F4758" s="19">
        <f>IFERROR(__xludf.DUMMYFUNCTION("SPLIT(A4754, "" |"")"),4752.0)</f>
        <v>4752</v>
      </c>
      <c r="G4758" s="19">
        <f>IFERROR(__xludf.DUMMYFUNCTION("""COMPUTED_VALUE"""),0.00239)</f>
        <v>0.00239</v>
      </c>
      <c r="H4758" s="19" t="str">
        <f>IFERROR(__xludf.DUMMYFUNCTION("""COMPUTED_VALUE"""),"-")</f>
        <v>-</v>
      </c>
      <c r="I4758" s="19">
        <f>IFERROR(__xludf.DUMMYFUNCTION("""COMPUTED_VALUE"""),0.00222)</f>
        <v>0.00222</v>
      </c>
      <c r="J4758" s="19">
        <f>IFERROR(__xludf.DUMMYFUNCTION("""COMPUTED_VALUE"""),0.04563)</f>
        <v>0.04563</v>
      </c>
      <c r="K4758" s="19" t="str">
        <f>IFERROR(__xludf.DUMMYFUNCTION("""COMPUTED_VALUE"""),"-")</f>
        <v>-</v>
      </c>
      <c r="L4758" s="19" t="str">
        <f>IFERROR(__xludf.DUMMYFUNCTION("""COMPUTED_VALUE"""),"-")</f>
        <v>-</v>
      </c>
      <c r="O4758" s="24">
        <f t="shared" si="4"/>
        <v>0</v>
      </c>
      <c r="P4758" s="24"/>
      <c r="Q4758" s="24">
        <f t="shared" si="6"/>
        <v>0</v>
      </c>
      <c r="R4758" s="24">
        <f t="shared" si="7"/>
        <v>0</v>
      </c>
      <c r="S4758" s="24"/>
      <c r="T4758" s="24"/>
    </row>
    <row r="4759">
      <c r="A4759" s="12" t="s">
        <v>4846</v>
      </c>
      <c r="F4759" s="19">
        <f>IFERROR(__xludf.DUMMYFUNCTION("SPLIT(A4755, "" |"")"),4753.0)</f>
        <v>4753</v>
      </c>
      <c r="G4759" s="19">
        <f>IFERROR(__xludf.DUMMYFUNCTION("""COMPUTED_VALUE"""),0.00233)</f>
        <v>0.00233</v>
      </c>
      <c r="H4759" s="19" t="str">
        <f>IFERROR(__xludf.DUMMYFUNCTION("""COMPUTED_VALUE"""),"-")</f>
        <v>-</v>
      </c>
      <c r="I4759" s="19">
        <f>IFERROR(__xludf.DUMMYFUNCTION("""COMPUTED_VALUE"""),0.00218)</f>
        <v>0.00218</v>
      </c>
      <c r="J4759" s="19">
        <f>IFERROR(__xludf.DUMMYFUNCTION("""COMPUTED_VALUE"""),0.0474)</f>
        <v>0.0474</v>
      </c>
      <c r="K4759" s="19" t="str">
        <f>IFERROR(__xludf.DUMMYFUNCTION("""COMPUTED_VALUE"""),"-")</f>
        <v>-</v>
      </c>
      <c r="L4759" s="19" t="str">
        <f>IFERROR(__xludf.DUMMYFUNCTION("""COMPUTED_VALUE"""),"-")</f>
        <v>-</v>
      </c>
      <c r="O4759" s="24">
        <f t="shared" si="4"/>
        <v>0</v>
      </c>
      <c r="P4759" s="24"/>
      <c r="Q4759" s="24">
        <f t="shared" si="6"/>
        <v>0</v>
      </c>
      <c r="R4759" s="24">
        <f t="shared" si="7"/>
        <v>0</v>
      </c>
      <c r="S4759" s="24"/>
      <c r="T4759" s="24"/>
    </row>
    <row r="4760">
      <c r="A4760" s="12" t="s">
        <v>4847</v>
      </c>
      <c r="F4760" s="19">
        <f>IFERROR(__xludf.DUMMYFUNCTION("SPLIT(A4756, "" |"")"),4754.0)</f>
        <v>4754</v>
      </c>
      <c r="G4760" s="19">
        <f>IFERROR(__xludf.DUMMYFUNCTION("""COMPUTED_VALUE"""),0.00233)</f>
        <v>0.00233</v>
      </c>
      <c r="H4760" s="19" t="str">
        <f>IFERROR(__xludf.DUMMYFUNCTION("""COMPUTED_VALUE"""),"-")</f>
        <v>-</v>
      </c>
      <c r="I4760" s="19">
        <f>IFERROR(__xludf.DUMMYFUNCTION("""COMPUTED_VALUE"""),0.00218)</f>
        <v>0.00218</v>
      </c>
      <c r="J4760" s="19">
        <f>IFERROR(__xludf.DUMMYFUNCTION("""COMPUTED_VALUE"""),0.04745)</f>
        <v>0.04745</v>
      </c>
      <c r="K4760" s="19" t="str">
        <f>IFERROR(__xludf.DUMMYFUNCTION("""COMPUTED_VALUE"""),"-")</f>
        <v>-</v>
      </c>
      <c r="L4760" s="19" t="str">
        <f>IFERROR(__xludf.DUMMYFUNCTION("""COMPUTED_VALUE"""),"-")</f>
        <v>-</v>
      </c>
      <c r="O4760" s="24">
        <f t="shared" si="4"/>
        <v>0</v>
      </c>
      <c r="P4760" s="24"/>
      <c r="Q4760" s="24">
        <f t="shared" si="6"/>
        <v>0</v>
      </c>
      <c r="R4760" s="24">
        <f t="shared" si="7"/>
        <v>0</v>
      </c>
      <c r="S4760" s="24"/>
      <c r="T4760" s="24"/>
    </row>
    <row r="4761">
      <c r="A4761" s="12" t="s">
        <v>4848</v>
      </c>
      <c r="F4761" s="19">
        <f>IFERROR(__xludf.DUMMYFUNCTION("SPLIT(A4757, "" |"")"),4755.0)</f>
        <v>4755</v>
      </c>
      <c r="G4761" s="19">
        <f>IFERROR(__xludf.DUMMYFUNCTION("""COMPUTED_VALUE"""),0.00235)</f>
        <v>0.00235</v>
      </c>
      <c r="H4761" s="19" t="str">
        <f>IFERROR(__xludf.DUMMYFUNCTION("""COMPUTED_VALUE"""),"-")</f>
        <v>-</v>
      </c>
      <c r="I4761" s="19">
        <f>IFERROR(__xludf.DUMMYFUNCTION("""COMPUTED_VALUE"""),0.00217)</f>
        <v>0.00217</v>
      </c>
      <c r="J4761" s="19">
        <f>IFERROR(__xludf.DUMMYFUNCTION("""COMPUTED_VALUE"""),0.04743)</f>
        <v>0.04743</v>
      </c>
      <c r="K4761" s="19" t="str">
        <f>IFERROR(__xludf.DUMMYFUNCTION("""COMPUTED_VALUE"""),"-")</f>
        <v>-</v>
      </c>
      <c r="L4761" s="19" t="str">
        <f>IFERROR(__xludf.DUMMYFUNCTION("""COMPUTED_VALUE"""),"-")</f>
        <v>-</v>
      </c>
      <c r="O4761" s="24">
        <f t="shared" si="4"/>
        <v>0</v>
      </c>
      <c r="P4761" s="24"/>
      <c r="Q4761" s="24">
        <f t="shared" si="6"/>
        <v>0</v>
      </c>
      <c r="R4761" s="24">
        <f t="shared" si="7"/>
        <v>0</v>
      </c>
      <c r="S4761" s="24"/>
      <c r="T4761" s="24"/>
    </row>
    <row r="4762">
      <c r="A4762" s="12" t="s">
        <v>4849</v>
      </c>
      <c r="F4762" s="19">
        <f>IFERROR(__xludf.DUMMYFUNCTION("SPLIT(A4758, "" |"")"),4756.0)</f>
        <v>4756</v>
      </c>
      <c r="G4762" s="19">
        <f>IFERROR(__xludf.DUMMYFUNCTION("""COMPUTED_VALUE"""),0.00233)</f>
        <v>0.00233</v>
      </c>
      <c r="H4762" s="19" t="str">
        <f>IFERROR(__xludf.DUMMYFUNCTION("""COMPUTED_VALUE"""),"-")</f>
        <v>-</v>
      </c>
      <c r="I4762" s="19">
        <f>IFERROR(__xludf.DUMMYFUNCTION("""COMPUTED_VALUE"""),0.0022)</f>
        <v>0.0022</v>
      </c>
      <c r="J4762" s="19">
        <f>IFERROR(__xludf.DUMMYFUNCTION("""COMPUTED_VALUE"""),0.04739)</f>
        <v>0.04739</v>
      </c>
      <c r="K4762" s="19" t="str">
        <f>IFERROR(__xludf.DUMMYFUNCTION("""COMPUTED_VALUE"""),"-")</f>
        <v>-</v>
      </c>
      <c r="L4762" s="19" t="str">
        <f>IFERROR(__xludf.DUMMYFUNCTION("""COMPUTED_VALUE"""),"-")</f>
        <v>-</v>
      </c>
      <c r="O4762" s="24">
        <f t="shared" si="4"/>
        <v>0</v>
      </c>
      <c r="P4762" s="24"/>
      <c r="Q4762" s="24">
        <f t="shared" si="6"/>
        <v>0</v>
      </c>
      <c r="R4762" s="24">
        <f t="shared" si="7"/>
        <v>0</v>
      </c>
      <c r="S4762" s="24"/>
      <c r="T4762" s="24"/>
    </row>
    <row r="4763">
      <c r="A4763" s="12" t="s">
        <v>4850</v>
      </c>
      <c r="F4763" s="19">
        <f>IFERROR(__xludf.DUMMYFUNCTION("SPLIT(A4759, "" |"")"),4757.0)</f>
        <v>4757</v>
      </c>
      <c r="G4763" s="19">
        <f>IFERROR(__xludf.DUMMYFUNCTION("""COMPUTED_VALUE"""),0.00237)</f>
        <v>0.00237</v>
      </c>
      <c r="H4763" s="19" t="str">
        <f>IFERROR(__xludf.DUMMYFUNCTION("""COMPUTED_VALUE"""),"-")</f>
        <v>-</v>
      </c>
      <c r="I4763" s="19">
        <f>IFERROR(__xludf.DUMMYFUNCTION("""COMPUTED_VALUE"""),0.0022)</f>
        <v>0.0022</v>
      </c>
      <c r="J4763" s="19">
        <f>IFERROR(__xludf.DUMMYFUNCTION("""COMPUTED_VALUE"""),0.0474)</f>
        <v>0.0474</v>
      </c>
      <c r="K4763" s="19" t="str">
        <f>IFERROR(__xludf.DUMMYFUNCTION("""COMPUTED_VALUE"""),"-")</f>
        <v>-</v>
      </c>
      <c r="L4763" s="19" t="str">
        <f>IFERROR(__xludf.DUMMYFUNCTION("""COMPUTED_VALUE"""),"-")</f>
        <v>-</v>
      </c>
      <c r="O4763" s="24">
        <f t="shared" si="4"/>
        <v>0</v>
      </c>
      <c r="P4763" s="24"/>
      <c r="Q4763" s="24">
        <f t="shared" si="6"/>
        <v>0</v>
      </c>
      <c r="R4763" s="24">
        <f t="shared" si="7"/>
        <v>0</v>
      </c>
      <c r="S4763" s="24"/>
      <c r="T4763" s="24"/>
    </row>
    <row r="4764">
      <c r="A4764" s="12" t="s">
        <v>4851</v>
      </c>
      <c r="F4764" s="19">
        <f>IFERROR(__xludf.DUMMYFUNCTION("SPLIT(A4760, "" |"")"),4758.0)</f>
        <v>4758</v>
      </c>
      <c r="G4764" s="19">
        <f>IFERROR(__xludf.DUMMYFUNCTION("""COMPUTED_VALUE"""),0.00231)</f>
        <v>0.00231</v>
      </c>
      <c r="H4764" s="19" t="str">
        <f>IFERROR(__xludf.DUMMYFUNCTION("""COMPUTED_VALUE"""),"-")</f>
        <v>-</v>
      </c>
      <c r="I4764" s="19">
        <f>IFERROR(__xludf.DUMMYFUNCTION("""COMPUTED_VALUE"""),0.00218)</f>
        <v>0.00218</v>
      </c>
      <c r="J4764" s="19">
        <f>IFERROR(__xludf.DUMMYFUNCTION("""COMPUTED_VALUE"""),0.0474)</f>
        <v>0.0474</v>
      </c>
      <c r="K4764" s="19" t="str">
        <f>IFERROR(__xludf.DUMMYFUNCTION("""COMPUTED_VALUE"""),"-")</f>
        <v>-</v>
      </c>
      <c r="L4764" s="19" t="str">
        <f>IFERROR(__xludf.DUMMYFUNCTION("""COMPUTED_VALUE"""),"-")</f>
        <v>-</v>
      </c>
      <c r="O4764" s="24">
        <f t="shared" si="4"/>
        <v>0</v>
      </c>
      <c r="P4764" s="24"/>
      <c r="Q4764" s="24">
        <f t="shared" si="6"/>
        <v>0</v>
      </c>
      <c r="R4764" s="24">
        <f t="shared" si="7"/>
        <v>0</v>
      </c>
      <c r="S4764" s="24"/>
      <c r="T4764" s="24"/>
    </row>
    <row r="4765">
      <c r="A4765" s="12" t="s">
        <v>4852</v>
      </c>
      <c r="F4765" s="19">
        <f>IFERROR(__xludf.DUMMYFUNCTION("SPLIT(A4761, "" |"")"),4759.0)</f>
        <v>4759</v>
      </c>
      <c r="G4765" s="19">
        <f>IFERROR(__xludf.DUMMYFUNCTION("""COMPUTED_VALUE"""),0.00231)</f>
        <v>0.00231</v>
      </c>
      <c r="H4765" s="19" t="str">
        <f>IFERROR(__xludf.DUMMYFUNCTION("""COMPUTED_VALUE"""),"-")</f>
        <v>-</v>
      </c>
      <c r="I4765" s="19">
        <f>IFERROR(__xludf.DUMMYFUNCTION("""COMPUTED_VALUE"""),0.00222)</f>
        <v>0.00222</v>
      </c>
      <c r="J4765" s="19">
        <f>IFERROR(__xludf.DUMMYFUNCTION("""COMPUTED_VALUE"""),0.03955)</f>
        <v>0.03955</v>
      </c>
      <c r="K4765" s="19" t="str">
        <f>IFERROR(__xludf.DUMMYFUNCTION("""COMPUTED_VALUE"""),"-")</f>
        <v>-</v>
      </c>
      <c r="L4765" s="19" t="str">
        <f>IFERROR(__xludf.DUMMYFUNCTION("""COMPUTED_VALUE"""),"-")</f>
        <v>-</v>
      </c>
      <c r="O4765" s="24">
        <f t="shared" si="4"/>
        <v>0</v>
      </c>
      <c r="P4765" s="24"/>
      <c r="Q4765" s="24">
        <f t="shared" si="6"/>
        <v>0</v>
      </c>
      <c r="R4765" s="24">
        <f t="shared" si="7"/>
        <v>1</v>
      </c>
      <c r="S4765" s="24"/>
      <c r="T4765" s="24"/>
    </row>
    <row r="4766">
      <c r="A4766" s="12" t="s">
        <v>4853</v>
      </c>
      <c r="F4766" s="19">
        <f>IFERROR(__xludf.DUMMYFUNCTION("SPLIT(A4762, "" |"")"),4760.0)</f>
        <v>4760</v>
      </c>
      <c r="G4766" s="19">
        <f>IFERROR(__xludf.DUMMYFUNCTION("""COMPUTED_VALUE"""),0.00225)</f>
        <v>0.00225</v>
      </c>
      <c r="H4766" s="19" t="str">
        <f>IFERROR(__xludf.DUMMYFUNCTION("""COMPUTED_VALUE"""),"-")</f>
        <v>-</v>
      </c>
      <c r="I4766" s="19">
        <f>IFERROR(__xludf.DUMMYFUNCTION("""COMPUTED_VALUE"""),0.00214)</f>
        <v>0.00214</v>
      </c>
      <c r="J4766" s="19">
        <f>IFERROR(__xludf.DUMMYFUNCTION("""COMPUTED_VALUE"""),0.04742)</f>
        <v>0.04742</v>
      </c>
      <c r="K4766" s="19" t="str">
        <f>IFERROR(__xludf.DUMMYFUNCTION("""COMPUTED_VALUE"""),"-")</f>
        <v>-</v>
      </c>
      <c r="L4766" s="19" t="str">
        <f>IFERROR(__xludf.DUMMYFUNCTION("""COMPUTED_VALUE"""),"-")</f>
        <v>-</v>
      </c>
      <c r="O4766" s="24">
        <f t="shared" si="4"/>
        <v>0</v>
      </c>
      <c r="P4766" s="24"/>
      <c r="Q4766" s="24">
        <f t="shared" si="6"/>
        <v>0</v>
      </c>
      <c r="R4766" s="24">
        <f t="shared" si="7"/>
        <v>0</v>
      </c>
      <c r="S4766" s="24"/>
      <c r="T4766" s="24"/>
    </row>
    <row r="4767">
      <c r="A4767" s="12" t="s">
        <v>4854</v>
      </c>
      <c r="F4767" s="19">
        <f>IFERROR(__xludf.DUMMYFUNCTION("SPLIT(A4763, "" |"")"),4761.0)</f>
        <v>4761</v>
      </c>
      <c r="G4767" s="19">
        <f>IFERROR(__xludf.DUMMYFUNCTION("""COMPUTED_VALUE"""),0.00232)</f>
        <v>0.00232</v>
      </c>
      <c r="H4767" s="19" t="str">
        <f>IFERROR(__xludf.DUMMYFUNCTION("""COMPUTED_VALUE"""),"-")</f>
        <v>-</v>
      </c>
      <c r="I4767" s="19">
        <f>IFERROR(__xludf.DUMMYFUNCTION("""COMPUTED_VALUE"""),0.0022)</f>
        <v>0.0022</v>
      </c>
      <c r="J4767" s="19">
        <f>IFERROR(__xludf.DUMMYFUNCTION("""COMPUTED_VALUE"""),0.04749)</f>
        <v>0.04749</v>
      </c>
      <c r="K4767" s="19" t="str">
        <f>IFERROR(__xludf.DUMMYFUNCTION("""COMPUTED_VALUE"""),"-")</f>
        <v>-</v>
      </c>
      <c r="L4767" s="19" t="str">
        <f>IFERROR(__xludf.DUMMYFUNCTION("""COMPUTED_VALUE"""),"-")</f>
        <v>-</v>
      </c>
      <c r="O4767" s="24">
        <f t="shared" si="4"/>
        <v>0</v>
      </c>
      <c r="P4767" s="24"/>
      <c r="Q4767" s="24">
        <f t="shared" si="6"/>
        <v>0</v>
      </c>
      <c r="R4767" s="24">
        <f t="shared" si="7"/>
        <v>0</v>
      </c>
      <c r="S4767" s="24"/>
      <c r="T4767" s="24"/>
    </row>
    <row r="4768">
      <c r="A4768" s="12" t="s">
        <v>4855</v>
      </c>
      <c r="F4768" s="19">
        <f>IFERROR(__xludf.DUMMYFUNCTION("SPLIT(A4764, "" |"")"),4762.0)</f>
        <v>4762</v>
      </c>
      <c r="G4768" s="19">
        <f>IFERROR(__xludf.DUMMYFUNCTION("""COMPUTED_VALUE"""),0.00243)</f>
        <v>0.00243</v>
      </c>
      <c r="H4768" s="19" t="str">
        <f>IFERROR(__xludf.DUMMYFUNCTION("""COMPUTED_VALUE"""),"-")</f>
        <v>-</v>
      </c>
      <c r="I4768" s="19">
        <f>IFERROR(__xludf.DUMMYFUNCTION("""COMPUTED_VALUE"""),0.00227)</f>
        <v>0.00227</v>
      </c>
      <c r="J4768" s="19">
        <f>IFERROR(__xludf.DUMMYFUNCTION("""COMPUTED_VALUE"""),0.04748)</f>
        <v>0.04748</v>
      </c>
      <c r="K4768" s="19" t="str">
        <f>IFERROR(__xludf.DUMMYFUNCTION("""COMPUTED_VALUE"""),"-")</f>
        <v>-</v>
      </c>
      <c r="L4768" s="19" t="str">
        <f>IFERROR(__xludf.DUMMYFUNCTION("""COMPUTED_VALUE"""),"-")</f>
        <v>-</v>
      </c>
      <c r="O4768" s="24">
        <f t="shared" si="4"/>
        <v>0</v>
      </c>
      <c r="P4768" s="24"/>
      <c r="Q4768" s="24">
        <f t="shared" si="6"/>
        <v>0</v>
      </c>
      <c r="R4768" s="24">
        <f t="shared" si="7"/>
        <v>0</v>
      </c>
      <c r="S4768" s="24"/>
      <c r="T4768" s="24"/>
    </row>
    <row r="4769">
      <c r="A4769" s="12" t="s">
        <v>4856</v>
      </c>
      <c r="F4769" s="19">
        <f>IFERROR(__xludf.DUMMYFUNCTION("SPLIT(A4765, "" |"")"),4763.0)</f>
        <v>4763</v>
      </c>
      <c r="G4769" s="19">
        <f>IFERROR(__xludf.DUMMYFUNCTION("""COMPUTED_VALUE"""),0.00238)</f>
        <v>0.00238</v>
      </c>
      <c r="H4769" s="19" t="str">
        <f>IFERROR(__xludf.DUMMYFUNCTION("""COMPUTED_VALUE"""),"-")</f>
        <v>-</v>
      </c>
      <c r="I4769" s="19">
        <f>IFERROR(__xludf.DUMMYFUNCTION("""COMPUTED_VALUE"""),0.00219)</f>
        <v>0.00219</v>
      </c>
      <c r="J4769" s="19">
        <f>IFERROR(__xludf.DUMMYFUNCTION("""COMPUTED_VALUE"""),0.04739)</f>
        <v>0.04739</v>
      </c>
      <c r="K4769" s="19" t="str">
        <f>IFERROR(__xludf.DUMMYFUNCTION("""COMPUTED_VALUE"""),"-")</f>
        <v>-</v>
      </c>
      <c r="L4769" s="19" t="str">
        <f>IFERROR(__xludf.DUMMYFUNCTION("""COMPUTED_VALUE"""),"-")</f>
        <v>-</v>
      </c>
      <c r="O4769" s="24">
        <f t="shared" si="4"/>
        <v>0</v>
      </c>
      <c r="P4769" s="24"/>
      <c r="Q4769" s="24">
        <f t="shared" si="6"/>
        <v>0</v>
      </c>
      <c r="R4769" s="24">
        <f t="shared" si="7"/>
        <v>0</v>
      </c>
      <c r="S4769" s="24"/>
      <c r="T4769" s="24"/>
    </row>
    <row r="4770">
      <c r="A4770" s="12" t="s">
        <v>4857</v>
      </c>
      <c r="F4770" s="19">
        <f>IFERROR(__xludf.DUMMYFUNCTION("SPLIT(A4766, "" |"")"),4764.0)</f>
        <v>4764</v>
      </c>
      <c r="G4770" s="19">
        <f>IFERROR(__xludf.DUMMYFUNCTION("""COMPUTED_VALUE"""),0.00237)</f>
        <v>0.00237</v>
      </c>
      <c r="H4770" s="19" t="str">
        <f>IFERROR(__xludf.DUMMYFUNCTION("""COMPUTED_VALUE"""),"-")</f>
        <v>-</v>
      </c>
      <c r="I4770" s="19">
        <f>IFERROR(__xludf.DUMMYFUNCTION("""COMPUTED_VALUE"""),0.00218)</f>
        <v>0.00218</v>
      </c>
      <c r="J4770" s="19">
        <f>IFERROR(__xludf.DUMMYFUNCTION("""COMPUTED_VALUE"""),0.04739)</f>
        <v>0.04739</v>
      </c>
      <c r="K4770" s="19" t="str">
        <f>IFERROR(__xludf.DUMMYFUNCTION("""COMPUTED_VALUE"""),"-")</f>
        <v>-</v>
      </c>
      <c r="L4770" s="19" t="str">
        <f>IFERROR(__xludf.DUMMYFUNCTION("""COMPUTED_VALUE"""),"-")</f>
        <v>-</v>
      </c>
      <c r="O4770" s="24">
        <f t="shared" si="4"/>
        <v>0</v>
      </c>
      <c r="P4770" s="24"/>
      <c r="Q4770" s="24">
        <f t="shared" si="6"/>
        <v>0</v>
      </c>
      <c r="R4770" s="24">
        <f t="shared" si="7"/>
        <v>0</v>
      </c>
      <c r="S4770" s="24"/>
      <c r="T4770" s="24"/>
    </row>
    <row r="4771">
      <c r="A4771" s="12" t="s">
        <v>4858</v>
      </c>
      <c r="F4771" s="19">
        <f>IFERROR(__xludf.DUMMYFUNCTION("SPLIT(A4767, "" |"")"),4765.0)</f>
        <v>4765</v>
      </c>
      <c r="G4771" s="19">
        <f>IFERROR(__xludf.DUMMYFUNCTION("""COMPUTED_VALUE"""),0.00237)</f>
        <v>0.00237</v>
      </c>
      <c r="H4771" s="19" t="str">
        <f>IFERROR(__xludf.DUMMYFUNCTION("""COMPUTED_VALUE"""),"-")</f>
        <v>-</v>
      </c>
      <c r="I4771" s="19">
        <f>IFERROR(__xludf.DUMMYFUNCTION("""COMPUTED_VALUE"""),0.00222)</f>
        <v>0.00222</v>
      </c>
      <c r="J4771" s="19">
        <f>IFERROR(__xludf.DUMMYFUNCTION("""COMPUTED_VALUE"""),0.04747)</f>
        <v>0.04747</v>
      </c>
      <c r="K4771" s="19" t="str">
        <f>IFERROR(__xludf.DUMMYFUNCTION("""COMPUTED_VALUE"""),"-")</f>
        <v>-</v>
      </c>
      <c r="L4771" s="19" t="str">
        <f>IFERROR(__xludf.DUMMYFUNCTION("""COMPUTED_VALUE"""),"-")</f>
        <v>-</v>
      </c>
      <c r="O4771" s="24">
        <f t="shared" si="4"/>
        <v>0</v>
      </c>
      <c r="P4771" s="24"/>
      <c r="Q4771" s="24">
        <f t="shared" si="6"/>
        <v>0</v>
      </c>
      <c r="R4771" s="24">
        <f t="shared" si="7"/>
        <v>0</v>
      </c>
      <c r="S4771" s="24"/>
      <c r="T4771" s="24"/>
    </row>
    <row r="4772">
      <c r="A4772" s="12" t="s">
        <v>4859</v>
      </c>
      <c r="F4772" s="19">
        <f>IFERROR(__xludf.DUMMYFUNCTION("SPLIT(A4768, "" |"")"),4766.0)</f>
        <v>4766</v>
      </c>
      <c r="G4772" s="19">
        <f>IFERROR(__xludf.DUMMYFUNCTION("""COMPUTED_VALUE"""),0.00238)</f>
        <v>0.00238</v>
      </c>
      <c r="H4772" s="19" t="str">
        <f>IFERROR(__xludf.DUMMYFUNCTION("""COMPUTED_VALUE"""),"-")</f>
        <v>-</v>
      </c>
      <c r="I4772" s="19">
        <f>IFERROR(__xludf.DUMMYFUNCTION("""COMPUTED_VALUE"""),0.00219)</f>
        <v>0.00219</v>
      </c>
      <c r="J4772" s="19">
        <f>IFERROR(__xludf.DUMMYFUNCTION("""COMPUTED_VALUE"""),0.04743)</f>
        <v>0.04743</v>
      </c>
      <c r="K4772" s="19" t="str">
        <f>IFERROR(__xludf.DUMMYFUNCTION("""COMPUTED_VALUE"""),"-")</f>
        <v>-</v>
      </c>
      <c r="L4772" s="19" t="str">
        <f>IFERROR(__xludf.DUMMYFUNCTION("""COMPUTED_VALUE"""),"-")</f>
        <v>-</v>
      </c>
      <c r="O4772" s="24">
        <f t="shared" si="4"/>
        <v>0</v>
      </c>
      <c r="P4772" s="24"/>
      <c r="Q4772" s="24">
        <f t="shared" si="6"/>
        <v>0</v>
      </c>
      <c r="R4772" s="24">
        <f t="shared" si="7"/>
        <v>0</v>
      </c>
      <c r="S4772" s="24"/>
      <c r="T4772" s="24"/>
    </row>
    <row r="4773">
      <c r="A4773" s="12" t="s">
        <v>4860</v>
      </c>
      <c r="F4773" s="19">
        <f>IFERROR(__xludf.DUMMYFUNCTION("SPLIT(A4769, "" |"")"),4767.0)</f>
        <v>4767</v>
      </c>
      <c r="G4773" s="19">
        <f>IFERROR(__xludf.DUMMYFUNCTION("""COMPUTED_VALUE"""),0.00223)</f>
        <v>0.00223</v>
      </c>
      <c r="H4773" s="19" t="str">
        <f>IFERROR(__xludf.DUMMYFUNCTION("""COMPUTED_VALUE"""),"-")</f>
        <v>-</v>
      </c>
      <c r="I4773" s="19">
        <f>IFERROR(__xludf.DUMMYFUNCTION("""COMPUTED_VALUE"""),0.00208)</f>
        <v>0.00208</v>
      </c>
      <c r="J4773" s="19">
        <f>IFERROR(__xludf.DUMMYFUNCTION("""COMPUTED_VALUE"""),0.04729)</f>
        <v>0.04729</v>
      </c>
      <c r="K4773" s="19" t="str">
        <f>IFERROR(__xludf.DUMMYFUNCTION("""COMPUTED_VALUE"""),"-")</f>
        <v>-</v>
      </c>
      <c r="L4773" s="19" t="str">
        <f>IFERROR(__xludf.DUMMYFUNCTION("""COMPUTED_VALUE"""),"-")</f>
        <v>-</v>
      </c>
      <c r="O4773" s="24">
        <f t="shared" si="4"/>
        <v>0</v>
      </c>
      <c r="P4773" s="24"/>
      <c r="Q4773" s="24">
        <f t="shared" si="6"/>
        <v>0</v>
      </c>
      <c r="R4773" s="24">
        <f t="shared" si="7"/>
        <v>0</v>
      </c>
      <c r="S4773" s="24"/>
      <c r="T4773" s="24"/>
    </row>
    <row r="4774">
      <c r="A4774" s="12" t="s">
        <v>4861</v>
      </c>
      <c r="F4774" s="19">
        <f>IFERROR(__xludf.DUMMYFUNCTION("SPLIT(A4770, "" |"")"),4768.0)</f>
        <v>4768</v>
      </c>
      <c r="G4774" s="19">
        <f>IFERROR(__xludf.DUMMYFUNCTION("""COMPUTED_VALUE"""),0.00227)</f>
        <v>0.00227</v>
      </c>
      <c r="H4774" s="19" t="str">
        <f>IFERROR(__xludf.DUMMYFUNCTION("""COMPUTED_VALUE"""),"-")</f>
        <v>-</v>
      </c>
      <c r="I4774" s="19">
        <f>IFERROR(__xludf.DUMMYFUNCTION("""COMPUTED_VALUE"""),0.00208)</f>
        <v>0.00208</v>
      </c>
      <c r="J4774" s="19">
        <f>IFERROR(__xludf.DUMMYFUNCTION("""COMPUTED_VALUE"""),0.0473)</f>
        <v>0.0473</v>
      </c>
      <c r="K4774" s="19" t="str">
        <f>IFERROR(__xludf.DUMMYFUNCTION("""COMPUTED_VALUE"""),"-")</f>
        <v>-</v>
      </c>
      <c r="L4774" s="19" t="str">
        <f>IFERROR(__xludf.DUMMYFUNCTION("""COMPUTED_VALUE"""),"-")</f>
        <v>-</v>
      </c>
      <c r="O4774" s="24">
        <f t="shared" si="4"/>
        <v>0</v>
      </c>
      <c r="P4774" s="24"/>
      <c r="Q4774" s="24">
        <f t="shared" si="6"/>
        <v>0</v>
      </c>
      <c r="R4774" s="24">
        <f t="shared" si="7"/>
        <v>0</v>
      </c>
      <c r="S4774" s="24"/>
      <c r="T4774" s="24"/>
    </row>
    <row r="4775">
      <c r="A4775" s="12" t="s">
        <v>4862</v>
      </c>
      <c r="F4775" s="19">
        <f>IFERROR(__xludf.DUMMYFUNCTION("SPLIT(A4771, "" |"")"),4769.0)</f>
        <v>4769</v>
      </c>
      <c r="G4775" s="19">
        <f>IFERROR(__xludf.DUMMYFUNCTION("""COMPUTED_VALUE"""),0.00222)</f>
        <v>0.00222</v>
      </c>
      <c r="H4775" s="19" t="str">
        <f>IFERROR(__xludf.DUMMYFUNCTION("""COMPUTED_VALUE"""),"-")</f>
        <v>-</v>
      </c>
      <c r="I4775" s="19">
        <f>IFERROR(__xludf.DUMMYFUNCTION("""COMPUTED_VALUE"""),0.00208)</f>
        <v>0.00208</v>
      </c>
      <c r="J4775" s="19">
        <f>IFERROR(__xludf.DUMMYFUNCTION("""COMPUTED_VALUE"""),0.04728)</f>
        <v>0.04728</v>
      </c>
      <c r="K4775" s="19" t="str">
        <f>IFERROR(__xludf.DUMMYFUNCTION("""COMPUTED_VALUE"""),"-")</f>
        <v>-</v>
      </c>
      <c r="L4775" s="19" t="str">
        <f>IFERROR(__xludf.DUMMYFUNCTION("""COMPUTED_VALUE"""),"-")</f>
        <v>-</v>
      </c>
      <c r="O4775" s="24">
        <f t="shared" si="4"/>
        <v>0</v>
      </c>
      <c r="P4775" s="24"/>
      <c r="Q4775" s="24">
        <f t="shared" si="6"/>
        <v>0</v>
      </c>
      <c r="R4775" s="24">
        <f t="shared" si="7"/>
        <v>0</v>
      </c>
      <c r="S4775" s="24"/>
      <c r="T4775" s="24"/>
    </row>
    <row r="4776">
      <c r="A4776" s="12" t="s">
        <v>4863</v>
      </c>
      <c r="F4776" s="19">
        <f>IFERROR(__xludf.DUMMYFUNCTION("SPLIT(A4772, "" |"")"),4770.0)</f>
        <v>4770</v>
      </c>
      <c r="G4776" s="19">
        <f>IFERROR(__xludf.DUMMYFUNCTION("""COMPUTED_VALUE"""),0.00232)</f>
        <v>0.00232</v>
      </c>
      <c r="H4776" s="19" t="str">
        <f>IFERROR(__xludf.DUMMYFUNCTION("""COMPUTED_VALUE"""),"-")</f>
        <v>-</v>
      </c>
      <c r="I4776" s="19">
        <f>IFERROR(__xludf.DUMMYFUNCTION("""COMPUTED_VALUE"""),0.00217)</f>
        <v>0.00217</v>
      </c>
      <c r="J4776" s="19">
        <f>IFERROR(__xludf.DUMMYFUNCTION("""COMPUTED_VALUE"""),0.04744)</f>
        <v>0.04744</v>
      </c>
      <c r="K4776" s="19" t="str">
        <f>IFERROR(__xludf.DUMMYFUNCTION("""COMPUTED_VALUE"""),"-")</f>
        <v>-</v>
      </c>
      <c r="L4776" s="19" t="str">
        <f>IFERROR(__xludf.DUMMYFUNCTION("""COMPUTED_VALUE"""),"-")</f>
        <v>-</v>
      </c>
      <c r="O4776" s="24">
        <f t="shared" si="4"/>
        <v>0</v>
      </c>
      <c r="P4776" s="24"/>
      <c r="Q4776" s="24">
        <f t="shared" si="6"/>
        <v>0</v>
      </c>
      <c r="R4776" s="24">
        <f t="shared" si="7"/>
        <v>0</v>
      </c>
      <c r="S4776" s="24"/>
      <c r="T4776" s="24"/>
    </row>
    <row r="4777">
      <c r="A4777" s="12" t="s">
        <v>4864</v>
      </c>
      <c r="F4777" s="19">
        <f>IFERROR(__xludf.DUMMYFUNCTION("SPLIT(A4773, "" |"")"),4771.0)</f>
        <v>4771</v>
      </c>
      <c r="G4777" s="19">
        <f>IFERROR(__xludf.DUMMYFUNCTION("""COMPUTED_VALUE"""),0.00238)</f>
        <v>0.00238</v>
      </c>
      <c r="H4777" s="19" t="str">
        <f>IFERROR(__xludf.DUMMYFUNCTION("""COMPUTED_VALUE"""),"-")</f>
        <v>-</v>
      </c>
      <c r="I4777" s="19">
        <f>IFERROR(__xludf.DUMMYFUNCTION("""COMPUTED_VALUE"""),0.00216)</f>
        <v>0.00216</v>
      </c>
      <c r="J4777" s="19">
        <f>IFERROR(__xludf.DUMMYFUNCTION("""COMPUTED_VALUE"""),0.04744)</f>
        <v>0.04744</v>
      </c>
      <c r="K4777" s="19" t="str">
        <f>IFERROR(__xludf.DUMMYFUNCTION("""COMPUTED_VALUE"""),"-")</f>
        <v>-</v>
      </c>
      <c r="L4777" s="19" t="str">
        <f>IFERROR(__xludf.DUMMYFUNCTION("""COMPUTED_VALUE"""),"-")</f>
        <v>-</v>
      </c>
      <c r="O4777" s="24">
        <f t="shared" si="4"/>
        <v>0</v>
      </c>
      <c r="P4777" s="24"/>
      <c r="Q4777" s="24">
        <f t="shared" si="6"/>
        <v>0</v>
      </c>
      <c r="R4777" s="24">
        <f t="shared" si="7"/>
        <v>0</v>
      </c>
      <c r="S4777" s="24"/>
      <c r="T4777" s="24"/>
    </row>
    <row r="4778">
      <c r="A4778" s="12" t="s">
        <v>4865</v>
      </c>
      <c r="F4778" s="19">
        <f>IFERROR(__xludf.DUMMYFUNCTION("SPLIT(A4774, "" |"")"),4772.0)</f>
        <v>4772</v>
      </c>
      <c r="G4778" s="19">
        <f>IFERROR(__xludf.DUMMYFUNCTION("""COMPUTED_VALUE"""),0.00236)</f>
        <v>0.00236</v>
      </c>
      <c r="H4778" s="19" t="str">
        <f>IFERROR(__xludf.DUMMYFUNCTION("""COMPUTED_VALUE"""),"-")</f>
        <v>-</v>
      </c>
      <c r="I4778" s="19">
        <f>IFERROR(__xludf.DUMMYFUNCTION("""COMPUTED_VALUE"""),0.00219)</f>
        <v>0.00219</v>
      </c>
      <c r="J4778" s="19">
        <f>IFERROR(__xludf.DUMMYFUNCTION("""COMPUTED_VALUE"""),0.04678)</f>
        <v>0.04678</v>
      </c>
      <c r="K4778" s="19" t="str">
        <f>IFERROR(__xludf.DUMMYFUNCTION("""COMPUTED_VALUE"""),"-")</f>
        <v>-</v>
      </c>
      <c r="L4778" s="19" t="str">
        <f>IFERROR(__xludf.DUMMYFUNCTION("""COMPUTED_VALUE"""),"-")</f>
        <v>-</v>
      </c>
      <c r="O4778" s="24">
        <f t="shared" si="4"/>
        <v>0</v>
      </c>
      <c r="P4778" s="24"/>
      <c r="Q4778" s="24">
        <f t="shared" si="6"/>
        <v>0</v>
      </c>
      <c r="R4778" s="24">
        <f t="shared" si="7"/>
        <v>0</v>
      </c>
      <c r="S4778" s="24"/>
      <c r="T4778" s="24"/>
    </row>
    <row r="4779">
      <c r="A4779" s="12" t="s">
        <v>4866</v>
      </c>
      <c r="F4779" s="19">
        <f>IFERROR(__xludf.DUMMYFUNCTION("SPLIT(A4775, "" |"")"),4773.0)</f>
        <v>4773</v>
      </c>
      <c r="G4779" s="19">
        <f>IFERROR(__xludf.DUMMYFUNCTION("""COMPUTED_VALUE"""),0.00234)</f>
        <v>0.00234</v>
      </c>
      <c r="H4779" s="19" t="str">
        <f>IFERROR(__xludf.DUMMYFUNCTION("""COMPUTED_VALUE"""),"-")</f>
        <v>-</v>
      </c>
      <c r="I4779" s="19">
        <f>IFERROR(__xludf.DUMMYFUNCTION("""COMPUTED_VALUE"""),0.00218)</f>
        <v>0.00218</v>
      </c>
      <c r="J4779" s="19">
        <f>IFERROR(__xludf.DUMMYFUNCTION("""COMPUTED_VALUE"""),0.0474)</f>
        <v>0.0474</v>
      </c>
      <c r="K4779" s="19" t="str">
        <f>IFERROR(__xludf.DUMMYFUNCTION("""COMPUTED_VALUE"""),"-")</f>
        <v>-</v>
      </c>
      <c r="L4779" s="19" t="str">
        <f>IFERROR(__xludf.DUMMYFUNCTION("""COMPUTED_VALUE"""),"-")</f>
        <v>-</v>
      </c>
      <c r="O4779" s="24">
        <f t="shared" si="4"/>
        <v>0</v>
      </c>
      <c r="P4779" s="24"/>
      <c r="Q4779" s="24">
        <f t="shared" si="6"/>
        <v>0</v>
      </c>
      <c r="R4779" s="24">
        <f t="shared" si="7"/>
        <v>0</v>
      </c>
      <c r="S4779" s="24"/>
      <c r="T4779" s="24"/>
    </row>
    <row r="4780">
      <c r="A4780" s="12" t="s">
        <v>4867</v>
      </c>
      <c r="F4780" s="19">
        <f>IFERROR(__xludf.DUMMYFUNCTION("SPLIT(A4776, "" |"")"),4774.0)</f>
        <v>4774</v>
      </c>
      <c r="G4780" s="19">
        <f>IFERROR(__xludf.DUMMYFUNCTION("""COMPUTED_VALUE"""),0.00237)</f>
        <v>0.00237</v>
      </c>
      <c r="H4780" s="19" t="str">
        <f>IFERROR(__xludf.DUMMYFUNCTION("""COMPUTED_VALUE"""),"-")</f>
        <v>-</v>
      </c>
      <c r="I4780" s="19">
        <f>IFERROR(__xludf.DUMMYFUNCTION("""COMPUTED_VALUE"""),0.00224)</f>
        <v>0.00224</v>
      </c>
      <c r="J4780" s="19">
        <f>IFERROR(__xludf.DUMMYFUNCTION("""COMPUTED_VALUE"""),0.04739)</f>
        <v>0.04739</v>
      </c>
      <c r="K4780" s="19" t="str">
        <f>IFERROR(__xludf.DUMMYFUNCTION("""COMPUTED_VALUE"""),"-")</f>
        <v>-</v>
      </c>
      <c r="L4780" s="19" t="str">
        <f>IFERROR(__xludf.DUMMYFUNCTION("""COMPUTED_VALUE"""),"-")</f>
        <v>-</v>
      </c>
      <c r="O4780" s="24">
        <f t="shared" si="4"/>
        <v>0</v>
      </c>
      <c r="P4780" s="24"/>
      <c r="Q4780" s="24">
        <f t="shared" si="6"/>
        <v>0</v>
      </c>
      <c r="R4780" s="24">
        <f t="shared" si="7"/>
        <v>0</v>
      </c>
      <c r="S4780" s="24"/>
      <c r="T4780" s="24"/>
    </row>
    <row r="4781">
      <c r="A4781" s="12" t="s">
        <v>4868</v>
      </c>
      <c r="F4781" s="19">
        <f>IFERROR(__xludf.DUMMYFUNCTION("SPLIT(A4777, "" |"")"),4775.0)</f>
        <v>4775</v>
      </c>
      <c r="G4781" s="19">
        <f>IFERROR(__xludf.DUMMYFUNCTION("""COMPUTED_VALUE"""),0.00241)</f>
        <v>0.00241</v>
      </c>
      <c r="H4781" s="19" t="str">
        <f>IFERROR(__xludf.DUMMYFUNCTION("""COMPUTED_VALUE"""),"-")</f>
        <v>-</v>
      </c>
      <c r="I4781" s="19">
        <f>IFERROR(__xludf.DUMMYFUNCTION("""COMPUTED_VALUE"""),0.0022)</f>
        <v>0.0022</v>
      </c>
      <c r="J4781" s="19">
        <f>IFERROR(__xludf.DUMMYFUNCTION("""COMPUTED_VALUE"""),0.04742)</f>
        <v>0.04742</v>
      </c>
      <c r="K4781" s="19" t="str">
        <f>IFERROR(__xludf.DUMMYFUNCTION("""COMPUTED_VALUE"""),"-")</f>
        <v>-</v>
      </c>
      <c r="L4781" s="19" t="str">
        <f>IFERROR(__xludf.DUMMYFUNCTION("""COMPUTED_VALUE"""),"-")</f>
        <v>-</v>
      </c>
      <c r="O4781" s="24">
        <f t="shared" si="4"/>
        <v>0</v>
      </c>
      <c r="P4781" s="24"/>
      <c r="Q4781" s="24">
        <f t="shared" si="6"/>
        <v>0</v>
      </c>
      <c r="R4781" s="24">
        <f t="shared" si="7"/>
        <v>0</v>
      </c>
      <c r="S4781" s="24"/>
      <c r="T4781" s="24"/>
    </row>
    <row r="4782">
      <c r="A4782" s="12" t="s">
        <v>4869</v>
      </c>
      <c r="F4782" s="19">
        <f>IFERROR(__xludf.DUMMYFUNCTION("SPLIT(A4778, "" |"")"),4776.0)</f>
        <v>4776</v>
      </c>
      <c r="G4782" s="19">
        <f>IFERROR(__xludf.DUMMYFUNCTION("""COMPUTED_VALUE"""),0.00231)</f>
        <v>0.00231</v>
      </c>
      <c r="H4782" s="19" t="str">
        <f>IFERROR(__xludf.DUMMYFUNCTION("""COMPUTED_VALUE"""),"-")</f>
        <v>-</v>
      </c>
      <c r="I4782" s="19">
        <f>IFERROR(__xludf.DUMMYFUNCTION("""COMPUTED_VALUE"""),0.00222)</f>
        <v>0.00222</v>
      </c>
      <c r="J4782" s="19">
        <f>IFERROR(__xludf.DUMMYFUNCTION("""COMPUTED_VALUE"""),0.04741)</f>
        <v>0.04741</v>
      </c>
      <c r="K4782" s="19" t="str">
        <f>IFERROR(__xludf.DUMMYFUNCTION("""COMPUTED_VALUE"""),"-")</f>
        <v>-</v>
      </c>
      <c r="L4782" s="19" t="str">
        <f>IFERROR(__xludf.DUMMYFUNCTION("""COMPUTED_VALUE"""),"-")</f>
        <v>-</v>
      </c>
      <c r="O4782" s="24">
        <f t="shared" si="4"/>
        <v>0</v>
      </c>
      <c r="P4782" s="24"/>
      <c r="Q4782" s="24">
        <f t="shared" si="6"/>
        <v>0</v>
      </c>
      <c r="R4782" s="24">
        <f t="shared" si="7"/>
        <v>0</v>
      </c>
      <c r="S4782" s="24"/>
      <c r="T4782" s="24"/>
    </row>
    <row r="4783">
      <c r="A4783" s="12" t="s">
        <v>4870</v>
      </c>
      <c r="F4783" s="19">
        <f>IFERROR(__xludf.DUMMYFUNCTION("SPLIT(A4779, "" |"")"),4777.0)</f>
        <v>4777</v>
      </c>
      <c r="G4783" s="19">
        <f>IFERROR(__xludf.DUMMYFUNCTION("""COMPUTED_VALUE"""),0.00236)</f>
        <v>0.00236</v>
      </c>
      <c r="H4783" s="19" t="str">
        <f>IFERROR(__xludf.DUMMYFUNCTION("""COMPUTED_VALUE"""),"-")</f>
        <v>-</v>
      </c>
      <c r="I4783" s="19">
        <f>IFERROR(__xludf.DUMMYFUNCTION("""COMPUTED_VALUE"""),0.00224)</f>
        <v>0.00224</v>
      </c>
      <c r="J4783" s="19">
        <f>IFERROR(__xludf.DUMMYFUNCTION("""COMPUTED_VALUE"""),0.04603)</f>
        <v>0.04603</v>
      </c>
      <c r="K4783" s="19" t="str">
        <f>IFERROR(__xludf.DUMMYFUNCTION("""COMPUTED_VALUE"""),"-")</f>
        <v>-</v>
      </c>
      <c r="L4783" s="19" t="str">
        <f>IFERROR(__xludf.DUMMYFUNCTION("""COMPUTED_VALUE"""),"-")</f>
        <v>-</v>
      </c>
      <c r="O4783" s="24">
        <f t="shared" si="4"/>
        <v>0</v>
      </c>
      <c r="P4783" s="24"/>
      <c r="Q4783" s="24">
        <f t="shared" si="6"/>
        <v>0</v>
      </c>
      <c r="R4783" s="24">
        <f t="shared" si="7"/>
        <v>0</v>
      </c>
      <c r="S4783" s="24"/>
      <c r="T4783" s="24"/>
    </row>
    <row r="4784">
      <c r="A4784" s="12" t="s">
        <v>4871</v>
      </c>
      <c r="F4784" s="19">
        <f>IFERROR(__xludf.DUMMYFUNCTION("SPLIT(A4780, "" |"")"),4778.0)</f>
        <v>4778</v>
      </c>
      <c r="G4784" s="19">
        <f>IFERROR(__xludf.DUMMYFUNCTION("""COMPUTED_VALUE"""),0.00231)</f>
        <v>0.00231</v>
      </c>
      <c r="H4784" s="19" t="str">
        <f>IFERROR(__xludf.DUMMYFUNCTION("""COMPUTED_VALUE"""),"-")</f>
        <v>-</v>
      </c>
      <c r="I4784" s="19">
        <f>IFERROR(__xludf.DUMMYFUNCTION("""COMPUTED_VALUE"""),0.00217)</f>
        <v>0.00217</v>
      </c>
      <c r="J4784" s="19">
        <f>IFERROR(__xludf.DUMMYFUNCTION("""COMPUTED_VALUE"""),0.04747)</f>
        <v>0.04747</v>
      </c>
      <c r="K4784" s="19" t="str">
        <f>IFERROR(__xludf.DUMMYFUNCTION("""COMPUTED_VALUE"""),"-")</f>
        <v>-</v>
      </c>
      <c r="L4784" s="19" t="str">
        <f>IFERROR(__xludf.DUMMYFUNCTION("""COMPUTED_VALUE"""),"-")</f>
        <v>-</v>
      </c>
      <c r="O4784" s="24">
        <f t="shared" si="4"/>
        <v>0</v>
      </c>
      <c r="P4784" s="24"/>
      <c r="Q4784" s="24">
        <f t="shared" si="6"/>
        <v>0</v>
      </c>
      <c r="R4784" s="24">
        <f t="shared" si="7"/>
        <v>0</v>
      </c>
      <c r="S4784" s="24"/>
      <c r="T4784" s="24"/>
    </row>
    <row r="4785">
      <c r="A4785" s="12" t="s">
        <v>4872</v>
      </c>
      <c r="F4785" s="19">
        <f>IFERROR(__xludf.DUMMYFUNCTION("SPLIT(A4781, "" |"")"),4779.0)</f>
        <v>4779</v>
      </c>
      <c r="G4785" s="19">
        <f>IFERROR(__xludf.DUMMYFUNCTION("""COMPUTED_VALUE"""),0.00237)</f>
        <v>0.00237</v>
      </c>
      <c r="H4785" s="19" t="str">
        <f>IFERROR(__xludf.DUMMYFUNCTION("""COMPUTED_VALUE"""),"-")</f>
        <v>-</v>
      </c>
      <c r="I4785" s="19">
        <f>IFERROR(__xludf.DUMMYFUNCTION("""COMPUTED_VALUE"""),0.00217)</f>
        <v>0.00217</v>
      </c>
      <c r="J4785" s="19">
        <f>IFERROR(__xludf.DUMMYFUNCTION("""COMPUTED_VALUE"""),0.0474)</f>
        <v>0.0474</v>
      </c>
      <c r="K4785" s="19" t="str">
        <f>IFERROR(__xludf.DUMMYFUNCTION("""COMPUTED_VALUE"""),"-")</f>
        <v>-</v>
      </c>
      <c r="L4785" s="19" t="str">
        <f>IFERROR(__xludf.DUMMYFUNCTION("""COMPUTED_VALUE"""),"-")</f>
        <v>-</v>
      </c>
      <c r="O4785" s="24">
        <f t="shared" si="4"/>
        <v>0</v>
      </c>
      <c r="P4785" s="24"/>
      <c r="Q4785" s="24">
        <f t="shared" si="6"/>
        <v>0</v>
      </c>
      <c r="R4785" s="24">
        <f t="shared" si="7"/>
        <v>0</v>
      </c>
      <c r="S4785" s="24"/>
      <c r="T4785" s="24"/>
    </row>
    <row r="4786">
      <c r="A4786" s="12" t="s">
        <v>4873</v>
      </c>
      <c r="F4786" s="19">
        <f>IFERROR(__xludf.DUMMYFUNCTION("SPLIT(A4782, "" |"")"),4780.0)</f>
        <v>4780</v>
      </c>
      <c r="G4786" s="19">
        <f>IFERROR(__xludf.DUMMYFUNCTION("""COMPUTED_VALUE"""),0.00232)</f>
        <v>0.00232</v>
      </c>
      <c r="H4786" s="19" t="str">
        <f>IFERROR(__xludf.DUMMYFUNCTION("""COMPUTED_VALUE"""),"-")</f>
        <v>-</v>
      </c>
      <c r="I4786" s="19">
        <f>IFERROR(__xludf.DUMMYFUNCTION("""COMPUTED_VALUE"""),0.0022)</f>
        <v>0.0022</v>
      </c>
      <c r="J4786" s="19">
        <f>IFERROR(__xludf.DUMMYFUNCTION("""COMPUTED_VALUE"""),0.04667)</f>
        <v>0.04667</v>
      </c>
      <c r="K4786" s="19" t="str">
        <f>IFERROR(__xludf.DUMMYFUNCTION("""COMPUTED_VALUE"""),"-")</f>
        <v>-</v>
      </c>
      <c r="L4786" s="19" t="str">
        <f>IFERROR(__xludf.DUMMYFUNCTION("""COMPUTED_VALUE"""),"-")</f>
        <v>-</v>
      </c>
      <c r="O4786" s="24">
        <f t="shared" si="4"/>
        <v>0</v>
      </c>
      <c r="P4786" s="24"/>
      <c r="Q4786" s="24">
        <f t="shared" si="6"/>
        <v>0</v>
      </c>
      <c r="R4786" s="24">
        <f t="shared" si="7"/>
        <v>0</v>
      </c>
      <c r="S4786" s="24"/>
      <c r="T4786" s="24"/>
    </row>
    <row r="4787">
      <c r="A4787" s="12" t="s">
        <v>4874</v>
      </c>
      <c r="F4787" s="19">
        <f>IFERROR(__xludf.DUMMYFUNCTION("SPLIT(A4783, "" |"")"),4781.0)</f>
        <v>4781</v>
      </c>
      <c r="G4787" s="19">
        <f>IFERROR(__xludf.DUMMYFUNCTION("""COMPUTED_VALUE"""),0.00247)</f>
        <v>0.00247</v>
      </c>
      <c r="H4787" s="19" t="str">
        <f>IFERROR(__xludf.DUMMYFUNCTION("""COMPUTED_VALUE"""),"-")</f>
        <v>-</v>
      </c>
      <c r="I4787" s="19">
        <f>IFERROR(__xludf.DUMMYFUNCTION("""COMPUTED_VALUE"""),0.00216)</f>
        <v>0.00216</v>
      </c>
      <c r="J4787" s="19">
        <f>IFERROR(__xludf.DUMMYFUNCTION("""COMPUTED_VALUE"""),0.04739)</f>
        <v>0.04739</v>
      </c>
      <c r="K4787" s="19" t="str">
        <f>IFERROR(__xludf.DUMMYFUNCTION("""COMPUTED_VALUE"""),"-")</f>
        <v>-</v>
      </c>
      <c r="L4787" s="19" t="str">
        <f>IFERROR(__xludf.DUMMYFUNCTION("""COMPUTED_VALUE"""),"-")</f>
        <v>-</v>
      </c>
      <c r="O4787" s="24">
        <f t="shared" si="4"/>
        <v>0</v>
      </c>
      <c r="P4787" s="24"/>
      <c r="Q4787" s="24">
        <f t="shared" si="6"/>
        <v>0</v>
      </c>
      <c r="R4787" s="24">
        <f t="shared" si="7"/>
        <v>0</v>
      </c>
      <c r="S4787" s="24"/>
      <c r="T4787" s="24"/>
    </row>
    <row r="4788">
      <c r="A4788" s="12" t="s">
        <v>4875</v>
      </c>
      <c r="F4788" s="19">
        <f>IFERROR(__xludf.DUMMYFUNCTION("SPLIT(A4784, "" |"")"),4782.0)</f>
        <v>4782</v>
      </c>
      <c r="G4788" s="19">
        <f>IFERROR(__xludf.DUMMYFUNCTION("""COMPUTED_VALUE"""),0.00238)</f>
        <v>0.00238</v>
      </c>
      <c r="H4788" s="19" t="str">
        <f>IFERROR(__xludf.DUMMYFUNCTION("""COMPUTED_VALUE"""),"-")</f>
        <v>-</v>
      </c>
      <c r="I4788" s="19">
        <f>IFERROR(__xludf.DUMMYFUNCTION("""COMPUTED_VALUE"""),0.00221)</f>
        <v>0.00221</v>
      </c>
      <c r="J4788" s="19">
        <f>IFERROR(__xludf.DUMMYFUNCTION("""COMPUTED_VALUE"""),0.04746)</f>
        <v>0.04746</v>
      </c>
      <c r="K4788" s="19" t="str">
        <f>IFERROR(__xludf.DUMMYFUNCTION("""COMPUTED_VALUE"""),"-")</f>
        <v>-</v>
      </c>
      <c r="L4788" s="19" t="str">
        <f>IFERROR(__xludf.DUMMYFUNCTION("""COMPUTED_VALUE"""),"-")</f>
        <v>-</v>
      </c>
      <c r="O4788" s="24">
        <f t="shared" si="4"/>
        <v>0</v>
      </c>
      <c r="P4788" s="24"/>
      <c r="Q4788" s="24">
        <f t="shared" si="6"/>
        <v>0</v>
      </c>
      <c r="R4788" s="24">
        <f t="shared" si="7"/>
        <v>0</v>
      </c>
      <c r="S4788" s="24"/>
      <c r="T4788" s="24"/>
    </row>
    <row r="4789">
      <c r="A4789" s="12" t="s">
        <v>4876</v>
      </c>
      <c r="F4789" s="19">
        <f>IFERROR(__xludf.DUMMYFUNCTION("SPLIT(A4785, "" |"")"),4783.0)</f>
        <v>4783</v>
      </c>
      <c r="G4789" s="19">
        <f>IFERROR(__xludf.DUMMYFUNCTION("""COMPUTED_VALUE"""),0.0024)</f>
        <v>0.0024</v>
      </c>
      <c r="H4789" s="19" t="str">
        <f>IFERROR(__xludf.DUMMYFUNCTION("""COMPUTED_VALUE"""),"-")</f>
        <v>-</v>
      </c>
      <c r="I4789" s="19">
        <f>IFERROR(__xludf.DUMMYFUNCTION("""COMPUTED_VALUE"""),0.00218)</f>
        <v>0.00218</v>
      </c>
      <c r="J4789" s="19">
        <f>IFERROR(__xludf.DUMMYFUNCTION("""COMPUTED_VALUE"""),0.04734)</f>
        <v>0.04734</v>
      </c>
      <c r="K4789" s="19" t="str">
        <f>IFERROR(__xludf.DUMMYFUNCTION("""COMPUTED_VALUE"""),"-")</f>
        <v>-</v>
      </c>
      <c r="L4789" s="19" t="str">
        <f>IFERROR(__xludf.DUMMYFUNCTION("""COMPUTED_VALUE"""),"-")</f>
        <v>-</v>
      </c>
      <c r="O4789" s="24">
        <f t="shared" si="4"/>
        <v>0</v>
      </c>
      <c r="P4789" s="24"/>
      <c r="Q4789" s="24">
        <f t="shared" si="6"/>
        <v>0</v>
      </c>
      <c r="R4789" s="24">
        <f t="shared" si="7"/>
        <v>0</v>
      </c>
      <c r="S4789" s="24"/>
      <c r="T4789" s="24"/>
    </row>
    <row r="4790">
      <c r="A4790" s="12" t="s">
        <v>4877</v>
      </c>
      <c r="F4790" s="19">
        <f>IFERROR(__xludf.DUMMYFUNCTION("SPLIT(A4786, "" |"")"),4784.0)</f>
        <v>4784</v>
      </c>
      <c r="G4790" s="19">
        <f>IFERROR(__xludf.DUMMYFUNCTION("""COMPUTED_VALUE"""),0.00231)</f>
        <v>0.00231</v>
      </c>
      <c r="H4790" s="19" t="str">
        <f>IFERROR(__xludf.DUMMYFUNCTION("""COMPUTED_VALUE"""),"-")</f>
        <v>-</v>
      </c>
      <c r="I4790" s="19">
        <f>IFERROR(__xludf.DUMMYFUNCTION("""COMPUTED_VALUE"""),0.00218)</f>
        <v>0.00218</v>
      </c>
      <c r="J4790" s="19">
        <f>IFERROR(__xludf.DUMMYFUNCTION("""COMPUTED_VALUE"""),0.04737)</f>
        <v>0.04737</v>
      </c>
      <c r="K4790" s="19" t="str">
        <f>IFERROR(__xludf.DUMMYFUNCTION("""COMPUTED_VALUE"""),"-")</f>
        <v>-</v>
      </c>
      <c r="L4790" s="19" t="str">
        <f>IFERROR(__xludf.DUMMYFUNCTION("""COMPUTED_VALUE"""),"-")</f>
        <v>-</v>
      </c>
      <c r="O4790" s="24">
        <f t="shared" si="4"/>
        <v>0</v>
      </c>
      <c r="P4790" s="24"/>
      <c r="Q4790" s="24">
        <f t="shared" si="6"/>
        <v>0</v>
      </c>
      <c r="R4790" s="24">
        <f t="shared" si="7"/>
        <v>0</v>
      </c>
      <c r="S4790" s="24"/>
      <c r="T4790" s="24"/>
    </row>
    <row r="4791">
      <c r="A4791" s="12" t="s">
        <v>4878</v>
      </c>
      <c r="F4791" s="19">
        <f>IFERROR(__xludf.DUMMYFUNCTION("SPLIT(A4787, "" |"")"),4785.0)</f>
        <v>4785</v>
      </c>
      <c r="G4791" s="19">
        <f>IFERROR(__xludf.DUMMYFUNCTION("""COMPUTED_VALUE"""),0.00234)</f>
        <v>0.00234</v>
      </c>
      <c r="H4791" s="19" t="str">
        <f>IFERROR(__xludf.DUMMYFUNCTION("""COMPUTED_VALUE"""),"-")</f>
        <v>-</v>
      </c>
      <c r="I4791" s="19">
        <f>IFERROR(__xludf.DUMMYFUNCTION("""COMPUTED_VALUE"""),0.00222)</f>
        <v>0.00222</v>
      </c>
      <c r="J4791" s="19">
        <f>IFERROR(__xludf.DUMMYFUNCTION("""COMPUTED_VALUE"""),0.04735)</f>
        <v>0.04735</v>
      </c>
      <c r="K4791" s="19" t="str">
        <f>IFERROR(__xludf.DUMMYFUNCTION("""COMPUTED_VALUE"""),"-")</f>
        <v>-</v>
      </c>
      <c r="L4791" s="19" t="str">
        <f>IFERROR(__xludf.DUMMYFUNCTION("""COMPUTED_VALUE"""),"-")</f>
        <v>-</v>
      </c>
      <c r="O4791" s="24">
        <f t="shared" si="4"/>
        <v>0</v>
      </c>
      <c r="P4791" s="24"/>
      <c r="Q4791" s="24">
        <f t="shared" si="6"/>
        <v>0</v>
      </c>
      <c r="R4791" s="24">
        <f t="shared" si="7"/>
        <v>0</v>
      </c>
      <c r="S4791" s="24"/>
      <c r="T4791" s="24"/>
    </row>
    <row r="4792">
      <c r="A4792" s="12" t="s">
        <v>4879</v>
      </c>
      <c r="F4792" s="19">
        <f>IFERROR(__xludf.DUMMYFUNCTION("SPLIT(A4788, "" |"")"),4786.0)</f>
        <v>4786</v>
      </c>
      <c r="G4792" s="19">
        <f>IFERROR(__xludf.DUMMYFUNCTION("""COMPUTED_VALUE"""),0.00232)</f>
        <v>0.00232</v>
      </c>
      <c r="H4792" s="19" t="str">
        <f>IFERROR(__xludf.DUMMYFUNCTION("""COMPUTED_VALUE"""),"-")</f>
        <v>-</v>
      </c>
      <c r="I4792" s="19">
        <f>IFERROR(__xludf.DUMMYFUNCTION("""COMPUTED_VALUE"""),0.00212)</f>
        <v>0.00212</v>
      </c>
      <c r="J4792" s="19">
        <f>IFERROR(__xludf.DUMMYFUNCTION("""COMPUTED_VALUE"""),0.0474)</f>
        <v>0.0474</v>
      </c>
      <c r="K4792" s="19" t="str">
        <f>IFERROR(__xludf.DUMMYFUNCTION("""COMPUTED_VALUE"""),"-")</f>
        <v>-</v>
      </c>
      <c r="L4792" s="19" t="str">
        <f>IFERROR(__xludf.DUMMYFUNCTION("""COMPUTED_VALUE"""),"-")</f>
        <v>-</v>
      </c>
      <c r="O4792" s="24">
        <f t="shared" si="4"/>
        <v>0</v>
      </c>
      <c r="P4792" s="24"/>
      <c r="Q4792" s="24">
        <f t="shared" si="6"/>
        <v>0</v>
      </c>
      <c r="R4792" s="24">
        <f t="shared" si="7"/>
        <v>0</v>
      </c>
      <c r="S4792" s="24"/>
      <c r="T4792" s="24"/>
    </row>
    <row r="4793">
      <c r="A4793" s="12" t="s">
        <v>4880</v>
      </c>
      <c r="F4793" s="19">
        <f>IFERROR(__xludf.DUMMYFUNCTION("SPLIT(A4789, "" |"")"),4787.0)</f>
        <v>4787</v>
      </c>
      <c r="G4793" s="19">
        <f>IFERROR(__xludf.DUMMYFUNCTION("""COMPUTED_VALUE"""),0.00236)</f>
        <v>0.00236</v>
      </c>
      <c r="H4793" s="19" t="str">
        <f>IFERROR(__xludf.DUMMYFUNCTION("""COMPUTED_VALUE"""),"-")</f>
        <v>-</v>
      </c>
      <c r="I4793" s="19">
        <f>IFERROR(__xludf.DUMMYFUNCTION("""COMPUTED_VALUE"""),0.00221)</f>
        <v>0.00221</v>
      </c>
      <c r="J4793" s="19">
        <f>IFERROR(__xludf.DUMMYFUNCTION("""COMPUTED_VALUE"""),0.04446)</f>
        <v>0.04446</v>
      </c>
      <c r="K4793" s="19" t="str">
        <f>IFERROR(__xludf.DUMMYFUNCTION("""COMPUTED_VALUE"""),"-")</f>
        <v>-</v>
      </c>
      <c r="L4793" s="19" t="str">
        <f>IFERROR(__xludf.DUMMYFUNCTION("""COMPUTED_VALUE"""),"-")</f>
        <v>-</v>
      </c>
      <c r="O4793" s="24">
        <f t="shared" si="4"/>
        <v>0</v>
      </c>
      <c r="P4793" s="24"/>
      <c r="Q4793" s="24">
        <f t="shared" si="6"/>
        <v>0</v>
      </c>
      <c r="R4793" s="24">
        <f t="shared" si="7"/>
        <v>1</v>
      </c>
      <c r="S4793" s="24"/>
      <c r="T4793" s="24"/>
    </row>
    <row r="4794">
      <c r="A4794" s="12" t="s">
        <v>4881</v>
      </c>
      <c r="F4794" s="19">
        <f>IFERROR(__xludf.DUMMYFUNCTION("SPLIT(A4790, "" |"")"),4788.0)</f>
        <v>4788</v>
      </c>
      <c r="G4794" s="19">
        <f>IFERROR(__xludf.DUMMYFUNCTION("""COMPUTED_VALUE"""),0.00237)</f>
        <v>0.00237</v>
      </c>
      <c r="H4794" s="19" t="str">
        <f>IFERROR(__xludf.DUMMYFUNCTION("""COMPUTED_VALUE"""),"-")</f>
        <v>-</v>
      </c>
      <c r="I4794" s="19">
        <f>IFERROR(__xludf.DUMMYFUNCTION("""COMPUTED_VALUE"""),0.0022)</f>
        <v>0.0022</v>
      </c>
      <c r="J4794" s="19">
        <f>IFERROR(__xludf.DUMMYFUNCTION("""COMPUTED_VALUE"""),0.04546)</f>
        <v>0.04546</v>
      </c>
      <c r="K4794" s="19" t="str">
        <f>IFERROR(__xludf.DUMMYFUNCTION("""COMPUTED_VALUE"""),"-")</f>
        <v>-</v>
      </c>
      <c r="L4794" s="19" t="str">
        <f>IFERROR(__xludf.DUMMYFUNCTION("""COMPUTED_VALUE"""),"-")</f>
        <v>-</v>
      </c>
      <c r="O4794" s="24">
        <f t="shared" si="4"/>
        <v>0</v>
      </c>
      <c r="P4794" s="24"/>
      <c r="Q4794" s="24">
        <f t="shared" si="6"/>
        <v>0</v>
      </c>
      <c r="R4794" s="24">
        <f t="shared" si="7"/>
        <v>0</v>
      </c>
      <c r="S4794" s="24"/>
      <c r="T4794" s="24"/>
    </row>
    <row r="4795">
      <c r="A4795" s="12" t="s">
        <v>4882</v>
      </c>
      <c r="F4795" s="19">
        <f>IFERROR(__xludf.DUMMYFUNCTION("SPLIT(A4791, "" |"")"),4789.0)</f>
        <v>4789</v>
      </c>
      <c r="G4795" s="19">
        <f>IFERROR(__xludf.DUMMYFUNCTION("""COMPUTED_VALUE"""),0.00228)</f>
        <v>0.00228</v>
      </c>
      <c r="H4795" s="19" t="str">
        <f>IFERROR(__xludf.DUMMYFUNCTION("""COMPUTED_VALUE"""),"-")</f>
        <v>-</v>
      </c>
      <c r="I4795" s="19">
        <f>IFERROR(__xludf.DUMMYFUNCTION("""COMPUTED_VALUE"""),0.00222)</f>
        <v>0.00222</v>
      </c>
      <c r="J4795" s="19">
        <f>IFERROR(__xludf.DUMMYFUNCTION("""COMPUTED_VALUE"""),0.04746)</f>
        <v>0.04746</v>
      </c>
      <c r="K4795" s="19" t="str">
        <f>IFERROR(__xludf.DUMMYFUNCTION("""COMPUTED_VALUE"""),"-")</f>
        <v>-</v>
      </c>
      <c r="L4795" s="19" t="str">
        <f>IFERROR(__xludf.DUMMYFUNCTION("""COMPUTED_VALUE"""),"-")</f>
        <v>-</v>
      </c>
      <c r="O4795" s="24">
        <f t="shared" si="4"/>
        <v>0</v>
      </c>
      <c r="P4795" s="24"/>
      <c r="Q4795" s="24">
        <f t="shared" si="6"/>
        <v>0</v>
      </c>
      <c r="R4795" s="24">
        <f t="shared" si="7"/>
        <v>0</v>
      </c>
      <c r="S4795" s="24"/>
      <c r="T4795" s="24"/>
    </row>
    <row r="4796">
      <c r="A4796" s="12" t="s">
        <v>4883</v>
      </c>
      <c r="F4796" s="19">
        <f>IFERROR(__xludf.DUMMYFUNCTION("SPLIT(A4792, "" |"")"),4790.0)</f>
        <v>4790</v>
      </c>
      <c r="G4796" s="19">
        <f>IFERROR(__xludf.DUMMYFUNCTION("""COMPUTED_VALUE"""),0.00235)</f>
        <v>0.00235</v>
      </c>
      <c r="H4796" s="19" t="str">
        <f>IFERROR(__xludf.DUMMYFUNCTION("""COMPUTED_VALUE"""),"-")</f>
        <v>-</v>
      </c>
      <c r="I4796" s="19">
        <f>IFERROR(__xludf.DUMMYFUNCTION("""COMPUTED_VALUE"""),0.00222)</f>
        <v>0.00222</v>
      </c>
      <c r="J4796" s="19">
        <f>IFERROR(__xludf.DUMMYFUNCTION("""COMPUTED_VALUE"""),0.04742)</f>
        <v>0.04742</v>
      </c>
      <c r="K4796" s="19" t="str">
        <f>IFERROR(__xludf.DUMMYFUNCTION("""COMPUTED_VALUE"""),"-")</f>
        <v>-</v>
      </c>
      <c r="L4796" s="19" t="str">
        <f>IFERROR(__xludf.DUMMYFUNCTION("""COMPUTED_VALUE"""),"-")</f>
        <v>-</v>
      </c>
      <c r="O4796" s="24">
        <f t="shared" si="4"/>
        <v>0</v>
      </c>
      <c r="P4796" s="24"/>
      <c r="Q4796" s="24">
        <f t="shared" si="6"/>
        <v>0</v>
      </c>
      <c r="R4796" s="24">
        <f t="shared" si="7"/>
        <v>0</v>
      </c>
      <c r="S4796" s="24"/>
      <c r="T4796" s="24"/>
    </row>
    <row r="4797">
      <c r="A4797" s="12" t="s">
        <v>4884</v>
      </c>
      <c r="F4797" s="19">
        <f>IFERROR(__xludf.DUMMYFUNCTION("SPLIT(A4793, "" |"")"),4791.0)</f>
        <v>4791</v>
      </c>
      <c r="G4797" s="19">
        <f>IFERROR(__xludf.DUMMYFUNCTION("""COMPUTED_VALUE"""),0.00236)</f>
        <v>0.00236</v>
      </c>
      <c r="H4797" s="19" t="str">
        <f>IFERROR(__xludf.DUMMYFUNCTION("""COMPUTED_VALUE"""),"-")</f>
        <v>-</v>
      </c>
      <c r="I4797" s="19">
        <f>IFERROR(__xludf.DUMMYFUNCTION("""COMPUTED_VALUE"""),0.00221)</f>
        <v>0.00221</v>
      </c>
      <c r="J4797" s="19">
        <f>IFERROR(__xludf.DUMMYFUNCTION("""COMPUTED_VALUE"""),0.04743)</f>
        <v>0.04743</v>
      </c>
      <c r="K4797" s="19" t="str">
        <f>IFERROR(__xludf.DUMMYFUNCTION("""COMPUTED_VALUE"""),"-")</f>
        <v>-</v>
      </c>
      <c r="L4797" s="19" t="str">
        <f>IFERROR(__xludf.DUMMYFUNCTION("""COMPUTED_VALUE"""),"-")</f>
        <v>-</v>
      </c>
      <c r="O4797" s="24">
        <f t="shared" si="4"/>
        <v>0</v>
      </c>
      <c r="P4797" s="24"/>
      <c r="Q4797" s="24">
        <f t="shared" si="6"/>
        <v>0</v>
      </c>
      <c r="R4797" s="24">
        <f t="shared" si="7"/>
        <v>0</v>
      </c>
      <c r="S4797" s="24"/>
      <c r="T4797" s="24"/>
    </row>
    <row r="4798">
      <c r="A4798" s="12" t="s">
        <v>4885</v>
      </c>
      <c r="F4798" s="19">
        <f>IFERROR(__xludf.DUMMYFUNCTION("SPLIT(A4794, "" |"")"),4792.0)</f>
        <v>4792</v>
      </c>
      <c r="G4798" s="19">
        <f>IFERROR(__xludf.DUMMYFUNCTION("""COMPUTED_VALUE"""),0.00245)</f>
        <v>0.00245</v>
      </c>
      <c r="H4798" s="19" t="str">
        <f>IFERROR(__xludf.DUMMYFUNCTION("""COMPUTED_VALUE"""),"-")</f>
        <v>-</v>
      </c>
      <c r="I4798" s="19">
        <f>IFERROR(__xludf.DUMMYFUNCTION("""COMPUTED_VALUE"""),0.00219)</f>
        <v>0.00219</v>
      </c>
      <c r="J4798" s="19">
        <f>IFERROR(__xludf.DUMMYFUNCTION("""COMPUTED_VALUE"""),0.04063)</f>
        <v>0.04063</v>
      </c>
      <c r="K4798" s="19" t="str">
        <f>IFERROR(__xludf.DUMMYFUNCTION("""COMPUTED_VALUE"""),"-")</f>
        <v>-</v>
      </c>
      <c r="L4798" s="19" t="str">
        <f>IFERROR(__xludf.DUMMYFUNCTION("""COMPUTED_VALUE"""),"-")</f>
        <v>-</v>
      </c>
      <c r="O4798" s="24">
        <f t="shared" si="4"/>
        <v>0</v>
      </c>
      <c r="P4798" s="24"/>
      <c r="Q4798" s="24">
        <f t="shared" si="6"/>
        <v>0</v>
      </c>
      <c r="R4798" s="24">
        <f t="shared" si="7"/>
        <v>1</v>
      </c>
      <c r="S4798" s="24"/>
      <c r="T4798" s="24"/>
    </row>
    <row r="4799">
      <c r="A4799" s="12" t="s">
        <v>4886</v>
      </c>
      <c r="F4799" s="19">
        <f>IFERROR(__xludf.DUMMYFUNCTION("SPLIT(A4795, "" |"")"),4793.0)</f>
        <v>4793</v>
      </c>
      <c r="G4799" s="19">
        <f>IFERROR(__xludf.DUMMYFUNCTION("""COMPUTED_VALUE"""),0.00226)</f>
        <v>0.00226</v>
      </c>
      <c r="H4799" s="19" t="str">
        <f>IFERROR(__xludf.DUMMYFUNCTION("""COMPUTED_VALUE"""),"-")</f>
        <v>-</v>
      </c>
      <c r="I4799" s="19">
        <f>IFERROR(__xludf.DUMMYFUNCTION("""COMPUTED_VALUE"""),0.00219)</f>
        <v>0.00219</v>
      </c>
      <c r="J4799" s="19">
        <f>IFERROR(__xludf.DUMMYFUNCTION("""COMPUTED_VALUE"""),0.0473)</f>
        <v>0.0473</v>
      </c>
      <c r="K4799" s="19" t="str">
        <f>IFERROR(__xludf.DUMMYFUNCTION("""COMPUTED_VALUE"""),"-")</f>
        <v>-</v>
      </c>
      <c r="L4799" s="19" t="str">
        <f>IFERROR(__xludf.DUMMYFUNCTION("""COMPUTED_VALUE"""),"-")</f>
        <v>-</v>
      </c>
      <c r="O4799" s="24">
        <f t="shared" si="4"/>
        <v>0</v>
      </c>
      <c r="P4799" s="24"/>
      <c r="Q4799" s="24">
        <f t="shared" si="6"/>
        <v>0</v>
      </c>
      <c r="R4799" s="24">
        <f t="shared" si="7"/>
        <v>0</v>
      </c>
      <c r="S4799" s="24"/>
      <c r="T4799" s="24"/>
    </row>
    <row r="4800">
      <c r="A4800" s="12" t="s">
        <v>4887</v>
      </c>
      <c r="F4800" s="19">
        <f>IFERROR(__xludf.DUMMYFUNCTION("SPLIT(A4796, "" |"")"),4794.0)</f>
        <v>4794</v>
      </c>
      <c r="G4800" s="19">
        <f>IFERROR(__xludf.DUMMYFUNCTION("""COMPUTED_VALUE"""),0.00227)</f>
        <v>0.00227</v>
      </c>
      <c r="H4800" s="19" t="str">
        <f>IFERROR(__xludf.DUMMYFUNCTION("""COMPUTED_VALUE"""),"-")</f>
        <v>-</v>
      </c>
      <c r="I4800" s="19">
        <f>IFERROR(__xludf.DUMMYFUNCTION("""COMPUTED_VALUE"""),0.00217)</f>
        <v>0.00217</v>
      </c>
      <c r="J4800" s="19">
        <f>IFERROR(__xludf.DUMMYFUNCTION("""COMPUTED_VALUE"""),0.04743)</f>
        <v>0.04743</v>
      </c>
      <c r="K4800" s="19" t="str">
        <f>IFERROR(__xludf.DUMMYFUNCTION("""COMPUTED_VALUE"""),"-")</f>
        <v>-</v>
      </c>
      <c r="L4800" s="19" t="str">
        <f>IFERROR(__xludf.DUMMYFUNCTION("""COMPUTED_VALUE"""),"-")</f>
        <v>-</v>
      </c>
      <c r="O4800" s="24">
        <f t="shared" si="4"/>
        <v>0</v>
      </c>
      <c r="P4800" s="24"/>
      <c r="Q4800" s="24">
        <f t="shared" si="6"/>
        <v>0</v>
      </c>
      <c r="R4800" s="24">
        <f t="shared" si="7"/>
        <v>0</v>
      </c>
      <c r="S4800" s="24"/>
      <c r="T4800" s="24"/>
    </row>
    <row r="4801">
      <c r="A4801" s="12" t="s">
        <v>4888</v>
      </c>
      <c r="F4801" s="19">
        <f>IFERROR(__xludf.DUMMYFUNCTION("SPLIT(A4797, "" |"")"),4795.0)</f>
        <v>4795</v>
      </c>
      <c r="G4801" s="19">
        <f>IFERROR(__xludf.DUMMYFUNCTION("""COMPUTED_VALUE"""),0.00235)</f>
        <v>0.00235</v>
      </c>
      <c r="H4801" s="19" t="str">
        <f>IFERROR(__xludf.DUMMYFUNCTION("""COMPUTED_VALUE"""),"-")</f>
        <v>-</v>
      </c>
      <c r="I4801" s="19">
        <f>IFERROR(__xludf.DUMMYFUNCTION("""COMPUTED_VALUE"""),0.00217)</f>
        <v>0.00217</v>
      </c>
      <c r="J4801" s="19">
        <f>IFERROR(__xludf.DUMMYFUNCTION("""COMPUTED_VALUE"""),0.04814)</f>
        <v>0.04814</v>
      </c>
      <c r="K4801" s="19" t="str">
        <f>IFERROR(__xludf.DUMMYFUNCTION("""COMPUTED_VALUE"""),"-")</f>
        <v>-</v>
      </c>
      <c r="L4801" s="19" t="str">
        <f>IFERROR(__xludf.DUMMYFUNCTION("""COMPUTED_VALUE"""),"-")</f>
        <v>-</v>
      </c>
      <c r="O4801" s="24">
        <f t="shared" si="4"/>
        <v>0</v>
      </c>
      <c r="P4801" s="24"/>
      <c r="Q4801" s="24">
        <f t="shared" si="6"/>
        <v>0</v>
      </c>
      <c r="R4801" s="24">
        <f t="shared" si="7"/>
        <v>0</v>
      </c>
      <c r="S4801" s="24"/>
      <c r="T4801" s="24"/>
    </row>
    <row r="4802">
      <c r="A4802" s="12" t="s">
        <v>4889</v>
      </c>
      <c r="F4802" s="19">
        <f>IFERROR(__xludf.DUMMYFUNCTION("SPLIT(A4798, "" |"")"),4796.0)</f>
        <v>4796</v>
      </c>
      <c r="G4802" s="19">
        <f>IFERROR(__xludf.DUMMYFUNCTION("""COMPUTED_VALUE"""),0.00246)</f>
        <v>0.00246</v>
      </c>
      <c r="H4802" s="19" t="str">
        <f>IFERROR(__xludf.DUMMYFUNCTION("""COMPUTED_VALUE"""),"-")</f>
        <v>-</v>
      </c>
      <c r="I4802" s="19">
        <f>IFERROR(__xludf.DUMMYFUNCTION("""COMPUTED_VALUE"""),0.00217)</f>
        <v>0.00217</v>
      </c>
      <c r="J4802" s="19">
        <f>IFERROR(__xludf.DUMMYFUNCTION("""COMPUTED_VALUE"""),0.04742)</f>
        <v>0.04742</v>
      </c>
      <c r="K4802" s="19" t="str">
        <f>IFERROR(__xludf.DUMMYFUNCTION("""COMPUTED_VALUE"""),"-")</f>
        <v>-</v>
      </c>
      <c r="L4802" s="19" t="str">
        <f>IFERROR(__xludf.DUMMYFUNCTION("""COMPUTED_VALUE"""),"-")</f>
        <v>-</v>
      </c>
      <c r="O4802" s="24">
        <f t="shared" si="4"/>
        <v>0</v>
      </c>
      <c r="P4802" s="24"/>
      <c r="Q4802" s="24">
        <f t="shared" si="6"/>
        <v>0</v>
      </c>
      <c r="R4802" s="24">
        <f t="shared" si="7"/>
        <v>0</v>
      </c>
      <c r="S4802" s="24"/>
      <c r="T4802" s="24"/>
    </row>
    <row r="4803">
      <c r="A4803" s="12" t="s">
        <v>4890</v>
      </c>
      <c r="F4803" s="19">
        <f>IFERROR(__xludf.DUMMYFUNCTION("SPLIT(A4799, "" |"")"),4797.0)</f>
        <v>4797</v>
      </c>
      <c r="G4803" s="19">
        <f>IFERROR(__xludf.DUMMYFUNCTION("""COMPUTED_VALUE"""),0.00242)</f>
        <v>0.00242</v>
      </c>
      <c r="H4803" s="19" t="str">
        <f>IFERROR(__xludf.DUMMYFUNCTION("""COMPUTED_VALUE"""),"-")</f>
        <v>-</v>
      </c>
      <c r="I4803" s="19">
        <f>IFERROR(__xludf.DUMMYFUNCTION("""COMPUTED_VALUE"""),0.00225)</f>
        <v>0.00225</v>
      </c>
      <c r="J4803" s="19">
        <f>IFERROR(__xludf.DUMMYFUNCTION("""COMPUTED_VALUE"""),0.04748)</f>
        <v>0.04748</v>
      </c>
      <c r="K4803" s="19" t="str">
        <f>IFERROR(__xludf.DUMMYFUNCTION("""COMPUTED_VALUE"""),"-")</f>
        <v>-</v>
      </c>
      <c r="L4803" s="19" t="str">
        <f>IFERROR(__xludf.DUMMYFUNCTION("""COMPUTED_VALUE"""),"-")</f>
        <v>-</v>
      </c>
      <c r="O4803" s="24">
        <f t="shared" si="4"/>
        <v>0</v>
      </c>
      <c r="P4803" s="24"/>
      <c r="Q4803" s="24">
        <f t="shared" si="6"/>
        <v>0</v>
      </c>
      <c r="R4803" s="24">
        <f t="shared" si="7"/>
        <v>0</v>
      </c>
      <c r="S4803" s="24"/>
      <c r="T4803" s="24"/>
    </row>
    <row r="4804">
      <c r="A4804" s="12" t="s">
        <v>4891</v>
      </c>
      <c r="F4804" s="19">
        <f>IFERROR(__xludf.DUMMYFUNCTION("SPLIT(A4800, "" |"")"),4798.0)</f>
        <v>4798</v>
      </c>
      <c r="G4804" s="19">
        <f>IFERROR(__xludf.DUMMYFUNCTION("""COMPUTED_VALUE"""),0.00228)</f>
        <v>0.00228</v>
      </c>
      <c r="H4804" s="19" t="str">
        <f>IFERROR(__xludf.DUMMYFUNCTION("""COMPUTED_VALUE"""),"-")</f>
        <v>-</v>
      </c>
      <c r="I4804" s="19">
        <f>IFERROR(__xludf.DUMMYFUNCTION("""COMPUTED_VALUE"""),0.00223)</f>
        <v>0.00223</v>
      </c>
      <c r="J4804" s="19">
        <f>IFERROR(__xludf.DUMMYFUNCTION("""COMPUTED_VALUE"""),0.04746)</f>
        <v>0.04746</v>
      </c>
      <c r="K4804" s="19" t="str">
        <f>IFERROR(__xludf.DUMMYFUNCTION("""COMPUTED_VALUE"""),"-")</f>
        <v>-</v>
      </c>
      <c r="L4804" s="19" t="str">
        <f>IFERROR(__xludf.DUMMYFUNCTION("""COMPUTED_VALUE"""),"-")</f>
        <v>-</v>
      </c>
      <c r="O4804" s="24">
        <f t="shared" si="4"/>
        <v>0</v>
      </c>
      <c r="P4804" s="24"/>
      <c r="Q4804" s="24">
        <f t="shared" si="6"/>
        <v>0</v>
      </c>
      <c r="R4804" s="24">
        <f t="shared" si="7"/>
        <v>0</v>
      </c>
      <c r="S4804" s="24"/>
      <c r="T4804" s="24"/>
    </row>
    <row r="4805">
      <c r="A4805" s="12" t="s">
        <v>4892</v>
      </c>
      <c r="F4805" s="19">
        <f>IFERROR(__xludf.DUMMYFUNCTION("SPLIT(A4801, "" |"")"),4799.0)</f>
        <v>4799</v>
      </c>
      <c r="G4805" s="19">
        <f>IFERROR(__xludf.DUMMYFUNCTION("""COMPUTED_VALUE"""),0.00237)</f>
        <v>0.00237</v>
      </c>
      <c r="H4805" s="19" t="str">
        <f>IFERROR(__xludf.DUMMYFUNCTION("""COMPUTED_VALUE"""),"-")</f>
        <v>-</v>
      </c>
      <c r="I4805" s="19">
        <f>IFERROR(__xludf.DUMMYFUNCTION("""COMPUTED_VALUE"""),0.00219)</f>
        <v>0.00219</v>
      </c>
      <c r="J4805" s="19">
        <f>IFERROR(__xludf.DUMMYFUNCTION("""COMPUTED_VALUE"""),0.0474)</f>
        <v>0.0474</v>
      </c>
      <c r="K4805" s="19" t="str">
        <f>IFERROR(__xludf.DUMMYFUNCTION("""COMPUTED_VALUE"""),"-")</f>
        <v>-</v>
      </c>
      <c r="L4805" s="19" t="str">
        <f>IFERROR(__xludf.DUMMYFUNCTION("""COMPUTED_VALUE"""),"-")</f>
        <v>-</v>
      </c>
      <c r="O4805" s="24">
        <f t="shared" si="4"/>
        <v>0</v>
      </c>
      <c r="P4805" s="24"/>
      <c r="Q4805" s="24">
        <f t="shared" si="6"/>
        <v>0</v>
      </c>
      <c r="R4805" s="24">
        <f t="shared" si="7"/>
        <v>0</v>
      </c>
      <c r="S4805" s="24"/>
      <c r="T4805" s="24"/>
    </row>
    <row r="4806">
      <c r="A4806" s="12" t="s">
        <v>4893</v>
      </c>
      <c r="F4806" s="19">
        <f>IFERROR(__xludf.DUMMYFUNCTION("SPLIT(A4802, "" |"")"),4800.0)</f>
        <v>4800</v>
      </c>
      <c r="G4806" s="19">
        <f>IFERROR(__xludf.DUMMYFUNCTION("""COMPUTED_VALUE"""),0.00243)</f>
        <v>0.00243</v>
      </c>
      <c r="H4806" s="19" t="str">
        <f>IFERROR(__xludf.DUMMYFUNCTION("""COMPUTED_VALUE"""),"-")</f>
        <v>-</v>
      </c>
      <c r="I4806" s="19">
        <f>IFERROR(__xludf.DUMMYFUNCTION("""COMPUTED_VALUE"""),0.00223)</f>
        <v>0.00223</v>
      </c>
      <c r="J4806" s="19">
        <f>IFERROR(__xludf.DUMMYFUNCTION("""COMPUTED_VALUE"""),0.04744)</f>
        <v>0.04744</v>
      </c>
      <c r="K4806" s="19" t="str">
        <f>IFERROR(__xludf.DUMMYFUNCTION("""COMPUTED_VALUE"""),"-")</f>
        <v>-</v>
      </c>
      <c r="L4806" s="19" t="str">
        <f>IFERROR(__xludf.DUMMYFUNCTION("""COMPUTED_VALUE"""),"-")</f>
        <v>-</v>
      </c>
      <c r="O4806" s="24">
        <f t="shared" si="4"/>
        <v>0</v>
      </c>
      <c r="P4806" s="24"/>
      <c r="Q4806" s="24">
        <f t="shared" si="6"/>
        <v>0</v>
      </c>
      <c r="R4806" s="24">
        <f t="shared" si="7"/>
        <v>0</v>
      </c>
      <c r="S4806" s="24"/>
      <c r="T4806" s="24"/>
    </row>
    <row r="4807">
      <c r="A4807" s="12" t="s">
        <v>4894</v>
      </c>
      <c r="F4807" s="19">
        <f>IFERROR(__xludf.DUMMYFUNCTION("SPLIT(A4803, "" |"")"),4801.0)</f>
        <v>4801</v>
      </c>
      <c r="G4807" s="19">
        <f>IFERROR(__xludf.DUMMYFUNCTION("""COMPUTED_VALUE"""),0.0024)</f>
        <v>0.0024</v>
      </c>
      <c r="H4807" s="19" t="str">
        <f>IFERROR(__xludf.DUMMYFUNCTION("""COMPUTED_VALUE"""),"-")</f>
        <v>-</v>
      </c>
      <c r="I4807" s="19">
        <f>IFERROR(__xludf.DUMMYFUNCTION("""COMPUTED_VALUE"""),0.00219)</f>
        <v>0.00219</v>
      </c>
      <c r="J4807" s="19">
        <f>IFERROR(__xludf.DUMMYFUNCTION("""COMPUTED_VALUE"""),0.04744)</f>
        <v>0.04744</v>
      </c>
      <c r="K4807" s="19" t="str">
        <f>IFERROR(__xludf.DUMMYFUNCTION("""COMPUTED_VALUE"""),"-")</f>
        <v>-</v>
      </c>
      <c r="L4807" s="19" t="str">
        <f>IFERROR(__xludf.DUMMYFUNCTION("""COMPUTED_VALUE"""),"-")</f>
        <v>-</v>
      </c>
      <c r="O4807" s="24">
        <f t="shared" si="4"/>
        <v>0</v>
      </c>
      <c r="P4807" s="24"/>
      <c r="Q4807" s="24">
        <f t="shared" si="6"/>
        <v>0</v>
      </c>
      <c r="R4807" s="24">
        <f t="shared" si="7"/>
        <v>0</v>
      </c>
      <c r="S4807" s="24"/>
      <c r="T4807" s="24"/>
    </row>
    <row r="4808">
      <c r="A4808" s="12" t="s">
        <v>4895</v>
      </c>
      <c r="F4808" s="19">
        <f>IFERROR(__xludf.DUMMYFUNCTION("SPLIT(A4804, "" |"")"),4802.0)</f>
        <v>4802</v>
      </c>
      <c r="G4808" s="19">
        <f>IFERROR(__xludf.DUMMYFUNCTION("""COMPUTED_VALUE"""),0.00231)</f>
        <v>0.00231</v>
      </c>
      <c r="H4808" s="19" t="str">
        <f>IFERROR(__xludf.DUMMYFUNCTION("""COMPUTED_VALUE"""),"-")</f>
        <v>-</v>
      </c>
      <c r="I4808" s="19">
        <f>IFERROR(__xludf.DUMMYFUNCTION("""COMPUTED_VALUE"""),0.0022)</f>
        <v>0.0022</v>
      </c>
      <c r="J4808" s="19">
        <f>IFERROR(__xludf.DUMMYFUNCTION("""COMPUTED_VALUE"""),0.04741)</f>
        <v>0.04741</v>
      </c>
      <c r="K4808" s="19" t="str">
        <f>IFERROR(__xludf.DUMMYFUNCTION("""COMPUTED_VALUE"""),"-")</f>
        <v>-</v>
      </c>
      <c r="L4808" s="19" t="str">
        <f>IFERROR(__xludf.DUMMYFUNCTION("""COMPUTED_VALUE"""),"-")</f>
        <v>-</v>
      </c>
      <c r="O4808" s="24">
        <f t="shared" si="4"/>
        <v>0</v>
      </c>
      <c r="P4808" s="24"/>
      <c r="Q4808" s="24">
        <f t="shared" si="6"/>
        <v>0</v>
      </c>
      <c r="R4808" s="24">
        <f t="shared" si="7"/>
        <v>0</v>
      </c>
      <c r="S4808" s="24"/>
      <c r="T4808" s="24"/>
    </row>
    <row r="4809">
      <c r="A4809" s="12" t="s">
        <v>4896</v>
      </c>
      <c r="F4809" s="19">
        <f>IFERROR(__xludf.DUMMYFUNCTION("SPLIT(A4805, "" |"")"),4803.0)</f>
        <v>4803</v>
      </c>
      <c r="G4809" s="19">
        <f>IFERROR(__xludf.DUMMYFUNCTION("""COMPUTED_VALUE"""),0.00233)</f>
        <v>0.00233</v>
      </c>
      <c r="H4809" s="19" t="str">
        <f>IFERROR(__xludf.DUMMYFUNCTION("""COMPUTED_VALUE"""),"-")</f>
        <v>-</v>
      </c>
      <c r="I4809" s="19">
        <f>IFERROR(__xludf.DUMMYFUNCTION("""COMPUTED_VALUE"""),0.00222)</f>
        <v>0.00222</v>
      </c>
      <c r="J4809" s="19">
        <f>IFERROR(__xludf.DUMMYFUNCTION("""COMPUTED_VALUE"""),0.04747)</f>
        <v>0.04747</v>
      </c>
      <c r="K4809" s="19" t="str">
        <f>IFERROR(__xludf.DUMMYFUNCTION("""COMPUTED_VALUE"""),"-")</f>
        <v>-</v>
      </c>
      <c r="L4809" s="19" t="str">
        <f>IFERROR(__xludf.DUMMYFUNCTION("""COMPUTED_VALUE"""),"-")</f>
        <v>-</v>
      </c>
      <c r="O4809" s="24">
        <f t="shared" si="4"/>
        <v>0</v>
      </c>
      <c r="P4809" s="24"/>
      <c r="Q4809" s="24">
        <f t="shared" si="6"/>
        <v>0</v>
      </c>
      <c r="R4809" s="24">
        <f t="shared" si="7"/>
        <v>0</v>
      </c>
      <c r="S4809" s="24"/>
      <c r="T4809" s="24"/>
    </row>
    <row r="4810">
      <c r="A4810" s="12" t="s">
        <v>4897</v>
      </c>
      <c r="F4810" s="19">
        <f>IFERROR(__xludf.DUMMYFUNCTION("SPLIT(A4806, "" |"")"),4804.0)</f>
        <v>4804</v>
      </c>
      <c r="G4810" s="19">
        <f>IFERROR(__xludf.DUMMYFUNCTION("""COMPUTED_VALUE"""),0.00235)</f>
        <v>0.00235</v>
      </c>
      <c r="H4810" s="19" t="str">
        <f>IFERROR(__xludf.DUMMYFUNCTION("""COMPUTED_VALUE"""),"-")</f>
        <v>-</v>
      </c>
      <c r="I4810" s="19">
        <f>IFERROR(__xludf.DUMMYFUNCTION("""COMPUTED_VALUE"""),0.00219)</f>
        <v>0.00219</v>
      </c>
      <c r="J4810" s="19">
        <f>IFERROR(__xludf.DUMMYFUNCTION("""COMPUTED_VALUE"""),0.04744)</f>
        <v>0.04744</v>
      </c>
      <c r="K4810" s="19" t="str">
        <f>IFERROR(__xludf.DUMMYFUNCTION("""COMPUTED_VALUE"""),"-")</f>
        <v>-</v>
      </c>
      <c r="L4810" s="19" t="str">
        <f>IFERROR(__xludf.DUMMYFUNCTION("""COMPUTED_VALUE"""),"-")</f>
        <v>-</v>
      </c>
      <c r="O4810" s="24">
        <f t="shared" si="4"/>
        <v>0</v>
      </c>
      <c r="P4810" s="24"/>
      <c r="Q4810" s="24">
        <f t="shared" si="6"/>
        <v>0</v>
      </c>
      <c r="R4810" s="24">
        <f t="shared" si="7"/>
        <v>0</v>
      </c>
      <c r="S4810" s="24"/>
      <c r="T4810" s="24"/>
    </row>
    <row r="4811">
      <c r="A4811" s="12" t="s">
        <v>4898</v>
      </c>
      <c r="F4811" s="19">
        <f>IFERROR(__xludf.DUMMYFUNCTION("SPLIT(A4807, "" |"")"),4805.0)</f>
        <v>4805</v>
      </c>
      <c r="G4811" s="19">
        <f>IFERROR(__xludf.DUMMYFUNCTION("""COMPUTED_VALUE"""),0.00233)</f>
        <v>0.00233</v>
      </c>
      <c r="H4811" s="19" t="str">
        <f>IFERROR(__xludf.DUMMYFUNCTION("""COMPUTED_VALUE"""),"-")</f>
        <v>-</v>
      </c>
      <c r="I4811" s="19">
        <f>IFERROR(__xludf.DUMMYFUNCTION("""COMPUTED_VALUE"""),0.0022)</f>
        <v>0.0022</v>
      </c>
      <c r="J4811" s="19">
        <f>IFERROR(__xludf.DUMMYFUNCTION("""COMPUTED_VALUE"""),0.04746)</f>
        <v>0.04746</v>
      </c>
      <c r="K4811" s="19" t="str">
        <f>IFERROR(__xludf.DUMMYFUNCTION("""COMPUTED_VALUE"""),"-")</f>
        <v>-</v>
      </c>
      <c r="L4811" s="19" t="str">
        <f>IFERROR(__xludf.DUMMYFUNCTION("""COMPUTED_VALUE"""),"-")</f>
        <v>-</v>
      </c>
      <c r="O4811" s="24">
        <f t="shared" si="4"/>
        <v>0</v>
      </c>
      <c r="P4811" s="24"/>
      <c r="Q4811" s="24">
        <f t="shared" si="6"/>
        <v>0</v>
      </c>
      <c r="R4811" s="24">
        <f t="shared" si="7"/>
        <v>0</v>
      </c>
      <c r="S4811" s="24"/>
      <c r="T4811" s="24"/>
    </row>
    <row r="4812">
      <c r="A4812" s="12" t="s">
        <v>4899</v>
      </c>
      <c r="F4812" s="19">
        <f>IFERROR(__xludf.DUMMYFUNCTION("SPLIT(A4808, "" |"")"),4806.0)</f>
        <v>4806</v>
      </c>
      <c r="G4812" s="19">
        <f>IFERROR(__xludf.DUMMYFUNCTION("""COMPUTED_VALUE"""),0.00239)</f>
        <v>0.00239</v>
      </c>
      <c r="H4812" s="19" t="str">
        <f>IFERROR(__xludf.DUMMYFUNCTION("""COMPUTED_VALUE"""),"-")</f>
        <v>-</v>
      </c>
      <c r="I4812" s="19">
        <f>IFERROR(__xludf.DUMMYFUNCTION("""COMPUTED_VALUE"""),0.00218)</f>
        <v>0.00218</v>
      </c>
      <c r="J4812" s="19">
        <f>IFERROR(__xludf.DUMMYFUNCTION("""COMPUTED_VALUE"""),0.04746)</f>
        <v>0.04746</v>
      </c>
      <c r="K4812" s="19" t="str">
        <f>IFERROR(__xludf.DUMMYFUNCTION("""COMPUTED_VALUE"""),"-")</f>
        <v>-</v>
      </c>
      <c r="L4812" s="19" t="str">
        <f>IFERROR(__xludf.DUMMYFUNCTION("""COMPUTED_VALUE"""),"-")</f>
        <v>-</v>
      </c>
      <c r="O4812" s="24">
        <f t="shared" si="4"/>
        <v>0</v>
      </c>
      <c r="P4812" s="24"/>
      <c r="Q4812" s="24">
        <f t="shared" si="6"/>
        <v>0</v>
      </c>
      <c r="R4812" s="24">
        <f t="shared" si="7"/>
        <v>0</v>
      </c>
      <c r="S4812" s="24"/>
      <c r="T4812" s="24"/>
    </row>
    <row r="4813">
      <c r="A4813" s="12" t="s">
        <v>4900</v>
      </c>
      <c r="F4813" s="19">
        <f>IFERROR(__xludf.DUMMYFUNCTION("SPLIT(A4809, "" |"")"),4807.0)</f>
        <v>4807</v>
      </c>
      <c r="G4813" s="19">
        <f>IFERROR(__xludf.DUMMYFUNCTION("""COMPUTED_VALUE"""),0.00236)</f>
        <v>0.00236</v>
      </c>
      <c r="H4813" s="19" t="str">
        <f>IFERROR(__xludf.DUMMYFUNCTION("""COMPUTED_VALUE"""),"-")</f>
        <v>-</v>
      </c>
      <c r="I4813" s="19">
        <f>IFERROR(__xludf.DUMMYFUNCTION("""COMPUTED_VALUE"""),0.00219)</f>
        <v>0.00219</v>
      </c>
      <c r="J4813" s="19">
        <f>IFERROR(__xludf.DUMMYFUNCTION("""COMPUTED_VALUE"""),0.04746)</f>
        <v>0.04746</v>
      </c>
      <c r="K4813" s="19" t="str">
        <f>IFERROR(__xludf.DUMMYFUNCTION("""COMPUTED_VALUE"""),"-")</f>
        <v>-</v>
      </c>
      <c r="L4813" s="19" t="str">
        <f>IFERROR(__xludf.DUMMYFUNCTION("""COMPUTED_VALUE"""),"-")</f>
        <v>-</v>
      </c>
      <c r="O4813" s="24">
        <f t="shared" si="4"/>
        <v>0</v>
      </c>
      <c r="P4813" s="24"/>
      <c r="Q4813" s="24">
        <f t="shared" si="6"/>
        <v>0</v>
      </c>
      <c r="R4813" s="24">
        <f t="shared" si="7"/>
        <v>0</v>
      </c>
      <c r="S4813" s="24"/>
      <c r="T4813" s="24"/>
    </row>
    <row r="4814">
      <c r="A4814" s="12" t="s">
        <v>4901</v>
      </c>
      <c r="F4814" s="19">
        <f>IFERROR(__xludf.DUMMYFUNCTION("SPLIT(A4810, "" |"")"),4808.0)</f>
        <v>4808</v>
      </c>
      <c r="G4814" s="19">
        <f>IFERROR(__xludf.DUMMYFUNCTION("""COMPUTED_VALUE"""),0.00238)</f>
        <v>0.00238</v>
      </c>
      <c r="H4814" s="19" t="str">
        <f>IFERROR(__xludf.DUMMYFUNCTION("""COMPUTED_VALUE"""),"-")</f>
        <v>-</v>
      </c>
      <c r="I4814" s="19">
        <f>IFERROR(__xludf.DUMMYFUNCTION("""COMPUTED_VALUE"""),0.00216)</f>
        <v>0.00216</v>
      </c>
      <c r="J4814" s="19">
        <f>IFERROR(__xludf.DUMMYFUNCTION("""COMPUTED_VALUE"""),0.04571)</f>
        <v>0.04571</v>
      </c>
      <c r="K4814" s="19" t="str">
        <f>IFERROR(__xludf.DUMMYFUNCTION("""COMPUTED_VALUE"""),"-")</f>
        <v>-</v>
      </c>
      <c r="L4814" s="19" t="str">
        <f>IFERROR(__xludf.DUMMYFUNCTION("""COMPUTED_VALUE"""),"-")</f>
        <v>-</v>
      </c>
      <c r="O4814" s="24">
        <f t="shared" si="4"/>
        <v>0</v>
      </c>
      <c r="P4814" s="24"/>
      <c r="Q4814" s="24">
        <f t="shared" si="6"/>
        <v>0</v>
      </c>
      <c r="R4814" s="24">
        <f t="shared" si="7"/>
        <v>0</v>
      </c>
      <c r="S4814" s="24"/>
      <c r="T4814" s="24"/>
    </row>
    <row r="4815">
      <c r="A4815" s="12" t="s">
        <v>4902</v>
      </c>
      <c r="F4815" s="19">
        <f>IFERROR(__xludf.DUMMYFUNCTION("SPLIT(A4811, "" |"")"),4809.0)</f>
        <v>4809</v>
      </c>
      <c r="G4815" s="19">
        <f>IFERROR(__xludf.DUMMYFUNCTION("""COMPUTED_VALUE"""),0.00233)</f>
        <v>0.00233</v>
      </c>
      <c r="H4815" s="19" t="str">
        <f>IFERROR(__xludf.DUMMYFUNCTION("""COMPUTED_VALUE"""),"-")</f>
        <v>-</v>
      </c>
      <c r="I4815" s="19">
        <f>IFERROR(__xludf.DUMMYFUNCTION("""COMPUTED_VALUE"""),0.00218)</f>
        <v>0.00218</v>
      </c>
      <c r="J4815" s="19">
        <f>IFERROR(__xludf.DUMMYFUNCTION("""COMPUTED_VALUE"""),0.04747)</f>
        <v>0.04747</v>
      </c>
      <c r="K4815" s="19" t="str">
        <f>IFERROR(__xludf.DUMMYFUNCTION("""COMPUTED_VALUE"""),"-")</f>
        <v>-</v>
      </c>
      <c r="L4815" s="19" t="str">
        <f>IFERROR(__xludf.DUMMYFUNCTION("""COMPUTED_VALUE"""),"-")</f>
        <v>-</v>
      </c>
      <c r="O4815" s="24">
        <f t="shared" si="4"/>
        <v>0</v>
      </c>
      <c r="P4815" s="24"/>
      <c r="Q4815" s="24">
        <f t="shared" si="6"/>
        <v>0</v>
      </c>
      <c r="R4815" s="24">
        <f t="shared" si="7"/>
        <v>0</v>
      </c>
      <c r="S4815" s="24"/>
      <c r="T4815" s="24"/>
    </row>
    <row r="4816">
      <c r="A4816" s="12" t="s">
        <v>4903</v>
      </c>
      <c r="F4816" s="19">
        <f>IFERROR(__xludf.DUMMYFUNCTION("SPLIT(A4812, "" |"")"),4810.0)</f>
        <v>4810</v>
      </c>
      <c r="G4816" s="19">
        <f>IFERROR(__xludf.DUMMYFUNCTION("""COMPUTED_VALUE"""),0.0023)</f>
        <v>0.0023</v>
      </c>
      <c r="H4816" s="19" t="str">
        <f>IFERROR(__xludf.DUMMYFUNCTION("""COMPUTED_VALUE"""),"-")</f>
        <v>-</v>
      </c>
      <c r="I4816" s="19">
        <f>IFERROR(__xludf.DUMMYFUNCTION("""COMPUTED_VALUE"""),0.00218)</f>
        <v>0.00218</v>
      </c>
      <c r="J4816" s="19">
        <f>IFERROR(__xludf.DUMMYFUNCTION("""COMPUTED_VALUE"""),0.04708)</f>
        <v>0.04708</v>
      </c>
      <c r="K4816" s="19" t="str">
        <f>IFERROR(__xludf.DUMMYFUNCTION("""COMPUTED_VALUE"""),"-")</f>
        <v>-</v>
      </c>
      <c r="L4816" s="19" t="str">
        <f>IFERROR(__xludf.DUMMYFUNCTION("""COMPUTED_VALUE"""),"-")</f>
        <v>-</v>
      </c>
      <c r="O4816" s="24">
        <f t="shared" si="4"/>
        <v>0</v>
      </c>
      <c r="P4816" s="24"/>
      <c r="Q4816" s="24">
        <f t="shared" si="6"/>
        <v>0</v>
      </c>
      <c r="R4816" s="24">
        <f t="shared" si="7"/>
        <v>0</v>
      </c>
      <c r="S4816" s="24"/>
      <c r="T4816" s="24"/>
    </row>
    <row r="4817">
      <c r="A4817" s="12" t="s">
        <v>4904</v>
      </c>
      <c r="F4817" s="19">
        <f>IFERROR(__xludf.DUMMYFUNCTION("SPLIT(A4813, "" |"")"),4811.0)</f>
        <v>4811</v>
      </c>
      <c r="G4817" s="19">
        <f>IFERROR(__xludf.DUMMYFUNCTION("""COMPUTED_VALUE"""),0.00239)</f>
        <v>0.00239</v>
      </c>
      <c r="H4817" s="19" t="str">
        <f>IFERROR(__xludf.DUMMYFUNCTION("""COMPUTED_VALUE"""),"-")</f>
        <v>-</v>
      </c>
      <c r="I4817" s="19">
        <f>IFERROR(__xludf.DUMMYFUNCTION("""COMPUTED_VALUE"""),0.00216)</f>
        <v>0.00216</v>
      </c>
      <c r="J4817" s="19">
        <f>IFERROR(__xludf.DUMMYFUNCTION("""COMPUTED_VALUE"""),0.04744)</f>
        <v>0.04744</v>
      </c>
      <c r="K4817" s="19" t="str">
        <f>IFERROR(__xludf.DUMMYFUNCTION("""COMPUTED_VALUE"""),"-")</f>
        <v>-</v>
      </c>
      <c r="L4817" s="19" t="str">
        <f>IFERROR(__xludf.DUMMYFUNCTION("""COMPUTED_VALUE"""),"-")</f>
        <v>-</v>
      </c>
      <c r="O4817" s="24">
        <f t="shared" si="4"/>
        <v>0</v>
      </c>
      <c r="P4817" s="24"/>
      <c r="Q4817" s="24">
        <f t="shared" si="6"/>
        <v>0</v>
      </c>
      <c r="R4817" s="24">
        <f t="shared" si="7"/>
        <v>0</v>
      </c>
      <c r="S4817" s="24"/>
      <c r="T4817" s="24"/>
    </row>
    <row r="4818">
      <c r="A4818" s="12" t="s">
        <v>4905</v>
      </c>
      <c r="F4818" s="19">
        <f>IFERROR(__xludf.DUMMYFUNCTION("SPLIT(A4814, "" |"")"),4812.0)</f>
        <v>4812</v>
      </c>
      <c r="G4818" s="19">
        <f>IFERROR(__xludf.DUMMYFUNCTION("""COMPUTED_VALUE"""),0.00236)</f>
        <v>0.00236</v>
      </c>
      <c r="H4818" s="19" t="str">
        <f>IFERROR(__xludf.DUMMYFUNCTION("""COMPUTED_VALUE"""),"-")</f>
        <v>-</v>
      </c>
      <c r="I4818" s="19">
        <f>IFERROR(__xludf.DUMMYFUNCTION("""COMPUTED_VALUE"""),0.00219)</f>
        <v>0.00219</v>
      </c>
      <c r="J4818" s="19">
        <f>IFERROR(__xludf.DUMMYFUNCTION("""COMPUTED_VALUE"""),0.04743)</f>
        <v>0.04743</v>
      </c>
      <c r="K4818" s="19" t="str">
        <f>IFERROR(__xludf.DUMMYFUNCTION("""COMPUTED_VALUE"""),"-")</f>
        <v>-</v>
      </c>
      <c r="L4818" s="19" t="str">
        <f>IFERROR(__xludf.DUMMYFUNCTION("""COMPUTED_VALUE"""),"-")</f>
        <v>-</v>
      </c>
      <c r="O4818" s="24">
        <f t="shared" si="4"/>
        <v>0</v>
      </c>
      <c r="P4818" s="24"/>
      <c r="Q4818" s="24">
        <f t="shared" si="6"/>
        <v>0</v>
      </c>
      <c r="R4818" s="24">
        <f t="shared" si="7"/>
        <v>0</v>
      </c>
      <c r="S4818" s="24"/>
      <c r="T4818" s="24"/>
    </row>
    <row r="4819">
      <c r="A4819" s="12" t="s">
        <v>4906</v>
      </c>
      <c r="F4819" s="19">
        <f>IFERROR(__xludf.DUMMYFUNCTION("SPLIT(A4815, "" |"")"),4813.0)</f>
        <v>4813</v>
      </c>
      <c r="G4819" s="19">
        <f>IFERROR(__xludf.DUMMYFUNCTION("""COMPUTED_VALUE"""),0.00232)</f>
        <v>0.00232</v>
      </c>
      <c r="H4819" s="19" t="str">
        <f>IFERROR(__xludf.DUMMYFUNCTION("""COMPUTED_VALUE"""),"-")</f>
        <v>-</v>
      </c>
      <c r="I4819" s="19">
        <f>IFERROR(__xludf.DUMMYFUNCTION("""COMPUTED_VALUE"""),0.0022)</f>
        <v>0.0022</v>
      </c>
      <c r="J4819" s="19">
        <f>IFERROR(__xludf.DUMMYFUNCTION("""COMPUTED_VALUE"""),0.04744)</f>
        <v>0.04744</v>
      </c>
      <c r="K4819" s="19" t="str">
        <f>IFERROR(__xludf.DUMMYFUNCTION("""COMPUTED_VALUE"""),"-")</f>
        <v>-</v>
      </c>
      <c r="L4819" s="19" t="str">
        <f>IFERROR(__xludf.DUMMYFUNCTION("""COMPUTED_VALUE"""),"-")</f>
        <v>-</v>
      </c>
      <c r="O4819" s="24">
        <f t="shared" si="4"/>
        <v>0</v>
      </c>
      <c r="P4819" s="24"/>
      <c r="Q4819" s="24">
        <f t="shared" si="6"/>
        <v>0</v>
      </c>
      <c r="R4819" s="24">
        <f t="shared" si="7"/>
        <v>0</v>
      </c>
      <c r="S4819" s="24"/>
      <c r="T4819" s="24"/>
    </row>
    <row r="4820">
      <c r="A4820" s="12" t="s">
        <v>4907</v>
      </c>
      <c r="F4820" s="19">
        <f>IFERROR(__xludf.DUMMYFUNCTION("SPLIT(A4816, "" |"")"),4814.0)</f>
        <v>4814</v>
      </c>
      <c r="G4820" s="19">
        <f>IFERROR(__xludf.DUMMYFUNCTION("""COMPUTED_VALUE"""),0.00235)</f>
        <v>0.00235</v>
      </c>
      <c r="H4820" s="19" t="str">
        <f>IFERROR(__xludf.DUMMYFUNCTION("""COMPUTED_VALUE"""),"-")</f>
        <v>-</v>
      </c>
      <c r="I4820" s="19">
        <f>IFERROR(__xludf.DUMMYFUNCTION("""COMPUTED_VALUE"""),0.00219)</f>
        <v>0.00219</v>
      </c>
      <c r="J4820" s="19">
        <f>IFERROR(__xludf.DUMMYFUNCTION("""COMPUTED_VALUE"""),0.04738)</f>
        <v>0.04738</v>
      </c>
      <c r="K4820" s="19" t="str">
        <f>IFERROR(__xludf.DUMMYFUNCTION("""COMPUTED_VALUE"""),"-")</f>
        <v>-</v>
      </c>
      <c r="L4820" s="19" t="str">
        <f>IFERROR(__xludf.DUMMYFUNCTION("""COMPUTED_VALUE"""),"-")</f>
        <v>-</v>
      </c>
      <c r="O4820" s="24">
        <f t="shared" si="4"/>
        <v>0</v>
      </c>
      <c r="P4820" s="24"/>
      <c r="Q4820" s="24">
        <f t="shared" si="6"/>
        <v>0</v>
      </c>
      <c r="R4820" s="24">
        <f t="shared" si="7"/>
        <v>0</v>
      </c>
      <c r="S4820" s="24"/>
      <c r="T4820" s="24"/>
    </row>
    <row r="4821">
      <c r="A4821" s="12" t="s">
        <v>4908</v>
      </c>
      <c r="F4821" s="19">
        <f>IFERROR(__xludf.DUMMYFUNCTION("SPLIT(A4817, "" |"")"),4815.0)</f>
        <v>4815</v>
      </c>
      <c r="G4821" s="19">
        <f>IFERROR(__xludf.DUMMYFUNCTION("""COMPUTED_VALUE"""),0.00242)</f>
        <v>0.00242</v>
      </c>
      <c r="H4821" s="19" t="str">
        <f>IFERROR(__xludf.DUMMYFUNCTION("""COMPUTED_VALUE"""),"-")</f>
        <v>-</v>
      </c>
      <c r="I4821" s="19">
        <f>IFERROR(__xludf.DUMMYFUNCTION("""COMPUTED_VALUE"""),0.0022)</f>
        <v>0.0022</v>
      </c>
      <c r="J4821" s="19">
        <f>IFERROR(__xludf.DUMMYFUNCTION("""COMPUTED_VALUE"""),0.04745)</f>
        <v>0.04745</v>
      </c>
      <c r="K4821" s="19" t="str">
        <f>IFERROR(__xludf.DUMMYFUNCTION("""COMPUTED_VALUE"""),"-")</f>
        <v>-</v>
      </c>
      <c r="L4821" s="19" t="str">
        <f>IFERROR(__xludf.DUMMYFUNCTION("""COMPUTED_VALUE"""),"-")</f>
        <v>-</v>
      </c>
      <c r="O4821" s="24">
        <f t="shared" si="4"/>
        <v>0</v>
      </c>
      <c r="P4821" s="24"/>
      <c r="Q4821" s="24">
        <f t="shared" si="6"/>
        <v>0</v>
      </c>
      <c r="R4821" s="24">
        <f t="shared" si="7"/>
        <v>0</v>
      </c>
      <c r="S4821" s="24"/>
      <c r="T4821" s="24"/>
    </row>
    <row r="4822">
      <c r="A4822" s="12" t="s">
        <v>4909</v>
      </c>
      <c r="F4822" s="19">
        <f>IFERROR(__xludf.DUMMYFUNCTION("SPLIT(A4818, "" |"")"),4816.0)</f>
        <v>4816</v>
      </c>
      <c r="G4822" s="19">
        <f>IFERROR(__xludf.DUMMYFUNCTION("""COMPUTED_VALUE"""),0.00238)</f>
        <v>0.00238</v>
      </c>
      <c r="H4822" s="19" t="str">
        <f>IFERROR(__xludf.DUMMYFUNCTION("""COMPUTED_VALUE"""),"-")</f>
        <v>-</v>
      </c>
      <c r="I4822" s="19">
        <f>IFERROR(__xludf.DUMMYFUNCTION("""COMPUTED_VALUE"""),0.00219)</f>
        <v>0.00219</v>
      </c>
      <c r="J4822" s="19">
        <f>IFERROR(__xludf.DUMMYFUNCTION("""COMPUTED_VALUE"""),0.04736)</f>
        <v>0.04736</v>
      </c>
      <c r="K4822" s="19" t="str">
        <f>IFERROR(__xludf.DUMMYFUNCTION("""COMPUTED_VALUE"""),"-")</f>
        <v>-</v>
      </c>
      <c r="L4822" s="19" t="str">
        <f>IFERROR(__xludf.DUMMYFUNCTION("""COMPUTED_VALUE"""),"-")</f>
        <v>-</v>
      </c>
      <c r="O4822" s="24">
        <f t="shared" si="4"/>
        <v>0</v>
      </c>
      <c r="P4822" s="24"/>
      <c r="Q4822" s="24">
        <f t="shared" si="6"/>
        <v>0</v>
      </c>
      <c r="R4822" s="24">
        <f t="shared" si="7"/>
        <v>0</v>
      </c>
      <c r="S4822" s="24"/>
      <c r="T4822" s="24"/>
    </row>
    <row r="4823">
      <c r="A4823" s="12" t="s">
        <v>4910</v>
      </c>
      <c r="F4823" s="19">
        <f>IFERROR(__xludf.DUMMYFUNCTION("SPLIT(A4819, "" |"")"),4817.0)</f>
        <v>4817</v>
      </c>
      <c r="G4823" s="19">
        <f>IFERROR(__xludf.DUMMYFUNCTION("""COMPUTED_VALUE"""),0.00228)</f>
        <v>0.00228</v>
      </c>
      <c r="H4823" s="19" t="str">
        <f>IFERROR(__xludf.DUMMYFUNCTION("""COMPUTED_VALUE"""),"-")</f>
        <v>-</v>
      </c>
      <c r="I4823" s="19">
        <f>IFERROR(__xludf.DUMMYFUNCTION("""COMPUTED_VALUE"""),0.00218)</f>
        <v>0.00218</v>
      </c>
      <c r="J4823" s="19">
        <f>IFERROR(__xludf.DUMMYFUNCTION("""COMPUTED_VALUE"""),0.04736)</f>
        <v>0.04736</v>
      </c>
      <c r="K4823" s="19" t="str">
        <f>IFERROR(__xludf.DUMMYFUNCTION("""COMPUTED_VALUE"""),"-")</f>
        <v>-</v>
      </c>
      <c r="L4823" s="19" t="str">
        <f>IFERROR(__xludf.DUMMYFUNCTION("""COMPUTED_VALUE"""),"-")</f>
        <v>-</v>
      </c>
      <c r="O4823" s="24">
        <f t="shared" si="4"/>
        <v>0</v>
      </c>
      <c r="P4823" s="24"/>
      <c r="Q4823" s="24">
        <f t="shared" si="6"/>
        <v>0</v>
      </c>
      <c r="R4823" s="24">
        <f t="shared" si="7"/>
        <v>0</v>
      </c>
      <c r="S4823" s="24"/>
      <c r="T4823" s="24"/>
    </row>
    <row r="4824">
      <c r="A4824" s="12" t="s">
        <v>4911</v>
      </c>
      <c r="F4824" s="19">
        <f>IFERROR(__xludf.DUMMYFUNCTION("SPLIT(A4820, "" |"")"),4818.0)</f>
        <v>4818</v>
      </c>
      <c r="G4824" s="19">
        <f>IFERROR(__xludf.DUMMYFUNCTION("""COMPUTED_VALUE"""),0.00236)</f>
        <v>0.00236</v>
      </c>
      <c r="H4824" s="19" t="str">
        <f>IFERROR(__xludf.DUMMYFUNCTION("""COMPUTED_VALUE"""),"-")</f>
        <v>-</v>
      </c>
      <c r="I4824" s="19">
        <f>IFERROR(__xludf.DUMMYFUNCTION("""COMPUTED_VALUE"""),0.00217)</f>
        <v>0.00217</v>
      </c>
      <c r="J4824" s="19">
        <f>IFERROR(__xludf.DUMMYFUNCTION("""COMPUTED_VALUE"""),0.04599)</f>
        <v>0.04599</v>
      </c>
      <c r="K4824" s="19" t="str">
        <f>IFERROR(__xludf.DUMMYFUNCTION("""COMPUTED_VALUE"""),"-")</f>
        <v>-</v>
      </c>
      <c r="L4824" s="19" t="str">
        <f>IFERROR(__xludf.DUMMYFUNCTION("""COMPUTED_VALUE"""),"-")</f>
        <v>-</v>
      </c>
      <c r="O4824" s="24">
        <f t="shared" si="4"/>
        <v>0</v>
      </c>
      <c r="P4824" s="24"/>
      <c r="Q4824" s="24">
        <f t="shared" si="6"/>
        <v>0</v>
      </c>
      <c r="R4824" s="24">
        <f t="shared" si="7"/>
        <v>0</v>
      </c>
      <c r="S4824" s="24"/>
      <c r="T4824" s="24"/>
    </row>
    <row r="4825">
      <c r="A4825" s="12" t="s">
        <v>4912</v>
      </c>
      <c r="F4825" s="19">
        <f>IFERROR(__xludf.DUMMYFUNCTION("SPLIT(A4821, "" |"")"),4819.0)</f>
        <v>4819</v>
      </c>
      <c r="G4825" s="19">
        <f>IFERROR(__xludf.DUMMYFUNCTION("""COMPUTED_VALUE"""),0.00231)</f>
        <v>0.00231</v>
      </c>
      <c r="H4825" s="19" t="str">
        <f>IFERROR(__xludf.DUMMYFUNCTION("""COMPUTED_VALUE"""),"-")</f>
        <v>-</v>
      </c>
      <c r="I4825" s="19">
        <f>IFERROR(__xludf.DUMMYFUNCTION("""COMPUTED_VALUE"""),0.00217)</f>
        <v>0.00217</v>
      </c>
      <c r="J4825" s="19">
        <f>IFERROR(__xludf.DUMMYFUNCTION("""COMPUTED_VALUE"""),0.04743)</f>
        <v>0.04743</v>
      </c>
      <c r="K4825" s="19" t="str">
        <f>IFERROR(__xludf.DUMMYFUNCTION("""COMPUTED_VALUE"""),"-")</f>
        <v>-</v>
      </c>
      <c r="L4825" s="19" t="str">
        <f>IFERROR(__xludf.DUMMYFUNCTION("""COMPUTED_VALUE"""),"-")</f>
        <v>-</v>
      </c>
      <c r="O4825" s="24">
        <f t="shared" si="4"/>
        <v>0</v>
      </c>
      <c r="P4825" s="24"/>
      <c r="Q4825" s="24">
        <f t="shared" si="6"/>
        <v>0</v>
      </c>
      <c r="R4825" s="24">
        <f t="shared" si="7"/>
        <v>0</v>
      </c>
      <c r="S4825" s="24"/>
      <c r="T4825" s="24"/>
    </row>
    <row r="4826">
      <c r="A4826" s="12" t="s">
        <v>4913</v>
      </c>
      <c r="F4826" s="19">
        <f>IFERROR(__xludf.DUMMYFUNCTION("SPLIT(A4822, "" |"")"),4820.0)</f>
        <v>4820</v>
      </c>
      <c r="G4826" s="19">
        <f>IFERROR(__xludf.DUMMYFUNCTION("""COMPUTED_VALUE"""),0.00245)</f>
        <v>0.00245</v>
      </c>
      <c r="H4826" s="19" t="str">
        <f>IFERROR(__xludf.DUMMYFUNCTION("""COMPUTED_VALUE"""),"-")</f>
        <v>-</v>
      </c>
      <c r="I4826" s="19">
        <f>IFERROR(__xludf.DUMMYFUNCTION("""COMPUTED_VALUE"""),0.00223)</f>
        <v>0.00223</v>
      </c>
      <c r="J4826" s="19">
        <f>IFERROR(__xludf.DUMMYFUNCTION("""COMPUTED_VALUE"""),0.04746)</f>
        <v>0.04746</v>
      </c>
      <c r="K4826" s="19" t="str">
        <f>IFERROR(__xludf.DUMMYFUNCTION("""COMPUTED_VALUE"""),"-")</f>
        <v>-</v>
      </c>
      <c r="L4826" s="19" t="str">
        <f>IFERROR(__xludf.DUMMYFUNCTION("""COMPUTED_VALUE"""),"-")</f>
        <v>-</v>
      </c>
      <c r="O4826" s="24">
        <f t="shared" si="4"/>
        <v>0</v>
      </c>
      <c r="P4826" s="24"/>
      <c r="Q4826" s="24">
        <f t="shared" si="6"/>
        <v>0</v>
      </c>
      <c r="R4826" s="24">
        <f t="shared" si="7"/>
        <v>0</v>
      </c>
      <c r="S4826" s="24"/>
      <c r="T4826" s="24"/>
    </row>
    <row r="4827">
      <c r="A4827" s="12" t="s">
        <v>4914</v>
      </c>
      <c r="F4827" s="19">
        <f>IFERROR(__xludf.DUMMYFUNCTION("SPLIT(A4823, "" |"")"),4821.0)</f>
        <v>4821</v>
      </c>
      <c r="G4827" s="19">
        <f>IFERROR(__xludf.DUMMYFUNCTION("""COMPUTED_VALUE"""),0.00234)</f>
        <v>0.00234</v>
      </c>
      <c r="H4827" s="19" t="str">
        <f>IFERROR(__xludf.DUMMYFUNCTION("""COMPUTED_VALUE"""),"-")</f>
        <v>-</v>
      </c>
      <c r="I4827" s="19">
        <f>IFERROR(__xludf.DUMMYFUNCTION("""COMPUTED_VALUE"""),0.00221)</f>
        <v>0.00221</v>
      </c>
      <c r="J4827" s="19">
        <f>IFERROR(__xludf.DUMMYFUNCTION("""COMPUTED_VALUE"""),0.0474)</f>
        <v>0.0474</v>
      </c>
      <c r="K4827" s="19" t="str">
        <f>IFERROR(__xludf.DUMMYFUNCTION("""COMPUTED_VALUE"""),"-")</f>
        <v>-</v>
      </c>
      <c r="L4827" s="19" t="str">
        <f>IFERROR(__xludf.DUMMYFUNCTION("""COMPUTED_VALUE"""),"-")</f>
        <v>-</v>
      </c>
      <c r="O4827" s="24">
        <f t="shared" si="4"/>
        <v>0</v>
      </c>
      <c r="P4827" s="24"/>
      <c r="Q4827" s="24">
        <f t="shared" si="6"/>
        <v>0</v>
      </c>
      <c r="R4827" s="24">
        <f t="shared" si="7"/>
        <v>0</v>
      </c>
      <c r="S4827" s="24"/>
      <c r="T4827" s="24"/>
    </row>
    <row r="4828">
      <c r="A4828" s="12" t="s">
        <v>4915</v>
      </c>
      <c r="F4828" s="19">
        <f>IFERROR(__xludf.DUMMYFUNCTION("SPLIT(A4824, "" |"")"),4822.0)</f>
        <v>4822</v>
      </c>
      <c r="G4828" s="19">
        <f>IFERROR(__xludf.DUMMYFUNCTION("""COMPUTED_VALUE"""),0.00232)</f>
        <v>0.00232</v>
      </c>
      <c r="H4828" s="19" t="str">
        <f>IFERROR(__xludf.DUMMYFUNCTION("""COMPUTED_VALUE"""),"-")</f>
        <v>-</v>
      </c>
      <c r="I4828" s="19">
        <f>IFERROR(__xludf.DUMMYFUNCTION("""COMPUTED_VALUE"""),0.00217)</f>
        <v>0.00217</v>
      </c>
      <c r="J4828" s="19">
        <f>IFERROR(__xludf.DUMMYFUNCTION("""COMPUTED_VALUE"""),0.04744)</f>
        <v>0.04744</v>
      </c>
      <c r="K4828" s="19" t="str">
        <f>IFERROR(__xludf.DUMMYFUNCTION("""COMPUTED_VALUE"""),"-")</f>
        <v>-</v>
      </c>
      <c r="L4828" s="19" t="str">
        <f>IFERROR(__xludf.DUMMYFUNCTION("""COMPUTED_VALUE"""),"-")</f>
        <v>-</v>
      </c>
      <c r="O4828" s="24">
        <f t="shared" si="4"/>
        <v>0</v>
      </c>
      <c r="P4828" s="24"/>
      <c r="Q4828" s="24">
        <f t="shared" si="6"/>
        <v>0</v>
      </c>
      <c r="R4828" s="24">
        <f t="shared" si="7"/>
        <v>0</v>
      </c>
      <c r="S4828" s="24"/>
      <c r="T4828" s="24"/>
    </row>
    <row r="4829">
      <c r="A4829" s="12" t="s">
        <v>4916</v>
      </c>
      <c r="F4829" s="19">
        <f>IFERROR(__xludf.DUMMYFUNCTION("SPLIT(A4825, "" |"")"),4823.0)</f>
        <v>4823</v>
      </c>
      <c r="G4829" s="19">
        <f>IFERROR(__xludf.DUMMYFUNCTION("""COMPUTED_VALUE"""),0.00233)</f>
        <v>0.00233</v>
      </c>
      <c r="H4829" s="19" t="str">
        <f>IFERROR(__xludf.DUMMYFUNCTION("""COMPUTED_VALUE"""),"-")</f>
        <v>-</v>
      </c>
      <c r="I4829" s="19">
        <f>IFERROR(__xludf.DUMMYFUNCTION("""COMPUTED_VALUE"""),0.00221)</f>
        <v>0.00221</v>
      </c>
      <c r="J4829" s="19">
        <f>IFERROR(__xludf.DUMMYFUNCTION("""COMPUTED_VALUE"""),0.04306)</f>
        <v>0.04306</v>
      </c>
      <c r="K4829" s="19" t="str">
        <f>IFERROR(__xludf.DUMMYFUNCTION("""COMPUTED_VALUE"""),"-")</f>
        <v>-</v>
      </c>
      <c r="L4829" s="19" t="str">
        <f>IFERROR(__xludf.DUMMYFUNCTION("""COMPUTED_VALUE"""),"-")</f>
        <v>-</v>
      </c>
      <c r="O4829" s="24">
        <f t="shared" si="4"/>
        <v>0</v>
      </c>
      <c r="P4829" s="24"/>
      <c r="Q4829" s="24">
        <f t="shared" si="6"/>
        <v>0</v>
      </c>
      <c r="R4829" s="24">
        <f t="shared" si="7"/>
        <v>1</v>
      </c>
      <c r="S4829" s="24"/>
      <c r="T4829" s="24"/>
    </row>
    <row r="4830">
      <c r="A4830" s="12" t="s">
        <v>4917</v>
      </c>
      <c r="F4830" s="19">
        <f>IFERROR(__xludf.DUMMYFUNCTION("SPLIT(A4826, "" |"")"),4824.0)</f>
        <v>4824</v>
      </c>
      <c r="G4830" s="19">
        <f>IFERROR(__xludf.DUMMYFUNCTION("""COMPUTED_VALUE"""),0.00234)</f>
        <v>0.00234</v>
      </c>
      <c r="H4830" s="19" t="str">
        <f>IFERROR(__xludf.DUMMYFUNCTION("""COMPUTED_VALUE"""),"-")</f>
        <v>-</v>
      </c>
      <c r="I4830" s="19">
        <f>IFERROR(__xludf.DUMMYFUNCTION("""COMPUTED_VALUE"""),0.00223)</f>
        <v>0.00223</v>
      </c>
      <c r="J4830" s="19">
        <f>IFERROR(__xludf.DUMMYFUNCTION("""COMPUTED_VALUE"""),0.04742)</f>
        <v>0.04742</v>
      </c>
      <c r="K4830" s="19" t="str">
        <f>IFERROR(__xludf.DUMMYFUNCTION("""COMPUTED_VALUE"""),"-")</f>
        <v>-</v>
      </c>
      <c r="L4830" s="19" t="str">
        <f>IFERROR(__xludf.DUMMYFUNCTION("""COMPUTED_VALUE"""),"-")</f>
        <v>-</v>
      </c>
      <c r="O4830" s="24">
        <f t="shared" si="4"/>
        <v>0</v>
      </c>
      <c r="P4830" s="24"/>
      <c r="Q4830" s="24">
        <f t="shared" si="6"/>
        <v>0</v>
      </c>
      <c r="R4830" s="24">
        <f t="shared" si="7"/>
        <v>0</v>
      </c>
      <c r="S4830" s="24"/>
      <c r="T4830" s="24"/>
    </row>
    <row r="4831">
      <c r="A4831" s="12" t="s">
        <v>4918</v>
      </c>
      <c r="F4831" s="19">
        <f>IFERROR(__xludf.DUMMYFUNCTION("SPLIT(A4827, "" |"")"),4825.0)</f>
        <v>4825</v>
      </c>
      <c r="G4831" s="19">
        <f>IFERROR(__xludf.DUMMYFUNCTION("""COMPUTED_VALUE"""),0.00238)</f>
        <v>0.00238</v>
      </c>
      <c r="H4831" s="19" t="str">
        <f>IFERROR(__xludf.DUMMYFUNCTION("""COMPUTED_VALUE"""),"-")</f>
        <v>-</v>
      </c>
      <c r="I4831" s="19">
        <f>IFERROR(__xludf.DUMMYFUNCTION("""COMPUTED_VALUE"""),0.00222)</f>
        <v>0.00222</v>
      </c>
      <c r="J4831" s="19">
        <f>IFERROR(__xludf.DUMMYFUNCTION("""COMPUTED_VALUE"""),0.04742)</f>
        <v>0.04742</v>
      </c>
      <c r="K4831" s="19" t="str">
        <f>IFERROR(__xludf.DUMMYFUNCTION("""COMPUTED_VALUE"""),"-")</f>
        <v>-</v>
      </c>
      <c r="L4831" s="19" t="str">
        <f>IFERROR(__xludf.DUMMYFUNCTION("""COMPUTED_VALUE"""),"-")</f>
        <v>-</v>
      </c>
      <c r="O4831" s="24">
        <f t="shared" si="4"/>
        <v>0</v>
      </c>
      <c r="P4831" s="24"/>
      <c r="Q4831" s="24">
        <f t="shared" si="6"/>
        <v>0</v>
      </c>
      <c r="R4831" s="24">
        <f t="shared" si="7"/>
        <v>0</v>
      </c>
      <c r="S4831" s="24"/>
      <c r="T4831" s="24"/>
    </row>
    <row r="4832">
      <c r="A4832" s="12" t="s">
        <v>4919</v>
      </c>
      <c r="F4832" s="19">
        <f>IFERROR(__xludf.DUMMYFUNCTION("SPLIT(A4828, "" |"")"),4826.0)</f>
        <v>4826</v>
      </c>
      <c r="G4832" s="19">
        <f>IFERROR(__xludf.DUMMYFUNCTION("""COMPUTED_VALUE"""),0.00235)</f>
        <v>0.00235</v>
      </c>
      <c r="H4832" s="19" t="str">
        <f>IFERROR(__xludf.DUMMYFUNCTION("""COMPUTED_VALUE"""),"-")</f>
        <v>-</v>
      </c>
      <c r="I4832" s="19">
        <f>IFERROR(__xludf.DUMMYFUNCTION("""COMPUTED_VALUE"""),0.00217)</f>
        <v>0.00217</v>
      </c>
      <c r="J4832" s="19">
        <f>IFERROR(__xludf.DUMMYFUNCTION("""COMPUTED_VALUE"""),0.04739)</f>
        <v>0.04739</v>
      </c>
      <c r="K4832" s="19" t="str">
        <f>IFERROR(__xludf.DUMMYFUNCTION("""COMPUTED_VALUE"""),"-")</f>
        <v>-</v>
      </c>
      <c r="L4832" s="19" t="str">
        <f>IFERROR(__xludf.DUMMYFUNCTION("""COMPUTED_VALUE"""),"-")</f>
        <v>-</v>
      </c>
      <c r="O4832" s="24">
        <f t="shared" si="4"/>
        <v>0</v>
      </c>
      <c r="P4832" s="24"/>
      <c r="Q4832" s="24">
        <f t="shared" si="6"/>
        <v>0</v>
      </c>
      <c r="R4832" s="24">
        <f t="shared" si="7"/>
        <v>0</v>
      </c>
      <c r="S4832" s="24"/>
      <c r="T4832" s="24"/>
    </row>
    <row r="4833">
      <c r="A4833" s="12" t="s">
        <v>4920</v>
      </c>
      <c r="F4833" s="19">
        <f>IFERROR(__xludf.DUMMYFUNCTION("SPLIT(A4829, "" |"")"),4827.0)</f>
        <v>4827</v>
      </c>
      <c r="G4833" s="19">
        <f>IFERROR(__xludf.DUMMYFUNCTION("""COMPUTED_VALUE"""),0.00233)</f>
        <v>0.00233</v>
      </c>
      <c r="H4833" s="19" t="str">
        <f>IFERROR(__xludf.DUMMYFUNCTION("""COMPUTED_VALUE"""),"-")</f>
        <v>-</v>
      </c>
      <c r="I4833" s="19">
        <f>IFERROR(__xludf.DUMMYFUNCTION("""COMPUTED_VALUE"""),0.00218)</f>
        <v>0.00218</v>
      </c>
      <c r="J4833" s="19">
        <f>IFERROR(__xludf.DUMMYFUNCTION("""COMPUTED_VALUE"""),0.04744)</f>
        <v>0.04744</v>
      </c>
      <c r="K4833" s="19" t="str">
        <f>IFERROR(__xludf.DUMMYFUNCTION("""COMPUTED_VALUE"""),"-")</f>
        <v>-</v>
      </c>
      <c r="L4833" s="19" t="str">
        <f>IFERROR(__xludf.DUMMYFUNCTION("""COMPUTED_VALUE"""),"-")</f>
        <v>-</v>
      </c>
      <c r="O4833" s="24">
        <f t="shared" si="4"/>
        <v>0</v>
      </c>
      <c r="P4833" s="24"/>
      <c r="Q4833" s="24">
        <f t="shared" si="6"/>
        <v>0</v>
      </c>
      <c r="R4833" s="24">
        <f t="shared" si="7"/>
        <v>0</v>
      </c>
      <c r="S4833" s="24"/>
      <c r="T4833" s="24"/>
    </row>
    <row r="4834">
      <c r="A4834" s="12" t="s">
        <v>4921</v>
      </c>
      <c r="F4834" s="19">
        <f>IFERROR(__xludf.DUMMYFUNCTION("SPLIT(A4830, "" |"")"),4828.0)</f>
        <v>4828</v>
      </c>
      <c r="G4834" s="19">
        <f>IFERROR(__xludf.DUMMYFUNCTION("""COMPUTED_VALUE"""),0.0023)</f>
        <v>0.0023</v>
      </c>
      <c r="H4834" s="19" t="str">
        <f>IFERROR(__xludf.DUMMYFUNCTION("""COMPUTED_VALUE"""),"-")</f>
        <v>-</v>
      </c>
      <c r="I4834" s="19">
        <f>IFERROR(__xludf.DUMMYFUNCTION("""COMPUTED_VALUE"""),0.00219)</f>
        <v>0.00219</v>
      </c>
      <c r="J4834" s="19">
        <f>IFERROR(__xludf.DUMMYFUNCTION("""COMPUTED_VALUE"""),0.04746)</f>
        <v>0.04746</v>
      </c>
      <c r="K4834" s="19" t="str">
        <f>IFERROR(__xludf.DUMMYFUNCTION("""COMPUTED_VALUE"""),"-")</f>
        <v>-</v>
      </c>
      <c r="L4834" s="19" t="str">
        <f>IFERROR(__xludf.DUMMYFUNCTION("""COMPUTED_VALUE"""),"-")</f>
        <v>-</v>
      </c>
      <c r="O4834" s="24">
        <f t="shared" si="4"/>
        <v>0</v>
      </c>
      <c r="P4834" s="24"/>
      <c r="Q4834" s="24">
        <f t="shared" si="6"/>
        <v>0</v>
      </c>
      <c r="R4834" s="24">
        <f t="shared" si="7"/>
        <v>0</v>
      </c>
      <c r="S4834" s="24"/>
      <c r="T4834" s="24"/>
    </row>
    <row r="4835">
      <c r="A4835" s="12" t="s">
        <v>4922</v>
      </c>
      <c r="F4835" s="19">
        <f>IFERROR(__xludf.DUMMYFUNCTION("SPLIT(A4831, "" |"")"),4829.0)</f>
        <v>4829</v>
      </c>
      <c r="G4835" s="19">
        <f>IFERROR(__xludf.DUMMYFUNCTION("""COMPUTED_VALUE"""),0.00237)</f>
        <v>0.00237</v>
      </c>
      <c r="H4835" s="19" t="str">
        <f>IFERROR(__xludf.DUMMYFUNCTION("""COMPUTED_VALUE"""),"-")</f>
        <v>-</v>
      </c>
      <c r="I4835" s="19">
        <f>IFERROR(__xludf.DUMMYFUNCTION("""COMPUTED_VALUE"""),0.00221)</f>
        <v>0.00221</v>
      </c>
      <c r="J4835" s="19">
        <f>IFERROR(__xludf.DUMMYFUNCTION("""COMPUTED_VALUE"""),0.04738)</f>
        <v>0.04738</v>
      </c>
      <c r="K4835" s="19" t="str">
        <f>IFERROR(__xludf.DUMMYFUNCTION("""COMPUTED_VALUE"""),"-")</f>
        <v>-</v>
      </c>
      <c r="L4835" s="19" t="str">
        <f>IFERROR(__xludf.DUMMYFUNCTION("""COMPUTED_VALUE"""),"-")</f>
        <v>-</v>
      </c>
      <c r="O4835" s="24">
        <f t="shared" si="4"/>
        <v>0</v>
      </c>
      <c r="P4835" s="24"/>
      <c r="Q4835" s="24">
        <f t="shared" si="6"/>
        <v>0</v>
      </c>
      <c r="R4835" s="24">
        <f t="shared" si="7"/>
        <v>0</v>
      </c>
      <c r="S4835" s="24"/>
      <c r="T4835" s="24"/>
    </row>
    <row r="4836">
      <c r="A4836" s="12" t="s">
        <v>4923</v>
      </c>
      <c r="F4836" s="19">
        <f>IFERROR(__xludf.DUMMYFUNCTION("SPLIT(A4832, "" |"")"),4830.0)</f>
        <v>4830</v>
      </c>
      <c r="G4836" s="19">
        <f>IFERROR(__xludf.DUMMYFUNCTION("""COMPUTED_VALUE"""),0.00232)</f>
        <v>0.00232</v>
      </c>
      <c r="H4836" s="19" t="str">
        <f>IFERROR(__xludf.DUMMYFUNCTION("""COMPUTED_VALUE"""),"-")</f>
        <v>-</v>
      </c>
      <c r="I4836" s="19">
        <f>IFERROR(__xludf.DUMMYFUNCTION("""COMPUTED_VALUE"""),0.00206)</f>
        <v>0.00206</v>
      </c>
      <c r="J4836" s="19">
        <f>IFERROR(__xludf.DUMMYFUNCTION("""COMPUTED_VALUE"""),0.04729)</f>
        <v>0.04729</v>
      </c>
      <c r="K4836" s="19" t="str">
        <f>IFERROR(__xludf.DUMMYFUNCTION("""COMPUTED_VALUE"""),"-")</f>
        <v>-</v>
      </c>
      <c r="L4836" s="19" t="str">
        <f>IFERROR(__xludf.DUMMYFUNCTION("""COMPUTED_VALUE"""),"-")</f>
        <v>-</v>
      </c>
      <c r="O4836" s="24">
        <f t="shared" si="4"/>
        <v>0</v>
      </c>
      <c r="P4836" s="24"/>
      <c r="Q4836" s="24">
        <f t="shared" si="6"/>
        <v>0</v>
      </c>
      <c r="R4836" s="24">
        <f t="shared" si="7"/>
        <v>0</v>
      </c>
      <c r="S4836" s="24"/>
      <c r="T4836" s="24"/>
    </row>
    <row r="4837">
      <c r="A4837" s="12" t="s">
        <v>4924</v>
      </c>
      <c r="F4837" s="19">
        <f>IFERROR(__xludf.DUMMYFUNCTION("SPLIT(A4833, "" |"")"),4831.0)</f>
        <v>4831</v>
      </c>
      <c r="G4837" s="19">
        <f>IFERROR(__xludf.DUMMYFUNCTION("""COMPUTED_VALUE"""),0.00247)</f>
        <v>0.00247</v>
      </c>
      <c r="H4837" s="19" t="str">
        <f>IFERROR(__xludf.DUMMYFUNCTION("""COMPUTED_VALUE"""),"-")</f>
        <v>-</v>
      </c>
      <c r="I4837" s="19">
        <f>IFERROR(__xludf.DUMMYFUNCTION("""COMPUTED_VALUE"""),0.00228)</f>
        <v>0.00228</v>
      </c>
      <c r="J4837" s="19">
        <f>IFERROR(__xludf.DUMMYFUNCTION("""COMPUTED_VALUE"""),0.04152)</f>
        <v>0.04152</v>
      </c>
      <c r="K4837" s="19" t="str">
        <f>IFERROR(__xludf.DUMMYFUNCTION("""COMPUTED_VALUE"""),"-")</f>
        <v>-</v>
      </c>
      <c r="L4837" s="19" t="str">
        <f>IFERROR(__xludf.DUMMYFUNCTION("""COMPUTED_VALUE"""),"-")</f>
        <v>-</v>
      </c>
      <c r="O4837" s="24">
        <f t="shared" si="4"/>
        <v>0</v>
      </c>
      <c r="P4837" s="24"/>
      <c r="Q4837" s="24">
        <f t="shared" si="6"/>
        <v>0</v>
      </c>
      <c r="R4837" s="24">
        <f t="shared" si="7"/>
        <v>1</v>
      </c>
      <c r="S4837" s="24"/>
      <c r="T4837" s="24"/>
    </row>
    <row r="4838">
      <c r="A4838" s="12" t="s">
        <v>4925</v>
      </c>
      <c r="F4838" s="19">
        <f>IFERROR(__xludf.DUMMYFUNCTION("SPLIT(A4834, "" |"")"),4832.0)</f>
        <v>4832</v>
      </c>
      <c r="G4838" s="19">
        <f>IFERROR(__xludf.DUMMYFUNCTION("""COMPUTED_VALUE"""),0.00231)</f>
        <v>0.00231</v>
      </c>
      <c r="H4838" s="19" t="str">
        <f>IFERROR(__xludf.DUMMYFUNCTION("""COMPUTED_VALUE"""),"-")</f>
        <v>-</v>
      </c>
      <c r="I4838" s="19">
        <f>IFERROR(__xludf.DUMMYFUNCTION("""COMPUTED_VALUE"""),0.00218)</f>
        <v>0.00218</v>
      </c>
      <c r="J4838" s="19">
        <f>IFERROR(__xludf.DUMMYFUNCTION("""COMPUTED_VALUE"""),0.04368)</f>
        <v>0.04368</v>
      </c>
      <c r="K4838" s="19" t="str">
        <f>IFERROR(__xludf.DUMMYFUNCTION("""COMPUTED_VALUE"""),"-")</f>
        <v>-</v>
      </c>
      <c r="L4838" s="19" t="str">
        <f>IFERROR(__xludf.DUMMYFUNCTION("""COMPUTED_VALUE"""),"-")</f>
        <v>-</v>
      </c>
      <c r="O4838" s="24">
        <f t="shared" si="4"/>
        <v>0</v>
      </c>
      <c r="P4838" s="24"/>
      <c r="Q4838" s="24">
        <f t="shared" si="6"/>
        <v>0</v>
      </c>
      <c r="R4838" s="24">
        <f t="shared" si="7"/>
        <v>1</v>
      </c>
      <c r="S4838" s="24"/>
      <c r="T4838" s="24"/>
    </row>
    <row r="4839">
      <c r="A4839" s="12" t="s">
        <v>4926</v>
      </c>
      <c r="F4839" s="19">
        <f>IFERROR(__xludf.DUMMYFUNCTION("SPLIT(A4835, "" |"")"),4833.0)</f>
        <v>4833</v>
      </c>
      <c r="G4839" s="19">
        <f>IFERROR(__xludf.DUMMYFUNCTION("""COMPUTED_VALUE"""),0.00235)</f>
        <v>0.00235</v>
      </c>
      <c r="H4839" s="19" t="str">
        <f>IFERROR(__xludf.DUMMYFUNCTION("""COMPUTED_VALUE"""),"-")</f>
        <v>-</v>
      </c>
      <c r="I4839" s="19">
        <f>IFERROR(__xludf.DUMMYFUNCTION("""COMPUTED_VALUE"""),0.00222)</f>
        <v>0.00222</v>
      </c>
      <c r="J4839" s="19">
        <f>IFERROR(__xludf.DUMMYFUNCTION("""COMPUTED_VALUE"""),0.04737)</f>
        <v>0.04737</v>
      </c>
      <c r="K4839" s="19" t="str">
        <f>IFERROR(__xludf.DUMMYFUNCTION("""COMPUTED_VALUE"""),"-")</f>
        <v>-</v>
      </c>
      <c r="L4839" s="19" t="str">
        <f>IFERROR(__xludf.DUMMYFUNCTION("""COMPUTED_VALUE"""),"-")</f>
        <v>-</v>
      </c>
      <c r="O4839" s="24">
        <f t="shared" si="4"/>
        <v>0</v>
      </c>
      <c r="P4839" s="24"/>
      <c r="Q4839" s="24">
        <f t="shared" si="6"/>
        <v>0</v>
      </c>
      <c r="R4839" s="24">
        <f t="shared" si="7"/>
        <v>0</v>
      </c>
      <c r="S4839" s="24"/>
      <c r="T4839" s="24"/>
    </row>
    <row r="4840">
      <c r="A4840" s="12" t="s">
        <v>4927</v>
      </c>
      <c r="F4840" s="19">
        <f>IFERROR(__xludf.DUMMYFUNCTION("SPLIT(A4836, "" |"")"),4834.0)</f>
        <v>4834</v>
      </c>
      <c r="G4840" s="19">
        <f>IFERROR(__xludf.DUMMYFUNCTION("""COMPUTED_VALUE"""),0.00234)</f>
        <v>0.00234</v>
      </c>
      <c r="H4840" s="19" t="str">
        <f>IFERROR(__xludf.DUMMYFUNCTION("""COMPUTED_VALUE"""),"-")</f>
        <v>-</v>
      </c>
      <c r="I4840" s="19">
        <f>IFERROR(__xludf.DUMMYFUNCTION("""COMPUTED_VALUE"""),0.00211)</f>
        <v>0.00211</v>
      </c>
      <c r="J4840" s="19">
        <f>IFERROR(__xludf.DUMMYFUNCTION("""COMPUTED_VALUE"""),0.04737)</f>
        <v>0.04737</v>
      </c>
      <c r="K4840" s="19" t="str">
        <f>IFERROR(__xludf.DUMMYFUNCTION("""COMPUTED_VALUE"""),"-")</f>
        <v>-</v>
      </c>
      <c r="L4840" s="19" t="str">
        <f>IFERROR(__xludf.DUMMYFUNCTION("""COMPUTED_VALUE"""),"-")</f>
        <v>-</v>
      </c>
      <c r="O4840" s="24">
        <f t="shared" si="4"/>
        <v>0</v>
      </c>
      <c r="P4840" s="24"/>
      <c r="Q4840" s="24">
        <f t="shared" si="6"/>
        <v>0</v>
      </c>
      <c r="R4840" s="24">
        <f t="shared" si="7"/>
        <v>0</v>
      </c>
      <c r="S4840" s="24"/>
      <c r="T4840" s="24"/>
    </row>
    <row r="4841">
      <c r="A4841" s="12" t="s">
        <v>4928</v>
      </c>
      <c r="F4841" s="19">
        <f>IFERROR(__xludf.DUMMYFUNCTION("SPLIT(A4837, "" |"")"),4835.0)</f>
        <v>4835</v>
      </c>
      <c r="G4841" s="19">
        <f>IFERROR(__xludf.DUMMYFUNCTION("""COMPUTED_VALUE"""),0.00232)</f>
        <v>0.00232</v>
      </c>
      <c r="H4841" s="19" t="str">
        <f>IFERROR(__xludf.DUMMYFUNCTION("""COMPUTED_VALUE"""),"-")</f>
        <v>-</v>
      </c>
      <c r="I4841" s="19">
        <f>IFERROR(__xludf.DUMMYFUNCTION("""COMPUTED_VALUE"""),0.00209)</f>
        <v>0.00209</v>
      </c>
      <c r="J4841" s="19">
        <f>IFERROR(__xludf.DUMMYFUNCTION("""COMPUTED_VALUE"""),0.04492)</f>
        <v>0.04492</v>
      </c>
      <c r="K4841" s="19" t="str">
        <f>IFERROR(__xludf.DUMMYFUNCTION("""COMPUTED_VALUE"""),"-")</f>
        <v>-</v>
      </c>
      <c r="L4841" s="19" t="str">
        <f>IFERROR(__xludf.DUMMYFUNCTION("""COMPUTED_VALUE"""),"-")</f>
        <v>-</v>
      </c>
      <c r="O4841" s="24">
        <f t="shared" si="4"/>
        <v>0</v>
      </c>
      <c r="P4841" s="24"/>
      <c r="Q4841" s="24">
        <f t="shared" si="6"/>
        <v>0</v>
      </c>
      <c r="R4841" s="24">
        <f t="shared" si="7"/>
        <v>1</v>
      </c>
      <c r="S4841" s="24"/>
      <c r="T4841" s="24"/>
    </row>
    <row r="4842">
      <c r="A4842" s="12" t="s">
        <v>4929</v>
      </c>
      <c r="F4842" s="19">
        <f>IFERROR(__xludf.DUMMYFUNCTION("SPLIT(A4838, "" |"")"),4836.0)</f>
        <v>4836</v>
      </c>
      <c r="G4842" s="19">
        <f>IFERROR(__xludf.DUMMYFUNCTION("""COMPUTED_VALUE"""),0.00236)</f>
        <v>0.00236</v>
      </c>
      <c r="H4842" s="19" t="str">
        <f>IFERROR(__xludf.DUMMYFUNCTION("""COMPUTED_VALUE"""),"-")</f>
        <v>-</v>
      </c>
      <c r="I4842" s="19">
        <f>IFERROR(__xludf.DUMMYFUNCTION("""COMPUTED_VALUE"""),0.00221)</f>
        <v>0.00221</v>
      </c>
      <c r="J4842" s="19">
        <f>IFERROR(__xludf.DUMMYFUNCTION("""COMPUTED_VALUE"""),0.04741)</f>
        <v>0.04741</v>
      </c>
      <c r="K4842" s="19" t="str">
        <f>IFERROR(__xludf.DUMMYFUNCTION("""COMPUTED_VALUE"""),"-")</f>
        <v>-</v>
      </c>
      <c r="L4842" s="19" t="str">
        <f>IFERROR(__xludf.DUMMYFUNCTION("""COMPUTED_VALUE"""),"-")</f>
        <v>-</v>
      </c>
      <c r="O4842" s="24">
        <f t="shared" si="4"/>
        <v>0</v>
      </c>
      <c r="P4842" s="24"/>
      <c r="Q4842" s="24">
        <f t="shared" si="6"/>
        <v>0</v>
      </c>
      <c r="R4842" s="24">
        <f t="shared" si="7"/>
        <v>0</v>
      </c>
      <c r="S4842" s="24"/>
      <c r="T4842" s="24"/>
    </row>
    <row r="4843">
      <c r="A4843" s="12" t="s">
        <v>4930</v>
      </c>
      <c r="F4843" s="19">
        <f>IFERROR(__xludf.DUMMYFUNCTION("SPLIT(A4839, "" |"")"),4837.0)</f>
        <v>4837</v>
      </c>
      <c r="G4843" s="19">
        <f>IFERROR(__xludf.DUMMYFUNCTION("""COMPUTED_VALUE"""),0.00234)</f>
        <v>0.00234</v>
      </c>
      <c r="H4843" s="19" t="str">
        <f>IFERROR(__xludf.DUMMYFUNCTION("""COMPUTED_VALUE"""),"-")</f>
        <v>-</v>
      </c>
      <c r="I4843" s="19">
        <f>IFERROR(__xludf.DUMMYFUNCTION("""COMPUTED_VALUE"""),0.00217)</f>
        <v>0.00217</v>
      </c>
      <c r="J4843" s="19">
        <f>IFERROR(__xludf.DUMMYFUNCTION("""COMPUTED_VALUE"""),0.04738)</f>
        <v>0.04738</v>
      </c>
      <c r="K4843" s="19" t="str">
        <f>IFERROR(__xludf.DUMMYFUNCTION("""COMPUTED_VALUE"""),"-")</f>
        <v>-</v>
      </c>
      <c r="L4843" s="19" t="str">
        <f>IFERROR(__xludf.DUMMYFUNCTION("""COMPUTED_VALUE"""),"-")</f>
        <v>-</v>
      </c>
      <c r="O4843" s="24">
        <f t="shared" si="4"/>
        <v>0</v>
      </c>
      <c r="P4843" s="24"/>
      <c r="Q4843" s="24">
        <f t="shared" si="6"/>
        <v>0</v>
      </c>
      <c r="R4843" s="24">
        <f t="shared" si="7"/>
        <v>0</v>
      </c>
      <c r="S4843" s="24"/>
      <c r="T4843" s="24"/>
    </row>
    <row r="4844">
      <c r="A4844" s="12" t="s">
        <v>4931</v>
      </c>
      <c r="F4844" s="19">
        <f>IFERROR(__xludf.DUMMYFUNCTION("SPLIT(A4840, "" |"")"),4838.0)</f>
        <v>4838</v>
      </c>
      <c r="G4844" s="19">
        <f>IFERROR(__xludf.DUMMYFUNCTION("""COMPUTED_VALUE"""),0.00235)</f>
        <v>0.00235</v>
      </c>
      <c r="H4844" s="19" t="str">
        <f>IFERROR(__xludf.DUMMYFUNCTION("""COMPUTED_VALUE"""),"-")</f>
        <v>-</v>
      </c>
      <c r="I4844" s="19">
        <f>IFERROR(__xludf.DUMMYFUNCTION("""COMPUTED_VALUE"""),0.00223)</f>
        <v>0.00223</v>
      </c>
      <c r="J4844" s="19">
        <f>IFERROR(__xludf.DUMMYFUNCTION("""COMPUTED_VALUE"""),0.04746)</f>
        <v>0.04746</v>
      </c>
      <c r="K4844" s="19" t="str">
        <f>IFERROR(__xludf.DUMMYFUNCTION("""COMPUTED_VALUE"""),"-")</f>
        <v>-</v>
      </c>
      <c r="L4844" s="19" t="str">
        <f>IFERROR(__xludf.DUMMYFUNCTION("""COMPUTED_VALUE"""),"-")</f>
        <v>-</v>
      </c>
      <c r="O4844" s="24">
        <f t="shared" si="4"/>
        <v>0</v>
      </c>
      <c r="P4844" s="24"/>
      <c r="Q4844" s="24">
        <f t="shared" si="6"/>
        <v>0</v>
      </c>
      <c r="R4844" s="24">
        <f t="shared" si="7"/>
        <v>0</v>
      </c>
      <c r="S4844" s="24"/>
      <c r="T4844" s="24"/>
    </row>
    <row r="4845">
      <c r="A4845" s="12" t="s">
        <v>4932</v>
      </c>
      <c r="F4845" s="19">
        <f>IFERROR(__xludf.DUMMYFUNCTION("SPLIT(A4841, "" |"")"),4839.0)</f>
        <v>4839</v>
      </c>
      <c r="G4845" s="19">
        <f>IFERROR(__xludf.DUMMYFUNCTION("""COMPUTED_VALUE"""),0.00232)</f>
        <v>0.00232</v>
      </c>
      <c r="H4845" s="19" t="str">
        <f>IFERROR(__xludf.DUMMYFUNCTION("""COMPUTED_VALUE"""),"-")</f>
        <v>-</v>
      </c>
      <c r="I4845" s="19">
        <f>IFERROR(__xludf.DUMMYFUNCTION("""COMPUTED_VALUE"""),0.0022)</f>
        <v>0.0022</v>
      </c>
      <c r="J4845" s="19">
        <f>IFERROR(__xludf.DUMMYFUNCTION("""COMPUTED_VALUE"""),0.04736)</f>
        <v>0.04736</v>
      </c>
      <c r="K4845" s="19" t="str">
        <f>IFERROR(__xludf.DUMMYFUNCTION("""COMPUTED_VALUE"""),"-")</f>
        <v>-</v>
      </c>
      <c r="L4845" s="19" t="str">
        <f>IFERROR(__xludf.DUMMYFUNCTION("""COMPUTED_VALUE"""),"-")</f>
        <v>-</v>
      </c>
      <c r="O4845" s="24">
        <f t="shared" si="4"/>
        <v>0</v>
      </c>
      <c r="P4845" s="24"/>
      <c r="Q4845" s="24">
        <f t="shared" si="6"/>
        <v>0</v>
      </c>
      <c r="R4845" s="24">
        <f t="shared" si="7"/>
        <v>0</v>
      </c>
      <c r="S4845" s="24"/>
      <c r="T4845" s="24"/>
    </row>
    <row r="4846">
      <c r="A4846" s="12" t="s">
        <v>4933</v>
      </c>
      <c r="F4846" s="19">
        <f>IFERROR(__xludf.DUMMYFUNCTION("SPLIT(A4842, "" |"")"),4840.0)</f>
        <v>4840</v>
      </c>
      <c r="G4846" s="19">
        <f>IFERROR(__xludf.DUMMYFUNCTION("""COMPUTED_VALUE"""),0.00242)</f>
        <v>0.00242</v>
      </c>
      <c r="H4846" s="19" t="str">
        <f>IFERROR(__xludf.DUMMYFUNCTION("""COMPUTED_VALUE"""),"-")</f>
        <v>-</v>
      </c>
      <c r="I4846" s="19">
        <f>IFERROR(__xludf.DUMMYFUNCTION("""COMPUTED_VALUE"""),0.00217)</f>
        <v>0.00217</v>
      </c>
      <c r="J4846" s="19">
        <f>IFERROR(__xludf.DUMMYFUNCTION("""COMPUTED_VALUE"""),0.04742)</f>
        <v>0.04742</v>
      </c>
      <c r="K4846" s="19" t="str">
        <f>IFERROR(__xludf.DUMMYFUNCTION("""COMPUTED_VALUE"""),"-")</f>
        <v>-</v>
      </c>
      <c r="L4846" s="19" t="str">
        <f>IFERROR(__xludf.DUMMYFUNCTION("""COMPUTED_VALUE"""),"-")</f>
        <v>-</v>
      </c>
      <c r="O4846" s="24">
        <f t="shared" si="4"/>
        <v>0</v>
      </c>
      <c r="P4846" s="24"/>
      <c r="Q4846" s="24">
        <f t="shared" si="6"/>
        <v>0</v>
      </c>
      <c r="R4846" s="24">
        <f t="shared" si="7"/>
        <v>0</v>
      </c>
      <c r="S4846" s="24"/>
      <c r="T4846" s="24"/>
    </row>
    <row r="4847">
      <c r="A4847" s="12" t="s">
        <v>4934</v>
      </c>
      <c r="F4847" s="19">
        <f>IFERROR(__xludf.DUMMYFUNCTION("SPLIT(A4843, "" |"")"),4841.0)</f>
        <v>4841</v>
      </c>
      <c r="G4847" s="19">
        <f>IFERROR(__xludf.DUMMYFUNCTION("""COMPUTED_VALUE"""),0.00222)</f>
        <v>0.00222</v>
      </c>
      <c r="H4847" s="19" t="str">
        <f>IFERROR(__xludf.DUMMYFUNCTION("""COMPUTED_VALUE"""),"-")</f>
        <v>-</v>
      </c>
      <c r="I4847" s="19">
        <f>IFERROR(__xludf.DUMMYFUNCTION("""COMPUTED_VALUE"""),0.00218)</f>
        <v>0.00218</v>
      </c>
      <c r="J4847" s="19">
        <f>IFERROR(__xludf.DUMMYFUNCTION("""COMPUTED_VALUE"""),0.04746)</f>
        <v>0.04746</v>
      </c>
      <c r="K4847" s="19" t="str">
        <f>IFERROR(__xludf.DUMMYFUNCTION("""COMPUTED_VALUE"""),"-")</f>
        <v>-</v>
      </c>
      <c r="L4847" s="19" t="str">
        <f>IFERROR(__xludf.DUMMYFUNCTION("""COMPUTED_VALUE"""),"-")</f>
        <v>-</v>
      </c>
      <c r="O4847" s="24">
        <f t="shared" si="4"/>
        <v>0</v>
      </c>
      <c r="P4847" s="24"/>
      <c r="Q4847" s="24">
        <f t="shared" si="6"/>
        <v>0</v>
      </c>
      <c r="R4847" s="24">
        <f t="shared" si="7"/>
        <v>0</v>
      </c>
      <c r="S4847" s="24"/>
      <c r="T4847" s="24"/>
    </row>
    <row r="4848">
      <c r="A4848" s="12" t="s">
        <v>4935</v>
      </c>
      <c r="F4848" s="19">
        <f>IFERROR(__xludf.DUMMYFUNCTION("SPLIT(A4844, "" |"")"),4842.0)</f>
        <v>4842</v>
      </c>
      <c r="G4848" s="19">
        <f>IFERROR(__xludf.DUMMYFUNCTION("""COMPUTED_VALUE"""),0.00254)</f>
        <v>0.00254</v>
      </c>
      <c r="H4848" s="19" t="str">
        <f>IFERROR(__xludf.DUMMYFUNCTION("""COMPUTED_VALUE"""),"-")</f>
        <v>-</v>
      </c>
      <c r="I4848" s="19">
        <f>IFERROR(__xludf.DUMMYFUNCTION("""COMPUTED_VALUE"""),0.00224)</f>
        <v>0.00224</v>
      </c>
      <c r="J4848" s="19">
        <f>IFERROR(__xludf.DUMMYFUNCTION("""COMPUTED_VALUE"""),0.04735)</f>
        <v>0.04735</v>
      </c>
      <c r="K4848" s="19" t="str">
        <f>IFERROR(__xludf.DUMMYFUNCTION("""COMPUTED_VALUE"""),"-")</f>
        <v>-</v>
      </c>
      <c r="L4848" s="19" t="str">
        <f>IFERROR(__xludf.DUMMYFUNCTION("""COMPUTED_VALUE"""),"-")</f>
        <v>-</v>
      </c>
      <c r="O4848" s="24">
        <f t="shared" si="4"/>
        <v>0</v>
      </c>
      <c r="P4848" s="24"/>
      <c r="Q4848" s="24">
        <f t="shared" si="6"/>
        <v>0</v>
      </c>
      <c r="R4848" s="24">
        <f t="shared" si="7"/>
        <v>0</v>
      </c>
      <c r="S4848" s="24"/>
      <c r="T4848" s="24"/>
    </row>
    <row r="4849">
      <c r="A4849" s="12" t="s">
        <v>4936</v>
      </c>
      <c r="F4849" s="19">
        <f>IFERROR(__xludf.DUMMYFUNCTION("SPLIT(A4845, "" |"")"),4843.0)</f>
        <v>4843</v>
      </c>
      <c r="G4849" s="19">
        <f>IFERROR(__xludf.DUMMYFUNCTION("""COMPUTED_VALUE"""),0.00208)</f>
        <v>0.00208</v>
      </c>
      <c r="H4849" s="19" t="str">
        <f>IFERROR(__xludf.DUMMYFUNCTION("""COMPUTED_VALUE"""),"-")</f>
        <v>-</v>
      </c>
      <c r="I4849" s="19">
        <f>IFERROR(__xludf.DUMMYFUNCTION("""COMPUTED_VALUE"""),0.00226)</f>
        <v>0.00226</v>
      </c>
      <c r="J4849" s="19">
        <f>IFERROR(__xludf.DUMMYFUNCTION("""COMPUTED_VALUE"""),0.04746)</f>
        <v>0.04746</v>
      </c>
      <c r="K4849" s="19" t="str">
        <f>IFERROR(__xludf.DUMMYFUNCTION("""COMPUTED_VALUE"""),"-")</f>
        <v>-</v>
      </c>
      <c r="L4849" s="19" t="str">
        <f>IFERROR(__xludf.DUMMYFUNCTION("""COMPUTED_VALUE"""),"-")</f>
        <v>-</v>
      </c>
      <c r="O4849" s="24">
        <f t="shared" si="4"/>
        <v>0</v>
      </c>
      <c r="P4849" s="24"/>
      <c r="Q4849" s="24">
        <f t="shared" si="6"/>
        <v>0</v>
      </c>
      <c r="R4849" s="24">
        <f t="shared" si="7"/>
        <v>0</v>
      </c>
      <c r="S4849" s="24"/>
      <c r="T4849" s="24"/>
    </row>
    <row r="4850">
      <c r="A4850" s="12" t="s">
        <v>4937</v>
      </c>
      <c r="F4850" s="19">
        <f>IFERROR(__xludf.DUMMYFUNCTION("SPLIT(A4846, "" |"")"),4844.0)</f>
        <v>4844</v>
      </c>
      <c r="G4850" s="19">
        <f>IFERROR(__xludf.DUMMYFUNCTION("""COMPUTED_VALUE"""),0.00239)</f>
        <v>0.00239</v>
      </c>
      <c r="H4850" s="19" t="str">
        <f>IFERROR(__xludf.DUMMYFUNCTION("""COMPUTED_VALUE"""),"-")</f>
        <v>-</v>
      </c>
      <c r="I4850" s="19">
        <f>IFERROR(__xludf.DUMMYFUNCTION("""COMPUTED_VALUE"""),0.0022)</f>
        <v>0.0022</v>
      </c>
      <c r="J4850" s="19">
        <f>IFERROR(__xludf.DUMMYFUNCTION("""COMPUTED_VALUE"""),0.04744)</f>
        <v>0.04744</v>
      </c>
      <c r="K4850" s="19" t="str">
        <f>IFERROR(__xludf.DUMMYFUNCTION("""COMPUTED_VALUE"""),"-")</f>
        <v>-</v>
      </c>
      <c r="L4850" s="19" t="str">
        <f>IFERROR(__xludf.DUMMYFUNCTION("""COMPUTED_VALUE"""),"-")</f>
        <v>-</v>
      </c>
      <c r="O4850" s="24">
        <f t="shared" si="4"/>
        <v>0</v>
      </c>
      <c r="P4850" s="24"/>
      <c r="Q4850" s="24">
        <f t="shared" si="6"/>
        <v>0</v>
      </c>
      <c r="R4850" s="24">
        <f t="shared" si="7"/>
        <v>0</v>
      </c>
      <c r="S4850" s="24"/>
      <c r="T4850" s="24"/>
    </row>
    <row r="4851">
      <c r="A4851" s="12" t="s">
        <v>4938</v>
      </c>
      <c r="F4851" s="19">
        <f>IFERROR(__xludf.DUMMYFUNCTION("SPLIT(A4847, "" |"")"),4845.0)</f>
        <v>4845</v>
      </c>
      <c r="G4851" s="19">
        <f>IFERROR(__xludf.DUMMYFUNCTION("""COMPUTED_VALUE"""),0.00232)</f>
        <v>0.00232</v>
      </c>
      <c r="H4851" s="19" t="str">
        <f>IFERROR(__xludf.DUMMYFUNCTION("""COMPUTED_VALUE"""),"-")</f>
        <v>-</v>
      </c>
      <c r="I4851" s="19">
        <f>IFERROR(__xludf.DUMMYFUNCTION("""COMPUTED_VALUE"""),0.00221)</f>
        <v>0.00221</v>
      </c>
      <c r="J4851" s="19">
        <f>IFERROR(__xludf.DUMMYFUNCTION("""COMPUTED_VALUE"""),0.04745)</f>
        <v>0.04745</v>
      </c>
      <c r="K4851" s="19" t="str">
        <f>IFERROR(__xludf.DUMMYFUNCTION("""COMPUTED_VALUE"""),"-")</f>
        <v>-</v>
      </c>
      <c r="L4851" s="19" t="str">
        <f>IFERROR(__xludf.DUMMYFUNCTION("""COMPUTED_VALUE"""),"-")</f>
        <v>-</v>
      </c>
      <c r="O4851" s="24">
        <f t="shared" si="4"/>
        <v>0</v>
      </c>
      <c r="P4851" s="24"/>
      <c r="Q4851" s="24">
        <f t="shared" si="6"/>
        <v>0</v>
      </c>
      <c r="R4851" s="24">
        <f t="shared" si="7"/>
        <v>0</v>
      </c>
      <c r="S4851" s="24"/>
      <c r="T4851" s="24"/>
    </row>
    <row r="4852">
      <c r="A4852" s="12" t="s">
        <v>4939</v>
      </c>
      <c r="F4852" s="19">
        <f>IFERROR(__xludf.DUMMYFUNCTION("SPLIT(A4848, "" |"")"),4846.0)</f>
        <v>4846</v>
      </c>
      <c r="G4852" s="19">
        <f>IFERROR(__xludf.DUMMYFUNCTION("""COMPUTED_VALUE"""),0.00236)</f>
        <v>0.00236</v>
      </c>
      <c r="H4852" s="19" t="str">
        <f>IFERROR(__xludf.DUMMYFUNCTION("""COMPUTED_VALUE"""),"-")</f>
        <v>-</v>
      </c>
      <c r="I4852" s="19">
        <f>IFERROR(__xludf.DUMMYFUNCTION("""COMPUTED_VALUE"""),0.00222)</f>
        <v>0.00222</v>
      </c>
      <c r="J4852" s="19">
        <f>IFERROR(__xludf.DUMMYFUNCTION("""COMPUTED_VALUE"""),0.0474)</f>
        <v>0.0474</v>
      </c>
      <c r="K4852" s="19" t="str">
        <f>IFERROR(__xludf.DUMMYFUNCTION("""COMPUTED_VALUE"""),"-")</f>
        <v>-</v>
      </c>
      <c r="L4852" s="19" t="str">
        <f>IFERROR(__xludf.DUMMYFUNCTION("""COMPUTED_VALUE"""),"-")</f>
        <v>-</v>
      </c>
      <c r="O4852" s="24">
        <f t="shared" si="4"/>
        <v>0</v>
      </c>
      <c r="P4852" s="24"/>
      <c r="Q4852" s="24">
        <f t="shared" si="6"/>
        <v>0</v>
      </c>
      <c r="R4852" s="24">
        <f t="shared" si="7"/>
        <v>0</v>
      </c>
      <c r="S4852" s="24"/>
      <c r="T4852" s="24"/>
    </row>
    <row r="4853">
      <c r="A4853" s="12" t="s">
        <v>4940</v>
      </c>
      <c r="F4853" s="19">
        <f>IFERROR(__xludf.DUMMYFUNCTION("SPLIT(A4849, "" |"")"),4847.0)</f>
        <v>4847</v>
      </c>
      <c r="G4853" s="19">
        <f>IFERROR(__xludf.DUMMYFUNCTION("""COMPUTED_VALUE"""),0.00238)</f>
        <v>0.00238</v>
      </c>
      <c r="H4853" s="19" t="str">
        <f>IFERROR(__xludf.DUMMYFUNCTION("""COMPUTED_VALUE"""),"-")</f>
        <v>-</v>
      </c>
      <c r="I4853" s="19">
        <f>IFERROR(__xludf.DUMMYFUNCTION("""COMPUTED_VALUE"""),0.0022)</f>
        <v>0.0022</v>
      </c>
      <c r="J4853" s="19">
        <f>IFERROR(__xludf.DUMMYFUNCTION("""COMPUTED_VALUE"""),0.04745)</f>
        <v>0.04745</v>
      </c>
      <c r="K4853" s="19" t="str">
        <f>IFERROR(__xludf.DUMMYFUNCTION("""COMPUTED_VALUE"""),"-")</f>
        <v>-</v>
      </c>
      <c r="L4853" s="19" t="str">
        <f>IFERROR(__xludf.DUMMYFUNCTION("""COMPUTED_VALUE"""),"-")</f>
        <v>-</v>
      </c>
      <c r="O4853" s="24">
        <f t="shared" si="4"/>
        <v>0</v>
      </c>
      <c r="P4853" s="24"/>
      <c r="Q4853" s="24">
        <f t="shared" si="6"/>
        <v>0</v>
      </c>
      <c r="R4853" s="24">
        <f t="shared" si="7"/>
        <v>0</v>
      </c>
      <c r="S4853" s="24"/>
      <c r="T4853" s="24"/>
    </row>
    <row r="4854">
      <c r="A4854" s="12" t="s">
        <v>4941</v>
      </c>
      <c r="F4854" s="19">
        <f>IFERROR(__xludf.DUMMYFUNCTION("SPLIT(A4850, "" |"")"),4848.0)</f>
        <v>4848</v>
      </c>
      <c r="G4854" s="19">
        <f>IFERROR(__xludf.DUMMYFUNCTION("""COMPUTED_VALUE"""),0.00228)</f>
        <v>0.00228</v>
      </c>
      <c r="H4854" s="19" t="str">
        <f>IFERROR(__xludf.DUMMYFUNCTION("""COMPUTED_VALUE"""),"-")</f>
        <v>-</v>
      </c>
      <c r="I4854" s="19">
        <f>IFERROR(__xludf.DUMMYFUNCTION("""COMPUTED_VALUE"""),0.00216)</f>
        <v>0.00216</v>
      </c>
      <c r="J4854" s="19">
        <f>IFERROR(__xludf.DUMMYFUNCTION("""COMPUTED_VALUE"""),0.04735)</f>
        <v>0.04735</v>
      </c>
      <c r="K4854" s="19" t="str">
        <f>IFERROR(__xludf.DUMMYFUNCTION("""COMPUTED_VALUE"""),"-")</f>
        <v>-</v>
      </c>
      <c r="L4854" s="19" t="str">
        <f>IFERROR(__xludf.DUMMYFUNCTION("""COMPUTED_VALUE"""),"-")</f>
        <v>-</v>
      </c>
      <c r="O4854" s="24">
        <f t="shared" si="4"/>
        <v>0</v>
      </c>
      <c r="P4854" s="24"/>
      <c r="Q4854" s="24">
        <f t="shared" si="6"/>
        <v>0</v>
      </c>
      <c r="R4854" s="24">
        <f t="shared" si="7"/>
        <v>0</v>
      </c>
      <c r="S4854" s="24"/>
      <c r="T4854" s="24"/>
    </row>
    <row r="4855">
      <c r="A4855" s="12" t="s">
        <v>4942</v>
      </c>
      <c r="F4855" s="19">
        <f>IFERROR(__xludf.DUMMYFUNCTION("SPLIT(A4851, "" |"")"),4849.0)</f>
        <v>4849</v>
      </c>
      <c r="G4855" s="19">
        <f>IFERROR(__xludf.DUMMYFUNCTION("""COMPUTED_VALUE"""),0.00239)</f>
        <v>0.00239</v>
      </c>
      <c r="H4855" s="19" t="str">
        <f>IFERROR(__xludf.DUMMYFUNCTION("""COMPUTED_VALUE"""),"-")</f>
        <v>-</v>
      </c>
      <c r="I4855" s="19">
        <f>IFERROR(__xludf.DUMMYFUNCTION("""COMPUTED_VALUE"""),0.00223)</f>
        <v>0.00223</v>
      </c>
      <c r="J4855" s="19">
        <f>IFERROR(__xludf.DUMMYFUNCTION("""COMPUTED_VALUE"""),0.04747)</f>
        <v>0.04747</v>
      </c>
      <c r="K4855" s="19" t="str">
        <f>IFERROR(__xludf.DUMMYFUNCTION("""COMPUTED_VALUE"""),"-")</f>
        <v>-</v>
      </c>
      <c r="L4855" s="19" t="str">
        <f>IFERROR(__xludf.DUMMYFUNCTION("""COMPUTED_VALUE"""),"-")</f>
        <v>-</v>
      </c>
      <c r="O4855" s="24">
        <f t="shared" si="4"/>
        <v>0</v>
      </c>
      <c r="P4855" s="24"/>
      <c r="Q4855" s="24">
        <f t="shared" si="6"/>
        <v>0</v>
      </c>
      <c r="R4855" s="24">
        <f t="shared" si="7"/>
        <v>0</v>
      </c>
      <c r="S4855" s="24"/>
      <c r="T4855" s="24"/>
    </row>
    <row r="4856">
      <c r="A4856" s="12" t="s">
        <v>4943</v>
      </c>
      <c r="F4856" s="19">
        <f>IFERROR(__xludf.DUMMYFUNCTION("SPLIT(A4852, "" |"")"),4850.0)</f>
        <v>4850</v>
      </c>
      <c r="G4856" s="19">
        <f>IFERROR(__xludf.DUMMYFUNCTION("""COMPUTED_VALUE"""),0.00233)</f>
        <v>0.00233</v>
      </c>
      <c r="H4856" s="19" t="str">
        <f>IFERROR(__xludf.DUMMYFUNCTION("""COMPUTED_VALUE"""),"-")</f>
        <v>-</v>
      </c>
      <c r="I4856" s="19">
        <f>IFERROR(__xludf.DUMMYFUNCTION("""COMPUTED_VALUE"""),0.0022)</f>
        <v>0.0022</v>
      </c>
      <c r="J4856" s="19">
        <f>IFERROR(__xludf.DUMMYFUNCTION("""COMPUTED_VALUE"""),0.04747)</f>
        <v>0.04747</v>
      </c>
      <c r="K4856" s="19" t="str">
        <f>IFERROR(__xludf.DUMMYFUNCTION("""COMPUTED_VALUE"""),"-")</f>
        <v>-</v>
      </c>
      <c r="L4856" s="19" t="str">
        <f>IFERROR(__xludf.DUMMYFUNCTION("""COMPUTED_VALUE"""),"-")</f>
        <v>-</v>
      </c>
      <c r="O4856" s="24">
        <f t="shared" si="4"/>
        <v>0</v>
      </c>
      <c r="P4856" s="24"/>
      <c r="Q4856" s="24">
        <f t="shared" si="6"/>
        <v>0</v>
      </c>
      <c r="R4856" s="24">
        <f t="shared" si="7"/>
        <v>0</v>
      </c>
      <c r="S4856" s="24"/>
      <c r="T4856" s="24"/>
    </row>
    <row r="4857">
      <c r="A4857" s="12" t="s">
        <v>4944</v>
      </c>
      <c r="F4857" s="19">
        <f>IFERROR(__xludf.DUMMYFUNCTION("SPLIT(A4853, "" |"")"),4851.0)</f>
        <v>4851</v>
      </c>
      <c r="G4857" s="19">
        <f>IFERROR(__xludf.DUMMYFUNCTION("""COMPUTED_VALUE"""),0.00237)</f>
        <v>0.00237</v>
      </c>
      <c r="H4857" s="19" t="str">
        <f>IFERROR(__xludf.DUMMYFUNCTION("""COMPUTED_VALUE"""),"-")</f>
        <v>-</v>
      </c>
      <c r="I4857" s="19">
        <f>IFERROR(__xludf.DUMMYFUNCTION("""COMPUTED_VALUE"""),0.00219)</f>
        <v>0.00219</v>
      </c>
      <c r="J4857" s="19">
        <f>IFERROR(__xludf.DUMMYFUNCTION("""COMPUTED_VALUE"""),0.04661)</f>
        <v>0.04661</v>
      </c>
      <c r="K4857" s="19" t="str">
        <f>IFERROR(__xludf.DUMMYFUNCTION("""COMPUTED_VALUE"""),"-")</f>
        <v>-</v>
      </c>
      <c r="L4857" s="19" t="str">
        <f>IFERROR(__xludf.DUMMYFUNCTION("""COMPUTED_VALUE"""),"-")</f>
        <v>-</v>
      </c>
      <c r="O4857" s="24">
        <f t="shared" si="4"/>
        <v>0</v>
      </c>
      <c r="P4857" s="24"/>
      <c r="Q4857" s="24">
        <f t="shared" si="6"/>
        <v>0</v>
      </c>
      <c r="R4857" s="24">
        <f t="shared" si="7"/>
        <v>0</v>
      </c>
      <c r="S4857" s="24"/>
      <c r="T4857" s="24"/>
    </row>
    <row r="4858">
      <c r="A4858" s="12" t="s">
        <v>4945</v>
      </c>
      <c r="F4858" s="19">
        <f>IFERROR(__xludf.DUMMYFUNCTION("SPLIT(A4854, "" |"")"),4852.0)</f>
        <v>4852</v>
      </c>
      <c r="G4858" s="19">
        <f>IFERROR(__xludf.DUMMYFUNCTION("""COMPUTED_VALUE"""),0.00234)</f>
        <v>0.00234</v>
      </c>
      <c r="H4858" s="19" t="str">
        <f>IFERROR(__xludf.DUMMYFUNCTION("""COMPUTED_VALUE"""),"-")</f>
        <v>-</v>
      </c>
      <c r="I4858" s="19">
        <f>IFERROR(__xludf.DUMMYFUNCTION("""COMPUTED_VALUE"""),0.00211)</f>
        <v>0.00211</v>
      </c>
      <c r="J4858" s="19">
        <f>IFERROR(__xludf.DUMMYFUNCTION("""COMPUTED_VALUE"""),0.0474)</f>
        <v>0.0474</v>
      </c>
      <c r="K4858" s="19" t="str">
        <f>IFERROR(__xludf.DUMMYFUNCTION("""COMPUTED_VALUE"""),"-")</f>
        <v>-</v>
      </c>
      <c r="L4858" s="19" t="str">
        <f>IFERROR(__xludf.DUMMYFUNCTION("""COMPUTED_VALUE"""),"-")</f>
        <v>-</v>
      </c>
      <c r="O4858" s="24">
        <f t="shared" si="4"/>
        <v>0</v>
      </c>
      <c r="P4858" s="24"/>
      <c r="Q4858" s="24">
        <f t="shared" si="6"/>
        <v>0</v>
      </c>
      <c r="R4858" s="24">
        <f t="shared" si="7"/>
        <v>0</v>
      </c>
      <c r="S4858" s="24"/>
      <c r="T4858" s="24"/>
    </row>
    <row r="4859">
      <c r="A4859" s="12" t="s">
        <v>4946</v>
      </c>
      <c r="F4859" s="19">
        <f>IFERROR(__xludf.DUMMYFUNCTION("SPLIT(A4855, "" |"")"),4853.0)</f>
        <v>4853</v>
      </c>
      <c r="G4859" s="19">
        <f>IFERROR(__xludf.DUMMYFUNCTION("""COMPUTED_VALUE"""),0.00239)</f>
        <v>0.00239</v>
      </c>
      <c r="H4859" s="19" t="str">
        <f>IFERROR(__xludf.DUMMYFUNCTION("""COMPUTED_VALUE"""),"-")</f>
        <v>-</v>
      </c>
      <c r="I4859" s="19">
        <f>IFERROR(__xludf.DUMMYFUNCTION("""COMPUTED_VALUE"""),0.00223)</f>
        <v>0.00223</v>
      </c>
      <c r="J4859" s="19">
        <f>IFERROR(__xludf.DUMMYFUNCTION("""COMPUTED_VALUE"""),0.04745)</f>
        <v>0.04745</v>
      </c>
      <c r="K4859" s="19" t="str">
        <f>IFERROR(__xludf.DUMMYFUNCTION("""COMPUTED_VALUE"""),"-")</f>
        <v>-</v>
      </c>
      <c r="L4859" s="19" t="str">
        <f>IFERROR(__xludf.DUMMYFUNCTION("""COMPUTED_VALUE"""),"-")</f>
        <v>-</v>
      </c>
      <c r="O4859" s="24">
        <f t="shared" si="4"/>
        <v>0</v>
      </c>
      <c r="P4859" s="24"/>
      <c r="Q4859" s="24">
        <f t="shared" si="6"/>
        <v>0</v>
      </c>
      <c r="R4859" s="24">
        <f t="shared" si="7"/>
        <v>0</v>
      </c>
      <c r="S4859" s="24"/>
      <c r="T4859" s="24"/>
    </row>
    <row r="4860">
      <c r="A4860" s="12" t="s">
        <v>4947</v>
      </c>
      <c r="F4860" s="19">
        <f>IFERROR(__xludf.DUMMYFUNCTION("SPLIT(A4856, "" |"")"),4854.0)</f>
        <v>4854</v>
      </c>
      <c r="G4860" s="19">
        <f>IFERROR(__xludf.DUMMYFUNCTION("""COMPUTED_VALUE"""),0.00236)</f>
        <v>0.00236</v>
      </c>
      <c r="H4860" s="19" t="str">
        <f>IFERROR(__xludf.DUMMYFUNCTION("""COMPUTED_VALUE"""),"-")</f>
        <v>-</v>
      </c>
      <c r="I4860" s="19">
        <f>IFERROR(__xludf.DUMMYFUNCTION("""COMPUTED_VALUE"""),0.0022)</f>
        <v>0.0022</v>
      </c>
      <c r="J4860" s="19">
        <f>IFERROR(__xludf.DUMMYFUNCTION("""COMPUTED_VALUE"""),0.04746)</f>
        <v>0.04746</v>
      </c>
      <c r="K4860" s="19" t="str">
        <f>IFERROR(__xludf.DUMMYFUNCTION("""COMPUTED_VALUE"""),"-")</f>
        <v>-</v>
      </c>
      <c r="L4860" s="19" t="str">
        <f>IFERROR(__xludf.DUMMYFUNCTION("""COMPUTED_VALUE"""),"-")</f>
        <v>-</v>
      </c>
      <c r="O4860" s="24">
        <f t="shared" si="4"/>
        <v>0</v>
      </c>
      <c r="P4860" s="24"/>
      <c r="Q4860" s="24">
        <f t="shared" si="6"/>
        <v>0</v>
      </c>
      <c r="R4860" s="24">
        <f t="shared" si="7"/>
        <v>0</v>
      </c>
      <c r="S4860" s="24"/>
      <c r="T4860" s="24"/>
    </row>
    <row r="4861">
      <c r="A4861" s="12" t="s">
        <v>4948</v>
      </c>
      <c r="F4861" s="19">
        <f>IFERROR(__xludf.DUMMYFUNCTION("SPLIT(A4857, "" |"")"),4855.0)</f>
        <v>4855</v>
      </c>
      <c r="G4861" s="19">
        <f>IFERROR(__xludf.DUMMYFUNCTION("""COMPUTED_VALUE"""),0.00239)</f>
        <v>0.00239</v>
      </c>
      <c r="H4861" s="19" t="str">
        <f>IFERROR(__xludf.DUMMYFUNCTION("""COMPUTED_VALUE"""),"-")</f>
        <v>-</v>
      </c>
      <c r="I4861" s="19">
        <f>IFERROR(__xludf.DUMMYFUNCTION("""COMPUTED_VALUE"""),0.0022)</f>
        <v>0.0022</v>
      </c>
      <c r="J4861" s="19">
        <f>IFERROR(__xludf.DUMMYFUNCTION("""COMPUTED_VALUE"""),0.04745)</f>
        <v>0.04745</v>
      </c>
      <c r="K4861" s="19" t="str">
        <f>IFERROR(__xludf.DUMMYFUNCTION("""COMPUTED_VALUE"""),"-")</f>
        <v>-</v>
      </c>
      <c r="L4861" s="19" t="str">
        <f>IFERROR(__xludf.DUMMYFUNCTION("""COMPUTED_VALUE"""),"-")</f>
        <v>-</v>
      </c>
      <c r="O4861" s="24">
        <f t="shared" si="4"/>
        <v>0</v>
      </c>
      <c r="P4861" s="24"/>
      <c r="Q4861" s="24">
        <f t="shared" si="6"/>
        <v>0</v>
      </c>
      <c r="R4861" s="24">
        <f t="shared" si="7"/>
        <v>0</v>
      </c>
      <c r="S4861" s="24"/>
      <c r="T4861" s="24"/>
    </row>
    <row r="4862">
      <c r="A4862" s="12" t="s">
        <v>4949</v>
      </c>
      <c r="F4862" s="19">
        <f>IFERROR(__xludf.DUMMYFUNCTION("SPLIT(A4858, "" |"")"),4856.0)</f>
        <v>4856</v>
      </c>
      <c r="G4862" s="19">
        <f>IFERROR(__xludf.DUMMYFUNCTION("""COMPUTED_VALUE"""),0.00234)</f>
        <v>0.00234</v>
      </c>
      <c r="H4862" s="19" t="str">
        <f>IFERROR(__xludf.DUMMYFUNCTION("""COMPUTED_VALUE"""),"-")</f>
        <v>-</v>
      </c>
      <c r="I4862" s="19">
        <f>IFERROR(__xludf.DUMMYFUNCTION("""COMPUTED_VALUE"""),0.00219)</f>
        <v>0.00219</v>
      </c>
      <c r="J4862" s="19">
        <f>IFERROR(__xludf.DUMMYFUNCTION("""COMPUTED_VALUE"""),0.04737)</f>
        <v>0.04737</v>
      </c>
      <c r="K4862" s="19" t="str">
        <f>IFERROR(__xludf.DUMMYFUNCTION("""COMPUTED_VALUE"""),"-")</f>
        <v>-</v>
      </c>
      <c r="L4862" s="19" t="str">
        <f>IFERROR(__xludf.DUMMYFUNCTION("""COMPUTED_VALUE"""),"-")</f>
        <v>-</v>
      </c>
      <c r="O4862" s="24">
        <f t="shared" si="4"/>
        <v>0</v>
      </c>
      <c r="P4862" s="24"/>
      <c r="Q4862" s="24">
        <f t="shared" si="6"/>
        <v>0</v>
      </c>
      <c r="R4862" s="24">
        <f t="shared" si="7"/>
        <v>0</v>
      </c>
      <c r="S4862" s="24"/>
      <c r="T4862" s="24"/>
    </row>
    <row r="4863">
      <c r="A4863" s="12" t="s">
        <v>4950</v>
      </c>
      <c r="F4863" s="19">
        <f>IFERROR(__xludf.DUMMYFUNCTION("SPLIT(A4859, "" |"")"),4857.0)</f>
        <v>4857</v>
      </c>
      <c r="G4863" s="19">
        <f>IFERROR(__xludf.DUMMYFUNCTION("""COMPUTED_VALUE"""),0.0024)</f>
        <v>0.0024</v>
      </c>
      <c r="H4863" s="19" t="str">
        <f>IFERROR(__xludf.DUMMYFUNCTION("""COMPUTED_VALUE"""),"-")</f>
        <v>-</v>
      </c>
      <c r="I4863" s="19">
        <f>IFERROR(__xludf.DUMMYFUNCTION("""COMPUTED_VALUE"""),0.00222)</f>
        <v>0.00222</v>
      </c>
      <c r="J4863" s="19">
        <f>IFERROR(__xludf.DUMMYFUNCTION("""COMPUTED_VALUE"""),0.04577)</f>
        <v>0.04577</v>
      </c>
      <c r="K4863" s="19" t="str">
        <f>IFERROR(__xludf.DUMMYFUNCTION("""COMPUTED_VALUE"""),"-")</f>
        <v>-</v>
      </c>
      <c r="L4863" s="19" t="str">
        <f>IFERROR(__xludf.DUMMYFUNCTION("""COMPUTED_VALUE"""),"-")</f>
        <v>-</v>
      </c>
      <c r="O4863" s="24">
        <f t="shared" si="4"/>
        <v>0</v>
      </c>
      <c r="P4863" s="24"/>
      <c r="Q4863" s="24">
        <f t="shared" si="6"/>
        <v>0</v>
      </c>
      <c r="R4863" s="24">
        <f t="shared" si="7"/>
        <v>0</v>
      </c>
      <c r="S4863" s="24"/>
      <c r="T4863" s="24"/>
    </row>
    <row r="4864">
      <c r="A4864" s="12" t="s">
        <v>4951</v>
      </c>
      <c r="F4864" s="19">
        <f>IFERROR(__xludf.DUMMYFUNCTION("SPLIT(A4860, "" |"")"),4858.0)</f>
        <v>4858</v>
      </c>
      <c r="G4864" s="19">
        <f>IFERROR(__xludf.DUMMYFUNCTION("""COMPUTED_VALUE"""),0.00231)</f>
        <v>0.00231</v>
      </c>
      <c r="H4864" s="19" t="str">
        <f>IFERROR(__xludf.DUMMYFUNCTION("""COMPUTED_VALUE"""),"-")</f>
        <v>-</v>
      </c>
      <c r="I4864" s="19">
        <f>IFERROR(__xludf.DUMMYFUNCTION("""COMPUTED_VALUE"""),0.00212)</f>
        <v>0.00212</v>
      </c>
      <c r="J4864" s="19">
        <f>IFERROR(__xludf.DUMMYFUNCTION("""COMPUTED_VALUE"""),0.04743)</f>
        <v>0.04743</v>
      </c>
      <c r="K4864" s="19" t="str">
        <f>IFERROR(__xludf.DUMMYFUNCTION("""COMPUTED_VALUE"""),"-")</f>
        <v>-</v>
      </c>
      <c r="L4864" s="19" t="str">
        <f>IFERROR(__xludf.DUMMYFUNCTION("""COMPUTED_VALUE"""),"-")</f>
        <v>-</v>
      </c>
      <c r="O4864" s="24">
        <f t="shared" si="4"/>
        <v>0</v>
      </c>
      <c r="P4864" s="24"/>
      <c r="Q4864" s="24">
        <f t="shared" si="6"/>
        <v>0</v>
      </c>
      <c r="R4864" s="24">
        <f t="shared" si="7"/>
        <v>0</v>
      </c>
      <c r="S4864" s="24"/>
      <c r="T4864" s="24"/>
    </row>
    <row r="4865">
      <c r="A4865" s="12" t="s">
        <v>4952</v>
      </c>
      <c r="F4865" s="19">
        <f>IFERROR(__xludf.DUMMYFUNCTION("SPLIT(A4861, "" |"")"),4859.0)</f>
        <v>4859</v>
      </c>
      <c r="G4865" s="19">
        <f>IFERROR(__xludf.DUMMYFUNCTION("""COMPUTED_VALUE"""),0.00248)</f>
        <v>0.00248</v>
      </c>
      <c r="H4865" s="19" t="str">
        <f>IFERROR(__xludf.DUMMYFUNCTION("""COMPUTED_VALUE"""),"-")</f>
        <v>-</v>
      </c>
      <c r="I4865" s="19">
        <f>IFERROR(__xludf.DUMMYFUNCTION("""COMPUTED_VALUE"""),0.00226)</f>
        <v>0.00226</v>
      </c>
      <c r="J4865" s="19">
        <f>IFERROR(__xludf.DUMMYFUNCTION("""COMPUTED_VALUE"""),0.04751)</f>
        <v>0.04751</v>
      </c>
      <c r="K4865" s="19" t="str">
        <f>IFERROR(__xludf.DUMMYFUNCTION("""COMPUTED_VALUE"""),"-")</f>
        <v>-</v>
      </c>
      <c r="L4865" s="19" t="str">
        <f>IFERROR(__xludf.DUMMYFUNCTION("""COMPUTED_VALUE"""),"-")</f>
        <v>-</v>
      </c>
      <c r="O4865" s="24">
        <f t="shared" si="4"/>
        <v>0</v>
      </c>
      <c r="P4865" s="24"/>
      <c r="Q4865" s="24">
        <f t="shared" si="6"/>
        <v>0</v>
      </c>
      <c r="R4865" s="24">
        <f t="shared" si="7"/>
        <v>0</v>
      </c>
      <c r="S4865" s="24"/>
      <c r="T4865" s="24"/>
    </row>
    <row r="4866">
      <c r="A4866" s="12" t="s">
        <v>4953</v>
      </c>
      <c r="F4866" s="19">
        <f>IFERROR(__xludf.DUMMYFUNCTION("SPLIT(A4862, "" |"")"),4860.0)</f>
        <v>4860</v>
      </c>
      <c r="G4866" s="19">
        <f>IFERROR(__xludf.DUMMYFUNCTION("""COMPUTED_VALUE"""),0.0024)</f>
        <v>0.0024</v>
      </c>
      <c r="H4866" s="19" t="str">
        <f>IFERROR(__xludf.DUMMYFUNCTION("""COMPUTED_VALUE"""),"-")</f>
        <v>-</v>
      </c>
      <c r="I4866" s="19">
        <f>IFERROR(__xludf.DUMMYFUNCTION("""COMPUTED_VALUE"""),0.00216)</f>
        <v>0.00216</v>
      </c>
      <c r="J4866" s="19">
        <f>IFERROR(__xludf.DUMMYFUNCTION("""COMPUTED_VALUE"""),0.04728)</f>
        <v>0.04728</v>
      </c>
      <c r="K4866" s="19" t="str">
        <f>IFERROR(__xludf.DUMMYFUNCTION("""COMPUTED_VALUE"""),"-")</f>
        <v>-</v>
      </c>
      <c r="L4866" s="19" t="str">
        <f>IFERROR(__xludf.DUMMYFUNCTION("""COMPUTED_VALUE"""),"-")</f>
        <v>-</v>
      </c>
      <c r="O4866" s="24">
        <f t="shared" si="4"/>
        <v>0</v>
      </c>
      <c r="P4866" s="24"/>
      <c r="Q4866" s="24">
        <f t="shared" si="6"/>
        <v>0</v>
      </c>
      <c r="R4866" s="24">
        <f t="shared" si="7"/>
        <v>0</v>
      </c>
      <c r="S4866" s="24"/>
      <c r="T4866" s="24"/>
    </row>
    <row r="4867">
      <c r="A4867" s="12" t="s">
        <v>4954</v>
      </c>
      <c r="F4867" s="19">
        <f>IFERROR(__xludf.DUMMYFUNCTION("SPLIT(A4863, "" |"")"),4861.0)</f>
        <v>4861</v>
      </c>
      <c r="G4867" s="19">
        <f>IFERROR(__xludf.DUMMYFUNCTION("""COMPUTED_VALUE"""),0.00241)</f>
        <v>0.00241</v>
      </c>
      <c r="H4867" s="19" t="str">
        <f>IFERROR(__xludf.DUMMYFUNCTION("""COMPUTED_VALUE"""),"-")</f>
        <v>-</v>
      </c>
      <c r="I4867" s="19">
        <f>IFERROR(__xludf.DUMMYFUNCTION("""COMPUTED_VALUE"""),0.00215)</f>
        <v>0.00215</v>
      </c>
      <c r="J4867" s="19">
        <f>IFERROR(__xludf.DUMMYFUNCTION("""COMPUTED_VALUE"""),0.04745)</f>
        <v>0.04745</v>
      </c>
      <c r="K4867" s="19" t="str">
        <f>IFERROR(__xludf.DUMMYFUNCTION("""COMPUTED_VALUE"""),"-")</f>
        <v>-</v>
      </c>
      <c r="L4867" s="19" t="str">
        <f>IFERROR(__xludf.DUMMYFUNCTION("""COMPUTED_VALUE"""),"-")</f>
        <v>-</v>
      </c>
      <c r="O4867" s="24">
        <f t="shared" si="4"/>
        <v>0</v>
      </c>
      <c r="P4867" s="24"/>
      <c r="Q4867" s="24">
        <f t="shared" si="6"/>
        <v>0</v>
      </c>
      <c r="R4867" s="24">
        <f t="shared" si="7"/>
        <v>0</v>
      </c>
      <c r="S4867" s="24"/>
      <c r="T4867" s="24"/>
    </row>
    <row r="4868">
      <c r="A4868" s="12" t="s">
        <v>4955</v>
      </c>
      <c r="F4868" s="19">
        <f>IFERROR(__xludf.DUMMYFUNCTION("SPLIT(A4864, "" |"")"),4862.0)</f>
        <v>4862</v>
      </c>
      <c r="G4868" s="19">
        <f>IFERROR(__xludf.DUMMYFUNCTION("""COMPUTED_VALUE"""),0.00232)</f>
        <v>0.00232</v>
      </c>
      <c r="H4868" s="19" t="str">
        <f>IFERROR(__xludf.DUMMYFUNCTION("""COMPUTED_VALUE"""),"-")</f>
        <v>-</v>
      </c>
      <c r="I4868" s="19">
        <f>IFERROR(__xludf.DUMMYFUNCTION("""COMPUTED_VALUE"""),0.00211)</f>
        <v>0.00211</v>
      </c>
      <c r="J4868" s="19">
        <f>IFERROR(__xludf.DUMMYFUNCTION("""COMPUTED_VALUE"""),0.04439)</f>
        <v>0.04439</v>
      </c>
      <c r="K4868" s="19" t="str">
        <f>IFERROR(__xludf.DUMMYFUNCTION("""COMPUTED_VALUE"""),"-")</f>
        <v>-</v>
      </c>
      <c r="L4868" s="19" t="str">
        <f>IFERROR(__xludf.DUMMYFUNCTION("""COMPUTED_VALUE"""),"-")</f>
        <v>-</v>
      </c>
      <c r="O4868" s="24">
        <f t="shared" si="4"/>
        <v>0</v>
      </c>
      <c r="P4868" s="24"/>
      <c r="Q4868" s="24">
        <f t="shared" si="6"/>
        <v>0</v>
      </c>
      <c r="R4868" s="24">
        <f t="shared" si="7"/>
        <v>1</v>
      </c>
      <c r="S4868" s="24"/>
      <c r="T4868" s="24"/>
    </row>
    <row r="4869">
      <c r="A4869" s="12" t="s">
        <v>4956</v>
      </c>
      <c r="F4869" s="19">
        <f>IFERROR(__xludf.DUMMYFUNCTION("SPLIT(A4865, "" |"")"),4863.0)</f>
        <v>4863</v>
      </c>
      <c r="G4869" s="19">
        <f>IFERROR(__xludf.DUMMYFUNCTION("""COMPUTED_VALUE"""),0.00234)</f>
        <v>0.00234</v>
      </c>
      <c r="H4869" s="19" t="str">
        <f>IFERROR(__xludf.DUMMYFUNCTION("""COMPUTED_VALUE"""),"-")</f>
        <v>-</v>
      </c>
      <c r="I4869" s="19">
        <f>IFERROR(__xludf.DUMMYFUNCTION("""COMPUTED_VALUE"""),0.00217)</f>
        <v>0.00217</v>
      </c>
      <c r="J4869" s="19">
        <f>IFERROR(__xludf.DUMMYFUNCTION("""COMPUTED_VALUE"""),0.04741)</f>
        <v>0.04741</v>
      </c>
      <c r="K4869" s="19" t="str">
        <f>IFERROR(__xludf.DUMMYFUNCTION("""COMPUTED_VALUE"""),"-")</f>
        <v>-</v>
      </c>
      <c r="L4869" s="19" t="str">
        <f>IFERROR(__xludf.DUMMYFUNCTION("""COMPUTED_VALUE"""),"-")</f>
        <v>-</v>
      </c>
      <c r="O4869" s="24">
        <f t="shared" si="4"/>
        <v>0</v>
      </c>
      <c r="P4869" s="24"/>
      <c r="Q4869" s="24">
        <f t="shared" si="6"/>
        <v>0</v>
      </c>
      <c r="R4869" s="24">
        <f t="shared" si="7"/>
        <v>0</v>
      </c>
      <c r="S4869" s="24"/>
      <c r="T4869" s="24"/>
    </row>
    <row r="4870">
      <c r="A4870" s="12" t="s">
        <v>4957</v>
      </c>
      <c r="F4870" s="19">
        <f>IFERROR(__xludf.DUMMYFUNCTION("SPLIT(A4866, "" |"")"),4864.0)</f>
        <v>4864</v>
      </c>
      <c r="G4870" s="19">
        <f>IFERROR(__xludf.DUMMYFUNCTION("""COMPUTED_VALUE"""),0.00227)</f>
        <v>0.00227</v>
      </c>
      <c r="H4870" s="19" t="str">
        <f>IFERROR(__xludf.DUMMYFUNCTION("""COMPUTED_VALUE"""),"-")</f>
        <v>-</v>
      </c>
      <c r="I4870" s="19">
        <f>IFERROR(__xludf.DUMMYFUNCTION("""COMPUTED_VALUE"""),0.00207)</f>
        <v>0.00207</v>
      </c>
      <c r="J4870" s="19">
        <f>IFERROR(__xludf.DUMMYFUNCTION("""COMPUTED_VALUE"""),0.04729)</f>
        <v>0.04729</v>
      </c>
      <c r="K4870" s="19" t="str">
        <f>IFERROR(__xludf.DUMMYFUNCTION("""COMPUTED_VALUE"""),"-")</f>
        <v>-</v>
      </c>
      <c r="L4870" s="19" t="str">
        <f>IFERROR(__xludf.DUMMYFUNCTION("""COMPUTED_VALUE"""),"-")</f>
        <v>-</v>
      </c>
      <c r="O4870" s="24">
        <f t="shared" si="4"/>
        <v>0</v>
      </c>
      <c r="P4870" s="24"/>
      <c r="Q4870" s="24">
        <f t="shared" si="6"/>
        <v>0</v>
      </c>
      <c r="R4870" s="24">
        <f t="shared" si="7"/>
        <v>0</v>
      </c>
      <c r="S4870" s="24"/>
      <c r="T4870" s="24"/>
    </row>
    <row r="4871">
      <c r="A4871" s="12" t="s">
        <v>4958</v>
      </c>
      <c r="F4871" s="19">
        <f>IFERROR(__xludf.DUMMYFUNCTION("SPLIT(A4867, "" |"")"),4865.0)</f>
        <v>4865</v>
      </c>
      <c r="G4871" s="19">
        <f>IFERROR(__xludf.DUMMYFUNCTION("""COMPUTED_VALUE"""),0.00238)</f>
        <v>0.00238</v>
      </c>
      <c r="H4871" s="19" t="str">
        <f>IFERROR(__xludf.DUMMYFUNCTION("""COMPUTED_VALUE"""),"-")</f>
        <v>-</v>
      </c>
      <c r="I4871" s="19">
        <f>IFERROR(__xludf.DUMMYFUNCTION("""COMPUTED_VALUE"""),0.00218)</f>
        <v>0.00218</v>
      </c>
      <c r="J4871" s="19">
        <f>IFERROR(__xludf.DUMMYFUNCTION("""COMPUTED_VALUE"""),0.04746)</f>
        <v>0.04746</v>
      </c>
      <c r="K4871" s="19" t="str">
        <f>IFERROR(__xludf.DUMMYFUNCTION("""COMPUTED_VALUE"""),"-")</f>
        <v>-</v>
      </c>
      <c r="L4871" s="19" t="str">
        <f>IFERROR(__xludf.DUMMYFUNCTION("""COMPUTED_VALUE"""),"-")</f>
        <v>-</v>
      </c>
      <c r="O4871" s="24">
        <f t="shared" si="4"/>
        <v>0</v>
      </c>
      <c r="P4871" s="24"/>
      <c r="Q4871" s="24">
        <f t="shared" si="6"/>
        <v>0</v>
      </c>
      <c r="R4871" s="24">
        <f t="shared" si="7"/>
        <v>0</v>
      </c>
      <c r="S4871" s="24"/>
      <c r="T4871" s="24"/>
    </row>
    <row r="4872">
      <c r="A4872" s="12" t="s">
        <v>4959</v>
      </c>
      <c r="F4872" s="19">
        <f>IFERROR(__xludf.DUMMYFUNCTION("SPLIT(A4868, "" |"")"),4866.0)</f>
        <v>4866</v>
      </c>
      <c r="G4872" s="19">
        <f>IFERROR(__xludf.DUMMYFUNCTION("""COMPUTED_VALUE"""),0.00232)</f>
        <v>0.00232</v>
      </c>
      <c r="H4872" s="19" t="str">
        <f>IFERROR(__xludf.DUMMYFUNCTION("""COMPUTED_VALUE"""),"-")</f>
        <v>-</v>
      </c>
      <c r="I4872" s="19">
        <f>IFERROR(__xludf.DUMMYFUNCTION("""COMPUTED_VALUE"""),0.00218)</f>
        <v>0.00218</v>
      </c>
      <c r="J4872" s="19">
        <f>IFERROR(__xludf.DUMMYFUNCTION("""COMPUTED_VALUE"""),0.04744)</f>
        <v>0.04744</v>
      </c>
      <c r="K4872" s="19" t="str">
        <f>IFERROR(__xludf.DUMMYFUNCTION("""COMPUTED_VALUE"""),"-")</f>
        <v>-</v>
      </c>
      <c r="L4872" s="19" t="str">
        <f>IFERROR(__xludf.DUMMYFUNCTION("""COMPUTED_VALUE"""),"-")</f>
        <v>-</v>
      </c>
      <c r="O4872" s="24">
        <f t="shared" si="4"/>
        <v>0</v>
      </c>
      <c r="P4872" s="24"/>
      <c r="Q4872" s="24">
        <f t="shared" si="6"/>
        <v>0</v>
      </c>
      <c r="R4872" s="24">
        <f t="shared" si="7"/>
        <v>0</v>
      </c>
      <c r="S4872" s="24"/>
      <c r="T4872" s="24"/>
    </row>
    <row r="4873">
      <c r="A4873" s="12" t="s">
        <v>4960</v>
      </c>
      <c r="F4873" s="19">
        <f>IFERROR(__xludf.DUMMYFUNCTION("SPLIT(A4869, "" |"")"),4867.0)</f>
        <v>4867</v>
      </c>
      <c r="G4873" s="19">
        <f>IFERROR(__xludf.DUMMYFUNCTION("""COMPUTED_VALUE"""),0.00235)</f>
        <v>0.00235</v>
      </c>
      <c r="H4873" s="19" t="str">
        <f>IFERROR(__xludf.DUMMYFUNCTION("""COMPUTED_VALUE"""),"-")</f>
        <v>-</v>
      </c>
      <c r="I4873" s="19">
        <f>IFERROR(__xludf.DUMMYFUNCTION("""COMPUTED_VALUE"""),0.00221)</f>
        <v>0.00221</v>
      </c>
      <c r="J4873" s="19">
        <f>IFERROR(__xludf.DUMMYFUNCTION("""COMPUTED_VALUE"""),0.04743)</f>
        <v>0.04743</v>
      </c>
      <c r="K4873" s="19" t="str">
        <f>IFERROR(__xludf.DUMMYFUNCTION("""COMPUTED_VALUE"""),"-")</f>
        <v>-</v>
      </c>
      <c r="L4873" s="19" t="str">
        <f>IFERROR(__xludf.DUMMYFUNCTION("""COMPUTED_VALUE"""),"-")</f>
        <v>-</v>
      </c>
      <c r="O4873" s="24">
        <f t="shared" si="4"/>
        <v>0</v>
      </c>
      <c r="P4873" s="24"/>
      <c r="Q4873" s="24">
        <f t="shared" si="6"/>
        <v>0</v>
      </c>
      <c r="R4873" s="24">
        <f t="shared" si="7"/>
        <v>0</v>
      </c>
      <c r="S4873" s="24"/>
      <c r="T4873" s="24"/>
    </row>
    <row r="4874">
      <c r="A4874" s="12" t="s">
        <v>4961</v>
      </c>
      <c r="F4874" s="19">
        <f>IFERROR(__xludf.DUMMYFUNCTION("SPLIT(A4870, "" |"")"),4868.0)</f>
        <v>4868</v>
      </c>
      <c r="G4874" s="19">
        <f>IFERROR(__xludf.DUMMYFUNCTION("""COMPUTED_VALUE"""),0.00237)</f>
        <v>0.00237</v>
      </c>
      <c r="H4874" s="19" t="str">
        <f>IFERROR(__xludf.DUMMYFUNCTION("""COMPUTED_VALUE"""),"-")</f>
        <v>-</v>
      </c>
      <c r="I4874" s="19">
        <f>IFERROR(__xludf.DUMMYFUNCTION("""COMPUTED_VALUE"""),0.00221)</f>
        <v>0.00221</v>
      </c>
      <c r="J4874" s="19">
        <f>IFERROR(__xludf.DUMMYFUNCTION("""COMPUTED_VALUE"""),0.04533)</f>
        <v>0.04533</v>
      </c>
      <c r="K4874" s="19" t="str">
        <f>IFERROR(__xludf.DUMMYFUNCTION("""COMPUTED_VALUE"""),"-")</f>
        <v>-</v>
      </c>
      <c r="L4874" s="19" t="str">
        <f>IFERROR(__xludf.DUMMYFUNCTION("""COMPUTED_VALUE"""),"-")</f>
        <v>-</v>
      </c>
      <c r="O4874" s="24">
        <f t="shared" si="4"/>
        <v>0</v>
      </c>
      <c r="P4874" s="24"/>
      <c r="Q4874" s="24">
        <f t="shared" si="6"/>
        <v>0</v>
      </c>
      <c r="R4874" s="24">
        <f t="shared" si="7"/>
        <v>0</v>
      </c>
      <c r="S4874" s="24"/>
      <c r="T4874" s="24"/>
    </row>
    <row r="4875">
      <c r="A4875" s="12" t="s">
        <v>4962</v>
      </c>
      <c r="F4875" s="19">
        <f>IFERROR(__xludf.DUMMYFUNCTION("SPLIT(A4871, "" |"")"),4869.0)</f>
        <v>4869</v>
      </c>
      <c r="G4875" s="19">
        <f>IFERROR(__xludf.DUMMYFUNCTION("""COMPUTED_VALUE"""),0.00237)</f>
        <v>0.00237</v>
      </c>
      <c r="H4875" s="19" t="str">
        <f>IFERROR(__xludf.DUMMYFUNCTION("""COMPUTED_VALUE"""),"-")</f>
        <v>-</v>
      </c>
      <c r="I4875" s="19">
        <f>IFERROR(__xludf.DUMMYFUNCTION("""COMPUTED_VALUE"""),0.00221)</f>
        <v>0.00221</v>
      </c>
      <c r="J4875" s="19">
        <f>IFERROR(__xludf.DUMMYFUNCTION("""COMPUTED_VALUE"""),0.04745)</f>
        <v>0.04745</v>
      </c>
      <c r="K4875" s="19" t="str">
        <f>IFERROR(__xludf.DUMMYFUNCTION("""COMPUTED_VALUE"""),"-")</f>
        <v>-</v>
      </c>
      <c r="L4875" s="19" t="str">
        <f>IFERROR(__xludf.DUMMYFUNCTION("""COMPUTED_VALUE"""),"-")</f>
        <v>-</v>
      </c>
      <c r="O4875" s="24">
        <f t="shared" si="4"/>
        <v>0</v>
      </c>
      <c r="P4875" s="24"/>
      <c r="Q4875" s="24">
        <f t="shared" si="6"/>
        <v>0</v>
      </c>
      <c r="R4875" s="24">
        <f t="shared" si="7"/>
        <v>0</v>
      </c>
      <c r="S4875" s="24"/>
      <c r="T4875" s="24"/>
    </row>
    <row r="4876">
      <c r="A4876" s="12" t="s">
        <v>4963</v>
      </c>
      <c r="F4876" s="19">
        <f>IFERROR(__xludf.DUMMYFUNCTION("SPLIT(A4872, "" |"")"),4870.0)</f>
        <v>4870</v>
      </c>
      <c r="G4876" s="19">
        <f>IFERROR(__xludf.DUMMYFUNCTION("""COMPUTED_VALUE"""),0.00242)</f>
        <v>0.00242</v>
      </c>
      <c r="H4876" s="19" t="str">
        <f>IFERROR(__xludf.DUMMYFUNCTION("""COMPUTED_VALUE"""),"-")</f>
        <v>-</v>
      </c>
      <c r="I4876" s="19">
        <f>IFERROR(__xludf.DUMMYFUNCTION("""COMPUTED_VALUE"""),0.00219)</f>
        <v>0.00219</v>
      </c>
      <c r="J4876" s="19">
        <f>IFERROR(__xludf.DUMMYFUNCTION("""COMPUTED_VALUE"""),0.04589)</f>
        <v>0.04589</v>
      </c>
      <c r="K4876" s="19" t="str">
        <f>IFERROR(__xludf.DUMMYFUNCTION("""COMPUTED_VALUE"""),"-")</f>
        <v>-</v>
      </c>
      <c r="L4876" s="19" t="str">
        <f>IFERROR(__xludf.DUMMYFUNCTION("""COMPUTED_VALUE"""),"-")</f>
        <v>-</v>
      </c>
      <c r="O4876" s="24">
        <f t="shared" si="4"/>
        <v>0</v>
      </c>
      <c r="P4876" s="24"/>
      <c r="Q4876" s="24">
        <f t="shared" si="6"/>
        <v>0</v>
      </c>
      <c r="R4876" s="24">
        <f t="shared" si="7"/>
        <v>0</v>
      </c>
      <c r="S4876" s="24"/>
      <c r="T4876" s="24"/>
    </row>
    <row r="4877">
      <c r="A4877" s="12" t="s">
        <v>4964</v>
      </c>
      <c r="F4877" s="19">
        <f>IFERROR(__xludf.DUMMYFUNCTION("SPLIT(A4873, "" |"")"),4871.0)</f>
        <v>4871</v>
      </c>
      <c r="G4877" s="19">
        <f>IFERROR(__xludf.DUMMYFUNCTION("""COMPUTED_VALUE"""),0.00236)</f>
        <v>0.00236</v>
      </c>
      <c r="H4877" s="19" t="str">
        <f>IFERROR(__xludf.DUMMYFUNCTION("""COMPUTED_VALUE"""),"-")</f>
        <v>-</v>
      </c>
      <c r="I4877" s="19">
        <f>IFERROR(__xludf.DUMMYFUNCTION("""COMPUTED_VALUE"""),0.00218)</f>
        <v>0.00218</v>
      </c>
      <c r="J4877" s="19">
        <f>IFERROR(__xludf.DUMMYFUNCTION("""COMPUTED_VALUE"""),0.04746)</f>
        <v>0.04746</v>
      </c>
      <c r="K4877" s="19" t="str">
        <f>IFERROR(__xludf.DUMMYFUNCTION("""COMPUTED_VALUE"""),"-")</f>
        <v>-</v>
      </c>
      <c r="L4877" s="19" t="str">
        <f>IFERROR(__xludf.DUMMYFUNCTION("""COMPUTED_VALUE"""),"-")</f>
        <v>-</v>
      </c>
      <c r="O4877" s="24">
        <f t="shared" si="4"/>
        <v>0</v>
      </c>
      <c r="P4877" s="24"/>
      <c r="Q4877" s="24">
        <f t="shared" si="6"/>
        <v>0</v>
      </c>
      <c r="R4877" s="24">
        <f t="shared" si="7"/>
        <v>0</v>
      </c>
      <c r="S4877" s="24"/>
      <c r="T4877" s="24"/>
    </row>
    <row r="4878">
      <c r="A4878" s="12" t="s">
        <v>4965</v>
      </c>
      <c r="F4878" s="19">
        <f>IFERROR(__xludf.DUMMYFUNCTION("SPLIT(A4874, "" |"")"),4872.0)</f>
        <v>4872</v>
      </c>
      <c r="G4878" s="19">
        <f>IFERROR(__xludf.DUMMYFUNCTION("""COMPUTED_VALUE"""),0.00235)</f>
        <v>0.00235</v>
      </c>
      <c r="H4878" s="19" t="str">
        <f>IFERROR(__xludf.DUMMYFUNCTION("""COMPUTED_VALUE"""),"-")</f>
        <v>-</v>
      </c>
      <c r="I4878" s="19">
        <f>IFERROR(__xludf.DUMMYFUNCTION("""COMPUTED_VALUE"""),0.00218)</f>
        <v>0.00218</v>
      </c>
      <c r="J4878" s="19">
        <f>IFERROR(__xludf.DUMMYFUNCTION("""COMPUTED_VALUE"""),0.04741)</f>
        <v>0.04741</v>
      </c>
      <c r="K4878" s="19" t="str">
        <f>IFERROR(__xludf.DUMMYFUNCTION("""COMPUTED_VALUE"""),"-")</f>
        <v>-</v>
      </c>
      <c r="L4878" s="19" t="str">
        <f>IFERROR(__xludf.DUMMYFUNCTION("""COMPUTED_VALUE"""),"-")</f>
        <v>-</v>
      </c>
      <c r="O4878" s="24">
        <f t="shared" si="4"/>
        <v>0</v>
      </c>
      <c r="P4878" s="24"/>
      <c r="Q4878" s="24">
        <f t="shared" si="6"/>
        <v>0</v>
      </c>
      <c r="R4878" s="24">
        <f t="shared" si="7"/>
        <v>0</v>
      </c>
      <c r="S4878" s="24"/>
      <c r="T4878" s="24"/>
    </row>
    <row r="4879">
      <c r="A4879" s="12" t="s">
        <v>4966</v>
      </c>
      <c r="F4879" s="19">
        <f>IFERROR(__xludf.DUMMYFUNCTION("SPLIT(A4875, "" |"")"),4873.0)</f>
        <v>4873</v>
      </c>
      <c r="G4879" s="19">
        <f>IFERROR(__xludf.DUMMYFUNCTION("""COMPUTED_VALUE"""),0.0022)</f>
        <v>0.0022</v>
      </c>
      <c r="H4879" s="19" t="str">
        <f>IFERROR(__xludf.DUMMYFUNCTION("""COMPUTED_VALUE"""),"-")</f>
        <v>-</v>
      </c>
      <c r="I4879" s="19">
        <f>IFERROR(__xludf.DUMMYFUNCTION("""COMPUTED_VALUE"""),0.00228)</f>
        <v>0.00228</v>
      </c>
      <c r="J4879" s="19">
        <f>IFERROR(__xludf.DUMMYFUNCTION("""COMPUTED_VALUE"""),0.04812)</f>
        <v>0.04812</v>
      </c>
      <c r="K4879" s="19" t="str">
        <f>IFERROR(__xludf.DUMMYFUNCTION("""COMPUTED_VALUE"""),"-")</f>
        <v>-</v>
      </c>
      <c r="L4879" s="19" t="str">
        <f>IFERROR(__xludf.DUMMYFUNCTION("""COMPUTED_VALUE"""),"-")</f>
        <v>-</v>
      </c>
      <c r="O4879" s="24">
        <f t="shared" si="4"/>
        <v>0</v>
      </c>
      <c r="P4879" s="24"/>
      <c r="Q4879" s="24">
        <f t="shared" si="6"/>
        <v>0</v>
      </c>
      <c r="R4879" s="24">
        <f t="shared" si="7"/>
        <v>0</v>
      </c>
      <c r="S4879" s="24"/>
      <c r="T4879" s="24"/>
    </row>
    <row r="4880">
      <c r="A4880" s="12" t="s">
        <v>4967</v>
      </c>
      <c r="F4880" s="19">
        <f>IFERROR(__xludf.DUMMYFUNCTION("SPLIT(A4876, "" |"")"),4874.0)</f>
        <v>4874</v>
      </c>
      <c r="G4880" s="19">
        <f>IFERROR(__xludf.DUMMYFUNCTION("""COMPUTED_VALUE"""),0.00233)</f>
        <v>0.00233</v>
      </c>
      <c r="H4880" s="19" t="str">
        <f>IFERROR(__xludf.DUMMYFUNCTION("""COMPUTED_VALUE"""),"-")</f>
        <v>-</v>
      </c>
      <c r="I4880" s="19">
        <f>IFERROR(__xludf.DUMMYFUNCTION("""COMPUTED_VALUE"""),0.00221)</f>
        <v>0.00221</v>
      </c>
      <c r="J4880" s="19">
        <f>IFERROR(__xludf.DUMMYFUNCTION("""COMPUTED_VALUE"""),0.04743)</f>
        <v>0.04743</v>
      </c>
      <c r="K4880" s="19" t="str">
        <f>IFERROR(__xludf.DUMMYFUNCTION("""COMPUTED_VALUE"""),"-")</f>
        <v>-</v>
      </c>
      <c r="L4880" s="19" t="str">
        <f>IFERROR(__xludf.DUMMYFUNCTION("""COMPUTED_VALUE"""),"-")</f>
        <v>-</v>
      </c>
      <c r="O4880" s="24">
        <f t="shared" si="4"/>
        <v>0</v>
      </c>
      <c r="P4880" s="24"/>
      <c r="Q4880" s="24">
        <f t="shared" si="6"/>
        <v>0</v>
      </c>
      <c r="R4880" s="24">
        <f t="shared" si="7"/>
        <v>0</v>
      </c>
      <c r="S4880" s="24"/>
      <c r="T4880" s="24"/>
    </row>
    <row r="4881">
      <c r="A4881" s="12" t="s">
        <v>4968</v>
      </c>
      <c r="F4881" s="19">
        <f>IFERROR(__xludf.DUMMYFUNCTION("SPLIT(A4877, "" |"")"),4875.0)</f>
        <v>4875</v>
      </c>
      <c r="G4881" s="19">
        <f>IFERROR(__xludf.DUMMYFUNCTION("""COMPUTED_VALUE"""),0.00225)</f>
        <v>0.00225</v>
      </c>
      <c r="H4881" s="19" t="str">
        <f>IFERROR(__xludf.DUMMYFUNCTION("""COMPUTED_VALUE"""),"-")</f>
        <v>-</v>
      </c>
      <c r="I4881" s="19">
        <f>IFERROR(__xludf.DUMMYFUNCTION("""COMPUTED_VALUE"""),0.00209)</f>
        <v>0.00209</v>
      </c>
      <c r="J4881" s="19">
        <f>IFERROR(__xludf.DUMMYFUNCTION("""COMPUTED_VALUE"""),0.04736)</f>
        <v>0.04736</v>
      </c>
      <c r="K4881" s="19" t="str">
        <f>IFERROR(__xludf.DUMMYFUNCTION("""COMPUTED_VALUE"""),"-")</f>
        <v>-</v>
      </c>
      <c r="L4881" s="19" t="str">
        <f>IFERROR(__xludf.DUMMYFUNCTION("""COMPUTED_VALUE"""),"-")</f>
        <v>-</v>
      </c>
      <c r="O4881" s="24">
        <f t="shared" si="4"/>
        <v>0</v>
      </c>
      <c r="P4881" s="24"/>
      <c r="Q4881" s="24">
        <f t="shared" si="6"/>
        <v>0</v>
      </c>
      <c r="R4881" s="24">
        <f t="shared" si="7"/>
        <v>0</v>
      </c>
      <c r="S4881" s="24"/>
      <c r="T4881" s="24"/>
    </row>
    <row r="4882">
      <c r="A4882" s="12" t="s">
        <v>4969</v>
      </c>
      <c r="F4882" s="19">
        <f>IFERROR(__xludf.DUMMYFUNCTION("SPLIT(A4878, "" |"")"),4876.0)</f>
        <v>4876</v>
      </c>
      <c r="G4882" s="19">
        <f>IFERROR(__xludf.DUMMYFUNCTION("""COMPUTED_VALUE"""),0.00243)</f>
        <v>0.00243</v>
      </c>
      <c r="H4882" s="19" t="str">
        <f>IFERROR(__xludf.DUMMYFUNCTION("""COMPUTED_VALUE"""),"-")</f>
        <v>-</v>
      </c>
      <c r="I4882" s="19">
        <f>IFERROR(__xludf.DUMMYFUNCTION("""COMPUTED_VALUE"""),0.00222)</f>
        <v>0.00222</v>
      </c>
      <c r="J4882" s="19">
        <f>IFERROR(__xludf.DUMMYFUNCTION("""COMPUTED_VALUE"""),0.04737)</f>
        <v>0.04737</v>
      </c>
      <c r="K4882" s="19" t="str">
        <f>IFERROR(__xludf.DUMMYFUNCTION("""COMPUTED_VALUE"""),"-")</f>
        <v>-</v>
      </c>
      <c r="L4882" s="19" t="str">
        <f>IFERROR(__xludf.DUMMYFUNCTION("""COMPUTED_VALUE"""),"-")</f>
        <v>-</v>
      </c>
      <c r="O4882" s="24">
        <f t="shared" si="4"/>
        <v>0</v>
      </c>
      <c r="P4882" s="24"/>
      <c r="Q4882" s="24">
        <f t="shared" si="6"/>
        <v>0</v>
      </c>
      <c r="R4882" s="24">
        <f t="shared" si="7"/>
        <v>0</v>
      </c>
      <c r="S4882" s="24"/>
      <c r="T4882" s="24"/>
    </row>
    <row r="4883">
      <c r="A4883" s="12" t="s">
        <v>4970</v>
      </c>
      <c r="F4883" s="19">
        <f>IFERROR(__xludf.DUMMYFUNCTION("SPLIT(A4879, "" |"")"),4877.0)</f>
        <v>4877</v>
      </c>
      <c r="G4883" s="19">
        <f>IFERROR(__xludf.DUMMYFUNCTION("""COMPUTED_VALUE"""),0.00223)</f>
        <v>0.00223</v>
      </c>
      <c r="H4883" s="19" t="str">
        <f>IFERROR(__xludf.DUMMYFUNCTION("""COMPUTED_VALUE"""),"-")</f>
        <v>-</v>
      </c>
      <c r="I4883" s="19">
        <f>IFERROR(__xludf.DUMMYFUNCTION("""COMPUTED_VALUE"""),0.00211)</f>
        <v>0.00211</v>
      </c>
      <c r="J4883" s="19">
        <f>IFERROR(__xludf.DUMMYFUNCTION("""COMPUTED_VALUE"""),0.04746)</f>
        <v>0.04746</v>
      </c>
      <c r="K4883" s="19" t="str">
        <f>IFERROR(__xludf.DUMMYFUNCTION("""COMPUTED_VALUE"""),"-")</f>
        <v>-</v>
      </c>
      <c r="L4883" s="19" t="str">
        <f>IFERROR(__xludf.DUMMYFUNCTION("""COMPUTED_VALUE"""),"-")</f>
        <v>-</v>
      </c>
      <c r="O4883" s="24">
        <f t="shared" si="4"/>
        <v>0</v>
      </c>
      <c r="P4883" s="24"/>
      <c r="Q4883" s="24">
        <f t="shared" si="6"/>
        <v>0</v>
      </c>
      <c r="R4883" s="24">
        <f t="shared" si="7"/>
        <v>0</v>
      </c>
      <c r="S4883" s="24"/>
      <c r="T4883" s="24"/>
    </row>
    <row r="4884">
      <c r="A4884" s="12" t="s">
        <v>4971</v>
      </c>
      <c r="F4884" s="19">
        <f>IFERROR(__xludf.DUMMYFUNCTION("SPLIT(A4880, "" |"")"),4878.0)</f>
        <v>4878</v>
      </c>
      <c r="G4884" s="19">
        <f>IFERROR(__xludf.DUMMYFUNCTION("""COMPUTED_VALUE"""),0.00243)</f>
        <v>0.00243</v>
      </c>
      <c r="H4884" s="19" t="str">
        <f>IFERROR(__xludf.DUMMYFUNCTION("""COMPUTED_VALUE"""),"-")</f>
        <v>-</v>
      </c>
      <c r="I4884" s="19">
        <f>IFERROR(__xludf.DUMMYFUNCTION("""COMPUTED_VALUE"""),0.00226)</f>
        <v>0.00226</v>
      </c>
      <c r="J4884" s="19">
        <f>IFERROR(__xludf.DUMMYFUNCTION("""COMPUTED_VALUE"""),0.04739)</f>
        <v>0.04739</v>
      </c>
      <c r="K4884" s="19" t="str">
        <f>IFERROR(__xludf.DUMMYFUNCTION("""COMPUTED_VALUE"""),"-")</f>
        <v>-</v>
      </c>
      <c r="L4884" s="19" t="str">
        <f>IFERROR(__xludf.DUMMYFUNCTION("""COMPUTED_VALUE"""),"-")</f>
        <v>-</v>
      </c>
      <c r="O4884" s="24">
        <f t="shared" si="4"/>
        <v>0</v>
      </c>
      <c r="P4884" s="24"/>
      <c r="Q4884" s="24">
        <f t="shared" si="6"/>
        <v>0</v>
      </c>
      <c r="R4884" s="24">
        <f t="shared" si="7"/>
        <v>0</v>
      </c>
      <c r="S4884" s="24"/>
      <c r="T4884" s="24"/>
    </row>
    <row r="4885">
      <c r="A4885" s="12" t="s">
        <v>4972</v>
      </c>
      <c r="F4885" s="19">
        <f>IFERROR(__xludf.DUMMYFUNCTION("SPLIT(A4881, "" |"")"),4879.0)</f>
        <v>4879</v>
      </c>
      <c r="G4885" s="19">
        <f>IFERROR(__xludf.DUMMYFUNCTION("""COMPUTED_VALUE"""),0.00236)</f>
        <v>0.00236</v>
      </c>
      <c r="H4885" s="19" t="str">
        <f>IFERROR(__xludf.DUMMYFUNCTION("""COMPUTED_VALUE"""),"-")</f>
        <v>-</v>
      </c>
      <c r="I4885" s="19">
        <f>IFERROR(__xludf.DUMMYFUNCTION("""COMPUTED_VALUE"""),0.00223)</f>
        <v>0.00223</v>
      </c>
      <c r="J4885" s="19">
        <f>IFERROR(__xludf.DUMMYFUNCTION("""COMPUTED_VALUE"""),0.04733)</f>
        <v>0.04733</v>
      </c>
      <c r="K4885" s="19" t="str">
        <f>IFERROR(__xludf.DUMMYFUNCTION("""COMPUTED_VALUE"""),"-")</f>
        <v>-</v>
      </c>
      <c r="L4885" s="19" t="str">
        <f>IFERROR(__xludf.DUMMYFUNCTION("""COMPUTED_VALUE"""),"-")</f>
        <v>-</v>
      </c>
      <c r="O4885" s="24">
        <f t="shared" si="4"/>
        <v>0</v>
      </c>
      <c r="P4885" s="24"/>
      <c r="Q4885" s="24">
        <f t="shared" si="6"/>
        <v>0</v>
      </c>
      <c r="R4885" s="24">
        <f t="shared" si="7"/>
        <v>0</v>
      </c>
      <c r="S4885" s="24"/>
      <c r="T4885" s="24"/>
    </row>
    <row r="4886">
      <c r="A4886" s="12" t="s">
        <v>4973</v>
      </c>
      <c r="F4886" s="19">
        <f>IFERROR(__xludf.DUMMYFUNCTION("SPLIT(A4882, "" |"")"),4880.0)</f>
        <v>4880</v>
      </c>
      <c r="G4886" s="19">
        <f>IFERROR(__xludf.DUMMYFUNCTION("""COMPUTED_VALUE"""),0.00238)</f>
        <v>0.00238</v>
      </c>
      <c r="H4886" s="19" t="str">
        <f>IFERROR(__xludf.DUMMYFUNCTION("""COMPUTED_VALUE"""),"-")</f>
        <v>-</v>
      </c>
      <c r="I4886" s="19">
        <f>IFERROR(__xludf.DUMMYFUNCTION("""COMPUTED_VALUE"""),0.00218)</f>
        <v>0.00218</v>
      </c>
      <c r="J4886" s="19">
        <f>IFERROR(__xludf.DUMMYFUNCTION("""COMPUTED_VALUE"""),0.04746)</f>
        <v>0.04746</v>
      </c>
      <c r="K4886" s="19" t="str">
        <f>IFERROR(__xludf.DUMMYFUNCTION("""COMPUTED_VALUE"""),"-")</f>
        <v>-</v>
      </c>
      <c r="L4886" s="19" t="str">
        <f>IFERROR(__xludf.DUMMYFUNCTION("""COMPUTED_VALUE"""),"-")</f>
        <v>-</v>
      </c>
      <c r="O4886" s="24">
        <f t="shared" si="4"/>
        <v>0</v>
      </c>
      <c r="P4886" s="24"/>
      <c r="Q4886" s="24">
        <f t="shared" si="6"/>
        <v>0</v>
      </c>
      <c r="R4886" s="24">
        <f t="shared" si="7"/>
        <v>0</v>
      </c>
      <c r="S4886" s="24"/>
      <c r="T4886" s="24"/>
    </row>
    <row r="4887">
      <c r="A4887" s="12" t="s">
        <v>4974</v>
      </c>
      <c r="F4887" s="19">
        <f>IFERROR(__xludf.DUMMYFUNCTION("SPLIT(A4883, "" |"")"),4881.0)</f>
        <v>4881</v>
      </c>
      <c r="G4887" s="19">
        <f>IFERROR(__xludf.DUMMYFUNCTION("""COMPUTED_VALUE"""),0.0023)</f>
        <v>0.0023</v>
      </c>
      <c r="H4887" s="19" t="str">
        <f>IFERROR(__xludf.DUMMYFUNCTION("""COMPUTED_VALUE"""),"-")</f>
        <v>-</v>
      </c>
      <c r="I4887" s="19">
        <f>IFERROR(__xludf.DUMMYFUNCTION("""COMPUTED_VALUE"""),0.00215)</f>
        <v>0.00215</v>
      </c>
      <c r="J4887" s="19">
        <f>IFERROR(__xludf.DUMMYFUNCTION("""COMPUTED_VALUE"""),0.04573)</f>
        <v>0.04573</v>
      </c>
      <c r="K4887" s="19" t="str">
        <f>IFERROR(__xludf.DUMMYFUNCTION("""COMPUTED_VALUE"""),"-")</f>
        <v>-</v>
      </c>
      <c r="L4887" s="19" t="str">
        <f>IFERROR(__xludf.DUMMYFUNCTION("""COMPUTED_VALUE"""),"-")</f>
        <v>-</v>
      </c>
      <c r="O4887" s="24">
        <f t="shared" si="4"/>
        <v>0</v>
      </c>
      <c r="P4887" s="24"/>
      <c r="Q4887" s="24">
        <f t="shared" si="6"/>
        <v>0</v>
      </c>
      <c r="R4887" s="24">
        <f t="shared" si="7"/>
        <v>0</v>
      </c>
      <c r="S4887" s="24"/>
      <c r="T4887" s="24"/>
    </row>
    <row r="4888">
      <c r="A4888" s="12" t="s">
        <v>4975</v>
      </c>
      <c r="F4888" s="19">
        <f>IFERROR(__xludf.DUMMYFUNCTION("SPLIT(A4884, "" |"")"),4882.0)</f>
        <v>4882</v>
      </c>
      <c r="G4888" s="19">
        <f>IFERROR(__xludf.DUMMYFUNCTION("""COMPUTED_VALUE"""),0.00236)</f>
        <v>0.00236</v>
      </c>
      <c r="H4888" s="19" t="str">
        <f>IFERROR(__xludf.DUMMYFUNCTION("""COMPUTED_VALUE"""),"-")</f>
        <v>-</v>
      </c>
      <c r="I4888" s="19">
        <f>IFERROR(__xludf.DUMMYFUNCTION("""COMPUTED_VALUE"""),0.00215)</f>
        <v>0.00215</v>
      </c>
      <c r="J4888" s="19">
        <f>IFERROR(__xludf.DUMMYFUNCTION("""COMPUTED_VALUE"""),0.04735)</f>
        <v>0.04735</v>
      </c>
      <c r="K4888" s="19" t="str">
        <f>IFERROR(__xludf.DUMMYFUNCTION("""COMPUTED_VALUE"""),"-")</f>
        <v>-</v>
      </c>
      <c r="L4888" s="19" t="str">
        <f>IFERROR(__xludf.DUMMYFUNCTION("""COMPUTED_VALUE"""),"-")</f>
        <v>-</v>
      </c>
      <c r="O4888" s="24">
        <f t="shared" si="4"/>
        <v>0</v>
      </c>
      <c r="P4888" s="24"/>
      <c r="Q4888" s="24">
        <f t="shared" si="6"/>
        <v>0</v>
      </c>
      <c r="R4888" s="24">
        <f t="shared" si="7"/>
        <v>0</v>
      </c>
      <c r="S4888" s="24"/>
      <c r="T4888" s="24"/>
    </row>
    <row r="4889">
      <c r="A4889" s="12" t="s">
        <v>4976</v>
      </c>
      <c r="F4889" s="19">
        <f>IFERROR(__xludf.DUMMYFUNCTION("SPLIT(A4885, "" |"")"),4883.0)</f>
        <v>4883</v>
      </c>
      <c r="G4889" s="19">
        <f>IFERROR(__xludf.DUMMYFUNCTION("""COMPUTED_VALUE"""),0.00243)</f>
        <v>0.00243</v>
      </c>
      <c r="H4889" s="19" t="str">
        <f>IFERROR(__xludf.DUMMYFUNCTION("""COMPUTED_VALUE"""),"-")</f>
        <v>-</v>
      </c>
      <c r="I4889" s="19">
        <f>IFERROR(__xludf.DUMMYFUNCTION("""COMPUTED_VALUE"""),0.00221)</f>
        <v>0.00221</v>
      </c>
      <c r="J4889" s="19">
        <f>IFERROR(__xludf.DUMMYFUNCTION("""COMPUTED_VALUE"""),0.04743)</f>
        <v>0.04743</v>
      </c>
      <c r="K4889" s="19" t="str">
        <f>IFERROR(__xludf.DUMMYFUNCTION("""COMPUTED_VALUE"""),"-")</f>
        <v>-</v>
      </c>
      <c r="L4889" s="19" t="str">
        <f>IFERROR(__xludf.DUMMYFUNCTION("""COMPUTED_VALUE"""),"-")</f>
        <v>-</v>
      </c>
      <c r="O4889" s="24">
        <f t="shared" si="4"/>
        <v>0</v>
      </c>
      <c r="P4889" s="24"/>
      <c r="Q4889" s="24">
        <f t="shared" si="6"/>
        <v>0</v>
      </c>
      <c r="R4889" s="24">
        <f t="shared" si="7"/>
        <v>0</v>
      </c>
      <c r="S4889" s="24"/>
      <c r="T4889" s="24"/>
    </row>
    <row r="4890">
      <c r="A4890" s="12" t="s">
        <v>4977</v>
      </c>
      <c r="F4890" s="19">
        <f>IFERROR(__xludf.DUMMYFUNCTION("SPLIT(A4886, "" |"")"),4884.0)</f>
        <v>4884</v>
      </c>
      <c r="G4890" s="19">
        <f>IFERROR(__xludf.DUMMYFUNCTION("""COMPUTED_VALUE"""),0.00239)</f>
        <v>0.00239</v>
      </c>
      <c r="H4890" s="19" t="str">
        <f>IFERROR(__xludf.DUMMYFUNCTION("""COMPUTED_VALUE"""),"-")</f>
        <v>-</v>
      </c>
      <c r="I4890" s="19">
        <f>IFERROR(__xludf.DUMMYFUNCTION("""COMPUTED_VALUE"""),0.00222)</f>
        <v>0.00222</v>
      </c>
      <c r="J4890" s="19">
        <f>IFERROR(__xludf.DUMMYFUNCTION("""COMPUTED_VALUE"""),0.04754)</f>
        <v>0.04754</v>
      </c>
      <c r="K4890" s="19" t="str">
        <f>IFERROR(__xludf.DUMMYFUNCTION("""COMPUTED_VALUE"""),"-")</f>
        <v>-</v>
      </c>
      <c r="L4890" s="19" t="str">
        <f>IFERROR(__xludf.DUMMYFUNCTION("""COMPUTED_VALUE"""),"-")</f>
        <v>-</v>
      </c>
      <c r="O4890" s="24">
        <f t="shared" si="4"/>
        <v>0</v>
      </c>
      <c r="P4890" s="24"/>
      <c r="Q4890" s="24">
        <f t="shared" si="6"/>
        <v>0</v>
      </c>
      <c r="R4890" s="24">
        <f t="shared" si="7"/>
        <v>0</v>
      </c>
      <c r="S4890" s="24"/>
      <c r="T4890" s="24"/>
    </row>
    <row r="4891">
      <c r="A4891" s="12" t="s">
        <v>4978</v>
      </c>
      <c r="F4891" s="19">
        <f>IFERROR(__xludf.DUMMYFUNCTION("SPLIT(A4887, "" |"")"),4885.0)</f>
        <v>4885</v>
      </c>
      <c r="G4891" s="19">
        <f>IFERROR(__xludf.DUMMYFUNCTION("""COMPUTED_VALUE"""),0.00239)</f>
        <v>0.00239</v>
      </c>
      <c r="H4891" s="19" t="str">
        <f>IFERROR(__xludf.DUMMYFUNCTION("""COMPUTED_VALUE"""),"-")</f>
        <v>-</v>
      </c>
      <c r="I4891" s="19">
        <f>IFERROR(__xludf.DUMMYFUNCTION("""COMPUTED_VALUE"""),0.00211)</f>
        <v>0.00211</v>
      </c>
      <c r="J4891" s="19">
        <f>IFERROR(__xludf.DUMMYFUNCTION("""COMPUTED_VALUE"""),0.0474)</f>
        <v>0.0474</v>
      </c>
      <c r="K4891" s="19" t="str">
        <f>IFERROR(__xludf.DUMMYFUNCTION("""COMPUTED_VALUE"""),"-")</f>
        <v>-</v>
      </c>
      <c r="L4891" s="19" t="str">
        <f>IFERROR(__xludf.DUMMYFUNCTION("""COMPUTED_VALUE"""),"-")</f>
        <v>-</v>
      </c>
      <c r="O4891" s="24">
        <f t="shared" si="4"/>
        <v>0</v>
      </c>
      <c r="P4891" s="24"/>
      <c r="Q4891" s="24">
        <f t="shared" si="6"/>
        <v>0</v>
      </c>
      <c r="R4891" s="24">
        <f t="shared" si="7"/>
        <v>0</v>
      </c>
      <c r="S4891" s="24"/>
      <c r="T4891" s="24"/>
    </row>
    <row r="4892">
      <c r="A4892" s="12" t="s">
        <v>4979</v>
      </c>
      <c r="F4892" s="19">
        <f>IFERROR(__xludf.DUMMYFUNCTION("SPLIT(A4888, "" |"")"),4886.0)</f>
        <v>4886</v>
      </c>
      <c r="G4892" s="19">
        <f>IFERROR(__xludf.DUMMYFUNCTION("""COMPUTED_VALUE"""),0.00232)</f>
        <v>0.00232</v>
      </c>
      <c r="H4892" s="19" t="str">
        <f>IFERROR(__xludf.DUMMYFUNCTION("""COMPUTED_VALUE"""),"-")</f>
        <v>-</v>
      </c>
      <c r="I4892" s="19">
        <f>IFERROR(__xludf.DUMMYFUNCTION("""COMPUTED_VALUE"""),0.00221)</f>
        <v>0.00221</v>
      </c>
      <c r="J4892" s="19">
        <f>IFERROR(__xludf.DUMMYFUNCTION("""COMPUTED_VALUE"""),0.04444)</f>
        <v>0.04444</v>
      </c>
      <c r="K4892" s="19" t="str">
        <f>IFERROR(__xludf.DUMMYFUNCTION("""COMPUTED_VALUE"""),"-")</f>
        <v>-</v>
      </c>
      <c r="L4892" s="19" t="str">
        <f>IFERROR(__xludf.DUMMYFUNCTION("""COMPUTED_VALUE"""),"-")</f>
        <v>-</v>
      </c>
      <c r="O4892" s="24">
        <f t="shared" si="4"/>
        <v>0</v>
      </c>
      <c r="P4892" s="24"/>
      <c r="Q4892" s="24">
        <f t="shared" si="6"/>
        <v>0</v>
      </c>
      <c r="R4892" s="24">
        <f t="shared" si="7"/>
        <v>1</v>
      </c>
      <c r="S4892" s="24"/>
      <c r="T4892" s="24"/>
    </row>
    <row r="4893">
      <c r="A4893" s="12" t="s">
        <v>4980</v>
      </c>
      <c r="F4893" s="19">
        <f>IFERROR(__xludf.DUMMYFUNCTION("SPLIT(A4889, "" |"")"),4887.0)</f>
        <v>4887</v>
      </c>
      <c r="G4893" s="19">
        <f>IFERROR(__xludf.DUMMYFUNCTION("""COMPUTED_VALUE"""),0.00237)</f>
        <v>0.00237</v>
      </c>
      <c r="H4893" s="19" t="str">
        <f>IFERROR(__xludf.DUMMYFUNCTION("""COMPUTED_VALUE"""),"-")</f>
        <v>-</v>
      </c>
      <c r="I4893" s="19">
        <f>IFERROR(__xludf.DUMMYFUNCTION("""COMPUTED_VALUE"""),0.0022)</f>
        <v>0.0022</v>
      </c>
      <c r="J4893" s="19">
        <f>IFERROR(__xludf.DUMMYFUNCTION("""COMPUTED_VALUE"""),0.04742)</f>
        <v>0.04742</v>
      </c>
      <c r="K4893" s="19" t="str">
        <f>IFERROR(__xludf.DUMMYFUNCTION("""COMPUTED_VALUE"""),"-")</f>
        <v>-</v>
      </c>
      <c r="L4893" s="19" t="str">
        <f>IFERROR(__xludf.DUMMYFUNCTION("""COMPUTED_VALUE"""),"-")</f>
        <v>-</v>
      </c>
      <c r="O4893" s="24">
        <f t="shared" si="4"/>
        <v>0</v>
      </c>
      <c r="P4893" s="24"/>
      <c r="Q4893" s="24">
        <f t="shared" si="6"/>
        <v>0</v>
      </c>
      <c r="R4893" s="24">
        <f t="shared" si="7"/>
        <v>0</v>
      </c>
      <c r="S4893" s="24"/>
      <c r="T4893" s="24"/>
    </row>
    <row r="4894">
      <c r="A4894" s="12" t="s">
        <v>4981</v>
      </c>
      <c r="F4894" s="19">
        <f>IFERROR(__xludf.DUMMYFUNCTION("SPLIT(A4890, "" |"")"),4888.0)</f>
        <v>4888</v>
      </c>
      <c r="G4894" s="19">
        <f>IFERROR(__xludf.DUMMYFUNCTION("""COMPUTED_VALUE"""),0.00242)</f>
        <v>0.00242</v>
      </c>
      <c r="H4894" s="19" t="str">
        <f>IFERROR(__xludf.DUMMYFUNCTION("""COMPUTED_VALUE"""),"-")</f>
        <v>-</v>
      </c>
      <c r="I4894" s="19">
        <f>IFERROR(__xludf.DUMMYFUNCTION("""COMPUTED_VALUE"""),0.00223)</f>
        <v>0.00223</v>
      </c>
      <c r="J4894" s="19">
        <f>IFERROR(__xludf.DUMMYFUNCTION("""COMPUTED_VALUE"""),0.04559)</f>
        <v>0.04559</v>
      </c>
      <c r="K4894" s="19" t="str">
        <f>IFERROR(__xludf.DUMMYFUNCTION("""COMPUTED_VALUE"""),"-")</f>
        <v>-</v>
      </c>
      <c r="L4894" s="19" t="str">
        <f>IFERROR(__xludf.DUMMYFUNCTION("""COMPUTED_VALUE"""),"-")</f>
        <v>-</v>
      </c>
      <c r="O4894" s="24">
        <f t="shared" si="4"/>
        <v>0</v>
      </c>
      <c r="P4894" s="24"/>
      <c r="Q4894" s="24">
        <f t="shared" si="6"/>
        <v>0</v>
      </c>
      <c r="R4894" s="24">
        <f t="shared" si="7"/>
        <v>0</v>
      </c>
      <c r="S4894" s="24"/>
      <c r="T4894" s="24"/>
    </row>
    <row r="4895">
      <c r="A4895" s="12" t="s">
        <v>4982</v>
      </c>
      <c r="F4895" s="19">
        <f>IFERROR(__xludf.DUMMYFUNCTION("SPLIT(A4891, "" |"")"),4889.0)</f>
        <v>4889</v>
      </c>
      <c r="G4895" s="19">
        <f>IFERROR(__xludf.DUMMYFUNCTION("""COMPUTED_VALUE"""),0.00231)</f>
        <v>0.00231</v>
      </c>
      <c r="H4895" s="19" t="str">
        <f>IFERROR(__xludf.DUMMYFUNCTION("""COMPUTED_VALUE"""),"-")</f>
        <v>-</v>
      </c>
      <c r="I4895" s="19">
        <f>IFERROR(__xludf.DUMMYFUNCTION("""COMPUTED_VALUE"""),0.00222)</f>
        <v>0.00222</v>
      </c>
      <c r="J4895" s="19">
        <f>IFERROR(__xludf.DUMMYFUNCTION("""COMPUTED_VALUE"""),0.04744)</f>
        <v>0.04744</v>
      </c>
      <c r="K4895" s="19" t="str">
        <f>IFERROR(__xludf.DUMMYFUNCTION("""COMPUTED_VALUE"""),"-")</f>
        <v>-</v>
      </c>
      <c r="L4895" s="19" t="str">
        <f>IFERROR(__xludf.DUMMYFUNCTION("""COMPUTED_VALUE"""),"-")</f>
        <v>-</v>
      </c>
      <c r="O4895" s="24">
        <f t="shared" si="4"/>
        <v>0</v>
      </c>
      <c r="P4895" s="24"/>
      <c r="Q4895" s="24">
        <f t="shared" si="6"/>
        <v>0</v>
      </c>
      <c r="R4895" s="24">
        <f t="shared" si="7"/>
        <v>0</v>
      </c>
      <c r="S4895" s="24"/>
      <c r="T4895" s="24"/>
    </row>
    <row r="4896">
      <c r="A4896" s="12" t="s">
        <v>4983</v>
      </c>
      <c r="F4896" s="19">
        <f>IFERROR(__xludf.DUMMYFUNCTION("SPLIT(A4892, "" |"")"),4890.0)</f>
        <v>4890</v>
      </c>
      <c r="G4896" s="19">
        <f>IFERROR(__xludf.DUMMYFUNCTION("""COMPUTED_VALUE"""),0.00234)</f>
        <v>0.00234</v>
      </c>
      <c r="H4896" s="19" t="str">
        <f>IFERROR(__xludf.DUMMYFUNCTION("""COMPUTED_VALUE"""),"-")</f>
        <v>-</v>
      </c>
      <c r="I4896" s="19">
        <f>IFERROR(__xludf.DUMMYFUNCTION("""COMPUTED_VALUE"""),0.00214)</f>
        <v>0.00214</v>
      </c>
      <c r="J4896" s="19">
        <f>IFERROR(__xludf.DUMMYFUNCTION("""COMPUTED_VALUE"""),0.04744)</f>
        <v>0.04744</v>
      </c>
      <c r="K4896" s="19" t="str">
        <f>IFERROR(__xludf.DUMMYFUNCTION("""COMPUTED_VALUE"""),"-")</f>
        <v>-</v>
      </c>
      <c r="L4896" s="19" t="str">
        <f>IFERROR(__xludf.DUMMYFUNCTION("""COMPUTED_VALUE"""),"-")</f>
        <v>-</v>
      </c>
      <c r="O4896" s="24">
        <f t="shared" si="4"/>
        <v>0</v>
      </c>
      <c r="P4896" s="24"/>
      <c r="Q4896" s="24">
        <f t="shared" si="6"/>
        <v>0</v>
      </c>
      <c r="R4896" s="24">
        <f t="shared" si="7"/>
        <v>0</v>
      </c>
      <c r="S4896" s="24"/>
      <c r="T4896" s="24"/>
    </row>
    <row r="4897">
      <c r="A4897" s="12" t="s">
        <v>4984</v>
      </c>
      <c r="F4897" s="19">
        <f>IFERROR(__xludf.DUMMYFUNCTION("SPLIT(A4893, "" |"")"),4891.0)</f>
        <v>4891</v>
      </c>
      <c r="G4897" s="19">
        <f>IFERROR(__xludf.DUMMYFUNCTION("""COMPUTED_VALUE"""),0.00238)</f>
        <v>0.00238</v>
      </c>
      <c r="H4897" s="19" t="str">
        <f>IFERROR(__xludf.DUMMYFUNCTION("""COMPUTED_VALUE"""),"-")</f>
        <v>-</v>
      </c>
      <c r="I4897" s="19">
        <f>IFERROR(__xludf.DUMMYFUNCTION("""COMPUTED_VALUE"""),0.00215)</f>
        <v>0.00215</v>
      </c>
      <c r="J4897" s="19">
        <f>IFERROR(__xludf.DUMMYFUNCTION("""COMPUTED_VALUE"""),0.04739)</f>
        <v>0.04739</v>
      </c>
      <c r="K4897" s="19" t="str">
        <f>IFERROR(__xludf.DUMMYFUNCTION("""COMPUTED_VALUE"""),"-")</f>
        <v>-</v>
      </c>
      <c r="L4897" s="19" t="str">
        <f>IFERROR(__xludf.DUMMYFUNCTION("""COMPUTED_VALUE"""),"-")</f>
        <v>-</v>
      </c>
      <c r="O4897" s="24">
        <f t="shared" si="4"/>
        <v>0</v>
      </c>
      <c r="P4897" s="24"/>
      <c r="Q4897" s="24">
        <f t="shared" si="6"/>
        <v>0</v>
      </c>
      <c r="R4897" s="24">
        <f t="shared" si="7"/>
        <v>0</v>
      </c>
      <c r="S4897" s="24"/>
      <c r="T4897" s="24"/>
    </row>
    <row r="4898">
      <c r="A4898" s="12" t="s">
        <v>4985</v>
      </c>
      <c r="F4898" s="19">
        <f>IFERROR(__xludf.DUMMYFUNCTION("SPLIT(A4894, "" |"")"),4892.0)</f>
        <v>4892</v>
      </c>
      <c r="G4898" s="19">
        <f>IFERROR(__xludf.DUMMYFUNCTION("""COMPUTED_VALUE"""),0.00238)</f>
        <v>0.00238</v>
      </c>
      <c r="H4898" s="19" t="str">
        <f>IFERROR(__xludf.DUMMYFUNCTION("""COMPUTED_VALUE"""),"-")</f>
        <v>-</v>
      </c>
      <c r="I4898" s="19">
        <f>IFERROR(__xludf.DUMMYFUNCTION("""COMPUTED_VALUE"""),0.00217)</f>
        <v>0.00217</v>
      </c>
      <c r="J4898" s="19">
        <f>IFERROR(__xludf.DUMMYFUNCTION("""COMPUTED_VALUE"""),0.04743)</f>
        <v>0.04743</v>
      </c>
      <c r="K4898" s="19" t="str">
        <f>IFERROR(__xludf.DUMMYFUNCTION("""COMPUTED_VALUE"""),"-")</f>
        <v>-</v>
      </c>
      <c r="L4898" s="19" t="str">
        <f>IFERROR(__xludf.DUMMYFUNCTION("""COMPUTED_VALUE"""),"-")</f>
        <v>-</v>
      </c>
      <c r="O4898" s="24">
        <f t="shared" si="4"/>
        <v>0</v>
      </c>
      <c r="P4898" s="24"/>
      <c r="Q4898" s="24">
        <f t="shared" si="6"/>
        <v>0</v>
      </c>
      <c r="R4898" s="24">
        <f t="shared" si="7"/>
        <v>0</v>
      </c>
      <c r="S4898" s="24"/>
      <c r="T4898" s="24"/>
    </row>
    <row r="4899">
      <c r="A4899" s="12" t="s">
        <v>4986</v>
      </c>
      <c r="F4899" s="19">
        <f>IFERROR(__xludf.DUMMYFUNCTION("SPLIT(A4895, "" |"")"),4893.0)</f>
        <v>4893</v>
      </c>
      <c r="G4899" s="19">
        <f>IFERROR(__xludf.DUMMYFUNCTION("""COMPUTED_VALUE"""),0.00235)</f>
        <v>0.00235</v>
      </c>
      <c r="H4899" s="19" t="str">
        <f>IFERROR(__xludf.DUMMYFUNCTION("""COMPUTED_VALUE"""),"-")</f>
        <v>-</v>
      </c>
      <c r="I4899" s="19">
        <f>IFERROR(__xludf.DUMMYFUNCTION("""COMPUTED_VALUE"""),0.0022)</f>
        <v>0.0022</v>
      </c>
      <c r="J4899" s="19">
        <f>IFERROR(__xludf.DUMMYFUNCTION("""COMPUTED_VALUE"""),0.04746)</f>
        <v>0.04746</v>
      </c>
      <c r="K4899" s="19" t="str">
        <f>IFERROR(__xludf.DUMMYFUNCTION("""COMPUTED_VALUE"""),"-")</f>
        <v>-</v>
      </c>
      <c r="L4899" s="19" t="str">
        <f>IFERROR(__xludf.DUMMYFUNCTION("""COMPUTED_VALUE"""),"-")</f>
        <v>-</v>
      </c>
      <c r="O4899" s="24">
        <f t="shared" si="4"/>
        <v>0</v>
      </c>
      <c r="P4899" s="24"/>
      <c r="Q4899" s="24">
        <f t="shared" si="6"/>
        <v>0</v>
      </c>
      <c r="R4899" s="24">
        <f t="shared" si="7"/>
        <v>0</v>
      </c>
      <c r="S4899" s="24"/>
      <c r="T4899" s="24"/>
    </row>
    <row r="4900">
      <c r="A4900" s="12" t="s">
        <v>4987</v>
      </c>
      <c r="F4900" s="19">
        <f>IFERROR(__xludf.DUMMYFUNCTION("SPLIT(A4896, "" |"")"),4894.0)</f>
        <v>4894</v>
      </c>
      <c r="G4900" s="19">
        <f>IFERROR(__xludf.DUMMYFUNCTION("""COMPUTED_VALUE"""),0.00232)</f>
        <v>0.00232</v>
      </c>
      <c r="H4900" s="19" t="str">
        <f>IFERROR(__xludf.DUMMYFUNCTION("""COMPUTED_VALUE"""),"-")</f>
        <v>-</v>
      </c>
      <c r="I4900" s="19">
        <f>IFERROR(__xludf.DUMMYFUNCTION("""COMPUTED_VALUE"""),0.00219)</f>
        <v>0.00219</v>
      </c>
      <c r="J4900" s="19">
        <f>IFERROR(__xludf.DUMMYFUNCTION("""COMPUTED_VALUE"""),0.04741)</f>
        <v>0.04741</v>
      </c>
      <c r="K4900" s="19" t="str">
        <f>IFERROR(__xludf.DUMMYFUNCTION("""COMPUTED_VALUE"""),"-")</f>
        <v>-</v>
      </c>
      <c r="L4900" s="19" t="str">
        <f>IFERROR(__xludf.DUMMYFUNCTION("""COMPUTED_VALUE"""),"-")</f>
        <v>-</v>
      </c>
      <c r="O4900" s="24">
        <f t="shared" si="4"/>
        <v>0</v>
      </c>
      <c r="P4900" s="24"/>
      <c r="Q4900" s="24">
        <f t="shared" si="6"/>
        <v>0</v>
      </c>
      <c r="R4900" s="24">
        <f t="shared" si="7"/>
        <v>0</v>
      </c>
      <c r="S4900" s="24"/>
      <c r="T4900" s="24"/>
    </row>
    <row r="4901">
      <c r="A4901" s="12" t="s">
        <v>4988</v>
      </c>
      <c r="F4901" s="19">
        <f>IFERROR(__xludf.DUMMYFUNCTION("SPLIT(A4897, "" |"")"),4895.0)</f>
        <v>4895</v>
      </c>
      <c r="G4901" s="19">
        <f>IFERROR(__xludf.DUMMYFUNCTION("""COMPUTED_VALUE"""),0.00234)</f>
        <v>0.00234</v>
      </c>
      <c r="H4901" s="19" t="str">
        <f>IFERROR(__xludf.DUMMYFUNCTION("""COMPUTED_VALUE"""),"-")</f>
        <v>-</v>
      </c>
      <c r="I4901" s="19">
        <f>IFERROR(__xludf.DUMMYFUNCTION("""COMPUTED_VALUE"""),0.00222)</f>
        <v>0.00222</v>
      </c>
      <c r="J4901" s="19">
        <f>IFERROR(__xludf.DUMMYFUNCTION("""COMPUTED_VALUE"""),0.04724)</f>
        <v>0.04724</v>
      </c>
      <c r="K4901" s="19" t="str">
        <f>IFERROR(__xludf.DUMMYFUNCTION("""COMPUTED_VALUE"""),"-")</f>
        <v>-</v>
      </c>
      <c r="L4901" s="19" t="str">
        <f>IFERROR(__xludf.DUMMYFUNCTION("""COMPUTED_VALUE"""),"-")</f>
        <v>-</v>
      </c>
      <c r="O4901" s="24">
        <f t="shared" si="4"/>
        <v>0</v>
      </c>
      <c r="P4901" s="24"/>
      <c r="Q4901" s="24">
        <f t="shared" si="6"/>
        <v>0</v>
      </c>
      <c r="R4901" s="24">
        <f t="shared" si="7"/>
        <v>0</v>
      </c>
      <c r="S4901" s="24"/>
      <c r="T4901" s="24"/>
    </row>
    <row r="4902">
      <c r="A4902" s="12" t="s">
        <v>4989</v>
      </c>
      <c r="F4902" s="19">
        <f>IFERROR(__xludf.DUMMYFUNCTION("SPLIT(A4898, "" |"")"),4896.0)</f>
        <v>4896</v>
      </c>
      <c r="G4902" s="19">
        <f>IFERROR(__xludf.DUMMYFUNCTION("""COMPUTED_VALUE"""),0.00234)</f>
        <v>0.00234</v>
      </c>
      <c r="H4902" s="19" t="str">
        <f>IFERROR(__xludf.DUMMYFUNCTION("""COMPUTED_VALUE"""),"-")</f>
        <v>-</v>
      </c>
      <c r="I4902" s="19">
        <f>IFERROR(__xludf.DUMMYFUNCTION("""COMPUTED_VALUE"""),0.00219)</f>
        <v>0.00219</v>
      </c>
      <c r="J4902" s="19">
        <f>IFERROR(__xludf.DUMMYFUNCTION("""COMPUTED_VALUE"""),0.04734)</f>
        <v>0.04734</v>
      </c>
      <c r="K4902" s="19" t="str">
        <f>IFERROR(__xludf.DUMMYFUNCTION("""COMPUTED_VALUE"""),"-")</f>
        <v>-</v>
      </c>
      <c r="L4902" s="19" t="str">
        <f>IFERROR(__xludf.DUMMYFUNCTION("""COMPUTED_VALUE"""),"-")</f>
        <v>-</v>
      </c>
      <c r="O4902" s="24">
        <f t="shared" si="4"/>
        <v>0</v>
      </c>
      <c r="P4902" s="24"/>
      <c r="Q4902" s="24">
        <f t="shared" si="6"/>
        <v>0</v>
      </c>
      <c r="R4902" s="24">
        <f t="shared" si="7"/>
        <v>0</v>
      </c>
      <c r="S4902" s="24"/>
      <c r="T4902" s="24"/>
    </row>
    <row r="4903">
      <c r="A4903" s="12" t="s">
        <v>4990</v>
      </c>
      <c r="F4903" s="19">
        <f>IFERROR(__xludf.DUMMYFUNCTION("SPLIT(A4899, "" |"")"),4897.0)</f>
        <v>4897</v>
      </c>
      <c r="G4903" s="19">
        <f>IFERROR(__xludf.DUMMYFUNCTION("""COMPUTED_VALUE"""),0.00238)</f>
        <v>0.00238</v>
      </c>
      <c r="H4903" s="19" t="str">
        <f>IFERROR(__xludf.DUMMYFUNCTION("""COMPUTED_VALUE"""),"-")</f>
        <v>-</v>
      </c>
      <c r="I4903" s="19">
        <f>IFERROR(__xludf.DUMMYFUNCTION("""COMPUTED_VALUE"""),0.00217)</f>
        <v>0.00217</v>
      </c>
      <c r="J4903" s="19">
        <f>IFERROR(__xludf.DUMMYFUNCTION("""COMPUTED_VALUE"""),0.04739)</f>
        <v>0.04739</v>
      </c>
      <c r="K4903" s="19" t="str">
        <f>IFERROR(__xludf.DUMMYFUNCTION("""COMPUTED_VALUE"""),"-")</f>
        <v>-</v>
      </c>
      <c r="L4903" s="19" t="str">
        <f>IFERROR(__xludf.DUMMYFUNCTION("""COMPUTED_VALUE"""),"-")</f>
        <v>-</v>
      </c>
      <c r="O4903" s="24">
        <f t="shared" si="4"/>
        <v>0</v>
      </c>
      <c r="P4903" s="24"/>
      <c r="Q4903" s="24">
        <f t="shared" si="6"/>
        <v>0</v>
      </c>
      <c r="R4903" s="24">
        <f t="shared" si="7"/>
        <v>0</v>
      </c>
      <c r="S4903" s="24"/>
      <c r="T4903" s="24"/>
    </row>
    <row r="4904">
      <c r="A4904" s="12" t="s">
        <v>4991</v>
      </c>
      <c r="F4904" s="19">
        <f>IFERROR(__xludf.DUMMYFUNCTION("SPLIT(A4900, "" |"")"),4898.0)</f>
        <v>4898</v>
      </c>
      <c r="G4904" s="19">
        <f>IFERROR(__xludf.DUMMYFUNCTION("""COMPUTED_VALUE"""),0.00234)</f>
        <v>0.00234</v>
      </c>
      <c r="H4904" s="19" t="str">
        <f>IFERROR(__xludf.DUMMYFUNCTION("""COMPUTED_VALUE"""),"-")</f>
        <v>-</v>
      </c>
      <c r="I4904" s="19">
        <f>IFERROR(__xludf.DUMMYFUNCTION("""COMPUTED_VALUE"""),0.00218)</f>
        <v>0.00218</v>
      </c>
      <c r="J4904" s="19">
        <f>IFERROR(__xludf.DUMMYFUNCTION("""COMPUTED_VALUE"""),0.04742)</f>
        <v>0.04742</v>
      </c>
      <c r="K4904" s="19" t="str">
        <f>IFERROR(__xludf.DUMMYFUNCTION("""COMPUTED_VALUE"""),"-")</f>
        <v>-</v>
      </c>
      <c r="L4904" s="19" t="str">
        <f>IFERROR(__xludf.DUMMYFUNCTION("""COMPUTED_VALUE"""),"-")</f>
        <v>-</v>
      </c>
      <c r="O4904" s="24">
        <f t="shared" si="4"/>
        <v>0</v>
      </c>
      <c r="P4904" s="24"/>
      <c r="Q4904" s="24">
        <f t="shared" si="6"/>
        <v>0</v>
      </c>
      <c r="R4904" s="24">
        <f t="shared" si="7"/>
        <v>0</v>
      </c>
      <c r="S4904" s="24"/>
      <c r="T4904" s="24"/>
    </row>
    <row r="4905">
      <c r="A4905" s="12" t="s">
        <v>4992</v>
      </c>
      <c r="F4905" s="19">
        <f>IFERROR(__xludf.DUMMYFUNCTION("SPLIT(A4901, "" |"")"),4899.0)</f>
        <v>4899</v>
      </c>
      <c r="G4905" s="19">
        <f>IFERROR(__xludf.DUMMYFUNCTION("""COMPUTED_VALUE"""),0.00236)</f>
        <v>0.00236</v>
      </c>
      <c r="H4905" s="19" t="str">
        <f>IFERROR(__xludf.DUMMYFUNCTION("""COMPUTED_VALUE"""),"-")</f>
        <v>-</v>
      </c>
      <c r="I4905" s="19">
        <f>IFERROR(__xludf.DUMMYFUNCTION("""COMPUTED_VALUE"""),0.00222)</f>
        <v>0.00222</v>
      </c>
      <c r="J4905" s="19">
        <f>IFERROR(__xludf.DUMMYFUNCTION("""COMPUTED_VALUE"""),0.04745)</f>
        <v>0.04745</v>
      </c>
      <c r="K4905" s="19" t="str">
        <f>IFERROR(__xludf.DUMMYFUNCTION("""COMPUTED_VALUE"""),"-")</f>
        <v>-</v>
      </c>
      <c r="L4905" s="19" t="str">
        <f>IFERROR(__xludf.DUMMYFUNCTION("""COMPUTED_VALUE"""),"-")</f>
        <v>-</v>
      </c>
      <c r="O4905" s="24">
        <f t="shared" si="4"/>
        <v>0</v>
      </c>
      <c r="P4905" s="24"/>
      <c r="Q4905" s="24">
        <f t="shared" si="6"/>
        <v>0</v>
      </c>
      <c r="R4905" s="24">
        <f t="shared" si="7"/>
        <v>0</v>
      </c>
      <c r="S4905" s="24"/>
      <c r="T4905" s="24"/>
    </row>
    <row r="4906">
      <c r="A4906" s="12" t="s">
        <v>4993</v>
      </c>
      <c r="F4906" s="19">
        <f>IFERROR(__xludf.DUMMYFUNCTION("SPLIT(A4902, "" |"")"),4900.0)</f>
        <v>4900</v>
      </c>
      <c r="G4906" s="19">
        <f>IFERROR(__xludf.DUMMYFUNCTION("""COMPUTED_VALUE"""),0.00234)</f>
        <v>0.00234</v>
      </c>
      <c r="H4906" s="19" t="str">
        <f>IFERROR(__xludf.DUMMYFUNCTION("""COMPUTED_VALUE"""),"-")</f>
        <v>-</v>
      </c>
      <c r="I4906" s="19">
        <f>IFERROR(__xludf.DUMMYFUNCTION("""COMPUTED_VALUE"""),0.00218)</f>
        <v>0.00218</v>
      </c>
      <c r="J4906" s="19">
        <f>IFERROR(__xludf.DUMMYFUNCTION("""COMPUTED_VALUE"""),0.04744)</f>
        <v>0.04744</v>
      </c>
      <c r="K4906" s="19" t="str">
        <f>IFERROR(__xludf.DUMMYFUNCTION("""COMPUTED_VALUE"""),"-")</f>
        <v>-</v>
      </c>
      <c r="L4906" s="19" t="str">
        <f>IFERROR(__xludf.DUMMYFUNCTION("""COMPUTED_VALUE"""),"-")</f>
        <v>-</v>
      </c>
      <c r="O4906" s="24">
        <f t="shared" si="4"/>
        <v>0</v>
      </c>
      <c r="P4906" s="24"/>
      <c r="Q4906" s="24">
        <f t="shared" si="6"/>
        <v>0</v>
      </c>
      <c r="R4906" s="24">
        <f t="shared" si="7"/>
        <v>0</v>
      </c>
      <c r="S4906" s="24"/>
      <c r="T4906" s="24"/>
    </row>
    <row r="4907">
      <c r="A4907" s="12" t="s">
        <v>4994</v>
      </c>
      <c r="F4907" s="19">
        <f>IFERROR(__xludf.DUMMYFUNCTION("SPLIT(A4903, "" |"")"),4901.0)</f>
        <v>4901</v>
      </c>
      <c r="G4907" s="19">
        <f>IFERROR(__xludf.DUMMYFUNCTION("""COMPUTED_VALUE"""),0.00232)</f>
        <v>0.00232</v>
      </c>
      <c r="H4907" s="19" t="str">
        <f>IFERROR(__xludf.DUMMYFUNCTION("""COMPUTED_VALUE"""),"-")</f>
        <v>-</v>
      </c>
      <c r="I4907" s="19">
        <f>IFERROR(__xludf.DUMMYFUNCTION("""COMPUTED_VALUE"""),0.00216)</f>
        <v>0.00216</v>
      </c>
      <c r="J4907" s="19">
        <f>IFERROR(__xludf.DUMMYFUNCTION("""COMPUTED_VALUE"""),0.04735)</f>
        <v>0.04735</v>
      </c>
      <c r="K4907" s="19" t="str">
        <f>IFERROR(__xludf.DUMMYFUNCTION("""COMPUTED_VALUE"""),"-")</f>
        <v>-</v>
      </c>
      <c r="L4907" s="19" t="str">
        <f>IFERROR(__xludf.DUMMYFUNCTION("""COMPUTED_VALUE"""),"-")</f>
        <v>-</v>
      </c>
      <c r="O4907" s="24">
        <f t="shared" si="4"/>
        <v>0</v>
      </c>
      <c r="P4907" s="24"/>
      <c r="Q4907" s="24">
        <f t="shared" si="6"/>
        <v>0</v>
      </c>
      <c r="R4907" s="24">
        <f t="shared" si="7"/>
        <v>0</v>
      </c>
      <c r="S4907" s="24"/>
      <c r="T4907" s="24"/>
    </row>
    <row r="4908">
      <c r="A4908" s="12" t="s">
        <v>4995</v>
      </c>
      <c r="F4908" s="19">
        <f>IFERROR(__xludf.DUMMYFUNCTION("SPLIT(A4904, "" |"")"),4902.0)</f>
        <v>4902</v>
      </c>
      <c r="G4908" s="19">
        <f>IFERROR(__xludf.DUMMYFUNCTION("""COMPUTED_VALUE"""),0.00231)</f>
        <v>0.00231</v>
      </c>
      <c r="H4908" s="19" t="str">
        <f>IFERROR(__xludf.DUMMYFUNCTION("""COMPUTED_VALUE"""),"-")</f>
        <v>-</v>
      </c>
      <c r="I4908" s="19">
        <f>IFERROR(__xludf.DUMMYFUNCTION("""COMPUTED_VALUE"""),0.00225)</f>
        <v>0.00225</v>
      </c>
      <c r="J4908" s="19">
        <f>IFERROR(__xludf.DUMMYFUNCTION("""COMPUTED_VALUE"""),0.04741)</f>
        <v>0.04741</v>
      </c>
      <c r="K4908" s="19" t="str">
        <f>IFERROR(__xludf.DUMMYFUNCTION("""COMPUTED_VALUE"""),"-")</f>
        <v>-</v>
      </c>
      <c r="L4908" s="19" t="str">
        <f>IFERROR(__xludf.DUMMYFUNCTION("""COMPUTED_VALUE"""),"-")</f>
        <v>-</v>
      </c>
      <c r="O4908" s="24">
        <f t="shared" si="4"/>
        <v>0</v>
      </c>
      <c r="P4908" s="24"/>
      <c r="Q4908" s="24">
        <f t="shared" si="6"/>
        <v>0</v>
      </c>
      <c r="R4908" s="24">
        <f t="shared" si="7"/>
        <v>0</v>
      </c>
      <c r="S4908" s="24"/>
      <c r="T4908" s="24"/>
    </row>
    <row r="4909">
      <c r="A4909" s="12" t="s">
        <v>4996</v>
      </c>
      <c r="F4909" s="19">
        <f>IFERROR(__xludf.DUMMYFUNCTION("SPLIT(A4905, "" |"")"),4903.0)</f>
        <v>4903</v>
      </c>
      <c r="G4909" s="19">
        <f>IFERROR(__xludf.DUMMYFUNCTION("""COMPUTED_VALUE"""),0.00235)</f>
        <v>0.00235</v>
      </c>
      <c r="H4909" s="19" t="str">
        <f>IFERROR(__xludf.DUMMYFUNCTION("""COMPUTED_VALUE"""),"-")</f>
        <v>-</v>
      </c>
      <c r="I4909" s="19">
        <f>IFERROR(__xludf.DUMMYFUNCTION("""COMPUTED_VALUE"""),0.0022)</f>
        <v>0.0022</v>
      </c>
      <c r="J4909" s="19">
        <f>IFERROR(__xludf.DUMMYFUNCTION("""COMPUTED_VALUE"""),0.04747)</f>
        <v>0.04747</v>
      </c>
      <c r="K4909" s="19" t="str">
        <f>IFERROR(__xludf.DUMMYFUNCTION("""COMPUTED_VALUE"""),"-")</f>
        <v>-</v>
      </c>
      <c r="L4909" s="19" t="str">
        <f>IFERROR(__xludf.DUMMYFUNCTION("""COMPUTED_VALUE"""),"-")</f>
        <v>-</v>
      </c>
      <c r="O4909" s="24">
        <f t="shared" si="4"/>
        <v>0</v>
      </c>
      <c r="P4909" s="24"/>
      <c r="Q4909" s="24">
        <f t="shared" si="6"/>
        <v>0</v>
      </c>
      <c r="R4909" s="24">
        <f t="shared" si="7"/>
        <v>0</v>
      </c>
      <c r="S4909" s="24"/>
      <c r="T4909" s="24"/>
    </row>
    <row r="4910">
      <c r="A4910" s="12" t="s">
        <v>4997</v>
      </c>
      <c r="F4910" s="19">
        <f>IFERROR(__xludf.DUMMYFUNCTION("SPLIT(A4906, "" |"")"),4904.0)</f>
        <v>4904</v>
      </c>
      <c r="G4910" s="19">
        <f>IFERROR(__xludf.DUMMYFUNCTION("""COMPUTED_VALUE"""),0.00233)</f>
        <v>0.00233</v>
      </c>
      <c r="H4910" s="19" t="str">
        <f>IFERROR(__xludf.DUMMYFUNCTION("""COMPUTED_VALUE"""),"-")</f>
        <v>-</v>
      </c>
      <c r="I4910" s="19">
        <f>IFERROR(__xludf.DUMMYFUNCTION("""COMPUTED_VALUE"""),0.00227)</f>
        <v>0.00227</v>
      </c>
      <c r="J4910" s="19">
        <f>IFERROR(__xludf.DUMMYFUNCTION("""COMPUTED_VALUE"""),0.04744)</f>
        <v>0.04744</v>
      </c>
      <c r="K4910" s="19" t="str">
        <f>IFERROR(__xludf.DUMMYFUNCTION("""COMPUTED_VALUE"""),"-")</f>
        <v>-</v>
      </c>
      <c r="L4910" s="19" t="str">
        <f>IFERROR(__xludf.DUMMYFUNCTION("""COMPUTED_VALUE"""),"-")</f>
        <v>-</v>
      </c>
      <c r="O4910" s="24">
        <f t="shared" si="4"/>
        <v>0</v>
      </c>
      <c r="P4910" s="24"/>
      <c r="Q4910" s="24">
        <f t="shared" si="6"/>
        <v>0</v>
      </c>
      <c r="R4910" s="24">
        <f t="shared" si="7"/>
        <v>0</v>
      </c>
      <c r="S4910" s="24"/>
      <c r="T4910" s="24"/>
    </row>
    <row r="4911">
      <c r="A4911" s="12" t="s">
        <v>4998</v>
      </c>
      <c r="F4911" s="19">
        <f>IFERROR(__xludf.DUMMYFUNCTION("SPLIT(A4907, "" |"")"),4905.0)</f>
        <v>4905</v>
      </c>
      <c r="G4911" s="19">
        <f>IFERROR(__xludf.DUMMYFUNCTION("""COMPUTED_VALUE"""),0.00234)</f>
        <v>0.00234</v>
      </c>
      <c r="H4911" s="19" t="str">
        <f>IFERROR(__xludf.DUMMYFUNCTION("""COMPUTED_VALUE"""),"-")</f>
        <v>-</v>
      </c>
      <c r="I4911" s="19">
        <f>IFERROR(__xludf.DUMMYFUNCTION("""COMPUTED_VALUE"""),0.00222)</f>
        <v>0.00222</v>
      </c>
      <c r="J4911" s="19">
        <f>IFERROR(__xludf.DUMMYFUNCTION("""COMPUTED_VALUE"""),0.04747)</f>
        <v>0.04747</v>
      </c>
      <c r="K4911" s="19" t="str">
        <f>IFERROR(__xludf.DUMMYFUNCTION("""COMPUTED_VALUE"""),"-")</f>
        <v>-</v>
      </c>
      <c r="L4911" s="19" t="str">
        <f>IFERROR(__xludf.DUMMYFUNCTION("""COMPUTED_VALUE"""),"-")</f>
        <v>-</v>
      </c>
      <c r="O4911" s="24">
        <f t="shared" si="4"/>
        <v>0</v>
      </c>
      <c r="P4911" s="24"/>
      <c r="Q4911" s="24">
        <f t="shared" si="6"/>
        <v>0</v>
      </c>
      <c r="R4911" s="24">
        <f t="shared" si="7"/>
        <v>0</v>
      </c>
      <c r="S4911" s="24"/>
      <c r="T4911" s="24"/>
    </row>
    <row r="4912">
      <c r="A4912" s="12" t="s">
        <v>4999</v>
      </c>
      <c r="F4912" s="19">
        <f>IFERROR(__xludf.DUMMYFUNCTION("SPLIT(A4908, "" |"")"),4906.0)</f>
        <v>4906</v>
      </c>
      <c r="G4912" s="19">
        <f>IFERROR(__xludf.DUMMYFUNCTION("""COMPUTED_VALUE"""),0.00237)</f>
        <v>0.00237</v>
      </c>
      <c r="H4912" s="19" t="str">
        <f>IFERROR(__xludf.DUMMYFUNCTION("""COMPUTED_VALUE"""),"-")</f>
        <v>-</v>
      </c>
      <c r="I4912" s="19">
        <f>IFERROR(__xludf.DUMMYFUNCTION("""COMPUTED_VALUE"""),0.00221)</f>
        <v>0.00221</v>
      </c>
      <c r="J4912" s="19">
        <f>IFERROR(__xludf.DUMMYFUNCTION("""COMPUTED_VALUE"""),0.04451)</f>
        <v>0.04451</v>
      </c>
      <c r="K4912" s="19" t="str">
        <f>IFERROR(__xludf.DUMMYFUNCTION("""COMPUTED_VALUE"""),"-")</f>
        <v>-</v>
      </c>
      <c r="L4912" s="19" t="str">
        <f>IFERROR(__xludf.DUMMYFUNCTION("""COMPUTED_VALUE"""),"-")</f>
        <v>-</v>
      </c>
      <c r="O4912" s="24">
        <f t="shared" si="4"/>
        <v>0</v>
      </c>
      <c r="P4912" s="24"/>
      <c r="Q4912" s="24">
        <f t="shared" si="6"/>
        <v>0</v>
      </c>
      <c r="R4912" s="24">
        <f t="shared" si="7"/>
        <v>1</v>
      </c>
      <c r="S4912" s="24"/>
      <c r="T4912" s="24"/>
    </row>
    <row r="4913">
      <c r="A4913" s="12" t="s">
        <v>5000</v>
      </c>
      <c r="F4913" s="19">
        <f>IFERROR(__xludf.DUMMYFUNCTION("SPLIT(A4909, "" |"")"),4907.0)</f>
        <v>4907</v>
      </c>
      <c r="G4913" s="19">
        <f>IFERROR(__xludf.DUMMYFUNCTION("""COMPUTED_VALUE"""),0.0023)</f>
        <v>0.0023</v>
      </c>
      <c r="H4913" s="19" t="str">
        <f>IFERROR(__xludf.DUMMYFUNCTION("""COMPUTED_VALUE"""),"-")</f>
        <v>-</v>
      </c>
      <c r="I4913" s="19">
        <f>IFERROR(__xludf.DUMMYFUNCTION("""COMPUTED_VALUE"""),0.00219)</f>
        <v>0.00219</v>
      </c>
      <c r="J4913" s="19">
        <f>IFERROR(__xludf.DUMMYFUNCTION("""COMPUTED_VALUE"""),0.04741)</f>
        <v>0.04741</v>
      </c>
      <c r="K4913" s="19" t="str">
        <f>IFERROR(__xludf.DUMMYFUNCTION("""COMPUTED_VALUE"""),"-")</f>
        <v>-</v>
      </c>
      <c r="L4913" s="19" t="str">
        <f>IFERROR(__xludf.DUMMYFUNCTION("""COMPUTED_VALUE"""),"-")</f>
        <v>-</v>
      </c>
      <c r="O4913" s="24">
        <f t="shared" si="4"/>
        <v>0</v>
      </c>
      <c r="P4913" s="24"/>
      <c r="Q4913" s="24">
        <f t="shared" si="6"/>
        <v>0</v>
      </c>
      <c r="R4913" s="24">
        <f t="shared" si="7"/>
        <v>0</v>
      </c>
      <c r="S4913" s="24"/>
      <c r="T4913" s="24"/>
    </row>
    <row r="4914">
      <c r="A4914" s="12" t="s">
        <v>5001</v>
      </c>
      <c r="F4914" s="19">
        <f>IFERROR(__xludf.DUMMYFUNCTION("SPLIT(A4910, "" |"")"),4908.0)</f>
        <v>4908</v>
      </c>
      <c r="G4914" s="19">
        <f>IFERROR(__xludf.DUMMYFUNCTION("""COMPUTED_VALUE"""),0.00233)</f>
        <v>0.00233</v>
      </c>
      <c r="H4914" s="19" t="str">
        <f>IFERROR(__xludf.DUMMYFUNCTION("""COMPUTED_VALUE"""),"-")</f>
        <v>-</v>
      </c>
      <c r="I4914" s="19">
        <f>IFERROR(__xludf.DUMMYFUNCTION("""COMPUTED_VALUE"""),0.00222)</f>
        <v>0.00222</v>
      </c>
      <c r="J4914" s="19">
        <f>IFERROR(__xludf.DUMMYFUNCTION("""COMPUTED_VALUE"""),0.04757)</f>
        <v>0.04757</v>
      </c>
      <c r="K4914" s="19" t="str">
        <f>IFERROR(__xludf.DUMMYFUNCTION("""COMPUTED_VALUE"""),"-")</f>
        <v>-</v>
      </c>
      <c r="L4914" s="19" t="str">
        <f>IFERROR(__xludf.DUMMYFUNCTION("""COMPUTED_VALUE"""),"-")</f>
        <v>-</v>
      </c>
      <c r="O4914" s="24">
        <f t="shared" si="4"/>
        <v>0</v>
      </c>
      <c r="P4914" s="24"/>
      <c r="Q4914" s="24">
        <f t="shared" si="6"/>
        <v>0</v>
      </c>
      <c r="R4914" s="24">
        <f t="shared" si="7"/>
        <v>0</v>
      </c>
      <c r="S4914" s="24"/>
      <c r="T4914" s="24"/>
    </row>
    <row r="4915">
      <c r="A4915" s="12" t="s">
        <v>5002</v>
      </c>
      <c r="F4915" s="19">
        <f>IFERROR(__xludf.DUMMYFUNCTION("SPLIT(A4911, "" |"")"),4909.0)</f>
        <v>4909</v>
      </c>
      <c r="G4915" s="19">
        <f>IFERROR(__xludf.DUMMYFUNCTION("""COMPUTED_VALUE"""),0.0024)</f>
        <v>0.0024</v>
      </c>
      <c r="H4915" s="19" t="str">
        <f>IFERROR(__xludf.DUMMYFUNCTION("""COMPUTED_VALUE"""),"-")</f>
        <v>-</v>
      </c>
      <c r="I4915" s="19">
        <f>IFERROR(__xludf.DUMMYFUNCTION("""COMPUTED_VALUE"""),0.00221)</f>
        <v>0.00221</v>
      </c>
      <c r="J4915" s="19">
        <f>IFERROR(__xludf.DUMMYFUNCTION("""COMPUTED_VALUE"""),0.04738)</f>
        <v>0.04738</v>
      </c>
      <c r="K4915" s="19" t="str">
        <f>IFERROR(__xludf.DUMMYFUNCTION("""COMPUTED_VALUE"""),"-")</f>
        <v>-</v>
      </c>
      <c r="L4915" s="19" t="str">
        <f>IFERROR(__xludf.DUMMYFUNCTION("""COMPUTED_VALUE"""),"-")</f>
        <v>-</v>
      </c>
      <c r="O4915" s="24">
        <f t="shared" si="4"/>
        <v>0</v>
      </c>
      <c r="P4915" s="24"/>
      <c r="Q4915" s="24">
        <f t="shared" si="6"/>
        <v>0</v>
      </c>
      <c r="R4915" s="24">
        <f t="shared" si="7"/>
        <v>0</v>
      </c>
      <c r="S4915" s="24"/>
      <c r="T4915" s="24"/>
    </row>
    <row r="4916">
      <c r="A4916" s="12" t="s">
        <v>5003</v>
      </c>
      <c r="F4916" s="19">
        <f>IFERROR(__xludf.DUMMYFUNCTION("SPLIT(A4912, "" |"")"),4910.0)</f>
        <v>4910</v>
      </c>
      <c r="G4916" s="19">
        <f>IFERROR(__xludf.DUMMYFUNCTION("""COMPUTED_VALUE"""),0.00235)</f>
        <v>0.00235</v>
      </c>
      <c r="H4916" s="19" t="str">
        <f>IFERROR(__xludf.DUMMYFUNCTION("""COMPUTED_VALUE"""),"-")</f>
        <v>-</v>
      </c>
      <c r="I4916" s="19">
        <f>IFERROR(__xludf.DUMMYFUNCTION("""COMPUTED_VALUE"""),0.00222)</f>
        <v>0.00222</v>
      </c>
      <c r="J4916" s="19">
        <f>IFERROR(__xludf.DUMMYFUNCTION("""COMPUTED_VALUE"""),0.04734)</f>
        <v>0.04734</v>
      </c>
      <c r="K4916" s="19" t="str">
        <f>IFERROR(__xludf.DUMMYFUNCTION("""COMPUTED_VALUE"""),"-")</f>
        <v>-</v>
      </c>
      <c r="L4916" s="19" t="str">
        <f>IFERROR(__xludf.DUMMYFUNCTION("""COMPUTED_VALUE"""),"-")</f>
        <v>-</v>
      </c>
      <c r="O4916" s="24">
        <f t="shared" si="4"/>
        <v>0</v>
      </c>
      <c r="P4916" s="24"/>
      <c r="Q4916" s="24">
        <f t="shared" si="6"/>
        <v>0</v>
      </c>
      <c r="R4916" s="24">
        <f t="shared" si="7"/>
        <v>0</v>
      </c>
      <c r="S4916" s="24"/>
      <c r="T4916" s="24"/>
    </row>
    <row r="4917">
      <c r="A4917" s="12" t="s">
        <v>5004</v>
      </c>
      <c r="F4917" s="19">
        <f>IFERROR(__xludf.DUMMYFUNCTION("SPLIT(A4913, "" |"")"),4911.0)</f>
        <v>4911</v>
      </c>
      <c r="G4917" s="19">
        <f>IFERROR(__xludf.DUMMYFUNCTION("""COMPUTED_VALUE"""),0.00238)</f>
        <v>0.00238</v>
      </c>
      <c r="H4917" s="19" t="str">
        <f>IFERROR(__xludf.DUMMYFUNCTION("""COMPUTED_VALUE"""),"-")</f>
        <v>-</v>
      </c>
      <c r="I4917" s="19">
        <f>IFERROR(__xludf.DUMMYFUNCTION("""COMPUTED_VALUE"""),0.00221)</f>
        <v>0.00221</v>
      </c>
      <c r="J4917" s="19">
        <f>IFERROR(__xludf.DUMMYFUNCTION("""COMPUTED_VALUE"""),0.04741)</f>
        <v>0.04741</v>
      </c>
      <c r="K4917" s="19" t="str">
        <f>IFERROR(__xludf.DUMMYFUNCTION("""COMPUTED_VALUE"""),"-")</f>
        <v>-</v>
      </c>
      <c r="L4917" s="19" t="str">
        <f>IFERROR(__xludf.DUMMYFUNCTION("""COMPUTED_VALUE"""),"-")</f>
        <v>-</v>
      </c>
      <c r="O4917" s="24">
        <f t="shared" si="4"/>
        <v>0</v>
      </c>
      <c r="P4917" s="24"/>
      <c r="Q4917" s="24">
        <f t="shared" si="6"/>
        <v>0</v>
      </c>
      <c r="R4917" s="24">
        <f t="shared" si="7"/>
        <v>0</v>
      </c>
      <c r="S4917" s="24"/>
      <c r="T4917" s="24"/>
    </row>
    <row r="4918">
      <c r="A4918" s="12" t="s">
        <v>5005</v>
      </c>
      <c r="F4918" s="19">
        <f>IFERROR(__xludf.DUMMYFUNCTION("SPLIT(A4914, "" |"")"),4912.0)</f>
        <v>4912</v>
      </c>
      <c r="G4918" s="19">
        <f>IFERROR(__xludf.DUMMYFUNCTION("""COMPUTED_VALUE"""),0.00233)</f>
        <v>0.00233</v>
      </c>
      <c r="H4918" s="19" t="str">
        <f>IFERROR(__xludf.DUMMYFUNCTION("""COMPUTED_VALUE"""),"-")</f>
        <v>-</v>
      </c>
      <c r="I4918" s="19">
        <f>IFERROR(__xludf.DUMMYFUNCTION("""COMPUTED_VALUE"""),0.00218)</f>
        <v>0.00218</v>
      </c>
      <c r="J4918" s="19">
        <f>IFERROR(__xludf.DUMMYFUNCTION("""COMPUTED_VALUE"""),0.04734)</f>
        <v>0.04734</v>
      </c>
      <c r="K4918" s="19" t="str">
        <f>IFERROR(__xludf.DUMMYFUNCTION("""COMPUTED_VALUE"""),"-")</f>
        <v>-</v>
      </c>
      <c r="L4918" s="19" t="str">
        <f>IFERROR(__xludf.DUMMYFUNCTION("""COMPUTED_VALUE"""),"-")</f>
        <v>-</v>
      </c>
      <c r="O4918" s="24">
        <f t="shared" si="4"/>
        <v>0</v>
      </c>
      <c r="P4918" s="24"/>
      <c r="Q4918" s="24">
        <f t="shared" si="6"/>
        <v>0</v>
      </c>
      <c r="R4918" s="24">
        <f t="shared" si="7"/>
        <v>0</v>
      </c>
      <c r="S4918" s="24"/>
      <c r="T4918" s="24"/>
    </row>
    <row r="4919">
      <c r="A4919" s="12" t="s">
        <v>5006</v>
      </c>
      <c r="F4919" s="19">
        <f>IFERROR(__xludf.DUMMYFUNCTION("SPLIT(A4915, "" |"")"),4913.0)</f>
        <v>4913</v>
      </c>
      <c r="G4919" s="19">
        <f>IFERROR(__xludf.DUMMYFUNCTION("""COMPUTED_VALUE"""),0.00239)</f>
        <v>0.00239</v>
      </c>
      <c r="H4919" s="19" t="str">
        <f>IFERROR(__xludf.DUMMYFUNCTION("""COMPUTED_VALUE"""),"-")</f>
        <v>-</v>
      </c>
      <c r="I4919" s="19">
        <f>IFERROR(__xludf.DUMMYFUNCTION("""COMPUTED_VALUE"""),0.00225)</f>
        <v>0.00225</v>
      </c>
      <c r="J4919" s="19">
        <f>IFERROR(__xludf.DUMMYFUNCTION("""COMPUTED_VALUE"""),0.04733)</f>
        <v>0.04733</v>
      </c>
      <c r="K4919" s="19" t="str">
        <f>IFERROR(__xludf.DUMMYFUNCTION("""COMPUTED_VALUE"""),"-")</f>
        <v>-</v>
      </c>
      <c r="L4919" s="19" t="str">
        <f>IFERROR(__xludf.DUMMYFUNCTION("""COMPUTED_VALUE"""),"-")</f>
        <v>-</v>
      </c>
      <c r="O4919" s="24">
        <f t="shared" si="4"/>
        <v>0</v>
      </c>
      <c r="P4919" s="24"/>
      <c r="Q4919" s="24">
        <f t="shared" si="6"/>
        <v>0</v>
      </c>
      <c r="R4919" s="24">
        <f t="shared" si="7"/>
        <v>0</v>
      </c>
      <c r="S4919" s="24"/>
      <c r="T4919" s="24"/>
    </row>
    <row r="4920">
      <c r="A4920" s="12" t="s">
        <v>5007</v>
      </c>
      <c r="F4920" s="19">
        <f>IFERROR(__xludf.DUMMYFUNCTION("SPLIT(A4916, "" |"")"),4914.0)</f>
        <v>4914</v>
      </c>
      <c r="G4920" s="19">
        <f>IFERROR(__xludf.DUMMYFUNCTION("""COMPUTED_VALUE"""),0.00238)</f>
        <v>0.00238</v>
      </c>
      <c r="H4920" s="19" t="str">
        <f>IFERROR(__xludf.DUMMYFUNCTION("""COMPUTED_VALUE"""),"-")</f>
        <v>-</v>
      </c>
      <c r="I4920" s="19">
        <f>IFERROR(__xludf.DUMMYFUNCTION("""COMPUTED_VALUE"""),0.00226)</f>
        <v>0.00226</v>
      </c>
      <c r="J4920" s="19">
        <f>IFERROR(__xludf.DUMMYFUNCTION("""COMPUTED_VALUE"""),0.04741)</f>
        <v>0.04741</v>
      </c>
      <c r="K4920" s="19" t="str">
        <f>IFERROR(__xludf.DUMMYFUNCTION("""COMPUTED_VALUE"""),"-")</f>
        <v>-</v>
      </c>
      <c r="L4920" s="19" t="str">
        <f>IFERROR(__xludf.DUMMYFUNCTION("""COMPUTED_VALUE"""),"-")</f>
        <v>-</v>
      </c>
      <c r="O4920" s="24">
        <f t="shared" si="4"/>
        <v>0</v>
      </c>
      <c r="P4920" s="24"/>
      <c r="Q4920" s="24">
        <f t="shared" si="6"/>
        <v>0</v>
      </c>
      <c r="R4920" s="24">
        <f t="shared" si="7"/>
        <v>0</v>
      </c>
      <c r="S4920" s="24"/>
      <c r="T4920" s="24"/>
    </row>
    <row r="4921">
      <c r="A4921" s="12" t="s">
        <v>5008</v>
      </c>
      <c r="F4921" s="19">
        <f>IFERROR(__xludf.DUMMYFUNCTION("SPLIT(A4917, "" |"")"),4915.0)</f>
        <v>4915</v>
      </c>
      <c r="G4921" s="19">
        <f>IFERROR(__xludf.DUMMYFUNCTION("""COMPUTED_VALUE"""),0.00239)</f>
        <v>0.00239</v>
      </c>
      <c r="H4921" s="19" t="str">
        <f>IFERROR(__xludf.DUMMYFUNCTION("""COMPUTED_VALUE"""),"-")</f>
        <v>-</v>
      </c>
      <c r="I4921" s="19">
        <f>IFERROR(__xludf.DUMMYFUNCTION("""COMPUTED_VALUE"""),0.00223)</f>
        <v>0.00223</v>
      </c>
      <c r="J4921" s="19">
        <f>IFERROR(__xludf.DUMMYFUNCTION("""COMPUTED_VALUE"""),0.04748)</f>
        <v>0.04748</v>
      </c>
      <c r="K4921" s="19" t="str">
        <f>IFERROR(__xludf.DUMMYFUNCTION("""COMPUTED_VALUE"""),"-")</f>
        <v>-</v>
      </c>
      <c r="L4921" s="19" t="str">
        <f>IFERROR(__xludf.DUMMYFUNCTION("""COMPUTED_VALUE"""),"-")</f>
        <v>-</v>
      </c>
      <c r="O4921" s="24">
        <f t="shared" si="4"/>
        <v>0</v>
      </c>
      <c r="P4921" s="24"/>
      <c r="Q4921" s="24">
        <f t="shared" si="6"/>
        <v>0</v>
      </c>
      <c r="R4921" s="24">
        <f t="shared" si="7"/>
        <v>0</v>
      </c>
      <c r="S4921" s="24"/>
      <c r="T4921" s="24"/>
    </row>
    <row r="4922">
      <c r="A4922" s="12" t="s">
        <v>5009</v>
      </c>
      <c r="F4922" s="19">
        <f>IFERROR(__xludf.DUMMYFUNCTION("SPLIT(A4918, "" |"")"),4916.0)</f>
        <v>4916</v>
      </c>
      <c r="G4922" s="19">
        <f>IFERROR(__xludf.DUMMYFUNCTION("""COMPUTED_VALUE"""),0.00246)</f>
        <v>0.00246</v>
      </c>
      <c r="H4922" s="19" t="str">
        <f>IFERROR(__xludf.DUMMYFUNCTION("""COMPUTED_VALUE"""),"-")</f>
        <v>-</v>
      </c>
      <c r="I4922" s="19">
        <f>IFERROR(__xludf.DUMMYFUNCTION("""COMPUTED_VALUE"""),0.00215)</f>
        <v>0.00215</v>
      </c>
      <c r="J4922" s="19">
        <f>IFERROR(__xludf.DUMMYFUNCTION("""COMPUTED_VALUE"""),0.04793)</f>
        <v>0.04793</v>
      </c>
      <c r="K4922" s="19" t="str">
        <f>IFERROR(__xludf.DUMMYFUNCTION("""COMPUTED_VALUE"""),"-")</f>
        <v>-</v>
      </c>
      <c r="L4922" s="19" t="str">
        <f>IFERROR(__xludf.DUMMYFUNCTION("""COMPUTED_VALUE"""),"-")</f>
        <v>-</v>
      </c>
      <c r="O4922" s="24">
        <f t="shared" si="4"/>
        <v>0</v>
      </c>
      <c r="P4922" s="24"/>
      <c r="Q4922" s="24">
        <f t="shared" si="6"/>
        <v>0</v>
      </c>
      <c r="R4922" s="24">
        <f t="shared" si="7"/>
        <v>0</v>
      </c>
      <c r="S4922" s="24"/>
      <c r="T4922" s="24"/>
    </row>
    <row r="4923">
      <c r="A4923" s="12" t="s">
        <v>5010</v>
      </c>
      <c r="F4923" s="19">
        <f>IFERROR(__xludf.DUMMYFUNCTION("SPLIT(A4919, "" |"")"),4917.0)</f>
        <v>4917</v>
      </c>
      <c r="G4923" s="19">
        <f>IFERROR(__xludf.DUMMYFUNCTION("""COMPUTED_VALUE"""),0.00238)</f>
        <v>0.00238</v>
      </c>
      <c r="H4923" s="19" t="str">
        <f>IFERROR(__xludf.DUMMYFUNCTION("""COMPUTED_VALUE"""),"-")</f>
        <v>-</v>
      </c>
      <c r="I4923" s="19">
        <f>IFERROR(__xludf.DUMMYFUNCTION("""COMPUTED_VALUE"""),0.00223)</f>
        <v>0.00223</v>
      </c>
      <c r="J4923" s="19">
        <f>IFERROR(__xludf.DUMMYFUNCTION("""COMPUTED_VALUE"""),0.04745)</f>
        <v>0.04745</v>
      </c>
      <c r="K4923" s="19" t="str">
        <f>IFERROR(__xludf.DUMMYFUNCTION("""COMPUTED_VALUE"""),"-")</f>
        <v>-</v>
      </c>
      <c r="L4923" s="19" t="str">
        <f>IFERROR(__xludf.DUMMYFUNCTION("""COMPUTED_VALUE"""),"-")</f>
        <v>-</v>
      </c>
      <c r="O4923" s="24">
        <f t="shared" si="4"/>
        <v>0</v>
      </c>
      <c r="P4923" s="24"/>
      <c r="Q4923" s="24">
        <f t="shared" si="6"/>
        <v>0</v>
      </c>
      <c r="R4923" s="24">
        <f t="shared" si="7"/>
        <v>0</v>
      </c>
      <c r="S4923" s="24"/>
      <c r="T4923" s="24"/>
    </row>
    <row r="4924">
      <c r="A4924" s="12" t="s">
        <v>5011</v>
      </c>
      <c r="F4924" s="19">
        <f>IFERROR(__xludf.DUMMYFUNCTION("SPLIT(A4920, "" |"")"),4918.0)</f>
        <v>4918</v>
      </c>
      <c r="G4924" s="19">
        <f>IFERROR(__xludf.DUMMYFUNCTION("""COMPUTED_VALUE"""),0.00234)</f>
        <v>0.00234</v>
      </c>
      <c r="H4924" s="19" t="str">
        <f>IFERROR(__xludf.DUMMYFUNCTION("""COMPUTED_VALUE"""),"-")</f>
        <v>-</v>
      </c>
      <c r="I4924" s="19">
        <f>IFERROR(__xludf.DUMMYFUNCTION("""COMPUTED_VALUE"""),0.00224)</f>
        <v>0.00224</v>
      </c>
      <c r="J4924" s="19">
        <f>IFERROR(__xludf.DUMMYFUNCTION("""COMPUTED_VALUE"""),0.04744)</f>
        <v>0.04744</v>
      </c>
      <c r="K4924" s="19" t="str">
        <f>IFERROR(__xludf.DUMMYFUNCTION("""COMPUTED_VALUE"""),"-")</f>
        <v>-</v>
      </c>
      <c r="L4924" s="19" t="str">
        <f>IFERROR(__xludf.DUMMYFUNCTION("""COMPUTED_VALUE"""),"-")</f>
        <v>-</v>
      </c>
      <c r="O4924" s="24">
        <f t="shared" si="4"/>
        <v>0</v>
      </c>
      <c r="P4924" s="24"/>
      <c r="Q4924" s="24">
        <f t="shared" si="6"/>
        <v>0</v>
      </c>
      <c r="R4924" s="24">
        <f t="shared" si="7"/>
        <v>0</v>
      </c>
      <c r="S4924" s="24"/>
      <c r="T4924" s="24"/>
    </row>
    <row r="4925">
      <c r="A4925" s="12" t="s">
        <v>5012</v>
      </c>
      <c r="F4925" s="19">
        <f>IFERROR(__xludf.DUMMYFUNCTION("SPLIT(A4921, "" |"")"),4919.0)</f>
        <v>4919</v>
      </c>
      <c r="G4925" s="19">
        <f>IFERROR(__xludf.DUMMYFUNCTION("""COMPUTED_VALUE"""),0.00235)</f>
        <v>0.00235</v>
      </c>
      <c r="H4925" s="19" t="str">
        <f>IFERROR(__xludf.DUMMYFUNCTION("""COMPUTED_VALUE"""),"-")</f>
        <v>-</v>
      </c>
      <c r="I4925" s="19">
        <f>IFERROR(__xludf.DUMMYFUNCTION("""COMPUTED_VALUE"""),0.00213)</f>
        <v>0.00213</v>
      </c>
      <c r="J4925" s="19">
        <f>IFERROR(__xludf.DUMMYFUNCTION("""COMPUTED_VALUE"""),0.04746)</f>
        <v>0.04746</v>
      </c>
      <c r="K4925" s="19" t="str">
        <f>IFERROR(__xludf.DUMMYFUNCTION("""COMPUTED_VALUE"""),"-")</f>
        <v>-</v>
      </c>
      <c r="L4925" s="19" t="str">
        <f>IFERROR(__xludf.DUMMYFUNCTION("""COMPUTED_VALUE"""),"-")</f>
        <v>-</v>
      </c>
      <c r="O4925" s="24">
        <f t="shared" si="4"/>
        <v>0</v>
      </c>
      <c r="P4925" s="24"/>
      <c r="Q4925" s="24">
        <f t="shared" si="6"/>
        <v>0</v>
      </c>
      <c r="R4925" s="24">
        <f t="shared" si="7"/>
        <v>0</v>
      </c>
      <c r="S4925" s="24"/>
      <c r="T4925" s="24"/>
    </row>
    <row r="4926">
      <c r="A4926" s="12" t="s">
        <v>5013</v>
      </c>
      <c r="F4926" s="19">
        <f>IFERROR(__xludf.DUMMYFUNCTION("SPLIT(A4922, "" |"")"),4920.0)</f>
        <v>4920</v>
      </c>
      <c r="G4926" s="19">
        <f>IFERROR(__xludf.DUMMYFUNCTION("""COMPUTED_VALUE"""),0.00247)</f>
        <v>0.00247</v>
      </c>
      <c r="H4926" s="19" t="str">
        <f>IFERROR(__xludf.DUMMYFUNCTION("""COMPUTED_VALUE"""),"-")</f>
        <v>-</v>
      </c>
      <c r="I4926" s="19">
        <f>IFERROR(__xludf.DUMMYFUNCTION("""COMPUTED_VALUE"""),0.00223)</f>
        <v>0.00223</v>
      </c>
      <c r="J4926" s="19">
        <f>IFERROR(__xludf.DUMMYFUNCTION("""COMPUTED_VALUE"""),0.04741)</f>
        <v>0.04741</v>
      </c>
      <c r="K4926" s="19" t="str">
        <f>IFERROR(__xludf.DUMMYFUNCTION("""COMPUTED_VALUE"""),"-")</f>
        <v>-</v>
      </c>
      <c r="L4926" s="19" t="str">
        <f>IFERROR(__xludf.DUMMYFUNCTION("""COMPUTED_VALUE"""),"-")</f>
        <v>-</v>
      </c>
      <c r="O4926" s="24">
        <f t="shared" si="4"/>
        <v>0</v>
      </c>
      <c r="P4926" s="24"/>
      <c r="Q4926" s="24">
        <f t="shared" si="6"/>
        <v>0</v>
      </c>
      <c r="R4926" s="24">
        <f t="shared" si="7"/>
        <v>0</v>
      </c>
      <c r="S4926" s="24"/>
      <c r="T4926" s="24"/>
    </row>
    <row r="4927">
      <c r="A4927" s="12" t="s">
        <v>5014</v>
      </c>
      <c r="F4927" s="19">
        <f>IFERROR(__xludf.DUMMYFUNCTION("SPLIT(A4923, "" |"")"),4921.0)</f>
        <v>4921</v>
      </c>
      <c r="G4927" s="19">
        <f>IFERROR(__xludf.DUMMYFUNCTION("""COMPUTED_VALUE"""),0.00223)</f>
        <v>0.00223</v>
      </c>
      <c r="H4927" s="19" t="str">
        <f>IFERROR(__xludf.DUMMYFUNCTION("""COMPUTED_VALUE"""),"-")</f>
        <v>-</v>
      </c>
      <c r="I4927" s="19">
        <f>IFERROR(__xludf.DUMMYFUNCTION("""COMPUTED_VALUE"""),0.00209)</f>
        <v>0.00209</v>
      </c>
      <c r="J4927" s="19">
        <f>IFERROR(__xludf.DUMMYFUNCTION("""COMPUTED_VALUE"""),0.04731)</f>
        <v>0.04731</v>
      </c>
      <c r="K4927" s="19" t="str">
        <f>IFERROR(__xludf.DUMMYFUNCTION("""COMPUTED_VALUE"""),"-")</f>
        <v>-</v>
      </c>
      <c r="L4927" s="19" t="str">
        <f>IFERROR(__xludf.DUMMYFUNCTION("""COMPUTED_VALUE"""),"-")</f>
        <v>-</v>
      </c>
      <c r="O4927" s="24">
        <f t="shared" si="4"/>
        <v>0</v>
      </c>
      <c r="P4927" s="24"/>
      <c r="Q4927" s="24">
        <f t="shared" si="6"/>
        <v>0</v>
      </c>
      <c r="R4927" s="24">
        <f t="shared" si="7"/>
        <v>0</v>
      </c>
      <c r="S4927" s="24"/>
      <c r="T4927" s="24"/>
    </row>
    <row r="4928">
      <c r="A4928" s="12" t="s">
        <v>5015</v>
      </c>
      <c r="F4928" s="19">
        <f>IFERROR(__xludf.DUMMYFUNCTION("SPLIT(A4924, "" |"")"),4922.0)</f>
        <v>4922</v>
      </c>
      <c r="G4928" s="19">
        <f>IFERROR(__xludf.DUMMYFUNCTION("""COMPUTED_VALUE"""),0.00234)</f>
        <v>0.00234</v>
      </c>
      <c r="H4928" s="19" t="str">
        <f>IFERROR(__xludf.DUMMYFUNCTION("""COMPUTED_VALUE"""),"-")</f>
        <v>-</v>
      </c>
      <c r="I4928" s="19">
        <f>IFERROR(__xludf.DUMMYFUNCTION("""COMPUTED_VALUE"""),0.00222)</f>
        <v>0.00222</v>
      </c>
      <c r="J4928" s="19">
        <f>IFERROR(__xludf.DUMMYFUNCTION("""COMPUTED_VALUE"""),0.04744)</f>
        <v>0.04744</v>
      </c>
      <c r="K4928" s="19" t="str">
        <f>IFERROR(__xludf.DUMMYFUNCTION("""COMPUTED_VALUE"""),"-")</f>
        <v>-</v>
      </c>
      <c r="L4928" s="19" t="str">
        <f>IFERROR(__xludf.DUMMYFUNCTION("""COMPUTED_VALUE"""),"-")</f>
        <v>-</v>
      </c>
      <c r="O4928" s="24">
        <f t="shared" si="4"/>
        <v>0</v>
      </c>
      <c r="P4928" s="24"/>
      <c r="Q4928" s="24">
        <f t="shared" si="6"/>
        <v>0</v>
      </c>
      <c r="R4928" s="24">
        <f t="shared" si="7"/>
        <v>0</v>
      </c>
      <c r="S4928" s="24"/>
      <c r="T4928" s="24"/>
    </row>
    <row r="4929">
      <c r="A4929" s="12" t="s">
        <v>5016</v>
      </c>
      <c r="F4929" s="19">
        <f>IFERROR(__xludf.DUMMYFUNCTION("SPLIT(A4925, "" |"")"),4923.0)</f>
        <v>4923</v>
      </c>
      <c r="G4929" s="19">
        <f>IFERROR(__xludf.DUMMYFUNCTION("""COMPUTED_VALUE"""),0.00232)</f>
        <v>0.00232</v>
      </c>
      <c r="H4929" s="19" t="str">
        <f>IFERROR(__xludf.DUMMYFUNCTION("""COMPUTED_VALUE"""),"-")</f>
        <v>-</v>
      </c>
      <c r="I4929" s="19">
        <f>IFERROR(__xludf.DUMMYFUNCTION("""COMPUTED_VALUE"""),0.00217)</f>
        <v>0.00217</v>
      </c>
      <c r="J4929" s="19">
        <f>IFERROR(__xludf.DUMMYFUNCTION("""COMPUTED_VALUE"""),0.04382)</f>
        <v>0.04382</v>
      </c>
      <c r="K4929" s="19" t="str">
        <f>IFERROR(__xludf.DUMMYFUNCTION("""COMPUTED_VALUE"""),"-")</f>
        <v>-</v>
      </c>
      <c r="L4929" s="19" t="str">
        <f>IFERROR(__xludf.DUMMYFUNCTION("""COMPUTED_VALUE"""),"-")</f>
        <v>-</v>
      </c>
      <c r="O4929" s="24">
        <f t="shared" si="4"/>
        <v>0</v>
      </c>
      <c r="P4929" s="24"/>
      <c r="Q4929" s="24">
        <f t="shared" si="6"/>
        <v>0</v>
      </c>
      <c r="R4929" s="24">
        <f t="shared" si="7"/>
        <v>1</v>
      </c>
      <c r="S4929" s="24"/>
      <c r="T4929" s="24"/>
    </row>
    <row r="4930">
      <c r="A4930" s="12" t="s">
        <v>5017</v>
      </c>
      <c r="F4930" s="19">
        <f>IFERROR(__xludf.DUMMYFUNCTION("SPLIT(A4926, "" |"")"),4924.0)</f>
        <v>4924</v>
      </c>
      <c r="G4930" s="19">
        <f>IFERROR(__xludf.DUMMYFUNCTION("""COMPUTED_VALUE"""),0.00234)</f>
        <v>0.00234</v>
      </c>
      <c r="H4930" s="19" t="str">
        <f>IFERROR(__xludf.DUMMYFUNCTION("""COMPUTED_VALUE"""),"-")</f>
        <v>-</v>
      </c>
      <c r="I4930" s="19">
        <f>IFERROR(__xludf.DUMMYFUNCTION("""COMPUTED_VALUE"""),0.00219)</f>
        <v>0.00219</v>
      </c>
      <c r="J4930" s="19">
        <f>IFERROR(__xludf.DUMMYFUNCTION("""COMPUTED_VALUE"""),0.04742)</f>
        <v>0.04742</v>
      </c>
      <c r="K4930" s="19" t="str">
        <f>IFERROR(__xludf.DUMMYFUNCTION("""COMPUTED_VALUE"""),"-")</f>
        <v>-</v>
      </c>
      <c r="L4930" s="19" t="str">
        <f>IFERROR(__xludf.DUMMYFUNCTION("""COMPUTED_VALUE"""),"-")</f>
        <v>-</v>
      </c>
      <c r="O4930" s="24">
        <f t="shared" si="4"/>
        <v>0</v>
      </c>
      <c r="P4930" s="24"/>
      <c r="Q4930" s="24">
        <f t="shared" si="6"/>
        <v>0</v>
      </c>
      <c r="R4930" s="24">
        <f t="shared" si="7"/>
        <v>0</v>
      </c>
      <c r="S4930" s="24"/>
      <c r="T4930" s="24"/>
    </row>
    <row r="4931">
      <c r="A4931" s="12" t="s">
        <v>5018</v>
      </c>
      <c r="F4931" s="19">
        <f>IFERROR(__xludf.DUMMYFUNCTION("SPLIT(A4927, "" |"")"),4925.0)</f>
        <v>4925</v>
      </c>
      <c r="G4931" s="19">
        <f>IFERROR(__xludf.DUMMYFUNCTION("""COMPUTED_VALUE"""),0.00227)</f>
        <v>0.00227</v>
      </c>
      <c r="H4931" s="19" t="str">
        <f>IFERROR(__xludf.DUMMYFUNCTION("""COMPUTED_VALUE"""),"-")</f>
        <v>-</v>
      </c>
      <c r="I4931" s="19">
        <f>IFERROR(__xludf.DUMMYFUNCTION("""COMPUTED_VALUE"""),0.00228)</f>
        <v>0.00228</v>
      </c>
      <c r="J4931" s="19">
        <f>IFERROR(__xludf.DUMMYFUNCTION("""COMPUTED_VALUE"""),0.04105)</f>
        <v>0.04105</v>
      </c>
      <c r="K4931" s="19" t="str">
        <f>IFERROR(__xludf.DUMMYFUNCTION("""COMPUTED_VALUE"""),"-")</f>
        <v>-</v>
      </c>
      <c r="L4931" s="19" t="str">
        <f>IFERROR(__xludf.DUMMYFUNCTION("""COMPUTED_VALUE"""),"-")</f>
        <v>-</v>
      </c>
      <c r="O4931" s="24">
        <f t="shared" si="4"/>
        <v>0</v>
      </c>
      <c r="P4931" s="24"/>
      <c r="Q4931" s="24">
        <f t="shared" si="6"/>
        <v>0</v>
      </c>
      <c r="R4931" s="24">
        <f t="shared" si="7"/>
        <v>1</v>
      </c>
      <c r="S4931" s="24"/>
      <c r="T4931" s="24"/>
    </row>
    <row r="4932">
      <c r="A4932" s="12" t="s">
        <v>5019</v>
      </c>
      <c r="F4932" s="19">
        <f>IFERROR(__xludf.DUMMYFUNCTION("SPLIT(A4928, "" |"")"),4926.0)</f>
        <v>4926</v>
      </c>
      <c r="G4932" s="19">
        <f>IFERROR(__xludf.DUMMYFUNCTION("""COMPUTED_VALUE"""),0.00236)</f>
        <v>0.00236</v>
      </c>
      <c r="H4932" s="19" t="str">
        <f>IFERROR(__xludf.DUMMYFUNCTION("""COMPUTED_VALUE"""),"-")</f>
        <v>-</v>
      </c>
      <c r="I4932" s="19">
        <f>IFERROR(__xludf.DUMMYFUNCTION("""COMPUTED_VALUE"""),0.00224)</f>
        <v>0.00224</v>
      </c>
      <c r="J4932" s="19">
        <f>IFERROR(__xludf.DUMMYFUNCTION("""COMPUTED_VALUE"""),0.04735)</f>
        <v>0.04735</v>
      </c>
      <c r="K4932" s="19" t="str">
        <f>IFERROR(__xludf.DUMMYFUNCTION("""COMPUTED_VALUE"""),"-")</f>
        <v>-</v>
      </c>
      <c r="L4932" s="19" t="str">
        <f>IFERROR(__xludf.DUMMYFUNCTION("""COMPUTED_VALUE"""),"-")</f>
        <v>-</v>
      </c>
      <c r="O4932" s="24">
        <f t="shared" si="4"/>
        <v>0</v>
      </c>
      <c r="P4932" s="24"/>
      <c r="Q4932" s="24">
        <f t="shared" si="6"/>
        <v>0</v>
      </c>
      <c r="R4932" s="24">
        <f t="shared" si="7"/>
        <v>0</v>
      </c>
      <c r="S4932" s="24"/>
      <c r="T4932" s="24"/>
    </row>
    <row r="4933">
      <c r="A4933" s="12" t="s">
        <v>5020</v>
      </c>
      <c r="F4933" s="19">
        <f>IFERROR(__xludf.DUMMYFUNCTION("SPLIT(A4929, "" |"")"),4927.0)</f>
        <v>4927</v>
      </c>
      <c r="G4933" s="19">
        <f>IFERROR(__xludf.DUMMYFUNCTION("""COMPUTED_VALUE"""),0.00223)</f>
        <v>0.00223</v>
      </c>
      <c r="H4933" s="19" t="str">
        <f>IFERROR(__xludf.DUMMYFUNCTION("""COMPUTED_VALUE"""),"-")</f>
        <v>-</v>
      </c>
      <c r="I4933" s="19">
        <f>IFERROR(__xludf.DUMMYFUNCTION("""COMPUTED_VALUE"""),0.00209)</f>
        <v>0.00209</v>
      </c>
      <c r="J4933" s="19">
        <f>IFERROR(__xludf.DUMMYFUNCTION("""COMPUTED_VALUE"""),0.04734)</f>
        <v>0.04734</v>
      </c>
      <c r="K4933" s="19" t="str">
        <f>IFERROR(__xludf.DUMMYFUNCTION("""COMPUTED_VALUE"""),"-")</f>
        <v>-</v>
      </c>
      <c r="L4933" s="19" t="str">
        <f>IFERROR(__xludf.DUMMYFUNCTION("""COMPUTED_VALUE"""),"-")</f>
        <v>-</v>
      </c>
      <c r="O4933" s="24">
        <f t="shared" si="4"/>
        <v>0</v>
      </c>
      <c r="P4933" s="24"/>
      <c r="Q4933" s="24">
        <f t="shared" si="6"/>
        <v>0</v>
      </c>
      <c r="R4933" s="24">
        <f t="shared" si="7"/>
        <v>0</v>
      </c>
      <c r="S4933" s="24"/>
      <c r="T4933" s="24"/>
    </row>
    <row r="4934">
      <c r="A4934" s="12" t="s">
        <v>5021</v>
      </c>
      <c r="F4934" s="19">
        <f>IFERROR(__xludf.DUMMYFUNCTION("SPLIT(A4930, "" |"")"),4928.0)</f>
        <v>4928</v>
      </c>
      <c r="G4934" s="19">
        <f>IFERROR(__xludf.DUMMYFUNCTION("""COMPUTED_VALUE"""),0.00238)</f>
        <v>0.00238</v>
      </c>
      <c r="H4934" s="19" t="str">
        <f>IFERROR(__xludf.DUMMYFUNCTION("""COMPUTED_VALUE"""),"-")</f>
        <v>-</v>
      </c>
      <c r="I4934" s="19">
        <f>IFERROR(__xludf.DUMMYFUNCTION("""COMPUTED_VALUE"""),0.00222)</f>
        <v>0.00222</v>
      </c>
      <c r="J4934" s="19">
        <f>IFERROR(__xludf.DUMMYFUNCTION("""COMPUTED_VALUE"""),0.04749)</f>
        <v>0.04749</v>
      </c>
      <c r="K4934" s="19" t="str">
        <f>IFERROR(__xludf.DUMMYFUNCTION("""COMPUTED_VALUE"""),"-")</f>
        <v>-</v>
      </c>
      <c r="L4934" s="19" t="str">
        <f>IFERROR(__xludf.DUMMYFUNCTION("""COMPUTED_VALUE"""),"-")</f>
        <v>-</v>
      </c>
      <c r="O4934" s="24">
        <f t="shared" si="4"/>
        <v>0</v>
      </c>
      <c r="P4934" s="24"/>
      <c r="Q4934" s="24">
        <f t="shared" si="6"/>
        <v>0</v>
      </c>
      <c r="R4934" s="24">
        <f t="shared" si="7"/>
        <v>0</v>
      </c>
      <c r="S4934" s="24"/>
      <c r="T4934" s="24"/>
    </row>
    <row r="4935">
      <c r="A4935" s="12" t="s">
        <v>5022</v>
      </c>
      <c r="F4935" s="19">
        <f>IFERROR(__xludf.DUMMYFUNCTION("SPLIT(A4931, "" |"")"),4929.0)</f>
        <v>4929</v>
      </c>
      <c r="G4935" s="19">
        <f>IFERROR(__xludf.DUMMYFUNCTION("""COMPUTED_VALUE"""),0.00233)</f>
        <v>0.00233</v>
      </c>
      <c r="H4935" s="19" t="str">
        <f>IFERROR(__xludf.DUMMYFUNCTION("""COMPUTED_VALUE"""),"-")</f>
        <v>-</v>
      </c>
      <c r="I4935" s="19">
        <f>IFERROR(__xludf.DUMMYFUNCTION("""COMPUTED_VALUE"""),0.00222)</f>
        <v>0.00222</v>
      </c>
      <c r="J4935" s="19">
        <f>IFERROR(__xludf.DUMMYFUNCTION("""COMPUTED_VALUE"""),0.04745)</f>
        <v>0.04745</v>
      </c>
      <c r="K4935" s="19" t="str">
        <f>IFERROR(__xludf.DUMMYFUNCTION("""COMPUTED_VALUE"""),"-")</f>
        <v>-</v>
      </c>
      <c r="L4935" s="19" t="str">
        <f>IFERROR(__xludf.DUMMYFUNCTION("""COMPUTED_VALUE"""),"-")</f>
        <v>-</v>
      </c>
      <c r="O4935" s="24">
        <f t="shared" si="4"/>
        <v>0</v>
      </c>
      <c r="P4935" s="24"/>
      <c r="Q4935" s="24">
        <f t="shared" si="6"/>
        <v>0</v>
      </c>
      <c r="R4935" s="24">
        <f t="shared" si="7"/>
        <v>0</v>
      </c>
      <c r="S4935" s="24"/>
      <c r="T4935" s="24"/>
    </row>
    <row r="4936">
      <c r="A4936" s="12" t="s">
        <v>5023</v>
      </c>
      <c r="F4936" s="19">
        <f>IFERROR(__xludf.DUMMYFUNCTION("SPLIT(A4932, "" |"")"),4930.0)</f>
        <v>4930</v>
      </c>
      <c r="G4936" s="19">
        <f>IFERROR(__xludf.DUMMYFUNCTION("""COMPUTED_VALUE"""),0.00231)</f>
        <v>0.00231</v>
      </c>
      <c r="H4936" s="19" t="str">
        <f>IFERROR(__xludf.DUMMYFUNCTION("""COMPUTED_VALUE"""),"-")</f>
        <v>-</v>
      </c>
      <c r="I4936" s="19">
        <f>IFERROR(__xludf.DUMMYFUNCTION("""COMPUTED_VALUE"""),0.0022)</f>
        <v>0.0022</v>
      </c>
      <c r="J4936" s="19">
        <f>IFERROR(__xludf.DUMMYFUNCTION("""COMPUTED_VALUE"""),0.04745)</f>
        <v>0.04745</v>
      </c>
      <c r="K4936" s="19" t="str">
        <f>IFERROR(__xludf.DUMMYFUNCTION("""COMPUTED_VALUE"""),"-")</f>
        <v>-</v>
      </c>
      <c r="L4936" s="19" t="str">
        <f>IFERROR(__xludf.DUMMYFUNCTION("""COMPUTED_VALUE"""),"-")</f>
        <v>-</v>
      </c>
      <c r="O4936" s="24">
        <f t="shared" si="4"/>
        <v>0</v>
      </c>
      <c r="P4936" s="24"/>
      <c r="Q4936" s="24">
        <f t="shared" si="6"/>
        <v>0</v>
      </c>
      <c r="R4936" s="24">
        <f t="shared" si="7"/>
        <v>0</v>
      </c>
      <c r="S4936" s="24"/>
      <c r="T4936" s="24"/>
    </row>
    <row r="4937">
      <c r="A4937" s="12" t="s">
        <v>5024</v>
      </c>
      <c r="F4937" s="19">
        <f>IFERROR(__xludf.DUMMYFUNCTION("SPLIT(A4933, "" |"")"),4931.0)</f>
        <v>4931</v>
      </c>
      <c r="G4937" s="19">
        <f>IFERROR(__xludf.DUMMYFUNCTION("""COMPUTED_VALUE"""),0.00237)</f>
        <v>0.00237</v>
      </c>
      <c r="H4937" s="19" t="str">
        <f>IFERROR(__xludf.DUMMYFUNCTION("""COMPUTED_VALUE"""),"-")</f>
        <v>-</v>
      </c>
      <c r="I4937" s="19">
        <f>IFERROR(__xludf.DUMMYFUNCTION("""COMPUTED_VALUE"""),0.00222)</f>
        <v>0.00222</v>
      </c>
      <c r="J4937" s="19">
        <f>IFERROR(__xludf.DUMMYFUNCTION("""COMPUTED_VALUE"""),0.04748)</f>
        <v>0.04748</v>
      </c>
      <c r="K4937" s="19" t="str">
        <f>IFERROR(__xludf.DUMMYFUNCTION("""COMPUTED_VALUE"""),"-")</f>
        <v>-</v>
      </c>
      <c r="L4937" s="19" t="str">
        <f>IFERROR(__xludf.DUMMYFUNCTION("""COMPUTED_VALUE"""),"-")</f>
        <v>-</v>
      </c>
      <c r="O4937" s="24">
        <f t="shared" si="4"/>
        <v>0</v>
      </c>
      <c r="P4937" s="24"/>
      <c r="Q4937" s="24">
        <f t="shared" si="6"/>
        <v>0</v>
      </c>
      <c r="R4937" s="24">
        <f t="shared" si="7"/>
        <v>0</v>
      </c>
      <c r="S4937" s="24"/>
      <c r="T4937" s="24"/>
    </row>
    <row r="4938">
      <c r="A4938" s="12" t="s">
        <v>5025</v>
      </c>
      <c r="F4938" s="19">
        <f>IFERROR(__xludf.DUMMYFUNCTION("SPLIT(A4934, "" |"")"),4932.0)</f>
        <v>4932</v>
      </c>
      <c r="G4938" s="19">
        <f>IFERROR(__xludf.DUMMYFUNCTION("""COMPUTED_VALUE"""),0.0023)</f>
        <v>0.0023</v>
      </c>
      <c r="H4938" s="19" t="str">
        <f>IFERROR(__xludf.DUMMYFUNCTION("""COMPUTED_VALUE"""),"-")</f>
        <v>-</v>
      </c>
      <c r="I4938" s="19">
        <f>IFERROR(__xludf.DUMMYFUNCTION("""COMPUTED_VALUE"""),0.00218)</f>
        <v>0.00218</v>
      </c>
      <c r="J4938" s="19">
        <f>IFERROR(__xludf.DUMMYFUNCTION("""COMPUTED_VALUE"""),0.04745)</f>
        <v>0.04745</v>
      </c>
      <c r="K4938" s="19" t="str">
        <f>IFERROR(__xludf.DUMMYFUNCTION("""COMPUTED_VALUE"""),"-")</f>
        <v>-</v>
      </c>
      <c r="L4938" s="19" t="str">
        <f>IFERROR(__xludf.DUMMYFUNCTION("""COMPUTED_VALUE"""),"-")</f>
        <v>-</v>
      </c>
      <c r="O4938" s="24">
        <f t="shared" si="4"/>
        <v>0</v>
      </c>
      <c r="P4938" s="24"/>
      <c r="Q4938" s="24">
        <f t="shared" si="6"/>
        <v>0</v>
      </c>
      <c r="R4938" s="24">
        <f t="shared" si="7"/>
        <v>0</v>
      </c>
      <c r="S4938" s="24"/>
      <c r="T4938" s="24"/>
    </row>
    <row r="4939">
      <c r="A4939" s="12" t="s">
        <v>5026</v>
      </c>
      <c r="F4939" s="19">
        <f>IFERROR(__xludf.DUMMYFUNCTION("SPLIT(A4935, "" |"")"),4933.0)</f>
        <v>4933</v>
      </c>
      <c r="G4939" s="19">
        <f>IFERROR(__xludf.DUMMYFUNCTION("""COMPUTED_VALUE"""),0.00233)</f>
        <v>0.00233</v>
      </c>
      <c r="H4939" s="19" t="str">
        <f>IFERROR(__xludf.DUMMYFUNCTION("""COMPUTED_VALUE"""),"-")</f>
        <v>-</v>
      </c>
      <c r="I4939" s="19">
        <f>IFERROR(__xludf.DUMMYFUNCTION("""COMPUTED_VALUE"""),0.00223)</f>
        <v>0.00223</v>
      </c>
      <c r="J4939" s="19">
        <f>IFERROR(__xludf.DUMMYFUNCTION("""COMPUTED_VALUE"""),0.04752)</f>
        <v>0.04752</v>
      </c>
      <c r="K4939" s="19" t="str">
        <f>IFERROR(__xludf.DUMMYFUNCTION("""COMPUTED_VALUE"""),"-")</f>
        <v>-</v>
      </c>
      <c r="L4939" s="19" t="str">
        <f>IFERROR(__xludf.DUMMYFUNCTION("""COMPUTED_VALUE"""),"-")</f>
        <v>-</v>
      </c>
      <c r="O4939" s="24">
        <f t="shared" si="4"/>
        <v>0</v>
      </c>
      <c r="P4939" s="24"/>
      <c r="Q4939" s="24">
        <f t="shared" si="6"/>
        <v>0</v>
      </c>
      <c r="R4939" s="24">
        <f t="shared" si="7"/>
        <v>0</v>
      </c>
      <c r="S4939" s="24"/>
      <c r="T4939" s="24"/>
    </row>
    <row r="4940">
      <c r="A4940" s="12" t="s">
        <v>5027</v>
      </c>
      <c r="F4940" s="19">
        <f>IFERROR(__xludf.DUMMYFUNCTION("SPLIT(A4936, "" |"")"),4934.0)</f>
        <v>4934</v>
      </c>
      <c r="G4940" s="19">
        <f>IFERROR(__xludf.DUMMYFUNCTION("""COMPUTED_VALUE"""),0.00235)</f>
        <v>0.00235</v>
      </c>
      <c r="H4940" s="19" t="str">
        <f>IFERROR(__xludf.DUMMYFUNCTION("""COMPUTED_VALUE"""),"-")</f>
        <v>-</v>
      </c>
      <c r="I4940" s="19">
        <f>IFERROR(__xludf.DUMMYFUNCTION("""COMPUTED_VALUE"""),0.00216)</f>
        <v>0.00216</v>
      </c>
      <c r="J4940" s="19">
        <f>IFERROR(__xludf.DUMMYFUNCTION("""COMPUTED_VALUE"""),0.04748)</f>
        <v>0.04748</v>
      </c>
      <c r="K4940" s="19" t="str">
        <f>IFERROR(__xludf.DUMMYFUNCTION("""COMPUTED_VALUE"""),"-")</f>
        <v>-</v>
      </c>
      <c r="L4940" s="19" t="str">
        <f>IFERROR(__xludf.DUMMYFUNCTION("""COMPUTED_VALUE"""),"-")</f>
        <v>-</v>
      </c>
      <c r="O4940" s="24">
        <f t="shared" si="4"/>
        <v>0</v>
      </c>
      <c r="P4940" s="24"/>
      <c r="Q4940" s="24">
        <f t="shared" si="6"/>
        <v>0</v>
      </c>
      <c r="R4940" s="24">
        <f t="shared" si="7"/>
        <v>0</v>
      </c>
      <c r="S4940" s="24"/>
      <c r="T4940" s="24"/>
    </row>
    <row r="4941">
      <c r="A4941" s="12" t="s">
        <v>5028</v>
      </c>
      <c r="F4941" s="19">
        <f>IFERROR(__xludf.DUMMYFUNCTION("SPLIT(A4937, "" |"")"),4935.0)</f>
        <v>4935</v>
      </c>
      <c r="G4941" s="19">
        <f>IFERROR(__xludf.DUMMYFUNCTION("""COMPUTED_VALUE"""),0.00237)</f>
        <v>0.00237</v>
      </c>
      <c r="H4941" s="19" t="str">
        <f>IFERROR(__xludf.DUMMYFUNCTION("""COMPUTED_VALUE"""),"-")</f>
        <v>-</v>
      </c>
      <c r="I4941" s="19">
        <f>IFERROR(__xludf.DUMMYFUNCTION("""COMPUTED_VALUE"""),0.00219)</f>
        <v>0.00219</v>
      </c>
      <c r="J4941" s="19">
        <f>IFERROR(__xludf.DUMMYFUNCTION("""COMPUTED_VALUE"""),0.04745)</f>
        <v>0.04745</v>
      </c>
      <c r="K4941" s="19" t="str">
        <f>IFERROR(__xludf.DUMMYFUNCTION("""COMPUTED_VALUE"""),"-")</f>
        <v>-</v>
      </c>
      <c r="L4941" s="19" t="str">
        <f>IFERROR(__xludf.DUMMYFUNCTION("""COMPUTED_VALUE"""),"-")</f>
        <v>-</v>
      </c>
      <c r="O4941" s="24">
        <f t="shared" si="4"/>
        <v>0</v>
      </c>
      <c r="P4941" s="24"/>
      <c r="Q4941" s="24">
        <f t="shared" si="6"/>
        <v>0</v>
      </c>
      <c r="R4941" s="24">
        <f t="shared" si="7"/>
        <v>0</v>
      </c>
      <c r="S4941" s="24"/>
      <c r="T4941" s="24"/>
    </row>
    <row r="4942">
      <c r="A4942" s="12" t="s">
        <v>5029</v>
      </c>
      <c r="F4942" s="19">
        <f>IFERROR(__xludf.DUMMYFUNCTION("SPLIT(A4938, "" |"")"),4936.0)</f>
        <v>4936</v>
      </c>
      <c r="G4942" s="19">
        <f>IFERROR(__xludf.DUMMYFUNCTION("""COMPUTED_VALUE"""),0.00242)</f>
        <v>0.00242</v>
      </c>
      <c r="H4942" s="19" t="str">
        <f>IFERROR(__xludf.DUMMYFUNCTION("""COMPUTED_VALUE"""),"-")</f>
        <v>-</v>
      </c>
      <c r="I4942" s="19">
        <f>IFERROR(__xludf.DUMMYFUNCTION("""COMPUTED_VALUE"""),0.00225)</f>
        <v>0.00225</v>
      </c>
      <c r="J4942" s="19">
        <f>IFERROR(__xludf.DUMMYFUNCTION("""COMPUTED_VALUE"""),0.04744)</f>
        <v>0.04744</v>
      </c>
      <c r="K4942" s="19" t="str">
        <f>IFERROR(__xludf.DUMMYFUNCTION("""COMPUTED_VALUE"""),"-")</f>
        <v>-</v>
      </c>
      <c r="L4942" s="19" t="str">
        <f>IFERROR(__xludf.DUMMYFUNCTION("""COMPUTED_VALUE"""),"-")</f>
        <v>-</v>
      </c>
      <c r="O4942" s="24">
        <f t="shared" si="4"/>
        <v>0</v>
      </c>
      <c r="P4942" s="24"/>
      <c r="Q4942" s="24">
        <f t="shared" si="6"/>
        <v>0</v>
      </c>
      <c r="R4942" s="24">
        <f t="shared" si="7"/>
        <v>0</v>
      </c>
      <c r="S4942" s="24"/>
      <c r="T4942" s="24"/>
    </row>
    <row r="4943">
      <c r="A4943" s="12" t="s">
        <v>5030</v>
      </c>
      <c r="F4943" s="19">
        <f>IFERROR(__xludf.DUMMYFUNCTION("SPLIT(A4939, "" |"")"),4937.0)</f>
        <v>4937</v>
      </c>
      <c r="G4943" s="19">
        <f>IFERROR(__xludf.DUMMYFUNCTION("""COMPUTED_VALUE"""),0.00233)</f>
        <v>0.00233</v>
      </c>
      <c r="H4943" s="19" t="str">
        <f>IFERROR(__xludf.DUMMYFUNCTION("""COMPUTED_VALUE"""),"-")</f>
        <v>-</v>
      </c>
      <c r="I4943" s="19">
        <f>IFERROR(__xludf.DUMMYFUNCTION("""COMPUTED_VALUE"""),0.00225)</f>
        <v>0.00225</v>
      </c>
      <c r="J4943" s="19">
        <f>IFERROR(__xludf.DUMMYFUNCTION("""COMPUTED_VALUE"""),0.04744)</f>
        <v>0.04744</v>
      </c>
      <c r="K4943" s="19" t="str">
        <f>IFERROR(__xludf.DUMMYFUNCTION("""COMPUTED_VALUE"""),"-")</f>
        <v>-</v>
      </c>
      <c r="L4943" s="19" t="str">
        <f>IFERROR(__xludf.DUMMYFUNCTION("""COMPUTED_VALUE"""),"-")</f>
        <v>-</v>
      </c>
      <c r="O4943" s="24">
        <f t="shared" si="4"/>
        <v>0</v>
      </c>
      <c r="P4943" s="24"/>
      <c r="Q4943" s="24">
        <f t="shared" si="6"/>
        <v>0</v>
      </c>
      <c r="R4943" s="24">
        <f t="shared" si="7"/>
        <v>0</v>
      </c>
      <c r="S4943" s="24"/>
      <c r="T4943" s="24"/>
    </row>
    <row r="4944">
      <c r="A4944" s="12" t="s">
        <v>5031</v>
      </c>
      <c r="F4944" s="19">
        <f>IFERROR(__xludf.DUMMYFUNCTION("SPLIT(A4940, "" |"")"),4938.0)</f>
        <v>4938</v>
      </c>
      <c r="G4944" s="19">
        <f>IFERROR(__xludf.DUMMYFUNCTION("""COMPUTED_VALUE"""),0.00233)</f>
        <v>0.00233</v>
      </c>
      <c r="H4944" s="19" t="str">
        <f>IFERROR(__xludf.DUMMYFUNCTION("""COMPUTED_VALUE"""),"-")</f>
        <v>-</v>
      </c>
      <c r="I4944" s="19">
        <f>IFERROR(__xludf.DUMMYFUNCTION("""COMPUTED_VALUE"""),0.0022)</f>
        <v>0.0022</v>
      </c>
      <c r="J4944" s="19">
        <f>IFERROR(__xludf.DUMMYFUNCTION("""COMPUTED_VALUE"""),0.04744)</f>
        <v>0.04744</v>
      </c>
      <c r="K4944" s="19" t="str">
        <f>IFERROR(__xludf.DUMMYFUNCTION("""COMPUTED_VALUE"""),"-")</f>
        <v>-</v>
      </c>
      <c r="L4944" s="19" t="str">
        <f>IFERROR(__xludf.DUMMYFUNCTION("""COMPUTED_VALUE"""),"-")</f>
        <v>-</v>
      </c>
      <c r="O4944" s="24">
        <f t="shared" si="4"/>
        <v>0</v>
      </c>
      <c r="P4944" s="24"/>
      <c r="Q4944" s="24">
        <f t="shared" si="6"/>
        <v>0</v>
      </c>
      <c r="R4944" s="24">
        <f t="shared" si="7"/>
        <v>0</v>
      </c>
      <c r="S4944" s="24"/>
      <c r="T4944" s="24"/>
    </row>
    <row r="4945">
      <c r="A4945" s="12" t="s">
        <v>5032</v>
      </c>
      <c r="F4945" s="19">
        <f>IFERROR(__xludf.DUMMYFUNCTION("SPLIT(A4941, "" |"")"),4939.0)</f>
        <v>4939</v>
      </c>
      <c r="G4945" s="19">
        <f>IFERROR(__xludf.DUMMYFUNCTION("""COMPUTED_VALUE"""),0.00238)</f>
        <v>0.00238</v>
      </c>
      <c r="H4945" s="19" t="str">
        <f>IFERROR(__xludf.DUMMYFUNCTION("""COMPUTED_VALUE"""),"-")</f>
        <v>-</v>
      </c>
      <c r="I4945" s="19">
        <f>IFERROR(__xludf.DUMMYFUNCTION("""COMPUTED_VALUE"""),0.00219)</f>
        <v>0.00219</v>
      </c>
      <c r="J4945" s="19">
        <f>IFERROR(__xludf.DUMMYFUNCTION("""COMPUTED_VALUE"""),0.04742)</f>
        <v>0.04742</v>
      </c>
      <c r="K4945" s="19" t="str">
        <f>IFERROR(__xludf.DUMMYFUNCTION("""COMPUTED_VALUE"""),"-")</f>
        <v>-</v>
      </c>
      <c r="L4945" s="19" t="str">
        <f>IFERROR(__xludf.DUMMYFUNCTION("""COMPUTED_VALUE"""),"-")</f>
        <v>-</v>
      </c>
      <c r="O4945" s="24">
        <f t="shared" si="4"/>
        <v>0</v>
      </c>
      <c r="P4945" s="24"/>
      <c r="Q4945" s="24">
        <f t="shared" si="6"/>
        <v>0</v>
      </c>
      <c r="R4945" s="24">
        <f t="shared" si="7"/>
        <v>0</v>
      </c>
      <c r="S4945" s="24"/>
      <c r="T4945" s="24"/>
    </row>
    <row r="4946">
      <c r="A4946" s="12" t="s">
        <v>5033</v>
      </c>
      <c r="F4946" s="19">
        <f>IFERROR(__xludf.DUMMYFUNCTION("SPLIT(A4942, "" |"")"),4940.0)</f>
        <v>4940</v>
      </c>
      <c r="G4946" s="19">
        <f>IFERROR(__xludf.DUMMYFUNCTION("""COMPUTED_VALUE"""),0.00237)</f>
        <v>0.00237</v>
      </c>
      <c r="H4946" s="19" t="str">
        <f>IFERROR(__xludf.DUMMYFUNCTION("""COMPUTED_VALUE"""),"-")</f>
        <v>-</v>
      </c>
      <c r="I4946" s="19">
        <f>IFERROR(__xludf.DUMMYFUNCTION("""COMPUTED_VALUE"""),0.00223)</f>
        <v>0.00223</v>
      </c>
      <c r="J4946" s="19">
        <f>IFERROR(__xludf.DUMMYFUNCTION("""COMPUTED_VALUE"""),0.04741)</f>
        <v>0.04741</v>
      </c>
      <c r="K4946" s="19" t="str">
        <f>IFERROR(__xludf.DUMMYFUNCTION("""COMPUTED_VALUE"""),"-")</f>
        <v>-</v>
      </c>
      <c r="L4946" s="19" t="str">
        <f>IFERROR(__xludf.DUMMYFUNCTION("""COMPUTED_VALUE"""),"-")</f>
        <v>-</v>
      </c>
      <c r="O4946" s="24">
        <f t="shared" si="4"/>
        <v>0</v>
      </c>
      <c r="P4946" s="24"/>
      <c r="Q4946" s="24">
        <f t="shared" si="6"/>
        <v>0</v>
      </c>
      <c r="R4946" s="24">
        <f t="shared" si="7"/>
        <v>0</v>
      </c>
      <c r="S4946" s="24"/>
      <c r="T4946" s="24"/>
    </row>
    <row r="4947">
      <c r="A4947" s="12" t="s">
        <v>5034</v>
      </c>
      <c r="F4947" s="19">
        <f>IFERROR(__xludf.DUMMYFUNCTION("SPLIT(A4943, "" |"")"),4941.0)</f>
        <v>4941</v>
      </c>
      <c r="G4947" s="19">
        <f>IFERROR(__xludf.DUMMYFUNCTION("""COMPUTED_VALUE"""),0.00235)</f>
        <v>0.00235</v>
      </c>
      <c r="H4947" s="19" t="str">
        <f>IFERROR(__xludf.DUMMYFUNCTION("""COMPUTED_VALUE"""),"-")</f>
        <v>-</v>
      </c>
      <c r="I4947" s="19">
        <f>IFERROR(__xludf.DUMMYFUNCTION("""COMPUTED_VALUE"""),0.00223)</f>
        <v>0.00223</v>
      </c>
      <c r="J4947" s="19">
        <f>IFERROR(__xludf.DUMMYFUNCTION("""COMPUTED_VALUE"""),0.04515)</f>
        <v>0.04515</v>
      </c>
      <c r="K4947" s="19" t="str">
        <f>IFERROR(__xludf.DUMMYFUNCTION("""COMPUTED_VALUE"""),"-")</f>
        <v>-</v>
      </c>
      <c r="L4947" s="19" t="str">
        <f>IFERROR(__xludf.DUMMYFUNCTION("""COMPUTED_VALUE"""),"-")</f>
        <v>-</v>
      </c>
      <c r="O4947" s="24">
        <f t="shared" si="4"/>
        <v>0</v>
      </c>
      <c r="P4947" s="24"/>
      <c r="Q4947" s="24">
        <f t="shared" si="6"/>
        <v>0</v>
      </c>
      <c r="R4947" s="24">
        <f t="shared" si="7"/>
        <v>0</v>
      </c>
      <c r="S4947" s="24"/>
      <c r="T4947" s="24"/>
    </row>
    <row r="4948">
      <c r="A4948" s="12" t="s">
        <v>5035</v>
      </c>
      <c r="F4948" s="19">
        <f>IFERROR(__xludf.DUMMYFUNCTION("SPLIT(A4944, "" |"")"),4942.0)</f>
        <v>4942</v>
      </c>
      <c r="G4948" s="19">
        <f>IFERROR(__xludf.DUMMYFUNCTION("""COMPUTED_VALUE"""),0.00233)</f>
        <v>0.00233</v>
      </c>
      <c r="H4948" s="19" t="str">
        <f>IFERROR(__xludf.DUMMYFUNCTION("""COMPUTED_VALUE"""),"-")</f>
        <v>-</v>
      </c>
      <c r="I4948" s="19">
        <f>IFERROR(__xludf.DUMMYFUNCTION("""COMPUTED_VALUE"""),0.00225)</f>
        <v>0.00225</v>
      </c>
      <c r="J4948" s="19">
        <f>IFERROR(__xludf.DUMMYFUNCTION("""COMPUTED_VALUE"""),0.04042)</f>
        <v>0.04042</v>
      </c>
      <c r="K4948" s="19" t="str">
        <f>IFERROR(__xludf.DUMMYFUNCTION("""COMPUTED_VALUE"""),"-")</f>
        <v>-</v>
      </c>
      <c r="L4948" s="19" t="str">
        <f>IFERROR(__xludf.DUMMYFUNCTION("""COMPUTED_VALUE"""),"-")</f>
        <v>-</v>
      </c>
      <c r="O4948" s="24">
        <f t="shared" si="4"/>
        <v>0</v>
      </c>
      <c r="P4948" s="24"/>
      <c r="Q4948" s="24">
        <f t="shared" si="6"/>
        <v>0</v>
      </c>
      <c r="R4948" s="24">
        <f t="shared" si="7"/>
        <v>1</v>
      </c>
      <c r="S4948" s="24"/>
      <c r="T4948" s="24"/>
    </row>
    <row r="4949">
      <c r="A4949" s="12" t="s">
        <v>5036</v>
      </c>
      <c r="F4949" s="19">
        <f>IFERROR(__xludf.DUMMYFUNCTION("SPLIT(A4945, "" |"")"),4943.0)</f>
        <v>4943</v>
      </c>
      <c r="G4949" s="19">
        <f>IFERROR(__xludf.DUMMYFUNCTION("""COMPUTED_VALUE"""),0.00226)</f>
        <v>0.00226</v>
      </c>
      <c r="H4949" s="19" t="str">
        <f>IFERROR(__xludf.DUMMYFUNCTION("""COMPUTED_VALUE"""),"-")</f>
        <v>-</v>
      </c>
      <c r="I4949" s="19">
        <f>IFERROR(__xludf.DUMMYFUNCTION("""COMPUTED_VALUE"""),0.00224)</f>
        <v>0.00224</v>
      </c>
      <c r="J4949" s="19">
        <f>IFERROR(__xludf.DUMMYFUNCTION("""COMPUTED_VALUE"""),0.04734)</f>
        <v>0.04734</v>
      </c>
      <c r="K4949" s="19" t="str">
        <f>IFERROR(__xludf.DUMMYFUNCTION("""COMPUTED_VALUE"""),"-")</f>
        <v>-</v>
      </c>
      <c r="L4949" s="19" t="str">
        <f>IFERROR(__xludf.DUMMYFUNCTION("""COMPUTED_VALUE"""),"-")</f>
        <v>-</v>
      </c>
      <c r="O4949" s="24">
        <f t="shared" si="4"/>
        <v>0</v>
      </c>
      <c r="P4949" s="24"/>
      <c r="Q4949" s="24">
        <f t="shared" si="6"/>
        <v>0</v>
      </c>
      <c r="R4949" s="24">
        <f t="shared" si="7"/>
        <v>0</v>
      </c>
      <c r="S4949" s="24"/>
      <c r="T4949" s="24"/>
    </row>
    <row r="4950">
      <c r="A4950" s="12" t="s">
        <v>5037</v>
      </c>
      <c r="F4950" s="19">
        <f>IFERROR(__xludf.DUMMYFUNCTION("SPLIT(A4946, "" |"")"),4944.0)</f>
        <v>4944</v>
      </c>
      <c r="G4950" s="19">
        <f>IFERROR(__xludf.DUMMYFUNCTION("""COMPUTED_VALUE"""),0.00223)</f>
        <v>0.00223</v>
      </c>
      <c r="H4950" s="19" t="str">
        <f>IFERROR(__xludf.DUMMYFUNCTION("""COMPUTED_VALUE"""),"-")</f>
        <v>-</v>
      </c>
      <c r="I4950" s="19">
        <f>IFERROR(__xludf.DUMMYFUNCTION("""COMPUTED_VALUE"""),0.00223)</f>
        <v>0.00223</v>
      </c>
      <c r="J4950" s="19">
        <f>IFERROR(__xludf.DUMMYFUNCTION("""COMPUTED_VALUE"""),0.04747)</f>
        <v>0.04747</v>
      </c>
      <c r="K4950" s="19" t="str">
        <f>IFERROR(__xludf.DUMMYFUNCTION("""COMPUTED_VALUE"""),"-")</f>
        <v>-</v>
      </c>
      <c r="L4950" s="19" t="str">
        <f>IFERROR(__xludf.DUMMYFUNCTION("""COMPUTED_VALUE"""),"-")</f>
        <v>-</v>
      </c>
      <c r="O4950" s="24">
        <f t="shared" si="4"/>
        <v>0</v>
      </c>
      <c r="P4950" s="24"/>
      <c r="Q4950" s="24">
        <f t="shared" si="6"/>
        <v>0</v>
      </c>
      <c r="R4950" s="24">
        <f t="shared" si="7"/>
        <v>0</v>
      </c>
      <c r="S4950" s="24"/>
      <c r="T4950" s="24"/>
    </row>
    <row r="4951">
      <c r="A4951" s="12" t="s">
        <v>5038</v>
      </c>
      <c r="F4951" s="19">
        <f>IFERROR(__xludf.DUMMYFUNCTION("SPLIT(A4947, "" |"")"),4945.0)</f>
        <v>4945</v>
      </c>
      <c r="G4951" s="19">
        <f>IFERROR(__xludf.DUMMYFUNCTION("""COMPUTED_VALUE"""),0.00234)</f>
        <v>0.00234</v>
      </c>
      <c r="H4951" s="19" t="str">
        <f>IFERROR(__xludf.DUMMYFUNCTION("""COMPUTED_VALUE"""),"-")</f>
        <v>-</v>
      </c>
      <c r="I4951" s="19">
        <f>IFERROR(__xludf.DUMMYFUNCTION("""COMPUTED_VALUE"""),0.00213)</f>
        <v>0.00213</v>
      </c>
      <c r="J4951" s="19">
        <f>IFERROR(__xludf.DUMMYFUNCTION("""COMPUTED_VALUE"""),0.0474)</f>
        <v>0.0474</v>
      </c>
      <c r="K4951" s="19" t="str">
        <f>IFERROR(__xludf.DUMMYFUNCTION("""COMPUTED_VALUE"""),"-")</f>
        <v>-</v>
      </c>
      <c r="L4951" s="19" t="str">
        <f>IFERROR(__xludf.DUMMYFUNCTION("""COMPUTED_VALUE"""),"-")</f>
        <v>-</v>
      </c>
      <c r="O4951" s="24">
        <f t="shared" si="4"/>
        <v>0</v>
      </c>
      <c r="P4951" s="24"/>
      <c r="Q4951" s="24">
        <f t="shared" si="6"/>
        <v>0</v>
      </c>
      <c r="R4951" s="24">
        <f t="shared" si="7"/>
        <v>0</v>
      </c>
      <c r="S4951" s="24"/>
      <c r="T4951" s="24"/>
    </row>
    <row r="4952">
      <c r="A4952" s="12" t="s">
        <v>5039</v>
      </c>
      <c r="F4952" s="19">
        <f>IFERROR(__xludf.DUMMYFUNCTION("SPLIT(A4948, "" |"")"),4946.0)</f>
        <v>4946</v>
      </c>
      <c r="G4952" s="19">
        <f>IFERROR(__xludf.DUMMYFUNCTION("""COMPUTED_VALUE"""),0.00244)</f>
        <v>0.00244</v>
      </c>
      <c r="H4952" s="19" t="str">
        <f>IFERROR(__xludf.DUMMYFUNCTION("""COMPUTED_VALUE"""),"-")</f>
        <v>-</v>
      </c>
      <c r="I4952" s="19">
        <f>IFERROR(__xludf.DUMMYFUNCTION("""COMPUTED_VALUE"""),0.00227)</f>
        <v>0.00227</v>
      </c>
      <c r="J4952" s="19">
        <f>IFERROR(__xludf.DUMMYFUNCTION("""COMPUTED_VALUE"""),0.04749)</f>
        <v>0.04749</v>
      </c>
      <c r="K4952" s="19" t="str">
        <f>IFERROR(__xludf.DUMMYFUNCTION("""COMPUTED_VALUE"""),"-")</f>
        <v>-</v>
      </c>
      <c r="L4952" s="19" t="str">
        <f>IFERROR(__xludf.DUMMYFUNCTION("""COMPUTED_VALUE"""),"-")</f>
        <v>-</v>
      </c>
      <c r="O4952" s="24">
        <f t="shared" si="4"/>
        <v>0</v>
      </c>
      <c r="P4952" s="24"/>
      <c r="Q4952" s="24">
        <f t="shared" si="6"/>
        <v>0</v>
      </c>
      <c r="R4952" s="24">
        <f t="shared" si="7"/>
        <v>0</v>
      </c>
      <c r="S4952" s="24"/>
      <c r="T4952" s="24"/>
    </row>
    <row r="4953">
      <c r="A4953" s="12" t="s">
        <v>5040</v>
      </c>
      <c r="F4953" s="19">
        <f>IFERROR(__xludf.DUMMYFUNCTION("SPLIT(A4949, "" |"")"),4947.0)</f>
        <v>4947</v>
      </c>
      <c r="G4953" s="19">
        <f>IFERROR(__xludf.DUMMYFUNCTION("""COMPUTED_VALUE"""),0.00226)</f>
        <v>0.00226</v>
      </c>
      <c r="H4953" s="19" t="str">
        <f>IFERROR(__xludf.DUMMYFUNCTION("""COMPUTED_VALUE"""),"-")</f>
        <v>-</v>
      </c>
      <c r="I4953" s="19">
        <f>IFERROR(__xludf.DUMMYFUNCTION("""COMPUTED_VALUE"""),0.00223)</f>
        <v>0.00223</v>
      </c>
      <c r="J4953" s="19">
        <f>IFERROR(__xludf.DUMMYFUNCTION("""COMPUTED_VALUE"""),0.04734)</f>
        <v>0.04734</v>
      </c>
      <c r="K4953" s="19" t="str">
        <f>IFERROR(__xludf.DUMMYFUNCTION("""COMPUTED_VALUE"""),"-")</f>
        <v>-</v>
      </c>
      <c r="L4953" s="19" t="str">
        <f>IFERROR(__xludf.DUMMYFUNCTION("""COMPUTED_VALUE"""),"-")</f>
        <v>-</v>
      </c>
      <c r="O4953" s="24">
        <f t="shared" si="4"/>
        <v>0</v>
      </c>
      <c r="P4953" s="24"/>
      <c r="Q4953" s="24">
        <f t="shared" si="6"/>
        <v>0</v>
      </c>
      <c r="R4953" s="24">
        <f t="shared" si="7"/>
        <v>0</v>
      </c>
      <c r="S4953" s="24"/>
      <c r="T4953" s="24"/>
    </row>
    <row r="4954">
      <c r="A4954" s="12" t="s">
        <v>5041</v>
      </c>
      <c r="F4954" s="19">
        <f>IFERROR(__xludf.DUMMYFUNCTION("SPLIT(A4950, "" |"")"),4948.0)</f>
        <v>4948</v>
      </c>
      <c r="G4954" s="19">
        <f>IFERROR(__xludf.DUMMYFUNCTION("""COMPUTED_VALUE"""),0.00241)</f>
        <v>0.00241</v>
      </c>
      <c r="H4954" s="19" t="str">
        <f>IFERROR(__xludf.DUMMYFUNCTION("""COMPUTED_VALUE"""),"-")</f>
        <v>-</v>
      </c>
      <c r="I4954" s="19">
        <f>IFERROR(__xludf.DUMMYFUNCTION("""COMPUTED_VALUE"""),0.00225)</f>
        <v>0.00225</v>
      </c>
      <c r="J4954" s="19">
        <f>IFERROR(__xludf.DUMMYFUNCTION("""COMPUTED_VALUE"""),0.04745)</f>
        <v>0.04745</v>
      </c>
      <c r="K4954" s="19" t="str">
        <f>IFERROR(__xludf.DUMMYFUNCTION("""COMPUTED_VALUE"""),"-")</f>
        <v>-</v>
      </c>
      <c r="L4954" s="19" t="str">
        <f>IFERROR(__xludf.DUMMYFUNCTION("""COMPUTED_VALUE"""),"-")</f>
        <v>-</v>
      </c>
      <c r="O4954" s="24">
        <f t="shared" si="4"/>
        <v>0</v>
      </c>
      <c r="P4954" s="24"/>
      <c r="Q4954" s="24">
        <f t="shared" si="6"/>
        <v>0</v>
      </c>
      <c r="R4954" s="24">
        <f t="shared" si="7"/>
        <v>0</v>
      </c>
      <c r="S4954" s="24"/>
      <c r="T4954" s="24"/>
    </row>
    <row r="4955">
      <c r="A4955" s="12" t="s">
        <v>5042</v>
      </c>
      <c r="F4955" s="19">
        <f>IFERROR(__xludf.DUMMYFUNCTION("SPLIT(A4951, "" |"")"),4949.0)</f>
        <v>4949</v>
      </c>
      <c r="G4955" s="19">
        <f>IFERROR(__xludf.DUMMYFUNCTION("""COMPUTED_VALUE"""),0.00234)</f>
        <v>0.00234</v>
      </c>
      <c r="H4955" s="19" t="str">
        <f>IFERROR(__xludf.DUMMYFUNCTION("""COMPUTED_VALUE"""),"-")</f>
        <v>-</v>
      </c>
      <c r="I4955" s="19">
        <f>IFERROR(__xludf.DUMMYFUNCTION("""COMPUTED_VALUE"""),0.00224)</f>
        <v>0.00224</v>
      </c>
      <c r="J4955" s="19">
        <f>IFERROR(__xludf.DUMMYFUNCTION("""COMPUTED_VALUE"""),0.04735)</f>
        <v>0.04735</v>
      </c>
      <c r="K4955" s="19" t="str">
        <f>IFERROR(__xludf.DUMMYFUNCTION("""COMPUTED_VALUE"""),"-")</f>
        <v>-</v>
      </c>
      <c r="L4955" s="19" t="str">
        <f>IFERROR(__xludf.DUMMYFUNCTION("""COMPUTED_VALUE"""),"-")</f>
        <v>-</v>
      </c>
      <c r="O4955" s="24">
        <f t="shared" si="4"/>
        <v>0</v>
      </c>
      <c r="P4955" s="24"/>
      <c r="Q4955" s="24">
        <f t="shared" si="6"/>
        <v>0</v>
      </c>
      <c r="R4955" s="24">
        <f t="shared" si="7"/>
        <v>0</v>
      </c>
      <c r="S4955" s="24"/>
      <c r="T4955" s="24"/>
    </row>
    <row r="4956">
      <c r="A4956" s="12" t="s">
        <v>5043</v>
      </c>
      <c r="F4956" s="19">
        <f>IFERROR(__xludf.DUMMYFUNCTION("SPLIT(A4952, "" |"")"),4950.0)</f>
        <v>4950</v>
      </c>
      <c r="G4956" s="19">
        <f>IFERROR(__xludf.DUMMYFUNCTION("""COMPUTED_VALUE"""),0.00235)</f>
        <v>0.00235</v>
      </c>
      <c r="H4956" s="19" t="str">
        <f>IFERROR(__xludf.DUMMYFUNCTION("""COMPUTED_VALUE"""),"-")</f>
        <v>-</v>
      </c>
      <c r="I4956" s="19">
        <f>IFERROR(__xludf.DUMMYFUNCTION("""COMPUTED_VALUE"""),0.0022)</f>
        <v>0.0022</v>
      </c>
      <c r="J4956" s="19">
        <f>IFERROR(__xludf.DUMMYFUNCTION("""COMPUTED_VALUE"""),0.0474)</f>
        <v>0.0474</v>
      </c>
      <c r="K4956" s="19" t="str">
        <f>IFERROR(__xludf.DUMMYFUNCTION("""COMPUTED_VALUE"""),"-")</f>
        <v>-</v>
      </c>
      <c r="L4956" s="19" t="str">
        <f>IFERROR(__xludf.DUMMYFUNCTION("""COMPUTED_VALUE"""),"-")</f>
        <v>-</v>
      </c>
      <c r="O4956" s="24">
        <f t="shared" si="4"/>
        <v>0</v>
      </c>
      <c r="P4956" s="24"/>
      <c r="Q4956" s="24">
        <f t="shared" si="6"/>
        <v>0</v>
      </c>
      <c r="R4956" s="24">
        <f t="shared" si="7"/>
        <v>0</v>
      </c>
      <c r="S4956" s="24"/>
      <c r="T4956" s="24"/>
    </row>
    <row r="4957">
      <c r="A4957" s="12" t="s">
        <v>5044</v>
      </c>
      <c r="F4957" s="19">
        <f>IFERROR(__xludf.DUMMYFUNCTION("SPLIT(A4953, "" |"")"),4951.0)</f>
        <v>4951</v>
      </c>
      <c r="G4957" s="19">
        <f>IFERROR(__xludf.DUMMYFUNCTION("""COMPUTED_VALUE"""),0.00251)</f>
        <v>0.00251</v>
      </c>
      <c r="H4957" s="19" t="str">
        <f>IFERROR(__xludf.DUMMYFUNCTION("""COMPUTED_VALUE"""),"-")</f>
        <v>-</v>
      </c>
      <c r="I4957" s="19">
        <f>IFERROR(__xludf.DUMMYFUNCTION("""COMPUTED_VALUE"""),0.00228)</f>
        <v>0.00228</v>
      </c>
      <c r="J4957" s="19">
        <f>IFERROR(__xludf.DUMMYFUNCTION("""COMPUTED_VALUE"""),0.04751)</f>
        <v>0.04751</v>
      </c>
      <c r="K4957" s="19" t="str">
        <f>IFERROR(__xludf.DUMMYFUNCTION("""COMPUTED_VALUE"""),"-")</f>
        <v>-</v>
      </c>
      <c r="L4957" s="19" t="str">
        <f>IFERROR(__xludf.DUMMYFUNCTION("""COMPUTED_VALUE"""),"-")</f>
        <v>-</v>
      </c>
      <c r="O4957" s="24">
        <f t="shared" si="4"/>
        <v>0</v>
      </c>
      <c r="P4957" s="24"/>
      <c r="Q4957" s="24">
        <f t="shared" si="6"/>
        <v>0</v>
      </c>
      <c r="R4957" s="24">
        <f t="shared" si="7"/>
        <v>0</v>
      </c>
      <c r="S4957" s="24"/>
      <c r="T4957" s="24"/>
    </row>
    <row r="4958">
      <c r="A4958" s="12" t="s">
        <v>5045</v>
      </c>
      <c r="F4958" s="19">
        <f>IFERROR(__xludf.DUMMYFUNCTION("SPLIT(A4954, "" |"")"),4952.0)</f>
        <v>4952</v>
      </c>
      <c r="G4958" s="19">
        <f>IFERROR(__xludf.DUMMYFUNCTION("""COMPUTED_VALUE"""),0.00237)</f>
        <v>0.00237</v>
      </c>
      <c r="H4958" s="19" t="str">
        <f>IFERROR(__xludf.DUMMYFUNCTION("""COMPUTED_VALUE"""),"-")</f>
        <v>-</v>
      </c>
      <c r="I4958" s="19">
        <f>IFERROR(__xludf.DUMMYFUNCTION("""COMPUTED_VALUE"""),0.00221)</f>
        <v>0.00221</v>
      </c>
      <c r="J4958" s="19">
        <f>IFERROR(__xludf.DUMMYFUNCTION("""COMPUTED_VALUE"""),0.04745)</f>
        <v>0.04745</v>
      </c>
      <c r="K4958" s="19" t="str">
        <f>IFERROR(__xludf.DUMMYFUNCTION("""COMPUTED_VALUE"""),"-")</f>
        <v>-</v>
      </c>
      <c r="L4958" s="19" t="str">
        <f>IFERROR(__xludf.DUMMYFUNCTION("""COMPUTED_VALUE"""),"-")</f>
        <v>-</v>
      </c>
      <c r="O4958" s="24">
        <f t="shared" si="4"/>
        <v>0</v>
      </c>
      <c r="P4958" s="24"/>
      <c r="Q4958" s="24">
        <f t="shared" si="6"/>
        <v>0</v>
      </c>
      <c r="R4958" s="24">
        <f t="shared" si="7"/>
        <v>0</v>
      </c>
      <c r="S4958" s="24"/>
      <c r="T4958" s="24"/>
    </row>
    <row r="4959">
      <c r="A4959" s="12" t="s">
        <v>5046</v>
      </c>
      <c r="F4959" s="19">
        <f>IFERROR(__xludf.DUMMYFUNCTION("SPLIT(A4955, "" |"")"),4953.0)</f>
        <v>4953</v>
      </c>
      <c r="G4959" s="19">
        <f>IFERROR(__xludf.DUMMYFUNCTION("""COMPUTED_VALUE"""),0.00232)</f>
        <v>0.00232</v>
      </c>
      <c r="H4959" s="19" t="str">
        <f>IFERROR(__xludf.DUMMYFUNCTION("""COMPUTED_VALUE"""),"-")</f>
        <v>-</v>
      </c>
      <c r="I4959" s="19">
        <f>IFERROR(__xludf.DUMMYFUNCTION("""COMPUTED_VALUE"""),0.00223)</f>
        <v>0.00223</v>
      </c>
      <c r="J4959" s="19">
        <f>IFERROR(__xludf.DUMMYFUNCTION("""COMPUTED_VALUE"""),0.04742)</f>
        <v>0.04742</v>
      </c>
      <c r="K4959" s="19" t="str">
        <f>IFERROR(__xludf.DUMMYFUNCTION("""COMPUTED_VALUE"""),"-")</f>
        <v>-</v>
      </c>
      <c r="L4959" s="19" t="str">
        <f>IFERROR(__xludf.DUMMYFUNCTION("""COMPUTED_VALUE"""),"-")</f>
        <v>-</v>
      </c>
      <c r="O4959" s="24">
        <f t="shared" si="4"/>
        <v>0</v>
      </c>
      <c r="P4959" s="24"/>
      <c r="Q4959" s="24">
        <f t="shared" si="6"/>
        <v>0</v>
      </c>
      <c r="R4959" s="24">
        <f t="shared" si="7"/>
        <v>0</v>
      </c>
      <c r="S4959" s="24"/>
      <c r="T4959" s="24"/>
    </row>
    <row r="4960">
      <c r="A4960" s="12" t="s">
        <v>5047</v>
      </c>
      <c r="F4960" s="19">
        <f>IFERROR(__xludf.DUMMYFUNCTION("SPLIT(A4956, "" |"")"),4954.0)</f>
        <v>4954</v>
      </c>
      <c r="G4960" s="19">
        <f>IFERROR(__xludf.DUMMYFUNCTION("""COMPUTED_VALUE"""),0.00238)</f>
        <v>0.00238</v>
      </c>
      <c r="H4960" s="19" t="str">
        <f>IFERROR(__xludf.DUMMYFUNCTION("""COMPUTED_VALUE"""),"-")</f>
        <v>-</v>
      </c>
      <c r="I4960" s="19">
        <f>IFERROR(__xludf.DUMMYFUNCTION("""COMPUTED_VALUE"""),0.00219)</f>
        <v>0.00219</v>
      </c>
      <c r="J4960" s="19">
        <f>IFERROR(__xludf.DUMMYFUNCTION("""COMPUTED_VALUE"""),0.04587)</f>
        <v>0.04587</v>
      </c>
      <c r="K4960" s="19" t="str">
        <f>IFERROR(__xludf.DUMMYFUNCTION("""COMPUTED_VALUE"""),"-")</f>
        <v>-</v>
      </c>
      <c r="L4960" s="19" t="str">
        <f>IFERROR(__xludf.DUMMYFUNCTION("""COMPUTED_VALUE"""),"-")</f>
        <v>-</v>
      </c>
      <c r="O4960" s="24">
        <f t="shared" si="4"/>
        <v>0</v>
      </c>
      <c r="P4960" s="24"/>
      <c r="Q4960" s="24">
        <f t="shared" si="6"/>
        <v>0</v>
      </c>
      <c r="R4960" s="24">
        <f t="shared" si="7"/>
        <v>0</v>
      </c>
      <c r="S4960" s="24"/>
      <c r="T4960" s="24"/>
    </row>
    <row r="4961">
      <c r="A4961" s="12" t="s">
        <v>5048</v>
      </c>
      <c r="F4961" s="19">
        <f>IFERROR(__xludf.DUMMYFUNCTION("SPLIT(A4957, "" |"")"),4955.0)</f>
        <v>4955</v>
      </c>
      <c r="G4961" s="19">
        <f>IFERROR(__xludf.DUMMYFUNCTION("""COMPUTED_VALUE"""),0.00247)</f>
        <v>0.00247</v>
      </c>
      <c r="H4961" s="19" t="str">
        <f>IFERROR(__xludf.DUMMYFUNCTION("""COMPUTED_VALUE"""),"-")</f>
        <v>-</v>
      </c>
      <c r="I4961" s="19">
        <f>IFERROR(__xludf.DUMMYFUNCTION("""COMPUTED_VALUE"""),0.00213)</f>
        <v>0.00213</v>
      </c>
      <c r="J4961" s="19">
        <f>IFERROR(__xludf.DUMMYFUNCTION("""COMPUTED_VALUE"""),0.04746)</f>
        <v>0.04746</v>
      </c>
      <c r="K4961" s="19" t="str">
        <f>IFERROR(__xludf.DUMMYFUNCTION("""COMPUTED_VALUE"""),"-")</f>
        <v>-</v>
      </c>
      <c r="L4961" s="19" t="str">
        <f>IFERROR(__xludf.DUMMYFUNCTION("""COMPUTED_VALUE"""),"-")</f>
        <v>-</v>
      </c>
      <c r="O4961" s="24">
        <f t="shared" si="4"/>
        <v>0</v>
      </c>
      <c r="P4961" s="24"/>
      <c r="Q4961" s="24">
        <f t="shared" si="6"/>
        <v>0</v>
      </c>
      <c r="R4961" s="24">
        <f t="shared" si="7"/>
        <v>0</v>
      </c>
      <c r="S4961" s="24"/>
      <c r="T4961" s="24"/>
    </row>
    <row r="4962">
      <c r="A4962" s="12" t="s">
        <v>5049</v>
      </c>
      <c r="F4962" s="19">
        <f>IFERROR(__xludf.DUMMYFUNCTION("SPLIT(A4958, "" |"")"),4956.0)</f>
        <v>4956</v>
      </c>
      <c r="G4962" s="19">
        <f>IFERROR(__xludf.DUMMYFUNCTION("""COMPUTED_VALUE"""),0.00238)</f>
        <v>0.00238</v>
      </c>
      <c r="H4962" s="19" t="str">
        <f>IFERROR(__xludf.DUMMYFUNCTION("""COMPUTED_VALUE"""),"-")</f>
        <v>-</v>
      </c>
      <c r="I4962" s="19">
        <f>IFERROR(__xludf.DUMMYFUNCTION("""COMPUTED_VALUE"""),0.00223)</f>
        <v>0.00223</v>
      </c>
      <c r="J4962" s="19">
        <f>IFERROR(__xludf.DUMMYFUNCTION("""COMPUTED_VALUE"""),0.04735)</f>
        <v>0.04735</v>
      </c>
      <c r="K4962" s="19" t="str">
        <f>IFERROR(__xludf.DUMMYFUNCTION("""COMPUTED_VALUE"""),"-")</f>
        <v>-</v>
      </c>
      <c r="L4962" s="19" t="str">
        <f>IFERROR(__xludf.DUMMYFUNCTION("""COMPUTED_VALUE"""),"-")</f>
        <v>-</v>
      </c>
      <c r="O4962" s="24">
        <f t="shared" si="4"/>
        <v>0</v>
      </c>
      <c r="P4962" s="24"/>
      <c r="Q4962" s="24">
        <f t="shared" si="6"/>
        <v>0</v>
      </c>
      <c r="R4962" s="24">
        <f t="shared" si="7"/>
        <v>0</v>
      </c>
      <c r="S4962" s="24"/>
      <c r="T4962" s="24"/>
    </row>
    <row r="4963">
      <c r="A4963" s="12" t="s">
        <v>5050</v>
      </c>
      <c r="F4963" s="19">
        <f>IFERROR(__xludf.DUMMYFUNCTION("SPLIT(A4959, "" |"")"),4957.0)</f>
        <v>4957</v>
      </c>
      <c r="G4963" s="19">
        <f>IFERROR(__xludf.DUMMYFUNCTION("""COMPUTED_VALUE"""),0.00241)</f>
        <v>0.00241</v>
      </c>
      <c r="H4963" s="19" t="str">
        <f>IFERROR(__xludf.DUMMYFUNCTION("""COMPUTED_VALUE"""),"-")</f>
        <v>-</v>
      </c>
      <c r="I4963" s="19">
        <f>IFERROR(__xludf.DUMMYFUNCTION("""COMPUTED_VALUE"""),0.00223)</f>
        <v>0.00223</v>
      </c>
      <c r="J4963" s="19">
        <f>IFERROR(__xludf.DUMMYFUNCTION("""COMPUTED_VALUE"""),0.04747)</f>
        <v>0.04747</v>
      </c>
      <c r="K4963" s="19" t="str">
        <f>IFERROR(__xludf.DUMMYFUNCTION("""COMPUTED_VALUE"""),"-")</f>
        <v>-</v>
      </c>
      <c r="L4963" s="19" t="str">
        <f>IFERROR(__xludf.DUMMYFUNCTION("""COMPUTED_VALUE"""),"-")</f>
        <v>-</v>
      </c>
      <c r="O4963" s="24">
        <f t="shared" si="4"/>
        <v>0</v>
      </c>
      <c r="P4963" s="24"/>
      <c r="Q4963" s="24">
        <f t="shared" si="6"/>
        <v>0</v>
      </c>
      <c r="R4963" s="24">
        <f t="shared" si="7"/>
        <v>0</v>
      </c>
      <c r="S4963" s="24"/>
      <c r="T4963" s="24"/>
    </row>
    <row r="4964">
      <c r="A4964" s="12" t="s">
        <v>5051</v>
      </c>
      <c r="F4964" s="19">
        <f>IFERROR(__xludf.DUMMYFUNCTION("SPLIT(A4960, "" |"")"),4958.0)</f>
        <v>4958</v>
      </c>
      <c r="G4964" s="19">
        <f>IFERROR(__xludf.DUMMYFUNCTION("""COMPUTED_VALUE"""),0.00237)</f>
        <v>0.00237</v>
      </c>
      <c r="H4964" s="19" t="str">
        <f>IFERROR(__xludf.DUMMYFUNCTION("""COMPUTED_VALUE"""),"-")</f>
        <v>-</v>
      </c>
      <c r="I4964" s="19">
        <f>IFERROR(__xludf.DUMMYFUNCTION("""COMPUTED_VALUE"""),0.00223)</f>
        <v>0.00223</v>
      </c>
      <c r="J4964" s="19">
        <f>IFERROR(__xludf.DUMMYFUNCTION("""COMPUTED_VALUE"""),0.04746)</f>
        <v>0.04746</v>
      </c>
      <c r="K4964" s="19" t="str">
        <f>IFERROR(__xludf.DUMMYFUNCTION("""COMPUTED_VALUE"""),"-")</f>
        <v>-</v>
      </c>
      <c r="L4964" s="19" t="str">
        <f>IFERROR(__xludf.DUMMYFUNCTION("""COMPUTED_VALUE"""),"-")</f>
        <v>-</v>
      </c>
      <c r="O4964" s="24">
        <f t="shared" si="4"/>
        <v>0</v>
      </c>
      <c r="P4964" s="24"/>
      <c r="Q4964" s="24">
        <f t="shared" si="6"/>
        <v>0</v>
      </c>
      <c r="R4964" s="24">
        <f t="shared" si="7"/>
        <v>0</v>
      </c>
      <c r="S4964" s="24"/>
      <c r="T4964" s="24"/>
    </row>
    <row r="4965">
      <c r="A4965" s="12" t="s">
        <v>5052</v>
      </c>
      <c r="F4965" s="19">
        <f>IFERROR(__xludf.DUMMYFUNCTION("SPLIT(A4961, "" |"")"),4959.0)</f>
        <v>4959</v>
      </c>
      <c r="G4965" s="19">
        <f>IFERROR(__xludf.DUMMYFUNCTION("""COMPUTED_VALUE"""),0.00236)</f>
        <v>0.00236</v>
      </c>
      <c r="H4965" s="19" t="str">
        <f>IFERROR(__xludf.DUMMYFUNCTION("""COMPUTED_VALUE"""),"-")</f>
        <v>-</v>
      </c>
      <c r="I4965" s="19">
        <f>IFERROR(__xludf.DUMMYFUNCTION("""COMPUTED_VALUE"""),0.0022)</f>
        <v>0.0022</v>
      </c>
      <c r="J4965" s="19">
        <f>IFERROR(__xludf.DUMMYFUNCTION("""COMPUTED_VALUE"""),0.04743)</f>
        <v>0.04743</v>
      </c>
      <c r="K4965" s="19" t="str">
        <f>IFERROR(__xludf.DUMMYFUNCTION("""COMPUTED_VALUE"""),"-")</f>
        <v>-</v>
      </c>
      <c r="L4965" s="19" t="str">
        <f>IFERROR(__xludf.DUMMYFUNCTION("""COMPUTED_VALUE"""),"-")</f>
        <v>-</v>
      </c>
      <c r="O4965" s="24">
        <f t="shared" si="4"/>
        <v>0</v>
      </c>
      <c r="P4965" s="24"/>
      <c r="Q4965" s="24">
        <f t="shared" si="6"/>
        <v>0</v>
      </c>
      <c r="R4965" s="24">
        <f t="shared" si="7"/>
        <v>0</v>
      </c>
      <c r="S4965" s="24"/>
      <c r="T4965" s="24"/>
    </row>
    <row r="4966">
      <c r="A4966" s="12" t="s">
        <v>5053</v>
      </c>
      <c r="F4966" s="19">
        <f>IFERROR(__xludf.DUMMYFUNCTION("SPLIT(A4962, "" |"")"),4960.0)</f>
        <v>4960</v>
      </c>
      <c r="G4966" s="19">
        <f>IFERROR(__xludf.DUMMYFUNCTION("""COMPUTED_VALUE"""),0.00233)</f>
        <v>0.00233</v>
      </c>
      <c r="H4966" s="19" t="str">
        <f>IFERROR(__xludf.DUMMYFUNCTION("""COMPUTED_VALUE"""),"-")</f>
        <v>-</v>
      </c>
      <c r="I4966" s="19">
        <f>IFERROR(__xludf.DUMMYFUNCTION("""COMPUTED_VALUE"""),0.00224)</f>
        <v>0.00224</v>
      </c>
      <c r="J4966" s="19">
        <f>IFERROR(__xludf.DUMMYFUNCTION("""COMPUTED_VALUE"""),0.04741)</f>
        <v>0.04741</v>
      </c>
      <c r="K4966" s="19" t="str">
        <f>IFERROR(__xludf.DUMMYFUNCTION("""COMPUTED_VALUE"""),"-")</f>
        <v>-</v>
      </c>
      <c r="L4966" s="19" t="str">
        <f>IFERROR(__xludf.DUMMYFUNCTION("""COMPUTED_VALUE"""),"-")</f>
        <v>-</v>
      </c>
      <c r="O4966" s="24">
        <f t="shared" si="4"/>
        <v>0</v>
      </c>
      <c r="P4966" s="24"/>
      <c r="Q4966" s="24">
        <f t="shared" si="6"/>
        <v>0</v>
      </c>
      <c r="R4966" s="24">
        <f t="shared" si="7"/>
        <v>0</v>
      </c>
      <c r="S4966" s="24"/>
      <c r="T4966" s="24"/>
    </row>
    <row r="4967">
      <c r="A4967" s="12" t="s">
        <v>5054</v>
      </c>
      <c r="F4967" s="19">
        <f>IFERROR(__xludf.DUMMYFUNCTION("SPLIT(A4963, "" |"")"),4961.0)</f>
        <v>4961</v>
      </c>
      <c r="G4967" s="19">
        <f>IFERROR(__xludf.DUMMYFUNCTION("""COMPUTED_VALUE"""),0.00229)</f>
        <v>0.00229</v>
      </c>
      <c r="H4967" s="19" t="str">
        <f>IFERROR(__xludf.DUMMYFUNCTION("""COMPUTED_VALUE"""),"-")</f>
        <v>-</v>
      </c>
      <c r="I4967" s="19">
        <f>IFERROR(__xludf.DUMMYFUNCTION("""COMPUTED_VALUE"""),0.00207)</f>
        <v>0.00207</v>
      </c>
      <c r="J4967" s="19">
        <f>IFERROR(__xludf.DUMMYFUNCTION("""COMPUTED_VALUE"""),0.04737)</f>
        <v>0.04737</v>
      </c>
      <c r="K4967" s="19" t="str">
        <f>IFERROR(__xludf.DUMMYFUNCTION("""COMPUTED_VALUE"""),"-")</f>
        <v>-</v>
      </c>
      <c r="L4967" s="19" t="str">
        <f>IFERROR(__xludf.DUMMYFUNCTION("""COMPUTED_VALUE"""),"-")</f>
        <v>-</v>
      </c>
      <c r="O4967" s="24">
        <f t="shared" si="4"/>
        <v>0</v>
      </c>
      <c r="P4967" s="24"/>
      <c r="Q4967" s="24">
        <f t="shared" si="6"/>
        <v>0</v>
      </c>
      <c r="R4967" s="24">
        <f t="shared" si="7"/>
        <v>0</v>
      </c>
      <c r="S4967" s="24"/>
      <c r="T4967" s="24"/>
    </row>
    <row r="4968">
      <c r="A4968" s="12" t="s">
        <v>5055</v>
      </c>
      <c r="F4968" s="19">
        <f>IFERROR(__xludf.DUMMYFUNCTION("SPLIT(A4964, "" |"")"),4962.0)</f>
        <v>4962</v>
      </c>
      <c r="G4968" s="19">
        <f>IFERROR(__xludf.DUMMYFUNCTION("""COMPUTED_VALUE"""),0.00231)</f>
        <v>0.00231</v>
      </c>
      <c r="H4968" s="19" t="str">
        <f>IFERROR(__xludf.DUMMYFUNCTION("""COMPUTED_VALUE"""),"-")</f>
        <v>-</v>
      </c>
      <c r="I4968" s="19">
        <f>IFERROR(__xludf.DUMMYFUNCTION("""COMPUTED_VALUE"""),0.00218)</f>
        <v>0.00218</v>
      </c>
      <c r="J4968" s="19">
        <f>IFERROR(__xludf.DUMMYFUNCTION("""COMPUTED_VALUE"""),0.04746)</f>
        <v>0.04746</v>
      </c>
      <c r="K4968" s="19" t="str">
        <f>IFERROR(__xludf.DUMMYFUNCTION("""COMPUTED_VALUE"""),"-")</f>
        <v>-</v>
      </c>
      <c r="L4968" s="19" t="str">
        <f>IFERROR(__xludf.DUMMYFUNCTION("""COMPUTED_VALUE"""),"-")</f>
        <v>-</v>
      </c>
      <c r="O4968" s="24">
        <f t="shared" si="4"/>
        <v>0</v>
      </c>
      <c r="P4968" s="24"/>
      <c r="Q4968" s="24">
        <f t="shared" si="6"/>
        <v>0</v>
      </c>
      <c r="R4968" s="24">
        <f t="shared" si="7"/>
        <v>0</v>
      </c>
      <c r="S4968" s="24"/>
      <c r="T4968" s="24"/>
    </row>
    <row r="4969">
      <c r="A4969" s="12" t="s">
        <v>5056</v>
      </c>
      <c r="F4969" s="19">
        <f>IFERROR(__xludf.DUMMYFUNCTION("SPLIT(A4965, "" |"")"),4963.0)</f>
        <v>4963</v>
      </c>
      <c r="G4969" s="19">
        <f>IFERROR(__xludf.DUMMYFUNCTION("""COMPUTED_VALUE"""),0.0024)</f>
        <v>0.0024</v>
      </c>
      <c r="H4969" s="19" t="str">
        <f>IFERROR(__xludf.DUMMYFUNCTION("""COMPUTED_VALUE"""),"-")</f>
        <v>-</v>
      </c>
      <c r="I4969" s="19">
        <f>IFERROR(__xludf.DUMMYFUNCTION("""COMPUTED_VALUE"""),0.00219)</f>
        <v>0.00219</v>
      </c>
      <c r="J4969" s="19">
        <f>IFERROR(__xludf.DUMMYFUNCTION("""COMPUTED_VALUE"""),0.04744)</f>
        <v>0.04744</v>
      </c>
      <c r="K4969" s="19" t="str">
        <f>IFERROR(__xludf.DUMMYFUNCTION("""COMPUTED_VALUE"""),"-")</f>
        <v>-</v>
      </c>
      <c r="L4969" s="19" t="str">
        <f>IFERROR(__xludf.DUMMYFUNCTION("""COMPUTED_VALUE"""),"-")</f>
        <v>-</v>
      </c>
      <c r="O4969" s="24">
        <f t="shared" si="4"/>
        <v>0</v>
      </c>
      <c r="P4969" s="24"/>
      <c r="Q4969" s="24">
        <f t="shared" si="6"/>
        <v>0</v>
      </c>
      <c r="R4969" s="24">
        <f t="shared" si="7"/>
        <v>0</v>
      </c>
      <c r="S4969" s="24"/>
      <c r="T4969" s="24"/>
    </row>
    <row r="4970">
      <c r="A4970" s="12" t="s">
        <v>5057</v>
      </c>
      <c r="F4970" s="19">
        <f>IFERROR(__xludf.DUMMYFUNCTION("SPLIT(A4966, "" |"")"),4964.0)</f>
        <v>4964</v>
      </c>
      <c r="G4970" s="19">
        <f>IFERROR(__xludf.DUMMYFUNCTION("""COMPUTED_VALUE"""),0.00235)</f>
        <v>0.00235</v>
      </c>
      <c r="H4970" s="19" t="str">
        <f>IFERROR(__xludf.DUMMYFUNCTION("""COMPUTED_VALUE"""),"-")</f>
        <v>-</v>
      </c>
      <c r="I4970" s="19">
        <f>IFERROR(__xludf.DUMMYFUNCTION("""COMPUTED_VALUE"""),0.00216)</f>
        <v>0.00216</v>
      </c>
      <c r="J4970" s="19">
        <f>IFERROR(__xludf.DUMMYFUNCTION("""COMPUTED_VALUE"""),0.04739)</f>
        <v>0.04739</v>
      </c>
      <c r="K4970" s="19" t="str">
        <f>IFERROR(__xludf.DUMMYFUNCTION("""COMPUTED_VALUE"""),"-")</f>
        <v>-</v>
      </c>
      <c r="L4970" s="19" t="str">
        <f>IFERROR(__xludf.DUMMYFUNCTION("""COMPUTED_VALUE"""),"-")</f>
        <v>-</v>
      </c>
      <c r="O4970" s="24">
        <f t="shared" si="4"/>
        <v>0</v>
      </c>
      <c r="P4970" s="24"/>
      <c r="Q4970" s="24">
        <f t="shared" si="6"/>
        <v>0</v>
      </c>
      <c r="R4970" s="24">
        <f t="shared" si="7"/>
        <v>0</v>
      </c>
      <c r="S4970" s="24"/>
      <c r="T4970" s="24"/>
    </row>
    <row r="4971">
      <c r="A4971" s="12" t="s">
        <v>5058</v>
      </c>
      <c r="F4971" s="19">
        <f>IFERROR(__xludf.DUMMYFUNCTION("SPLIT(A4967, "" |"")"),4965.0)</f>
        <v>4965</v>
      </c>
      <c r="G4971" s="19">
        <f>IFERROR(__xludf.DUMMYFUNCTION("""COMPUTED_VALUE"""),0.00236)</f>
        <v>0.00236</v>
      </c>
      <c r="H4971" s="19" t="str">
        <f>IFERROR(__xludf.DUMMYFUNCTION("""COMPUTED_VALUE"""),"-")</f>
        <v>-</v>
      </c>
      <c r="I4971" s="19">
        <f>IFERROR(__xludf.DUMMYFUNCTION("""COMPUTED_VALUE"""),0.00222)</f>
        <v>0.00222</v>
      </c>
      <c r="J4971" s="19">
        <f>IFERROR(__xludf.DUMMYFUNCTION("""COMPUTED_VALUE"""),0.04738)</f>
        <v>0.04738</v>
      </c>
      <c r="K4971" s="19" t="str">
        <f>IFERROR(__xludf.DUMMYFUNCTION("""COMPUTED_VALUE"""),"-")</f>
        <v>-</v>
      </c>
      <c r="L4971" s="19" t="str">
        <f>IFERROR(__xludf.DUMMYFUNCTION("""COMPUTED_VALUE"""),"-")</f>
        <v>-</v>
      </c>
      <c r="O4971" s="24">
        <f t="shared" si="4"/>
        <v>0</v>
      </c>
      <c r="P4971" s="24"/>
      <c r="Q4971" s="24">
        <f t="shared" si="6"/>
        <v>0</v>
      </c>
      <c r="R4971" s="24">
        <f t="shared" si="7"/>
        <v>0</v>
      </c>
      <c r="S4971" s="24"/>
      <c r="T4971" s="24"/>
    </row>
    <row r="4972">
      <c r="A4972" s="12" t="s">
        <v>5059</v>
      </c>
      <c r="F4972" s="19">
        <f>IFERROR(__xludf.DUMMYFUNCTION("SPLIT(A4968, "" |"")"),4966.0)</f>
        <v>4966</v>
      </c>
      <c r="G4972" s="19">
        <f>IFERROR(__xludf.DUMMYFUNCTION("""COMPUTED_VALUE"""),0.00236)</f>
        <v>0.00236</v>
      </c>
      <c r="H4972" s="19" t="str">
        <f>IFERROR(__xludf.DUMMYFUNCTION("""COMPUTED_VALUE"""),"-")</f>
        <v>-</v>
      </c>
      <c r="I4972" s="19">
        <f>IFERROR(__xludf.DUMMYFUNCTION("""COMPUTED_VALUE"""),0.00226)</f>
        <v>0.00226</v>
      </c>
      <c r="J4972" s="19">
        <f>IFERROR(__xludf.DUMMYFUNCTION("""COMPUTED_VALUE"""),0.04745)</f>
        <v>0.04745</v>
      </c>
      <c r="K4972" s="19" t="str">
        <f>IFERROR(__xludf.DUMMYFUNCTION("""COMPUTED_VALUE"""),"-")</f>
        <v>-</v>
      </c>
      <c r="L4972" s="19" t="str">
        <f>IFERROR(__xludf.DUMMYFUNCTION("""COMPUTED_VALUE"""),"-")</f>
        <v>-</v>
      </c>
      <c r="O4972" s="24">
        <f t="shared" si="4"/>
        <v>0</v>
      </c>
      <c r="P4972" s="24"/>
      <c r="Q4972" s="24">
        <f t="shared" si="6"/>
        <v>0</v>
      </c>
      <c r="R4972" s="24">
        <f t="shared" si="7"/>
        <v>0</v>
      </c>
      <c r="S4972" s="24"/>
      <c r="T4972" s="24"/>
    </row>
    <row r="4973">
      <c r="A4973" s="12" t="s">
        <v>5060</v>
      </c>
      <c r="F4973" s="19">
        <f>IFERROR(__xludf.DUMMYFUNCTION("SPLIT(A4969, "" |"")"),4967.0)</f>
        <v>4967</v>
      </c>
      <c r="G4973" s="19">
        <f>IFERROR(__xludf.DUMMYFUNCTION("""COMPUTED_VALUE"""),0.00239)</f>
        <v>0.00239</v>
      </c>
      <c r="H4973" s="19" t="str">
        <f>IFERROR(__xludf.DUMMYFUNCTION("""COMPUTED_VALUE"""),"-")</f>
        <v>-</v>
      </c>
      <c r="I4973" s="19">
        <f>IFERROR(__xludf.DUMMYFUNCTION("""COMPUTED_VALUE"""),0.00222)</f>
        <v>0.00222</v>
      </c>
      <c r="J4973" s="19">
        <f>IFERROR(__xludf.DUMMYFUNCTION("""COMPUTED_VALUE"""),0.04749)</f>
        <v>0.04749</v>
      </c>
      <c r="K4973" s="19" t="str">
        <f>IFERROR(__xludf.DUMMYFUNCTION("""COMPUTED_VALUE"""),"-")</f>
        <v>-</v>
      </c>
      <c r="L4973" s="19" t="str">
        <f>IFERROR(__xludf.DUMMYFUNCTION("""COMPUTED_VALUE"""),"-")</f>
        <v>-</v>
      </c>
      <c r="O4973" s="24">
        <f t="shared" si="4"/>
        <v>0</v>
      </c>
      <c r="P4973" s="24"/>
      <c r="Q4973" s="24">
        <f t="shared" si="6"/>
        <v>0</v>
      </c>
      <c r="R4973" s="24">
        <f t="shared" si="7"/>
        <v>0</v>
      </c>
      <c r="S4973" s="24"/>
      <c r="T4973" s="24"/>
    </row>
    <row r="4974">
      <c r="A4974" s="12" t="s">
        <v>5061</v>
      </c>
      <c r="F4974" s="19">
        <f>IFERROR(__xludf.DUMMYFUNCTION("SPLIT(A4970, "" |"")"),4968.0)</f>
        <v>4968</v>
      </c>
      <c r="G4974" s="19">
        <f>IFERROR(__xludf.DUMMYFUNCTION("""COMPUTED_VALUE"""),0.00236)</f>
        <v>0.00236</v>
      </c>
      <c r="H4974" s="19" t="str">
        <f>IFERROR(__xludf.DUMMYFUNCTION("""COMPUTED_VALUE"""),"-")</f>
        <v>-</v>
      </c>
      <c r="I4974" s="19">
        <f>IFERROR(__xludf.DUMMYFUNCTION("""COMPUTED_VALUE"""),0.00222)</f>
        <v>0.00222</v>
      </c>
      <c r="J4974" s="19">
        <f>IFERROR(__xludf.DUMMYFUNCTION("""COMPUTED_VALUE"""),0.04746)</f>
        <v>0.04746</v>
      </c>
      <c r="K4974" s="19" t="str">
        <f>IFERROR(__xludf.DUMMYFUNCTION("""COMPUTED_VALUE"""),"-")</f>
        <v>-</v>
      </c>
      <c r="L4974" s="19" t="str">
        <f>IFERROR(__xludf.DUMMYFUNCTION("""COMPUTED_VALUE"""),"-")</f>
        <v>-</v>
      </c>
      <c r="O4974" s="24">
        <f t="shared" si="4"/>
        <v>0</v>
      </c>
      <c r="P4974" s="24"/>
      <c r="Q4974" s="24">
        <f t="shared" si="6"/>
        <v>0</v>
      </c>
      <c r="R4974" s="24">
        <f t="shared" si="7"/>
        <v>0</v>
      </c>
      <c r="S4974" s="24"/>
      <c r="T4974" s="24"/>
    </row>
    <row r="4975">
      <c r="A4975" s="12" t="s">
        <v>5062</v>
      </c>
      <c r="F4975" s="19">
        <f>IFERROR(__xludf.DUMMYFUNCTION("SPLIT(A4971, "" |"")"),4969.0)</f>
        <v>4969</v>
      </c>
      <c r="G4975" s="19">
        <f>IFERROR(__xludf.DUMMYFUNCTION("""COMPUTED_VALUE"""),0.00233)</f>
        <v>0.00233</v>
      </c>
      <c r="H4975" s="19" t="str">
        <f>IFERROR(__xludf.DUMMYFUNCTION("""COMPUTED_VALUE"""),"-")</f>
        <v>-</v>
      </c>
      <c r="I4975" s="19">
        <f>IFERROR(__xludf.DUMMYFUNCTION("""COMPUTED_VALUE"""),0.00219)</f>
        <v>0.00219</v>
      </c>
      <c r="J4975" s="19">
        <f>IFERROR(__xludf.DUMMYFUNCTION("""COMPUTED_VALUE"""),0.04156)</f>
        <v>0.04156</v>
      </c>
      <c r="K4975" s="19" t="str">
        <f>IFERROR(__xludf.DUMMYFUNCTION("""COMPUTED_VALUE"""),"-")</f>
        <v>-</v>
      </c>
      <c r="L4975" s="19" t="str">
        <f>IFERROR(__xludf.DUMMYFUNCTION("""COMPUTED_VALUE"""),"-")</f>
        <v>-</v>
      </c>
      <c r="O4975" s="24">
        <f t="shared" si="4"/>
        <v>0</v>
      </c>
      <c r="P4975" s="24"/>
      <c r="Q4975" s="24">
        <f t="shared" si="6"/>
        <v>0</v>
      </c>
      <c r="R4975" s="24">
        <f t="shared" si="7"/>
        <v>1</v>
      </c>
      <c r="S4975" s="24"/>
      <c r="T4975" s="24"/>
    </row>
    <row r="4976">
      <c r="A4976" s="12" t="s">
        <v>5063</v>
      </c>
      <c r="F4976" s="19">
        <f>IFERROR(__xludf.DUMMYFUNCTION("SPLIT(A4972, "" |"")"),4970.0)</f>
        <v>4970</v>
      </c>
      <c r="G4976" s="19">
        <f>IFERROR(__xludf.DUMMYFUNCTION("""COMPUTED_VALUE"""),0.00231)</f>
        <v>0.00231</v>
      </c>
      <c r="H4976" s="19" t="str">
        <f>IFERROR(__xludf.DUMMYFUNCTION("""COMPUTED_VALUE"""),"-")</f>
        <v>-</v>
      </c>
      <c r="I4976" s="19">
        <f>IFERROR(__xludf.DUMMYFUNCTION("""COMPUTED_VALUE"""),0.0022)</f>
        <v>0.0022</v>
      </c>
      <c r="J4976" s="19">
        <f>IFERROR(__xludf.DUMMYFUNCTION("""COMPUTED_VALUE"""),0.0464)</f>
        <v>0.0464</v>
      </c>
      <c r="K4976" s="19" t="str">
        <f>IFERROR(__xludf.DUMMYFUNCTION("""COMPUTED_VALUE"""),"-")</f>
        <v>-</v>
      </c>
      <c r="L4976" s="19" t="str">
        <f>IFERROR(__xludf.DUMMYFUNCTION("""COMPUTED_VALUE"""),"-")</f>
        <v>-</v>
      </c>
      <c r="O4976" s="24">
        <f t="shared" si="4"/>
        <v>0</v>
      </c>
      <c r="P4976" s="24"/>
      <c r="Q4976" s="24">
        <f t="shared" si="6"/>
        <v>0</v>
      </c>
      <c r="R4976" s="24">
        <f t="shared" si="7"/>
        <v>0</v>
      </c>
      <c r="S4976" s="24"/>
      <c r="T4976" s="24"/>
    </row>
    <row r="4977">
      <c r="A4977" s="12" t="s">
        <v>5064</v>
      </c>
      <c r="F4977" s="19">
        <f>IFERROR(__xludf.DUMMYFUNCTION("SPLIT(A4973, "" |"")"),4971.0)</f>
        <v>4971</v>
      </c>
      <c r="G4977" s="19">
        <f>IFERROR(__xludf.DUMMYFUNCTION("""COMPUTED_VALUE"""),0.00242)</f>
        <v>0.00242</v>
      </c>
      <c r="H4977" s="19" t="str">
        <f>IFERROR(__xludf.DUMMYFUNCTION("""COMPUTED_VALUE"""),"-")</f>
        <v>-</v>
      </c>
      <c r="I4977" s="19">
        <f>IFERROR(__xludf.DUMMYFUNCTION("""COMPUTED_VALUE"""),0.00225)</f>
        <v>0.00225</v>
      </c>
      <c r="J4977" s="19">
        <f>IFERROR(__xludf.DUMMYFUNCTION("""COMPUTED_VALUE"""),0.04747)</f>
        <v>0.04747</v>
      </c>
      <c r="K4977" s="19" t="str">
        <f>IFERROR(__xludf.DUMMYFUNCTION("""COMPUTED_VALUE"""),"-")</f>
        <v>-</v>
      </c>
      <c r="L4977" s="19" t="str">
        <f>IFERROR(__xludf.DUMMYFUNCTION("""COMPUTED_VALUE"""),"-")</f>
        <v>-</v>
      </c>
      <c r="O4977" s="24">
        <f t="shared" si="4"/>
        <v>0</v>
      </c>
      <c r="P4977" s="24"/>
      <c r="Q4977" s="24">
        <f t="shared" si="6"/>
        <v>0</v>
      </c>
      <c r="R4977" s="24">
        <f t="shared" si="7"/>
        <v>0</v>
      </c>
      <c r="S4977" s="24"/>
      <c r="T4977" s="24"/>
    </row>
    <row r="4978">
      <c r="A4978" s="12" t="s">
        <v>5065</v>
      </c>
      <c r="F4978" s="19">
        <f>IFERROR(__xludf.DUMMYFUNCTION("SPLIT(A4974, "" |"")"),4972.0)</f>
        <v>4972</v>
      </c>
      <c r="G4978" s="19">
        <f>IFERROR(__xludf.DUMMYFUNCTION("""COMPUTED_VALUE"""),0.00238)</f>
        <v>0.00238</v>
      </c>
      <c r="H4978" s="19" t="str">
        <f>IFERROR(__xludf.DUMMYFUNCTION("""COMPUTED_VALUE"""),"-")</f>
        <v>-</v>
      </c>
      <c r="I4978" s="19">
        <f>IFERROR(__xludf.DUMMYFUNCTION("""COMPUTED_VALUE"""),0.00221)</f>
        <v>0.00221</v>
      </c>
      <c r="J4978" s="19">
        <f>IFERROR(__xludf.DUMMYFUNCTION("""COMPUTED_VALUE"""),0.04744)</f>
        <v>0.04744</v>
      </c>
      <c r="K4978" s="19" t="str">
        <f>IFERROR(__xludf.DUMMYFUNCTION("""COMPUTED_VALUE"""),"-")</f>
        <v>-</v>
      </c>
      <c r="L4978" s="19" t="str">
        <f>IFERROR(__xludf.DUMMYFUNCTION("""COMPUTED_VALUE"""),"-")</f>
        <v>-</v>
      </c>
      <c r="O4978" s="24">
        <f t="shared" si="4"/>
        <v>0</v>
      </c>
      <c r="P4978" s="24"/>
      <c r="Q4978" s="24">
        <f t="shared" si="6"/>
        <v>0</v>
      </c>
      <c r="R4978" s="24">
        <f t="shared" si="7"/>
        <v>0</v>
      </c>
      <c r="S4978" s="24"/>
      <c r="T4978" s="24"/>
    </row>
    <row r="4979">
      <c r="A4979" s="12" t="s">
        <v>5066</v>
      </c>
      <c r="F4979" s="19">
        <f>IFERROR(__xludf.DUMMYFUNCTION("SPLIT(A4975, "" |"")"),4973.0)</f>
        <v>4973</v>
      </c>
      <c r="G4979" s="19">
        <f>IFERROR(__xludf.DUMMYFUNCTION("""COMPUTED_VALUE"""),0.00233)</f>
        <v>0.00233</v>
      </c>
      <c r="H4979" s="19" t="str">
        <f>IFERROR(__xludf.DUMMYFUNCTION("""COMPUTED_VALUE"""),"-")</f>
        <v>-</v>
      </c>
      <c r="I4979" s="19">
        <f>IFERROR(__xludf.DUMMYFUNCTION("""COMPUTED_VALUE"""),0.00221)</f>
        <v>0.00221</v>
      </c>
      <c r="J4979" s="19">
        <f>IFERROR(__xludf.DUMMYFUNCTION("""COMPUTED_VALUE"""),0.04747)</f>
        <v>0.04747</v>
      </c>
      <c r="K4979" s="19" t="str">
        <f>IFERROR(__xludf.DUMMYFUNCTION("""COMPUTED_VALUE"""),"-")</f>
        <v>-</v>
      </c>
      <c r="L4979" s="19" t="str">
        <f>IFERROR(__xludf.DUMMYFUNCTION("""COMPUTED_VALUE"""),"-")</f>
        <v>-</v>
      </c>
      <c r="O4979" s="24">
        <f t="shared" si="4"/>
        <v>0</v>
      </c>
      <c r="P4979" s="24"/>
      <c r="Q4979" s="24">
        <f t="shared" si="6"/>
        <v>0</v>
      </c>
      <c r="R4979" s="24">
        <f t="shared" si="7"/>
        <v>0</v>
      </c>
      <c r="S4979" s="24"/>
      <c r="T4979" s="24"/>
    </row>
    <row r="4980">
      <c r="A4980" s="12" t="s">
        <v>5067</v>
      </c>
      <c r="F4980" s="19">
        <f>IFERROR(__xludf.DUMMYFUNCTION("SPLIT(A4976, "" |"")"),4974.0)</f>
        <v>4974</v>
      </c>
      <c r="G4980" s="19">
        <f>IFERROR(__xludf.DUMMYFUNCTION("""COMPUTED_VALUE"""),0.00235)</f>
        <v>0.00235</v>
      </c>
      <c r="H4980" s="19" t="str">
        <f>IFERROR(__xludf.DUMMYFUNCTION("""COMPUTED_VALUE"""),"-")</f>
        <v>-</v>
      </c>
      <c r="I4980" s="19">
        <f>IFERROR(__xludf.DUMMYFUNCTION("""COMPUTED_VALUE"""),0.0022)</f>
        <v>0.0022</v>
      </c>
      <c r="J4980" s="19">
        <f>IFERROR(__xludf.DUMMYFUNCTION("""COMPUTED_VALUE"""),0.04664)</f>
        <v>0.04664</v>
      </c>
      <c r="K4980" s="19" t="str">
        <f>IFERROR(__xludf.DUMMYFUNCTION("""COMPUTED_VALUE"""),"-")</f>
        <v>-</v>
      </c>
      <c r="L4980" s="19" t="str">
        <f>IFERROR(__xludf.DUMMYFUNCTION("""COMPUTED_VALUE"""),"-")</f>
        <v>-</v>
      </c>
      <c r="O4980" s="24">
        <f t="shared" si="4"/>
        <v>0</v>
      </c>
      <c r="P4980" s="24"/>
      <c r="Q4980" s="24">
        <f t="shared" si="6"/>
        <v>0</v>
      </c>
      <c r="R4980" s="24">
        <f t="shared" si="7"/>
        <v>0</v>
      </c>
      <c r="S4980" s="24"/>
      <c r="T4980" s="24"/>
    </row>
    <row r="4981">
      <c r="A4981" s="12" t="s">
        <v>5068</v>
      </c>
      <c r="F4981" s="19">
        <f>IFERROR(__xludf.DUMMYFUNCTION("SPLIT(A4977, "" |"")"),4975.0)</f>
        <v>4975</v>
      </c>
      <c r="G4981" s="19">
        <f>IFERROR(__xludf.DUMMYFUNCTION("""COMPUTED_VALUE"""),0.0024)</f>
        <v>0.0024</v>
      </c>
      <c r="H4981" s="19" t="str">
        <f>IFERROR(__xludf.DUMMYFUNCTION("""COMPUTED_VALUE"""),"-")</f>
        <v>-</v>
      </c>
      <c r="I4981" s="19">
        <f>IFERROR(__xludf.DUMMYFUNCTION("""COMPUTED_VALUE"""),0.00229)</f>
        <v>0.00229</v>
      </c>
      <c r="J4981" s="19">
        <f>IFERROR(__xludf.DUMMYFUNCTION("""COMPUTED_VALUE"""),0.04747)</f>
        <v>0.04747</v>
      </c>
      <c r="K4981" s="19" t="str">
        <f>IFERROR(__xludf.DUMMYFUNCTION("""COMPUTED_VALUE"""),"-")</f>
        <v>-</v>
      </c>
      <c r="L4981" s="19" t="str">
        <f>IFERROR(__xludf.DUMMYFUNCTION("""COMPUTED_VALUE"""),"-")</f>
        <v>-</v>
      </c>
      <c r="O4981" s="24">
        <f t="shared" si="4"/>
        <v>0</v>
      </c>
      <c r="P4981" s="24"/>
      <c r="Q4981" s="24">
        <f t="shared" si="6"/>
        <v>0</v>
      </c>
      <c r="R4981" s="24">
        <f t="shared" si="7"/>
        <v>0</v>
      </c>
      <c r="S4981" s="24"/>
      <c r="T4981" s="24"/>
    </row>
    <row r="4982">
      <c r="A4982" s="12" t="s">
        <v>5069</v>
      </c>
      <c r="F4982" s="19">
        <f>IFERROR(__xludf.DUMMYFUNCTION("SPLIT(A4978, "" |"")"),4976.0)</f>
        <v>4976</v>
      </c>
      <c r="G4982" s="19">
        <f>IFERROR(__xludf.DUMMYFUNCTION("""COMPUTED_VALUE"""),0.00231)</f>
        <v>0.00231</v>
      </c>
      <c r="H4982" s="19" t="str">
        <f>IFERROR(__xludf.DUMMYFUNCTION("""COMPUTED_VALUE"""),"-")</f>
        <v>-</v>
      </c>
      <c r="I4982" s="19">
        <f>IFERROR(__xludf.DUMMYFUNCTION("""COMPUTED_VALUE"""),0.00217)</f>
        <v>0.00217</v>
      </c>
      <c r="J4982" s="19">
        <f>IFERROR(__xludf.DUMMYFUNCTION("""COMPUTED_VALUE"""),0.0449)</f>
        <v>0.0449</v>
      </c>
      <c r="K4982" s="19" t="str">
        <f>IFERROR(__xludf.DUMMYFUNCTION("""COMPUTED_VALUE"""),"-")</f>
        <v>-</v>
      </c>
      <c r="L4982" s="19" t="str">
        <f>IFERROR(__xludf.DUMMYFUNCTION("""COMPUTED_VALUE"""),"-")</f>
        <v>-</v>
      </c>
      <c r="O4982" s="24">
        <f t="shared" si="4"/>
        <v>0</v>
      </c>
      <c r="P4982" s="24"/>
      <c r="Q4982" s="24">
        <f t="shared" si="6"/>
        <v>0</v>
      </c>
      <c r="R4982" s="24">
        <f t="shared" si="7"/>
        <v>1</v>
      </c>
      <c r="S4982" s="24"/>
      <c r="T4982" s="24"/>
    </row>
    <row r="4983">
      <c r="A4983" s="12" t="s">
        <v>5070</v>
      </c>
      <c r="F4983" s="19">
        <f>IFERROR(__xludf.DUMMYFUNCTION("SPLIT(A4979, "" |"")"),4977.0)</f>
        <v>4977</v>
      </c>
      <c r="G4983" s="19">
        <f>IFERROR(__xludf.DUMMYFUNCTION("""COMPUTED_VALUE"""),0.00234)</f>
        <v>0.00234</v>
      </c>
      <c r="H4983" s="19" t="str">
        <f>IFERROR(__xludf.DUMMYFUNCTION("""COMPUTED_VALUE"""),"-")</f>
        <v>-</v>
      </c>
      <c r="I4983" s="19">
        <f>IFERROR(__xludf.DUMMYFUNCTION("""COMPUTED_VALUE"""),0.00221)</f>
        <v>0.00221</v>
      </c>
      <c r="J4983" s="19">
        <f>IFERROR(__xludf.DUMMYFUNCTION("""COMPUTED_VALUE"""),0.04734)</f>
        <v>0.04734</v>
      </c>
      <c r="K4983" s="19" t="str">
        <f>IFERROR(__xludf.DUMMYFUNCTION("""COMPUTED_VALUE"""),"-")</f>
        <v>-</v>
      </c>
      <c r="L4983" s="19" t="str">
        <f>IFERROR(__xludf.DUMMYFUNCTION("""COMPUTED_VALUE"""),"-")</f>
        <v>-</v>
      </c>
      <c r="O4983" s="24">
        <f t="shared" si="4"/>
        <v>0</v>
      </c>
      <c r="P4983" s="24"/>
      <c r="Q4983" s="24">
        <f t="shared" si="6"/>
        <v>0</v>
      </c>
      <c r="R4983" s="24">
        <f t="shared" si="7"/>
        <v>0</v>
      </c>
      <c r="S4983" s="24"/>
      <c r="T4983" s="24"/>
    </row>
    <row r="4984">
      <c r="A4984" s="12" t="s">
        <v>5071</v>
      </c>
      <c r="F4984" s="19">
        <f>IFERROR(__xludf.DUMMYFUNCTION("SPLIT(A4980, "" |"")"),4978.0)</f>
        <v>4978</v>
      </c>
      <c r="G4984" s="19">
        <f>IFERROR(__xludf.DUMMYFUNCTION("""COMPUTED_VALUE"""),0.00226)</f>
        <v>0.00226</v>
      </c>
      <c r="H4984" s="19" t="str">
        <f>IFERROR(__xludf.DUMMYFUNCTION("""COMPUTED_VALUE"""),"-")</f>
        <v>-</v>
      </c>
      <c r="I4984" s="19">
        <f>IFERROR(__xludf.DUMMYFUNCTION("""COMPUTED_VALUE"""),0.0022)</f>
        <v>0.0022</v>
      </c>
      <c r="J4984" s="19">
        <f>IFERROR(__xludf.DUMMYFUNCTION("""COMPUTED_VALUE"""),0.04738)</f>
        <v>0.04738</v>
      </c>
      <c r="K4984" s="19" t="str">
        <f>IFERROR(__xludf.DUMMYFUNCTION("""COMPUTED_VALUE"""),"-")</f>
        <v>-</v>
      </c>
      <c r="L4984" s="19" t="str">
        <f>IFERROR(__xludf.DUMMYFUNCTION("""COMPUTED_VALUE"""),"-")</f>
        <v>-</v>
      </c>
      <c r="O4984" s="24">
        <f t="shared" si="4"/>
        <v>0</v>
      </c>
      <c r="P4984" s="24"/>
      <c r="Q4984" s="24">
        <f t="shared" si="6"/>
        <v>0</v>
      </c>
      <c r="R4984" s="24">
        <f t="shared" si="7"/>
        <v>0</v>
      </c>
      <c r="S4984" s="24"/>
      <c r="T4984" s="24"/>
    </row>
    <row r="4985">
      <c r="A4985" s="12" t="s">
        <v>5072</v>
      </c>
      <c r="F4985" s="19">
        <f>IFERROR(__xludf.DUMMYFUNCTION("SPLIT(A4981, "" |"")"),4979.0)</f>
        <v>4979</v>
      </c>
      <c r="G4985" s="19">
        <f>IFERROR(__xludf.DUMMYFUNCTION("""COMPUTED_VALUE"""),0.00237)</f>
        <v>0.00237</v>
      </c>
      <c r="H4985" s="19" t="str">
        <f>IFERROR(__xludf.DUMMYFUNCTION("""COMPUTED_VALUE"""),"-")</f>
        <v>-</v>
      </c>
      <c r="I4985" s="19">
        <f>IFERROR(__xludf.DUMMYFUNCTION("""COMPUTED_VALUE"""),0.00216)</f>
        <v>0.00216</v>
      </c>
      <c r="J4985" s="19">
        <f>IFERROR(__xludf.DUMMYFUNCTION("""COMPUTED_VALUE"""),0.04094)</f>
        <v>0.04094</v>
      </c>
      <c r="K4985" s="19" t="str">
        <f>IFERROR(__xludf.DUMMYFUNCTION("""COMPUTED_VALUE"""),"-")</f>
        <v>-</v>
      </c>
      <c r="L4985" s="19" t="str">
        <f>IFERROR(__xludf.DUMMYFUNCTION("""COMPUTED_VALUE"""),"-")</f>
        <v>-</v>
      </c>
      <c r="O4985" s="24">
        <f t="shared" si="4"/>
        <v>0</v>
      </c>
      <c r="P4985" s="24"/>
      <c r="Q4985" s="24">
        <f t="shared" si="6"/>
        <v>0</v>
      </c>
      <c r="R4985" s="24">
        <f t="shared" si="7"/>
        <v>1</v>
      </c>
      <c r="S4985" s="24"/>
      <c r="T4985" s="24"/>
    </row>
    <row r="4986">
      <c r="A4986" s="12" t="s">
        <v>5073</v>
      </c>
      <c r="F4986" s="19">
        <f>IFERROR(__xludf.DUMMYFUNCTION("SPLIT(A4982, "" |"")"),4980.0)</f>
        <v>4980</v>
      </c>
      <c r="G4986" s="19">
        <f>IFERROR(__xludf.DUMMYFUNCTION("""COMPUTED_VALUE"""),0.00221)</f>
        <v>0.00221</v>
      </c>
      <c r="H4986" s="19" t="str">
        <f>IFERROR(__xludf.DUMMYFUNCTION("""COMPUTED_VALUE"""),"-")</f>
        <v>-</v>
      </c>
      <c r="I4986" s="19">
        <f>IFERROR(__xludf.DUMMYFUNCTION("""COMPUTED_VALUE"""),0.00207)</f>
        <v>0.00207</v>
      </c>
      <c r="J4986" s="19">
        <f>IFERROR(__xludf.DUMMYFUNCTION("""COMPUTED_VALUE"""),0.04664)</f>
        <v>0.04664</v>
      </c>
      <c r="K4986" s="19" t="str">
        <f>IFERROR(__xludf.DUMMYFUNCTION("""COMPUTED_VALUE"""),"-")</f>
        <v>-</v>
      </c>
      <c r="L4986" s="19" t="str">
        <f>IFERROR(__xludf.DUMMYFUNCTION("""COMPUTED_VALUE"""),"-")</f>
        <v>-</v>
      </c>
      <c r="O4986" s="24">
        <f t="shared" si="4"/>
        <v>0</v>
      </c>
      <c r="P4986" s="24"/>
      <c r="Q4986" s="24">
        <f t="shared" si="6"/>
        <v>0</v>
      </c>
      <c r="R4986" s="24">
        <f t="shared" si="7"/>
        <v>0</v>
      </c>
      <c r="S4986" s="24"/>
      <c r="T4986" s="24"/>
    </row>
    <row r="4987">
      <c r="A4987" s="12" t="s">
        <v>5074</v>
      </c>
      <c r="F4987" s="19">
        <f>IFERROR(__xludf.DUMMYFUNCTION("SPLIT(A4983, "" |"")"),4981.0)</f>
        <v>4981</v>
      </c>
      <c r="G4987" s="19">
        <f>IFERROR(__xludf.DUMMYFUNCTION("""COMPUTED_VALUE"""),0.00236)</f>
        <v>0.00236</v>
      </c>
      <c r="H4987" s="19" t="str">
        <f>IFERROR(__xludf.DUMMYFUNCTION("""COMPUTED_VALUE"""),"-")</f>
        <v>-</v>
      </c>
      <c r="I4987" s="19">
        <f>IFERROR(__xludf.DUMMYFUNCTION("""COMPUTED_VALUE"""),0.00222)</f>
        <v>0.00222</v>
      </c>
      <c r="J4987" s="19">
        <f>IFERROR(__xludf.DUMMYFUNCTION("""COMPUTED_VALUE"""),0.04738)</f>
        <v>0.04738</v>
      </c>
      <c r="K4987" s="19" t="str">
        <f>IFERROR(__xludf.DUMMYFUNCTION("""COMPUTED_VALUE"""),"-")</f>
        <v>-</v>
      </c>
      <c r="L4987" s="19" t="str">
        <f>IFERROR(__xludf.DUMMYFUNCTION("""COMPUTED_VALUE"""),"-")</f>
        <v>-</v>
      </c>
      <c r="O4987" s="24">
        <f t="shared" si="4"/>
        <v>0</v>
      </c>
      <c r="P4987" s="24"/>
      <c r="Q4987" s="24">
        <f t="shared" si="6"/>
        <v>0</v>
      </c>
      <c r="R4987" s="24">
        <f t="shared" si="7"/>
        <v>0</v>
      </c>
      <c r="S4987" s="24"/>
      <c r="T4987" s="24"/>
    </row>
    <row r="4988">
      <c r="A4988" s="12" t="s">
        <v>5075</v>
      </c>
      <c r="F4988" s="19">
        <f>IFERROR(__xludf.DUMMYFUNCTION("SPLIT(A4984, "" |"")"),4982.0)</f>
        <v>4982</v>
      </c>
      <c r="G4988" s="19">
        <f>IFERROR(__xludf.DUMMYFUNCTION("""COMPUTED_VALUE"""),0.0023)</f>
        <v>0.0023</v>
      </c>
      <c r="H4988" s="19" t="str">
        <f>IFERROR(__xludf.DUMMYFUNCTION("""COMPUTED_VALUE"""),"-")</f>
        <v>-</v>
      </c>
      <c r="I4988" s="19">
        <f>IFERROR(__xludf.DUMMYFUNCTION("""COMPUTED_VALUE"""),0.00215)</f>
        <v>0.00215</v>
      </c>
      <c r="J4988" s="19">
        <f>IFERROR(__xludf.DUMMYFUNCTION("""COMPUTED_VALUE"""),0.04746)</f>
        <v>0.04746</v>
      </c>
      <c r="K4988" s="19" t="str">
        <f>IFERROR(__xludf.DUMMYFUNCTION("""COMPUTED_VALUE"""),"-")</f>
        <v>-</v>
      </c>
      <c r="L4988" s="19" t="str">
        <f>IFERROR(__xludf.DUMMYFUNCTION("""COMPUTED_VALUE"""),"-")</f>
        <v>-</v>
      </c>
      <c r="O4988" s="24">
        <f t="shared" si="4"/>
        <v>0</v>
      </c>
      <c r="P4988" s="24"/>
      <c r="Q4988" s="24">
        <f t="shared" si="6"/>
        <v>0</v>
      </c>
      <c r="R4988" s="24">
        <f t="shared" si="7"/>
        <v>0</v>
      </c>
      <c r="S4988" s="24"/>
      <c r="T4988" s="24"/>
    </row>
    <row r="4989">
      <c r="A4989" s="12" t="s">
        <v>5076</v>
      </c>
      <c r="F4989" s="19">
        <f>IFERROR(__xludf.DUMMYFUNCTION("SPLIT(A4985, "" |"")"),4983.0)</f>
        <v>4983</v>
      </c>
      <c r="G4989" s="19">
        <f>IFERROR(__xludf.DUMMYFUNCTION("""COMPUTED_VALUE"""),0.00237)</f>
        <v>0.00237</v>
      </c>
      <c r="H4989" s="19" t="str">
        <f>IFERROR(__xludf.DUMMYFUNCTION("""COMPUTED_VALUE"""),"-")</f>
        <v>-</v>
      </c>
      <c r="I4989" s="19">
        <f>IFERROR(__xludf.DUMMYFUNCTION("""COMPUTED_VALUE"""),0.00222)</f>
        <v>0.00222</v>
      </c>
      <c r="J4989" s="19">
        <f>IFERROR(__xludf.DUMMYFUNCTION("""COMPUTED_VALUE"""),0.04741)</f>
        <v>0.04741</v>
      </c>
      <c r="K4989" s="19" t="str">
        <f>IFERROR(__xludf.DUMMYFUNCTION("""COMPUTED_VALUE"""),"-")</f>
        <v>-</v>
      </c>
      <c r="L4989" s="19" t="str">
        <f>IFERROR(__xludf.DUMMYFUNCTION("""COMPUTED_VALUE"""),"-")</f>
        <v>-</v>
      </c>
      <c r="O4989" s="24">
        <f t="shared" si="4"/>
        <v>0</v>
      </c>
      <c r="P4989" s="24"/>
      <c r="Q4989" s="24">
        <f t="shared" si="6"/>
        <v>0</v>
      </c>
      <c r="R4989" s="24">
        <f t="shared" si="7"/>
        <v>0</v>
      </c>
      <c r="S4989" s="24"/>
      <c r="T4989" s="24"/>
    </row>
    <row r="4990">
      <c r="A4990" s="12" t="s">
        <v>5077</v>
      </c>
      <c r="F4990" s="19">
        <f>IFERROR(__xludf.DUMMYFUNCTION("SPLIT(A4986, "" |"")"),4984.0)</f>
        <v>4984</v>
      </c>
      <c r="G4990" s="19">
        <f>IFERROR(__xludf.DUMMYFUNCTION("""COMPUTED_VALUE"""),0.00236)</f>
        <v>0.00236</v>
      </c>
      <c r="H4990" s="19" t="str">
        <f>IFERROR(__xludf.DUMMYFUNCTION("""COMPUTED_VALUE"""),"-")</f>
        <v>-</v>
      </c>
      <c r="I4990" s="19">
        <f>IFERROR(__xludf.DUMMYFUNCTION("""COMPUTED_VALUE"""),0.00218)</f>
        <v>0.00218</v>
      </c>
      <c r="J4990" s="19">
        <f>IFERROR(__xludf.DUMMYFUNCTION("""COMPUTED_VALUE"""),0.04746)</f>
        <v>0.04746</v>
      </c>
      <c r="K4990" s="19" t="str">
        <f>IFERROR(__xludf.DUMMYFUNCTION("""COMPUTED_VALUE"""),"-")</f>
        <v>-</v>
      </c>
      <c r="L4990" s="19" t="str">
        <f>IFERROR(__xludf.DUMMYFUNCTION("""COMPUTED_VALUE"""),"-")</f>
        <v>-</v>
      </c>
      <c r="O4990" s="24">
        <f t="shared" si="4"/>
        <v>0</v>
      </c>
      <c r="P4990" s="24"/>
      <c r="Q4990" s="24">
        <f t="shared" si="6"/>
        <v>0</v>
      </c>
      <c r="R4990" s="24">
        <f t="shared" si="7"/>
        <v>0</v>
      </c>
      <c r="S4990" s="24"/>
      <c r="T4990" s="24"/>
    </row>
    <row r="4991">
      <c r="A4991" s="12" t="s">
        <v>5078</v>
      </c>
      <c r="F4991" s="19">
        <f>IFERROR(__xludf.DUMMYFUNCTION("SPLIT(A4987, "" |"")"),4985.0)</f>
        <v>4985</v>
      </c>
      <c r="G4991" s="19">
        <f>IFERROR(__xludf.DUMMYFUNCTION("""COMPUTED_VALUE"""),0.00234)</f>
        <v>0.00234</v>
      </c>
      <c r="H4991" s="19" t="str">
        <f>IFERROR(__xludf.DUMMYFUNCTION("""COMPUTED_VALUE"""),"-")</f>
        <v>-</v>
      </c>
      <c r="I4991" s="19">
        <f>IFERROR(__xludf.DUMMYFUNCTION("""COMPUTED_VALUE"""),0.0022)</f>
        <v>0.0022</v>
      </c>
      <c r="J4991" s="19">
        <f>IFERROR(__xludf.DUMMYFUNCTION("""COMPUTED_VALUE"""),0.04745)</f>
        <v>0.04745</v>
      </c>
      <c r="K4991" s="19" t="str">
        <f>IFERROR(__xludf.DUMMYFUNCTION("""COMPUTED_VALUE"""),"-")</f>
        <v>-</v>
      </c>
      <c r="L4991" s="19" t="str">
        <f>IFERROR(__xludf.DUMMYFUNCTION("""COMPUTED_VALUE"""),"-")</f>
        <v>-</v>
      </c>
      <c r="O4991" s="24">
        <f t="shared" si="4"/>
        <v>0</v>
      </c>
      <c r="P4991" s="24"/>
      <c r="Q4991" s="24">
        <f t="shared" si="6"/>
        <v>0</v>
      </c>
      <c r="R4991" s="24">
        <f t="shared" si="7"/>
        <v>0</v>
      </c>
      <c r="S4991" s="24"/>
      <c r="T4991" s="24"/>
    </row>
    <row r="4992">
      <c r="A4992" s="12" t="s">
        <v>5079</v>
      </c>
      <c r="F4992" s="19">
        <f>IFERROR(__xludf.DUMMYFUNCTION("SPLIT(A4988, "" |"")"),4986.0)</f>
        <v>4986</v>
      </c>
      <c r="G4992" s="19">
        <f>IFERROR(__xludf.DUMMYFUNCTION("""COMPUTED_VALUE"""),0.00236)</f>
        <v>0.00236</v>
      </c>
      <c r="H4992" s="19" t="str">
        <f>IFERROR(__xludf.DUMMYFUNCTION("""COMPUTED_VALUE"""),"-")</f>
        <v>-</v>
      </c>
      <c r="I4992" s="19">
        <f>IFERROR(__xludf.DUMMYFUNCTION("""COMPUTED_VALUE"""),0.00223)</f>
        <v>0.00223</v>
      </c>
      <c r="J4992" s="19">
        <f>IFERROR(__xludf.DUMMYFUNCTION("""COMPUTED_VALUE"""),0.04744)</f>
        <v>0.04744</v>
      </c>
      <c r="K4992" s="19" t="str">
        <f>IFERROR(__xludf.DUMMYFUNCTION("""COMPUTED_VALUE"""),"-")</f>
        <v>-</v>
      </c>
      <c r="L4992" s="19" t="str">
        <f>IFERROR(__xludf.DUMMYFUNCTION("""COMPUTED_VALUE"""),"-")</f>
        <v>-</v>
      </c>
      <c r="O4992" s="24">
        <f t="shared" si="4"/>
        <v>0</v>
      </c>
      <c r="P4992" s="24"/>
      <c r="Q4992" s="24">
        <f t="shared" si="6"/>
        <v>0</v>
      </c>
      <c r="R4992" s="24">
        <f t="shared" si="7"/>
        <v>0</v>
      </c>
      <c r="S4992" s="24"/>
      <c r="T4992" s="24"/>
    </row>
    <row r="4993">
      <c r="A4993" s="12" t="s">
        <v>5080</v>
      </c>
      <c r="F4993" s="19">
        <f>IFERROR(__xludf.DUMMYFUNCTION("SPLIT(A4989, "" |"")"),4987.0)</f>
        <v>4987</v>
      </c>
      <c r="G4993" s="19">
        <f>IFERROR(__xludf.DUMMYFUNCTION("""COMPUTED_VALUE"""),0.0024)</f>
        <v>0.0024</v>
      </c>
      <c r="H4993" s="19" t="str">
        <f>IFERROR(__xludf.DUMMYFUNCTION("""COMPUTED_VALUE"""),"-")</f>
        <v>-</v>
      </c>
      <c r="I4993" s="19">
        <f>IFERROR(__xludf.DUMMYFUNCTION("""COMPUTED_VALUE"""),0.00218)</f>
        <v>0.00218</v>
      </c>
      <c r="J4993" s="19">
        <f>IFERROR(__xludf.DUMMYFUNCTION("""COMPUTED_VALUE"""),0.04742)</f>
        <v>0.04742</v>
      </c>
      <c r="K4993" s="19" t="str">
        <f>IFERROR(__xludf.DUMMYFUNCTION("""COMPUTED_VALUE"""),"-")</f>
        <v>-</v>
      </c>
      <c r="L4993" s="19" t="str">
        <f>IFERROR(__xludf.DUMMYFUNCTION("""COMPUTED_VALUE"""),"-")</f>
        <v>-</v>
      </c>
      <c r="O4993" s="24">
        <f t="shared" si="4"/>
        <v>0</v>
      </c>
      <c r="P4993" s="24"/>
      <c r="Q4993" s="24">
        <f t="shared" si="6"/>
        <v>0</v>
      </c>
      <c r="R4993" s="24">
        <f t="shared" si="7"/>
        <v>0</v>
      </c>
      <c r="S4993" s="24"/>
      <c r="T4993" s="24"/>
    </row>
    <row r="4994">
      <c r="A4994" s="12" t="s">
        <v>5081</v>
      </c>
      <c r="F4994" s="19">
        <f>IFERROR(__xludf.DUMMYFUNCTION("SPLIT(A4990, "" |"")"),4988.0)</f>
        <v>4988</v>
      </c>
      <c r="G4994" s="19">
        <f>IFERROR(__xludf.DUMMYFUNCTION("""COMPUTED_VALUE"""),0.00234)</f>
        <v>0.00234</v>
      </c>
      <c r="H4994" s="19" t="str">
        <f>IFERROR(__xludf.DUMMYFUNCTION("""COMPUTED_VALUE"""),"-")</f>
        <v>-</v>
      </c>
      <c r="I4994" s="19">
        <f>IFERROR(__xludf.DUMMYFUNCTION("""COMPUTED_VALUE"""),0.00222)</f>
        <v>0.00222</v>
      </c>
      <c r="J4994" s="19">
        <f>IFERROR(__xludf.DUMMYFUNCTION("""COMPUTED_VALUE"""),0.0455)</f>
        <v>0.0455</v>
      </c>
      <c r="K4994" s="19" t="str">
        <f>IFERROR(__xludf.DUMMYFUNCTION("""COMPUTED_VALUE"""),"-")</f>
        <v>-</v>
      </c>
      <c r="L4994" s="19" t="str">
        <f>IFERROR(__xludf.DUMMYFUNCTION("""COMPUTED_VALUE"""),"-")</f>
        <v>-</v>
      </c>
      <c r="O4994" s="24">
        <f t="shared" si="4"/>
        <v>0</v>
      </c>
      <c r="P4994" s="24"/>
      <c r="Q4994" s="24">
        <f t="shared" si="6"/>
        <v>0</v>
      </c>
      <c r="R4994" s="24">
        <f t="shared" si="7"/>
        <v>0</v>
      </c>
      <c r="S4994" s="24"/>
      <c r="T4994" s="24"/>
    </row>
    <row r="4995">
      <c r="A4995" s="12" t="s">
        <v>5082</v>
      </c>
      <c r="F4995" s="19">
        <f>IFERROR(__xludf.DUMMYFUNCTION("SPLIT(A4991, "" |"")"),4989.0)</f>
        <v>4989</v>
      </c>
      <c r="G4995" s="19">
        <f>IFERROR(__xludf.DUMMYFUNCTION("""COMPUTED_VALUE"""),0.00235)</f>
        <v>0.00235</v>
      </c>
      <c r="H4995" s="19" t="str">
        <f>IFERROR(__xludf.DUMMYFUNCTION("""COMPUTED_VALUE"""),"-")</f>
        <v>-</v>
      </c>
      <c r="I4995" s="19">
        <f>IFERROR(__xludf.DUMMYFUNCTION("""COMPUTED_VALUE"""),0.00223)</f>
        <v>0.00223</v>
      </c>
      <c r="J4995" s="19">
        <f>IFERROR(__xludf.DUMMYFUNCTION("""COMPUTED_VALUE"""),0.04746)</f>
        <v>0.04746</v>
      </c>
      <c r="K4995" s="19" t="str">
        <f>IFERROR(__xludf.DUMMYFUNCTION("""COMPUTED_VALUE"""),"-")</f>
        <v>-</v>
      </c>
      <c r="L4995" s="19" t="str">
        <f>IFERROR(__xludf.DUMMYFUNCTION("""COMPUTED_VALUE"""),"-")</f>
        <v>-</v>
      </c>
      <c r="O4995" s="24">
        <f t="shared" si="4"/>
        <v>0</v>
      </c>
      <c r="P4995" s="24"/>
      <c r="Q4995" s="24">
        <f t="shared" si="6"/>
        <v>0</v>
      </c>
      <c r="R4995" s="24">
        <f t="shared" si="7"/>
        <v>0</v>
      </c>
      <c r="S4995" s="24"/>
      <c r="T4995" s="24"/>
    </row>
    <row r="4996">
      <c r="A4996" s="12" t="s">
        <v>5083</v>
      </c>
      <c r="F4996" s="19">
        <f>IFERROR(__xludf.DUMMYFUNCTION("SPLIT(A4992, "" |"")"),4990.0)</f>
        <v>4990</v>
      </c>
      <c r="G4996" s="19">
        <f>IFERROR(__xludf.DUMMYFUNCTION("""COMPUTED_VALUE"""),0.00241)</f>
        <v>0.00241</v>
      </c>
      <c r="H4996" s="19" t="str">
        <f>IFERROR(__xludf.DUMMYFUNCTION("""COMPUTED_VALUE"""),"-")</f>
        <v>-</v>
      </c>
      <c r="I4996" s="19">
        <f>IFERROR(__xludf.DUMMYFUNCTION("""COMPUTED_VALUE"""),0.00222)</f>
        <v>0.00222</v>
      </c>
      <c r="J4996" s="19">
        <f>IFERROR(__xludf.DUMMYFUNCTION("""COMPUTED_VALUE"""),0.04741)</f>
        <v>0.04741</v>
      </c>
      <c r="K4996" s="19" t="str">
        <f>IFERROR(__xludf.DUMMYFUNCTION("""COMPUTED_VALUE"""),"-")</f>
        <v>-</v>
      </c>
      <c r="L4996" s="19" t="str">
        <f>IFERROR(__xludf.DUMMYFUNCTION("""COMPUTED_VALUE"""),"-")</f>
        <v>-</v>
      </c>
      <c r="O4996" s="24">
        <f t="shared" si="4"/>
        <v>0</v>
      </c>
      <c r="P4996" s="24"/>
      <c r="Q4996" s="24">
        <f t="shared" si="6"/>
        <v>0</v>
      </c>
      <c r="R4996" s="24">
        <f t="shared" si="7"/>
        <v>0</v>
      </c>
      <c r="S4996" s="24"/>
      <c r="T4996" s="24"/>
    </row>
    <row r="4997">
      <c r="A4997" s="12" t="s">
        <v>5084</v>
      </c>
      <c r="F4997" s="19">
        <f>IFERROR(__xludf.DUMMYFUNCTION("SPLIT(A4993, "" |"")"),4991.0)</f>
        <v>4991</v>
      </c>
      <c r="G4997" s="19">
        <f>IFERROR(__xludf.DUMMYFUNCTION("""COMPUTED_VALUE"""),0.00239)</f>
        <v>0.00239</v>
      </c>
      <c r="H4997" s="19" t="str">
        <f>IFERROR(__xludf.DUMMYFUNCTION("""COMPUTED_VALUE"""),"-")</f>
        <v>-</v>
      </c>
      <c r="I4997" s="19">
        <f>IFERROR(__xludf.DUMMYFUNCTION("""COMPUTED_VALUE"""),0.00216)</f>
        <v>0.00216</v>
      </c>
      <c r="J4997" s="19">
        <f>IFERROR(__xludf.DUMMYFUNCTION("""COMPUTED_VALUE"""),0.04743)</f>
        <v>0.04743</v>
      </c>
      <c r="K4997" s="19" t="str">
        <f>IFERROR(__xludf.DUMMYFUNCTION("""COMPUTED_VALUE"""),"-")</f>
        <v>-</v>
      </c>
      <c r="L4997" s="19" t="str">
        <f>IFERROR(__xludf.DUMMYFUNCTION("""COMPUTED_VALUE"""),"-")</f>
        <v>-</v>
      </c>
      <c r="O4997" s="24">
        <f t="shared" si="4"/>
        <v>0</v>
      </c>
      <c r="P4997" s="24"/>
      <c r="Q4997" s="24">
        <f t="shared" si="6"/>
        <v>0</v>
      </c>
      <c r="R4997" s="24">
        <f t="shared" si="7"/>
        <v>0</v>
      </c>
      <c r="S4997" s="24"/>
      <c r="T4997" s="24"/>
    </row>
    <row r="4998">
      <c r="A4998" s="12" t="s">
        <v>5085</v>
      </c>
      <c r="F4998" s="19">
        <f>IFERROR(__xludf.DUMMYFUNCTION("SPLIT(A4994, "" |"")"),4992.0)</f>
        <v>4992</v>
      </c>
      <c r="G4998" s="19">
        <f>IFERROR(__xludf.DUMMYFUNCTION("""COMPUTED_VALUE"""),0.00237)</f>
        <v>0.00237</v>
      </c>
      <c r="H4998" s="19" t="str">
        <f>IFERROR(__xludf.DUMMYFUNCTION("""COMPUTED_VALUE"""),"-")</f>
        <v>-</v>
      </c>
      <c r="I4998" s="19">
        <f>IFERROR(__xludf.DUMMYFUNCTION("""COMPUTED_VALUE"""),0.00225)</f>
        <v>0.00225</v>
      </c>
      <c r="J4998" s="19">
        <f>IFERROR(__xludf.DUMMYFUNCTION("""COMPUTED_VALUE"""),0.04747)</f>
        <v>0.04747</v>
      </c>
      <c r="K4998" s="19" t="str">
        <f>IFERROR(__xludf.DUMMYFUNCTION("""COMPUTED_VALUE"""),"-")</f>
        <v>-</v>
      </c>
      <c r="L4998" s="19" t="str">
        <f>IFERROR(__xludf.DUMMYFUNCTION("""COMPUTED_VALUE"""),"-")</f>
        <v>-</v>
      </c>
      <c r="O4998" s="24">
        <f t="shared" si="4"/>
        <v>0</v>
      </c>
      <c r="P4998" s="24"/>
      <c r="Q4998" s="24">
        <f t="shared" si="6"/>
        <v>0</v>
      </c>
      <c r="R4998" s="24">
        <f t="shared" si="7"/>
        <v>0</v>
      </c>
      <c r="S4998" s="24"/>
      <c r="T4998" s="24"/>
    </row>
    <row r="4999">
      <c r="A4999" s="12" t="s">
        <v>5086</v>
      </c>
      <c r="F4999" s="19">
        <f>IFERROR(__xludf.DUMMYFUNCTION("SPLIT(A4995, "" |"")"),4993.0)</f>
        <v>4993</v>
      </c>
      <c r="G4999" s="19">
        <f>IFERROR(__xludf.DUMMYFUNCTION("""COMPUTED_VALUE"""),0.00233)</f>
        <v>0.00233</v>
      </c>
      <c r="H4999" s="19" t="str">
        <f>IFERROR(__xludf.DUMMYFUNCTION("""COMPUTED_VALUE"""),"-")</f>
        <v>-</v>
      </c>
      <c r="I4999" s="19">
        <f>IFERROR(__xludf.DUMMYFUNCTION("""COMPUTED_VALUE"""),0.00222)</f>
        <v>0.00222</v>
      </c>
      <c r="J4999" s="19">
        <f>IFERROR(__xludf.DUMMYFUNCTION("""COMPUTED_VALUE"""),0.04735)</f>
        <v>0.04735</v>
      </c>
      <c r="K4999" s="19" t="str">
        <f>IFERROR(__xludf.DUMMYFUNCTION("""COMPUTED_VALUE"""),"-")</f>
        <v>-</v>
      </c>
      <c r="L4999" s="19" t="str">
        <f>IFERROR(__xludf.DUMMYFUNCTION("""COMPUTED_VALUE"""),"-")</f>
        <v>-</v>
      </c>
      <c r="O4999" s="24">
        <f t="shared" si="4"/>
        <v>0</v>
      </c>
      <c r="P4999" s="24"/>
      <c r="Q4999" s="24">
        <f t="shared" si="6"/>
        <v>0</v>
      </c>
      <c r="R4999" s="24">
        <f t="shared" si="7"/>
        <v>0</v>
      </c>
      <c r="S4999" s="24"/>
      <c r="T4999" s="24"/>
    </row>
    <row r="5000">
      <c r="A5000" s="12" t="s">
        <v>5087</v>
      </c>
      <c r="F5000" s="19">
        <f>IFERROR(__xludf.DUMMYFUNCTION("SPLIT(A4996, "" |"")"),4994.0)</f>
        <v>4994</v>
      </c>
      <c r="G5000" s="19">
        <f>IFERROR(__xludf.DUMMYFUNCTION("""COMPUTED_VALUE"""),0.00231)</f>
        <v>0.00231</v>
      </c>
      <c r="H5000" s="19" t="str">
        <f>IFERROR(__xludf.DUMMYFUNCTION("""COMPUTED_VALUE"""),"-")</f>
        <v>-</v>
      </c>
      <c r="I5000" s="19">
        <f>IFERROR(__xludf.DUMMYFUNCTION("""COMPUTED_VALUE"""),0.00221)</f>
        <v>0.00221</v>
      </c>
      <c r="J5000" s="19">
        <f>IFERROR(__xludf.DUMMYFUNCTION("""COMPUTED_VALUE"""),0.04746)</f>
        <v>0.04746</v>
      </c>
      <c r="K5000" s="19" t="str">
        <f>IFERROR(__xludf.DUMMYFUNCTION("""COMPUTED_VALUE"""),"-")</f>
        <v>-</v>
      </c>
      <c r="L5000" s="19" t="str">
        <f>IFERROR(__xludf.DUMMYFUNCTION("""COMPUTED_VALUE"""),"-")</f>
        <v>-</v>
      </c>
      <c r="O5000" s="24">
        <f t="shared" si="4"/>
        <v>0</v>
      </c>
      <c r="P5000" s="24"/>
      <c r="Q5000" s="24">
        <f t="shared" si="6"/>
        <v>0</v>
      </c>
      <c r="R5000" s="24">
        <f t="shared" si="7"/>
        <v>0</v>
      </c>
      <c r="S5000" s="24"/>
      <c r="T5000" s="24"/>
    </row>
    <row r="5001">
      <c r="A5001" s="12" t="s">
        <v>5088</v>
      </c>
      <c r="F5001" s="19">
        <f>IFERROR(__xludf.DUMMYFUNCTION("SPLIT(A4997, "" |"")"),4995.0)</f>
        <v>4995</v>
      </c>
      <c r="G5001" s="19">
        <f>IFERROR(__xludf.DUMMYFUNCTION("""COMPUTED_VALUE"""),0.00235)</f>
        <v>0.00235</v>
      </c>
      <c r="H5001" s="19" t="str">
        <f>IFERROR(__xludf.DUMMYFUNCTION("""COMPUTED_VALUE"""),"-")</f>
        <v>-</v>
      </c>
      <c r="I5001" s="19">
        <f>IFERROR(__xludf.DUMMYFUNCTION("""COMPUTED_VALUE"""),0.00221)</f>
        <v>0.00221</v>
      </c>
      <c r="J5001" s="19">
        <f>IFERROR(__xludf.DUMMYFUNCTION("""COMPUTED_VALUE"""),0.04744)</f>
        <v>0.04744</v>
      </c>
      <c r="K5001" s="19" t="str">
        <f>IFERROR(__xludf.DUMMYFUNCTION("""COMPUTED_VALUE"""),"-")</f>
        <v>-</v>
      </c>
      <c r="L5001" s="19" t="str">
        <f>IFERROR(__xludf.DUMMYFUNCTION("""COMPUTED_VALUE"""),"-")</f>
        <v>-</v>
      </c>
      <c r="O5001" s="24">
        <f t="shared" si="4"/>
        <v>0</v>
      </c>
      <c r="P5001" s="24"/>
      <c r="Q5001" s="24">
        <f t="shared" si="6"/>
        <v>0</v>
      </c>
      <c r="R5001" s="24">
        <f t="shared" si="7"/>
        <v>0</v>
      </c>
      <c r="S5001" s="24"/>
      <c r="T5001" s="24"/>
    </row>
    <row r="5002">
      <c r="A5002" s="12" t="s">
        <v>5089</v>
      </c>
      <c r="F5002" s="19">
        <f>IFERROR(__xludf.DUMMYFUNCTION("SPLIT(A4998, "" |"")"),4996.0)</f>
        <v>4996</v>
      </c>
      <c r="G5002" s="19">
        <f>IFERROR(__xludf.DUMMYFUNCTION("""COMPUTED_VALUE"""),0.00227)</f>
        <v>0.00227</v>
      </c>
      <c r="H5002" s="19" t="str">
        <f>IFERROR(__xludf.DUMMYFUNCTION("""COMPUTED_VALUE"""),"-")</f>
        <v>-</v>
      </c>
      <c r="I5002" s="19">
        <f>IFERROR(__xludf.DUMMYFUNCTION("""COMPUTED_VALUE"""),0.00216)</f>
        <v>0.00216</v>
      </c>
      <c r="J5002" s="19">
        <f>IFERROR(__xludf.DUMMYFUNCTION("""COMPUTED_VALUE"""),0.04748)</f>
        <v>0.04748</v>
      </c>
      <c r="K5002" s="19" t="str">
        <f>IFERROR(__xludf.DUMMYFUNCTION("""COMPUTED_VALUE"""),"-")</f>
        <v>-</v>
      </c>
      <c r="L5002" s="19" t="str">
        <f>IFERROR(__xludf.DUMMYFUNCTION("""COMPUTED_VALUE"""),"-")</f>
        <v>-</v>
      </c>
      <c r="O5002" s="24">
        <f t="shared" si="4"/>
        <v>0</v>
      </c>
      <c r="P5002" s="24"/>
      <c r="Q5002" s="24">
        <f t="shared" si="6"/>
        <v>0</v>
      </c>
      <c r="R5002" s="24">
        <f t="shared" si="7"/>
        <v>0</v>
      </c>
      <c r="S5002" s="24"/>
      <c r="T5002" s="24"/>
    </row>
    <row r="5003">
      <c r="A5003" s="12" t="s">
        <v>5090</v>
      </c>
      <c r="F5003" s="19">
        <f>IFERROR(__xludf.DUMMYFUNCTION("SPLIT(A4999, "" |"")"),4997.0)</f>
        <v>4997</v>
      </c>
      <c r="G5003" s="19">
        <f>IFERROR(__xludf.DUMMYFUNCTION("""COMPUTED_VALUE"""),0.00233)</f>
        <v>0.00233</v>
      </c>
      <c r="H5003" s="19" t="str">
        <f>IFERROR(__xludf.DUMMYFUNCTION("""COMPUTED_VALUE"""),"-")</f>
        <v>-</v>
      </c>
      <c r="I5003" s="19">
        <f>IFERROR(__xludf.DUMMYFUNCTION("""COMPUTED_VALUE"""),0.00223)</f>
        <v>0.00223</v>
      </c>
      <c r="J5003" s="19">
        <f>IFERROR(__xludf.DUMMYFUNCTION("""COMPUTED_VALUE"""),0.04746)</f>
        <v>0.04746</v>
      </c>
      <c r="K5003" s="19" t="str">
        <f>IFERROR(__xludf.DUMMYFUNCTION("""COMPUTED_VALUE"""),"-")</f>
        <v>-</v>
      </c>
      <c r="L5003" s="19" t="str">
        <f>IFERROR(__xludf.DUMMYFUNCTION("""COMPUTED_VALUE"""),"-")</f>
        <v>-</v>
      </c>
      <c r="O5003" s="24">
        <f t="shared" si="4"/>
        <v>0</v>
      </c>
      <c r="P5003" s="24"/>
      <c r="Q5003" s="24">
        <f t="shared" si="6"/>
        <v>0</v>
      </c>
      <c r="R5003" s="24">
        <f t="shared" si="7"/>
        <v>0</v>
      </c>
      <c r="S5003" s="24"/>
      <c r="T5003" s="24"/>
    </row>
    <row r="5004">
      <c r="A5004" s="12" t="s">
        <v>5091</v>
      </c>
      <c r="F5004" s="19">
        <f>IFERROR(__xludf.DUMMYFUNCTION("SPLIT(A5000, "" |"")"),4998.0)</f>
        <v>4998</v>
      </c>
      <c r="G5004" s="19">
        <f>IFERROR(__xludf.DUMMYFUNCTION("""COMPUTED_VALUE"""),0.00238)</f>
        <v>0.00238</v>
      </c>
      <c r="H5004" s="19" t="str">
        <f>IFERROR(__xludf.DUMMYFUNCTION("""COMPUTED_VALUE"""),"-")</f>
        <v>-</v>
      </c>
      <c r="I5004" s="19">
        <f>IFERROR(__xludf.DUMMYFUNCTION("""COMPUTED_VALUE"""),0.00218)</f>
        <v>0.00218</v>
      </c>
      <c r="J5004" s="19">
        <f>IFERROR(__xludf.DUMMYFUNCTION("""COMPUTED_VALUE"""),0.04158)</f>
        <v>0.04158</v>
      </c>
      <c r="K5004" s="19" t="str">
        <f>IFERROR(__xludf.DUMMYFUNCTION("""COMPUTED_VALUE"""),"-")</f>
        <v>-</v>
      </c>
      <c r="L5004" s="19" t="str">
        <f>IFERROR(__xludf.DUMMYFUNCTION("""COMPUTED_VALUE"""),"-")</f>
        <v>-</v>
      </c>
      <c r="O5004" s="24">
        <f t="shared" si="4"/>
        <v>0</v>
      </c>
      <c r="P5004" s="24"/>
      <c r="Q5004" s="24">
        <f t="shared" si="6"/>
        <v>0</v>
      </c>
      <c r="R5004" s="24">
        <f t="shared" si="7"/>
        <v>1</v>
      </c>
      <c r="S5004" s="24"/>
      <c r="T5004" s="24"/>
    </row>
    <row r="5005">
      <c r="A5005" s="12" t="s">
        <v>5092</v>
      </c>
      <c r="F5005" s="19">
        <f>IFERROR(__xludf.DUMMYFUNCTION("SPLIT(A5001, "" |"")"),4999.0)</f>
        <v>4999</v>
      </c>
      <c r="G5005" s="19">
        <f>IFERROR(__xludf.DUMMYFUNCTION("""COMPUTED_VALUE"""),0.00229)</f>
        <v>0.00229</v>
      </c>
      <c r="H5005" s="19" t="str">
        <f>IFERROR(__xludf.DUMMYFUNCTION("""COMPUTED_VALUE"""),"-")</f>
        <v>-</v>
      </c>
      <c r="I5005" s="19">
        <f>IFERROR(__xludf.DUMMYFUNCTION("""COMPUTED_VALUE"""),0.00217)</f>
        <v>0.00217</v>
      </c>
      <c r="J5005" s="19">
        <f>IFERROR(__xludf.DUMMYFUNCTION("""COMPUTED_VALUE"""),0.0474)</f>
        <v>0.0474</v>
      </c>
      <c r="K5005" s="19" t="str">
        <f>IFERROR(__xludf.DUMMYFUNCTION("""COMPUTED_VALUE"""),"-")</f>
        <v>-</v>
      </c>
      <c r="L5005" s="19" t="str">
        <f>IFERROR(__xludf.DUMMYFUNCTION("""COMPUTED_VALUE"""),"-")</f>
        <v>-</v>
      </c>
      <c r="O5005" s="24">
        <f t="shared" si="4"/>
        <v>0</v>
      </c>
      <c r="P5005" s="24"/>
      <c r="Q5005" s="24">
        <f t="shared" si="6"/>
        <v>0</v>
      </c>
      <c r="R5005" s="24">
        <f t="shared" si="7"/>
        <v>0</v>
      </c>
      <c r="S5005" s="24"/>
      <c r="T5005" s="24"/>
    </row>
    <row r="5006">
      <c r="A5006" s="12" t="s">
        <v>5093</v>
      </c>
      <c r="F5006" s="19">
        <f>IFERROR(__xludf.DUMMYFUNCTION("SPLIT(A5002, "" |"")"),5000.0)</f>
        <v>5000</v>
      </c>
      <c r="G5006" s="19">
        <f>IFERROR(__xludf.DUMMYFUNCTION("""COMPUTED_VALUE"""),0.00233)</f>
        <v>0.00233</v>
      </c>
      <c r="H5006" s="19" t="str">
        <f>IFERROR(__xludf.DUMMYFUNCTION("""COMPUTED_VALUE"""),"-")</f>
        <v>-</v>
      </c>
      <c r="I5006" s="19">
        <f>IFERROR(__xludf.DUMMYFUNCTION("""COMPUTED_VALUE"""),0.00213)</f>
        <v>0.00213</v>
      </c>
      <c r="J5006" s="19">
        <f>IFERROR(__xludf.DUMMYFUNCTION("""COMPUTED_VALUE"""),0.04736)</f>
        <v>0.04736</v>
      </c>
      <c r="K5006" s="19" t="str">
        <f>IFERROR(__xludf.DUMMYFUNCTION("""COMPUTED_VALUE"""),"-")</f>
        <v>-</v>
      </c>
      <c r="L5006" s="19" t="str">
        <f>IFERROR(__xludf.DUMMYFUNCTION("""COMPUTED_VALUE"""),"-")</f>
        <v>-</v>
      </c>
      <c r="O5006" s="24">
        <f t="shared" si="4"/>
        <v>0</v>
      </c>
      <c r="P5006" s="24"/>
      <c r="Q5006" s="24">
        <f t="shared" si="6"/>
        <v>0</v>
      </c>
      <c r="R5006" s="24">
        <f t="shared" si="7"/>
        <v>0</v>
      </c>
      <c r="S5006" s="24"/>
      <c r="T5006" s="24"/>
    </row>
    <row r="5007">
      <c r="A5007" s="12" t="s">
        <v>5094</v>
      </c>
      <c r="F5007" s="19">
        <f>IFERROR(__xludf.DUMMYFUNCTION("SPLIT(A5003, "" |"")"),5001.0)</f>
        <v>5001</v>
      </c>
      <c r="G5007" s="19">
        <f>IFERROR(__xludf.DUMMYFUNCTION("""COMPUTED_VALUE"""),0.00237)</f>
        <v>0.00237</v>
      </c>
      <c r="H5007" s="19" t="str">
        <f>IFERROR(__xludf.DUMMYFUNCTION("""COMPUTED_VALUE"""),"-")</f>
        <v>-</v>
      </c>
      <c r="I5007" s="19">
        <f>IFERROR(__xludf.DUMMYFUNCTION("""COMPUTED_VALUE"""),0.00222)</f>
        <v>0.00222</v>
      </c>
      <c r="J5007" s="19">
        <f>IFERROR(__xludf.DUMMYFUNCTION("""COMPUTED_VALUE"""),0.04743)</f>
        <v>0.04743</v>
      </c>
      <c r="K5007" s="19" t="str">
        <f>IFERROR(__xludf.DUMMYFUNCTION("""COMPUTED_VALUE"""),"-")</f>
        <v>-</v>
      </c>
      <c r="L5007" s="19" t="str">
        <f>IFERROR(__xludf.DUMMYFUNCTION("""COMPUTED_VALUE"""),"-")</f>
        <v>-</v>
      </c>
      <c r="O5007" s="24">
        <f t="shared" si="4"/>
        <v>0</v>
      </c>
      <c r="P5007" s="24"/>
      <c r="Q5007" s="24">
        <f t="shared" si="6"/>
        <v>0</v>
      </c>
      <c r="R5007" s="24">
        <f t="shared" si="7"/>
        <v>0</v>
      </c>
      <c r="S5007" s="24"/>
      <c r="T5007" s="24"/>
    </row>
    <row r="5008">
      <c r="A5008" s="12" t="s">
        <v>5095</v>
      </c>
      <c r="F5008" s="19">
        <f>IFERROR(__xludf.DUMMYFUNCTION("SPLIT(A5004, "" |"")"),5002.0)</f>
        <v>5002</v>
      </c>
      <c r="G5008" s="19">
        <f>IFERROR(__xludf.DUMMYFUNCTION("""COMPUTED_VALUE"""),0.0024)</f>
        <v>0.0024</v>
      </c>
      <c r="H5008" s="19" t="str">
        <f>IFERROR(__xludf.DUMMYFUNCTION("""COMPUTED_VALUE"""),"-")</f>
        <v>-</v>
      </c>
      <c r="I5008" s="19">
        <f>IFERROR(__xludf.DUMMYFUNCTION("""COMPUTED_VALUE"""),0.00219)</f>
        <v>0.00219</v>
      </c>
      <c r="J5008" s="19">
        <f>IFERROR(__xludf.DUMMYFUNCTION("""COMPUTED_VALUE"""),0.04741)</f>
        <v>0.04741</v>
      </c>
      <c r="K5008" s="19" t="str">
        <f>IFERROR(__xludf.DUMMYFUNCTION("""COMPUTED_VALUE"""),"-")</f>
        <v>-</v>
      </c>
      <c r="L5008" s="19" t="str">
        <f>IFERROR(__xludf.DUMMYFUNCTION("""COMPUTED_VALUE"""),"-")</f>
        <v>-</v>
      </c>
      <c r="O5008" s="24">
        <f t="shared" si="4"/>
        <v>0</v>
      </c>
      <c r="P5008" s="24"/>
      <c r="Q5008" s="24">
        <f t="shared" si="6"/>
        <v>0</v>
      </c>
      <c r="R5008" s="24">
        <f t="shared" si="7"/>
        <v>0</v>
      </c>
      <c r="S5008" s="24"/>
      <c r="T5008" s="24"/>
    </row>
    <row r="5009">
      <c r="A5009" s="12" t="s">
        <v>5096</v>
      </c>
      <c r="F5009" s="19">
        <f>IFERROR(__xludf.DUMMYFUNCTION("SPLIT(A5005, "" |"")"),5003.0)</f>
        <v>5003</v>
      </c>
      <c r="G5009" s="19">
        <f>IFERROR(__xludf.DUMMYFUNCTION("""COMPUTED_VALUE"""),0.00245)</f>
        <v>0.00245</v>
      </c>
      <c r="H5009" s="19" t="str">
        <f>IFERROR(__xludf.DUMMYFUNCTION("""COMPUTED_VALUE"""),"-")</f>
        <v>-</v>
      </c>
      <c r="I5009" s="19">
        <f>IFERROR(__xludf.DUMMYFUNCTION("""COMPUTED_VALUE"""),0.00221)</f>
        <v>0.00221</v>
      </c>
      <c r="J5009" s="19">
        <f>IFERROR(__xludf.DUMMYFUNCTION("""COMPUTED_VALUE"""),0.04579)</f>
        <v>0.04579</v>
      </c>
      <c r="K5009" s="19" t="str">
        <f>IFERROR(__xludf.DUMMYFUNCTION("""COMPUTED_VALUE"""),"-")</f>
        <v>-</v>
      </c>
      <c r="L5009" s="19" t="str">
        <f>IFERROR(__xludf.DUMMYFUNCTION("""COMPUTED_VALUE"""),"-")</f>
        <v>-</v>
      </c>
      <c r="O5009" s="24">
        <f t="shared" si="4"/>
        <v>0</v>
      </c>
      <c r="P5009" s="24"/>
      <c r="Q5009" s="24">
        <f t="shared" si="6"/>
        <v>0</v>
      </c>
      <c r="R5009" s="24">
        <f t="shared" si="7"/>
        <v>0</v>
      </c>
      <c r="S5009" s="24"/>
      <c r="T5009" s="24"/>
    </row>
    <row r="5010">
      <c r="A5010" s="12" t="s">
        <v>5097</v>
      </c>
      <c r="F5010" s="19">
        <f>IFERROR(__xludf.DUMMYFUNCTION("SPLIT(A5006, "" |"")"),5004.0)</f>
        <v>5004</v>
      </c>
      <c r="G5010" s="19">
        <f>IFERROR(__xludf.DUMMYFUNCTION("""COMPUTED_VALUE"""),0.00231)</f>
        <v>0.00231</v>
      </c>
      <c r="H5010" s="19" t="str">
        <f>IFERROR(__xludf.DUMMYFUNCTION("""COMPUTED_VALUE"""),"-")</f>
        <v>-</v>
      </c>
      <c r="I5010" s="19">
        <f>IFERROR(__xludf.DUMMYFUNCTION("""COMPUTED_VALUE"""),0.0022)</f>
        <v>0.0022</v>
      </c>
      <c r="J5010" s="19">
        <f>IFERROR(__xludf.DUMMYFUNCTION("""COMPUTED_VALUE"""),0.04688)</f>
        <v>0.04688</v>
      </c>
      <c r="K5010" s="19" t="str">
        <f>IFERROR(__xludf.DUMMYFUNCTION("""COMPUTED_VALUE"""),"-")</f>
        <v>-</v>
      </c>
      <c r="L5010" s="19" t="str">
        <f>IFERROR(__xludf.DUMMYFUNCTION("""COMPUTED_VALUE"""),"-")</f>
        <v>-</v>
      </c>
      <c r="O5010" s="24">
        <f t="shared" si="4"/>
        <v>0</v>
      </c>
      <c r="P5010" s="24"/>
      <c r="Q5010" s="24">
        <f t="shared" si="6"/>
        <v>0</v>
      </c>
      <c r="R5010" s="24">
        <f t="shared" si="7"/>
        <v>0</v>
      </c>
      <c r="S5010" s="24"/>
      <c r="T5010" s="24"/>
    </row>
    <row r="5011">
      <c r="A5011" s="12" t="s">
        <v>5098</v>
      </c>
      <c r="F5011" s="19">
        <f>IFERROR(__xludf.DUMMYFUNCTION("SPLIT(A5007, "" |"")"),5005.0)</f>
        <v>5005</v>
      </c>
      <c r="G5011" s="19">
        <f>IFERROR(__xludf.DUMMYFUNCTION("""COMPUTED_VALUE"""),0.0023)</f>
        <v>0.0023</v>
      </c>
      <c r="H5011" s="19" t="str">
        <f>IFERROR(__xludf.DUMMYFUNCTION("""COMPUTED_VALUE"""),"-")</f>
        <v>-</v>
      </c>
      <c r="I5011" s="19">
        <f>IFERROR(__xludf.DUMMYFUNCTION("""COMPUTED_VALUE"""),0.00224)</f>
        <v>0.00224</v>
      </c>
      <c r="J5011" s="19">
        <f>IFERROR(__xludf.DUMMYFUNCTION("""COMPUTED_VALUE"""),0.04742)</f>
        <v>0.04742</v>
      </c>
      <c r="K5011" s="19" t="str">
        <f>IFERROR(__xludf.DUMMYFUNCTION("""COMPUTED_VALUE"""),"-")</f>
        <v>-</v>
      </c>
      <c r="L5011" s="19" t="str">
        <f>IFERROR(__xludf.DUMMYFUNCTION("""COMPUTED_VALUE"""),"-")</f>
        <v>-</v>
      </c>
      <c r="O5011" s="24">
        <f t="shared" si="4"/>
        <v>0</v>
      </c>
      <c r="P5011" s="24"/>
      <c r="Q5011" s="24">
        <f t="shared" si="6"/>
        <v>0</v>
      </c>
      <c r="R5011" s="24">
        <f t="shared" si="7"/>
        <v>0</v>
      </c>
      <c r="S5011" s="24"/>
      <c r="T5011" s="24"/>
    </row>
    <row r="5012">
      <c r="A5012" s="12" t="s">
        <v>5099</v>
      </c>
      <c r="F5012" s="19">
        <f>IFERROR(__xludf.DUMMYFUNCTION("SPLIT(A5008, "" |"")"),5006.0)</f>
        <v>5006</v>
      </c>
      <c r="G5012" s="19">
        <f>IFERROR(__xludf.DUMMYFUNCTION("""COMPUTED_VALUE"""),0.00235)</f>
        <v>0.00235</v>
      </c>
      <c r="H5012" s="19" t="str">
        <f>IFERROR(__xludf.DUMMYFUNCTION("""COMPUTED_VALUE"""),"-")</f>
        <v>-</v>
      </c>
      <c r="I5012" s="19">
        <f>IFERROR(__xludf.DUMMYFUNCTION("""COMPUTED_VALUE"""),0.00223)</f>
        <v>0.00223</v>
      </c>
      <c r="J5012" s="19">
        <f>IFERROR(__xludf.DUMMYFUNCTION("""COMPUTED_VALUE"""),0.04745)</f>
        <v>0.04745</v>
      </c>
      <c r="K5012" s="19" t="str">
        <f>IFERROR(__xludf.DUMMYFUNCTION("""COMPUTED_VALUE"""),"-")</f>
        <v>-</v>
      </c>
      <c r="L5012" s="19" t="str">
        <f>IFERROR(__xludf.DUMMYFUNCTION("""COMPUTED_VALUE"""),"-")</f>
        <v>-</v>
      </c>
      <c r="O5012" s="24">
        <f t="shared" si="4"/>
        <v>0</v>
      </c>
      <c r="P5012" s="24"/>
      <c r="Q5012" s="24">
        <f t="shared" si="6"/>
        <v>0</v>
      </c>
      <c r="R5012" s="24">
        <f t="shared" si="7"/>
        <v>0</v>
      </c>
      <c r="S5012" s="24"/>
      <c r="T5012" s="24"/>
    </row>
    <row r="5013">
      <c r="A5013" s="12" t="s">
        <v>5100</v>
      </c>
      <c r="F5013" s="19">
        <f>IFERROR(__xludf.DUMMYFUNCTION("SPLIT(A5009, "" |"")"),5007.0)</f>
        <v>5007</v>
      </c>
      <c r="G5013" s="19">
        <f>IFERROR(__xludf.DUMMYFUNCTION("""COMPUTED_VALUE"""),0.00236)</f>
        <v>0.00236</v>
      </c>
      <c r="H5013" s="19" t="str">
        <f>IFERROR(__xludf.DUMMYFUNCTION("""COMPUTED_VALUE"""),"-")</f>
        <v>-</v>
      </c>
      <c r="I5013" s="19">
        <f>IFERROR(__xludf.DUMMYFUNCTION("""COMPUTED_VALUE"""),0.00222)</f>
        <v>0.00222</v>
      </c>
      <c r="J5013" s="19">
        <f>IFERROR(__xludf.DUMMYFUNCTION("""COMPUTED_VALUE"""),0.04185)</f>
        <v>0.04185</v>
      </c>
      <c r="K5013" s="19" t="str">
        <f>IFERROR(__xludf.DUMMYFUNCTION("""COMPUTED_VALUE"""),"-")</f>
        <v>-</v>
      </c>
      <c r="L5013" s="19" t="str">
        <f>IFERROR(__xludf.DUMMYFUNCTION("""COMPUTED_VALUE"""),"-")</f>
        <v>-</v>
      </c>
      <c r="O5013" s="24">
        <f t="shared" si="4"/>
        <v>0</v>
      </c>
      <c r="P5013" s="24"/>
      <c r="Q5013" s="24">
        <f t="shared" si="6"/>
        <v>0</v>
      </c>
      <c r="R5013" s="24">
        <f t="shared" si="7"/>
        <v>1</v>
      </c>
      <c r="S5013" s="24"/>
      <c r="T5013" s="24"/>
    </row>
    <row r="5014">
      <c r="A5014" s="12" t="s">
        <v>5101</v>
      </c>
      <c r="F5014" s="19">
        <f>IFERROR(__xludf.DUMMYFUNCTION("SPLIT(A5010, "" |"")"),5008.0)</f>
        <v>5008</v>
      </c>
      <c r="G5014" s="19">
        <f>IFERROR(__xludf.DUMMYFUNCTION("""COMPUTED_VALUE"""),0.0023)</f>
        <v>0.0023</v>
      </c>
      <c r="H5014" s="19" t="str">
        <f>IFERROR(__xludf.DUMMYFUNCTION("""COMPUTED_VALUE"""),"-")</f>
        <v>-</v>
      </c>
      <c r="I5014" s="19">
        <f>IFERROR(__xludf.DUMMYFUNCTION("""COMPUTED_VALUE"""),0.00221)</f>
        <v>0.00221</v>
      </c>
      <c r="J5014" s="19">
        <f>IFERROR(__xludf.DUMMYFUNCTION("""COMPUTED_VALUE"""),0.04743)</f>
        <v>0.04743</v>
      </c>
      <c r="K5014" s="19" t="str">
        <f>IFERROR(__xludf.DUMMYFUNCTION("""COMPUTED_VALUE"""),"-")</f>
        <v>-</v>
      </c>
      <c r="L5014" s="19" t="str">
        <f>IFERROR(__xludf.DUMMYFUNCTION("""COMPUTED_VALUE"""),"-")</f>
        <v>-</v>
      </c>
      <c r="O5014" s="24">
        <f t="shared" si="4"/>
        <v>0</v>
      </c>
      <c r="P5014" s="24"/>
      <c r="Q5014" s="24">
        <f t="shared" si="6"/>
        <v>0</v>
      </c>
      <c r="R5014" s="24">
        <f t="shared" si="7"/>
        <v>0</v>
      </c>
      <c r="S5014" s="24"/>
      <c r="T5014" s="24"/>
    </row>
    <row r="5015">
      <c r="A5015" s="12" t="s">
        <v>5102</v>
      </c>
      <c r="F5015" s="19">
        <f>IFERROR(__xludf.DUMMYFUNCTION("SPLIT(A5011, "" |"")"),5009.0)</f>
        <v>5009</v>
      </c>
      <c r="G5015" s="19">
        <f>IFERROR(__xludf.DUMMYFUNCTION("""COMPUTED_VALUE"""),0.00241)</f>
        <v>0.00241</v>
      </c>
      <c r="H5015" s="19" t="str">
        <f>IFERROR(__xludf.DUMMYFUNCTION("""COMPUTED_VALUE"""),"-")</f>
        <v>-</v>
      </c>
      <c r="I5015" s="19">
        <f>IFERROR(__xludf.DUMMYFUNCTION("""COMPUTED_VALUE"""),0.00224)</f>
        <v>0.00224</v>
      </c>
      <c r="J5015" s="19">
        <f>IFERROR(__xludf.DUMMYFUNCTION("""COMPUTED_VALUE"""),0.04749)</f>
        <v>0.04749</v>
      </c>
      <c r="K5015" s="19" t="str">
        <f>IFERROR(__xludf.DUMMYFUNCTION("""COMPUTED_VALUE"""),"-")</f>
        <v>-</v>
      </c>
      <c r="L5015" s="19" t="str">
        <f>IFERROR(__xludf.DUMMYFUNCTION("""COMPUTED_VALUE"""),"-")</f>
        <v>-</v>
      </c>
      <c r="O5015" s="24">
        <f t="shared" si="4"/>
        <v>0</v>
      </c>
      <c r="P5015" s="24"/>
      <c r="Q5015" s="24">
        <f t="shared" si="6"/>
        <v>0</v>
      </c>
      <c r="R5015" s="24">
        <f t="shared" si="7"/>
        <v>0</v>
      </c>
      <c r="S5015" s="24"/>
      <c r="T5015" s="24"/>
    </row>
    <row r="5016">
      <c r="A5016" s="12" t="s">
        <v>5103</v>
      </c>
      <c r="F5016" s="19">
        <f>IFERROR(__xludf.DUMMYFUNCTION("SPLIT(A5012, "" |"")"),5010.0)</f>
        <v>5010</v>
      </c>
      <c r="G5016" s="19">
        <f>IFERROR(__xludf.DUMMYFUNCTION("""COMPUTED_VALUE"""),0.00234)</f>
        <v>0.00234</v>
      </c>
      <c r="H5016" s="19" t="str">
        <f>IFERROR(__xludf.DUMMYFUNCTION("""COMPUTED_VALUE"""),"-")</f>
        <v>-</v>
      </c>
      <c r="I5016" s="19">
        <f>IFERROR(__xludf.DUMMYFUNCTION("""COMPUTED_VALUE"""),0.0022)</f>
        <v>0.0022</v>
      </c>
      <c r="J5016" s="19">
        <f>IFERROR(__xludf.DUMMYFUNCTION("""COMPUTED_VALUE"""),0.04741)</f>
        <v>0.04741</v>
      </c>
      <c r="K5016" s="19" t="str">
        <f>IFERROR(__xludf.DUMMYFUNCTION("""COMPUTED_VALUE"""),"-")</f>
        <v>-</v>
      </c>
      <c r="L5016" s="19" t="str">
        <f>IFERROR(__xludf.DUMMYFUNCTION("""COMPUTED_VALUE"""),"-")</f>
        <v>-</v>
      </c>
      <c r="O5016" s="24">
        <f t="shared" si="4"/>
        <v>0</v>
      </c>
      <c r="P5016" s="24"/>
      <c r="Q5016" s="24">
        <f t="shared" si="6"/>
        <v>0</v>
      </c>
      <c r="R5016" s="24">
        <f t="shared" si="7"/>
        <v>0</v>
      </c>
      <c r="S5016" s="24"/>
      <c r="T5016" s="24"/>
    </row>
    <row r="5017">
      <c r="A5017" s="12" t="s">
        <v>5104</v>
      </c>
      <c r="F5017" s="19">
        <f>IFERROR(__xludf.DUMMYFUNCTION("SPLIT(A5013, "" |"")"),5011.0)</f>
        <v>5011</v>
      </c>
      <c r="G5017" s="19">
        <f>IFERROR(__xludf.DUMMYFUNCTION("""COMPUTED_VALUE"""),0.00232)</f>
        <v>0.00232</v>
      </c>
      <c r="H5017" s="19" t="str">
        <f>IFERROR(__xludf.DUMMYFUNCTION("""COMPUTED_VALUE"""),"-")</f>
        <v>-</v>
      </c>
      <c r="I5017" s="19">
        <f>IFERROR(__xludf.DUMMYFUNCTION("""COMPUTED_VALUE"""),0.0022)</f>
        <v>0.0022</v>
      </c>
      <c r="J5017" s="19">
        <f>IFERROR(__xludf.DUMMYFUNCTION("""COMPUTED_VALUE"""),0.04146)</f>
        <v>0.04146</v>
      </c>
      <c r="K5017" s="19" t="str">
        <f>IFERROR(__xludf.DUMMYFUNCTION("""COMPUTED_VALUE"""),"-")</f>
        <v>-</v>
      </c>
      <c r="L5017" s="19" t="str">
        <f>IFERROR(__xludf.DUMMYFUNCTION("""COMPUTED_VALUE"""),"-")</f>
        <v>-</v>
      </c>
      <c r="O5017" s="24">
        <f t="shared" si="4"/>
        <v>0</v>
      </c>
      <c r="P5017" s="24"/>
      <c r="Q5017" s="24">
        <f t="shared" si="6"/>
        <v>0</v>
      </c>
      <c r="R5017" s="24">
        <f t="shared" si="7"/>
        <v>1</v>
      </c>
      <c r="S5017" s="24"/>
      <c r="T5017" s="24"/>
    </row>
    <row r="5018">
      <c r="A5018" s="12" t="s">
        <v>5105</v>
      </c>
      <c r="F5018" s="19">
        <f>IFERROR(__xludf.DUMMYFUNCTION("SPLIT(A5014, "" |"")"),5012.0)</f>
        <v>5012</v>
      </c>
      <c r="G5018" s="19">
        <f>IFERROR(__xludf.DUMMYFUNCTION("""COMPUTED_VALUE"""),0.00225)</f>
        <v>0.00225</v>
      </c>
      <c r="H5018" s="19" t="str">
        <f>IFERROR(__xludf.DUMMYFUNCTION("""COMPUTED_VALUE"""),"-")</f>
        <v>-</v>
      </c>
      <c r="I5018" s="19">
        <f>IFERROR(__xludf.DUMMYFUNCTION("""COMPUTED_VALUE"""),0.00218)</f>
        <v>0.00218</v>
      </c>
      <c r="J5018" s="19">
        <f>IFERROR(__xludf.DUMMYFUNCTION("""COMPUTED_VALUE"""),0.04725)</f>
        <v>0.04725</v>
      </c>
      <c r="K5018" s="19" t="str">
        <f>IFERROR(__xludf.DUMMYFUNCTION("""COMPUTED_VALUE"""),"-")</f>
        <v>-</v>
      </c>
      <c r="L5018" s="19" t="str">
        <f>IFERROR(__xludf.DUMMYFUNCTION("""COMPUTED_VALUE"""),"-")</f>
        <v>-</v>
      </c>
      <c r="O5018" s="24">
        <f t="shared" si="4"/>
        <v>0</v>
      </c>
      <c r="P5018" s="24"/>
      <c r="Q5018" s="24">
        <f t="shared" si="6"/>
        <v>0</v>
      </c>
      <c r="R5018" s="24">
        <f t="shared" si="7"/>
        <v>0</v>
      </c>
      <c r="S5018" s="24"/>
      <c r="T5018" s="24"/>
    </row>
    <row r="5019">
      <c r="A5019" s="12" t="s">
        <v>5106</v>
      </c>
      <c r="F5019" s="19">
        <f>IFERROR(__xludf.DUMMYFUNCTION("SPLIT(A5015, "" |"")"),5013.0)</f>
        <v>5013</v>
      </c>
      <c r="G5019" s="19">
        <f>IFERROR(__xludf.DUMMYFUNCTION("""COMPUTED_VALUE"""),0.00232)</f>
        <v>0.00232</v>
      </c>
      <c r="H5019" s="19" t="str">
        <f>IFERROR(__xludf.DUMMYFUNCTION("""COMPUTED_VALUE"""),"-")</f>
        <v>-</v>
      </c>
      <c r="I5019" s="19">
        <f>IFERROR(__xludf.DUMMYFUNCTION("""COMPUTED_VALUE"""),0.0021)</f>
        <v>0.0021</v>
      </c>
      <c r="J5019" s="19">
        <f>IFERROR(__xludf.DUMMYFUNCTION("""COMPUTED_VALUE"""),0.04474)</f>
        <v>0.04474</v>
      </c>
      <c r="K5019" s="19" t="str">
        <f>IFERROR(__xludf.DUMMYFUNCTION("""COMPUTED_VALUE"""),"-")</f>
        <v>-</v>
      </c>
      <c r="L5019" s="19" t="str">
        <f>IFERROR(__xludf.DUMMYFUNCTION("""COMPUTED_VALUE"""),"-")</f>
        <v>-</v>
      </c>
      <c r="O5019" s="24">
        <f t="shared" si="4"/>
        <v>0</v>
      </c>
      <c r="P5019" s="24"/>
      <c r="Q5019" s="24">
        <f t="shared" si="6"/>
        <v>0</v>
      </c>
      <c r="R5019" s="24">
        <f t="shared" si="7"/>
        <v>1</v>
      </c>
      <c r="S5019" s="24"/>
      <c r="T5019" s="24"/>
    </row>
    <row r="5020">
      <c r="A5020" s="12" t="s">
        <v>5107</v>
      </c>
      <c r="F5020" s="19">
        <f>IFERROR(__xludf.DUMMYFUNCTION("SPLIT(A5016, "" |"")"),5014.0)</f>
        <v>5014</v>
      </c>
      <c r="G5020" s="19">
        <f>IFERROR(__xludf.DUMMYFUNCTION("""COMPUTED_VALUE"""),0.00236)</f>
        <v>0.00236</v>
      </c>
      <c r="H5020" s="19" t="str">
        <f>IFERROR(__xludf.DUMMYFUNCTION("""COMPUTED_VALUE"""),"-")</f>
        <v>-</v>
      </c>
      <c r="I5020" s="19">
        <f>IFERROR(__xludf.DUMMYFUNCTION("""COMPUTED_VALUE"""),0.0022)</f>
        <v>0.0022</v>
      </c>
      <c r="J5020" s="19">
        <f>IFERROR(__xludf.DUMMYFUNCTION("""COMPUTED_VALUE"""),0.04296)</f>
        <v>0.04296</v>
      </c>
      <c r="K5020" s="19" t="str">
        <f>IFERROR(__xludf.DUMMYFUNCTION("""COMPUTED_VALUE"""),"-")</f>
        <v>-</v>
      </c>
      <c r="L5020" s="19" t="str">
        <f>IFERROR(__xludf.DUMMYFUNCTION("""COMPUTED_VALUE"""),"-")</f>
        <v>-</v>
      </c>
      <c r="O5020" s="24">
        <f t="shared" si="4"/>
        <v>0</v>
      </c>
      <c r="P5020" s="24"/>
      <c r="Q5020" s="24">
        <f t="shared" si="6"/>
        <v>0</v>
      </c>
      <c r="R5020" s="24">
        <f t="shared" si="7"/>
        <v>1</v>
      </c>
      <c r="S5020" s="24"/>
      <c r="T5020" s="24"/>
    </row>
    <row r="5021">
      <c r="A5021" s="12" t="s">
        <v>5108</v>
      </c>
      <c r="F5021" s="19">
        <f>IFERROR(__xludf.DUMMYFUNCTION("SPLIT(A5017, "" |"")"),5015.0)</f>
        <v>5015</v>
      </c>
      <c r="G5021" s="19">
        <f>IFERROR(__xludf.DUMMYFUNCTION("""COMPUTED_VALUE"""),0.00238)</f>
        <v>0.00238</v>
      </c>
      <c r="H5021" s="19" t="str">
        <f>IFERROR(__xludf.DUMMYFUNCTION("""COMPUTED_VALUE"""),"-")</f>
        <v>-</v>
      </c>
      <c r="I5021" s="19">
        <f>IFERROR(__xludf.DUMMYFUNCTION("""COMPUTED_VALUE"""),0.00221)</f>
        <v>0.00221</v>
      </c>
      <c r="J5021" s="19">
        <f>IFERROR(__xludf.DUMMYFUNCTION("""COMPUTED_VALUE"""),0.04688)</f>
        <v>0.04688</v>
      </c>
      <c r="K5021" s="19" t="str">
        <f>IFERROR(__xludf.DUMMYFUNCTION("""COMPUTED_VALUE"""),"-")</f>
        <v>-</v>
      </c>
      <c r="L5021" s="19" t="str">
        <f>IFERROR(__xludf.DUMMYFUNCTION("""COMPUTED_VALUE"""),"-")</f>
        <v>-</v>
      </c>
      <c r="O5021" s="24">
        <f t="shared" si="4"/>
        <v>0</v>
      </c>
      <c r="P5021" s="24"/>
      <c r="Q5021" s="24">
        <f t="shared" si="6"/>
        <v>0</v>
      </c>
      <c r="R5021" s="24">
        <f t="shared" si="7"/>
        <v>0</v>
      </c>
      <c r="S5021" s="24"/>
      <c r="T5021" s="24"/>
    </row>
    <row r="5022">
      <c r="A5022" s="12" t="s">
        <v>5109</v>
      </c>
      <c r="F5022" s="19">
        <f>IFERROR(__xludf.DUMMYFUNCTION("SPLIT(A5018, "" |"")"),5016.0)</f>
        <v>5016</v>
      </c>
      <c r="G5022" s="19">
        <f>IFERROR(__xludf.DUMMYFUNCTION("""COMPUTED_VALUE"""),0.0023)</f>
        <v>0.0023</v>
      </c>
      <c r="H5022" s="19" t="str">
        <f>IFERROR(__xludf.DUMMYFUNCTION("""COMPUTED_VALUE"""),"-")</f>
        <v>-</v>
      </c>
      <c r="I5022" s="19">
        <f>IFERROR(__xludf.DUMMYFUNCTION("""COMPUTED_VALUE"""),0.00212)</f>
        <v>0.00212</v>
      </c>
      <c r="J5022" s="19">
        <f>IFERROR(__xludf.DUMMYFUNCTION("""COMPUTED_VALUE"""),0.04734)</f>
        <v>0.04734</v>
      </c>
      <c r="K5022" s="19" t="str">
        <f>IFERROR(__xludf.DUMMYFUNCTION("""COMPUTED_VALUE"""),"-")</f>
        <v>-</v>
      </c>
      <c r="L5022" s="19" t="str">
        <f>IFERROR(__xludf.DUMMYFUNCTION("""COMPUTED_VALUE"""),"-")</f>
        <v>-</v>
      </c>
      <c r="O5022" s="24">
        <f t="shared" si="4"/>
        <v>0</v>
      </c>
      <c r="P5022" s="24"/>
      <c r="Q5022" s="24">
        <f t="shared" si="6"/>
        <v>0</v>
      </c>
      <c r="R5022" s="24">
        <f t="shared" si="7"/>
        <v>0</v>
      </c>
      <c r="S5022" s="24"/>
      <c r="T5022" s="24"/>
    </row>
    <row r="5023">
      <c r="A5023" s="12" t="s">
        <v>5110</v>
      </c>
      <c r="F5023" s="19">
        <f>IFERROR(__xludf.DUMMYFUNCTION("SPLIT(A5019, "" |"")"),5017.0)</f>
        <v>5017</v>
      </c>
      <c r="G5023" s="19">
        <f>IFERROR(__xludf.DUMMYFUNCTION("""COMPUTED_VALUE"""),0.00233)</f>
        <v>0.00233</v>
      </c>
      <c r="H5023" s="19" t="str">
        <f>IFERROR(__xludf.DUMMYFUNCTION("""COMPUTED_VALUE"""),"-")</f>
        <v>-</v>
      </c>
      <c r="I5023" s="19">
        <f>IFERROR(__xludf.DUMMYFUNCTION("""COMPUTED_VALUE"""),0.00219)</f>
        <v>0.00219</v>
      </c>
      <c r="J5023" s="19">
        <f>IFERROR(__xludf.DUMMYFUNCTION("""COMPUTED_VALUE"""),0.04741)</f>
        <v>0.04741</v>
      </c>
      <c r="K5023" s="19" t="str">
        <f>IFERROR(__xludf.DUMMYFUNCTION("""COMPUTED_VALUE"""),"-")</f>
        <v>-</v>
      </c>
      <c r="L5023" s="19" t="str">
        <f>IFERROR(__xludf.DUMMYFUNCTION("""COMPUTED_VALUE"""),"-")</f>
        <v>-</v>
      </c>
      <c r="O5023" s="24">
        <f t="shared" si="4"/>
        <v>0</v>
      </c>
      <c r="P5023" s="24"/>
      <c r="Q5023" s="24">
        <f t="shared" si="6"/>
        <v>0</v>
      </c>
      <c r="R5023" s="24">
        <f t="shared" si="7"/>
        <v>0</v>
      </c>
      <c r="S5023" s="24"/>
      <c r="T5023" s="24"/>
    </row>
    <row r="5024">
      <c r="A5024" s="12" t="s">
        <v>5111</v>
      </c>
      <c r="F5024" s="19">
        <f>IFERROR(__xludf.DUMMYFUNCTION("SPLIT(A5020, "" |"")"),5018.0)</f>
        <v>5018</v>
      </c>
      <c r="G5024" s="19">
        <f>IFERROR(__xludf.DUMMYFUNCTION("""COMPUTED_VALUE"""),0.00238)</f>
        <v>0.00238</v>
      </c>
      <c r="H5024" s="19" t="str">
        <f>IFERROR(__xludf.DUMMYFUNCTION("""COMPUTED_VALUE"""),"-")</f>
        <v>-</v>
      </c>
      <c r="I5024" s="19">
        <f>IFERROR(__xludf.DUMMYFUNCTION("""COMPUTED_VALUE"""),0.00219)</f>
        <v>0.00219</v>
      </c>
      <c r="J5024" s="19">
        <f>IFERROR(__xludf.DUMMYFUNCTION("""COMPUTED_VALUE"""),0.04745)</f>
        <v>0.04745</v>
      </c>
      <c r="K5024" s="19" t="str">
        <f>IFERROR(__xludf.DUMMYFUNCTION("""COMPUTED_VALUE"""),"-")</f>
        <v>-</v>
      </c>
      <c r="L5024" s="19" t="str">
        <f>IFERROR(__xludf.DUMMYFUNCTION("""COMPUTED_VALUE"""),"-")</f>
        <v>-</v>
      </c>
      <c r="O5024" s="24">
        <f t="shared" si="4"/>
        <v>0</v>
      </c>
      <c r="P5024" s="24"/>
      <c r="Q5024" s="24">
        <f t="shared" si="6"/>
        <v>0</v>
      </c>
      <c r="R5024" s="24">
        <f t="shared" si="7"/>
        <v>0</v>
      </c>
      <c r="S5024" s="24"/>
      <c r="T5024" s="24"/>
    </row>
    <row r="5025">
      <c r="A5025" s="12" t="s">
        <v>5112</v>
      </c>
      <c r="F5025" s="19">
        <f>IFERROR(__xludf.DUMMYFUNCTION("SPLIT(A5021, "" |"")"),5019.0)</f>
        <v>5019</v>
      </c>
      <c r="G5025" s="19">
        <f>IFERROR(__xludf.DUMMYFUNCTION("""COMPUTED_VALUE"""),0.00238)</f>
        <v>0.00238</v>
      </c>
      <c r="H5025" s="19" t="str">
        <f>IFERROR(__xludf.DUMMYFUNCTION("""COMPUTED_VALUE"""),"-")</f>
        <v>-</v>
      </c>
      <c r="I5025" s="19">
        <f>IFERROR(__xludf.DUMMYFUNCTION("""COMPUTED_VALUE"""),0.00219)</f>
        <v>0.00219</v>
      </c>
      <c r="J5025" s="19">
        <f>IFERROR(__xludf.DUMMYFUNCTION("""COMPUTED_VALUE"""),0.04338)</f>
        <v>0.04338</v>
      </c>
      <c r="K5025" s="19" t="str">
        <f>IFERROR(__xludf.DUMMYFUNCTION("""COMPUTED_VALUE"""),"-")</f>
        <v>-</v>
      </c>
      <c r="L5025" s="19" t="str">
        <f>IFERROR(__xludf.DUMMYFUNCTION("""COMPUTED_VALUE"""),"-")</f>
        <v>-</v>
      </c>
      <c r="O5025" s="24">
        <f t="shared" si="4"/>
        <v>0</v>
      </c>
      <c r="P5025" s="24"/>
      <c r="Q5025" s="24">
        <f t="shared" si="6"/>
        <v>0</v>
      </c>
      <c r="R5025" s="24">
        <f t="shared" si="7"/>
        <v>1</v>
      </c>
      <c r="S5025" s="24"/>
      <c r="T5025" s="24"/>
    </row>
    <row r="5026">
      <c r="A5026" s="12" t="s">
        <v>5113</v>
      </c>
      <c r="F5026" s="19">
        <f>IFERROR(__xludf.DUMMYFUNCTION("SPLIT(A5022, "" |"")"),5020.0)</f>
        <v>5020</v>
      </c>
      <c r="G5026" s="19">
        <f>IFERROR(__xludf.DUMMYFUNCTION("""COMPUTED_VALUE"""),0.00227)</f>
        <v>0.00227</v>
      </c>
      <c r="H5026" s="19" t="str">
        <f>IFERROR(__xludf.DUMMYFUNCTION("""COMPUTED_VALUE"""),"-")</f>
        <v>-</v>
      </c>
      <c r="I5026" s="19">
        <f>IFERROR(__xludf.DUMMYFUNCTION("""COMPUTED_VALUE"""),0.00218)</f>
        <v>0.00218</v>
      </c>
      <c r="J5026" s="19">
        <f>IFERROR(__xludf.DUMMYFUNCTION("""COMPUTED_VALUE"""),0.04748)</f>
        <v>0.04748</v>
      </c>
      <c r="K5026" s="19" t="str">
        <f>IFERROR(__xludf.DUMMYFUNCTION("""COMPUTED_VALUE"""),"-")</f>
        <v>-</v>
      </c>
      <c r="L5026" s="19" t="str">
        <f>IFERROR(__xludf.DUMMYFUNCTION("""COMPUTED_VALUE"""),"-")</f>
        <v>-</v>
      </c>
      <c r="O5026" s="24">
        <f t="shared" si="4"/>
        <v>0</v>
      </c>
      <c r="P5026" s="24"/>
      <c r="Q5026" s="24">
        <f t="shared" si="6"/>
        <v>0</v>
      </c>
      <c r="R5026" s="24">
        <f t="shared" si="7"/>
        <v>0</v>
      </c>
      <c r="S5026" s="24"/>
      <c r="T5026" s="24"/>
    </row>
    <row r="5027">
      <c r="A5027" s="12" t="s">
        <v>5114</v>
      </c>
      <c r="F5027" s="19">
        <f>IFERROR(__xludf.DUMMYFUNCTION("SPLIT(A5023, "" |"")"),5021.0)</f>
        <v>5021</v>
      </c>
      <c r="G5027" s="19">
        <f>IFERROR(__xludf.DUMMYFUNCTION("""COMPUTED_VALUE"""),0.00235)</f>
        <v>0.00235</v>
      </c>
      <c r="H5027" s="19" t="str">
        <f>IFERROR(__xludf.DUMMYFUNCTION("""COMPUTED_VALUE"""),"-")</f>
        <v>-</v>
      </c>
      <c r="I5027" s="19">
        <f>IFERROR(__xludf.DUMMYFUNCTION("""COMPUTED_VALUE"""),0.00223)</f>
        <v>0.00223</v>
      </c>
      <c r="J5027" s="19">
        <f>IFERROR(__xludf.DUMMYFUNCTION("""COMPUTED_VALUE"""),0.04745)</f>
        <v>0.04745</v>
      </c>
      <c r="K5027" s="19" t="str">
        <f>IFERROR(__xludf.DUMMYFUNCTION("""COMPUTED_VALUE"""),"-")</f>
        <v>-</v>
      </c>
      <c r="L5027" s="19" t="str">
        <f>IFERROR(__xludf.DUMMYFUNCTION("""COMPUTED_VALUE"""),"-")</f>
        <v>-</v>
      </c>
      <c r="O5027" s="24">
        <f t="shared" si="4"/>
        <v>0</v>
      </c>
      <c r="P5027" s="24"/>
      <c r="Q5027" s="24">
        <f t="shared" si="6"/>
        <v>0</v>
      </c>
      <c r="R5027" s="24">
        <f t="shared" si="7"/>
        <v>0</v>
      </c>
      <c r="S5027" s="24"/>
      <c r="T5027" s="24"/>
    </row>
    <row r="5028">
      <c r="A5028" s="12" t="s">
        <v>5115</v>
      </c>
      <c r="F5028" s="19">
        <f>IFERROR(__xludf.DUMMYFUNCTION("SPLIT(A5024, "" |"")"),5022.0)</f>
        <v>5022</v>
      </c>
      <c r="G5028" s="19">
        <f>IFERROR(__xludf.DUMMYFUNCTION("""COMPUTED_VALUE"""),0.00238)</f>
        <v>0.00238</v>
      </c>
      <c r="H5028" s="19" t="str">
        <f>IFERROR(__xludf.DUMMYFUNCTION("""COMPUTED_VALUE"""),"-")</f>
        <v>-</v>
      </c>
      <c r="I5028" s="19">
        <f>IFERROR(__xludf.DUMMYFUNCTION("""COMPUTED_VALUE"""),0.00219)</f>
        <v>0.00219</v>
      </c>
      <c r="J5028" s="19">
        <f>IFERROR(__xludf.DUMMYFUNCTION("""COMPUTED_VALUE"""),0.04745)</f>
        <v>0.04745</v>
      </c>
      <c r="K5028" s="19" t="str">
        <f>IFERROR(__xludf.DUMMYFUNCTION("""COMPUTED_VALUE"""),"-")</f>
        <v>-</v>
      </c>
      <c r="L5028" s="19" t="str">
        <f>IFERROR(__xludf.DUMMYFUNCTION("""COMPUTED_VALUE"""),"-")</f>
        <v>-</v>
      </c>
      <c r="O5028" s="24">
        <f t="shared" si="4"/>
        <v>0</v>
      </c>
      <c r="P5028" s="24"/>
      <c r="Q5028" s="24">
        <f t="shared" si="6"/>
        <v>0</v>
      </c>
      <c r="R5028" s="24">
        <f t="shared" si="7"/>
        <v>0</v>
      </c>
      <c r="S5028" s="24"/>
      <c r="T5028" s="24"/>
    </row>
    <row r="5029">
      <c r="A5029" s="12" t="s">
        <v>5116</v>
      </c>
      <c r="F5029" s="19">
        <f>IFERROR(__xludf.DUMMYFUNCTION("SPLIT(A5025, "" |"")"),5023.0)</f>
        <v>5023</v>
      </c>
      <c r="G5029" s="19">
        <f>IFERROR(__xludf.DUMMYFUNCTION("""COMPUTED_VALUE"""),0.00236)</f>
        <v>0.00236</v>
      </c>
      <c r="H5029" s="19" t="str">
        <f>IFERROR(__xludf.DUMMYFUNCTION("""COMPUTED_VALUE"""),"-")</f>
        <v>-</v>
      </c>
      <c r="I5029" s="19">
        <f>IFERROR(__xludf.DUMMYFUNCTION("""COMPUTED_VALUE"""),0.0022)</f>
        <v>0.0022</v>
      </c>
      <c r="J5029" s="19">
        <f>IFERROR(__xludf.DUMMYFUNCTION("""COMPUTED_VALUE"""),0.04121)</f>
        <v>0.04121</v>
      </c>
      <c r="K5029" s="19" t="str">
        <f>IFERROR(__xludf.DUMMYFUNCTION("""COMPUTED_VALUE"""),"-")</f>
        <v>-</v>
      </c>
      <c r="L5029" s="19" t="str">
        <f>IFERROR(__xludf.DUMMYFUNCTION("""COMPUTED_VALUE"""),"-")</f>
        <v>-</v>
      </c>
      <c r="O5029" s="24">
        <f t="shared" si="4"/>
        <v>0</v>
      </c>
      <c r="P5029" s="24"/>
      <c r="Q5029" s="24">
        <f t="shared" si="6"/>
        <v>0</v>
      </c>
      <c r="R5029" s="24">
        <f t="shared" si="7"/>
        <v>1</v>
      </c>
      <c r="S5029" s="24"/>
      <c r="T5029" s="24"/>
    </row>
    <row r="5030">
      <c r="A5030" s="12" t="s">
        <v>5117</v>
      </c>
      <c r="F5030" s="19">
        <f>IFERROR(__xludf.DUMMYFUNCTION("SPLIT(A5026, "" |"")"),5024.0)</f>
        <v>5024</v>
      </c>
      <c r="G5030" s="19">
        <f>IFERROR(__xludf.DUMMYFUNCTION("""COMPUTED_VALUE"""),0.00233)</f>
        <v>0.00233</v>
      </c>
      <c r="H5030" s="19" t="str">
        <f>IFERROR(__xludf.DUMMYFUNCTION("""COMPUTED_VALUE"""),"-")</f>
        <v>-</v>
      </c>
      <c r="I5030" s="19">
        <f>IFERROR(__xludf.DUMMYFUNCTION("""COMPUTED_VALUE"""),0.00222)</f>
        <v>0.00222</v>
      </c>
      <c r="J5030" s="19">
        <f>IFERROR(__xludf.DUMMYFUNCTION("""COMPUTED_VALUE"""),0.04571)</f>
        <v>0.04571</v>
      </c>
      <c r="K5030" s="19" t="str">
        <f>IFERROR(__xludf.DUMMYFUNCTION("""COMPUTED_VALUE"""),"-")</f>
        <v>-</v>
      </c>
      <c r="L5030" s="19" t="str">
        <f>IFERROR(__xludf.DUMMYFUNCTION("""COMPUTED_VALUE"""),"-")</f>
        <v>-</v>
      </c>
      <c r="O5030" s="24">
        <f t="shared" si="4"/>
        <v>0</v>
      </c>
      <c r="P5030" s="24"/>
      <c r="Q5030" s="24">
        <f t="shared" si="6"/>
        <v>0</v>
      </c>
      <c r="R5030" s="24">
        <f t="shared" si="7"/>
        <v>0</v>
      </c>
      <c r="S5030" s="24"/>
      <c r="T5030" s="24"/>
    </row>
    <row r="5031">
      <c r="A5031" s="12" t="s">
        <v>5118</v>
      </c>
      <c r="F5031" s="19">
        <f>IFERROR(__xludf.DUMMYFUNCTION("SPLIT(A5027, "" |"")"),5025.0)</f>
        <v>5025</v>
      </c>
      <c r="G5031" s="19">
        <f>IFERROR(__xludf.DUMMYFUNCTION("""COMPUTED_VALUE"""),0.00232)</f>
        <v>0.00232</v>
      </c>
      <c r="H5031" s="19" t="str">
        <f>IFERROR(__xludf.DUMMYFUNCTION("""COMPUTED_VALUE"""),"-")</f>
        <v>-</v>
      </c>
      <c r="I5031" s="19">
        <f>IFERROR(__xludf.DUMMYFUNCTION("""COMPUTED_VALUE"""),0.00221)</f>
        <v>0.00221</v>
      </c>
      <c r="J5031" s="19">
        <f>IFERROR(__xludf.DUMMYFUNCTION("""COMPUTED_VALUE"""),0.0474)</f>
        <v>0.0474</v>
      </c>
      <c r="K5031" s="19" t="str">
        <f>IFERROR(__xludf.DUMMYFUNCTION("""COMPUTED_VALUE"""),"-")</f>
        <v>-</v>
      </c>
      <c r="L5031" s="19" t="str">
        <f>IFERROR(__xludf.DUMMYFUNCTION("""COMPUTED_VALUE"""),"-")</f>
        <v>-</v>
      </c>
      <c r="O5031" s="24">
        <f t="shared" si="4"/>
        <v>0</v>
      </c>
      <c r="P5031" s="24"/>
      <c r="Q5031" s="24">
        <f t="shared" si="6"/>
        <v>0</v>
      </c>
      <c r="R5031" s="24">
        <f t="shared" si="7"/>
        <v>0</v>
      </c>
      <c r="S5031" s="24"/>
      <c r="T5031" s="24"/>
    </row>
    <row r="5032">
      <c r="A5032" s="12" t="s">
        <v>5119</v>
      </c>
      <c r="F5032" s="19">
        <f>IFERROR(__xludf.DUMMYFUNCTION("SPLIT(A5028, "" |"")"),5026.0)</f>
        <v>5026</v>
      </c>
      <c r="G5032" s="19">
        <f>IFERROR(__xludf.DUMMYFUNCTION("""COMPUTED_VALUE"""),0.0024)</f>
        <v>0.0024</v>
      </c>
      <c r="H5032" s="19" t="str">
        <f>IFERROR(__xludf.DUMMYFUNCTION("""COMPUTED_VALUE"""),"-")</f>
        <v>-</v>
      </c>
      <c r="I5032" s="19">
        <f>IFERROR(__xludf.DUMMYFUNCTION("""COMPUTED_VALUE"""),0.0022)</f>
        <v>0.0022</v>
      </c>
      <c r="J5032" s="19">
        <f>IFERROR(__xludf.DUMMYFUNCTION("""COMPUTED_VALUE"""),0.04721)</f>
        <v>0.04721</v>
      </c>
      <c r="K5032" s="19" t="str">
        <f>IFERROR(__xludf.DUMMYFUNCTION("""COMPUTED_VALUE"""),"-")</f>
        <v>-</v>
      </c>
      <c r="L5032" s="19" t="str">
        <f>IFERROR(__xludf.DUMMYFUNCTION("""COMPUTED_VALUE"""),"-")</f>
        <v>-</v>
      </c>
      <c r="O5032" s="24">
        <f t="shared" si="4"/>
        <v>0</v>
      </c>
      <c r="P5032" s="24"/>
      <c r="Q5032" s="24">
        <f t="shared" si="6"/>
        <v>0</v>
      </c>
      <c r="R5032" s="24">
        <f t="shared" si="7"/>
        <v>0</v>
      </c>
      <c r="S5032" s="24"/>
      <c r="T5032" s="24"/>
    </row>
    <row r="5033">
      <c r="A5033" s="12" t="s">
        <v>5120</v>
      </c>
      <c r="F5033" s="19">
        <f>IFERROR(__xludf.DUMMYFUNCTION("SPLIT(A5029, "" |"")"),5027.0)</f>
        <v>5027</v>
      </c>
      <c r="G5033" s="19">
        <f>IFERROR(__xludf.DUMMYFUNCTION("""COMPUTED_VALUE"""),0.00239)</f>
        <v>0.00239</v>
      </c>
      <c r="H5033" s="19" t="str">
        <f>IFERROR(__xludf.DUMMYFUNCTION("""COMPUTED_VALUE"""),"-")</f>
        <v>-</v>
      </c>
      <c r="I5033" s="19">
        <f>IFERROR(__xludf.DUMMYFUNCTION("""COMPUTED_VALUE"""),0.00222)</f>
        <v>0.00222</v>
      </c>
      <c r="J5033" s="19">
        <f>IFERROR(__xludf.DUMMYFUNCTION("""COMPUTED_VALUE"""),0.03994)</f>
        <v>0.03994</v>
      </c>
      <c r="K5033" s="19" t="str">
        <f>IFERROR(__xludf.DUMMYFUNCTION("""COMPUTED_VALUE"""),"-")</f>
        <v>-</v>
      </c>
      <c r="L5033" s="19" t="str">
        <f>IFERROR(__xludf.DUMMYFUNCTION("""COMPUTED_VALUE"""),"-")</f>
        <v>-</v>
      </c>
      <c r="O5033" s="24">
        <f t="shared" si="4"/>
        <v>0</v>
      </c>
      <c r="P5033" s="24"/>
      <c r="Q5033" s="24">
        <f t="shared" si="6"/>
        <v>0</v>
      </c>
      <c r="R5033" s="24">
        <f t="shared" si="7"/>
        <v>1</v>
      </c>
      <c r="S5033" s="24"/>
      <c r="T5033" s="24"/>
    </row>
    <row r="5034">
      <c r="A5034" s="12" t="s">
        <v>5121</v>
      </c>
      <c r="F5034" s="19">
        <f>IFERROR(__xludf.DUMMYFUNCTION("SPLIT(A5030, "" |"")"),5028.0)</f>
        <v>5028</v>
      </c>
      <c r="G5034" s="19">
        <f>IFERROR(__xludf.DUMMYFUNCTION("""COMPUTED_VALUE"""),0.00229)</f>
        <v>0.00229</v>
      </c>
      <c r="H5034" s="19" t="str">
        <f>IFERROR(__xludf.DUMMYFUNCTION("""COMPUTED_VALUE"""),"-")</f>
        <v>-</v>
      </c>
      <c r="I5034" s="19">
        <f>IFERROR(__xludf.DUMMYFUNCTION("""COMPUTED_VALUE"""),0.0022)</f>
        <v>0.0022</v>
      </c>
      <c r="J5034" s="19">
        <f>IFERROR(__xludf.DUMMYFUNCTION("""COMPUTED_VALUE"""),0.04734)</f>
        <v>0.04734</v>
      </c>
      <c r="K5034" s="19" t="str">
        <f>IFERROR(__xludf.DUMMYFUNCTION("""COMPUTED_VALUE"""),"-")</f>
        <v>-</v>
      </c>
      <c r="L5034" s="19" t="str">
        <f>IFERROR(__xludf.DUMMYFUNCTION("""COMPUTED_VALUE"""),"-")</f>
        <v>-</v>
      </c>
      <c r="O5034" s="24">
        <f t="shared" si="4"/>
        <v>0</v>
      </c>
      <c r="P5034" s="24"/>
      <c r="Q5034" s="24">
        <f t="shared" si="6"/>
        <v>0</v>
      </c>
      <c r="R5034" s="24">
        <f t="shared" si="7"/>
        <v>0</v>
      </c>
      <c r="S5034" s="24"/>
      <c r="T5034" s="24"/>
    </row>
    <row r="5035">
      <c r="A5035" s="12" t="s">
        <v>5122</v>
      </c>
      <c r="F5035" s="19">
        <f>IFERROR(__xludf.DUMMYFUNCTION("SPLIT(A5031, "" |"")"),5029.0)</f>
        <v>5029</v>
      </c>
      <c r="G5035" s="19">
        <f>IFERROR(__xludf.DUMMYFUNCTION("""COMPUTED_VALUE"""),0.00232)</f>
        <v>0.00232</v>
      </c>
      <c r="H5035" s="19" t="str">
        <f>IFERROR(__xludf.DUMMYFUNCTION("""COMPUTED_VALUE"""),"-")</f>
        <v>-</v>
      </c>
      <c r="I5035" s="19">
        <f>IFERROR(__xludf.DUMMYFUNCTION("""COMPUTED_VALUE"""),0.00221)</f>
        <v>0.00221</v>
      </c>
      <c r="J5035" s="19">
        <f>IFERROR(__xludf.DUMMYFUNCTION("""COMPUTED_VALUE"""),0.0474)</f>
        <v>0.0474</v>
      </c>
      <c r="K5035" s="19" t="str">
        <f>IFERROR(__xludf.DUMMYFUNCTION("""COMPUTED_VALUE"""),"-")</f>
        <v>-</v>
      </c>
      <c r="L5035" s="19" t="str">
        <f>IFERROR(__xludf.DUMMYFUNCTION("""COMPUTED_VALUE"""),"-")</f>
        <v>-</v>
      </c>
      <c r="O5035" s="24">
        <f t="shared" si="4"/>
        <v>0</v>
      </c>
      <c r="P5035" s="24"/>
      <c r="Q5035" s="24">
        <f t="shared" si="6"/>
        <v>0</v>
      </c>
      <c r="R5035" s="24">
        <f t="shared" si="7"/>
        <v>0</v>
      </c>
      <c r="S5035" s="24"/>
      <c r="T5035" s="24"/>
    </row>
    <row r="5036">
      <c r="A5036" s="12" t="s">
        <v>5123</v>
      </c>
      <c r="F5036" s="19">
        <f>IFERROR(__xludf.DUMMYFUNCTION("SPLIT(A5032, "" |"")"),5030.0)</f>
        <v>5030</v>
      </c>
      <c r="G5036" s="19">
        <f>IFERROR(__xludf.DUMMYFUNCTION("""COMPUTED_VALUE"""),0.00231)</f>
        <v>0.00231</v>
      </c>
      <c r="H5036" s="19" t="str">
        <f>IFERROR(__xludf.DUMMYFUNCTION("""COMPUTED_VALUE"""),"-")</f>
        <v>-</v>
      </c>
      <c r="I5036" s="19">
        <f>IFERROR(__xludf.DUMMYFUNCTION("""COMPUTED_VALUE"""),0.00223)</f>
        <v>0.00223</v>
      </c>
      <c r="J5036" s="19">
        <f>IFERROR(__xludf.DUMMYFUNCTION("""COMPUTED_VALUE"""),0.04738)</f>
        <v>0.04738</v>
      </c>
      <c r="K5036" s="19" t="str">
        <f>IFERROR(__xludf.DUMMYFUNCTION("""COMPUTED_VALUE"""),"-")</f>
        <v>-</v>
      </c>
      <c r="L5036" s="19" t="str">
        <f>IFERROR(__xludf.DUMMYFUNCTION("""COMPUTED_VALUE"""),"-")</f>
        <v>-</v>
      </c>
      <c r="O5036" s="24">
        <f t="shared" si="4"/>
        <v>0</v>
      </c>
      <c r="P5036" s="24"/>
      <c r="Q5036" s="24">
        <f t="shared" si="6"/>
        <v>0</v>
      </c>
      <c r="R5036" s="24">
        <f t="shared" si="7"/>
        <v>0</v>
      </c>
      <c r="S5036" s="24"/>
      <c r="T5036" s="24"/>
    </row>
    <row r="5037">
      <c r="A5037" s="12" t="s">
        <v>5124</v>
      </c>
      <c r="F5037" s="19">
        <f>IFERROR(__xludf.DUMMYFUNCTION("SPLIT(A5033, "" |"")"),5031.0)</f>
        <v>5031</v>
      </c>
      <c r="G5037" s="19">
        <f>IFERROR(__xludf.DUMMYFUNCTION("""COMPUTED_VALUE"""),0.00236)</f>
        <v>0.00236</v>
      </c>
      <c r="H5037" s="19" t="str">
        <f>IFERROR(__xludf.DUMMYFUNCTION("""COMPUTED_VALUE"""),"-")</f>
        <v>-</v>
      </c>
      <c r="I5037" s="19">
        <f>IFERROR(__xludf.DUMMYFUNCTION("""COMPUTED_VALUE"""),0.00224)</f>
        <v>0.00224</v>
      </c>
      <c r="J5037" s="19">
        <f>IFERROR(__xludf.DUMMYFUNCTION("""COMPUTED_VALUE"""),0.04706)</f>
        <v>0.04706</v>
      </c>
      <c r="K5037" s="19" t="str">
        <f>IFERROR(__xludf.DUMMYFUNCTION("""COMPUTED_VALUE"""),"-")</f>
        <v>-</v>
      </c>
      <c r="L5037" s="19" t="str">
        <f>IFERROR(__xludf.DUMMYFUNCTION("""COMPUTED_VALUE"""),"-")</f>
        <v>-</v>
      </c>
      <c r="O5037" s="24">
        <f t="shared" si="4"/>
        <v>0</v>
      </c>
      <c r="P5037" s="24"/>
      <c r="Q5037" s="24">
        <f t="shared" si="6"/>
        <v>0</v>
      </c>
      <c r="R5037" s="24">
        <f t="shared" si="7"/>
        <v>0</v>
      </c>
      <c r="S5037" s="24"/>
      <c r="T5037" s="24"/>
    </row>
    <row r="5038">
      <c r="A5038" s="12" t="s">
        <v>5125</v>
      </c>
      <c r="F5038" s="19">
        <f>IFERROR(__xludf.DUMMYFUNCTION("SPLIT(A5034, "" |"")"),5032.0)</f>
        <v>5032</v>
      </c>
      <c r="G5038" s="19">
        <f>IFERROR(__xludf.DUMMYFUNCTION("""COMPUTED_VALUE"""),0.00236)</f>
        <v>0.00236</v>
      </c>
      <c r="H5038" s="19" t="str">
        <f>IFERROR(__xludf.DUMMYFUNCTION("""COMPUTED_VALUE"""),"-")</f>
        <v>-</v>
      </c>
      <c r="I5038" s="19">
        <f>IFERROR(__xludf.DUMMYFUNCTION("""COMPUTED_VALUE"""),0.00221)</f>
        <v>0.00221</v>
      </c>
      <c r="J5038" s="19">
        <f>IFERROR(__xludf.DUMMYFUNCTION("""COMPUTED_VALUE"""),0.04736)</f>
        <v>0.04736</v>
      </c>
      <c r="K5038" s="19" t="str">
        <f>IFERROR(__xludf.DUMMYFUNCTION("""COMPUTED_VALUE"""),"-")</f>
        <v>-</v>
      </c>
      <c r="L5038" s="19" t="str">
        <f>IFERROR(__xludf.DUMMYFUNCTION("""COMPUTED_VALUE"""),"-")</f>
        <v>-</v>
      </c>
      <c r="O5038" s="24">
        <f t="shared" si="4"/>
        <v>0</v>
      </c>
      <c r="P5038" s="24"/>
      <c r="Q5038" s="24">
        <f t="shared" si="6"/>
        <v>0</v>
      </c>
      <c r="R5038" s="24">
        <f t="shared" si="7"/>
        <v>0</v>
      </c>
      <c r="S5038" s="24"/>
      <c r="T5038" s="24"/>
    </row>
    <row r="5039">
      <c r="A5039" s="12" t="s">
        <v>5126</v>
      </c>
      <c r="F5039" s="19">
        <f>IFERROR(__xludf.DUMMYFUNCTION("SPLIT(A5035, "" |"")"),5033.0)</f>
        <v>5033</v>
      </c>
      <c r="G5039" s="19">
        <f>IFERROR(__xludf.DUMMYFUNCTION("""COMPUTED_VALUE"""),0.00236)</f>
        <v>0.00236</v>
      </c>
      <c r="H5039" s="19" t="str">
        <f>IFERROR(__xludf.DUMMYFUNCTION("""COMPUTED_VALUE"""),"-")</f>
        <v>-</v>
      </c>
      <c r="I5039" s="19">
        <f>IFERROR(__xludf.DUMMYFUNCTION("""COMPUTED_VALUE"""),0.00225)</f>
        <v>0.00225</v>
      </c>
      <c r="J5039" s="19">
        <f>IFERROR(__xludf.DUMMYFUNCTION("""COMPUTED_VALUE"""),0.04631)</f>
        <v>0.04631</v>
      </c>
      <c r="K5039" s="19" t="str">
        <f>IFERROR(__xludf.DUMMYFUNCTION("""COMPUTED_VALUE"""),"-")</f>
        <v>-</v>
      </c>
      <c r="L5039" s="19" t="str">
        <f>IFERROR(__xludf.DUMMYFUNCTION("""COMPUTED_VALUE"""),"-")</f>
        <v>-</v>
      </c>
      <c r="O5039" s="24">
        <f t="shared" si="4"/>
        <v>0</v>
      </c>
      <c r="P5039" s="24"/>
      <c r="Q5039" s="24">
        <f t="shared" si="6"/>
        <v>0</v>
      </c>
      <c r="R5039" s="24">
        <f t="shared" si="7"/>
        <v>0</v>
      </c>
      <c r="S5039" s="24"/>
      <c r="T5039" s="24"/>
    </row>
    <row r="5040">
      <c r="A5040" s="12" t="s">
        <v>5127</v>
      </c>
      <c r="F5040" s="19">
        <f>IFERROR(__xludf.DUMMYFUNCTION("SPLIT(A5036, "" |"")"),5034.0)</f>
        <v>5034</v>
      </c>
      <c r="G5040" s="19">
        <f>IFERROR(__xludf.DUMMYFUNCTION("""COMPUTED_VALUE"""),0.0024)</f>
        <v>0.0024</v>
      </c>
      <c r="H5040" s="19" t="str">
        <f>IFERROR(__xludf.DUMMYFUNCTION("""COMPUTED_VALUE"""),"-")</f>
        <v>-</v>
      </c>
      <c r="I5040" s="19">
        <f>IFERROR(__xludf.DUMMYFUNCTION("""COMPUTED_VALUE"""),0.00218)</f>
        <v>0.00218</v>
      </c>
      <c r="J5040" s="19">
        <f>IFERROR(__xludf.DUMMYFUNCTION("""COMPUTED_VALUE"""),0.04746)</f>
        <v>0.04746</v>
      </c>
      <c r="K5040" s="19" t="str">
        <f>IFERROR(__xludf.DUMMYFUNCTION("""COMPUTED_VALUE"""),"-")</f>
        <v>-</v>
      </c>
      <c r="L5040" s="19" t="str">
        <f>IFERROR(__xludf.DUMMYFUNCTION("""COMPUTED_VALUE"""),"-")</f>
        <v>-</v>
      </c>
      <c r="O5040" s="24">
        <f t="shared" si="4"/>
        <v>0</v>
      </c>
      <c r="P5040" s="24"/>
      <c r="Q5040" s="24">
        <f t="shared" si="6"/>
        <v>0</v>
      </c>
      <c r="R5040" s="24">
        <f t="shared" si="7"/>
        <v>0</v>
      </c>
      <c r="S5040" s="24"/>
      <c r="T5040" s="24"/>
    </row>
    <row r="5041">
      <c r="A5041" s="12" t="s">
        <v>5128</v>
      </c>
      <c r="F5041" s="19">
        <f>IFERROR(__xludf.DUMMYFUNCTION("SPLIT(A5037, "" |"")"),5035.0)</f>
        <v>5035</v>
      </c>
      <c r="G5041" s="19">
        <f>IFERROR(__xludf.DUMMYFUNCTION("""COMPUTED_VALUE"""),0.00238)</f>
        <v>0.00238</v>
      </c>
      <c r="H5041" s="19" t="str">
        <f>IFERROR(__xludf.DUMMYFUNCTION("""COMPUTED_VALUE"""),"-")</f>
        <v>-</v>
      </c>
      <c r="I5041" s="19">
        <f>IFERROR(__xludf.DUMMYFUNCTION("""COMPUTED_VALUE"""),0.00217)</f>
        <v>0.00217</v>
      </c>
      <c r="J5041" s="19">
        <f>IFERROR(__xludf.DUMMYFUNCTION("""COMPUTED_VALUE"""),0.03955)</f>
        <v>0.03955</v>
      </c>
      <c r="K5041" s="19" t="str">
        <f>IFERROR(__xludf.DUMMYFUNCTION("""COMPUTED_VALUE"""),"-")</f>
        <v>-</v>
      </c>
      <c r="L5041" s="19" t="str">
        <f>IFERROR(__xludf.DUMMYFUNCTION("""COMPUTED_VALUE"""),"-")</f>
        <v>-</v>
      </c>
      <c r="O5041" s="24">
        <f t="shared" si="4"/>
        <v>0</v>
      </c>
      <c r="P5041" s="24"/>
      <c r="Q5041" s="24">
        <f t="shared" si="6"/>
        <v>0</v>
      </c>
      <c r="R5041" s="24">
        <f t="shared" si="7"/>
        <v>1</v>
      </c>
      <c r="S5041" s="24"/>
      <c r="T5041" s="24"/>
    </row>
    <row r="5042">
      <c r="A5042" s="12" t="s">
        <v>5129</v>
      </c>
      <c r="F5042" s="19">
        <f>IFERROR(__xludf.DUMMYFUNCTION("SPLIT(A5038, "" |"")"),5036.0)</f>
        <v>5036</v>
      </c>
      <c r="G5042" s="19">
        <f>IFERROR(__xludf.DUMMYFUNCTION("""COMPUTED_VALUE"""),0.00221)</f>
        <v>0.00221</v>
      </c>
      <c r="H5042" s="19" t="str">
        <f>IFERROR(__xludf.DUMMYFUNCTION("""COMPUTED_VALUE"""),"-")</f>
        <v>-</v>
      </c>
      <c r="I5042" s="19">
        <f>IFERROR(__xludf.DUMMYFUNCTION("""COMPUTED_VALUE"""),0.00215)</f>
        <v>0.00215</v>
      </c>
      <c r="J5042" s="19">
        <f>IFERROR(__xludf.DUMMYFUNCTION("""COMPUTED_VALUE"""),0.04747)</f>
        <v>0.04747</v>
      </c>
      <c r="K5042" s="19" t="str">
        <f>IFERROR(__xludf.DUMMYFUNCTION("""COMPUTED_VALUE"""),"-")</f>
        <v>-</v>
      </c>
      <c r="L5042" s="19" t="str">
        <f>IFERROR(__xludf.DUMMYFUNCTION("""COMPUTED_VALUE"""),"-")</f>
        <v>-</v>
      </c>
      <c r="O5042" s="24">
        <f t="shared" si="4"/>
        <v>0</v>
      </c>
      <c r="P5042" s="24"/>
      <c r="Q5042" s="24">
        <f t="shared" si="6"/>
        <v>0</v>
      </c>
      <c r="R5042" s="24">
        <f t="shared" si="7"/>
        <v>0</v>
      </c>
      <c r="S5042" s="24"/>
      <c r="T5042" s="24"/>
    </row>
    <row r="5043">
      <c r="A5043" s="12" t="s">
        <v>5130</v>
      </c>
      <c r="F5043" s="19">
        <f>IFERROR(__xludf.DUMMYFUNCTION("SPLIT(A5039, "" |"")"),5037.0)</f>
        <v>5037</v>
      </c>
      <c r="G5043" s="19">
        <f>IFERROR(__xludf.DUMMYFUNCTION("""COMPUTED_VALUE"""),0.00242)</f>
        <v>0.00242</v>
      </c>
      <c r="H5043" s="19" t="str">
        <f>IFERROR(__xludf.DUMMYFUNCTION("""COMPUTED_VALUE"""),"-")</f>
        <v>-</v>
      </c>
      <c r="I5043" s="19">
        <f>IFERROR(__xludf.DUMMYFUNCTION("""COMPUTED_VALUE"""),0.00221)</f>
        <v>0.00221</v>
      </c>
      <c r="J5043" s="19">
        <f>IFERROR(__xludf.DUMMYFUNCTION("""COMPUTED_VALUE"""),0.04745)</f>
        <v>0.04745</v>
      </c>
      <c r="K5043" s="19" t="str">
        <f>IFERROR(__xludf.DUMMYFUNCTION("""COMPUTED_VALUE"""),"-")</f>
        <v>-</v>
      </c>
      <c r="L5043" s="19" t="str">
        <f>IFERROR(__xludf.DUMMYFUNCTION("""COMPUTED_VALUE"""),"-")</f>
        <v>-</v>
      </c>
      <c r="O5043" s="24">
        <f t="shared" si="4"/>
        <v>0</v>
      </c>
      <c r="P5043" s="24"/>
      <c r="Q5043" s="24">
        <f t="shared" si="6"/>
        <v>0</v>
      </c>
      <c r="R5043" s="24">
        <f t="shared" si="7"/>
        <v>0</v>
      </c>
      <c r="S5043" s="24"/>
      <c r="T5043" s="24"/>
    </row>
    <row r="5044">
      <c r="A5044" s="12" t="s">
        <v>5131</v>
      </c>
      <c r="F5044" s="19">
        <f>IFERROR(__xludf.DUMMYFUNCTION("SPLIT(A5040, "" |"")"),5038.0)</f>
        <v>5038</v>
      </c>
      <c r="G5044" s="19">
        <f>IFERROR(__xludf.DUMMYFUNCTION("""COMPUTED_VALUE"""),0.00237)</f>
        <v>0.00237</v>
      </c>
      <c r="H5044" s="19" t="str">
        <f>IFERROR(__xludf.DUMMYFUNCTION("""COMPUTED_VALUE"""),"-")</f>
        <v>-</v>
      </c>
      <c r="I5044" s="19">
        <f>IFERROR(__xludf.DUMMYFUNCTION("""COMPUTED_VALUE"""),0.00218)</f>
        <v>0.00218</v>
      </c>
      <c r="J5044" s="19">
        <f>IFERROR(__xludf.DUMMYFUNCTION("""COMPUTED_VALUE"""),0.04743)</f>
        <v>0.04743</v>
      </c>
      <c r="K5044" s="19" t="str">
        <f>IFERROR(__xludf.DUMMYFUNCTION("""COMPUTED_VALUE"""),"-")</f>
        <v>-</v>
      </c>
      <c r="L5044" s="19" t="str">
        <f>IFERROR(__xludf.DUMMYFUNCTION("""COMPUTED_VALUE"""),"-")</f>
        <v>-</v>
      </c>
      <c r="O5044" s="24">
        <f t="shared" si="4"/>
        <v>0</v>
      </c>
      <c r="P5044" s="24"/>
      <c r="Q5044" s="24">
        <f t="shared" si="6"/>
        <v>0</v>
      </c>
      <c r="R5044" s="24">
        <f t="shared" si="7"/>
        <v>0</v>
      </c>
      <c r="S5044" s="24"/>
      <c r="T5044" s="24"/>
    </row>
    <row r="5045">
      <c r="A5045" s="12" t="s">
        <v>5132</v>
      </c>
      <c r="F5045" s="19">
        <f>IFERROR(__xludf.DUMMYFUNCTION("SPLIT(A5041, "" |"")"),5039.0)</f>
        <v>5039</v>
      </c>
      <c r="G5045" s="19">
        <f>IFERROR(__xludf.DUMMYFUNCTION("""COMPUTED_VALUE"""),0.00234)</f>
        <v>0.00234</v>
      </c>
      <c r="H5045" s="19" t="str">
        <f>IFERROR(__xludf.DUMMYFUNCTION("""COMPUTED_VALUE"""),"-")</f>
        <v>-</v>
      </c>
      <c r="I5045" s="19">
        <f>IFERROR(__xludf.DUMMYFUNCTION("""COMPUTED_VALUE"""),0.0022)</f>
        <v>0.0022</v>
      </c>
      <c r="J5045" s="19">
        <f>IFERROR(__xludf.DUMMYFUNCTION("""COMPUTED_VALUE"""),0.04744)</f>
        <v>0.04744</v>
      </c>
      <c r="K5045" s="19" t="str">
        <f>IFERROR(__xludf.DUMMYFUNCTION("""COMPUTED_VALUE"""),"-")</f>
        <v>-</v>
      </c>
      <c r="L5045" s="19" t="str">
        <f>IFERROR(__xludf.DUMMYFUNCTION("""COMPUTED_VALUE"""),"-")</f>
        <v>-</v>
      </c>
      <c r="O5045" s="24">
        <f t="shared" si="4"/>
        <v>0</v>
      </c>
      <c r="P5045" s="24"/>
      <c r="Q5045" s="24">
        <f t="shared" si="6"/>
        <v>0</v>
      </c>
      <c r="R5045" s="24">
        <f t="shared" si="7"/>
        <v>0</v>
      </c>
      <c r="S5045" s="24"/>
      <c r="T5045" s="24"/>
    </row>
    <row r="5046">
      <c r="A5046" s="12" t="s">
        <v>5133</v>
      </c>
      <c r="F5046" s="19">
        <f>IFERROR(__xludf.DUMMYFUNCTION("SPLIT(A5042, "" |"")"),5040.0)</f>
        <v>5040</v>
      </c>
      <c r="G5046" s="19">
        <f>IFERROR(__xludf.DUMMYFUNCTION("""COMPUTED_VALUE"""),0.00237)</f>
        <v>0.00237</v>
      </c>
      <c r="H5046" s="19" t="str">
        <f>IFERROR(__xludf.DUMMYFUNCTION("""COMPUTED_VALUE"""),"-")</f>
        <v>-</v>
      </c>
      <c r="I5046" s="19">
        <f>IFERROR(__xludf.DUMMYFUNCTION("""COMPUTED_VALUE"""),0.00219)</f>
        <v>0.00219</v>
      </c>
      <c r="J5046" s="19">
        <f>IFERROR(__xludf.DUMMYFUNCTION("""COMPUTED_VALUE"""),0.04748)</f>
        <v>0.04748</v>
      </c>
      <c r="K5046" s="19" t="str">
        <f>IFERROR(__xludf.DUMMYFUNCTION("""COMPUTED_VALUE"""),"-")</f>
        <v>-</v>
      </c>
      <c r="L5046" s="19" t="str">
        <f>IFERROR(__xludf.DUMMYFUNCTION("""COMPUTED_VALUE"""),"-")</f>
        <v>-</v>
      </c>
      <c r="O5046" s="24">
        <f t="shared" si="4"/>
        <v>0</v>
      </c>
      <c r="P5046" s="24"/>
      <c r="Q5046" s="24">
        <f t="shared" si="6"/>
        <v>0</v>
      </c>
      <c r="R5046" s="24">
        <f t="shared" si="7"/>
        <v>0</v>
      </c>
      <c r="S5046" s="24"/>
      <c r="T5046" s="24"/>
    </row>
    <row r="5047">
      <c r="A5047" s="12" t="s">
        <v>5134</v>
      </c>
      <c r="F5047" s="19">
        <f>IFERROR(__xludf.DUMMYFUNCTION("SPLIT(A5043, "" |"")"),5041.0)</f>
        <v>5041</v>
      </c>
      <c r="G5047" s="19">
        <f>IFERROR(__xludf.DUMMYFUNCTION("""COMPUTED_VALUE"""),0.00235)</f>
        <v>0.00235</v>
      </c>
      <c r="H5047" s="19" t="str">
        <f>IFERROR(__xludf.DUMMYFUNCTION("""COMPUTED_VALUE"""),"-")</f>
        <v>-</v>
      </c>
      <c r="I5047" s="19">
        <f>IFERROR(__xludf.DUMMYFUNCTION("""COMPUTED_VALUE"""),0.00222)</f>
        <v>0.00222</v>
      </c>
      <c r="J5047" s="19">
        <f>IFERROR(__xludf.DUMMYFUNCTION("""COMPUTED_VALUE"""),0.04745)</f>
        <v>0.04745</v>
      </c>
      <c r="K5047" s="19" t="str">
        <f>IFERROR(__xludf.DUMMYFUNCTION("""COMPUTED_VALUE"""),"-")</f>
        <v>-</v>
      </c>
      <c r="L5047" s="19" t="str">
        <f>IFERROR(__xludf.DUMMYFUNCTION("""COMPUTED_VALUE"""),"-")</f>
        <v>-</v>
      </c>
      <c r="O5047" s="24">
        <f t="shared" si="4"/>
        <v>0</v>
      </c>
      <c r="P5047" s="24"/>
      <c r="Q5047" s="24">
        <f t="shared" si="6"/>
        <v>0</v>
      </c>
      <c r="R5047" s="24">
        <f t="shared" si="7"/>
        <v>0</v>
      </c>
      <c r="S5047" s="24"/>
      <c r="T5047" s="24"/>
    </row>
    <row r="5048">
      <c r="A5048" s="12" t="s">
        <v>5135</v>
      </c>
      <c r="F5048" s="19">
        <f>IFERROR(__xludf.DUMMYFUNCTION("SPLIT(A5044, "" |"")"),5042.0)</f>
        <v>5042</v>
      </c>
      <c r="G5048" s="19">
        <f>IFERROR(__xludf.DUMMYFUNCTION("""COMPUTED_VALUE"""),0.0023)</f>
        <v>0.0023</v>
      </c>
      <c r="H5048" s="19" t="str">
        <f>IFERROR(__xludf.DUMMYFUNCTION("""COMPUTED_VALUE"""),"-")</f>
        <v>-</v>
      </c>
      <c r="I5048" s="19">
        <f>IFERROR(__xludf.DUMMYFUNCTION("""COMPUTED_VALUE"""),0.00213)</f>
        <v>0.00213</v>
      </c>
      <c r="J5048" s="19">
        <f>IFERROR(__xludf.DUMMYFUNCTION("""COMPUTED_VALUE"""),0.04744)</f>
        <v>0.04744</v>
      </c>
      <c r="K5048" s="19" t="str">
        <f>IFERROR(__xludf.DUMMYFUNCTION("""COMPUTED_VALUE"""),"-")</f>
        <v>-</v>
      </c>
      <c r="L5048" s="19" t="str">
        <f>IFERROR(__xludf.DUMMYFUNCTION("""COMPUTED_VALUE"""),"-")</f>
        <v>-</v>
      </c>
      <c r="O5048" s="24">
        <f t="shared" si="4"/>
        <v>0</v>
      </c>
      <c r="P5048" s="24"/>
      <c r="Q5048" s="24">
        <f t="shared" si="6"/>
        <v>0</v>
      </c>
      <c r="R5048" s="24">
        <f t="shared" si="7"/>
        <v>0</v>
      </c>
      <c r="S5048" s="24"/>
      <c r="T5048" s="24"/>
    </row>
    <row r="5049">
      <c r="A5049" s="12" t="s">
        <v>5136</v>
      </c>
      <c r="F5049" s="19">
        <f>IFERROR(__xludf.DUMMYFUNCTION("SPLIT(A5045, "" |"")"),5043.0)</f>
        <v>5043</v>
      </c>
      <c r="G5049" s="19">
        <f>IFERROR(__xludf.DUMMYFUNCTION("""COMPUTED_VALUE"""),0.00237)</f>
        <v>0.00237</v>
      </c>
      <c r="H5049" s="19" t="str">
        <f>IFERROR(__xludf.DUMMYFUNCTION("""COMPUTED_VALUE"""),"-")</f>
        <v>-</v>
      </c>
      <c r="I5049" s="19">
        <f>IFERROR(__xludf.DUMMYFUNCTION("""COMPUTED_VALUE"""),0.0022)</f>
        <v>0.0022</v>
      </c>
      <c r="J5049" s="19">
        <f>IFERROR(__xludf.DUMMYFUNCTION("""COMPUTED_VALUE"""),0.04743)</f>
        <v>0.04743</v>
      </c>
      <c r="K5049" s="19" t="str">
        <f>IFERROR(__xludf.DUMMYFUNCTION("""COMPUTED_VALUE"""),"-")</f>
        <v>-</v>
      </c>
      <c r="L5049" s="19" t="str">
        <f>IFERROR(__xludf.DUMMYFUNCTION("""COMPUTED_VALUE"""),"-")</f>
        <v>-</v>
      </c>
      <c r="O5049" s="24">
        <f t="shared" si="4"/>
        <v>0</v>
      </c>
      <c r="P5049" s="24"/>
      <c r="Q5049" s="24">
        <f t="shared" si="6"/>
        <v>0</v>
      </c>
      <c r="R5049" s="24">
        <f t="shared" si="7"/>
        <v>0</v>
      </c>
      <c r="S5049" s="24"/>
      <c r="T5049" s="24"/>
    </row>
    <row r="5050">
      <c r="A5050" s="12" t="s">
        <v>5137</v>
      </c>
      <c r="F5050" s="19">
        <f>IFERROR(__xludf.DUMMYFUNCTION("SPLIT(A5046, "" |"")"),5044.0)</f>
        <v>5044</v>
      </c>
      <c r="G5050" s="19">
        <f>IFERROR(__xludf.DUMMYFUNCTION("""COMPUTED_VALUE"""),0.00231)</f>
        <v>0.00231</v>
      </c>
      <c r="H5050" s="19" t="str">
        <f>IFERROR(__xludf.DUMMYFUNCTION("""COMPUTED_VALUE"""),"-")</f>
        <v>-</v>
      </c>
      <c r="I5050" s="19">
        <f>IFERROR(__xludf.DUMMYFUNCTION("""COMPUTED_VALUE"""),0.00224)</f>
        <v>0.00224</v>
      </c>
      <c r="J5050" s="19">
        <f>IFERROR(__xludf.DUMMYFUNCTION("""COMPUTED_VALUE"""),0.04462)</f>
        <v>0.04462</v>
      </c>
      <c r="K5050" s="19" t="str">
        <f>IFERROR(__xludf.DUMMYFUNCTION("""COMPUTED_VALUE"""),"-")</f>
        <v>-</v>
      </c>
      <c r="L5050" s="19" t="str">
        <f>IFERROR(__xludf.DUMMYFUNCTION("""COMPUTED_VALUE"""),"-")</f>
        <v>-</v>
      </c>
      <c r="O5050" s="24">
        <f t="shared" si="4"/>
        <v>0</v>
      </c>
      <c r="P5050" s="24"/>
      <c r="Q5050" s="24">
        <f t="shared" si="6"/>
        <v>0</v>
      </c>
      <c r="R5050" s="24">
        <f t="shared" si="7"/>
        <v>1</v>
      </c>
      <c r="S5050" s="24"/>
      <c r="T5050" s="24"/>
    </row>
    <row r="5051">
      <c r="A5051" s="12" t="s">
        <v>5138</v>
      </c>
      <c r="F5051" s="19">
        <f>IFERROR(__xludf.DUMMYFUNCTION("SPLIT(A5047, "" |"")"),5045.0)</f>
        <v>5045</v>
      </c>
      <c r="G5051" s="19">
        <f>IFERROR(__xludf.DUMMYFUNCTION("""COMPUTED_VALUE"""),0.00236)</f>
        <v>0.00236</v>
      </c>
      <c r="H5051" s="19" t="str">
        <f>IFERROR(__xludf.DUMMYFUNCTION("""COMPUTED_VALUE"""),"-")</f>
        <v>-</v>
      </c>
      <c r="I5051" s="19">
        <f>IFERROR(__xludf.DUMMYFUNCTION("""COMPUTED_VALUE"""),0.00221)</f>
        <v>0.00221</v>
      </c>
      <c r="J5051" s="19">
        <f>IFERROR(__xludf.DUMMYFUNCTION("""COMPUTED_VALUE"""),0.04738)</f>
        <v>0.04738</v>
      </c>
      <c r="K5051" s="19" t="str">
        <f>IFERROR(__xludf.DUMMYFUNCTION("""COMPUTED_VALUE"""),"-")</f>
        <v>-</v>
      </c>
      <c r="L5051" s="19" t="str">
        <f>IFERROR(__xludf.DUMMYFUNCTION("""COMPUTED_VALUE"""),"-")</f>
        <v>-</v>
      </c>
      <c r="O5051" s="24">
        <f t="shared" si="4"/>
        <v>0</v>
      </c>
      <c r="P5051" s="24"/>
      <c r="Q5051" s="24">
        <f t="shared" si="6"/>
        <v>0</v>
      </c>
      <c r="R5051" s="24">
        <f t="shared" si="7"/>
        <v>0</v>
      </c>
      <c r="S5051" s="24"/>
      <c r="T5051" s="24"/>
    </row>
    <row r="5052">
      <c r="A5052" s="12" t="s">
        <v>5139</v>
      </c>
      <c r="F5052" s="19">
        <f>IFERROR(__xludf.DUMMYFUNCTION("SPLIT(A5048, "" |"")"),5046.0)</f>
        <v>5046</v>
      </c>
      <c r="G5052" s="19">
        <f>IFERROR(__xludf.DUMMYFUNCTION("""COMPUTED_VALUE"""),0.00242)</f>
        <v>0.00242</v>
      </c>
      <c r="H5052" s="19" t="str">
        <f>IFERROR(__xludf.DUMMYFUNCTION("""COMPUTED_VALUE"""),"-")</f>
        <v>-</v>
      </c>
      <c r="I5052" s="19">
        <f>IFERROR(__xludf.DUMMYFUNCTION("""COMPUTED_VALUE"""),0.00222)</f>
        <v>0.00222</v>
      </c>
      <c r="J5052" s="19">
        <f>IFERROR(__xludf.DUMMYFUNCTION("""COMPUTED_VALUE"""),0.04745)</f>
        <v>0.04745</v>
      </c>
      <c r="K5052" s="19" t="str">
        <f>IFERROR(__xludf.DUMMYFUNCTION("""COMPUTED_VALUE"""),"-")</f>
        <v>-</v>
      </c>
      <c r="L5052" s="19" t="str">
        <f>IFERROR(__xludf.DUMMYFUNCTION("""COMPUTED_VALUE"""),"-")</f>
        <v>-</v>
      </c>
      <c r="O5052" s="24">
        <f t="shared" si="4"/>
        <v>0</v>
      </c>
      <c r="P5052" s="24"/>
      <c r="Q5052" s="24">
        <f t="shared" si="6"/>
        <v>0</v>
      </c>
      <c r="R5052" s="24">
        <f t="shared" si="7"/>
        <v>0</v>
      </c>
      <c r="S5052" s="24"/>
      <c r="T5052" s="24"/>
    </row>
    <row r="5053">
      <c r="A5053" s="12" t="s">
        <v>5140</v>
      </c>
      <c r="F5053" s="19">
        <f>IFERROR(__xludf.DUMMYFUNCTION("SPLIT(A5049, "" |"")"),5047.0)</f>
        <v>5047</v>
      </c>
      <c r="G5053" s="19">
        <f>IFERROR(__xludf.DUMMYFUNCTION("""COMPUTED_VALUE"""),0.00239)</f>
        <v>0.00239</v>
      </c>
      <c r="H5053" s="19" t="str">
        <f>IFERROR(__xludf.DUMMYFUNCTION("""COMPUTED_VALUE"""),"-")</f>
        <v>-</v>
      </c>
      <c r="I5053" s="19">
        <f>IFERROR(__xludf.DUMMYFUNCTION("""COMPUTED_VALUE"""),0.00223)</f>
        <v>0.00223</v>
      </c>
      <c r="J5053" s="19">
        <f>IFERROR(__xludf.DUMMYFUNCTION("""COMPUTED_VALUE"""),0.0462)</f>
        <v>0.0462</v>
      </c>
      <c r="K5053" s="19" t="str">
        <f>IFERROR(__xludf.DUMMYFUNCTION("""COMPUTED_VALUE"""),"-")</f>
        <v>-</v>
      </c>
      <c r="L5053" s="19" t="str">
        <f>IFERROR(__xludf.DUMMYFUNCTION("""COMPUTED_VALUE"""),"-")</f>
        <v>-</v>
      </c>
      <c r="O5053" s="24">
        <f t="shared" si="4"/>
        <v>0</v>
      </c>
      <c r="P5053" s="24"/>
      <c r="Q5053" s="24">
        <f t="shared" si="6"/>
        <v>0</v>
      </c>
      <c r="R5053" s="24">
        <f t="shared" si="7"/>
        <v>0</v>
      </c>
      <c r="S5053" s="24"/>
      <c r="T5053" s="24"/>
    </row>
    <row r="5054">
      <c r="A5054" s="12" t="s">
        <v>5141</v>
      </c>
      <c r="F5054" s="19">
        <f>IFERROR(__xludf.DUMMYFUNCTION("SPLIT(A5050, "" |"")"),5048.0)</f>
        <v>5048</v>
      </c>
      <c r="G5054" s="19">
        <f>IFERROR(__xludf.DUMMYFUNCTION("""COMPUTED_VALUE"""),0.00239)</f>
        <v>0.00239</v>
      </c>
      <c r="H5054" s="19" t="str">
        <f>IFERROR(__xludf.DUMMYFUNCTION("""COMPUTED_VALUE"""),"-")</f>
        <v>-</v>
      </c>
      <c r="I5054" s="19">
        <f>IFERROR(__xludf.DUMMYFUNCTION("""COMPUTED_VALUE"""),0.0022)</f>
        <v>0.0022</v>
      </c>
      <c r="J5054" s="19">
        <f>IFERROR(__xludf.DUMMYFUNCTION("""COMPUTED_VALUE"""),0.04743)</f>
        <v>0.04743</v>
      </c>
      <c r="K5054" s="19" t="str">
        <f>IFERROR(__xludf.DUMMYFUNCTION("""COMPUTED_VALUE"""),"-")</f>
        <v>-</v>
      </c>
      <c r="L5054" s="19" t="str">
        <f>IFERROR(__xludf.DUMMYFUNCTION("""COMPUTED_VALUE"""),"-")</f>
        <v>-</v>
      </c>
      <c r="O5054" s="24">
        <f t="shared" si="4"/>
        <v>0</v>
      </c>
      <c r="P5054" s="24"/>
      <c r="Q5054" s="24">
        <f t="shared" si="6"/>
        <v>0</v>
      </c>
      <c r="R5054" s="24">
        <f t="shared" si="7"/>
        <v>0</v>
      </c>
      <c r="S5054" s="24"/>
      <c r="T5054" s="24"/>
    </row>
    <row r="5055">
      <c r="A5055" s="12" t="s">
        <v>5142</v>
      </c>
      <c r="F5055" s="19">
        <f>IFERROR(__xludf.DUMMYFUNCTION("SPLIT(A5051, "" |"")"),5049.0)</f>
        <v>5049</v>
      </c>
      <c r="G5055" s="19">
        <f>IFERROR(__xludf.DUMMYFUNCTION("""COMPUTED_VALUE"""),0.00236)</f>
        <v>0.00236</v>
      </c>
      <c r="H5055" s="19" t="str">
        <f>IFERROR(__xludf.DUMMYFUNCTION("""COMPUTED_VALUE"""),"-")</f>
        <v>-</v>
      </c>
      <c r="I5055" s="19">
        <f>IFERROR(__xludf.DUMMYFUNCTION("""COMPUTED_VALUE"""),0.00223)</f>
        <v>0.00223</v>
      </c>
      <c r="J5055" s="19">
        <f>IFERROR(__xludf.DUMMYFUNCTION("""COMPUTED_VALUE"""),0.04045)</f>
        <v>0.04045</v>
      </c>
      <c r="K5055" s="19" t="str">
        <f>IFERROR(__xludf.DUMMYFUNCTION("""COMPUTED_VALUE"""),"-")</f>
        <v>-</v>
      </c>
      <c r="L5055" s="19" t="str">
        <f>IFERROR(__xludf.DUMMYFUNCTION("""COMPUTED_VALUE"""),"-")</f>
        <v>-</v>
      </c>
      <c r="O5055" s="24">
        <f t="shared" si="4"/>
        <v>0</v>
      </c>
      <c r="P5055" s="24"/>
      <c r="Q5055" s="24">
        <f t="shared" si="6"/>
        <v>0</v>
      </c>
      <c r="R5055" s="24">
        <f t="shared" si="7"/>
        <v>1</v>
      </c>
      <c r="S5055" s="24"/>
      <c r="T5055" s="24"/>
    </row>
    <row r="5056">
      <c r="A5056" s="12" t="s">
        <v>5143</v>
      </c>
      <c r="F5056" s="19">
        <f>IFERROR(__xludf.DUMMYFUNCTION("SPLIT(A5052, "" |"")"),5050.0)</f>
        <v>5050</v>
      </c>
      <c r="G5056" s="19">
        <f>IFERROR(__xludf.DUMMYFUNCTION("""COMPUTED_VALUE"""),0.00234)</f>
        <v>0.00234</v>
      </c>
      <c r="H5056" s="19" t="str">
        <f>IFERROR(__xludf.DUMMYFUNCTION("""COMPUTED_VALUE"""),"-")</f>
        <v>-</v>
      </c>
      <c r="I5056" s="19">
        <f>IFERROR(__xludf.DUMMYFUNCTION("""COMPUTED_VALUE"""),0.00221)</f>
        <v>0.00221</v>
      </c>
      <c r="J5056" s="19">
        <f>IFERROR(__xludf.DUMMYFUNCTION("""COMPUTED_VALUE"""),0.04744)</f>
        <v>0.04744</v>
      </c>
      <c r="K5056" s="19" t="str">
        <f>IFERROR(__xludf.DUMMYFUNCTION("""COMPUTED_VALUE"""),"-")</f>
        <v>-</v>
      </c>
      <c r="L5056" s="19" t="str">
        <f>IFERROR(__xludf.DUMMYFUNCTION("""COMPUTED_VALUE"""),"-")</f>
        <v>-</v>
      </c>
      <c r="O5056" s="24">
        <f t="shared" si="4"/>
        <v>0</v>
      </c>
      <c r="P5056" s="24"/>
      <c r="Q5056" s="24">
        <f t="shared" si="6"/>
        <v>0</v>
      </c>
      <c r="R5056" s="24">
        <f t="shared" si="7"/>
        <v>0</v>
      </c>
      <c r="S5056" s="24"/>
      <c r="T5056" s="24"/>
    </row>
    <row r="5057">
      <c r="A5057" s="12" t="s">
        <v>5144</v>
      </c>
      <c r="F5057" s="19">
        <f>IFERROR(__xludf.DUMMYFUNCTION("SPLIT(A5053, "" |"")"),5051.0)</f>
        <v>5051</v>
      </c>
      <c r="G5057" s="19">
        <f>IFERROR(__xludf.DUMMYFUNCTION("""COMPUTED_VALUE"""),0.0024)</f>
        <v>0.0024</v>
      </c>
      <c r="H5057" s="19" t="str">
        <f>IFERROR(__xludf.DUMMYFUNCTION("""COMPUTED_VALUE"""),"-")</f>
        <v>-</v>
      </c>
      <c r="I5057" s="19">
        <f>IFERROR(__xludf.DUMMYFUNCTION("""COMPUTED_VALUE"""),0.0022)</f>
        <v>0.0022</v>
      </c>
      <c r="J5057" s="19">
        <f>IFERROR(__xludf.DUMMYFUNCTION("""COMPUTED_VALUE"""),0.04737)</f>
        <v>0.04737</v>
      </c>
      <c r="K5057" s="19" t="str">
        <f>IFERROR(__xludf.DUMMYFUNCTION("""COMPUTED_VALUE"""),"-")</f>
        <v>-</v>
      </c>
      <c r="L5057" s="19" t="str">
        <f>IFERROR(__xludf.DUMMYFUNCTION("""COMPUTED_VALUE"""),"-")</f>
        <v>-</v>
      </c>
      <c r="O5057" s="24">
        <f t="shared" si="4"/>
        <v>0</v>
      </c>
      <c r="P5057" s="24"/>
      <c r="Q5057" s="24">
        <f t="shared" si="6"/>
        <v>0</v>
      </c>
      <c r="R5057" s="24">
        <f t="shared" si="7"/>
        <v>0</v>
      </c>
      <c r="S5057" s="24"/>
      <c r="T5057" s="24"/>
    </row>
    <row r="5058">
      <c r="A5058" s="12" t="s">
        <v>5145</v>
      </c>
      <c r="F5058" s="19">
        <f>IFERROR(__xludf.DUMMYFUNCTION("SPLIT(A5054, "" |"")"),5052.0)</f>
        <v>5052</v>
      </c>
      <c r="G5058" s="19">
        <f>IFERROR(__xludf.DUMMYFUNCTION("""COMPUTED_VALUE"""),0.00236)</f>
        <v>0.00236</v>
      </c>
      <c r="H5058" s="19" t="str">
        <f>IFERROR(__xludf.DUMMYFUNCTION("""COMPUTED_VALUE"""),"-")</f>
        <v>-</v>
      </c>
      <c r="I5058" s="19">
        <f>IFERROR(__xludf.DUMMYFUNCTION("""COMPUTED_VALUE"""),0.00216)</f>
        <v>0.00216</v>
      </c>
      <c r="J5058" s="19">
        <f>IFERROR(__xludf.DUMMYFUNCTION("""COMPUTED_VALUE"""),0.04749)</f>
        <v>0.04749</v>
      </c>
      <c r="K5058" s="19" t="str">
        <f>IFERROR(__xludf.DUMMYFUNCTION("""COMPUTED_VALUE"""),"-")</f>
        <v>-</v>
      </c>
      <c r="L5058" s="19" t="str">
        <f>IFERROR(__xludf.DUMMYFUNCTION("""COMPUTED_VALUE"""),"-")</f>
        <v>-</v>
      </c>
      <c r="O5058" s="24">
        <f t="shared" si="4"/>
        <v>0</v>
      </c>
      <c r="P5058" s="24"/>
      <c r="Q5058" s="24">
        <f t="shared" si="6"/>
        <v>0</v>
      </c>
      <c r="R5058" s="24">
        <f t="shared" si="7"/>
        <v>0</v>
      </c>
      <c r="S5058" s="24"/>
      <c r="T5058" s="24"/>
    </row>
    <row r="5059">
      <c r="A5059" s="12" t="s">
        <v>5146</v>
      </c>
      <c r="F5059" s="19">
        <f>IFERROR(__xludf.DUMMYFUNCTION("SPLIT(A5055, "" |"")"),5053.0)</f>
        <v>5053</v>
      </c>
      <c r="G5059" s="19">
        <f>IFERROR(__xludf.DUMMYFUNCTION("""COMPUTED_VALUE"""),0.00251)</f>
        <v>0.00251</v>
      </c>
      <c r="H5059" s="19" t="str">
        <f>IFERROR(__xludf.DUMMYFUNCTION("""COMPUTED_VALUE"""),"-")</f>
        <v>-</v>
      </c>
      <c r="I5059" s="19">
        <f>IFERROR(__xludf.DUMMYFUNCTION("""COMPUTED_VALUE"""),0.00215)</f>
        <v>0.00215</v>
      </c>
      <c r="J5059" s="19">
        <f>IFERROR(__xludf.DUMMYFUNCTION("""COMPUTED_VALUE"""),0.04748)</f>
        <v>0.04748</v>
      </c>
      <c r="K5059" s="19" t="str">
        <f>IFERROR(__xludf.DUMMYFUNCTION("""COMPUTED_VALUE"""),"-")</f>
        <v>-</v>
      </c>
      <c r="L5059" s="19" t="str">
        <f>IFERROR(__xludf.DUMMYFUNCTION("""COMPUTED_VALUE"""),"-")</f>
        <v>-</v>
      </c>
      <c r="O5059" s="24">
        <f t="shared" si="4"/>
        <v>0</v>
      </c>
      <c r="P5059" s="24"/>
      <c r="Q5059" s="24">
        <f t="shared" si="6"/>
        <v>0</v>
      </c>
      <c r="R5059" s="24">
        <f t="shared" si="7"/>
        <v>0</v>
      </c>
      <c r="S5059" s="24"/>
      <c r="T5059" s="24"/>
    </row>
    <row r="5060">
      <c r="A5060" s="12" t="s">
        <v>5147</v>
      </c>
      <c r="F5060" s="19">
        <f>IFERROR(__xludf.DUMMYFUNCTION("SPLIT(A5056, "" |"")"),5054.0)</f>
        <v>5054</v>
      </c>
      <c r="G5060" s="19">
        <f>IFERROR(__xludf.DUMMYFUNCTION("""COMPUTED_VALUE"""),0.00239)</f>
        <v>0.00239</v>
      </c>
      <c r="H5060" s="19" t="str">
        <f>IFERROR(__xludf.DUMMYFUNCTION("""COMPUTED_VALUE"""),"-")</f>
        <v>-</v>
      </c>
      <c r="I5060" s="19">
        <f>IFERROR(__xludf.DUMMYFUNCTION("""COMPUTED_VALUE"""),0.00221)</f>
        <v>0.00221</v>
      </c>
      <c r="J5060" s="19">
        <f>IFERROR(__xludf.DUMMYFUNCTION("""COMPUTED_VALUE"""),0.04432)</f>
        <v>0.04432</v>
      </c>
      <c r="K5060" s="19" t="str">
        <f>IFERROR(__xludf.DUMMYFUNCTION("""COMPUTED_VALUE"""),"-")</f>
        <v>-</v>
      </c>
      <c r="L5060" s="19" t="str">
        <f>IFERROR(__xludf.DUMMYFUNCTION("""COMPUTED_VALUE"""),"-")</f>
        <v>-</v>
      </c>
      <c r="O5060" s="24">
        <f t="shared" si="4"/>
        <v>0</v>
      </c>
      <c r="P5060" s="24"/>
      <c r="Q5060" s="24">
        <f t="shared" si="6"/>
        <v>0</v>
      </c>
      <c r="R5060" s="24">
        <f t="shared" si="7"/>
        <v>1</v>
      </c>
      <c r="S5060" s="24"/>
      <c r="T5060" s="24"/>
    </row>
    <row r="5061">
      <c r="A5061" s="12" t="s">
        <v>5148</v>
      </c>
      <c r="F5061" s="19">
        <f>IFERROR(__xludf.DUMMYFUNCTION("SPLIT(A5057, "" |"")"),5055.0)</f>
        <v>5055</v>
      </c>
      <c r="G5061" s="19">
        <f>IFERROR(__xludf.DUMMYFUNCTION("""COMPUTED_VALUE"""),0.00235)</f>
        <v>0.00235</v>
      </c>
      <c r="H5061" s="19" t="str">
        <f>IFERROR(__xludf.DUMMYFUNCTION("""COMPUTED_VALUE"""),"-")</f>
        <v>-</v>
      </c>
      <c r="I5061" s="19">
        <f>IFERROR(__xludf.DUMMYFUNCTION("""COMPUTED_VALUE"""),0.00221)</f>
        <v>0.00221</v>
      </c>
      <c r="J5061" s="19">
        <f>IFERROR(__xludf.DUMMYFUNCTION("""COMPUTED_VALUE"""),0.04744)</f>
        <v>0.04744</v>
      </c>
      <c r="K5061" s="19" t="str">
        <f>IFERROR(__xludf.DUMMYFUNCTION("""COMPUTED_VALUE"""),"-")</f>
        <v>-</v>
      </c>
      <c r="L5061" s="19" t="str">
        <f>IFERROR(__xludf.DUMMYFUNCTION("""COMPUTED_VALUE"""),"-")</f>
        <v>-</v>
      </c>
      <c r="O5061" s="24">
        <f t="shared" si="4"/>
        <v>0</v>
      </c>
      <c r="P5061" s="24"/>
      <c r="Q5061" s="24">
        <f t="shared" si="6"/>
        <v>0</v>
      </c>
      <c r="R5061" s="24">
        <f t="shared" si="7"/>
        <v>0</v>
      </c>
      <c r="S5061" s="24"/>
      <c r="T5061" s="24"/>
    </row>
    <row r="5062">
      <c r="A5062" s="12" t="s">
        <v>5149</v>
      </c>
      <c r="F5062" s="19">
        <f>IFERROR(__xludf.DUMMYFUNCTION("SPLIT(A5058, "" |"")"),5056.0)</f>
        <v>5056</v>
      </c>
      <c r="G5062" s="19">
        <f>IFERROR(__xludf.DUMMYFUNCTION("""COMPUTED_VALUE"""),0.00238)</f>
        <v>0.00238</v>
      </c>
      <c r="H5062" s="19" t="str">
        <f>IFERROR(__xludf.DUMMYFUNCTION("""COMPUTED_VALUE"""),"-")</f>
        <v>-</v>
      </c>
      <c r="I5062" s="19">
        <f>IFERROR(__xludf.DUMMYFUNCTION("""COMPUTED_VALUE"""),0.00222)</f>
        <v>0.00222</v>
      </c>
      <c r="J5062" s="19">
        <f>IFERROR(__xludf.DUMMYFUNCTION("""COMPUTED_VALUE"""),0.04747)</f>
        <v>0.04747</v>
      </c>
      <c r="K5062" s="19" t="str">
        <f>IFERROR(__xludf.DUMMYFUNCTION("""COMPUTED_VALUE"""),"-")</f>
        <v>-</v>
      </c>
      <c r="L5062" s="19" t="str">
        <f>IFERROR(__xludf.DUMMYFUNCTION("""COMPUTED_VALUE"""),"-")</f>
        <v>-</v>
      </c>
      <c r="O5062" s="24">
        <f t="shared" si="4"/>
        <v>0</v>
      </c>
      <c r="P5062" s="24"/>
      <c r="Q5062" s="24">
        <f t="shared" si="6"/>
        <v>0</v>
      </c>
      <c r="R5062" s="24">
        <f t="shared" si="7"/>
        <v>0</v>
      </c>
      <c r="S5062" s="24"/>
      <c r="T5062" s="24"/>
    </row>
    <row r="5063">
      <c r="A5063" s="12" t="s">
        <v>5150</v>
      </c>
      <c r="F5063" s="19">
        <f>IFERROR(__xludf.DUMMYFUNCTION("SPLIT(A5059, "" |"")"),5057.0)</f>
        <v>5057</v>
      </c>
      <c r="G5063" s="19">
        <f>IFERROR(__xludf.DUMMYFUNCTION("""COMPUTED_VALUE"""),0.00231)</f>
        <v>0.00231</v>
      </c>
      <c r="H5063" s="19" t="str">
        <f>IFERROR(__xludf.DUMMYFUNCTION("""COMPUTED_VALUE"""),"-")</f>
        <v>-</v>
      </c>
      <c r="I5063" s="19">
        <f>IFERROR(__xludf.DUMMYFUNCTION("""COMPUTED_VALUE"""),0.0022)</f>
        <v>0.0022</v>
      </c>
      <c r="J5063" s="19">
        <f>IFERROR(__xludf.DUMMYFUNCTION("""COMPUTED_VALUE"""),0.04741)</f>
        <v>0.04741</v>
      </c>
      <c r="K5063" s="19" t="str">
        <f>IFERROR(__xludf.DUMMYFUNCTION("""COMPUTED_VALUE"""),"-")</f>
        <v>-</v>
      </c>
      <c r="L5063" s="19" t="str">
        <f>IFERROR(__xludf.DUMMYFUNCTION("""COMPUTED_VALUE"""),"-")</f>
        <v>-</v>
      </c>
      <c r="O5063" s="24">
        <f t="shared" si="4"/>
        <v>0</v>
      </c>
      <c r="P5063" s="24"/>
      <c r="Q5063" s="24">
        <f t="shared" si="6"/>
        <v>0</v>
      </c>
      <c r="R5063" s="24">
        <f t="shared" si="7"/>
        <v>0</v>
      </c>
      <c r="S5063" s="24"/>
      <c r="T5063" s="24"/>
    </row>
    <row r="5064">
      <c r="A5064" s="12" t="s">
        <v>5151</v>
      </c>
      <c r="F5064" s="19">
        <f>IFERROR(__xludf.DUMMYFUNCTION("SPLIT(A5060, "" |"")"),5058.0)</f>
        <v>5058</v>
      </c>
      <c r="G5064" s="19">
        <f>IFERROR(__xludf.DUMMYFUNCTION("""COMPUTED_VALUE"""),0.00219)</f>
        <v>0.00219</v>
      </c>
      <c r="H5064" s="19" t="str">
        <f>IFERROR(__xludf.DUMMYFUNCTION("""COMPUTED_VALUE"""),"-")</f>
        <v>-</v>
      </c>
      <c r="I5064" s="19">
        <f>IFERROR(__xludf.DUMMYFUNCTION("""COMPUTED_VALUE"""),0.00207)</f>
        <v>0.00207</v>
      </c>
      <c r="J5064" s="19">
        <f>IFERROR(__xludf.DUMMYFUNCTION("""COMPUTED_VALUE"""),0.04732)</f>
        <v>0.04732</v>
      </c>
      <c r="K5064" s="19" t="str">
        <f>IFERROR(__xludf.DUMMYFUNCTION("""COMPUTED_VALUE"""),"-")</f>
        <v>-</v>
      </c>
      <c r="L5064" s="19" t="str">
        <f>IFERROR(__xludf.DUMMYFUNCTION("""COMPUTED_VALUE"""),"-")</f>
        <v>-</v>
      </c>
      <c r="O5064" s="24">
        <f t="shared" si="4"/>
        <v>0</v>
      </c>
      <c r="P5064" s="24"/>
      <c r="Q5064" s="24">
        <f t="shared" si="6"/>
        <v>0</v>
      </c>
      <c r="R5064" s="24">
        <f t="shared" si="7"/>
        <v>0</v>
      </c>
      <c r="S5064" s="24"/>
      <c r="T5064" s="24"/>
    </row>
    <row r="5065">
      <c r="A5065" s="12" t="s">
        <v>5152</v>
      </c>
      <c r="F5065" s="19">
        <f>IFERROR(__xludf.DUMMYFUNCTION("SPLIT(A5061, "" |"")"),5059.0)</f>
        <v>5059</v>
      </c>
      <c r="G5065" s="19">
        <f>IFERROR(__xludf.DUMMYFUNCTION("""COMPUTED_VALUE"""),0.00224)</f>
        <v>0.00224</v>
      </c>
      <c r="H5065" s="19" t="str">
        <f>IFERROR(__xludf.DUMMYFUNCTION("""COMPUTED_VALUE"""),"-")</f>
        <v>-</v>
      </c>
      <c r="I5065" s="19">
        <f>IFERROR(__xludf.DUMMYFUNCTION("""COMPUTED_VALUE"""),0.00208)</f>
        <v>0.00208</v>
      </c>
      <c r="J5065" s="19">
        <f>IFERROR(__xludf.DUMMYFUNCTION("""COMPUTED_VALUE"""),0.04633)</f>
        <v>0.04633</v>
      </c>
      <c r="K5065" s="19" t="str">
        <f>IFERROR(__xludf.DUMMYFUNCTION("""COMPUTED_VALUE"""),"-")</f>
        <v>-</v>
      </c>
      <c r="L5065" s="19" t="str">
        <f>IFERROR(__xludf.DUMMYFUNCTION("""COMPUTED_VALUE"""),"-")</f>
        <v>-</v>
      </c>
      <c r="O5065" s="24">
        <f t="shared" si="4"/>
        <v>0</v>
      </c>
      <c r="P5065" s="24"/>
      <c r="Q5065" s="24">
        <f t="shared" si="6"/>
        <v>0</v>
      </c>
      <c r="R5065" s="24">
        <f t="shared" si="7"/>
        <v>0</v>
      </c>
      <c r="S5065" s="24"/>
      <c r="T5065" s="24"/>
    </row>
    <row r="5066">
      <c r="A5066" s="12" t="s">
        <v>5153</v>
      </c>
      <c r="F5066" s="19">
        <f>IFERROR(__xludf.DUMMYFUNCTION("SPLIT(A5062, "" |"")"),5060.0)</f>
        <v>5060</v>
      </c>
      <c r="G5066" s="19">
        <f>IFERROR(__xludf.DUMMYFUNCTION("""COMPUTED_VALUE"""),0.00226)</f>
        <v>0.00226</v>
      </c>
      <c r="H5066" s="19" t="str">
        <f>IFERROR(__xludf.DUMMYFUNCTION("""COMPUTED_VALUE"""),"-")</f>
        <v>-</v>
      </c>
      <c r="I5066" s="19">
        <f>IFERROR(__xludf.DUMMYFUNCTION("""COMPUTED_VALUE"""),0.00208)</f>
        <v>0.00208</v>
      </c>
      <c r="J5066" s="19">
        <f>IFERROR(__xludf.DUMMYFUNCTION("""COMPUTED_VALUE"""),0.04723)</f>
        <v>0.04723</v>
      </c>
      <c r="K5066" s="19" t="str">
        <f>IFERROR(__xludf.DUMMYFUNCTION("""COMPUTED_VALUE"""),"-")</f>
        <v>-</v>
      </c>
      <c r="L5066" s="19" t="str">
        <f>IFERROR(__xludf.DUMMYFUNCTION("""COMPUTED_VALUE"""),"-")</f>
        <v>-</v>
      </c>
      <c r="O5066" s="24">
        <f t="shared" si="4"/>
        <v>0</v>
      </c>
      <c r="P5066" s="24"/>
      <c r="Q5066" s="24">
        <f t="shared" si="6"/>
        <v>0</v>
      </c>
      <c r="R5066" s="24">
        <f t="shared" si="7"/>
        <v>0</v>
      </c>
      <c r="S5066" s="24"/>
      <c r="T5066" s="24"/>
    </row>
    <row r="5067">
      <c r="A5067" s="12" t="s">
        <v>5154</v>
      </c>
      <c r="F5067" s="19">
        <f>IFERROR(__xludf.DUMMYFUNCTION("SPLIT(A5063, "" |"")"),5061.0)</f>
        <v>5061</v>
      </c>
      <c r="G5067" s="19">
        <f>IFERROR(__xludf.DUMMYFUNCTION("""COMPUTED_VALUE"""),0.00223)</f>
        <v>0.00223</v>
      </c>
      <c r="H5067" s="19" t="str">
        <f>IFERROR(__xludf.DUMMYFUNCTION("""COMPUTED_VALUE"""),"-")</f>
        <v>-</v>
      </c>
      <c r="I5067" s="19">
        <f>IFERROR(__xludf.DUMMYFUNCTION("""COMPUTED_VALUE"""),0.00206)</f>
        <v>0.00206</v>
      </c>
      <c r="J5067" s="19">
        <f>IFERROR(__xludf.DUMMYFUNCTION("""COMPUTED_VALUE"""),0.04728)</f>
        <v>0.04728</v>
      </c>
      <c r="K5067" s="19" t="str">
        <f>IFERROR(__xludf.DUMMYFUNCTION("""COMPUTED_VALUE"""),"-")</f>
        <v>-</v>
      </c>
      <c r="L5067" s="19" t="str">
        <f>IFERROR(__xludf.DUMMYFUNCTION("""COMPUTED_VALUE"""),"-")</f>
        <v>-</v>
      </c>
      <c r="O5067" s="24">
        <f t="shared" si="4"/>
        <v>0</v>
      </c>
      <c r="P5067" s="24"/>
      <c r="Q5067" s="24">
        <f t="shared" si="6"/>
        <v>0</v>
      </c>
      <c r="R5067" s="24">
        <f t="shared" si="7"/>
        <v>0</v>
      </c>
      <c r="S5067" s="24"/>
      <c r="T5067" s="24"/>
    </row>
    <row r="5068">
      <c r="A5068" s="12" t="s">
        <v>5155</v>
      </c>
      <c r="F5068" s="19">
        <f>IFERROR(__xludf.DUMMYFUNCTION("SPLIT(A5064, "" |"")"),5062.0)</f>
        <v>5062</v>
      </c>
      <c r="G5068" s="19">
        <f>IFERROR(__xludf.DUMMYFUNCTION("""COMPUTED_VALUE"""),0.00222)</f>
        <v>0.00222</v>
      </c>
      <c r="H5068" s="19" t="str">
        <f>IFERROR(__xludf.DUMMYFUNCTION("""COMPUTED_VALUE"""),"-")</f>
        <v>-</v>
      </c>
      <c r="I5068" s="19">
        <f>IFERROR(__xludf.DUMMYFUNCTION("""COMPUTED_VALUE"""),0.00205)</f>
        <v>0.00205</v>
      </c>
      <c r="J5068" s="19">
        <f>IFERROR(__xludf.DUMMYFUNCTION("""COMPUTED_VALUE"""),0.04723)</f>
        <v>0.04723</v>
      </c>
      <c r="K5068" s="19" t="str">
        <f>IFERROR(__xludf.DUMMYFUNCTION("""COMPUTED_VALUE"""),"-")</f>
        <v>-</v>
      </c>
      <c r="L5068" s="19" t="str">
        <f>IFERROR(__xludf.DUMMYFUNCTION("""COMPUTED_VALUE"""),"-")</f>
        <v>-</v>
      </c>
      <c r="O5068" s="24">
        <f t="shared" si="4"/>
        <v>0</v>
      </c>
      <c r="P5068" s="24"/>
      <c r="Q5068" s="24">
        <f t="shared" si="6"/>
        <v>0</v>
      </c>
      <c r="R5068" s="24">
        <f t="shared" si="7"/>
        <v>0</v>
      </c>
      <c r="S5068" s="24"/>
      <c r="T5068" s="24"/>
    </row>
    <row r="5069">
      <c r="A5069" s="12" t="s">
        <v>5156</v>
      </c>
      <c r="F5069" s="19">
        <f>IFERROR(__xludf.DUMMYFUNCTION("SPLIT(A5065, "" |"")"),5063.0)</f>
        <v>5063</v>
      </c>
      <c r="G5069" s="19">
        <f>IFERROR(__xludf.DUMMYFUNCTION("""COMPUTED_VALUE"""),0.00228)</f>
        <v>0.00228</v>
      </c>
      <c r="H5069" s="19" t="str">
        <f>IFERROR(__xludf.DUMMYFUNCTION("""COMPUTED_VALUE"""),"-")</f>
        <v>-</v>
      </c>
      <c r="I5069" s="19">
        <f>IFERROR(__xludf.DUMMYFUNCTION("""COMPUTED_VALUE"""),0.00215)</f>
        <v>0.00215</v>
      </c>
      <c r="J5069" s="19">
        <f>IFERROR(__xludf.DUMMYFUNCTION("""COMPUTED_VALUE"""),0.04748)</f>
        <v>0.04748</v>
      </c>
      <c r="K5069" s="19" t="str">
        <f>IFERROR(__xludf.DUMMYFUNCTION("""COMPUTED_VALUE"""),"-")</f>
        <v>-</v>
      </c>
      <c r="L5069" s="19" t="str">
        <f>IFERROR(__xludf.DUMMYFUNCTION("""COMPUTED_VALUE"""),"-")</f>
        <v>-</v>
      </c>
      <c r="O5069" s="24">
        <f t="shared" si="4"/>
        <v>0</v>
      </c>
      <c r="P5069" s="24"/>
      <c r="Q5069" s="24">
        <f t="shared" si="6"/>
        <v>0</v>
      </c>
      <c r="R5069" s="24">
        <f t="shared" si="7"/>
        <v>0</v>
      </c>
      <c r="S5069" s="24"/>
      <c r="T5069" s="24"/>
    </row>
    <row r="5070">
      <c r="A5070" s="12" t="s">
        <v>5157</v>
      </c>
      <c r="F5070" s="19">
        <f>IFERROR(__xludf.DUMMYFUNCTION("SPLIT(A5066, "" |"")"),5064.0)</f>
        <v>5064</v>
      </c>
      <c r="G5070" s="19">
        <f>IFERROR(__xludf.DUMMYFUNCTION("""COMPUTED_VALUE"""),0.00235)</f>
        <v>0.00235</v>
      </c>
      <c r="H5070" s="19" t="str">
        <f>IFERROR(__xludf.DUMMYFUNCTION("""COMPUTED_VALUE"""),"-")</f>
        <v>-</v>
      </c>
      <c r="I5070" s="19">
        <f>IFERROR(__xludf.DUMMYFUNCTION("""COMPUTED_VALUE"""),0.0021)</f>
        <v>0.0021</v>
      </c>
      <c r="J5070" s="19">
        <f>IFERROR(__xludf.DUMMYFUNCTION("""COMPUTED_VALUE"""),0.04732)</f>
        <v>0.04732</v>
      </c>
      <c r="K5070" s="19" t="str">
        <f>IFERROR(__xludf.DUMMYFUNCTION("""COMPUTED_VALUE"""),"-")</f>
        <v>-</v>
      </c>
      <c r="L5070" s="19" t="str">
        <f>IFERROR(__xludf.DUMMYFUNCTION("""COMPUTED_VALUE"""),"-")</f>
        <v>-</v>
      </c>
      <c r="O5070" s="24">
        <f t="shared" si="4"/>
        <v>0</v>
      </c>
      <c r="P5070" s="24"/>
      <c r="Q5070" s="24">
        <f t="shared" si="6"/>
        <v>0</v>
      </c>
      <c r="R5070" s="24">
        <f t="shared" si="7"/>
        <v>0</v>
      </c>
      <c r="S5070" s="24"/>
      <c r="T5070" s="24"/>
    </row>
    <row r="5071">
      <c r="A5071" s="12" t="s">
        <v>5158</v>
      </c>
      <c r="F5071" s="19">
        <f>IFERROR(__xludf.DUMMYFUNCTION("SPLIT(A5067, "" |"")"),5065.0)</f>
        <v>5065</v>
      </c>
      <c r="G5071" s="19">
        <f>IFERROR(__xludf.DUMMYFUNCTION("""COMPUTED_VALUE"""),0.00224)</f>
        <v>0.00224</v>
      </c>
      <c r="H5071" s="19" t="str">
        <f>IFERROR(__xludf.DUMMYFUNCTION("""COMPUTED_VALUE"""),"-")</f>
        <v>-</v>
      </c>
      <c r="I5071" s="19">
        <f>IFERROR(__xludf.DUMMYFUNCTION("""COMPUTED_VALUE"""),0.00208)</f>
        <v>0.00208</v>
      </c>
      <c r="J5071" s="19">
        <f>IFERROR(__xludf.DUMMYFUNCTION("""COMPUTED_VALUE"""),0.03959)</f>
        <v>0.03959</v>
      </c>
      <c r="K5071" s="19" t="str">
        <f>IFERROR(__xludf.DUMMYFUNCTION("""COMPUTED_VALUE"""),"-")</f>
        <v>-</v>
      </c>
      <c r="L5071" s="19" t="str">
        <f>IFERROR(__xludf.DUMMYFUNCTION("""COMPUTED_VALUE"""),"-")</f>
        <v>-</v>
      </c>
      <c r="O5071" s="24">
        <f t="shared" si="4"/>
        <v>0</v>
      </c>
      <c r="P5071" s="24"/>
      <c r="Q5071" s="24">
        <f t="shared" si="6"/>
        <v>0</v>
      </c>
      <c r="R5071" s="24">
        <f t="shared" si="7"/>
        <v>1</v>
      </c>
      <c r="S5071" s="24"/>
      <c r="T5071" s="24"/>
    </row>
    <row r="5072">
      <c r="A5072" s="12" t="s">
        <v>5159</v>
      </c>
      <c r="F5072" s="19">
        <f>IFERROR(__xludf.DUMMYFUNCTION("SPLIT(A5068, "" |"")"),5066.0)</f>
        <v>5066</v>
      </c>
      <c r="G5072" s="19">
        <f>IFERROR(__xludf.DUMMYFUNCTION("""COMPUTED_VALUE"""),0.00222)</f>
        <v>0.00222</v>
      </c>
      <c r="H5072" s="19" t="str">
        <f>IFERROR(__xludf.DUMMYFUNCTION("""COMPUTED_VALUE"""),"-")</f>
        <v>-</v>
      </c>
      <c r="I5072" s="19">
        <f>IFERROR(__xludf.DUMMYFUNCTION("""COMPUTED_VALUE"""),0.00204)</f>
        <v>0.00204</v>
      </c>
      <c r="J5072" s="19">
        <f>IFERROR(__xludf.DUMMYFUNCTION("""COMPUTED_VALUE"""),0.04726)</f>
        <v>0.04726</v>
      </c>
      <c r="K5072" s="19" t="str">
        <f>IFERROR(__xludf.DUMMYFUNCTION("""COMPUTED_VALUE"""),"-")</f>
        <v>-</v>
      </c>
      <c r="L5072" s="19" t="str">
        <f>IFERROR(__xludf.DUMMYFUNCTION("""COMPUTED_VALUE"""),"-")</f>
        <v>-</v>
      </c>
      <c r="O5072" s="24">
        <f t="shared" si="4"/>
        <v>0</v>
      </c>
      <c r="P5072" s="24"/>
      <c r="Q5072" s="24">
        <f t="shared" si="6"/>
        <v>0</v>
      </c>
      <c r="R5072" s="24">
        <f t="shared" si="7"/>
        <v>0</v>
      </c>
      <c r="S5072" s="24"/>
      <c r="T5072" s="24"/>
    </row>
    <row r="5073">
      <c r="A5073" s="12" t="s">
        <v>5160</v>
      </c>
      <c r="F5073" s="19">
        <f>IFERROR(__xludf.DUMMYFUNCTION("SPLIT(A5069, "" |"")"),5067.0)</f>
        <v>5067</v>
      </c>
      <c r="G5073" s="19">
        <f>IFERROR(__xludf.DUMMYFUNCTION("""COMPUTED_VALUE"""),0.00227)</f>
        <v>0.00227</v>
      </c>
      <c r="H5073" s="19" t="str">
        <f>IFERROR(__xludf.DUMMYFUNCTION("""COMPUTED_VALUE"""),"-")</f>
        <v>-</v>
      </c>
      <c r="I5073" s="19">
        <f>IFERROR(__xludf.DUMMYFUNCTION("""COMPUTED_VALUE"""),0.0021)</f>
        <v>0.0021</v>
      </c>
      <c r="J5073" s="19">
        <f>IFERROR(__xludf.DUMMYFUNCTION("""COMPUTED_VALUE"""),0.04531)</f>
        <v>0.04531</v>
      </c>
      <c r="K5073" s="19" t="str">
        <f>IFERROR(__xludf.DUMMYFUNCTION("""COMPUTED_VALUE"""),"-")</f>
        <v>-</v>
      </c>
      <c r="L5073" s="19" t="str">
        <f>IFERROR(__xludf.DUMMYFUNCTION("""COMPUTED_VALUE"""),"-")</f>
        <v>-</v>
      </c>
      <c r="O5073" s="24">
        <f t="shared" si="4"/>
        <v>0</v>
      </c>
      <c r="P5073" s="24"/>
      <c r="Q5073" s="24">
        <f t="shared" si="6"/>
        <v>0</v>
      </c>
      <c r="R5073" s="24">
        <f t="shared" si="7"/>
        <v>0</v>
      </c>
      <c r="S5073" s="24"/>
      <c r="T5073" s="24"/>
    </row>
    <row r="5074">
      <c r="A5074" s="12" t="s">
        <v>5161</v>
      </c>
      <c r="F5074" s="19">
        <f>IFERROR(__xludf.DUMMYFUNCTION("SPLIT(A5070, "" |"")"),5068.0)</f>
        <v>5068</v>
      </c>
      <c r="G5074" s="19">
        <f>IFERROR(__xludf.DUMMYFUNCTION("""COMPUTED_VALUE"""),0.00224)</f>
        <v>0.00224</v>
      </c>
      <c r="H5074" s="19" t="str">
        <f>IFERROR(__xludf.DUMMYFUNCTION("""COMPUTED_VALUE"""),"-")</f>
        <v>-</v>
      </c>
      <c r="I5074" s="19">
        <f>IFERROR(__xludf.DUMMYFUNCTION("""COMPUTED_VALUE"""),0.00208)</f>
        <v>0.00208</v>
      </c>
      <c r="J5074" s="19">
        <f>IFERROR(__xludf.DUMMYFUNCTION("""COMPUTED_VALUE"""),0.0473)</f>
        <v>0.0473</v>
      </c>
      <c r="K5074" s="19" t="str">
        <f>IFERROR(__xludf.DUMMYFUNCTION("""COMPUTED_VALUE"""),"-")</f>
        <v>-</v>
      </c>
      <c r="L5074" s="19" t="str">
        <f>IFERROR(__xludf.DUMMYFUNCTION("""COMPUTED_VALUE"""),"-")</f>
        <v>-</v>
      </c>
      <c r="O5074" s="24">
        <f t="shared" si="4"/>
        <v>0</v>
      </c>
      <c r="P5074" s="24"/>
      <c r="Q5074" s="24">
        <f t="shared" si="6"/>
        <v>0</v>
      </c>
      <c r="R5074" s="24">
        <f t="shared" si="7"/>
        <v>0</v>
      </c>
      <c r="S5074" s="24"/>
      <c r="T5074" s="24"/>
    </row>
    <row r="5075">
      <c r="A5075" s="12" t="s">
        <v>5162</v>
      </c>
      <c r="F5075" s="19">
        <f>IFERROR(__xludf.DUMMYFUNCTION("SPLIT(A5071, "" |"")"),5069.0)</f>
        <v>5069</v>
      </c>
      <c r="G5075" s="19">
        <f>IFERROR(__xludf.DUMMYFUNCTION("""COMPUTED_VALUE"""),0.00227)</f>
        <v>0.00227</v>
      </c>
      <c r="H5075" s="19" t="str">
        <f>IFERROR(__xludf.DUMMYFUNCTION("""COMPUTED_VALUE"""),"-")</f>
        <v>-</v>
      </c>
      <c r="I5075" s="19">
        <f>IFERROR(__xludf.DUMMYFUNCTION("""COMPUTED_VALUE"""),0.00207)</f>
        <v>0.00207</v>
      </c>
      <c r="J5075" s="19">
        <f>IFERROR(__xludf.DUMMYFUNCTION("""COMPUTED_VALUE"""),0.04354)</f>
        <v>0.04354</v>
      </c>
      <c r="K5075" s="19" t="str">
        <f>IFERROR(__xludf.DUMMYFUNCTION("""COMPUTED_VALUE"""),"-")</f>
        <v>-</v>
      </c>
      <c r="L5075" s="19" t="str">
        <f>IFERROR(__xludf.DUMMYFUNCTION("""COMPUTED_VALUE"""),"-")</f>
        <v>-</v>
      </c>
      <c r="O5075" s="24">
        <f t="shared" si="4"/>
        <v>0</v>
      </c>
      <c r="P5075" s="24"/>
      <c r="Q5075" s="24">
        <f t="shared" si="6"/>
        <v>0</v>
      </c>
      <c r="R5075" s="24">
        <f t="shared" si="7"/>
        <v>1</v>
      </c>
      <c r="S5075" s="24"/>
      <c r="T5075" s="24"/>
    </row>
    <row r="5076">
      <c r="A5076" s="12" t="s">
        <v>5163</v>
      </c>
      <c r="F5076" s="19">
        <f>IFERROR(__xludf.DUMMYFUNCTION("SPLIT(A5072, "" |"")"),5070.0)</f>
        <v>5070</v>
      </c>
      <c r="G5076" s="19">
        <f>IFERROR(__xludf.DUMMYFUNCTION("""COMPUTED_VALUE"""),0.00222)</f>
        <v>0.00222</v>
      </c>
      <c r="H5076" s="19" t="str">
        <f>IFERROR(__xludf.DUMMYFUNCTION("""COMPUTED_VALUE"""),"-")</f>
        <v>-</v>
      </c>
      <c r="I5076" s="19">
        <f>IFERROR(__xludf.DUMMYFUNCTION("""COMPUTED_VALUE"""),0.00206)</f>
        <v>0.00206</v>
      </c>
      <c r="J5076" s="19">
        <f>IFERROR(__xludf.DUMMYFUNCTION("""COMPUTED_VALUE"""),0.04655)</f>
        <v>0.04655</v>
      </c>
      <c r="K5076" s="19" t="str">
        <f>IFERROR(__xludf.DUMMYFUNCTION("""COMPUTED_VALUE"""),"-")</f>
        <v>-</v>
      </c>
      <c r="L5076" s="19" t="str">
        <f>IFERROR(__xludf.DUMMYFUNCTION("""COMPUTED_VALUE"""),"-")</f>
        <v>-</v>
      </c>
      <c r="O5076" s="24">
        <f t="shared" si="4"/>
        <v>0</v>
      </c>
      <c r="P5076" s="24"/>
      <c r="Q5076" s="24">
        <f t="shared" si="6"/>
        <v>0</v>
      </c>
      <c r="R5076" s="24">
        <f t="shared" si="7"/>
        <v>0</v>
      </c>
      <c r="S5076" s="24"/>
      <c r="T5076" s="24"/>
    </row>
    <row r="5077">
      <c r="A5077" s="12" t="s">
        <v>5164</v>
      </c>
      <c r="F5077" s="19">
        <f>IFERROR(__xludf.DUMMYFUNCTION("SPLIT(A5073, "" |"")"),5071.0)</f>
        <v>5071</v>
      </c>
      <c r="G5077" s="19">
        <f>IFERROR(__xludf.DUMMYFUNCTION("""COMPUTED_VALUE"""),0.00225)</f>
        <v>0.00225</v>
      </c>
      <c r="H5077" s="19" t="str">
        <f>IFERROR(__xludf.DUMMYFUNCTION("""COMPUTED_VALUE"""),"-")</f>
        <v>-</v>
      </c>
      <c r="I5077" s="19">
        <f>IFERROR(__xludf.DUMMYFUNCTION("""COMPUTED_VALUE"""),0.00209)</f>
        <v>0.00209</v>
      </c>
      <c r="J5077" s="19">
        <f>IFERROR(__xludf.DUMMYFUNCTION("""COMPUTED_VALUE"""),0.04389)</f>
        <v>0.04389</v>
      </c>
      <c r="K5077" s="19" t="str">
        <f>IFERROR(__xludf.DUMMYFUNCTION("""COMPUTED_VALUE"""),"-")</f>
        <v>-</v>
      </c>
      <c r="L5077" s="19" t="str">
        <f>IFERROR(__xludf.DUMMYFUNCTION("""COMPUTED_VALUE"""),"-")</f>
        <v>-</v>
      </c>
      <c r="O5077" s="24">
        <f t="shared" si="4"/>
        <v>0</v>
      </c>
      <c r="P5077" s="24"/>
      <c r="Q5077" s="24">
        <f t="shared" si="6"/>
        <v>0</v>
      </c>
      <c r="R5077" s="24">
        <f t="shared" si="7"/>
        <v>1</v>
      </c>
      <c r="S5077" s="24"/>
      <c r="T5077" s="24"/>
    </row>
    <row r="5078">
      <c r="A5078" s="12" t="s">
        <v>5165</v>
      </c>
      <c r="F5078" s="19">
        <f>IFERROR(__xludf.DUMMYFUNCTION("SPLIT(A5074, "" |"")"),5072.0)</f>
        <v>5072</v>
      </c>
      <c r="G5078" s="19">
        <f>IFERROR(__xludf.DUMMYFUNCTION("""COMPUTED_VALUE"""),0.00226)</f>
        <v>0.00226</v>
      </c>
      <c r="H5078" s="19" t="str">
        <f>IFERROR(__xludf.DUMMYFUNCTION("""COMPUTED_VALUE"""),"-")</f>
        <v>-</v>
      </c>
      <c r="I5078" s="19">
        <f>IFERROR(__xludf.DUMMYFUNCTION("""COMPUTED_VALUE"""),0.00206)</f>
        <v>0.00206</v>
      </c>
      <c r="J5078" s="19">
        <f>IFERROR(__xludf.DUMMYFUNCTION("""COMPUTED_VALUE"""),0.04717)</f>
        <v>0.04717</v>
      </c>
      <c r="K5078" s="19" t="str">
        <f>IFERROR(__xludf.DUMMYFUNCTION("""COMPUTED_VALUE"""),"-")</f>
        <v>-</v>
      </c>
      <c r="L5078" s="19" t="str">
        <f>IFERROR(__xludf.DUMMYFUNCTION("""COMPUTED_VALUE"""),"-")</f>
        <v>-</v>
      </c>
      <c r="O5078" s="24">
        <f t="shared" si="4"/>
        <v>0</v>
      </c>
      <c r="P5078" s="24"/>
      <c r="Q5078" s="24">
        <f t="shared" si="6"/>
        <v>0</v>
      </c>
      <c r="R5078" s="24">
        <f t="shared" si="7"/>
        <v>0</v>
      </c>
      <c r="S5078" s="24"/>
      <c r="T5078" s="24"/>
    </row>
    <row r="5079">
      <c r="A5079" s="12" t="s">
        <v>5166</v>
      </c>
      <c r="F5079" s="19">
        <f>IFERROR(__xludf.DUMMYFUNCTION("SPLIT(A5075, "" |"")"),5073.0)</f>
        <v>5073</v>
      </c>
      <c r="G5079" s="19">
        <f>IFERROR(__xludf.DUMMYFUNCTION("""COMPUTED_VALUE"""),0.00221)</f>
        <v>0.00221</v>
      </c>
      <c r="H5079" s="19" t="str">
        <f>IFERROR(__xludf.DUMMYFUNCTION("""COMPUTED_VALUE"""),"-")</f>
        <v>-</v>
      </c>
      <c r="I5079" s="19">
        <f>IFERROR(__xludf.DUMMYFUNCTION("""COMPUTED_VALUE"""),0.00207)</f>
        <v>0.00207</v>
      </c>
      <c r="J5079" s="19">
        <f>IFERROR(__xludf.DUMMYFUNCTION("""COMPUTED_VALUE"""),0.04724)</f>
        <v>0.04724</v>
      </c>
      <c r="K5079" s="19" t="str">
        <f>IFERROR(__xludf.DUMMYFUNCTION("""COMPUTED_VALUE"""),"-")</f>
        <v>-</v>
      </c>
      <c r="L5079" s="19" t="str">
        <f>IFERROR(__xludf.DUMMYFUNCTION("""COMPUTED_VALUE"""),"-")</f>
        <v>-</v>
      </c>
      <c r="O5079" s="24">
        <f t="shared" si="4"/>
        <v>0</v>
      </c>
      <c r="P5079" s="24"/>
      <c r="Q5079" s="24">
        <f t="shared" si="6"/>
        <v>0</v>
      </c>
      <c r="R5079" s="24">
        <f t="shared" si="7"/>
        <v>0</v>
      </c>
      <c r="S5079" s="24"/>
      <c r="T5079" s="24"/>
    </row>
    <row r="5080">
      <c r="A5080" s="12" t="s">
        <v>5167</v>
      </c>
      <c r="F5080" s="19">
        <f>IFERROR(__xludf.DUMMYFUNCTION("SPLIT(A5076, "" |"")"),5074.0)</f>
        <v>5074</v>
      </c>
      <c r="G5080" s="19">
        <f>IFERROR(__xludf.DUMMYFUNCTION("""COMPUTED_VALUE"""),0.00224)</f>
        <v>0.00224</v>
      </c>
      <c r="H5080" s="19" t="str">
        <f>IFERROR(__xludf.DUMMYFUNCTION("""COMPUTED_VALUE"""),"-")</f>
        <v>-</v>
      </c>
      <c r="I5080" s="19">
        <f>IFERROR(__xludf.DUMMYFUNCTION("""COMPUTED_VALUE"""),0.00207)</f>
        <v>0.00207</v>
      </c>
      <c r="J5080" s="19">
        <f>IFERROR(__xludf.DUMMYFUNCTION("""COMPUTED_VALUE"""),0.04725)</f>
        <v>0.04725</v>
      </c>
      <c r="K5080" s="19" t="str">
        <f>IFERROR(__xludf.DUMMYFUNCTION("""COMPUTED_VALUE"""),"-")</f>
        <v>-</v>
      </c>
      <c r="L5080" s="19" t="str">
        <f>IFERROR(__xludf.DUMMYFUNCTION("""COMPUTED_VALUE"""),"-")</f>
        <v>-</v>
      </c>
      <c r="O5080" s="24">
        <f t="shared" si="4"/>
        <v>0</v>
      </c>
      <c r="P5080" s="24"/>
      <c r="Q5080" s="24">
        <f t="shared" si="6"/>
        <v>0</v>
      </c>
      <c r="R5080" s="24">
        <f t="shared" si="7"/>
        <v>0</v>
      </c>
      <c r="S5080" s="24"/>
      <c r="T5080" s="24"/>
    </row>
    <row r="5081">
      <c r="A5081" s="12" t="s">
        <v>5168</v>
      </c>
      <c r="F5081" s="19">
        <f>IFERROR(__xludf.DUMMYFUNCTION("SPLIT(A5077, "" |"")"),5075.0)</f>
        <v>5075</v>
      </c>
      <c r="G5081" s="19">
        <f>IFERROR(__xludf.DUMMYFUNCTION("""COMPUTED_VALUE"""),0.00221)</f>
        <v>0.00221</v>
      </c>
      <c r="H5081" s="19" t="str">
        <f>IFERROR(__xludf.DUMMYFUNCTION("""COMPUTED_VALUE"""),"-")</f>
        <v>-</v>
      </c>
      <c r="I5081" s="19">
        <f>IFERROR(__xludf.DUMMYFUNCTION("""COMPUTED_VALUE"""),0.00206)</f>
        <v>0.00206</v>
      </c>
      <c r="J5081" s="19">
        <f>IFERROR(__xludf.DUMMYFUNCTION("""COMPUTED_VALUE"""),0.04616)</f>
        <v>0.04616</v>
      </c>
      <c r="K5081" s="19" t="str">
        <f>IFERROR(__xludf.DUMMYFUNCTION("""COMPUTED_VALUE"""),"-")</f>
        <v>-</v>
      </c>
      <c r="L5081" s="19" t="str">
        <f>IFERROR(__xludf.DUMMYFUNCTION("""COMPUTED_VALUE"""),"-")</f>
        <v>-</v>
      </c>
      <c r="O5081" s="24">
        <f t="shared" si="4"/>
        <v>0</v>
      </c>
      <c r="P5081" s="24"/>
      <c r="Q5081" s="24">
        <f t="shared" si="6"/>
        <v>0</v>
      </c>
      <c r="R5081" s="24">
        <f t="shared" si="7"/>
        <v>0</v>
      </c>
      <c r="S5081" s="24"/>
      <c r="T5081" s="24"/>
    </row>
    <row r="5082">
      <c r="A5082" s="12" t="s">
        <v>5169</v>
      </c>
      <c r="F5082" s="19">
        <f>IFERROR(__xludf.DUMMYFUNCTION("SPLIT(A5078, "" |"")"),5076.0)</f>
        <v>5076</v>
      </c>
      <c r="G5082" s="19">
        <f>IFERROR(__xludf.DUMMYFUNCTION("""COMPUTED_VALUE"""),0.00221)</f>
        <v>0.00221</v>
      </c>
      <c r="H5082" s="19" t="str">
        <f>IFERROR(__xludf.DUMMYFUNCTION("""COMPUTED_VALUE"""),"-")</f>
        <v>-</v>
      </c>
      <c r="I5082" s="19">
        <f>IFERROR(__xludf.DUMMYFUNCTION("""COMPUTED_VALUE"""),0.00206)</f>
        <v>0.00206</v>
      </c>
      <c r="J5082" s="19">
        <f>IFERROR(__xludf.DUMMYFUNCTION("""COMPUTED_VALUE"""),0.04725)</f>
        <v>0.04725</v>
      </c>
      <c r="K5082" s="19" t="str">
        <f>IFERROR(__xludf.DUMMYFUNCTION("""COMPUTED_VALUE"""),"-")</f>
        <v>-</v>
      </c>
      <c r="L5082" s="19" t="str">
        <f>IFERROR(__xludf.DUMMYFUNCTION("""COMPUTED_VALUE"""),"-")</f>
        <v>-</v>
      </c>
      <c r="O5082" s="24">
        <f t="shared" si="4"/>
        <v>0</v>
      </c>
      <c r="P5082" s="24"/>
      <c r="Q5082" s="24">
        <f t="shared" si="6"/>
        <v>0</v>
      </c>
      <c r="R5082" s="24">
        <f t="shared" si="7"/>
        <v>0</v>
      </c>
      <c r="S5082" s="24"/>
      <c r="T5082" s="24"/>
    </row>
    <row r="5083">
      <c r="A5083" s="12" t="s">
        <v>5170</v>
      </c>
      <c r="F5083" s="19">
        <f>IFERROR(__xludf.DUMMYFUNCTION("SPLIT(A5079, "" |"")"),5077.0)</f>
        <v>5077</v>
      </c>
      <c r="G5083" s="19">
        <f>IFERROR(__xludf.DUMMYFUNCTION("""COMPUTED_VALUE"""),0.00222)</f>
        <v>0.00222</v>
      </c>
      <c r="H5083" s="19" t="str">
        <f>IFERROR(__xludf.DUMMYFUNCTION("""COMPUTED_VALUE"""),"-")</f>
        <v>-</v>
      </c>
      <c r="I5083" s="19">
        <f>IFERROR(__xludf.DUMMYFUNCTION("""COMPUTED_VALUE"""),0.00204)</f>
        <v>0.00204</v>
      </c>
      <c r="J5083" s="19">
        <f>IFERROR(__xludf.DUMMYFUNCTION("""COMPUTED_VALUE"""),0.04723)</f>
        <v>0.04723</v>
      </c>
      <c r="K5083" s="19" t="str">
        <f>IFERROR(__xludf.DUMMYFUNCTION("""COMPUTED_VALUE"""),"-")</f>
        <v>-</v>
      </c>
      <c r="L5083" s="19" t="str">
        <f>IFERROR(__xludf.DUMMYFUNCTION("""COMPUTED_VALUE"""),"-")</f>
        <v>-</v>
      </c>
      <c r="O5083" s="24">
        <f t="shared" si="4"/>
        <v>0</v>
      </c>
      <c r="P5083" s="24"/>
      <c r="Q5083" s="24">
        <f t="shared" si="6"/>
        <v>0</v>
      </c>
      <c r="R5083" s="24">
        <f t="shared" si="7"/>
        <v>0</v>
      </c>
      <c r="S5083" s="24"/>
      <c r="T5083" s="24"/>
    </row>
    <row r="5084">
      <c r="A5084" s="12" t="s">
        <v>5171</v>
      </c>
      <c r="F5084" s="19">
        <f>IFERROR(__xludf.DUMMYFUNCTION("SPLIT(A5080, "" |"")"),5078.0)</f>
        <v>5078</v>
      </c>
      <c r="G5084" s="19">
        <f>IFERROR(__xludf.DUMMYFUNCTION("""COMPUTED_VALUE"""),0.00221)</f>
        <v>0.00221</v>
      </c>
      <c r="H5084" s="19" t="str">
        <f>IFERROR(__xludf.DUMMYFUNCTION("""COMPUTED_VALUE"""),"-")</f>
        <v>-</v>
      </c>
      <c r="I5084" s="19">
        <f>IFERROR(__xludf.DUMMYFUNCTION("""COMPUTED_VALUE"""),0.00204)</f>
        <v>0.00204</v>
      </c>
      <c r="J5084" s="19">
        <f>IFERROR(__xludf.DUMMYFUNCTION("""COMPUTED_VALUE"""),0.04728)</f>
        <v>0.04728</v>
      </c>
      <c r="K5084" s="19" t="str">
        <f>IFERROR(__xludf.DUMMYFUNCTION("""COMPUTED_VALUE"""),"-")</f>
        <v>-</v>
      </c>
      <c r="L5084" s="19" t="str">
        <f>IFERROR(__xludf.DUMMYFUNCTION("""COMPUTED_VALUE"""),"-")</f>
        <v>-</v>
      </c>
      <c r="O5084" s="24">
        <f t="shared" si="4"/>
        <v>0</v>
      </c>
      <c r="P5084" s="24"/>
      <c r="Q5084" s="24">
        <f t="shared" si="6"/>
        <v>0</v>
      </c>
      <c r="R5084" s="24">
        <f t="shared" si="7"/>
        <v>0</v>
      </c>
      <c r="S5084" s="24"/>
      <c r="T5084" s="24"/>
    </row>
    <row r="5085">
      <c r="A5085" s="12" t="s">
        <v>5172</v>
      </c>
      <c r="F5085" s="19">
        <f>IFERROR(__xludf.DUMMYFUNCTION("SPLIT(A5081, "" |"")"),5079.0)</f>
        <v>5079</v>
      </c>
      <c r="G5085" s="19">
        <f>IFERROR(__xludf.DUMMYFUNCTION("""COMPUTED_VALUE"""),0.00227)</f>
        <v>0.00227</v>
      </c>
      <c r="H5085" s="19" t="str">
        <f>IFERROR(__xludf.DUMMYFUNCTION("""COMPUTED_VALUE"""),"-")</f>
        <v>-</v>
      </c>
      <c r="I5085" s="19">
        <f>IFERROR(__xludf.DUMMYFUNCTION("""COMPUTED_VALUE"""),0.00206)</f>
        <v>0.00206</v>
      </c>
      <c r="J5085" s="19">
        <f>IFERROR(__xludf.DUMMYFUNCTION("""COMPUTED_VALUE"""),0.04626)</f>
        <v>0.04626</v>
      </c>
      <c r="K5085" s="19" t="str">
        <f>IFERROR(__xludf.DUMMYFUNCTION("""COMPUTED_VALUE"""),"-")</f>
        <v>-</v>
      </c>
      <c r="L5085" s="19" t="str">
        <f>IFERROR(__xludf.DUMMYFUNCTION("""COMPUTED_VALUE"""),"-")</f>
        <v>-</v>
      </c>
      <c r="O5085" s="24">
        <f t="shared" si="4"/>
        <v>0</v>
      </c>
      <c r="P5085" s="24"/>
      <c r="Q5085" s="24">
        <f t="shared" si="6"/>
        <v>0</v>
      </c>
      <c r="R5085" s="24">
        <f t="shared" si="7"/>
        <v>0</v>
      </c>
      <c r="S5085" s="24"/>
      <c r="T5085" s="24"/>
    </row>
    <row r="5086">
      <c r="A5086" s="12" t="s">
        <v>5173</v>
      </c>
      <c r="F5086" s="19">
        <f>IFERROR(__xludf.DUMMYFUNCTION("SPLIT(A5082, "" |"")"),5080.0)</f>
        <v>5080</v>
      </c>
      <c r="G5086" s="19">
        <f>IFERROR(__xludf.DUMMYFUNCTION("""COMPUTED_VALUE"""),0.00223)</f>
        <v>0.00223</v>
      </c>
      <c r="H5086" s="19" t="str">
        <f>IFERROR(__xludf.DUMMYFUNCTION("""COMPUTED_VALUE"""),"-")</f>
        <v>-</v>
      </c>
      <c r="I5086" s="19">
        <f>IFERROR(__xludf.DUMMYFUNCTION("""COMPUTED_VALUE"""),0.00206)</f>
        <v>0.00206</v>
      </c>
      <c r="J5086" s="19">
        <f>IFERROR(__xludf.DUMMYFUNCTION("""COMPUTED_VALUE"""),0.04727)</f>
        <v>0.04727</v>
      </c>
      <c r="K5086" s="19" t="str">
        <f>IFERROR(__xludf.DUMMYFUNCTION("""COMPUTED_VALUE"""),"-")</f>
        <v>-</v>
      </c>
      <c r="L5086" s="19" t="str">
        <f>IFERROR(__xludf.DUMMYFUNCTION("""COMPUTED_VALUE"""),"-")</f>
        <v>-</v>
      </c>
      <c r="O5086" s="24">
        <f t="shared" si="4"/>
        <v>0</v>
      </c>
      <c r="P5086" s="24"/>
      <c r="Q5086" s="24">
        <f t="shared" si="6"/>
        <v>0</v>
      </c>
      <c r="R5086" s="24">
        <f t="shared" si="7"/>
        <v>0</v>
      </c>
      <c r="S5086" s="24"/>
      <c r="T5086" s="24"/>
    </row>
    <row r="5087">
      <c r="A5087" s="12" t="s">
        <v>5174</v>
      </c>
      <c r="F5087" s="19">
        <f>IFERROR(__xludf.DUMMYFUNCTION("SPLIT(A5083, "" |"")"),5081.0)</f>
        <v>5081</v>
      </c>
      <c r="G5087" s="19">
        <f>IFERROR(__xludf.DUMMYFUNCTION("""COMPUTED_VALUE"""),0.00228)</f>
        <v>0.00228</v>
      </c>
      <c r="H5087" s="19" t="str">
        <f>IFERROR(__xludf.DUMMYFUNCTION("""COMPUTED_VALUE"""),"-")</f>
        <v>-</v>
      </c>
      <c r="I5087" s="19">
        <f>IFERROR(__xludf.DUMMYFUNCTION("""COMPUTED_VALUE"""),0.00208)</f>
        <v>0.00208</v>
      </c>
      <c r="J5087" s="19">
        <f>IFERROR(__xludf.DUMMYFUNCTION("""COMPUTED_VALUE"""),0.04727)</f>
        <v>0.04727</v>
      </c>
      <c r="K5087" s="19" t="str">
        <f>IFERROR(__xludf.DUMMYFUNCTION("""COMPUTED_VALUE"""),"-")</f>
        <v>-</v>
      </c>
      <c r="L5087" s="19" t="str">
        <f>IFERROR(__xludf.DUMMYFUNCTION("""COMPUTED_VALUE"""),"-")</f>
        <v>-</v>
      </c>
      <c r="O5087" s="24">
        <f t="shared" si="4"/>
        <v>0</v>
      </c>
      <c r="P5087" s="24"/>
      <c r="Q5087" s="24">
        <f t="shared" si="6"/>
        <v>0</v>
      </c>
      <c r="R5087" s="24">
        <f t="shared" si="7"/>
        <v>0</v>
      </c>
      <c r="S5087" s="24"/>
      <c r="T5087" s="24"/>
    </row>
    <row r="5088">
      <c r="A5088" s="12" t="s">
        <v>5175</v>
      </c>
      <c r="F5088" s="19">
        <f>IFERROR(__xludf.DUMMYFUNCTION("SPLIT(A5084, "" |"")"),5082.0)</f>
        <v>5082</v>
      </c>
      <c r="G5088" s="19">
        <f>IFERROR(__xludf.DUMMYFUNCTION("""COMPUTED_VALUE"""),0.00224)</f>
        <v>0.00224</v>
      </c>
      <c r="H5088" s="19" t="str">
        <f>IFERROR(__xludf.DUMMYFUNCTION("""COMPUTED_VALUE"""),"-")</f>
        <v>-</v>
      </c>
      <c r="I5088" s="19">
        <f>IFERROR(__xludf.DUMMYFUNCTION("""COMPUTED_VALUE"""),0.00208)</f>
        <v>0.00208</v>
      </c>
      <c r="J5088" s="19">
        <f>IFERROR(__xludf.DUMMYFUNCTION("""COMPUTED_VALUE"""),0.04724)</f>
        <v>0.04724</v>
      </c>
      <c r="K5088" s="19" t="str">
        <f>IFERROR(__xludf.DUMMYFUNCTION("""COMPUTED_VALUE"""),"-")</f>
        <v>-</v>
      </c>
      <c r="L5088" s="19" t="str">
        <f>IFERROR(__xludf.DUMMYFUNCTION("""COMPUTED_VALUE"""),"-")</f>
        <v>-</v>
      </c>
      <c r="O5088" s="24">
        <f t="shared" si="4"/>
        <v>0</v>
      </c>
      <c r="P5088" s="24"/>
      <c r="Q5088" s="24">
        <f t="shared" si="6"/>
        <v>0</v>
      </c>
      <c r="R5088" s="24">
        <f t="shared" si="7"/>
        <v>0</v>
      </c>
      <c r="S5088" s="24"/>
      <c r="T5088" s="24"/>
    </row>
    <row r="5089">
      <c r="A5089" s="12" t="s">
        <v>5176</v>
      </c>
      <c r="F5089" s="19">
        <f>IFERROR(__xludf.DUMMYFUNCTION("SPLIT(A5085, "" |"")"),5083.0)</f>
        <v>5083</v>
      </c>
      <c r="G5089" s="19">
        <f>IFERROR(__xludf.DUMMYFUNCTION("""COMPUTED_VALUE"""),0.00222)</f>
        <v>0.00222</v>
      </c>
      <c r="H5089" s="19" t="str">
        <f>IFERROR(__xludf.DUMMYFUNCTION("""COMPUTED_VALUE"""),"-")</f>
        <v>-</v>
      </c>
      <c r="I5089" s="19">
        <f>IFERROR(__xludf.DUMMYFUNCTION("""COMPUTED_VALUE"""),0.00208)</f>
        <v>0.00208</v>
      </c>
      <c r="J5089" s="19">
        <f>IFERROR(__xludf.DUMMYFUNCTION("""COMPUTED_VALUE"""),0.04729)</f>
        <v>0.04729</v>
      </c>
      <c r="K5089" s="19" t="str">
        <f>IFERROR(__xludf.DUMMYFUNCTION("""COMPUTED_VALUE"""),"-")</f>
        <v>-</v>
      </c>
      <c r="L5089" s="19" t="str">
        <f>IFERROR(__xludf.DUMMYFUNCTION("""COMPUTED_VALUE"""),"-")</f>
        <v>-</v>
      </c>
      <c r="O5089" s="24">
        <f t="shared" si="4"/>
        <v>0</v>
      </c>
      <c r="P5089" s="24"/>
      <c r="Q5089" s="24">
        <f t="shared" si="6"/>
        <v>0</v>
      </c>
      <c r="R5089" s="24">
        <f t="shared" si="7"/>
        <v>0</v>
      </c>
      <c r="S5089" s="24"/>
      <c r="T5089" s="24"/>
    </row>
    <row r="5090">
      <c r="A5090" s="12" t="s">
        <v>5177</v>
      </c>
      <c r="F5090" s="19">
        <f>IFERROR(__xludf.DUMMYFUNCTION("SPLIT(A5086, "" |"")"),5084.0)</f>
        <v>5084</v>
      </c>
      <c r="G5090" s="19">
        <f>IFERROR(__xludf.DUMMYFUNCTION("""COMPUTED_VALUE"""),0.00223)</f>
        <v>0.00223</v>
      </c>
      <c r="H5090" s="19" t="str">
        <f>IFERROR(__xludf.DUMMYFUNCTION("""COMPUTED_VALUE"""),"-")</f>
        <v>-</v>
      </c>
      <c r="I5090" s="19">
        <f>IFERROR(__xludf.DUMMYFUNCTION("""COMPUTED_VALUE"""),0.00206)</f>
        <v>0.00206</v>
      </c>
      <c r="J5090" s="19">
        <f>IFERROR(__xludf.DUMMYFUNCTION("""COMPUTED_VALUE"""),0.04653)</f>
        <v>0.04653</v>
      </c>
      <c r="K5090" s="19" t="str">
        <f>IFERROR(__xludf.DUMMYFUNCTION("""COMPUTED_VALUE"""),"-")</f>
        <v>-</v>
      </c>
      <c r="L5090" s="19" t="str">
        <f>IFERROR(__xludf.DUMMYFUNCTION("""COMPUTED_VALUE"""),"-")</f>
        <v>-</v>
      </c>
      <c r="O5090" s="24">
        <f t="shared" si="4"/>
        <v>0</v>
      </c>
      <c r="P5090" s="24"/>
      <c r="Q5090" s="24">
        <f t="shared" si="6"/>
        <v>0</v>
      </c>
      <c r="R5090" s="24">
        <f t="shared" si="7"/>
        <v>0</v>
      </c>
      <c r="S5090" s="24"/>
      <c r="T5090" s="24"/>
    </row>
    <row r="5091">
      <c r="A5091" s="12" t="s">
        <v>5178</v>
      </c>
      <c r="F5091" s="19">
        <f>IFERROR(__xludf.DUMMYFUNCTION("SPLIT(A5087, "" |"")"),5085.0)</f>
        <v>5085</v>
      </c>
      <c r="G5091" s="19">
        <f>IFERROR(__xludf.DUMMYFUNCTION("""COMPUTED_VALUE"""),0.00247)</f>
        <v>0.00247</v>
      </c>
      <c r="H5091" s="19" t="str">
        <f>IFERROR(__xludf.DUMMYFUNCTION("""COMPUTED_VALUE"""),"-")</f>
        <v>-</v>
      </c>
      <c r="I5091" s="19">
        <f>IFERROR(__xludf.DUMMYFUNCTION("""COMPUTED_VALUE"""),0.0022)</f>
        <v>0.0022</v>
      </c>
      <c r="J5091" s="19">
        <f>IFERROR(__xludf.DUMMYFUNCTION("""COMPUTED_VALUE"""),0.04729)</f>
        <v>0.04729</v>
      </c>
      <c r="K5091" s="19" t="str">
        <f>IFERROR(__xludf.DUMMYFUNCTION("""COMPUTED_VALUE"""),"-")</f>
        <v>-</v>
      </c>
      <c r="L5091" s="19" t="str">
        <f>IFERROR(__xludf.DUMMYFUNCTION("""COMPUTED_VALUE"""),"-")</f>
        <v>-</v>
      </c>
      <c r="O5091" s="24">
        <f t="shared" si="4"/>
        <v>0</v>
      </c>
      <c r="P5091" s="24"/>
      <c r="Q5091" s="24">
        <f t="shared" si="6"/>
        <v>0</v>
      </c>
      <c r="R5091" s="24">
        <f t="shared" si="7"/>
        <v>0</v>
      </c>
      <c r="S5091" s="24"/>
      <c r="T5091" s="24"/>
    </row>
    <row r="5092">
      <c r="A5092" s="12" t="s">
        <v>5179</v>
      </c>
      <c r="F5092" s="19">
        <f>IFERROR(__xludf.DUMMYFUNCTION("SPLIT(A5088, "" |"")"),5086.0)</f>
        <v>5086</v>
      </c>
      <c r="G5092" s="19">
        <f>IFERROR(__xludf.DUMMYFUNCTION("""COMPUTED_VALUE"""),0.00224)</f>
        <v>0.00224</v>
      </c>
      <c r="H5092" s="19" t="str">
        <f>IFERROR(__xludf.DUMMYFUNCTION("""COMPUTED_VALUE"""),"-")</f>
        <v>-</v>
      </c>
      <c r="I5092" s="19">
        <f>IFERROR(__xludf.DUMMYFUNCTION("""COMPUTED_VALUE"""),0.00208)</f>
        <v>0.00208</v>
      </c>
      <c r="J5092" s="19">
        <f>IFERROR(__xludf.DUMMYFUNCTION("""COMPUTED_VALUE"""),0.04634)</f>
        <v>0.04634</v>
      </c>
      <c r="K5092" s="19" t="str">
        <f>IFERROR(__xludf.DUMMYFUNCTION("""COMPUTED_VALUE"""),"-")</f>
        <v>-</v>
      </c>
      <c r="L5092" s="19" t="str">
        <f>IFERROR(__xludf.DUMMYFUNCTION("""COMPUTED_VALUE"""),"-")</f>
        <v>-</v>
      </c>
      <c r="O5092" s="24">
        <f t="shared" si="4"/>
        <v>0</v>
      </c>
      <c r="P5092" s="24"/>
      <c r="Q5092" s="24">
        <f t="shared" si="6"/>
        <v>0</v>
      </c>
      <c r="R5092" s="24">
        <f t="shared" si="7"/>
        <v>0</v>
      </c>
      <c r="S5092" s="24"/>
      <c r="T5092" s="24"/>
    </row>
    <row r="5093">
      <c r="A5093" s="12" t="s">
        <v>5180</v>
      </c>
      <c r="F5093" s="19">
        <f>IFERROR(__xludf.DUMMYFUNCTION("SPLIT(A5089, "" |"")"),5087.0)</f>
        <v>5087</v>
      </c>
      <c r="G5093" s="19">
        <f>IFERROR(__xludf.DUMMYFUNCTION("""COMPUTED_VALUE"""),0.00238)</f>
        <v>0.00238</v>
      </c>
      <c r="H5093" s="19" t="str">
        <f>IFERROR(__xludf.DUMMYFUNCTION("""COMPUTED_VALUE"""),"-")</f>
        <v>-</v>
      </c>
      <c r="I5093" s="19">
        <f>IFERROR(__xludf.DUMMYFUNCTION("""COMPUTED_VALUE"""),0.00226)</f>
        <v>0.00226</v>
      </c>
      <c r="J5093" s="19">
        <f>IFERROR(__xludf.DUMMYFUNCTION("""COMPUTED_VALUE"""),0.04671)</f>
        <v>0.04671</v>
      </c>
      <c r="K5093" s="19" t="str">
        <f>IFERROR(__xludf.DUMMYFUNCTION("""COMPUTED_VALUE"""),"-")</f>
        <v>-</v>
      </c>
      <c r="L5093" s="19" t="str">
        <f>IFERROR(__xludf.DUMMYFUNCTION("""COMPUTED_VALUE"""),"-")</f>
        <v>-</v>
      </c>
      <c r="O5093" s="24">
        <f t="shared" si="4"/>
        <v>0</v>
      </c>
      <c r="P5093" s="24"/>
      <c r="Q5093" s="24">
        <f t="shared" si="6"/>
        <v>0</v>
      </c>
      <c r="R5093" s="24">
        <f t="shared" si="7"/>
        <v>0</v>
      </c>
      <c r="S5093" s="24"/>
      <c r="T5093" s="24"/>
    </row>
    <row r="5094">
      <c r="A5094" s="12" t="s">
        <v>5181</v>
      </c>
      <c r="F5094" s="19">
        <f>IFERROR(__xludf.DUMMYFUNCTION("SPLIT(A5090, "" |"")"),5088.0)</f>
        <v>5088</v>
      </c>
      <c r="G5094" s="19">
        <f>IFERROR(__xludf.DUMMYFUNCTION("""COMPUTED_VALUE"""),0.00236)</f>
        <v>0.00236</v>
      </c>
      <c r="H5094" s="19" t="str">
        <f>IFERROR(__xludf.DUMMYFUNCTION("""COMPUTED_VALUE"""),"-")</f>
        <v>-</v>
      </c>
      <c r="I5094" s="19">
        <f>IFERROR(__xludf.DUMMYFUNCTION("""COMPUTED_VALUE"""),0.00221)</f>
        <v>0.00221</v>
      </c>
      <c r="J5094" s="19">
        <f>IFERROR(__xludf.DUMMYFUNCTION("""COMPUTED_VALUE"""),0.04748)</f>
        <v>0.04748</v>
      </c>
      <c r="K5094" s="19" t="str">
        <f>IFERROR(__xludf.DUMMYFUNCTION("""COMPUTED_VALUE"""),"-")</f>
        <v>-</v>
      </c>
      <c r="L5094" s="19" t="str">
        <f>IFERROR(__xludf.DUMMYFUNCTION("""COMPUTED_VALUE"""),"-")</f>
        <v>-</v>
      </c>
      <c r="O5094" s="24">
        <f t="shared" si="4"/>
        <v>0</v>
      </c>
      <c r="P5094" s="24"/>
      <c r="Q5094" s="24">
        <f t="shared" si="6"/>
        <v>0</v>
      </c>
      <c r="R5094" s="24">
        <f t="shared" si="7"/>
        <v>0</v>
      </c>
      <c r="S5094" s="24"/>
      <c r="T5094" s="24"/>
    </row>
    <row r="5095">
      <c r="A5095" s="12" t="s">
        <v>5182</v>
      </c>
      <c r="F5095" s="19">
        <f>IFERROR(__xludf.DUMMYFUNCTION("SPLIT(A5091, "" |"")"),5089.0)</f>
        <v>5089</v>
      </c>
      <c r="G5095" s="19">
        <f>IFERROR(__xludf.DUMMYFUNCTION("""COMPUTED_VALUE"""),0.00235)</f>
        <v>0.00235</v>
      </c>
      <c r="H5095" s="19" t="str">
        <f>IFERROR(__xludf.DUMMYFUNCTION("""COMPUTED_VALUE"""),"-")</f>
        <v>-</v>
      </c>
      <c r="I5095" s="19">
        <f>IFERROR(__xludf.DUMMYFUNCTION("""COMPUTED_VALUE"""),0.0022)</f>
        <v>0.0022</v>
      </c>
      <c r="J5095" s="19">
        <f>IFERROR(__xludf.DUMMYFUNCTION("""COMPUTED_VALUE"""),0.04143)</f>
        <v>0.04143</v>
      </c>
      <c r="K5095" s="19" t="str">
        <f>IFERROR(__xludf.DUMMYFUNCTION("""COMPUTED_VALUE"""),"-")</f>
        <v>-</v>
      </c>
      <c r="L5095" s="19" t="str">
        <f>IFERROR(__xludf.DUMMYFUNCTION("""COMPUTED_VALUE"""),"-")</f>
        <v>-</v>
      </c>
      <c r="O5095" s="24">
        <f t="shared" si="4"/>
        <v>0</v>
      </c>
      <c r="P5095" s="24"/>
      <c r="Q5095" s="24">
        <f t="shared" si="6"/>
        <v>0</v>
      </c>
      <c r="R5095" s="24">
        <f t="shared" si="7"/>
        <v>1</v>
      </c>
      <c r="S5095" s="24"/>
      <c r="T5095" s="24"/>
    </row>
    <row r="5096">
      <c r="A5096" s="12" t="s">
        <v>5183</v>
      </c>
      <c r="F5096" s="19">
        <f>IFERROR(__xludf.DUMMYFUNCTION("SPLIT(A5092, "" |"")"),5090.0)</f>
        <v>5090</v>
      </c>
      <c r="G5096" s="19">
        <f>IFERROR(__xludf.DUMMYFUNCTION("""COMPUTED_VALUE"""),0.00233)</f>
        <v>0.00233</v>
      </c>
      <c r="H5096" s="19" t="str">
        <f>IFERROR(__xludf.DUMMYFUNCTION("""COMPUTED_VALUE"""),"-")</f>
        <v>-</v>
      </c>
      <c r="I5096" s="19">
        <f>IFERROR(__xludf.DUMMYFUNCTION("""COMPUTED_VALUE"""),0.00219)</f>
        <v>0.00219</v>
      </c>
      <c r="J5096" s="19">
        <f>IFERROR(__xludf.DUMMYFUNCTION("""COMPUTED_VALUE"""),0.04742)</f>
        <v>0.04742</v>
      </c>
      <c r="K5096" s="19" t="str">
        <f>IFERROR(__xludf.DUMMYFUNCTION("""COMPUTED_VALUE"""),"-")</f>
        <v>-</v>
      </c>
      <c r="L5096" s="19" t="str">
        <f>IFERROR(__xludf.DUMMYFUNCTION("""COMPUTED_VALUE"""),"-")</f>
        <v>-</v>
      </c>
      <c r="O5096" s="24">
        <f t="shared" si="4"/>
        <v>0</v>
      </c>
      <c r="P5096" s="24"/>
      <c r="Q5096" s="24">
        <f t="shared" si="6"/>
        <v>0</v>
      </c>
      <c r="R5096" s="24">
        <f t="shared" si="7"/>
        <v>0</v>
      </c>
      <c r="S5096" s="24"/>
      <c r="T5096" s="24"/>
    </row>
    <row r="5097">
      <c r="A5097" s="12" t="s">
        <v>5184</v>
      </c>
      <c r="F5097" s="19">
        <f>IFERROR(__xludf.DUMMYFUNCTION("SPLIT(A5093, "" |"")"),5091.0)</f>
        <v>5091</v>
      </c>
      <c r="G5097" s="19">
        <f>IFERROR(__xludf.DUMMYFUNCTION("""COMPUTED_VALUE"""),0.00235)</f>
        <v>0.00235</v>
      </c>
      <c r="H5097" s="19" t="str">
        <f>IFERROR(__xludf.DUMMYFUNCTION("""COMPUTED_VALUE"""),"-")</f>
        <v>-</v>
      </c>
      <c r="I5097" s="19">
        <f>IFERROR(__xludf.DUMMYFUNCTION("""COMPUTED_VALUE"""),0.00224)</f>
        <v>0.00224</v>
      </c>
      <c r="J5097" s="19">
        <f>IFERROR(__xludf.DUMMYFUNCTION("""COMPUTED_VALUE"""),0.04722)</f>
        <v>0.04722</v>
      </c>
      <c r="K5097" s="19" t="str">
        <f>IFERROR(__xludf.DUMMYFUNCTION("""COMPUTED_VALUE"""),"-")</f>
        <v>-</v>
      </c>
      <c r="L5097" s="19" t="str">
        <f>IFERROR(__xludf.DUMMYFUNCTION("""COMPUTED_VALUE"""),"-")</f>
        <v>-</v>
      </c>
      <c r="O5097" s="24">
        <f t="shared" si="4"/>
        <v>0</v>
      </c>
      <c r="P5097" s="24"/>
      <c r="Q5097" s="24">
        <f t="shared" si="6"/>
        <v>0</v>
      </c>
      <c r="R5097" s="24">
        <f t="shared" si="7"/>
        <v>0</v>
      </c>
      <c r="S5097" s="24"/>
      <c r="T5097" s="24"/>
    </row>
    <row r="5098">
      <c r="A5098" s="12" t="s">
        <v>5185</v>
      </c>
      <c r="F5098" s="19">
        <f>IFERROR(__xludf.DUMMYFUNCTION("SPLIT(A5094, "" |"")"),5092.0)</f>
        <v>5092</v>
      </c>
      <c r="G5098" s="19">
        <f>IFERROR(__xludf.DUMMYFUNCTION("""COMPUTED_VALUE"""),0.00244)</f>
        <v>0.00244</v>
      </c>
      <c r="H5098" s="19" t="str">
        <f>IFERROR(__xludf.DUMMYFUNCTION("""COMPUTED_VALUE"""),"-")</f>
        <v>-</v>
      </c>
      <c r="I5098" s="19">
        <f>IFERROR(__xludf.DUMMYFUNCTION("""COMPUTED_VALUE"""),0.00218)</f>
        <v>0.00218</v>
      </c>
      <c r="J5098" s="19">
        <f>IFERROR(__xludf.DUMMYFUNCTION("""COMPUTED_VALUE"""),0.04742)</f>
        <v>0.04742</v>
      </c>
      <c r="K5098" s="19" t="str">
        <f>IFERROR(__xludf.DUMMYFUNCTION("""COMPUTED_VALUE"""),"-")</f>
        <v>-</v>
      </c>
      <c r="L5098" s="19" t="str">
        <f>IFERROR(__xludf.DUMMYFUNCTION("""COMPUTED_VALUE"""),"-")</f>
        <v>-</v>
      </c>
      <c r="O5098" s="24">
        <f t="shared" si="4"/>
        <v>0</v>
      </c>
      <c r="P5098" s="24"/>
      <c r="Q5098" s="24">
        <f t="shared" si="6"/>
        <v>0</v>
      </c>
      <c r="R5098" s="24">
        <f t="shared" si="7"/>
        <v>0</v>
      </c>
      <c r="S5098" s="24"/>
      <c r="T5098" s="24"/>
    </row>
    <row r="5099">
      <c r="A5099" s="12" t="s">
        <v>5186</v>
      </c>
      <c r="F5099" s="19">
        <f>IFERROR(__xludf.DUMMYFUNCTION("SPLIT(A5095, "" |"")"),5093.0)</f>
        <v>5093</v>
      </c>
      <c r="G5099" s="19">
        <f>IFERROR(__xludf.DUMMYFUNCTION("""COMPUTED_VALUE"""),0.00232)</f>
        <v>0.00232</v>
      </c>
      <c r="H5099" s="19" t="str">
        <f>IFERROR(__xludf.DUMMYFUNCTION("""COMPUTED_VALUE"""),"-")</f>
        <v>-</v>
      </c>
      <c r="I5099" s="19">
        <f>IFERROR(__xludf.DUMMYFUNCTION("""COMPUTED_VALUE"""),0.00227)</f>
        <v>0.00227</v>
      </c>
      <c r="J5099" s="19">
        <f>IFERROR(__xludf.DUMMYFUNCTION("""COMPUTED_VALUE"""),0.04752)</f>
        <v>0.04752</v>
      </c>
      <c r="K5099" s="19" t="str">
        <f>IFERROR(__xludf.DUMMYFUNCTION("""COMPUTED_VALUE"""),"-")</f>
        <v>-</v>
      </c>
      <c r="L5099" s="19" t="str">
        <f>IFERROR(__xludf.DUMMYFUNCTION("""COMPUTED_VALUE"""),"-")</f>
        <v>-</v>
      </c>
      <c r="O5099" s="24">
        <f t="shared" si="4"/>
        <v>0</v>
      </c>
      <c r="P5099" s="24"/>
      <c r="Q5099" s="24">
        <f t="shared" si="6"/>
        <v>0</v>
      </c>
      <c r="R5099" s="24">
        <f t="shared" si="7"/>
        <v>0</v>
      </c>
      <c r="S5099" s="24"/>
      <c r="T5099" s="24"/>
    </row>
    <row r="5100">
      <c r="A5100" s="12" t="s">
        <v>5187</v>
      </c>
      <c r="F5100" s="19">
        <f>IFERROR(__xludf.DUMMYFUNCTION("SPLIT(A5096, "" |"")"),5094.0)</f>
        <v>5094</v>
      </c>
      <c r="G5100" s="19">
        <f>IFERROR(__xludf.DUMMYFUNCTION("""COMPUTED_VALUE"""),0.00242)</f>
        <v>0.00242</v>
      </c>
      <c r="H5100" s="19" t="str">
        <f>IFERROR(__xludf.DUMMYFUNCTION("""COMPUTED_VALUE"""),"-")</f>
        <v>-</v>
      </c>
      <c r="I5100" s="19">
        <f>IFERROR(__xludf.DUMMYFUNCTION("""COMPUTED_VALUE"""),0.00226)</f>
        <v>0.00226</v>
      </c>
      <c r="J5100" s="19">
        <f>IFERROR(__xludf.DUMMYFUNCTION("""COMPUTED_VALUE"""),0.04744)</f>
        <v>0.04744</v>
      </c>
      <c r="K5100" s="19" t="str">
        <f>IFERROR(__xludf.DUMMYFUNCTION("""COMPUTED_VALUE"""),"-")</f>
        <v>-</v>
      </c>
      <c r="L5100" s="19" t="str">
        <f>IFERROR(__xludf.DUMMYFUNCTION("""COMPUTED_VALUE"""),"-")</f>
        <v>-</v>
      </c>
      <c r="O5100" s="24">
        <f t="shared" si="4"/>
        <v>0</v>
      </c>
      <c r="P5100" s="24"/>
      <c r="Q5100" s="24">
        <f t="shared" si="6"/>
        <v>0</v>
      </c>
      <c r="R5100" s="24">
        <f t="shared" si="7"/>
        <v>0</v>
      </c>
      <c r="S5100" s="24"/>
      <c r="T5100" s="24"/>
    </row>
    <row r="5101">
      <c r="A5101" s="12" t="s">
        <v>5188</v>
      </c>
      <c r="F5101" s="19">
        <f>IFERROR(__xludf.DUMMYFUNCTION("SPLIT(A5097, "" |"")"),5095.0)</f>
        <v>5095</v>
      </c>
      <c r="G5101" s="19">
        <f>IFERROR(__xludf.DUMMYFUNCTION("""COMPUTED_VALUE"""),0.00232)</f>
        <v>0.00232</v>
      </c>
      <c r="H5101" s="19" t="str">
        <f>IFERROR(__xludf.DUMMYFUNCTION("""COMPUTED_VALUE"""),"-")</f>
        <v>-</v>
      </c>
      <c r="I5101" s="19">
        <f>IFERROR(__xludf.DUMMYFUNCTION("""COMPUTED_VALUE"""),0.0022)</f>
        <v>0.0022</v>
      </c>
      <c r="J5101" s="19">
        <f>IFERROR(__xludf.DUMMYFUNCTION("""COMPUTED_VALUE"""),0.04676)</f>
        <v>0.04676</v>
      </c>
      <c r="K5101" s="19" t="str">
        <f>IFERROR(__xludf.DUMMYFUNCTION("""COMPUTED_VALUE"""),"-")</f>
        <v>-</v>
      </c>
      <c r="L5101" s="19" t="str">
        <f>IFERROR(__xludf.DUMMYFUNCTION("""COMPUTED_VALUE"""),"-")</f>
        <v>-</v>
      </c>
      <c r="O5101" s="24">
        <f t="shared" si="4"/>
        <v>0</v>
      </c>
      <c r="P5101" s="24"/>
      <c r="Q5101" s="24">
        <f t="shared" si="6"/>
        <v>0</v>
      </c>
      <c r="R5101" s="24">
        <f t="shared" si="7"/>
        <v>0</v>
      </c>
      <c r="S5101" s="24"/>
      <c r="T5101" s="24"/>
    </row>
    <row r="5102">
      <c r="A5102" s="12" t="s">
        <v>5189</v>
      </c>
      <c r="F5102" s="19">
        <f>IFERROR(__xludf.DUMMYFUNCTION("SPLIT(A5098, "" |"")"),5096.0)</f>
        <v>5096</v>
      </c>
      <c r="G5102" s="19">
        <f>IFERROR(__xludf.DUMMYFUNCTION("""COMPUTED_VALUE"""),0.00233)</f>
        <v>0.00233</v>
      </c>
      <c r="H5102" s="19" t="str">
        <f>IFERROR(__xludf.DUMMYFUNCTION("""COMPUTED_VALUE"""),"-")</f>
        <v>-</v>
      </c>
      <c r="I5102" s="19">
        <f>IFERROR(__xludf.DUMMYFUNCTION("""COMPUTED_VALUE"""),0.00223)</f>
        <v>0.00223</v>
      </c>
      <c r="J5102" s="19">
        <f>IFERROR(__xludf.DUMMYFUNCTION("""COMPUTED_VALUE"""),0.0474)</f>
        <v>0.0474</v>
      </c>
      <c r="K5102" s="19" t="str">
        <f>IFERROR(__xludf.DUMMYFUNCTION("""COMPUTED_VALUE"""),"-")</f>
        <v>-</v>
      </c>
      <c r="L5102" s="19" t="str">
        <f>IFERROR(__xludf.DUMMYFUNCTION("""COMPUTED_VALUE"""),"-")</f>
        <v>-</v>
      </c>
      <c r="O5102" s="24">
        <f t="shared" si="4"/>
        <v>0</v>
      </c>
      <c r="P5102" s="24"/>
      <c r="Q5102" s="24">
        <f t="shared" si="6"/>
        <v>0</v>
      </c>
      <c r="R5102" s="24">
        <f t="shared" si="7"/>
        <v>0</v>
      </c>
      <c r="S5102" s="24"/>
      <c r="T5102" s="24"/>
    </row>
    <row r="5103">
      <c r="A5103" s="12" t="s">
        <v>5190</v>
      </c>
      <c r="F5103" s="19">
        <f>IFERROR(__xludf.DUMMYFUNCTION("SPLIT(A5099, "" |"")"),5097.0)</f>
        <v>5097</v>
      </c>
      <c r="G5103" s="19">
        <f>IFERROR(__xludf.DUMMYFUNCTION("""COMPUTED_VALUE"""),0.00224)</f>
        <v>0.00224</v>
      </c>
      <c r="H5103" s="19" t="str">
        <f>IFERROR(__xludf.DUMMYFUNCTION("""COMPUTED_VALUE"""),"-")</f>
        <v>-</v>
      </c>
      <c r="I5103" s="19">
        <f>IFERROR(__xludf.DUMMYFUNCTION("""COMPUTED_VALUE"""),0.00218)</f>
        <v>0.00218</v>
      </c>
      <c r="J5103" s="19">
        <f>IFERROR(__xludf.DUMMYFUNCTION("""COMPUTED_VALUE"""),0.04735)</f>
        <v>0.04735</v>
      </c>
      <c r="K5103" s="19" t="str">
        <f>IFERROR(__xludf.DUMMYFUNCTION("""COMPUTED_VALUE"""),"-")</f>
        <v>-</v>
      </c>
      <c r="L5103" s="19" t="str">
        <f>IFERROR(__xludf.DUMMYFUNCTION("""COMPUTED_VALUE"""),"-")</f>
        <v>-</v>
      </c>
      <c r="O5103" s="24">
        <f t="shared" si="4"/>
        <v>0</v>
      </c>
      <c r="P5103" s="24"/>
      <c r="Q5103" s="24">
        <f t="shared" si="6"/>
        <v>0</v>
      </c>
      <c r="R5103" s="24">
        <f t="shared" si="7"/>
        <v>0</v>
      </c>
      <c r="S5103" s="24"/>
      <c r="T5103" s="24"/>
    </row>
    <row r="5104">
      <c r="A5104" s="12" t="s">
        <v>5191</v>
      </c>
      <c r="F5104" s="19">
        <f>IFERROR(__xludf.DUMMYFUNCTION("SPLIT(A5100, "" |"")"),5098.0)</f>
        <v>5098</v>
      </c>
      <c r="G5104" s="19">
        <f>IFERROR(__xludf.DUMMYFUNCTION("""COMPUTED_VALUE"""),0.00234)</f>
        <v>0.00234</v>
      </c>
      <c r="H5104" s="19" t="str">
        <f>IFERROR(__xludf.DUMMYFUNCTION("""COMPUTED_VALUE"""),"-")</f>
        <v>-</v>
      </c>
      <c r="I5104" s="19">
        <f>IFERROR(__xludf.DUMMYFUNCTION("""COMPUTED_VALUE"""),0.00224)</f>
        <v>0.00224</v>
      </c>
      <c r="J5104" s="19">
        <f>IFERROR(__xludf.DUMMYFUNCTION("""COMPUTED_VALUE"""),0.04747)</f>
        <v>0.04747</v>
      </c>
      <c r="K5104" s="19" t="str">
        <f>IFERROR(__xludf.DUMMYFUNCTION("""COMPUTED_VALUE"""),"-")</f>
        <v>-</v>
      </c>
      <c r="L5104" s="19" t="str">
        <f>IFERROR(__xludf.DUMMYFUNCTION("""COMPUTED_VALUE"""),"-")</f>
        <v>-</v>
      </c>
      <c r="O5104" s="24">
        <f t="shared" si="4"/>
        <v>0</v>
      </c>
      <c r="P5104" s="24"/>
      <c r="Q5104" s="24">
        <f t="shared" si="6"/>
        <v>0</v>
      </c>
      <c r="R5104" s="24">
        <f t="shared" si="7"/>
        <v>0</v>
      </c>
      <c r="S5104" s="24"/>
      <c r="T5104" s="24"/>
    </row>
    <row r="5105">
      <c r="A5105" s="12" t="s">
        <v>5192</v>
      </c>
      <c r="F5105" s="19">
        <f>IFERROR(__xludf.DUMMYFUNCTION("SPLIT(A5101, "" |"")"),5099.0)</f>
        <v>5099</v>
      </c>
      <c r="G5105" s="19">
        <f>IFERROR(__xludf.DUMMYFUNCTION("""COMPUTED_VALUE"""),0.00236)</f>
        <v>0.00236</v>
      </c>
      <c r="H5105" s="19" t="str">
        <f>IFERROR(__xludf.DUMMYFUNCTION("""COMPUTED_VALUE"""),"-")</f>
        <v>-</v>
      </c>
      <c r="I5105" s="19">
        <f>IFERROR(__xludf.DUMMYFUNCTION("""COMPUTED_VALUE"""),0.00224)</f>
        <v>0.00224</v>
      </c>
      <c r="J5105" s="19">
        <f>IFERROR(__xludf.DUMMYFUNCTION("""COMPUTED_VALUE"""),0.04744)</f>
        <v>0.04744</v>
      </c>
      <c r="K5105" s="19" t="str">
        <f>IFERROR(__xludf.DUMMYFUNCTION("""COMPUTED_VALUE"""),"-")</f>
        <v>-</v>
      </c>
      <c r="L5105" s="19" t="str">
        <f>IFERROR(__xludf.DUMMYFUNCTION("""COMPUTED_VALUE"""),"-")</f>
        <v>-</v>
      </c>
      <c r="O5105" s="24">
        <f t="shared" si="4"/>
        <v>0</v>
      </c>
      <c r="P5105" s="24"/>
      <c r="Q5105" s="24">
        <f t="shared" si="6"/>
        <v>0</v>
      </c>
      <c r="R5105" s="24">
        <f t="shared" si="7"/>
        <v>0</v>
      </c>
      <c r="S5105" s="24"/>
      <c r="T5105" s="24"/>
    </row>
    <row r="5106">
      <c r="A5106" s="12" t="s">
        <v>5193</v>
      </c>
      <c r="F5106" s="19">
        <f>IFERROR(__xludf.DUMMYFUNCTION("SPLIT(A5102, "" |"")"),5100.0)</f>
        <v>5100</v>
      </c>
      <c r="G5106" s="19">
        <f>IFERROR(__xludf.DUMMYFUNCTION("""COMPUTED_VALUE"""),0.00236)</f>
        <v>0.00236</v>
      </c>
      <c r="H5106" s="19" t="str">
        <f>IFERROR(__xludf.DUMMYFUNCTION("""COMPUTED_VALUE"""),"-")</f>
        <v>-</v>
      </c>
      <c r="I5106" s="19">
        <f>IFERROR(__xludf.DUMMYFUNCTION("""COMPUTED_VALUE"""),0.00224)</f>
        <v>0.00224</v>
      </c>
      <c r="J5106" s="19">
        <f>IFERROR(__xludf.DUMMYFUNCTION("""COMPUTED_VALUE"""),0.0442)</f>
        <v>0.0442</v>
      </c>
      <c r="K5106" s="19" t="str">
        <f>IFERROR(__xludf.DUMMYFUNCTION("""COMPUTED_VALUE"""),"-")</f>
        <v>-</v>
      </c>
      <c r="L5106" s="19" t="str">
        <f>IFERROR(__xludf.DUMMYFUNCTION("""COMPUTED_VALUE"""),"-")</f>
        <v>-</v>
      </c>
      <c r="O5106" s="24">
        <f t="shared" si="4"/>
        <v>0</v>
      </c>
      <c r="P5106" s="24"/>
      <c r="Q5106" s="24">
        <f t="shared" si="6"/>
        <v>0</v>
      </c>
      <c r="R5106" s="24">
        <f t="shared" si="7"/>
        <v>1</v>
      </c>
      <c r="S5106" s="24"/>
      <c r="T5106" s="24"/>
    </row>
    <row r="5107">
      <c r="A5107" s="12" t="s">
        <v>5194</v>
      </c>
      <c r="F5107" s="19">
        <f>IFERROR(__xludf.DUMMYFUNCTION("SPLIT(A5103, "" |"")"),5101.0)</f>
        <v>5101</v>
      </c>
      <c r="G5107" s="19">
        <f>IFERROR(__xludf.DUMMYFUNCTION("""COMPUTED_VALUE"""),0.00238)</f>
        <v>0.00238</v>
      </c>
      <c r="H5107" s="19" t="str">
        <f>IFERROR(__xludf.DUMMYFUNCTION("""COMPUTED_VALUE"""),"-")</f>
        <v>-</v>
      </c>
      <c r="I5107" s="19">
        <f>IFERROR(__xludf.DUMMYFUNCTION("""COMPUTED_VALUE"""),0.00223)</f>
        <v>0.00223</v>
      </c>
      <c r="J5107" s="19">
        <f>IFERROR(__xludf.DUMMYFUNCTION("""COMPUTED_VALUE"""),0.04577)</f>
        <v>0.04577</v>
      </c>
      <c r="K5107" s="19" t="str">
        <f>IFERROR(__xludf.DUMMYFUNCTION("""COMPUTED_VALUE"""),"-")</f>
        <v>-</v>
      </c>
      <c r="L5107" s="19" t="str">
        <f>IFERROR(__xludf.DUMMYFUNCTION("""COMPUTED_VALUE"""),"-")</f>
        <v>-</v>
      </c>
      <c r="O5107" s="24">
        <f t="shared" si="4"/>
        <v>0</v>
      </c>
      <c r="P5107" s="24"/>
      <c r="Q5107" s="24">
        <f t="shared" si="6"/>
        <v>0</v>
      </c>
      <c r="R5107" s="24">
        <f t="shared" si="7"/>
        <v>0</v>
      </c>
      <c r="S5107" s="24"/>
      <c r="T5107" s="24"/>
    </row>
    <row r="5108">
      <c r="A5108" s="12" t="s">
        <v>5195</v>
      </c>
      <c r="F5108" s="19">
        <f>IFERROR(__xludf.DUMMYFUNCTION("SPLIT(A5104, "" |"")"),5102.0)</f>
        <v>5102</v>
      </c>
      <c r="G5108" s="19">
        <f>IFERROR(__xludf.DUMMYFUNCTION("""COMPUTED_VALUE"""),0.00238)</f>
        <v>0.00238</v>
      </c>
      <c r="H5108" s="19" t="str">
        <f>IFERROR(__xludf.DUMMYFUNCTION("""COMPUTED_VALUE"""),"-")</f>
        <v>-</v>
      </c>
      <c r="I5108" s="19">
        <f>IFERROR(__xludf.DUMMYFUNCTION("""COMPUTED_VALUE"""),0.00224)</f>
        <v>0.00224</v>
      </c>
      <c r="J5108" s="19">
        <f>IFERROR(__xludf.DUMMYFUNCTION("""COMPUTED_VALUE"""),0.04741)</f>
        <v>0.04741</v>
      </c>
      <c r="K5108" s="19" t="str">
        <f>IFERROR(__xludf.DUMMYFUNCTION("""COMPUTED_VALUE"""),"-")</f>
        <v>-</v>
      </c>
      <c r="L5108" s="19" t="str">
        <f>IFERROR(__xludf.DUMMYFUNCTION("""COMPUTED_VALUE"""),"-")</f>
        <v>-</v>
      </c>
      <c r="O5108" s="24">
        <f t="shared" si="4"/>
        <v>0</v>
      </c>
      <c r="P5108" s="24"/>
      <c r="Q5108" s="24">
        <f t="shared" si="6"/>
        <v>0</v>
      </c>
      <c r="R5108" s="24">
        <f t="shared" si="7"/>
        <v>0</v>
      </c>
      <c r="S5108" s="24"/>
      <c r="T5108" s="24"/>
    </row>
    <row r="5109">
      <c r="A5109" s="12" t="s">
        <v>5196</v>
      </c>
      <c r="F5109" s="19">
        <f>IFERROR(__xludf.DUMMYFUNCTION("SPLIT(A5105, "" |"")"),5103.0)</f>
        <v>5103</v>
      </c>
      <c r="G5109" s="19">
        <f>IFERROR(__xludf.DUMMYFUNCTION("""COMPUTED_VALUE"""),0.00245)</f>
        <v>0.00245</v>
      </c>
      <c r="H5109" s="19" t="str">
        <f>IFERROR(__xludf.DUMMYFUNCTION("""COMPUTED_VALUE"""),"-")</f>
        <v>-</v>
      </c>
      <c r="I5109" s="19">
        <f>IFERROR(__xludf.DUMMYFUNCTION("""COMPUTED_VALUE"""),0.00216)</f>
        <v>0.00216</v>
      </c>
      <c r="J5109" s="19">
        <f>IFERROR(__xludf.DUMMYFUNCTION("""COMPUTED_VALUE"""),0.04748)</f>
        <v>0.04748</v>
      </c>
      <c r="K5109" s="19" t="str">
        <f>IFERROR(__xludf.DUMMYFUNCTION("""COMPUTED_VALUE"""),"-")</f>
        <v>-</v>
      </c>
      <c r="L5109" s="19" t="str">
        <f>IFERROR(__xludf.DUMMYFUNCTION("""COMPUTED_VALUE"""),"-")</f>
        <v>-</v>
      </c>
      <c r="O5109" s="24">
        <f t="shared" si="4"/>
        <v>0</v>
      </c>
      <c r="P5109" s="24"/>
      <c r="Q5109" s="24">
        <f t="shared" si="6"/>
        <v>0</v>
      </c>
      <c r="R5109" s="24">
        <f t="shared" si="7"/>
        <v>0</v>
      </c>
      <c r="S5109" s="24"/>
      <c r="T5109" s="24"/>
    </row>
    <row r="5110">
      <c r="A5110" s="12" t="s">
        <v>5197</v>
      </c>
      <c r="F5110" s="19">
        <f>IFERROR(__xludf.DUMMYFUNCTION("SPLIT(A5106, "" |"")"),5104.0)</f>
        <v>5104</v>
      </c>
      <c r="G5110" s="19">
        <f>IFERROR(__xludf.DUMMYFUNCTION("""COMPUTED_VALUE"""),0.00234)</f>
        <v>0.00234</v>
      </c>
      <c r="H5110" s="19" t="str">
        <f>IFERROR(__xludf.DUMMYFUNCTION("""COMPUTED_VALUE"""),"-")</f>
        <v>-</v>
      </c>
      <c r="I5110" s="19">
        <f>IFERROR(__xludf.DUMMYFUNCTION("""COMPUTED_VALUE"""),0.00223)</f>
        <v>0.00223</v>
      </c>
      <c r="J5110" s="19">
        <f>IFERROR(__xludf.DUMMYFUNCTION("""COMPUTED_VALUE"""),0.04743)</f>
        <v>0.04743</v>
      </c>
      <c r="K5110" s="19" t="str">
        <f>IFERROR(__xludf.DUMMYFUNCTION("""COMPUTED_VALUE"""),"-")</f>
        <v>-</v>
      </c>
      <c r="L5110" s="19" t="str">
        <f>IFERROR(__xludf.DUMMYFUNCTION("""COMPUTED_VALUE"""),"-")</f>
        <v>-</v>
      </c>
      <c r="O5110" s="24">
        <f t="shared" si="4"/>
        <v>0</v>
      </c>
      <c r="P5110" s="24"/>
      <c r="Q5110" s="24">
        <f t="shared" si="6"/>
        <v>0</v>
      </c>
      <c r="R5110" s="24">
        <f t="shared" si="7"/>
        <v>0</v>
      </c>
      <c r="S5110" s="24"/>
      <c r="T5110" s="24"/>
    </row>
    <row r="5111">
      <c r="A5111" s="12" t="s">
        <v>5198</v>
      </c>
      <c r="F5111" s="19">
        <f>IFERROR(__xludf.DUMMYFUNCTION("SPLIT(A5107, "" |"")"),5105.0)</f>
        <v>5105</v>
      </c>
      <c r="G5111" s="19">
        <f>IFERROR(__xludf.DUMMYFUNCTION("""COMPUTED_VALUE"""),0.00237)</f>
        <v>0.00237</v>
      </c>
      <c r="H5111" s="19" t="str">
        <f>IFERROR(__xludf.DUMMYFUNCTION("""COMPUTED_VALUE"""),"-")</f>
        <v>-</v>
      </c>
      <c r="I5111" s="19">
        <f>IFERROR(__xludf.DUMMYFUNCTION("""COMPUTED_VALUE"""),0.00223)</f>
        <v>0.00223</v>
      </c>
      <c r="J5111" s="19">
        <f>IFERROR(__xludf.DUMMYFUNCTION("""COMPUTED_VALUE"""),0.04749)</f>
        <v>0.04749</v>
      </c>
      <c r="K5111" s="19" t="str">
        <f>IFERROR(__xludf.DUMMYFUNCTION("""COMPUTED_VALUE"""),"-")</f>
        <v>-</v>
      </c>
      <c r="L5111" s="19" t="str">
        <f>IFERROR(__xludf.DUMMYFUNCTION("""COMPUTED_VALUE"""),"-")</f>
        <v>-</v>
      </c>
      <c r="O5111" s="24">
        <f t="shared" si="4"/>
        <v>0</v>
      </c>
      <c r="P5111" s="24"/>
      <c r="Q5111" s="24">
        <f t="shared" si="6"/>
        <v>0</v>
      </c>
      <c r="R5111" s="24">
        <f t="shared" si="7"/>
        <v>0</v>
      </c>
      <c r="S5111" s="24"/>
      <c r="T5111" s="24"/>
    </row>
    <row r="5112">
      <c r="A5112" s="12" t="s">
        <v>5199</v>
      </c>
      <c r="F5112" s="19">
        <f>IFERROR(__xludf.DUMMYFUNCTION("SPLIT(A5108, "" |"")"),5106.0)</f>
        <v>5106</v>
      </c>
      <c r="G5112" s="19">
        <f>IFERROR(__xludf.DUMMYFUNCTION("""COMPUTED_VALUE"""),0.00238)</f>
        <v>0.00238</v>
      </c>
      <c r="H5112" s="19" t="str">
        <f>IFERROR(__xludf.DUMMYFUNCTION("""COMPUTED_VALUE"""),"-")</f>
        <v>-</v>
      </c>
      <c r="I5112" s="19">
        <f>IFERROR(__xludf.DUMMYFUNCTION("""COMPUTED_VALUE"""),0.00219)</f>
        <v>0.00219</v>
      </c>
      <c r="J5112" s="19">
        <f>IFERROR(__xludf.DUMMYFUNCTION("""COMPUTED_VALUE"""),0.04291)</f>
        <v>0.04291</v>
      </c>
      <c r="K5112" s="19" t="str">
        <f>IFERROR(__xludf.DUMMYFUNCTION("""COMPUTED_VALUE"""),"-")</f>
        <v>-</v>
      </c>
      <c r="L5112" s="19" t="str">
        <f>IFERROR(__xludf.DUMMYFUNCTION("""COMPUTED_VALUE"""),"-")</f>
        <v>-</v>
      </c>
      <c r="O5112" s="24">
        <f t="shared" si="4"/>
        <v>0</v>
      </c>
      <c r="P5112" s="24"/>
      <c r="Q5112" s="24">
        <f t="shared" si="6"/>
        <v>0</v>
      </c>
      <c r="R5112" s="24">
        <f t="shared" si="7"/>
        <v>1</v>
      </c>
      <c r="S5112" s="24"/>
      <c r="T5112" s="24"/>
    </row>
    <row r="5113">
      <c r="A5113" s="12" t="s">
        <v>5200</v>
      </c>
      <c r="F5113" s="19">
        <f>IFERROR(__xludf.DUMMYFUNCTION("SPLIT(A5109, "" |"")"),5107.0)</f>
        <v>5107</v>
      </c>
      <c r="G5113" s="19">
        <f>IFERROR(__xludf.DUMMYFUNCTION("""COMPUTED_VALUE"""),0.00263)</f>
        <v>0.00263</v>
      </c>
      <c r="H5113" s="19" t="str">
        <f>IFERROR(__xludf.DUMMYFUNCTION("""COMPUTED_VALUE"""),"-")</f>
        <v>-</v>
      </c>
      <c r="I5113" s="19">
        <f>IFERROR(__xludf.DUMMYFUNCTION("""COMPUTED_VALUE"""),0.00231)</f>
        <v>0.00231</v>
      </c>
      <c r="J5113" s="19">
        <f>IFERROR(__xludf.DUMMYFUNCTION("""COMPUTED_VALUE"""),0.04753)</f>
        <v>0.04753</v>
      </c>
      <c r="K5113" s="19" t="str">
        <f>IFERROR(__xludf.DUMMYFUNCTION("""COMPUTED_VALUE"""),"-")</f>
        <v>-</v>
      </c>
      <c r="L5113" s="19" t="str">
        <f>IFERROR(__xludf.DUMMYFUNCTION("""COMPUTED_VALUE"""),"-")</f>
        <v>-</v>
      </c>
      <c r="O5113" s="24">
        <f t="shared" si="4"/>
        <v>0</v>
      </c>
      <c r="P5113" s="24"/>
      <c r="Q5113" s="24">
        <f t="shared" si="6"/>
        <v>0</v>
      </c>
      <c r="R5113" s="24">
        <f t="shared" si="7"/>
        <v>0</v>
      </c>
      <c r="S5113" s="24"/>
      <c r="T5113" s="24"/>
    </row>
    <row r="5114">
      <c r="A5114" s="12" t="s">
        <v>5201</v>
      </c>
      <c r="F5114" s="19">
        <f>IFERROR(__xludf.DUMMYFUNCTION("SPLIT(A5110, "" |"")"),5108.0)</f>
        <v>5108</v>
      </c>
      <c r="G5114" s="19">
        <f>IFERROR(__xludf.DUMMYFUNCTION("""COMPUTED_VALUE"""),0.00235)</f>
        <v>0.00235</v>
      </c>
      <c r="H5114" s="19" t="str">
        <f>IFERROR(__xludf.DUMMYFUNCTION("""COMPUTED_VALUE"""),"-")</f>
        <v>-</v>
      </c>
      <c r="I5114" s="19">
        <f>IFERROR(__xludf.DUMMYFUNCTION("""COMPUTED_VALUE"""),0.00223)</f>
        <v>0.00223</v>
      </c>
      <c r="J5114" s="19">
        <f>IFERROR(__xludf.DUMMYFUNCTION("""COMPUTED_VALUE"""),0.04749)</f>
        <v>0.04749</v>
      </c>
      <c r="K5114" s="19" t="str">
        <f>IFERROR(__xludf.DUMMYFUNCTION("""COMPUTED_VALUE"""),"-")</f>
        <v>-</v>
      </c>
      <c r="L5114" s="19" t="str">
        <f>IFERROR(__xludf.DUMMYFUNCTION("""COMPUTED_VALUE"""),"-")</f>
        <v>-</v>
      </c>
      <c r="O5114" s="24">
        <f t="shared" si="4"/>
        <v>0</v>
      </c>
      <c r="P5114" s="24"/>
      <c r="Q5114" s="24">
        <f t="shared" si="6"/>
        <v>0</v>
      </c>
      <c r="R5114" s="24">
        <f t="shared" si="7"/>
        <v>0</v>
      </c>
      <c r="S5114" s="24"/>
      <c r="T5114" s="24"/>
    </row>
    <row r="5115">
      <c r="A5115" s="12" t="s">
        <v>5202</v>
      </c>
      <c r="F5115" s="19">
        <f>IFERROR(__xludf.DUMMYFUNCTION("SPLIT(A5111, "" |"")"),5109.0)</f>
        <v>5109</v>
      </c>
      <c r="G5115" s="19">
        <f>IFERROR(__xludf.DUMMYFUNCTION("""COMPUTED_VALUE"""),0.00242)</f>
        <v>0.00242</v>
      </c>
      <c r="H5115" s="19" t="str">
        <f>IFERROR(__xludf.DUMMYFUNCTION("""COMPUTED_VALUE"""),"-")</f>
        <v>-</v>
      </c>
      <c r="I5115" s="19">
        <f>IFERROR(__xludf.DUMMYFUNCTION("""COMPUTED_VALUE"""),0.00227)</f>
        <v>0.00227</v>
      </c>
      <c r="J5115" s="19">
        <f>IFERROR(__xludf.DUMMYFUNCTION("""COMPUTED_VALUE"""),0.04745)</f>
        <v>0.04745</v>
      </c>
      <c r="K5115" s="19" t="str">
        <f>IFERROR(__xludf.DUMMYFUNCTION("""COMPUTED_VALUE"""),"-")</f>
        <v>-</v>
      </c>
      <c r="L5115" s="19" t="str">
        <f>IFERROR(__xludf.DUMMYFUNCTION("""COMPUTED_VALUE"""),"-")</f>
        <v>-</v>
      </c>
      <c r="O5115" s="24">
        <f t="shared" si="4"/>
        <v>0</v>
      </c>
      <c r="P5115" s="24"/>
      <c r="Q5115" s="24">
        <f t="shared" si="6"/>
        <v>0</v>
      </c>
      <c r="R5115" s="24">
        <f t="shared" si="7"/>
        <v>0</v>
      </c>
      <c r="S5115" s="24"/>
      <c r="T5115" s="24"/>
    </row>
    <row r="5116">
      <c r="A5116" s="12" t="s">
        <v>5203</v>
      </c>
      <c r="F5116" s="19">
        <f>IFERROR(__xludf.DUMMYFUNCTION("SPLIT(A5112, "" |"")"),5110.0)</f>
        <v>5110</v>
      </c>
      <c r="G5116" s="19">
        <f>IFERROR(__xludf.DUMMYFUNCTION("""COMPUTED_VALUE"""),0.00239)</f>
        <v>0.00239</v>
      </c>
      <c r="H5116" s="19" t="str">
        <f>IFERROR(__xludf.DUMMYFUNCTION("""COMPUTED_VALUE"""),"-")</f>
        <v>-</v>
      </c>
      <c r="I5116" s="19">
        <f>IFERROR(__xludf.DUMMYFUNCTION("""COMPUTED_VALUE"""),0.00219)</f>
        <v>0.00219</v>
      </c>
      <c r="J5116" s="19">
        <f>IFERROR(__xludf.DUMMYFUNCTION("""COMPUTED_VALUE"""),0.0423)</f>
        <v>0.0423</v>
      </c>
      <c r="K5116" s="19" t="str">
        <f>IFERROR(__xludf.DUMMYFUNCTION("""COMPUTED_VALUE"""),"-")</f>
        <v>-</v>
      </c>
      <c r="L5116" s="19" t="str">
        <f>IFERROR(__xludf.DUMMYFUNCTION("""COMPUTED_VALUE"""),"-")</f>
        <v>-</v>
      </c>
      <c r="O5116" s="24">
        <f t="shared" si="4"/>
        <v>0</v>
      </c>
      <c r="P5116" s="24"/>
      <c r="Q5116" s="24">
        <f t="shared" si="6"/>
        <v>0</v>
      </c>
      <c r="R5116" s="24">
        <f t="shared" si="7"/>
        <v>1</v>
      </c>
      <c r="S5116" s="24"/>
      <c r="T5116" s="24"/>
    </row>
    <row r="5117">
      <c r="A5117" s="12" t="s">
        <v>5204</v>
      </c>
      <c r="F5117" s="19">
        <f>IFERROR(__xludf.DUMMYFUNCTION("SPLIT(A5113, "" |"")"),5111.0)</f>
        <v>5111</v>
      </c>
      <c r="G5117" s="19">
        <f>IFERROR(__xludf.DUMMYFUNCTION("""COMPUTED_VALUE"""),0.0023)</f>
        <v>0.0023</v>
      </c>
      <c r="H5117" s="19" t="str">
        <f>IFERROR(__xludf.DUMMYFUNCTION("""COMPUTED_VALUE"""),"-")</f>
        <v>-</v>
      </c>
      <c r="I5117" s="19">
        <f>IFERROR(__xludf.DUMMYFUNCTION("""COMPUTED_VALUE"""),0.00221)</f>
        <v>0.00221</v>
      </c>
      <c r="J5117" s="19">
        <f>IFERROR(__xludf.DUMMYFUNCTION("""COMPUTED_VALUE"""),0.0475)</f>
        <v>0.0475</v>
      </c>
      <c r="K5117" s="19" t="str">
        <f>IFERROR(__xludf.DUMMYFUNCTION("""COMPUTED_VALUE"""),"-")</f>
        <v>-</v>
      </c>
      <c r="L5117" s="19" t="str">
        <f>IFERROR(__xludf.DUMMYFUNCTION("""COMPUTED_VALUE"""),"-")</f>
        <v>-</v>
      </c>
      <c r="O5117" s="24">
        <f t="shared" si="4"/>
        <v>0</v>
      </c>
      <c r="P5117" s="24"/>
      <c r="Q5117" s="24">
        <f t="shared" si="6"/>
        <v>0</v>
      </c>
      <c r="R5117" s="24">
        <f t="shared" si="7"/>
        <v>0</v>
      </c>
      <c r="S5117" s="24"/>
      <c r="T5117" s="24"/>
    </row>
    <row r="5118">
      <c r="A5118" s="12" t="s">
        <v>5205</v>
      </c>
      <c r="F5118" s="19">
        <f>IFERROR(__xludf.DUMMYFUNCTION("SPLIT(A5114, "" |"")"),5112.0)</f>
        <v>5112</v>
      </c>
      <c r="G5118" s="19">
        <f>IFERROR(__xludf.DUMMYFUNCTION("""COMPUTED_VALUE"""),0.00238)</f>
        <v>0.00238</v>
      </c>
      <c r="H5118" s="19" t="str">
        <f>IFERROR(__xludf.DUMMYFUNCTION("""COMPUTED_VALUE"""),"-")</f>
        <v>-</v>
      </c>
      <c r="I5118" s="19">
        <f>IFERROR(__xludf.DUMMYFUNCTION("""COMPUTED_VALUE"""),0.00217)</f>
        <v>0.00217</v>
      </c>
      <c r="J5118" s="19">
        <f>IFERROR(__xludf.DUMMYFUNCTION("""COMPUTED_VALUE"""),0.04744)</f>
        <v>0.04744</v>
      </c>
      <c r="K5118" s="19" t="str">
        <f>IFERROR(__xludf.DUMMYFUNCTION("""COMPUTED_VALUE"""),"-")</f>
        <v>-</v>
      </c>
      <c r="L5118" s="19" t="str">
        <f>IFERROR(__xludf.DUMMYFUNCTION("""COMPUTED_VALUE"""),"-")</f>
        <v>-</v>
      </c>
      <c r="O5118" s="24">
        <f t="shared" si="4"/>
        <v>0</v>
      </c>
      <c r="P5118" s="24"/>
      <c r="Q5118" s="24">
        <f t="shared" si="6"/>
        <v>0</v>
      </c>
      <c r="R5118" s="24">
        <f t="shared" si="7"/>
        <v>0</v>
      </c>
      <c r="S5118" s="24"/>
      <c r="T5118" s="24"/>
    </row>
    <row r="5119">
      <c r="A5119" s="12" t="s">
        <v>5206</v>
      </c>
      <c r="F5119" s="19">
        <f>IFERROR(__xludf.DUMMYFUNCTION("SPLIT(A5115, "" |"")"),5113.0)</f>
        <v>5113</v>
      </c>
      <c r="G5119" s="19">
        <f>IFERROR(__xludf.DUMMYFUNCTION("""COMPUTED_VALUE"""),0.00245)</f>
        <v>0.00245</v>
      </c>
      <c r="H5119" s="19" t="str">
        <f>IFERROR(__xludf.DUMMYFUNCTION("""COMPUTED_VALUE"""),"-")</f>
        <v>-</v>
      </c>
      <c r="I5119" s="19">
        <f>IFERROR(__xludf.DUMMYFUNCTION("""COMPUTED_VALUE"""),0.00224)</f>
        <v>0.00224</v>
      </c>
      <c r="J5119" s="19">
        <f>IFERROR(__xludf.DUMMYFUNCTION("""COMPUTED_VALUE"""),0.04747)</f>
        <v>0.04747</v>
      </c>
      <c r="K5119" s="19" t="str">
        <f>IFERROR(__xludf.DUMMYFUNCTION("""COMPUTED_VALUE"""),"-")</f>
        <v>-</v>
      </c>
      <c r="L5119" s="19" t="str">
        <f>IFERROR(__xludf.DUMMYFUNCTION("""COMPUTED_VALUE"""),"-")</f>
        <v>-</v>
      </c>
      <c r="O5119" s="24">
        <f t="shared" si="4"/>
        <v>0</v>
      </c>
      <c r="P5119" s="24"/>
      <c r="Q5119" s="24">
        <f t="shared" si="6"/>
        <v>0</v>
      </c>
      <c r="R5119" s="24">
        <f t="shared" si="7"/>
        <v>0</v>
      </c>
      <c r="S5119" s="24"/>
      <c r="T5119" s="24"/>
    </row>
    <row r="5120">
      <c r="A5120" s="12" t="s">
        <v>5207</v>
      </c>
      <c r="F5120" s="19">
        <f>IFERROR(__xludf.DUMMYFUNCTION("SPLIT(A5116, "" |"")"),5114.0)</f>
        <v>5114</v>
      </c>
      <c r="G5120" s="19">
        <f>IFERROR(__xludf.DUMMYFUNCTION("""COMPUTED_VALUE"""),0.00236)</f>
        <v>0.00236</v>
      </c>
      <c r="H5120" s="19" t="str">
        <f>IFERROR(__xludf.DUMMYFUNCTION("""COMPUTED_VALUE"""),"-")</f>
        <v>-</v>
      </c>
      <c r="I5120" s="19">
        <f>IFERROR(__xludf.DUMMYFUNCTION("""COMPUTED_VALUE"""),0.0022)</f>
        <v>0.0022</v>
      </c>
      <c r="J5120" s="19">
        <f>IFERROR(__xludf.DUMMYFUNCTION("""COMPUTED_VALUE"""),0.04087)</f>
        <v>0.04087</v>
      </c>
      <c r="K5120" s="19" t="str">
        <f>IFERROR(__xludf.DUMMYFUNCTION("""COMPUTED_VALUE"""),"-")</f>
        <v>-</v>
      </c>
      <c r="L5120" s="19" t="str">
        <f>IFERROR(__xludf.DUMMYFUNCTION("""COMPUTED_VALUE"""),"-")</f>
        <v>-</v>
      </c>
      <c r="O5120" s="24">
        <f t="shared" si="4"/>
        <v>0</v>
      </c>
      <c r="P5120" s="24"/>
      <c r="Q5120" s="24">
        <f t="shared" si="6"/>
        <v>0</v>
      </c>
      <c r="R5120" s="24">
        <f t="shared" si="7"/>
        <v>1</v>
      </c>
      <c r="S5120" s="24"/>
      <c r="T5120" s="24"/>
    </row>
    <row r="5121">
      <c r="A5121" s="12" t="s">
        <v>5208</v>
      </c>
      <c r="F5121" s="19">
        <f>IFERROR(__xludf.DUMMYFUNCTION("SPLIT(A5117, "" |"")"),5115.0)</f>
        <v>5115</v>
      </c>
      <c r="G5121" s="19">
        <f>IFERROR(__xludf.DUMMYFUNCTION("""COMPUTED_VALUE"""),0.00239)</f>
        <v>0.00239</v>
      </c>
      <c r="H5121" s="19" t="str">
        <f>IFERROR(__xludf.DUMMYFUNCTION("""COMPUTED_VALUE"""),"-")</f>
        <v>-</v>
      </c>
      <c r="I5121" s="19">
        <f>IFERROR(__xludf.DUMMYFUNCTION("""COMPUTED_VALUE"""),0.00223)</f>
        <v>0.00223</v>
      </c>
      <c r="J5121" s="19">
        <f>IFERROR(__xludf.DUMMYFUNCTION("""COMPUTED_VALUE"""),0.04747)</f>
        <v>0.04747</v>
      </c>
      <c r="K5121" s="19" t="str">
        <f>IFERROR(__xludf.DUMMYFUNCTION("""COMPUTED_VALUE"""),"-")</f>
        <v>-</v>
      </c>
      <c r="L5121" s="19" t="str">
        <f>IFERROR(__xludf.DUMMYFUNCTION("""COMPUTED_VALUE"""),"-")</f>
        <v>-</v>
      </c>
      <c r="O5121" s="24">
        <f t="shared" si="4"/>
        <v>0</v>
      </c>
      <c r="P5121" s="24"/>
      <c r="Q5121" s="24">
        <f t="shared" si="6"/>
        <v>0</v>
      </c>
      <c r="R5121" s="24">
        <f t="shared" si="7"/>
        <v>0</v>
      </c>
      <c r="S5121" s="24"/>
      <c r="T5121" s="24"/>
    </row>
    <row r="5122">
      <c r="A5122" s="12" t="s">
        <v>5209</v>
      </c>
      <c r="F5122" s="19">
        <f>IFERROR(__xludf.DUMMYFUNCTION("SPLIT(A5118, "" |"")"),5116.0)</f>
        <v>5116</v>
      </c>
      <c r="G5122" s="19">
        <f>IFERROR(__xludf.DUMMYFUNCTION("""COMPUTED_VALUE"""),0.00235)</f>
        <v>0.00235</v>
      </c>
      <c r="H5122" s="19" t="str">
        <f>IFERROR(__xludf.DUMMYFUNCTION("""COMPUTED_VALUE"""),"-")</f>
        <v>-</v>
      </c>
      <c r="I5122" s="19">
        <f>IFERROR(__xludf.DUMMYFUNCTION("""COMPUTED_VALUE"""),0.00223)</f>
        <v>0.00223</v>
      </c>
      <c r="J5122" s="19">
        <f>IFERROR(__xludf.DUMMYFUNCTION("""COMPUTED_VALUE"""),0.04746)</f>
        <v>0.04746</v>
      </c>
      <c r="K5122" s="19" t="str">
        <f>IFERROR(__xludf.DUMMYFUNCTION("""COMPUTED_VALUE"""),"-")</f>
        <v>-</v>
      </c>
      <c r="L5122" s="19" t="str">
        <f>IFERROR(__xludf.DUMMYFUNCTION("""COMPUTED_VALUE"""),"-")</f>
        <v>-</v>
      </c>
      <c r="O5122" s="24">
        <f t="shared" si="4"/>
        <v>0</v>
      </c>
      <c r="P5122" s="24"/>
      <c r="Q5122" s="24">
        <f t="shared" si="6"/>
        <v>0</v>
      </c>
      <c r="R5122" s="24">
        <f t="shared" si="7"/>
        <v>0</v>
      </c>
      <c r="S5122" s="24"/>
      <c r="T5122" s="24"/>
    </row>
    <row r="5123">
      <c r="A5123" s="12" t="s">
        <v>5210</v>
      </c>
      <c r="F5123" s="19">
        <f>IFERROR(__xludf.DUMMYFUNCTION("SPLIT(A5119, "" |"")"),5117.0)</f>
        <v>5117</v>
      </c>
      <c r="G5123" s="19">
        <f>IFERROR(__xludf.DUMMYFUNCTION("""COMPUTED_VALUE"""),0.00239)</f>
        <v>0.00239</v>
      </c>
      <c r="H5123" s="19" t="str">
        <f>IFERROR(__xludf.DUMMYFUNCTION("""COMPUTED_VALUE"""),"-")</f>
        <v>-</v>
      </c>
      <c r="I5123" s="19">
        <f>IFERROR(__xludf.DUMMYFUNCTION("""COMPUTED_VALUE"""),0.00219)</f>
        <v>0.00219</v>
      </c>
      <c r="J5123" s="19">
        <f>IFERROR(__xludf.DUMMYFUNCTION("""COMPUTED_VALUE"""),0.04742)</f>
        <v>0.04742</v>
      </c>
      <c r="K5123" s="19" t="str">
        <f>IFERROR(__xludf.DUMMYFUNCTION("""COMPUTED_VALUE"""),"-")</f>
        <v>-</v>
      </c>
      <c r="L5123" s="19" t="str">
        <f>IFERROR(__xludf.DUMMYFUNCTION("""COMPUTED_VALUE"""),"-")</f>
        <v>-</v>
      </c>
      <c r="O5123" s="24">
        <f t="shared" si="4"/>
        <v>0</v>
      </c>
      <c r="P5123" s="24"/>
      <c r="Q5123" s="24">
        <f t="shared" si="6"/>
        <v>0</v>
      </c>
      <c r="R5123" s="24">
        <f t="shared" si="7"/>
        <v>0</v>
      </c>
      <c r="S5123" s="24"/>
      <c r="T5123" s="24"/>
    </row>
    <row r="5124">
      <c r="A5124" s="12" t="s">
        <v>5211</v>
      </c>
      <c r="F5124" s="19">
        <f>IFERROR(__xludf.DUMMYFUNCTION("SPLIT(A5120, "" |"")"),5118.0)</f>
        <v>5118</v>
      </c>
      <c r="G5124" s="19">
        <f>IFERROR(__xludf.DUMMYFUNCTION("""COMPUTED_VALUE"""),0.00241)</f>
        <v>0.00241</v>
      </c>
      <c r="H5124" s="19" t="str">
        <f>IFERROR(__xludf.DUMMYFUNCTION("""COMPUTED_VALUE"""),"-")</f>
        <v>-</v>
      </c>
      <c r="I5124" s="19">
        <f>IFERROR(__xludf.DUMMYFUNCTION("""COMPUTED_VALUE"""),0.00222)</f>
        <v>0.00222</v>
      </c>
      <c r="J5124" s="19">
        <f>IFERROR(__xludf.DUMMYFUNCTION("""COMPUTED_VALUE"""),0.04113)</f>
        <v>0.04113</v>
      </c>
      <c r="K5124" s="19" t="str">
        <f>IFERROR(__xludf.DUMMYFUNCTION("""COMPUTED_VALUE"""),"-")</f>
        <v>-</v>
      </c>
      <c r="L5124" s="19" t="str">
        <f>IFERROR(__xludf.DUMMYFUNCTION("""COMPUTED_VALUE"""),"-")</f>
        <v>-</v>
      </c>
      <c r="O5124" s="24">
        <f t="shared" si="4"/>
        <v>0</v>
      </c>
      <c r="P5124" s="24"/>
      <c r="Q5124" s="24">
        <f t="shared" si="6"/>
        <v>0</v>
      </c>
      <c r="R5124" s="24">
        <f t="shared" si="7"/>
        <v>1</v>
      </c>
      <c r="S5124" s="24"/>
      <c r="T5124" s="24"/>
    </row>
    <row r="5125">
      <c r="A5125" s="12" t="s">
        <v>5212</v>
      </c>
      <c r="F5125" s="19">
        <f>IFERROR(__xludf.DUMMYFUNCTION("SPLIT(A5121, "" |"")"),5119.0)</f>
        <v>5119</v>
      </c>
      <c r="G5125" s="19">
        <f>IFERROR(__xludf.DUMMYFUNCTION("""COMPUTED_VALUE"""),0.00227)</f>
        <v>0.00227</v>
      </c>
      <c r="H5125" s="19" t="str">
        <f>IFERROR(__xludf.DUMMYFUNCTION("""COMPUTED_VALUE"""),"-")</f>
        <v>-</v>
      </c>
      <c r="I5125" s="19">
        <f>IFERROR(__xludf.DUMMYFUNCTION("""COMPUTED_VALUE"""),0.00216)</f>
        <v>0.00216</v>
      </c>
      <c r="J5125" s="19">
        <f>IFERROR(__xludf.DUMMYFUNCTION("""COMPUTED_VALUE"""),0.0416)</f>
        <v>0.0416</v>
      </c>
      <c r="K5125" s="19" t="str">
        <f>IFERROR(__xludf.DUMMYFUNCTION("""COMPUTED_VALUE"""),"-")</f>
        <v>-</v>
      </c>
      <c r="L5125" s="19" t="str">
        <f>IFERROR(__xludf.DUMMYFUNCTION("""COMPUTED_VALUE"""),"-")</f>
        <v>-</v>
      </c>
      <c r="O5125" s="24">
        <f t="shared" si="4"/>
        <v>0</v>
      </c>
      <c r="P5125" s="24"/>
      <c r="Q5125" s="24">
        <f t="shared" si="6"/>
        <v>0</v>
      </c>
      <c r="R5125" s="24">
        <f t="shared" si="7"/>
        <v>1</v>
      </c>
      <c r="S5125" s="24"/>
      <c r="T5125" s="24"/>
    </row>
    <row r="5126">
      <c r="A5126" s="12" t="s">
        <v>5213</v>
      </c>
      <c r="F5126" s="19">
        <f>IFERROR(__xludf.DUMMYFUNCTION("SPLIT(A5122, "" |"")"),5120.0)</f>
        <v>5120</v>
      </c>
      <c r="G5126" s="19">
        <f>IFERROR(__xludf.DUMMYFUNCTION("""COMPUTED_VALUE"""),0.00231)</f>
        <v>0.00231</v>
      </c>
      <c r="H5126" s="19" t="str">
        <f>IFERROR(__xludf.DUMMYFUNCTION("""COMPUTED_VALUE"""),"-")</f>
        <v>-</v>
      </c>
      <c r="I5126" s="19">
        <f>IFERROR(__xludf.DUMMYFUNCTION("""COMPUTED_VALUE"""),0.0022)</f>
        <v>0.0022</v>
      </c>
      <c r="J5126" s="19">
        <f>IFERROR(__xludf.DUMMYFUNCTION("""COMPUTED_VALUE"""),0.04744)</f>
        <v>0.04744</v>
      </c>
      <c r="K5126" s="19" t="str">
        <f>IFERROR(__xludf.DUMMYFUNCTION("""COMPUTED_VALUE"""),"-")</f>
        <v>-</v>
      </c>
      <c r="L5126" s="19" t="str">
        <f>IFERROR(__xludf.DUMMYFUNCTION("""COMPUTED_VALUE"""),"-")</f>
        <v>-</v>
      </c>
      <c r="O5126" s="24">
        <f t="shared" si="4"/>
        <v>0</v>
      </c>
      <c r="P5126" s="24"/>
      <c r="Q5126" s="24">
        <f t="shared" si="6"/>
        <v>0</v>
      </c>
      <c r="R5126" s="24">
        <f t="shared" si="7"/>
        <v>0</v>
      </c>
      <c r="S5126" s="24"/>
      <c r="T5126" s="24"/>
    </row>
    <row r="5127">
      <c r="A5127" s="12" t="s">
        <v>5214</v>
      </c>
      <c r="F5127" s="19">
        <f>IFERROR(__xludf.DUMMYFUNCTION("SPLIT(A5123, "" |"")"),5121.0)</f>
        <v>5121</v>
      </c>
      <c r="G5127" s="19">
        <f>IFERROR(__xludf.DUMMYFUNCTION("""COMPUTED_VALUE"""),0.00231)</f>
        <v>0.00231</v>
      </c>
      <c r="H5127" s="19" t="str">
        <f>IFERROR(__xludf.DUMMYFUNCTION("""COMPUTED_VALUE"""),"-")</f>
        <v>-</v>
      </c>
      <c r="I5127" s="19">
        <f>IFERROR(__xludf.DUMMYFUNCTION("""COMPUTED_VALUE"""),0.0022)</f>
        <v>0.0022</v>
      </c>
      <c r="J5127" s="19">
        <f>IFERROR(__xludf.DUMMYFUNCTION("""COMPUTED_VALUE"""),0.04737)</f>
        <v>0.04737</v>
      </c>
      <c r="K5127" s="19" t="str">
        <f>IFERROR(__xludf.DUMMYFUNCTION("""COMPUTED_VALUE"""),"-")</f>
        <v>-</v>
      </c>
      <c r="L5127" s="19" t="str">
        <f>IFERROR(__xludf.DUMMYFUNCTION("""COMPUTED_VALUE"""),"-")</f>
        <v>-</v>
      </c>
      <c r="O5127" s="24">
        <f t="shared" si="4"/>
        <v>0</v>
      </c>
      <c r="P5127" s="24"/>
      <c r="Q5127" s="24">
        <f t="shared" si="6"/>
        <v>0</v>
      </c>
      <c r="R5127" s="24">
        <f t="shared" si="7"/>
        <v>0</v>
      </c>
      <c r="S5127" s="24"/>
      <c r="T5127" s="24"/>
    </row>
    <row r="5128">
      <c r="A5128" s="12" t="s">
        <v>5215</v>
      </c>
      <c r="F5128" s="19">
        <f>IFERROR(__xludf.DUMMYFUNCTION("SPLIT(A5124, "" |"")"),5122.0)</f>
        <v>5122</v>
      </c>
      <c r="G5128" s="19">
        <f>IFERROR(__xludf.DUMMYFUNCTION("""COMPUTED_VALUE"""),0.0023)</f>
        <v>0.0023</v>
      </c>
      <c r="H5128" s="19" t="str">
        <f>IFERROR(__xludf.DUMMYFUNCTION("""COMPUTED_VALUE"""),"-")</f>
        <v>-</v>
      </c>
      <c r="I5128" s="19">
        <f>IFERROR(__xludf.DUMMYFUNCTION("""COMPUTED_VALUE"""),0.00219)</f>
        <v>0.00219</v>
      </c>
      <c r="J5128" s="19">
        <f>IFERROR(__xludf.DUMMYFUNCTION("""COMPUTED_VALUE"""),0.04744)</f>
        <v>0.04744</v>
      </c>
      <c r="K5128" s="19" t="str">
        <f>IFERROR(__xludf.DUMMYFUNCTION("""COMPUTED_VALUE"""),"-")</f>
        <v>-</v>
      </c>
      <c r="L5128" s="19" t="str">
        <f>IFERROR(__xludf.DUMMYFUNCTION("""COMPUTED_VALUE"""),"-")</f>
        <v>-</v>
      </c>
      <c r="O5128" s="24">
        <f t="shared" si="4"/>
        <v>0</v>
      </c>
      <c r="P5128" s="24"/>
      <c r="Q5128" s="24">
        <f t="shared" si="6"/>
        <v>0</v>
      </c>
      <c r="R5128" s="24">
        <f t="shared" si="7"/>
        <v>0</v>
      </c>
      <c r="S5128" s="24"/>
      <c r="T5128" s="24"/>
    </row>
    <row r="5129">
      <c r="A5129" s="12" t="s">
        <v>5216</v>
      </c>
      <c r="F5129" s="19">
        <f>IFERROR(__xludf.DUMMYFUNCTION("SPLIT(A5125, "" |"")"),5123.0)</f>
        <v>5123</v>
      </c>
      <c r="G5129" s="19">
        <f>IFERROR(__xludf.DUMMYFUNCTION("""COMPUTED_VALUE"""),0.00234)</f>
        <v>0.00234</v>
      </c>
      <c r="H5129" s="19" t="str">
        <f>IFERROR(__xludf.DUMMYFUNCTION("""COMPUTED_VALUE"""),"-")</f>
        <v>-</v>
      </c>
      <c r="I5129" s="19">
        <f>IFERROR(__xludf.DUMMYFUNCTION("""COMPUTED_VALUE"""),0.00221)</f>
        <v>0.00221</v>
      </c>
      <c r="J5129" s="19">
        <f>IFERROR(__xludf.DUMMYFUNCTION("""COMPUTED_VALUE"""),0.04743)</f>
        <v>0.04743</v>
      </c>
      <c r="K5129" s="19" t="str">
        <f>IFERROR(__xludf.DUMMYFUNCTION("""COMPUTED_VALUE"""),"-")</f>
        <v>-</v>
      </c>
      <c r="L5129" s="19" t="str">
        <f>IFERROR(__xludf.DUMMYFUNCTION("""COMPUTED_VALUE"""),"-")</f>
        <v>-</v>
      </c>
      <c r="O5129" s="24">
        <f t="shared" si="4"/>
        <v>0</v>
      </c>
      <c r="P5129" s="24"/>
      <c r="Q5129" s="24">
        <f t="shared" si="6"/>
        <v>0</v>
      </c>
      <c r="R5129" s="24">
        <f t="shared" si="7"/>
        <v>0</v>
      </c>
      <c r="S5129" s="24"/>
      <c r="T5129" s="24"/>
    </row>
    <row r="5130">
      <c r="A5130" s="12" t="s">
        <v>5217</v>
      </c>
      <c r="F5130" s="19">
        <f>IFERROR(__xludf.DUMMYFUNCTION("SPLIT(A5126, "" |"")"),5124.0)</f>
        <v>5124</v>
      </c>
      <c r="G5130" s="19">
        <f>IFERROR(__xludf.DUMMYFUNCTION("""COMPUTED_VALUE"""),0.00238)</f>
        <v>0.00238</v>
      </c>
      <c r="H5130" s="19" t="str">
        <f>IFERROR(__xludf.DUMMYFUNCTION("""COMPUTED_VALUE"""),"-")</f>
        <v>-</v>
      </c>
      <c r="I5130" s="19">
        <f>IFERROR(__xludf.DUMMYFUNCTION("""COMPUTED_VALUE"""),0.00221)</f>
        <v>0.00221</v>
      </c>
      <c r="J5130" s="19">
        <f>IFERROR(__xludf.DUMMYFUNCTION("""COMPUTED_VALUE"""),0.04738)</f>
        <v>0.04738</v>
      </c>
      <c r="K5130" s="19" t="str">
        <f>IFERROR(__xludf.DUMMYFUNCTION("""COMPUTED_VALUE"""),"-")</f>
        <v>-</v>
      </c>
      <c r="L5130" s="19" t="str">
        <f>IFERROR(__xludf.DUMMYFUNCTION("""COMPUTED_VALUE"""),"-")</f>
        <v>-</v>
      </c>
      <c r="O5130" s="24">
        <f t="shared" si="4"/>
        <v>0</v>
      </c>
      <c r="P5130" s="24"/>
      <c r="Q5130" s="24">
        <f t="shared" si="6"/>
        <v>0</v>
      </c>
      <c r="R5130" s="24">
        <f t="shared" si="7"/>
        <v>0</v>
      </c>
      <c r="S5130" s="24"/>
      <c r="T5130" s="24"/>
    </row>
    <row r="5131">
      <c r="A5131" s="12" t="s">
        <v>5218</v>
      </c>
      <c r="F5131" s="19">
        <f>IFERROR(__xludf.DUMMYFUNCTION("SPLIT(A5127, "" |"")"),5125.0)</f>
        <v>5125</v>
      </c>
      <c r="G5131" s="19">
        <f>IFERROR(__xludf.DUMMYFUNCTION("""COMPUTED_VALUE"""),0.00237)</f>
        <v>0.00237</v>
      </c>
      <c r="H5131" s="19" t="str">
        <f>IFERROR(__xludf.DUMMYFUNCTION("""COMPUTED_VALUE"""),"-")</f>
        <v>-</v>
      </c>
      <c r="I5131" s="19">
        <f>IFERROR(__xludf.DUMMYFUNCTION("""COMPUTED_VALUE"""),0.00225)</f>
        <v>0.00225</v>
      </c>
      <c r="J5131" s="19">
        <f>IFERROR(__xludf.DUMMYFUNCTION("""COMPUTED_VALUE"""),0.0474)</f>
        <v>0.0474</v>
      </c>
      <c r="K5131" s="19" t="str">
        <f>IFERROR(__xludf.DUMMYFUNCTION("""COMPUTED_VALUE"""),"-")</f>
        <v>-</v>
      </c>
      <c r="L5131" s="19" t="str">
        <f>IFERROR(__xludf.DUMMYFUNCTION("""COMPUTED_VALUE"""),"-")</f>
        <v>-</v>
      </c>
      <c r="O5131" s="24">
        <f t="shared" si="4"/>
        <v>0</v>
      </c>
      <c r="P5131" s="24"/>
      <c r="Q5131" s="24">
        <f t="shared" si="6"/>
        <v>0</v>
      </c>
      <c r="R5131" s="24">
        <f t="shared" si="7"/>
        <v>0</v>
      </c>
      <c r="S5131" s="24"/>
      <c r="T5131" s="24"/>
    </row>
    <row r="5132">
      <c r="A5132" s="12" t="s">
        <v>5219</v>
      </c>
      <c r="F5132" s="19">
        <f>IFERROR(__xludf.DUMMYFUNCTION("SPLIT(A5128, "" |"")"),5126.0)</f>
        <v>5126</v>
      </c>
      <c r="G5132" s="19">
        <f>IFERROR(__xludf.DUMMYFUNCTION("""COMPUTED_VALUE"""),0.00242)</f>
        <v>0.00242</v>
      </c>
      <c r="H5132" s="19" t="str">
        <f>IFERROR(__xludf.DUMMYFUNCTION("""COMPUTED_VALUE"""),"-")</f>
        <v>-</v>
      </c>
      <c r="I5132" s="19">
        <f>IFERROR(__xludf.DUMMYFUNCTION("""COMPUTED_VALUE"""),0.00223)</f>
        <v>0.00223</v>
      </c>
      <c r="J5132" s="19">
        <f>IFERROR(__xludf.DUMMYFUNCTION("""COMPUTED_VALUE"""),0.04037)</f>
        <v>0.04037</v>
      </c>
      <c r="K5132" s="19" t="str">
        <f>IFERROR(__xludf.DUMMYFUNCTION("""COMPUTED_VALUE"""),"-")</f>
        <v>-</v>
      </c>
      <c r="L5132" s="19" t="str">
        <f>IFERROR(__xludf.DUMMYFUNCTION("""COMPUTED_VALUE"""),"-")</f>
        <v>-</v>
      </c>
      <c r="O5132" s="24">
        <f t="shared" si="4"/>
        <v>0</v>
      </c>
      <c r="P5132" s="24"/>
      <c r="Q5132" s="24">
        <f t="shared" si="6"/>
        <v>0</v>
      </c>
      <c r="R5132" s="24">
        <f t="shared" si="7"/>
        <v>1</v>
      </c>
      <c r="S5132" s="24"/>
      <c r="T5132" s="24"/>
    </row>
    <row r="5133">
      <c r="A5133" s="12" t="s">
        <v>5220</v>
      </c>
      <c r="F5133" s="19">
        <f>IFERROR(__xludf.DUMMYFUNCTION("SPLIT(A5129, "" |"")"),5127.0)</f>
        <v>5127</v>
      </c>
      <c r="G5133" s="19">
        <f>IFERROR(__xludf.DUMMYFUNCTION("""COMPUTED_VALUE"""),0.00229)</f>
        <v>0.00229</v>
      </c>
      <c r="H5133" s="19" t="str">
        <f>IFERROR(__xludf.DUMMYFUNCTION("""COMPUTED_VALUE"""),"-")</f>
        <v>-</v>
      </c>
      <c r="I5133" s="19">
        <f>IFERROR(__xludf.DUMMYFUNCTION("""COMPUTED_VALUE"""),0.00222)</f>
        <v>0.00222</v>
      </c>
      <c r="J5133" s="19">
        <f>IFERROR(__xludf.DUMMYFUNCTION("""COMPUTED_VALUE"""),0.04743)</f>
        <v>0.04743</v>
      </c>
      <c r="K5133" s="19" t="str">
        <f>IFERROR(__xludf.DUMMYFUNCTION("""COMPUTED_VALUE"""),"-")</f>
        <v>-</v>
      </c>
      <c r="L5133" s="19" t="str">
        <f>IFERROR(__xludf.DUMMYFUNCTION("""COMPUTED_VALUE"""),"-")</f>
        <v>-</v>
      </c>
      <c r="O5133" s="24">
        <f t="shared" si="4"/>
        <v>0</v>
      </c>
      <c r="P5133" s="24"/>
      <c r="Q5133" s="24">
        <f t="shared" si="6"/>
        <v>0</v>
      </c>
      <c r="R5133" s="24">
        <f t="shared" si="7"/>
        <v>0</v>
      </c>
      <c r="S5133" s="24"/>
      <c r="T5133" s="24"/>
    </row>
    <row r="5134">
      <c r="A5134" s="12" t="s">
        <v>5221</v>
      </c>
      <c r="F5134" s="19">
        <f>IFERROR(__xludf.DUMMYFUNCTION("SPLIT(A5130, "" |"")"),5128.0)</f>
        <v>5128</v>
      </c>
      <c r="G5134" s="19">
        <f>IFERROR(__xludf.DUMMYFUNCTION("""COMPUTED_VALUE"""),0.00236)</f>
        <v>0.00236</v>
      </c>
      <c r="H5134" s="19" t="str">
        <f>IFERROR(__xludf.DUMMYFUNCTION("""COMPUTED_VALUE"""),"-")</f>
        <v>-</v>
      </c>
      <c r="I5134" s="19">
        <f>IFERROR(__xludf.DUMMYFUNCTION("""COMPUTED_VALUE"""),0.0022)</f>
        <v>0.0022</v>
      </c>
      <c r="J5134" s="19">
        <f>IFERROR(__xludf.DUMMYFUNCTION("""COMPUTED_VALUE"""),0.04746)</f>
        <v>0.04746</v>
      </c>
      <c r="K5134" s="19" t="str">
        <f>IFERROR(__xludf.DUMMYFUNCTION("""COMPUTED_VALUE"""),"-")</f>
        <v>-</v>
      </c>
      <c r="L5134" s="19" t="str">
        <f>IFERROR(__xludf.DUMMYFUNCTION("""COMPUTED_VALUE"""),"-")</f>
        <v>-</v>
      </c>
      <c r="O5134" s="24">
        <f t="shared" si="4"/>
        <v>0</v>
      </c>
      <c r="P5134" s="24"/>
      <c r="Q5134" s="24">
        <f t="shared" si="6"/>
        <v>0</v>
      </c>
      <c r="R5134" s="24">
        <f t="shared" si="7"/>
        <v>0</v>
      </c>
      <c r="S5134" s="24"/>
      <c r="T5134" s="24"/>
    </row>
    <row r="5135">
      <c r="A5135" s="12" t="s">
        <v>5222</v>
      </c>
      <c r="F5135" s="19">
        <f>IFERROR(__xludf.DUMMYFUNCTION("SPLIT(A5131, "" |"")"),5129.0)</f>
        <v>5129</v>
      </c>
      <c r="G5135" s="19">
        <f>IFERROR(__xludf.DUMMYFUNCTION("""COMPUTED_VALUE"""),0.00241)</f>
        <v>0.00241</v>
      </c>
      <c r="H5135" s="19" t="str">
        <f>IFERROR(__xludf.DUMMYFUNCTION("""COMPUTED_VALUE"""),"-")</f>
        <v>-</v>
      </c>
      <c r="I5135" s="19">
        <f>IFERROR(__xludf.DUMMYFUNCTION("""COMPUTED_VALUE"""),0.00224)</f>
        <v>0.00224</v>
      </c>
      <c r="J5135" s="19">
        <f>IFERROR(__xludf.DUMMYFUNCTION("""COMPUTED_VALUE"""),0.04747)</f>
        <v>0.04747</v>
      </c>
      <c r="K5135" s="19" t="str">
        <f>IFERROR(__xludf.DUMMYFUNCTION("""COMPUTED_VALUE"""),"-")</f>
        <v>-</v>
      </c>
      <c r="L5135" s="19" t="str">
        <f>IFERROR(__xludf.DUMMYFUNCTION("""COMPUTED_VALUE"""),"-")</f>
        <v>-</v>
      </c>
      <c r="O5135" s="24">
        <f t="shared" si="4"/>
        <v>0</v>
      </c>
      <c r="P5135" s="24"/>
      <c r="Q5135" s="24">
        <f t="shared" si="6"/>
        <v>0</v>
      </c>
      <c r="R5135" s="24">
        <f t="shared" si="7"/>
        <v>0</v>
      </c>
      <c r="S5135" s="24"/>
      <c r="T5135" s="24"/>
    </row>
    <row r="5136">
      <c r="A5136" s="12" t="s">
        <v>5223</v>
      </c>
      <c r="F5136" s="19">
        <f>IFERROR(__xludf.DUMMYFUNCTION("SPLIT(A5132, "" |"")"),5130.0)</f>
        <v>5130</v>
      </c>
      <c r="G5136" s="19">
        <f>IFERROR(__xludf.DUMMYFUNCTION("""COMPUTED_VALUE"""),0.00238)</f>
        <v>0.00238</v>
      </c>
      <c r="H5136" s="19" t="str">
        <f>IFERROR(__xludf.DUMMYFUNCTION("""COMPUTED_VALUE"""),"-")</f>
        <v>-</v>
      </c>
      <c r="I5136" s="19">
        <f>IFERROR(__xludf.DUMMYFUNCTION("""COMPUTED_VALUE"""),0.00217)</f>
        <v>0.00217</v>
      </c>
      <c r="J5136" s="19">
        <f>IFERROR(__xludf.DUMMYFUNCTION("""COMPUTED_VALUE"""),0.04123)</f>
        <v>0.04123</v>
      </c>
      <c r="K5136" s="19" t="str">
        <f>IFERROR(__xludf.DUMMYFUNCTION("""COMPUTED_VALUE"""),"-")</f>
        <v>-</v>
      </c>
      <c r="L5136" s="19" t="str">
        <f>IFERROR(__xludf.DUMMYFUNCTION("""COMPUTED_VALUE"""),"-")</f>
        <v>-</v>
      </c>
      <c r="O5136" s="24">
        <f t="shared" si="4"/>
        <v>0</v>
      </c>
      <c r="P5136" s="24"/>
      <c r="Q5136" s="24">
        <f t="shared" si="6"/>
        <v>0</v>
      </c>
      <c r="R5136" s="24">
        <f t="shared" si="7"/>
        <v>1</v>
      </c>
      <c r="S5136" s="24"/>
      <c r="T5136" s="24"/>
    </row>
    <row r="5137">
      <c r="A5137" s="12" t="s">
        <v>5224</v>
      </c>
      <c r="F5137" s="19">
        <f>IFERROR(__xludf.DUMMYFUNCTION("SPLIT(A5133, "" |"")"),5131.0)</f>
        <v>5131</v>
      </c>
      <c r="G5137" s="19">
        <f>IFERROR(__xludf.DUMMYFUNCTION("""COMPUTED_VALUE"""),0.00231)</f>
        <v>0.00231</v>
      </c>
      <c r="H5137" s="19" t="str">
        <f>IFERROR(__xludf.DUMMYFUNCTION("""COMPUTED_VALUE"""),"-")</f>
        <v>-</v>
      </c>
      <c r="I5137" s="19">
        <f>IFERROR(__xludf.DUMMYFUNCTION("""COMPUTED_VALUE"""),0.00207)</f>
        <v>0.00207</v>
      </c>
      <c r="J5137" s="19">
        <f>IFERROR(__xludf.DUMMYFUNCTION("""COMPUTED_VALUE"""),0.04737)</f>
        <v>0.04737</v>
      </c>
      <c r="K5137" s="19" t="str">
        <f>IFERROR(__xludf.DUMMYFUNCTION("""COMPUTED_VALUE"""),"-")</f>
        <v>-</v>
      </c>
      <c r="L5137" s="19" t="str">
        <f>IFERROR(__xludf.DUMMYFUNCTION("""COMPUTED_VALUE"""),"-")</f>
        <v>-</v>
      </c>
      <c r="O5137" s="24">
        <f t="shared" si="4"/>
        <v>0</v>
      </c>
      <c r="P5137" s="24"/>
      <c r="Q5137" s="24">
        <f t="shared" si="6"/>
        <v>0</v>
      </c>
      <c r="R5137" s="24">
        <f t="shared" si="7"/>
        <v>0</v>
      </c>
      <c r="S5137" s="24"/>
      <c r="T5137" s="24"/>
    </row>
    <row r="5138">
      <c r="A5138" s="12" t="s">
        <v>5225</v>
      </c>
      <c r="F5138" s="19">
        <f>IFERROR(__xludf.DUMMYFUNCTION("SPLIT(A5134, "" |"")"),5132.0)</f>
        <v>5132</v>
      </c>
      <c r="G5138" s="19">
        <f>IFERROR(__xludf.DUMMYFUNCTION("""COMPUTED_VALUE"""),0.00238)</f>
        <v>0.00238</v>
      </c>
      <c r="H5138" s="19" t="str">
        <f>IFERROR(__xludf.DUMMYFUNCTION("""COMPUTED_VALUE"""),"-")</f>
        <v>-</v>
      </c>
      <c r="I5138" s="19">
        <f>IFERROR(__xludf.DUMMYFUNCTION("""COMPUTED_VALUE"""),0.00221)</f>
        <v>0.00221</v>
      </c>
      <c r="J5138" s="19">
        <f>IFERROR(__xludf.DUMMYFUNCTION("""COMPUTED_VALUE"""),0.04275)</f>
        <v>0.04275</v>
      </c>
      <c r="K5138" s="19" t="str">
        <f>IFERROR(__xludf.DUMMYFUNCTION("""COMPUTED_VALUE"""),"-")</f>
        <v>-</v>
      </c>
      <c r="L5138" s="19" t="str">
        <f>IFERROR(__xludf.DUMMYFUNCTION("""COMPUTED_VALUE"""),"-")</f>
        <v>-</v>
      </c>
      <c r="O5138" s="24">
        <f t="shared" si="4"/>
        <v>0</v>
      </c>
      <c r="P5138" s="24"/>
      <c r="Q5138" s="24">
        <f t="shared" si="6"/>
        <v>0</v>
      </c>
      <c r="R5138" s="24">
        <f t="shared" si="7"/>
        <v>1</v>
      </c>
      <c r="S5138" s="24"/>
      <c r="T5138" s="24"/>
    </row>
    <row r="5139">
      <c r="A5139" s="12" t="s">
        <v>5226</v>
      </c>
      <c r="F5139" s="19">
        <f>IFERROR(__xludf.DUMMYFUNCTION("SPLIT(A5135, "" |"")"),5133.0)</f>
        <v>5133</v>
      </c>
      <c r="G5139" s="19">
        <f>IFERROR(__xludf.DUMMYFUNCTION("""COMPUTED_VALUE"""),0.00227)</f>
        <v>0.00227</v>
      </c>
      <c r="H5139" s="19" t="str">
        <f>IFERROR(__xludf.DUMMYFUNCTION("""COMPUTED_VALUE"""),"-")</f>
        <v>-</v>
      </c>
      <c r="I5139" s="19">
        <f>IFERROR(__xludf.DUMMYFUNCTION("""COMPUTED_VALUE"""),0.00219)</f>
        <v>0.00219</v>
      </c>
      <c r="J5139" s="19">
        <f>IFERROR(__xludf.DUMMYFUNCTION("""COMPUTED_VALUE"""),0.04739)</f>
        <v>0.04739</v>
      </c>
      <c r="K5139" s="19" t="str">
        <f>IFERROR(__xludf.DUMMYFUNCTION("""COMPUTED_VALUE"""),"-")</f>
        <v>-</v>
      </c>
      <c r="L5139" s="19" t="str">
        <f>IFERROR(__xludf.DUMMYFUNCTION("""COMPUTED_VALUE"""),"-")</f>
        <v>-</v>
      </c>
      <c r="O5139" s="24">
        <f t="shared" si="4"/>
        <v>0</v>
      </c>
      <c r="P5139" s="24"/>
      <c r="Q5139" s="24">
        <f t="shared" si="6"/>
        <v>0</v>
      </c>
      <c r="R5139" s="24">
        <f t="shared" si="7"/>
        <v>0</v>
      </c>
      <c r="S5139" s="24"/>
      <c r="T5139" s="24"/>
    </row>
    <row r="5140">
      <c r="A5140" s="12" t="s">
        <v>5227</v>
      </c>
      <c r="F5140" s="19">
        <f>IFERROR(__xludf.DUMMYFUNCTION("SPLIT(A5136, "" |"")"),5134.0)</f>
        <v>5134</v>
      </c>
      <c r="G5140" s="19">
        <f>IFERROR(__xludf.DUMMYFUNCTION("""COMPUTED_VALUE"""),0.00235)</f>
        <v>0.00235</v>
      </c>
      <c r="H5140" s="19" t="str">
        <f>IFERROR(__xludf.DUMMYFUNCTION("""COMPUTED_VALUE"""),"-")</f>
        <v>-</v>
      </c>
      <c r="I5140" s="19">
        <f>IFERROR(__xludf.DUMMYFUNCTION("""COMPUTED_VALUE"""),0.00226)</f>
        <v>0.00226</v>
      </c>
      <c r="J5140" s="19">
        <f>IFERROR(__xludf.DUMMYFUNCTION("""COMPUTED_VALUE"""),0.04742)</f>
        <v>0.04742</v>
      </c>
      <c r="K5140" s="19" t="str">
        <f>IFERROR(__xludf.DUMMYFUNCTION("""COMPUTED_VALUE"""),"-")</f>
        <v>-</v>
      </c>
      <c r="L5140" s="19" t="str">
        <f>IFERROR(__xludf.DUMMYFUNCTION("""COMPUTED_VALUE"""),"-")</f>
        <v>-</v>
      </c>
      <c r="O5140" s="24">
        <f t="shared" si="4"/>
        <v>0</v>
      </c>
      <c r="P5140" s="24"/>
      <c r="Q5140" s="24">
        <f t="shared" si="6"/>
        <v>0</v>
      </c>
      <c r="R5140" s="24">
        <f t="shared" si="7"/>
        <v>0</v>
      </c>
      <c r="S5140" s="24"/>
      <c r="T5140" s="24"/>
    </row>
    <row r="5141">
      <c r="A5141" s="12" t="s">
        <v>5228</v>
      </c>
      <c r="F5141" s="19">
        <f>IFERROR(__xludf.DUMMYFUNCTION("SPLIT(A5137, "" |"")"),5135.0)</f>
        <v>5135</v>
      </c>
      <c r="G5141" s="19">
        <f>IFERROR(__xludf.DUMMYFUNCTION("""COMPUTED_VALUE"""),0.00235)</f>
        <v>0.00235</v>
      </c>
      <c r="H5141" s="19" t="str">
        <f>IFERROR(__xludf.DUMMYFUNCTION("""COMPUTED_VALUE"""),"-")</f>
        <v>-</v>
      </c>
      <c r="I5141" s="19">
        <f>IFERROR(__xludf.DUMMYFUNCTION("""COMPUTED_VALUE"""),0.00212)</f>
        <v>0.00212</v>
      </c>
      <c r="J5141" s="19">
        <f>IFERROR(__xludf.DUMMYFUNCTION("""COMPUTED_VALUE"""),0.04737)</f>
        <v>0.04737</v>
      </c>
      <c r="K5141" s="19" t="str">
        <f>IFERROR(__xludf.DUMMYFUNCTION("""COMPUTED_VALUE"""),"-")</f>
        <v>-</v>
      </c>
      <c r="L5141" s="19" t="str">
        <f>IFERROR(__xludf.DUMMYFUNCTION("""COMPUTED_VALUE"""),"-")</f>
        <v>-</v>
      </c>
      <c r="O5141" s="24">
        <f t="shared" si="4"/>
        <v>0</v>
      </c>
      <c r="P5141" s="24"/>
      <c r="Q5141" s="24">
        <f t="shared" si="6"/>
        <v>0</v>
      </c>
      <c r="R5141" s="24">
        <f t="shared" si="7"/>
        <v>0</v>
      </c>
      <c r="S5141" s="24"/>
      <c r="T5141" s="24"/>
    </row>
    <row r="5142">
      <c r="A5142" s="12" t="s">
        <v>5229</v>
      </c>
      <c r="F5142" s="19">
        <f>IFERROR(__xludf.DUMMYFUNCTION("SPLIT(A5138, "" |"")"),5136.0)</f>
        <v>5136</v>
      </c>
      <c r="G5142" s="19">
        <f>IFERROR(__xludf.DUMMYFUNCTION("""COMPUTED_VALUE"""),0.00235)</f>
        <v>0.00235</v>
      </c>
      <c r="H5142" s="19" t="str">
        <f>IFERROR(__xludf.DUMMYFUNCTION("""COMPUTED_VALUE"""),"-")</f>
        <v>-</v>
      </c>
      <c r="I5142" s="19">
        <f>IFERROR(__xludf.DUMMYFUNCTION("""COMPUTED_VALUE"""),0.00219)</f>
        <v>0.00219</v>
      </c>
      <c r="J5142" s="19">
        <f>IFERROR(__xludf.DUMMYFUNCTION("""COMPUTED_VALUE"""),0.04739)</f>
        <v>0.04739</v>
      </c>
      <c r="K5142" s="19" t="str">
        <f>IFERROR(__xludf.DUMMYFUNCTION("""COMPUTED_VALUE"""),"-")</f>
        <v>-</v>
      </c>
      <c r="L5142" s="19" t="str">
        <f>IFERROR(__xludf.DUMMYFUNCTION("""COMPUTED_VALUE"""),"-")</f>
        <v>-</v>
      </c>
      <c r="O5142" s="24">
        <f t="shared" si="4"/>
        <v>0</v>
      </c>
      <c r="P5142" s="24"/>
      <c r="Q5142" s="24">
        <f t="shared" si="6"/>
        <v>0</v>
      </c>
      <c r="R5142" s="24">
        <f t="shared" si="7"/>
        <v>0</v>
      </c>
      <c r="S5142" s="24"/>
      <c r="T5142" s="24"/>
    </row>
    <row r="5143">
      <c r="A5143" s="12" t="s">
        <v>5230</v>
      </c>
      <c r="F5143" s="19">
        <f>IFERROR(__xludf.DUMMYFUNCTION("SPLIT(A5139, "" |"")"),5137.0)</f>
        <v>5137</v>
      </c>
      <c r="G5143" s="19">
        <f>IFERROR(__xludf.DUMMYFUNCTION("""COMPUTED_VALUE"""),0.0024)</f>
        <v>0.0024</v>
      </c>
      <c r="H5143" s="19" t="str">
        <f>IFERROR(__xludf.DUMMYFUNCTION("""COMPUTED_VALUE"""),"-")</f>
        <v>-</v>
      </c>
      <c r="I5143" s="19">
        <f>IFERROR(__xludf.DUMMYFUNCTION("""COMPUTED_VALUE"""),0.00219)</f>
        <v>0.00219</v>
      </c>
      <c r="J5143" s="19">
        <f>IFERROR(__xludf.DUMMYFUNCTION("""COMPUTED_VALUE"""),0.04742)</f>
        <v>0.04742</v>
      </c>
      <c r="K5143" s="19" t="str">
        <f>IFERROR(__xludf.DUMMYFUNCTION("""COMPUTED_VALUE"""),"-")</f>
        <v>-</v>
      </c>
      <c r="L5143" s="19" t="str">
        <f>IFERROR(__xludf.DUMMYFUNCTION("""COMPUTED_VALUE"""),"-")</f>
        <v>-</v>
      </c>
      <c r="O5143" s="24">
        <f t="shared" si="4"/>
        <v>0</v>
      </c>
      <c r="P5143" s="24"/>
      <c r="Q5143" s="24">
        <f t="shared" si="6"/>
        <v>0</v>
      </c>
      <c r="R5143" s="24">
        <f t="shared" si="7"/>
        <v>0</v>
      </c>
      <c r="S5143" s="24"/>
      <c r="T5143" s="24"/>
    </row>
    <row r="5144">
      <c r="A5144" s="12" t="s">
        <v>5231</v>
      </c>
      <c r="F5144" s="19">
        <f>IFERROR(__xludf.DUMMYFUNCTION("SPLIT(A5140, "" |"")"),5138.0)</f>
        <v>5138</v>
      </c>
      <c r="G5144" s="19">
        <f>IFERROR(__xludf.DUMMYFUNCTION("""COMPUTED_VALUE"""),0.00242)</f>
        <v>0.00242</v>
      </c>
      <c r="H5144" s="19" t="str">
        <f>IFERROR(__xludf.DUMMYFUNCTION("""COMPUTED_VALUE"""),"-")</f>
        <v>-</v>
      </c>
      <c r="I5144" s="19">
        <f>IFERROR(__xludf.DUMMYFUNCTION("""COMPUTED_VALUE"""),0.00221)</f>
        <v>0.00221</v>
      </c>
      <c r="J5144" s="19">
        <f>IFERROR(__xludf.DUMMYFUNCTION("""COMPUTED_VALUE"""),0.04741)</f>
        <v>0.04741</v>
      </c>
      <c r="K5144" s="19" t="str">
        <f>IFERROR(__xludf.DUMMYFUNCTION("""COMPUTED_VALUE"""),"-")</f>
        <v>-</v>
      </c>
      <c r="L5144" s="19" t="str">
        <f>IFERROR(__xludf.DUMMYFUNCTION("""COMPUTED_VALUE"""),"-")</f>
        <v>-</v>
      </c>
      <c r="O5144" s="24">
        <f t="shared" si="4"/>
        <v>0</v>
      </c>
      <c r="P5144" s="24"/>
      <c r="Q5144" s="24">
        <f t="shared" si="6"/>
        <v>0</v>
      </c>
      <c r="R5144" s="24">
        <f t="shared" si="7"/>
        <v>0</v>
      </c>
      <c r="S5144" s="24"/>
      <c r="T5144" s="24"/>
    </row>
    <row r="5145">
      <c r="A5145" s="12" t="s">
        <v>5232</v>
      </c>
      <c r="F5145" s="19">
        <f>IFERROR(__xludf.DUMMYFUNCTION("SPLIT(A5141, "" |"")"),5139.0)</f>
        <v>5139</v>
      </c>
      <c r="G5145" s="19">
        <f>IFERROR(__xludf.DUMMYFUNCTION("""COMPUTED_VALUE"""),0.00237)</f>
        <v>0.00237</v>
      </c>
      <c r="H5145" s="19" t="str">
        <f>IFERROR(__xludf.DUMMYFUNCTION("""COMPUTED_VALUE"""),"-")</f>
        <v>-</v>
      </c>
      <c r="I5145" s="19">
        <f>IFERROR(__xludf.DUMMYFUNCTION("""COMPUTED_VALUE"""),0.00221)</f>
        <v>0.00221</v>
      </c>
      <c r="J5145" s="19">
        <f>IFERROR(__xludf.DUMMYFUNCTION("""COMPUTED_VALUE"""),0.04735)</f>
        <v>0.04735</v>
      </c>
      <c r="K5145" s="19" t="str">
        <f>IFERROR(__xludf.DUMMYFUNCTION("""COMPUTED_VALUE"""),"-")</f>
        <v>-</v>
      </c>
      <c r="L5145" s="19" t="str">
        <f>IFERROR(__xludf.DUMMYFUNCTION("""COMPUTED_VALUE"""),"-")</f>
        <v>-</v>
      </c>
      <c r="O5145" s="24">
        <f t="shared" si="4"/>
        <v>0</v>
      </c>
      <c r="P5145" s="24"/>
      <c r="Q5145" s="24">
        <f t="shared" si="6"/>
        <v>0</v>
      </c>
      <c r="R5145" s="24">
        <f t="shared" si="7"/>
        <v>0</v>
      </c>
      <c r="S5145" s="24"/>
      <c r="T5145" s="24"/>
    </row>
    <row r="5146">
      <c r="A5146" s="12" t="s">
        <v>5233</v>
      </c>
      <c r="F5146" s="19">
        <f>IFERROR(__xludf.DUMMYFUNCTION("SPLIT(A5142, "" |"")"),5140.0)</f>
        <v>5140</v>
      </c>
      <c r="G5146" s="19">
        <f>IFERROR(__xludf.DUMMYFUNCTION("""COMPUTED_VALUE"""),0.00241)</f>
        <v>0.00241</v>
      </c>
      <c r="H5146" s="19" t="str">
        <f>IFERROR(__xludf.DUMMYFUNCTION("""COMPUTED_VALUE"""),"-")</f>
        <v>-</v>
      </c>
      <c r="I5146" s="19">
        <f>IFERROR(__xludf.DUMMYFUNCTION("""COMPUTED_VALUE"""),0.00223)</f>
        <v>0.00223</v>
      </c>
      <c r="J5146" s="19">
        <f>IFERROR(__xludf.DUMMYFUNCTION("""COMPUTED_VALUE"""),0.04745)</f>
        <v>0.04745</v>
      </c>
      <c r="K5146" s="19" t="str">
        <f>IFERROR(__xludf.DUMMYFUNCTION("""COMPUTED_VALUE"""),"-")</f>
        <v>-</v>
      </c>
      <c r="L5146" s="19" t="str">
        <f>IFERROR(__xludf.DUMMYFUNCTION("""COMPUTED_VALUE"""),"-")</f>
        <v>-</v>
      </c>
      <c r="O5146" s="24">
        <f t="shared" si="4"/>
        <v>0</v>
      </c>
      <c r="P5146" s="24"/>
      <c r="Q5146" s="24">
        <f t="shared" si="6"/>
        <v>0</v>
      </c>
      <c r="R5146" s="24">
        <f t="shared" si="7"/>
        <v>0</v>
      </c>
      <c r="S5146" s="24"/>
      <c r="T5146" s="24"/>
    </row>
    <row r="5147">
      <c r="A5147" s="12" t="s">
        <v>5234</v>
      </c>
      <c r="F5147" s="19">
        <f>IFERROR(__xludf.DUMMYFUNCTION("SPLIT(A5143, "" |"")"),5141.0)</f>
        <v>5141</v>
      </c>
      <c r="G5147" s="19">
        <f>IFERROR(__xludf.DUMMYFUNCTION("""COMPUTED_VALUE"""),0.00238)</f>
        <v>0.00238</v>
      </c>
      <c r="H5147" s="19" t="str">
        <f>IFERROR(__xludf.DUMMYFUNCTION("""COMPUTED_VALUE"""),"-")</f>
        <v>-</v>
      </c>
      <c r="I5147" s="19">
        <f>IFERROR(__xludf.DUMMYFUNCTION("""COMPUTED_VALUE"""),0.00222)</f>
        <v>0.00222</v>
      </c>
      <c r="J5147" s="19">
        <f>IFERROR(__xludf.DUMMYFUNCTION("""COMPUTED_VALUE"""),0.04745)</f>
        <v>0.04745</v>
      </c>
      <c r="K5147" s="19" t="str">
        <f>IFERROR(__xludf.DUMMYFUNCTION("""COMPUTED_VALUE"""),"-")</f>
        <v>-</v>
      </c>
      <c r="L5147" s="19" t="str">
        <f>IFERROR(__xludf.DUMMYFUNCTION("""COMPUTED_VALUE"""),"-")</f>
        <v>-</v>
      </c>
      <c r="O5147" s="24">
        <f t="shared" si="4"/>
        <v>0</v>
      </c>
      <c r="P5147" s="24"/>
      <c r="Q5147" s="24">
        <f t="shared" si="6"/>
        <v>0</v>
      </c>
      <c r="R5147" s="24">
        <f t="shared" si="7"/>
        <v>0</v>
      </c>
      <c r="S5147" s="24"/>
      <c r="T5147" s="24"/>
    </row>
    <row r="5148">
      <c r="A5148" s="12" t="s">
        <v>5235</v>
      </c>
      <c r="F5148" s="19">
        <f>IFERROR(__xludf.DUMMYFUNCTION("SPLIT(A5144, "" |"")"),5142.0)</f>
        <v>5142</v>
      </c>
      <c r="G5148" s="19">
        <f>IFERROR(__xludf.DUMMYFUNCTION("""COMPUTED_VALUE"""),0.00238)</f>
        <v>0.00238</v>
      </c>
      <c r="H5148" s="19" t="str">
        <f>IFERROR(__xludf.DUMMYFUNCTION("""COMPUTED_VALUE"""),"-")</f>
        <v>-</v>
      </c>
      <c r="I5148" s="19">
        <f>IFERROR(__xludf.DUMMYFUNCTION("""COMPUTED_VALUE"""),0.00219)</f>
        <v>0.00219</v>
      </c>
      <c r="J5148" s="19">
        <f>IFERROR(__xludf.DUMMYFUNCTION("""COMPUTED_VALUE"""),0.04745)</f>
        <v>0.04745</v>
      </c>
      <c r="K5148" s="19" t="str">
        <f>IFERROR(__xludf.DUMMYFUNCTION("""COMPUTED_VALUE"""),"-")</f>
        <v>-</v>
      </c>
      <c r="L5148" s="19" t="str">
        <f>IFERROR(__xludf.DUMMYFUNCTION("""COMPUTED_VALUE"""),"-")</f>
        <v>-</v>
      </c>
      <c r="O5148" s="24">
        <f t="shared" si="4"/>
        <v>0</v>
      </c>
      <c r="P5148" s="24"/>
      <c r="Q5148" s="24">
        <f t="shared" si="6"/>
        <v>0</v>
      </c>
      <c r="R5148" s="24">
        <f t="shared" si="7"/>
        <v>0</v>
      </c>
      <c r="S5148" s="24"/>
      <c r="T5148" s="24"/>
    </row>
    <row r="5149">
      <c r="A5149" s="12" t="s">
        <v>5236</v>
      </c>
      <c r="F5149" s="19">
        <f>IFERROR(__xludf.DUMMYFUNCTION("SPLIT(A5145, "" |"")"),5143.0)</f>
        <v>5143</v>
      </c>
      <c r="G5149" s="19">
        <f>IFERROR(__xludf.DUMMYFUNCTION("""COMPUTED_VALUE"""),0.00232)</f>
        <v>0.00232</v>
      </c>
      <c r="H5149" s="19" t="str">
        <f>IFERROR(__xludf.DUMMYFUNCTION("""COMPUTED_VALUE"""),"-")</f>
        <v>-</v>
      </c>
      <c r="I5149" s="19">
        <f>IFERROR(__xludf.DUMMYFUNCTION("""COMPUTED_VALUE"""),0.00219)</f>
        <v>0.00219</v>
      </c>
      <c r="J5149" s="19">
        <f>IFERROR(__xludf.DUMMYFUNCTION("""COMPUTED_VALUE"""),0.04743)</f>
        <v>0.04743</v>
      </c>
      <c r="K5149" s="19" t="str">
        <f>IFERROR(__xludf.DUMMYFUNCTION("""COMPUTED_VALUE"""),"-")</f>
        <v>-</v>
      </c>
      <c r="L5149" s="19" t="str">
        <f>IFERROR(__xludf.DUMMYFUNCTION("""COMPUTED_VALUE"""),"-")</f>
        <v>-</v>
      </c>
      <c r="O5149" s="24">
        <f t="shared" si="4"/>
        <v>0</v>
      </c>
      <c r="P5149" s="24"/>
      <c r="Q5149" s="24">
        <f t="shared" si="6"/>
        <v>0</v>
      </c>
      <c r="R5149" s="24">
        <f t="shared" si="7"/>
        <v>0</v>
      </c>
      <c r="S5149" s="24"/>
      <c r="T5149" s="24"/>
    </row>
    <row r="5150">
      <c r="A5150" s="12" t="s">
        <v>5237</v>
      </c>
      <c r="F5150" s="19">
        <f>IFERROR(__xludf.DUMMYFUNCTION("SPLIT(A5146, "" |"")"),5144.0)</f>
        <v>5144</v>
      </c>
      <c r="G5150" s="19">
        <f>IFERROR(__xludf.DUMMYFUNCTION("""COMPUTED_VALUE"""),0.00239)</f>
        <v>0.00239</v>
      </c>
      <c r="H5150" s="19" t="str">
        <f>IFERROR(__xludf.DUMMYFUNCTION("""COMPUTED_VALUE"""),"-")</f>
        <v>-</v>
      </c>
      <c r="I5150" s="19">
        <f>IFERROR(__xludf.DUMMYFUNCTION("""COMPUTED_VALUE"""),0.00221)</f>
        <v>0.00221</v>
      </c>
      <c r="J5150" s="19">
        <f>IFERROR(__xludf.DUMMYFUNCTION("""COMPUTED_VALUE"""),0.04688)</f>
        <v>0.04688</v>
      </c>
      <c r="K5150" s="19" t="str">
        <f>IFERROR(__xludf.DUMMYFUNCTION("""COMPUTED_VALUE"""),"-")</f>
        <v>-</v>
      </c>
      <c r="L5150" s="19" t="str">
        <f>IFERROR(__xludf.DUMMYFUNCTION("""COMPUTED_VALUE"""),"-")</f>
        <v>-</v>
      </c>
      <c r="O5150" s="24">
        <f t="shared" si="4"/>
        <v>0</v>
      </c>
      <c r="P5150" s="24"/>
      <c r="Q5150" s="24">
        <f t="shared" si="6"/>
        <v>0</v>
      </c>
      <c r="R5150" s="24">
        <f t="shared" si="7"/>
        <v>0</v>
      </c>
      <c r="S5150" s="24"/>
      <c r="T5150" s="24"/>
    </row>
    <row r="5151">
      <c r="A5151" s="12" t="s">
        <v>5238</v>
      </c>
      <c r="F5151" s="19">
        <f>IFERROR(__xludf.DUMMYFUNCTION("SPLIT(A5147, "" |"")"),5145.0)</f>
        <v>5145</v>
      </c>
      <c r="G5151" s="19">
        <f>IFERROR(__xludf.DUMMYFUNCTION("""COMPUTED_VALUE"""),0.0024)</f>
        <v>0.0024</v>
      </c>
      <c r="H5151" s="19" t="str">
        <f>IFERROR(__xludf.DUMMYFUNCTION("""COMPUTED_VALUE"""),"-")</f>
        <v>-</v>
      </c>
      <c r="I5151" s="19">
        <f>IFERROR(__xludf.DUMMYFUNCTION("""COMPUTED_VALUE"""),0.00222)</f>
        <v>0.00222</v>
      </c>
      <c r="J5151" s="19">
        <f>IFERROR(__xludf.DUMMYFUNCTION("""COMPUTED_VALUE"""),0.04743)</f>
        <v>0.04743</v>
      </c>
      <c r="K5151" s="19" t="str">
        <f>IFERROR(__xludf.DUMMYFUNCTION("""COMPUTED_VALUE"""),"-")</f>
        <v>-</v>
      </c>
      <c r="L5151" s="19" t="str">
        <f>IFERROR(__xludf.DUMMYFUNCTION("""COMPUTED_VALUE"""),"-")</f>
        <v>-</v>
      </c>
      <c r="O5151" s="24">
        <f t="shared" si="4"/>
        <v>0</v>
      </c>
      <c r="P5151" s="24"/>
      <c r="Q5151" s="24">
        <f t="shared" si="6"/>
        <v>0</v>
      </c>
      <c r="R5151" s="24">
        <f t="shared" si="7"/>
        <v>0</v>
      </c>
      <c r="S5151" s="24"/>
      <c r="T5151" s="24"/>
    </row>
    <row r="5152">
      <c r="A5152" s="12" t="s">
        <v>5239</v>
      </c>
      <c r="F5152" s="19">
        <f>IFERROR(__xludf.DUMMYFUNCTION("SPLIT(A5148, "" |"")"),5146.0)</f>
        <v>5146</v>
      </c>
      <c r="G5152" s="19">
        <f>IFERROR(__xludf.DUMMYFUNCTION("""COMPUTED_VALUE"""),0.00239)</f>
        <v>0.00239</v>
      </c>
      <c r="H5152" s="19" t="str">
        <f>IFERROR(__xludf.DUMMYFUNCTION("""COMPUTED_VALUE"""),"-")</f>
        <v>-</v>
      </c>
      <c r="I5152" s="19">
        <f>IFERROR(__xludf.DUMMYFUNCTION("""COMPUTED_VALUE"""),0.0022)</f>
        <v>0.0022</v>
      </c>
      <c r="J5152" s="19">
        <f>IFERROR(__xludf.DUMMYFUNCTION("""COMPUTED_VALUE"""),0.04743)</f>
        <v>0.04743</v>
      </c>
      <c r="K5152" s="19" t="str">
        <f>IFERROR(__xludf.DUMMYFUNCTION("""COMPUTED_VALUE"""),"-")</f>
        <v>-</v>
      </c>
      <c r="L5152" s="19" t="str">
        <f>IFERROR(__xludf.DUMMYFUNCTION("""COMPUTED_VALUE"""),"-")</f>
        <v>-</v>
      </c>
      <c r="O5152" s="24">
        <f t="shared" si="4"/>
        <v>0</v>
      </c>
      <c r="P5152" s="24"/>
      <c r="Q5152" s="24">
        <f t="shared" si="6"/>
        <v>0</v>
      </c>
      <c r="R5152" s="24">
        <f t="shared" si="7"/>
        <v>0</v>
      </c>
      <c r="S5152" s="24"/>
      <c r="T5152" s="24"/>
    </row>
    <row r="5153">
      <c r="A5153" s="12" t="s">
        <v>5240</v>
      </c>
      <c r="F5153" s="19">
        <f>IFERROR(__xludf.DUMMYFUNCTION("SPLIT(A5149, "" |"")"),5147.0)</f>
        <v>5147</v>
      </c>
      <c r="G5153" s="19">
        <f>IFERROR(__xludf.DUMMYFUNCTION("""COMPUTED_VALUE"""),0.00236)</f>
        <v>0.00236</v>
      </c>
      <c r="H5153" s="19" t="str">
        <f>IFERROR(__xludf.DUMMYFUNCTION("""COMPUTED_VALUE"""),"-")</f>
        <v>-</v>
      </c>
      <c r="I5153" s="19">
        <f>IFERROR(__xludf.DUMMYFUNCTION("""COMPUTED_VALUE"""),0.00224)</f>
        <v>0.00224</v>
      </c>
      <c r="J5153" s="19">
        <f>IFERROR(__xludf.DUMMYFUNCTION("""COMPUTED_VALUE"""),0.04746)</f>
        <v>0.04746</v>
      </c>
      <c r="K5153" s="19" t="str">
        <f>IFERROR(__xludf.DUMMYFUNCTION("""COMPUTED_VALUE"""),"-")</f>
        <v>-</v>
      </c>
      <c r="L5153" s="19" t="str">
        <f>IFERROR(__xludf.DUMMYFUNCTION("""COMPUTED_VALUE"""),"-")</f>
        <v>-</v>
      </c>
      <c r="O5153" s="24">
        <f t="shared" si="4"/>
        <v>0</v>
      </c>
      <c r="P5153" s="24"/>
      <c r="Q5153" s="24">
        <f t="shared" si="6"/>
        <v>0</v>
      </c>
      <c r="R5153" s="24">
        <f t="shared" si="7"/>
        <v>0</v>
      </c>
      <c r="S5153" s="24"/>
      <c r="T5153" s="24"/>
    </row>
    <row r="5154">
      <c r="A5154" s="12" t="s">
        <v>5241</v>
      </c>
      <c r="F5154" s="19">
        <f>IFERROR(__xludf.DUMMYFUNCTION("SPLIT(A5150, "" |"")"),5148.0)</f>
        <v>5148</v>
      </c>
      <c r="G5154" s="19">
        <f>IFERROR(__xludf.DUMMYFUNCTION("""COMPUTED_VALUE"""),0.00231)</f>
        <v>0.00231</v>
      </c>
      <c r="H5154" s="19" t="str">
        <f>IFERROR(__xludf.DUMMYFUNCTION("""COMPUTED_VALUE"""),"-")</f>
        <v>-</v>
      </c>
      <c r="I5154" s="19">
        <f>IFERROR(__xludf.DUMMYFUNCTION("""COMPUTED_VALUE"""),0.0022)</f>
        <v>0.0022</v>
      </c>
      <c r="J5154" s="19">
        <f>IFERROR(__xludf.DUMMYFUNCTION("""COMPUTED_VALUE"""),0.04742)</f>
        <v>0.04742</v>
      </c>
      <c r="K5154" s="19" t="str">
        <f>IFERROR(__xludf.DUMMYFUNCTION("""COMPUTED_VALUE"""),"-")</f>
        <v>-</v>
      </c>
      <c r="L5154" s="19" t="str">
        <f>IFERROR(__xludf.DUMMYFUNCTION("""COMPUTED_VALUE"""),"-")</f>
        <v>-</v>
      </c>
      <c r="O5154" s="24">
        <f t="shared" si="4"/>
        <v>0</v>
      </c>
      <c r="P5154" s="24"/>
      <c r="Q5154" s="24">
        <f t="shared" si="6"/>
        <v>0</v>
      </c>
      <c r="R5154" s="24">
        <f t="shared" si="7"/>
        <v>0</v>
      </c>
      <c r="S5154" s="24"/>
      <c r="T5154" s="24"/>
    </row>
    <row r="5155">
      <c r="A5155" s="12" t="s">
        <v>5242</v>
      </c>
      <c r="F5155" s="19">
        <f>IFERROR(__xludf.DUMMYFUNCTION("SPLIT(A5151, "" |"")"),5149.0)</f>
        <v>5149</v>
      </c>
      <c r="G5155" s="19">
        <f>IFERROR(__xludf.DUMMYFUNCTION("""COMPUTED_VALUE"""),0.00236)</f>
        <v>0.00236</v>
      </c>
      <c r="H5155" s="19" t="str">
        <f>IFERROR(__xludf.DUMMYFUNCTION("""COMPUTED_VALUE"""),"-")</f>
        <v>-</v>
      </c>
      <c r="I5155" s="19">
        <f>IFERROR(__xludf.DUMMYFUNCTION("""COMPUTED_VALUE"""),0.00224)</f>
        <v>0.00224</v>
      </c>
      <c r="J5155" s="19">
        <f>IFERROR(__xludf.DUMMYFUNCTION("""COMPUTED_VALUE"""),0.04705)</f>
        <v>0.04705</v>
      </c>
      <c r="K5155" s="19" t="str">
        <f>IFERROR(__xludf.DUMMYFUNCTION("""COMPUTED_VALUE"""),"-")</f>
        <v>-</v>
      </c>
      <c r="L5155" s="19" t="str">
        <f>IFERROR(__xludf.DUMMYFUNCTION("""COMPUTED_VALUE"""),"-")</f>
        <v>-</v>
      </c>
      <c r="O5155" s="24">
        <f t="shared" si="4"/>
        <v>0</v>
      </c>
      <c r="P5155" s="24"/>
      <c r="Q5155" s="24">
        <f t="shared" si="6"/>
        <v>0</v>
      </c>
      <c r="R5155" s="24">
        <f t="shared" si="7"/>
        <v>0</v>
      </c>
      <c r="S5155" s="24"/>
      <c r="T5155" s="24"/>
    </row>
    <row r="5156">
      <c r="A5156" s="12" t="s">
        <v>5243</v>
      </c>
      <c r="F5156" s="19">
        <f>IFERROR(__xludf.DUMMYFUNCTION("SPLIT(A5152, "" |"")"),5150.0)</f>
        <v>5150</v>
      </c>
      <c r="G5156" s="19">
        <f>IFERROR(__xludf.DUMMYFUNCTION("""COMPUTED_VALUE"""),0.00239)</f>
        <v>0.00239</v>
      </c>
      <c r="H5156" s="19" t="str">
        <f>IFERROR(__xludf.DUMMYFUNCTION("""COMPUTED_VALUE"""),"-")</f>
        <v>-</v>
      </c>
      <c r="I5156" s="19">
        <f>IFERROR(__xludf.DUMMYFUNCTION("""COMPUTED_VALUE"""),0.00221)</f>
        <v>0.00221</v>
      </c>
      <c r="J5156" s="19">
        <f>IFERROR(__xludf.DUMMYFUNCTION("""COMPUTED_VALUE"""),0.04653)</f>
        <v>0.04653</v>
      </c>
      <c r="K5156" s="19" t="str">
        <f>IFERROR(__xludf.DUMMYFUNCTION("""COMPUTED_VALUE"""),"-")</f>
        <v>-</v>
      </c>
      <c r="L5156" s="19" t="str">
        <f>IFERROR(__xludf.DUMMYFUNCTION("""COMPUTED_VALUE"""),"-")</f>
        <v>-</v>
      </c>
      <c r="O5156" s="24">
        <f t="shared" si="4"/>
        <v>0</v>
      </c>
      <c r="P5156" s="24"/>
      <c r="Q5156" s="24">
        <f t="shared" si="6"/>
        <v>0</v>
      </c>
      <c r="R5156" s="24">
        <f t="shared" si="7"/>
        <v>0</v>
      </c>
      <c r="S5156" s="24"/>
      <c r="T5156" s="24"/>
    </row>
    <row r="5157">
      <c r="A5157" s="12" t="s">
        <v>5244</v>
      </c>
      <c r="F5157" s="19">
        <f>IFERROR(__xludf.DUMMYFUNCTION("SPLIT(A5153, "" |"")"),5151.0)</f>
        <v>5151</v>
      </c>
      <c r="G5157" s="19">
        <f>IFERROR(__xludf.DUMMYFUNCTION("""COMPUTED_VALUE"""),0.00238)</f>
        <v>0.00238</v>
      </c>
      <c r="H5157" s="19" t="str">
        <f>IFERROR(__xludf.DUMMYFUNCTION("""COMPUTED_VALUE"""),"-")</f>
        <v>-</v>
      </c>
      <c r="I5157" s="19">
        <f>IFERROR(__xludf.DUMMYFUNCTION("""COMPUTED_VALUE"""),0.00212)</f>
        <v>0.00212</v>
      </c>
      <c r="J5157" s="19">
        <f>IFERROR(__xludf.DUMMYFUNCTION("""COMPUTED_VALUE"""),0.04744)</f>
        <v>0.04744</v>
      </c>
      <c r="K5157" s="19" t="str">
        <f>IFERROR(__xludf.DUMMYFUNCTION("""COMPUTED_VALUE"""),"-")</f>
        <v>-</v>
      </c>
      <c r="L5157" s="19" t="str">
        <f>IFERROR(__xludf.DUMMYFUNCTION("""COMPUTED_VALUE"""),"-")</f>
        <v>-</v>
      </c>
      <c r="O5157" s="24">
        <f t="shared" si="4"/>
        <v>0</v>
      </c>
      <c r="P5157" s="24"/>
      <c r="Q5157" s="24">
        <f t="shared" si="6"/>
        <v>0</v>
      </c>
      <c r="R5157" s="24">
        <f t="shared" si="7"/>
        <v>0</v>
      </c>
      <c r="S5157" s="24"/>
      <c r="T5157" s="24"/>
    </row>
    <row r="5158">
      <c r="A5158" s="12" t="s">
        <v>5245</v>
      </c>
      <c r="F5158" s="19">
        <f>IFERROR(__xludf.DUMMYFUNCTION("SPLIT(A5154, "" |"")"),5152.0)</f>
        <v>5152</v>
      </c>
      <c r="G5158" s="19">
        <f>IFERROR(__xludf.DUMMYFUNCTION("""COMPUTED_VALUE"""),0.00241)</f>
        <v>0.00241</v>
      </c>
      <c r="H5158" s="19" t="str">
        <f>IFERROR(__xludf.DUMMYFUNCTION("""COMPUTED_VALUE"""),"-")</f>
        <v>-</v>
      </c>
      <c r="I5158" s="19">
        <f>IFERROR(__xludf.DUMMYFUNCTION("""COMPUTED_VALUE"""),0.00228)</f>
        <v>0.00228</v>
      </c>
      <c r="J5158" s="19">
        <f>IFERROR(__xludf.DUMMYFUNCTION("""COMPUTED_VALUE"""),0.04735)</f>
        <v>0.04735</v>
      </c>
      <c r="K5158" s="19" t="str">
        <f>IFERROR(__xludf.DUMMYFUNCTION("""COMPUTED_VALUE"""),"-")</f>
        <v>-</v>
      </c>
      <c r="L5158" s="19" t="str">
        <f>IFERROR(__xludf.DUMMYFUNCTION("""COMPUTED_VALUE"""),"-")</f>
        <v>-</v>
      </c>
      <c r="O5158" s="24">
        <f t="shared" si="4"/>
        <v>0</v>
      </c>
      <c r="P5158" s="24"/>
      <c r="Q5158" s="24">
        <f t="shared" si="6"/>
        <v>0</v>
      </c>
      <c r="R5158" s="24">
        <f t="shared" si="7"/>
        <v>0</v>
      </c>
      <c r="S5158" s="24"/>
      <c r="T5158" s="24"/>
    </row>
    <row r="5159">
      <c r="A5159" s="12" t="s">
        <v>5246</v>
      </c>
      <c r="F5159" s="19">
        <f>IFERROR(__xludf.DUMMYFUNCTION("SPLIT(A5155, "" |"")"),5153.0)</f>
        <v>5153</v>
      </c>
      <c r="G5159" s="19">
        <f>IFERROR(__xludf.DUMMYFUNCTION("""COMPUTED_VALUE"""),0.00242)</f>
        <v>0.00242</v>
      </c>
      <c r="H5159" s="19" t="str">
        <f>IFERROR(__xludf.DUMMYFUNCTION("""COMPUTED_VALUE"""),"-")</f>
        <v>-</v>
      </c>
      <c r="I5159" s="19">
        <f>IFERROR(__xludf.DUMMYFUNCTION("""COMPUTED_VALUE"""),0.0023)</f>
        <v>0.0023</v>
      </c>
      <c r="J5159" s="19">
        <f>IFERROR(__xludf.DUMMYFUNCTION("""COMPUTED_VALUE"""),0.04741)</f>
        <v>0.04741</v>
      </c>
      <c r="K5159" s="19" t="str">
        <f>IFERROR(__xludf.DUMMYFUNCTION("""COMPUTED_VALUE"""),"-")</f>
        <v>-</v>
      </c>
      <c r="L5159" s="19" t="str">
        <f>IFERROR(__xludf.DUMMYFUNCTION("""COMPUTED_VALUE"""),"-")</f>
        <v>-</v>
      </c>
      <c r="O5159" s="24">
        <f t="shared" si="4"/>
        <v>0</v>
      </c>
      <c r="P5159" s="24"/>
      <c r="Q5159" s="24">
        <f t="shared" si="6"/>
        <v>0</v>
      </c>
      <c r="R5159" s="24">
        <f t="shared" si="7"/>
        <v>0</v>
      </c>
      <c r="S5159" s="24"/>
      <c r="T5159" s="24"/>
    </row>
    <row r="5160">
      <c r="A5160" s="12" t="s">
        <v>5247</v>
      </c>
      <c r="F5160" s="19">
        <f>IFERROR(__xludf.DUMMYFUNCTION("SPLIT(A5156, "" |"")"),5154.0)</f>
        <v>5154</v>
      </c>
      <c r="G5160" s="19">
        <f>IFERROR(__xludf.DUMMYFUNCTION("""COMPUTED_VALUE"""),0.00239)</f>
        <v>0.00239</v>
      </c>
      <c r="H5160" s="19" t="str">
        <f>IFERROR(__xludf.DUMMYFUNCTION("""COMPUTED_VALUE"""),"-")</f>
        <v>-</v>
      </c>
      <c r="I5160" s="19">
        <f>IFERROR(__xludf.DUMMYFUNCTION("""COMPUTED_VALUE"""),0.0022)</f>
        <v>0.0022</v>
      </c>
      <c r="J5160" s="19">
        <f>IFERROR(__xludf.DUMMYFUNCTION("""COMPUTED_VALUE"""),0.04737)</f>
        <v>0.04737</v>
      </c>
      <c r="K5160" s="19" t="str">
        <f>IFERROR(__xludf.DUMMYFUNCTION("""COMPUTED_VALUE"""),"-")</f>
        <v>-</v>
      </c>
      <c r="L5160" s="19" t="str">
        <f>IFERROR(__xludf.DUMMYFUNCTION("""COMPUTED_VALUE"""),"-")</f>
        <v>-</v>
      </c>
      <c r="O5160" s="24">
        <f t="shared" si="4"/>
        <v>0</v>
      </c>
      <c r="P5160" s="24"/>
      <c r="Q5160" s="24">
        <f t="shared" si="6"/>
        <v>0</v>
      </c>
      <c r="R5160" s="24">
        <f t="shared" si="7"/>
        <v>0</v>
      </c>
      <c r="S5160" s="24"/>
      <c r="T5160" s="24"/>
    </row>
    <row r="5161">
      <c r="A5161" s="12" t="s">
        <v>5248</v>
      </c>
      <c r="F5161" s="19">
        <f>IFERROR(__xludf.DUMMYFUNCTION("SPLIT(A5157, "" |"")"),5155.0)</f>
        <v>5155</v>
      </c>
      <c r="G5161" s="19">
        <f>IFERROR(__xludf.DUMMYFUNCTION("""COMPUTED_VALUE"""),0.00242)</f>
        <v>0.00242</v>
      </c>
      <c r="H5161" s="19" t="str">
        <f>IFERROR(__xludf.DUMMYFUNCTION("""COMPUTED_VALUE"""),"-")</f>
        <v>-</v>
      </c>
      <c r="I5161" s="19">
        <f>IFERROR(__xludf.DUMMYFUNCTION("""COMPUTED_VALUE"""),0.00225)</f>
        <v>0.00225</v>
      </c>
      <c r="J5161" s="19">
        <f>IFERROR(__xludf.DUMMYFUNCTION("""COMPUTED_VALUE"""),0.04738)</f>
        <v>0.04738</v>
      </c>
      <c r="K5161" s="19" t="str">
        <f>IFERROR(__xludf.DUMMYFUNCTION("""COMPUTED_VALUE"""),"-")</f>
        <v>-</v>
      </c>
      <c r="L5161" s="19" t="str">
        <f>IFERROR(__xludf.DUMMYFUNCTION("""COMPUTED_VALUE"""),"-")</f>
        <v>-</v>
      </c>
      <c r="O5161" s="24">
        <f t="shared" si="4"/>
        <v>0</v>
      </c>
      <c r="P5161" s="24"/>
      <c r="Q5161" s="24">
        <f t="shared" si="6"/>
        <v>0</v>
      </c>
      <c r="R5161" s="24">
        <f t="shared" si="7"/>
        <v>0</v>
      </c>
      <c r="S5161" s="24"/>
      <c r="T5161" s="24"/>
    </row>
    <row r="5162">
      <c r="A5162" s="12" t="s">
        <v>5249</v>
      </c>
      <c r="F5162" s="19">
        <f>IFERROR(__xludf.DUMMYFUNCTION("SPLIT(A5158, "" |"")"),5156.0)</f>
        <v>5156</v>
      </c>
      <c r="G5162" s="19">
        <f>IFERROR(__xludf.DUMMYFUNCTION("""COMPUTED_VALUE"""),0.00248)</f>
        <v>0.00248</v>
      </c>
      <c r="H5162" s="19" t="str">
        <f>IFERROR(__xludf.DUMMYFUNCTION("""COMPUTED_VALUE"""),"-")</f>
        <v>-</v>
      </c>
      <c r="I5162" s="19">
        <f>IFERROR(__xludf.DUMMYFUNCTION("""COMPUTED_VALUE"""),0.00209)</f>
        <v>0.00209</v>
      </c>
      <c r="J5162" s="19">
        <f>IFERROR(__xludf.DUMMYFUNCTION("""COMPUTED_VALUE"""),0.04731)</f>
        <v>0.04731</v>
      </c>
      <c r="K5162" s="19" t="str">
        <f>IFERROR(__xludf.DUMMYFUNCTION("""COMPUTED_VALUE"""),"-")</f>
        <v>-</v>
      </c>
      <c r="L5162" s="19" t="str">
        <f>IFERROR(__xludf.DUMMYFUNCTION("""COMPUTED_VALUE"""),"-")</f>
        <v>-</v>
      </c>
      <c r="O5162" s="24">
        <f t="shared" si="4"/>
        <v>0</v>
      </c>
      <c r="P5162" s="24"/>
      <c r="Q5162" s="24">
        <f t="shared" si="6"/>
        <v>0</v>
      </c>
      <c r="R5162" s="24">
        <f t="shared" si="7"/>
        <v>0</v>
      </c>
      <c r="S5162" s="24"/>
      <c r="T5162" s="24"/>
    </row>
    <row r="5163">
      <c r="A5163" s="12" t="s">
        <v>5250</v>
      </c>
      <c r="F5163" s="19">
        <f>IFERROR(__xludf.DUMMYFUNCTION("SPLIT(A5159, "" |"")"),5157.0)</f>
        <v>5157</v>
      </c>
      <c r="G5163" s="19">
        <f>IFERROR(__xludf.DUMMYFUNCTION("""COMPUTED_VALUE"""),0.0024)</f>
        <v>0.0024</v>
      </c>
      <c r="H5163" s="19" t="str">
        <f>IFERROR(__xludf.DUMMYFUNCTION("""COMPUTED_VALUE"""),"-")</f>
        <v>-</v>
      </c>
      <c r="I5163" s="19">
        <f>IFERROR(__xludf.DUMMYFUNCTION("""COMPUTED_VALUE"""),0.00231)</f>
        <v>0.00231</v>
      </c>
      <c r="J5163" s="19">
        <f>IFERROR(__xludf.DUMMYFUNCTION("""COMPUTED_VALUE"""),0.04739)</f>
        <v>0.04739</v>
      </c>
      <c r="K5163" s="19" t="str">
        <f>IFERROR(__xludf.DUMMYFUNCTION("""COMPUTED_VALUE"""),"-")</f>
        <v>-</v>
      </c>
      <c r="L5163" s="19" t="str">
        <f>IFERROR(__xludf.DUMMYFUNCTION("""COMPUTED_VALUE"""),"-")</f>
        <v>-</v>
      </c>
      <c r="O5163" s="24">
        <f t="shared" si="4"/>
        <v>0</v>
      </c>
      <c r="P5163" s="24"/>
      <c r="Q5163" s="24">
        <f t="shared" si="6"/>
        <v>0</v>
      </c>
      <c r="R5163" s="24">
        <f t="shared" si="7"/>
        <v>0</v>
      </c>
      <c r="S5163" s="24"/>
      <c r="T5163" s="24"/>
    </row>
    <row r="5164">
      <c r="A5164" s="12" t="s">
        <v>5251</v>
      </c>
      <c r="F5164" s="19">
        <f>IFERROR(__xludf.DUMMYFUNCTION("SPLIT(A5160, "" |"")"),5158.0)</f>
        <v>5158</v>
      </c>
      <c r="G5164" s="19">
        <f>IFERROR(__xludf.DUMMYFUNCTION("""COMPUTED_VALUE"""),0.0024)</f>
        <v>0.0024</v>
      </c>
      <c r="H5164" s="19" t="str">
        <f>IFERROR(__xludf.DUMMYFUNCTION("""COMPUTED_VALUE"""),"-")</f>
        <v>-</v>
      </c>
      <c r="I5164" s="19">
        <f>IFERROR(__xludf.DUMMYFUNCTION("""COMPUTED_VALUE"""),0.00221)</f>
        <v>0.00221</v>
      </c>
      <c r="J5164" s="19">
        <f>IFERROR(__xludf.DUMMYFUNCTION("""COMPUTED_VALUE"""),0.04663)</f>
        <v>0.04663</v>
      </c>
      <c r="K5164" s="19" t="str">
        <f>IFERROR(__xludf.DUMMYFUNCTION("""COMPUTED_VALUE"""),"-")</f>
        <v>-</v>
      </c>
      <c r="L5164" s="19" t="str">
        <f>IFERROR(__xludf.DUMMYFUNCTION("""COMPUTED_VALUE"""),"-")</f>
        <v>-</v>
      </c>
      <c r="O5164" s="24">
        <f t="shared" si="4"/>
        <v>0</v>
      </c>
      <c r="P5164" s="24"/>
      <c r="Q5164" s="24">
        <f t="shared" si="6"/>
        <v>0</v>
      </c>
      <c r="R5164" s="24">
        <f t="shared" si="7"/>
        <v>0</v>
      </c>
      <c r="S5164" s="24"/>
      <c r="T5164" s="24"/>
    </row>
    <row r="5165">
      <c r="A5165" s="12" t="s">
        <v>5252</v>
      </c>
      <c r="F5165" s="19">
        <f>IFERROR(__xludf.DUMMYFUNCTION("SPLIT(A5161, "" |"")"),5159.0)</f>
        <v>5159</v>
      </c>
      <c r="G5165" s="19">
        <f>IFERROR(__xludf.DUMMYFUNCTION("""COMPUTED_VALUE"""),0.00229)</f>
        <v>0.00229</v>
      </c>
      <c r="H5165" s="19" t="str">
        <f>IFERROR(__xludf.DUMMYFUNCTION("""COMPUTED_VALUE"""),"-")</f>
        <v>-</v>
      </c>
      <c r="I5165" s="19">
        <f>IFERROR(__xludf.DUMMYFUNCTION("""COMPUTED_VALUE"""),0.00219)</f>
        <v>0.00219</v>
      </c>
      <c r="J5165" s="19">
        <f>IFERROR(__xludf.DUMMYFUNCTION("""COMPUTED_VALUE"""),0.0474)</f>
        <v>0.0474</v>
      </c>
      <c r="K5165" s="19" t="str">
        <f>IFERROR(__xludf.DUMMYFUNCTION("""COMPUTED_VALUE"""),"-")</f>
        <v>-</v>
      </c>
      <c r="L5165" s="19" t="str">
        <f>IFERROR(__xludf.DUMMYFUNCTION("""COMPUTED_VALUE"""),"-")</f>
        <v>-</v>
      </c>
      <c r="O5165" s="24">
        <f t="shared" si="4"/>
        <v>0</v>
      </c>
      <c r="P5165" s="24"/>
      <c r="Q5165" s="24">
        <f t="shared" si="6"/>
        <v>0</v>
      </c>
      <c r="R5165" s="24">
        <f t="shared" si="7"/>
        <v>0</v>
      </c>
      <c r="S5165" s="24"/>
      <c r="T5165" s="24"/>
    </row>
    <row r="5166">
      <c r="A5166" s="12" t="s">
        <v>5253</v>
      </c>
      <c r="F5166" s="19">
        <f>IFERROR(__xludf.DUMMYFUNCTION("SPLIT(A5162, "" |"")"),5160.0)</f>
        <v>5160</v>
      </c>
      <c r="G5166" s="19">
        <f>IFERROR(__xludf.DUMMYFUNCTION("""COMPUTED_VALUE"""),0.00236)</f>
        <v>0.00236</v>
      </c>
      <c r="H5166" s="19" t="str">
        <f>IFERROR(__xludf.DUMMYFUNCTION("""COMPUTED_VALUE"""),"-")</f>
        <v>-</v>
      </c>
      <c r="I5166" s="19">
        <f>IFERROR(__xludf.DUMMYFUNCTION("""COMPUTED_VALUE"""),0.00219)</f>
        <v>0.00219</v>
      </c>
      <c r="J5166" s="19">
        <f>IFERROR(__xludf.DUMMYFUNCTION("""COMPUTED_VALUE"""),0.04745)</f>
        <v>0.04745</v>
      </c>
      <c r="K5166" s="19" t="str">
        <f>IFERROR(__xludf.DUMMYFUNCTION("""COMPUTED_VALUE"""),"-")</f>
        <v>-</v>
      </c>
      <c r="L5166" s="19" t="str">
        <f>IFERROR(__xludf.DUMMYFUNCTION("""COMPUTED_VALUE"""),"-")</f>
        <v>-</v>
      </c>
      <c r="O5166" s="24">
        <f t="shared" si="4"/>
        <v>0</v>
      </c>
      <c r="P5166" s="24"/>
      <c r="Q5166" s="24">
        <f t="shared" si="6"/>
        <v>0</v>
      </c>
      <c r="R5166" s="24">
        <f t="shared" si="7"/>
        <v>0</v>
      </c>
      <c r="S5166" s="24"/>
      <c r="T5166" s="24"/>
    </row>
    <row r="5167">
      <c r="A5167" s="12" t="s">
        <v>5254</v>
      </c>
      <c r="F5167" s="19">
        <f>IFERROR(__xludf.DUMMYFUNCTION("SPLIT(A5163, "" |"")"),5161.0)</f>
        <v>5161</v>
      </c>
      <c r="G5167" s="19">
        <f>IFERROR(__xludf.DUMMYFUNCTION("""COMPUTED_VALUE"""),0.00238)</f>
        <v>0.00238</v>
      </c>
      <c r="H5167" s="19" t="str">
        <f>IFERROR(__xludf.DUMMYFUNCTION("""COMPUTED_VALUE"""),"-")</f>
        <v>-</v>
      </c>
      <c r="I5167" s="19">
        <f>IFERROR(__xludf.DUMMYFUNCTION("""COMPUTED_VALUE"""),0.00225)</f>
        <v>0.00225</v>
      </c>
      <c r="J5167" s="19">
        <f>IFERROR(__xludf.DUMMYFUNCTION("""COMPUTED_VALUE"""),0.04741)</f>
        <v>0.04741</v>
      </c>
      <c r="K5167" s="19" t="str">
        <f>IFERROR(__xludf.DUMMYFUNCTION("""COMPUTED_VALUE"""),"-")</f>
        <v>-</v>
      </c>
      <c r="L5167" s="19" t="str">
        <f>IFERROR(__xludf.DUMMYFUNCTION("""COMPUTED_VALUE"""),"-")</f>
        <v>-</v>
      </c>
      <c r="O5167" s="24">
        <f t="shared" si="4"/>
        <v>0</v>
      </c>
      <c r="P5167" s="24"/>
      <c r="Q5167" s="24">
        <f t="shared" si="6"/>
        <v>0</v>
      </c>
      <c r="R5167" s="24">
        <f t="shared" si="7"/>
        <v>0</v>
      </c>
      <c r="S5167" s="24"/>
      <c r="T5167" s="24"/>
    </row>
    <row r="5168">
      <c r="A5168" s="12" t="s">
        <v>5255</v>
      </c>
      <c r="F5168" s="19">
        <f>IFERROR(__xludf.DUMMYFUNCTION("SPLIT(A5164, "" |"")"),5162.0)</f>
        <v>5162</v>
      </c>
      <c r="G5168" s="19">
        <f>IFERROR(__xludf.DUMMYFUNCTION("""COMPUTED_VALUE"""),0.00236)</f>
        <v>0.00236</v>
      </c>
      <c r="H5168" s="19" t="str">
        <f>IFERROR(__xludf.DUMMYFUNCTION("""COMPUTED_VALUE"""),"-")</f>
        <v>-</v>
      </c>
      <c r="I5168" s="19">
        <f>IFERROR(__xludf.DUMMYFUNCTION("""COMPUTED_VALUE"""),0.0022)</f>
        <v>0.0022</v>
      </c>
      <c r="J5168" s="19">
        <f>IFERROR(__xludf.DUMMYFUNCTION("""COMPUTED_VALUE"""),0.04735)</f>
        <v>0.04735</v>
      </c>
      <c r="K5168" s="19" t="str">
        <f>IFERROR(__xludf.DUMMYFUNCTION("""COMPUTED_VALUE"""),"-")</f>
        <v>-</v>
      </c>
      <c r="L5168" s="19" t="str">
        <f>IFERROR(__xludf.DUMMYFUNCTION("""COMPUTED_VALUE"""),"-")</f>
        <v>-</v>
      </c>
      <c r="O5168" s="24">
        <f t="shared" si="4"/>
        <v>0</v>
      </c>
      <c r="P5168" s="24"/>
      <c r="Q5168" s="24">
        <f t="shared" si="6"/>
        <v>0</v>
      </c>
      <c r="R5168" s="24">
        <f t="shared" si="7"/>
        <v>0</v>
      </c>
      <c r="S5168" s="24"/>
      <c r="T5168" s="24"/>
    </row>
    <row r="5169">
      <c r="A5169" s="12" t="s">
        <v>5256</v>
      </c>
      <c r="F5169" s="19">
        <f>IFERROR(__xludf.DUMMYFUNCTION("SPLIT(A5165, "" |"")"),5163.0)</f>
        <v>5163</v>
      </c>
      <c r="G5169" s="19">
        <f>IFERROR(__xludf.DUMMYFUNCTION("""COMPUTED_VALUE"""),0.0023)</f>
        <v>0.0023</v>
      </c>
      <c r="H5169" s="19" t="str">
        <f>IFERROR(__xludf.DUMMYFUNCTION("""COMPUTED_VALUE"""),"-")</f>
        <v>-</v>
      </c>
      <c r="I5169" s="19">
        <f>IFERROR(__xludf.DUMMYFUNCTION("""COMPUTED_VALUE"""),0.0022)</f>
        <v>0.0022</v>
      </c>
      <c r="J5169" s="19">
        <f>IFERROR(__xludf.DUMMYFUNCTION("""COMPUTED_VALUE"""),0.04747)</f>
        <v>0.04747</v>
      </c>
      <c r="K5169" s="19" t="str">
        <f>IFERROR(__xludf.DUMMYFUNCTION("""COMPUTED_VALUE"""),"-")</f>
        <v>-</v>
      </c>
      <c r="L5169" s="19" t="str">
        <f>IFERROR(__xludf.DUMMYFUNCTION("""COMPUTED_VALUE"""),"-")</f>
        <v>-</v>
      </c>
      <c r="O5169" s="24">
        <f t="shared" si="4"/>
        <v>0</v>
      </c>
      <c r="P5169" s="24"/>
      <c r="Q5169" s="24">
        <f t="shared" si="6"/>
        <v>0</v>
      </c>
      <c r="R5169" s="24">
        <f t="shared" si="7"/>
        <v>0</v>
      </c>
      <c r="S5169" s="24"/>
      <c r="T5169" s="24"/>
    </row>
    <row r="5170">
      <c r="A5170" s="12" t="s">
        <v>5257</v>
      </c>
      <c r="F5170" s="19">
        <f>IFERROR(__xludf.DUMMYFUNCTION("SPLIT(A5166, "" |"")"),5164.0)</f>
        <v>5164</v>
      </c>
      <c r="G5170" s="19">
        <f>IFERROR(__xludf.DUMMYFUNCTION("""COMPUTED_VALUE"""),0.00238)</f>
        <v>0.00238</v>
      </c>
      <c r="H5170" s="19" t="str">
        <f>IFERROR(__xludf.DUMMYFUNCTION("""COMPUTED_VALUE"""),"-")</f>
        <v>-</v>
      </c>
      <c r="I5170" s="19">
        <f>IFERROR(__xludf.DUMMYFUNCTION("""COMPUTED_VALUE"""),0.0022)</f>
        <v>0.0022</v>
      </c>
      <c r="J5170" s="19">
        <f>IFERROR(__xludf.DUMMYFUNCTION("""COMPUTED_VALUE"""),0.04749)</f>
        <v>0.04749</v>
      </c>
      <c r="K5170" s="19" t="str">
        <f>IFERROR(__xludf.DUMMYFUNCTION("""COMPUTED_VALUE"""),"-")</f>
        <v>-</v>
      </c>
      <c r="L5170" s="19" t="str">
        <f>IFERROR(__xludf.DUMMYFUNCTION("""COMPUTED_VALUE"""),"-")</f>
        <v>-</v>
      </c>
      <c r="O5170" s="24">
        <f t="shared" si="4"/>
        <v>0</v>
      </c>
      <c r="P5170" s="24"/>
      <c r="Q5170" s="24">
        <f t="shared" si="6"/>
        <v>0</v>
      </c>
      <c r="R5170" s="24">
        <f t="shared" si="7"/>
        <v>0</v>
      </c>
      <c r="S5170" s="24"/>
      <c r="T5170" s="24"/>
    </row>
    <row r="5171">
      <c r="A5171" s="12" t="s">
        <v>5258</v>
      </c>
      <c r="F5171" s="19">
        <f>IFERROR(__xludf.DUMMYFUNCTION("SPLIT(A5167, "" |"")"),5165.0)</f>
        <v>5165</v>
      </c>
      <c r="G5171" s="19">
        <f>IFERROR(__xludf.DUMMYFUNCTION("""COMPUTED_VALUE"""),0.00239)</f>
        <v>0.00239</v>
      </c>
      <c r="H5171" s="19" t="str">
        <f>IFERROR(__xludf.DUMMYFUNCTION("""COMPUTED_VALUE"""),"-")</f>
        <v>-</v>
      </c>
      <c r="I5171" s="19">
        <f>IFERROR(__xludf.DUMMYFUNCTION("""COMPUTED_VALUE"""),0.00224)</f>
        <v>0.00224</v>
      </c>
      <c r="J5171" s="19">
        <f>IFERROR(__xludf.DUMMYFUNCTION("""COMPUTED_VALUE"""),0.0474)</f>
        <v>0.0474</v>
      </c>
      <c r="K5171" s="19" t="str">
        <f>IFERROR(__xludf.DUMMYFUNCTION("""COMPUTED_VALUE"""),"-")</f>
        <v>-</v>
      </c>
      <c r="L5171" s="19" t="str">
        <f>IFERROR(__xludf.DUMMYFUNCTION("""COMPUTED_VALUE"""),"-")</f>
        <v>-</v>
      </c>
      <c r="O5171" s="24">
        <f t="shared" si="4"/>
        <v>0</v>
      </c>
      <c r="P5171" s="24"/>
      <c r="Q5171" s="24">
        <f t="shared" si="6"/>
        <v>0</v>
      </c>
      <c r="R5171" s="24">
        <f t="shared" si="7"/>
        <v>0</v>
      </c>
      <c r="S5171" s="24"/>
      <c r="T5171" s="24"/>
    </row>
    <row r="5172">
      <c r="A5172" s="12" t="s">
        <v>5259</v>
      </c>
      <c r="F5172" s="19">
        <f>IFERROR(__xludf.DUMMYFUNCTION("SPLIT(A5168, "" |"")"),5166.0)</f>
        <v>5166</v>
      </c>
      <c r="G5172" s="19">
        <f>IFERROR(__xludf.DUMMYFUNCTION("""COMPUTED_VALUE"""),0.00237)</f>
        <v>0.00237</v>
      </c>
      <c r="H5172" s="19" t="str">
        <f>IFERROR(__xludf.DUMMYFUNCTION("""COMPUTED_VALUE"""),"-")</f>
        <v>-</v>
      </c>
      <c r="I5172" s="19">
        <f>IFERROR(__xludf.DUMMYFUNCTION("""COMPUTED_VALUE"""),0.00228)</f>
        <v>0.00228</v>
      </c>
      <c r="J5172" s="19">
        <f>IFERROR(__xludf.DUMMYFUNCTION("""COMPUTED_VALUE"""),0.0474)</f>
        <v>0.0474</v>
      </c>
      <c r="K5172" s="19" t="str">
        <f>IFERROR(__xludf.DUMMYFUNCTION("""COMPUTED_VALUE"""),"-")</f>
        <v>-</v>
      </c>
      <c r="L5172" s="19" t="str">
        <f>IFERROR(__xludf.DUMMYFUNCTION("""COMPUTED_VALUE"""),"-")</f>
        <v>-</v>
      </c>
      <c r="O5172" s="24">
        <f t="shared" si="4"/>
        <v>0</v>
      </c>
      <c r="P5172" s="24"/>
      <c r="Q5172" s="24">
        <f t="shared" si="6"/>
        <v>0</v>
      </c>
      <c r="R5172" s="24">
        <f t="shared" si="7"/>
        <v>0</v>
      </c>
      <c r="S5172" s="24"/>
      <c r="T5172" s="24"/>
    </row>
    <row r="5173">
      <c r="A5173" s="12" t="s">
        <v>5260</v>
      </c>
      <c r="F5173" s="19">
        <f>IFERROR(__xludf.DUMMYFUNCTION("SPLIT(A5169, "" |"")"),5167.0)</f>
        <v>5167</v>
      </c>
      <c r="G5173" s="19">
        <f>IFERROR(__xludf.DUMMYFUNCTION("""COMPUTED_VALUE"""),0.00233)</f>
        <v>0.00233</v>
      </c>
      <c r="H5173" s="19" t="str">
        <f>IFERROR(__xludf.DUMMYFUNCTION("""COMPUTED_VALUE"""),"-")</f>
        <v>-</v>
      </c>
      <c r="I5173" s="19">
        <f>IFERROR(__xludf.DUMMYFUNCTION("""COMPUTED_VALUE"""),0.00223)</f>
        <v>0.00223</v>
      </c>
      <c r="J5173" s="19">
        <f>IFERROR(__xludf.DUMMYFUNCTION("""COMPUTED_VALUE"""),0.04746)</f>
        <v>0.04746</v>
      </c>
      <c r="K5173" s="19" t="str">
        <f>IFERROR(__xludf.DUMMYFUNCTION("""COMPUTED_VALUE"""),"-")</f>
        <v>-</v>
      </c>
      <c r="L5173" s="19" t="str">
        <f>IFERROR(__xludf.DUMMYFUNCTION("""COMPUTED_VALUE"""),"-")</f>
        <v>-</v>
      </c>
      <c r="O5173" s="24">
        <f t="shared" si="4"/>
        <v>0</v>
      </c>
      <c r="P5173" s="24"/>
      <c r="Q5173" s="24">
        <f t="shared" si="6"/>
        <v>0</v>
      </c>
      <c r="R5173" s="24">
        <f t="shared" si="7"/>
        <v>0</v>
      </c>
      <c r="S5173" s="24"/>
      <c r="T5173" s="24"/>
    </row>
    <row r="5174">
      <c r="A5174" s="12" t="s">
        <v>5261</v>
      </c>
      <c r="F5174" s="19">
        <f>IFERROR(__xludf.DUMMYFUNCTION("SPLIT(A5170, "" |"")"),5168.0)</f>
        <v>5168</v>
      </c>
      <c r="G5174" s="19">
        <f>IFERROR(__xludf.DUMMYFUNCTION("""COMPUTED_VALUE"""),0.00238)</f>
        <v>0.00238</v>
      </c>
      <c r="H5174" s="19" t="str">
        <f>IFERROR(__xludf.DUMMYFUNCTION("""COMPUTED_VALUE"""),"-")</f>
        <v>-</v>
      </c>
      <c r="I5174" s="19">
        <f>IFERROR(__xludf.DUMMYFUNCTION("""COMPUTED_VALUE"""),0.00222)</f>
        <v>0.00222</v>
      </c>
      <c r="J5174" s="19">
        <f>IFERROR(__xludf.DUMMYFUNCTION("""COMPUTED_VALUE"""),0.0457)</f>
        <v>0.0457</v>
      </c>
      <c r="K5174" s="19" t="str">
        <f>IFERROR(__xludf.DUMMYFUNCTION("""COMPUTED_VALUE"""),"-")</f>
        <v>-</v>
      </c>
      <c r="L5174" s="19" t="str">
        <f>IFERROR(__xludf.DUMMYFUNCTION("""COMPUTED_VALUE"""),"-")</f>
        <v>-</v>
      </c>
      <c r="O5174" s="24">
        <f t="shared" si="4"/>
        <v>0</v>
      </c>
      <c r="P5174" s="24"/>
      <c r="Q5174" s="24">
        <f t="shared" si="6"/>
        <v>0</v>
      </c>
      <c r="R5174" s="24">
        <f t="shared" si="7"/>
        <v>0</v>
      </c>
      <c r="S5174" s="24"/>
      <c r="T5174" s="24"/>
    </row>
    <row r="5175">
      <c r="A5175" s="12" t="s">
        <v>5262</v>
      </c>
      <c r="F5175" s="19">
        <f>IFERROR(__xludf.DUMMYFUNCTION("SPLIT(A5171, "" |"")"),5169.0)</f>
        <v>5169</v>
      </c>
      <c r="G5175" s="19">
        <f>IFERROR(__xludf.DUMMYFUNCTION("""COMPUTED_VALUE"""),0.00232)</f>
        <v>0.00232</v>
      </c>
      <c r="H5175" s="19" t="str">
        <f>IFERROR(__xludf.DUMMYFUNCTION("""COMPUTED_VALUE"""),"-")</f>
        <v>-</v>
      </c>
      <c r="I5175" s="19">
        <f>IFERROR(__xludf.DUMMYFUNCTION("""COMPUTED_VALUE"""),0.00219)</f>
        <v>0.00219</v>
      </c>
      <c r="J5175" s="19">
        <f>IFERROR(__xludf.DUMMYFUNCTION("""COMPUTED_VALUE"""),0.04545)</f>
        <v>0.04545</v>
      </c>
      <c r="K5175" s="19" t="str">
        <f>IFERROR(__xludf.DUMMYFUNCTION("""COMPUTED_VALUE"""),"-")</f>
        <v>-</v>
      </c>
      <c r="L5175" s="19" t="str">
        <f>IFERROR(__xludf.DUMMYFUNCTION("""COMPUTED_VALUE"""),"-")</f>
        <v>-</v>
      </c>
      <c r="O5175" s="24">
        <f t="shared" si="4"/>
        <v>0</v>
      </c>
      <c r="P5175" s="24"/>
      <c r="Q5175" s="24">
        <f t="shared" si="6"/>
        <v>0</v>
      </c>
      <c r="R5175" s="24">
        <f t="shared" si="7"/>
        <v>0</v>
      </c>
      <c r="S5175" s="24"/>
      <c r="T5175" s="24"/>
    </row>
    <row r="5176">
      <c r="A5176" s="12" t="s">
        <v>5263</v>
      </c>
      <c r="F5176" s="19">
        <f>IFERROR(__xludf.DUMMYFUNCTION("SPLIT(A5172, "" |"")"),5170.0)</f>
        <v>5170</v>
      </c>
      <c r="G5176" s="19">
        <f>IFERROR(__xludf.DUMMYFUNCTION("""COMPUTED_VALUE"""),0.00227)</f>
        <v>0.00227</v>
      </c>
      <c r="H5176" s="19" t="str">
        <f>IFERROR(__xludf.DUMMYFUNCTION("""COMPUTED_VALUE"""),"-")</f>
        <v>-</v>
      </c>
      <c r="I5176" s="19">
        <f>IFERROR(__xludf.DUMMYFUNCTION("""COMPUTED_VALUE"""),0.00221)</f>
        <v>0.00221</v>
      </c>
      <c r="J5176" s="19">
        <f>IFERROR(__xludf.DUMMYFUNCTION("""COMPUTED_VALUE"""),0.04743)</f>
        <v>0.04743</v>
      </c>
      <c r="K5176" s="19" t="str">
        <f>IFERROR(__xludf.DUMMYFUNCTION("""COMPUTED_VALUE"""),"-")</f>
        <v>-</v>
      </c>
      <c r="L5176" s="19" t="str">
        <f>IFERROR(__xludf.DUMMYFUNCTION("""COMPUTED_VALUE"""),"-")</f>
        <v>-</v>
      </c>
      <c r="O5176" s="24">
        <f t="shared" si="4"/>
        <v>0</v>
      </c>
      <c r="P5176" s="24"/>
      <c r="Q5176" s="24">
        <f t="shared" si="6"/>
        <v>0</v>
      </c>
      <c r="R5176" s="24">
        <f t="shared" si="7"/>
        <v>0</v>
      </c>
      <c r="S5176" s="24"/>
      <c r="T5176" s="24"/>
    </row>
    <row r="5177">
      <c r="A5177" s="12" t="s">
        <v>5264</v>
      </c>
      <c r="F5177" s="19">
        <f>IFERROR(__xludf.DUMMYFUNCTION("SPLIT(A5173, "" |"")"),5171.0)</f>
        <v>5171</v>
      </c>
      <c r="G5177" s="19">
        <f>IFERROR(__xludf.DUMMYFUNCTION("""COMPUTED_VALUE"""),0.00241)</f>
        <v>0.00241</v>
      </c>
      <c r="H5177" s="19" t="str">
        <f>IFERROR(__xludf.DUMMYFUNCTION("""COMPUTED_VALUE"""),"-")</f>
        <v>-</v>
      </c>
      <c r="I5177" s="19">
        <f>IFERROR(__xludf.DUMMYFUNCTION("""COMPUTED_VALUE"""),0.00216)</f>
        <v>0.00216</v>
      </c>
      <c r="J5177" s="19">
        <f>IFERROR(__xludf.DUMMYFUNCTION("""COMPUTED_VALUE"""),0.04745)</f>
        <v>0.04745</v>
      </c>
      <c r="K5177" s="19" t="str">
        <f>IFERROR(__xludf.DUMMYFUNCTION("""COMPUTED_VALUE"""),"-")</f>
        <v>-</v>
      </c>
      <c r="L5177" s="19" t="str">
        <f>IFERROR(__xludf.DUMMYFUNCTION("""COMPUTED_VALUE"""),"-")</f>
        <v>-</v>
      </c>
      <c r="O5177" s="24">
        <f t="shared" si="4"/>
        <v>0</v>
      </c>
      <c r="P5177" s="24"/>
      <c r="Q5177" s="24">
        <f t="shared" si="6"/>
        <v>0</v>
      </c>
      <c r="R5177" s="24">
        <f t="shared" si="7"/>
        <v>0</v>
      </c>
      <c r="S5177" s="24"/>
      <c r="T5177" s="24"/>
    </row>
    <row r="5178">
      <c r="A5178" s="12" t="s">
        <v>5265</v>
      </c>
      <c r="F5178" s="19">
        <f>IFERROR(__xludf.DUMMYFUNCTION("SPLIT(A5174, "" |"")"),5172.0)</f>
        <v>5172</v>
      </c>
      <c r="G5178" s="19">
        <f>IFERROR(__xludf.DUMMYFUNCTION("""COMPUTED_VALUE"""),0.00233)</f>
        <v>0.00233</v>
      </c>
      <c r="H5178" s="19" t="str">
        <f>IFERROR(__xludf.DUMMYFUNCTION("""COMPUTED_VALUE"""),"-")</f>
        <v>-</v>
      </c>
      <c r="I5178" s="19">
        <f>IFERROR(__xludf.DUMMYFUNCTION("""COMPUTED_VALUE"""),0.00213)</f>
        <v>0.00213</v>
      </c>
      <c r="J5178" s="19">
        <f>IFERROR(__xludf.DUMMYFUNCTION("""COMPUTED_VALUE"""),0.04752)</f>
        <v>0.04752</v>
      </c>
      <c r="K5178" s="19" t="str">
        <f>IFERROR(__xludf.DUMMYFUNCTION("""COMPUTED_VALUE"""),"-")</f>
        <v>-</v>
      </c>
      <c r="L5178" s="19" t="str">
        <f>IFERROR(__xludf.DUMMYFUNCTION("""COMPUTED_VALUE"""),"-")</f>
        <v>-</v>
      </c>
      <c r="O5178" s="24">
        <f t="shared" si="4"/>
        <v>0</v>
      </c>
      <c r="P5178" s="24"/>
      <c r="Q5178" s="24">
        <f t="shared" si="6"/>
        <v>0</v>
      </c>
      <c r="R5178" s="24">
        <f t="shared" si="7"/>
        <v>0</v>
      </c>
      <c r="S5178" s="24"/>
      <c r="T5178" s="24"/>
    </row>
    <row r="5179">
      <c r="A5179" s="12" t="s">
        <v>5266</v>
      </c>
      <c r="F5179" s="19">
        <f>IFERROR(__xludf.DUMMYFUNCTION("SPLIT(A5175, "" |"")"),5173.0)</f>
        <v>5173</v>
      </c>
      <c r="G5179" s="19">
        <f>IFERROR(__xludf.DUMMYFUNCTION("""COMPUTED_VALUE"""),0.00234)</f>
        <v>0.00234</v>
      </c>
      <c r="H5179" s="19" t="str">
        <f>IFERROR(__xludf.DUMMYFUNCTION("""COMPUTED_VALUE"""),"-")</f>
        <v>-</v>
      </c>
      <c r="I5179" s="19">
        <f>IFERROR(__xludf.DUMMYFUNCTION("""COMPUTED_VALUE"""),0.00223)</f>
        <v>0.00223</v>
      </c>
      <c r="J5179" s="19">
        <f>IFERROR(__xludf.DUMMYFUNCTION("""COMPUTED_VALUE"""),0.04127)</f>
        <v>0.04127</v>
      </c>
      <c r="K5179" s="19" t="str">
        <f>IFERROR(__xludf.DUMMYFUNCTION("""COMPUTED_VALUE"""),"-")</f>
        <v>-</v>
      </c>
      <c r="L5179" s="19" t="str">
        <f>IFERROR(__xludf.DUMMYFUNCTION("""COMPUTED_VALUE"""),"-")</f>
        <v>-</v>
      </c>
      <c r="O5179" s="24">
        <f t="shared" si="4"/>
        <v>0</v>
      </c>
      <c r="P5179" s="24"/>
      <c r="Q5179" s="24">
        <f t="shared" si="6"/>
        <v>0</v>
      </c>
      <c r="R5179" s="24">
        <f t="shared" si="7"/>
        <v>1</v>
      </c>
      <c r="S5179" s="24"/>
      <c r="T5179" s="24"/>
    </row>
    <row r="5180">
      <c r="A5180" s="12" t="s">
        <v>5267</v>
      </c>
      <c r="F5180" s="19">
        <f>IFERROR(__xludf.DUMMYFUNCTION("SPLIT(A5176, "" |"")"),5174.0)</f>
        <v>5174</v>
      </c>
      <c r="G5180" s="19">
        <f>IFERROR(__xludf.DUMMYFUNCTION("""COMPUTED_VALUE"""),0.00236)</f>
        <v>0.00236</v>
      </c>
      <c r="H5180" s="19" t="str">
        <f>IFERROR(__xludf.DUMMYFUNCTION("""COMPUTED_VALUE"""),"-")</f>
        <v>-</v>
      </c>
      <c r="I5180" s="19">
        <f>IFERROR(__xludf.DUMMYFUNCTION("""COMPUTED_VALUE"""),0.0022)</f>
        <v>0.0022</v>
      </c>
      <c r="J5180" s="19">
        <f>IFERROR(__xludf.DUMMYFUNCTION("""COMPUTED_VALUE"""),0.04741)</f>
        <v>0.04741</v>
      </c>
      <c r="K5180" s="19" t="str">
        <f>IFERROR(__xludf.DUMMYFUNCTION("""COMPUTED_VALUE"""),"-")</f>
        <v>-</v>
      </c>
      <c r="L5180" s="19" t="str">
        <f>IFERROR(__xludf.DUMMYFUNCTION("""COMPUTED_VALUE"""),"-")</f>
        <v>-</v>
      </c>
      <c r="O5180" s="24">
        <f t="shared" si="4"/>
        <v>0</v>
      </c>
      <c r="P5180" s="24"/>
      <c r="Q5180" s="24">
        <f t="shared" si="6"/>
        <v>0</v>
      </c>
      <c r="R5180" s="24">
        <f t="shared" si="7"/>
        <v>0</v>
      </c>
      <c r="S5180" s="24"/>
      <c r="T5180" s="24"/>
    </row>
    <row r="5181">
      <c r="A5181" s="12" t="s">
        <v>5268</v>
      </c>
      <c r="F5181" s="19">
        <f>IFERROR(__xludf.DUMMYFUNCTION("SPLIT(A5177, "" |"")"),5175.0)</f>
        <v>5175</v>
      </c>
      <c r="G5181" s="19">
        <f>IFERROR(__xludf.DUMMYFUNCTION("""COMPUTED_VALUE"""),0.00222)</f>
        <v>0.00222</v>
      </c>
      <c r="H5181" s="19" t="str">
        <f>IFERROR(__xludf.DUMMYFUNCTION("""COMPUTED_VALUE"""),"-")</f>
        <v>-</v>
      </c>
      <c r="I5181" s="19">
        <f>IFERROR(__xludf.DUMMYFUNCTION("""COMPUTED_VALUE"""),0.00211)</f>
        <v>0.00211</v>
      </c>
      <c r="J5181" s="19">
        <f>IFERROR(__xludf.DUMMYFUNCTION("""COMPUTED_VALUE"""),0.04741)</f>
        <v>0.04741</v>
      </c>
      <c r="K5181" s="19" t="str">
        <f>IFERROR(__xludf.DUMMYFUNCTION("""COMPUTED_VALUE"""),"-")</f>
        <v>-</v>
      </c>
      <c r="L5181" s="19" t="str">
        <f>IFERROR(__xludf.DUMMYFUNCTION("""COMPUTED_VALUE"""),"-")</f>
        <v>-</v>
      </c>
      <c r="O5181" s="24">
        <f t="shared" si="4"/>
        <v>0</v>
      </c>
      <c r="P5181" s="24"/>
      <c r="Q5181" s="24">
        <f t="shared" si="6"/>
        <v>0</v>
      </c>
      <c r="R5181" s="24">
        <f t="shared" si="7"/>
        <v>0</v>
      </c>
      <c r="S5181" s="24"/>
      <c r="T5181" s="24"/>
    </row>
    <row r="5182">
      <c r="A5182" s="12" t="s">
        <v>5269</v>
      </c>
      <c r="F5182" s="19">
        <f>IFERROR(__xludf.DUMMYFUNCTION("SPLIT(A5178, "" |"")"),5176.0)</f>
        <v>5176</v>
      </c>
      <c r="G5182" s="19">
        <f>IFERROR(__xludf.DUMMYFUNCTION("""COMPUTED_VALUE"""),0.00242)</f>
        <v>0.00242</v>
      </c>
      <c r="H5182" s="19" t="str">
        <f>IFERROR(__xludf.DUMMYFUNCTION("""COMPUTED_VALUE"""),"-")</f>
        <v>-</v>
      </c>
      <c r="I5182" s="19">
        <f>IFERROR(__xludf.DUMMYFUNCTION("""COMPUTED_VALUE"""),0.00226)</f>
        <v>0.00226</v>
      </c>
      <c r="J5182" s="19">
        <f>IFERROR(__xludf.DUMMYFUNCTION("""COMPUTED_VALUE"""),0.04744)</f>
        <v>0.04744</v>
      </c>
      <c r="K5182" s="19" t="str">
        <f>IFERROR(__xludf.DUMMYFUNCTION("""COMPUTED_VALUE"""),"-")</f>
        <v>-</v>
      </c>
      <c r="L5182" s="19" t="str">
        <f>IFERROR(__xludf.DUMMYFUNCTION("""COMPUTED_VALUE"""),"-")</f>
        <v>-</v>
      </c>
      <c r="O5182" s="24">
        <f t="shared" si="4"/>
        <v>0</v>
      </c>
      <c r="P5182" s="24"/>
      <c r="Q5182" s="24">
        <f t="shared" si="6"/>
        <v>0</v>
      </c>
      <c r="R5182" s="24">
        <f t="shared" si="7"/>
        <v>0</v>
      </c>
      <c r="S5182" s="24"/>
      <c r="T5182" s="24"/>
    </row>
    <row r="5183">
      <c r="A5183" s="12" t="s">
        <v>5270</v>
      </c>
      <c r="F5183" s="19">
        <f>IFERROR(__xludf.DUMMYFUNCTION("SPLIT(A5179, "" |"")"),5177.0)</f>
        <v>5177</v>
      </c>
      <c r="G5183" s="19">
        <f>IFERROR(__xludf.DUMMYFUNCTION("""COMPUTED_VALUE"""),0.00233)</f>
        <v>0.00233</v>
      </c>
      <c r="H5183" s="19" t="str">
        <f>IFERROR(__xludf.DUMMYFUNCTION("""COMPUTED_VALUE"""),"-")</f>
        <v>-</v>
      </c>
      <c r="I5183" s="19">
        <f>IFERROR(__xludf.DUMMYFUNCTION("""COMPUTED_VALUE"""),0.00223)</f>
        <v>0.00223</v>
      </c>
      <c r="J5183" s="19">
        <f>IFERROR(__xludf.DUMMYFUNCTION("""COMPUTED_VALUE"""),0.04152)</f>
        <v>0.04152</v>
      </c>
      <c r="K5183" s="19" t="str">
        <f>IFERROR(__xludf.DUMMYFUNCTION("""COMPUTED_VALUE"""),"-")</f>
        <v>-</v>
      </c>
      <c r="L5183" s="19" t="str">
        <f>IFERROR(__xludf.DUMMYFUNCTION("""COMPUTED_VALUE"""),"-")</f>
        <v>-</v>
      </c>
      <c r="O5183" s="24">
        <f t="shared" si="4"/>
        <v>0</v>
      </c>
      <c r="P5183" s="24"/>
      <c r="Q5183" s="24">
        <f t="shared" si="6"/>
        <v>0</v>
      </c>
      <c r="R5183" s="24">
        <f t="shared" si="7"/>
        <v>1</v>
      </c>
      <c r="S5183" s="24"/>
      <c r="T5183" s="24"/>
    </row>
    <row r="5184">
      <c r="A5184" s="12" t="s">
        <v>5271</v>
      </c>
      <c r="F5184" s="19">
        <f>IFERROR(__xludf.DUMMYFUNCTION("SPLIT(A5180, "" |"")"),5178.0)</f>
        <v>5178</v>
      </c>
      <c r="G5184" s="19">
        <f>IFERROR(__xludf.DUMMYFUNCTION("""COMPUTED_VALUE"""),0.00234)</f>
        <v>0.00234</v>
      </c>
      <c r="H5184" s="19" t="str">
        <f>IFERROR(__xludf.DUMMYFUNCTION("""COMPUTED_VALUE"""),"-")</f>
        <v>-</v>
      </c>
      <c r="I5184" s="19">
        <f>IFERROR(__xludf.DUMMYFUNCTION("""COMPUTED_VALUE"""),0.00219)</f>
        <v>0.00219</v>
      </c>
      <c r="J5184" s="19">
        <f>IFERROR(__xludf.DUMMYFUNCTION("""COMPUTED_VALUE"""),0.04094)</f>
        <v>0.04094</v>
      </c>
      <c r="K5184" s="19" t="str">
        <f>IFERROR(__xludf.DUMMYFUNCTION("""COMPUTED_VALUE"""),"-")</f>
        <v>-</v>
      </c>
      <c r="L5184" s="19" t="str">
        <f>IFERROR(__xludf.DUMMYFUNCTION("""COMPUTED_VALUE"""),"-")</f>
        <v>-</v>
      </c>
      <c r="O5184" s="24">
        <f t="shared" si="4"/>
        <v>0</v>
      </c>
      <c r="P5184" s="24"/>
      <c r="Q5184" s="24">
        <f t="shared" si="6"/>
        <v>0</v>
      </c>
      <c r="R5184" s="24">
        <f t="shared" si="7"/>
        <v>1</v>
      </c>
      <c r="S5184" s="24"/>
      <c r="T5184" s="24"/>
    </row>
    <row r="5185">
      <c r="A5185" s="12" t="s">
        <v>5272</v>
      </c>
      <c r="F5185" s="19">
        <f>IFERROR(__xludf.DUMMYFUNCTION("SPLIT(A5181, "" |"")"),5179.0)</f>
        <v>5179</v>
      </c>
      <c r="G5185" s="19">
        <f>IFERROR(__xludf.DUMMYFUNCTION("""COMPUTED_VALUE"""),0.00232)</f>
        <v>0.00232</v>
      </c>
      <c r="H5185" s="19" t="str">
        <f>IFERROR(__xludf.DUMMYFUNCTION("""COMPUTED_VALUE"""),"-")</f>
        <v>-</v>
      </c>
      <c r="I5185" s="19">
        <f>IFERROR(__xludf.DUMMYFUNCTION("""COMPUTED_VALUE"""),0.0022)</f>
        <v>0.0022</v>
      </c>
      <c r="J5185" s="19">
        <f>IFERROR(__xludf.DUMMYFUNCTION("""COMPUTED_VALUE"""),0.04733)</f>
        <v>0.04733</v>
      </c>
      <c r="K5185" s="19" t="str">
        <f>IFERROR(__xludf.DUMMYFUNCTION("""COMPUTED_VALUE"""),"-")</f>
        <v>-</v>
      </c>
      <c r="L5185" s="19" t="str">
        <f>IFERROR(__xludf.DUMMYFUNCTION("""COMPUTED_VALUE"""),"-")</f>
        <v>-</v>
      </c>
      <c r="O5185" s="24">
        <f t="shared" si="4"/>
        <v>0</v>
      </c>
      <c r="P5185" s="24"/>
      <c r="Q5185" s="24">
        <f t="shared" si="6"/>
        <v>0</v>
      </c>
      <c r="R5185" s="24">
        <f t="shared" si="7"/>
        <v>0</v>
      </c>
      <c r="S5185" s="24"/>
      <c r="T5185" s="24"/>
    </row>
    <row r="5186">
      <c r="A5186" s="12" t="s">
        <v>5273</v>
      </c>
      <c r="F5186" s="19">
        <f>IFERROR(__xludf.DUMMYFUNCTION("SPLIT(A5182, "" |"")"),5180.0)</f>
        <v>5180</v>
      </c>
      <c r="G5186" s="19">
        <f>IFERROR(__xludf.DUMMYFUNCTION("""COMPUTED_VALUE"""),0.00236)</f>
        <v>0.00236</v>
      </c>
      <c r="H5186" s="19" t="str">
        <f>IFERROR(__xludf.DUMMYFUNCTION("""COMPUTED_VALUE"""),"-")</f>
        <v>-</v>
      </c>
      <c r="I5186" s="19">
        <f>IFERROR(__xludf.DUMMYFUNCTION("""COMPUTED_VALUE"""),0.00223)</f>
        <v>0.00223</v>
      </c>
      <c r="J5186" s="19">
        <f>IFERROR(__xludf.DUMMYFUNCTION("""COMPUTED_VALUE"""),0.04733)</f>
        <v>0.04733</v>
      </c>
      <c r="K5186" s="19" t="str">
        <f>IFERROR(__xludf.DUMMYFUNCTION("""COMPUTED_VALUE"""),"-")</f>
        <v>-</v>
      </c>
      <c r="L5186" s="19" t="str">
        <f>IFERROR(__xludf.DUMMYFUNCTION("""COMPUTED_VALUE"""),"-")</f>
        <v>-</v>
      </c>
      <c r="O5186" s="24">
        <f t="shared" si="4"/>
        <v>0</v>
      </c>
      <c r="P5186" s="24"/>
      <c r="Q5186" s="24">
        <f t="shared" si="6"/>
        <v>0</v>
      </c>
      <c r="R5186" s="24">
        <f t="shared" si="7"/>
        <v>0</v>
      </c>
      <c r="S5186" s="24"/>
      <c r="T5186" s="24"/>
    </row>
    <row r="5187">
      <c r="A5187" s="12" t="s">
        <v>5274</v>
      </c>
      <c r="F5187" s="19">
        <f>IFERROR(__xludf.DUMMYFUNCTION("SPLIT(A5183, "" |"")"),5181.0)</f>
        <v>5181</v>
      </c>
      <c r="G5187" s="19">
        <f>IFERROR(__xludf.DUMMYFUNCTION("""COMPUTED_VALUE"""),0.00227)</f>
        <v>0.00227</v>
      </c>
      <c r="H5187" s="19" t="str">
        <f>IFERROR(__xludf.DUMMYFUNCTION("""COMPUTED_VALUE"""),"-")</f>
        <v>-</v>
      </c>
      <c r="I5187" s="19">
        <f>IFERROR(__xludf.DUMMYFUNCTION("""COMPUTED_VALUE"""),0.00224)</f>
        <v>0.00224</v>
      </c>
      <c r="J5187" s="19">
        <f>IFERROR(__xludf.DUMMYFUNCTION("""COMPUTED_VALUE"""),0.04747)</f>
        <v>0.04747</v>
      </c>
      <c r="K5187" s="19" t="str">
        <f>IFERROR(__xludf.DUMMYFUNCTION("""COMPUTED_VALUE"""),"-")</f>
        <v>-</v>
      </c>
      <c r="L5187" s="19" t="str">
        <f>IFERROR(__xludf.DUMMYFUNCTION("""COMPUTED_VALUE"""),"-")</f>
        <v>-</v>
      </c>
      <c r="O5187" s="24">
        <f t="shared" si="4"/>
        <v>0</v>
      </c>
      <c r="P5187" s="24"/>
      <c r="Q5187" s="24">
        <f t="shared" si="6"/>
        <v>0</v>
      </c>
      <c r="R5187" s="24">
        <f t="shared" si="7"/>
        <v>0</v>
      </c>
      <c r="S5187" s="24"/>
      <c r="T5187" s="24"/>
    </row>
    <row r="5188">
      <c r="A5188" s="12" t="s">
        <v>5275</v>
      </c>
      <c r="F5188" s="19">
        <f>IFERROR(__xludf.DUMMYFUNCTION("SPLIT(A5184, "" |"")"),5182.0)</f>
        <v>5182</v>
      </c>
      <c r="G5188" s="19">
        <f>IFERROR(__xludf.DUMMYFUNCTION("""COMPUTED_VALUE"""),0.00238)</f>
        <v>0.00238</v>
      </c>
      <c r="H5188" s="19" t="str">
        <f>IFERROR(__xludf.DUMMYFUNCTION("""COMPUTED_VALUE"""),"-")</f>
        <v>-</v>
      </c>
      <c r="I5188" s="19">
        <f>IFERROR(__xludf.DUMMYFUNCTION("""COMPUTED_VALUE"""),0.00219)</f>
        <v>0.00219</v>
      </c>
      <c r="J5188" s="19">
        <f>IFERROR(__xludf.DUMMYFUNCTION("""COMPUTED_VALUE"""),0.04744)</f>
        <v>0.04744</v>
      </c>
      <c r="K5188" s="19" t="str">
        <f>IFERROR(__xludf.DUMMYFUNCTION("""COMPUTED_VALUE"""),"-")</f>
        <v>-</v>
      </c>
      <c r="L5188" s="19" t="str">
        <f>IFERROR(__xludf.DUMMYFUNCTION("""COMPUTED_VALUE"""),"-")</f>
        <v>-</v>
      </c>
      <c r="O5188" s="24">
        <f t="shared" si="4"/>
        <v>0</v>
      </c>
      <c r="P5188" s="24"/>
      <c r="Q5188" s="24">
        <f t="shared" si="6"/>
        <v>0</v>
      </c>
      <c r="R5188" s="24">
        <f t="shared" si="7"/>
        <v>0</v>
      </c>
      <c r="S5188" s="24"/>
      <c r="T5188" s="24"/>
    </row>
    <row r="5189">
      <c r="A5189" s="12" t="s">
        <v>5276</v>
      </c>
      <c r="F5189" s="19">
        <f>IFERROR(__xludf.DUMMYFUNCTION("SPLIT(A5185, "" |"")"),5183.0)</f>
        <v>5183</v>
      </c>
      <c r="G5189" s="19">
        <f>IFERROR(__xludf.DUMMYFUNCTION("""COMPUTED_VALUE"""),0.00234)</f>
        <v>0.00234</v>
      </c>
      <c r="H5189" s="19" t="str">
        <f>IFERROR(__xludf.DUMMYFUNCTION("""COMPUTED_VALUE"""),"-")</f>
        <v>-</v>
      </c>
      <c r="I5189" s="19">
        <f>IFERROR(__xludf.DUMMYFUNCTION("""COMPUTED_VALUE"""),0.00221)</f>
        <v>0.00221</v>
      </c>
      <c r="J5189" s="19">
        <f>IFERROR(__xludf.DUMMYFUNCTION("""COMPUTED_VALUE"""),0.04739)</f>
        <v>0.04739</v>
      </c>
      <c r="K5189" s="19" t="str">
        <f>IFERROR(__xludf.DUMMYFUNCTION("""COMPUTED_VALUE"""),"-")</f>
        <v>-</v>
      </c>
      <c r="L5189" s="19" t="str">
        <f>IFERROR(__xludf.DUMMYFUNCTION("""COMPUTED_VALUE"""),"-")</f>
        <v>-</v>
      </c>
      <c r="O5189" s="24">
        <f t="shared" si="4"/>
        <v>0</v>
      </c>
      <c r="P5189" s="24"/>
      <c r="Q5189" s="24">
        <f t="shared" si="6"/>
        <v>0</v>
      </c>
      <c r="R5189" s="24">
        <f t="shared" si="7"/>
        <v>0</v>
      </c>
      <c r="S5189" s="24"/>
      <c r="T5189" s="24"/>
    </row>
    <row r="5190">
      <c r="A5190" s="12" t="s">
        <v>5277</v>
      </c>
      <c r="F5190" s="19">
        <f>IFERROR(__xludf.DUMMYFUNCTION("SPLIT(A5186, "" |"")"),5184.0)</f>
        <v>5184</v>
      </c>
      <c r="G5190" s="19">
        <f>IFERROR(__xludf.DUMMYFUNCTION("""COMPUTED_VALUE"""),0.00233)</f>
        <v>0.00233</v>
      </c>
      <c r="H5190" s="19" t="str">
        <f>IFERROR(__xludf.DUMMYFUNCTION("""COMPUTED_VALUE"""),"-")</f>
        <v>-</v>
      </c>
      <c r="I5190" s="19">
        <f>IFERROR(__xludf.DUMMYFUNCTION("""COMPUTED_VALUE"""),0.00225)</f>
        <v>0.00225</v>
      </c>
      <c r="J5190" s="19">
        <f>IFERROR(__xludf.DUMMYFUNCTION("""COMPUTED_VALUE"""),0.04745)</f>
        <v>0.04745</v>
      </c>
      <c r="K5190" s="19" t="str">
        <f>IFERROR(__xludf.DUMMYFUNCTION("""COMPUTED_VALUE"""),"-")</f>
        <v>-</v>
      </c>
      <c r="L5190" s="19" t="str">
        <f>IFERROR(__xludf.DUMMYFUNCTION("""COMPUTED_VALUE"""),"-")</f>
        <v>-</v>
      </c>
      <c r="O5190" s="24">
        <f t="shared" si="4"/>
        <v>0</v>
      </c>
      <c r="P5190" s="24"/>
      <c r="Q5190" s="24">
        <f t="shared" si="6"/>
        <v>0</v>
      </c>
      <c r="R5190" s="24">
        <f t="shared" si="7"/>
        <v>0</v>
      </c>
      <c r="S5190" s="24"/>
      <c r="T5190" s="24"/>
    </row>
    <row r="5191">
      <c r="A5191" s="12" t="s">
        <v>5278</v>
      </c>
      <c r="F5191" s="19">
        <f>IFERROR(__xludf.DUMMYFUNCTION("SPLIT(A5187, "" |"")"),5185.0)</f>
        <v>5185</v>
      </c>
      <c r="G5191" s="19">
        <f>IFERROR(__xludf.DUMMYFUNCTION("""COMPUTED_VALUE"""),0.00236)</f>
        <v>0.00236</v>
      </c>
      <c r="H5191" s="19" t="str">
        <f>IFERROR(__xludf.DUMMYFUNCTION("""COMPUTED_VALUE"""),"-")</f>
        <v>-</v>
      </c>
      <c r="I5191" s="19">
        <f>IFERROR(__xludf.DUMMYFUNCTION("""COMPUTED_VALUE"""),0.0022)</f>
        <v>0.0022</v>
      </c>
      <c r="J5191" s="19">
        <f>IFERROR(__xludf.DUMMYFUNCTION("""COMPUTED_VALUE"""),0.04103)</f>
        <v>0.04103</v>
      </c>
      <c r="K5191" s="19" t="str">
        <f>IFERROR(__xludf.DUMMYFUNCTION("""COMPUTED_VALUE"""),"-")</f>
        <v>-</v>
      </c>
      <c r="L5191" s="19" t="str">
        <f>IFERROR(__xludf.DUMMYFUNCTION("""COMPUTED_VALUE"""),"-")</f>
        <v>-</v>
      </c>
      <c r="O5191" s="24">
        <f t="shared" si="4"/>
        <v>0</v>
      </c>
      <c r="P5191" s="24"/>
      <c r="Q5191" s="24">
        <f t="shared" si="6"/>
        <v>0</v>
      </c>
      <c r="R5191" s="24">
        <f t="shared" si="7"/>
        <v>1</v>
      </c>
      <c r="S5191" s="24"/>
      <c r="T5191" s="24"/>
    </row>
    <row r="5192">
      <c r="A5192" s="12" t="s">
        <v>5279</v>
      </c>
      <c r="F5192" s="19">
        <f>IFERROR(__xludf.DUMMYFUNCTION("SPLIT(A5188, "" |"")"),5186.0)</f>
        <v>5186</v>
      </c>
      <c r="G5192" s="19">
        <f>IFERROR(__xludf.DUMMYFUNCTION("""COMPUTED_VALUE"""),0.00233)</f>
        <v>0.00233</v>
      </c>
      <c r="H5192" s="19" t="str">
        <f>IFERROR(__xludf.DUMMYFUNCTION("""COMPUTED_VALUE"""),"-")</f>
        <v>-</v>
      </c>
      <c r="I5192" s="19">
        <f>IFERROR(__xludf.DUMMYFUNCTION("""COMPUTED_VALUE"""),0.00221)</f>
        <v>0.00221</v>
      </c>
      <c r="J5192" s="19">
        <f>IFERROR(__xludf.DUMMYFUNCTION("""COMPUTED_VALUE"""),0.04729)</f>
        <v>0.04729</v>
      </c>
      <c r="K5192" s="19" t="str">
        <f>IFERROR(__xludf.DUMMYFUNCTION("""COMPUTED_VALUE"""),"-")</f>
        <v>-</v>
      </c>
      <c r="L5192" s="19" t="str">
        <f>IFERROR(__xludf.DUMMYFUNCTION("""COMPUTED_VALUE"""),"-")</f>
        <v>-</v>
      </c>
      <c r="O5192" s="24">
        <f t="shared" si="4"/>
        <v>0</v>
      </c>
      <c r="P5192" s="24"/>
      <c r="Q5192" s="24">
        <f t="shared" si="6"/>
        <v>0</v>
      </c>
      <c r="R5192" s="24">
        <f t="shared" si="7"/>
        <v>0</v>
      </c>
      <c r="S5192" s="24"/>
      <c r="T5192" s="24"/>
    </row>
    <row r="5193">
      <c r="A5193" s="12" t="s">
        <v>5280</v>
      </c>
      <c r="F5193" s="19">
        <f>IFERROR(__xludf.DUMMYFUNCTION("SPLIT(A5189, "" |"")"),5187.0)</f>
        <v>5187</v>
      </c>
      <c r="G5193" s="19">
        <f>IFERROR(__xludf.DUMMYFUNCTION("""COMPUTED_VALUE"""),0.00239)</f>
        <v>0.00239</v>
      </c>
      <c r="H5193" s="19" t="str">
        <f>IFERROR(__xludf.DUMMYFUNCTION("""COMPUTED_VALUE"""),"-")</f>
        <v>-</v>
      </c>
      <c r="I5193" s="19">
        <f>IFERROR(__xludf.DUMMYFUNCTION("""COMPUTED_VALUE"""),0.00223)</f>
        <v>0.00223</v>
      </c>
      <c r="J5193" s="19">
        <f>IFERROR(__xludf.DUMMYFUNCTION("""COMPUTED_VALUE"""),0.04742)</f>
        <v>0.04742</v>
      </c>
      <c r="K5193" s="19" t="str">
        <f>IFERROR(__xludf.DUMMYFUNCTION("""COMPUTED_VALUE"""),"-")</f>
        <v>-</v>
      </c>
      <c r="L5193" s="19" t="str">
        <f>IFERROR(__xludf.DUMMYFUNCTION("""COMPUTED_VALUE"""),"-")</f>
        <v>-</v>
      </c>
      <c r="O5193" s="24">
        <f t="shared" si="4"/>
        <v>0</v>
      </c>
      <c r="P5193" s="24"/>
      <c r="Q5193" s="24">
        <f t="shared" si="6"/>
        <v>0</v>
      </c>
      <c r="R5193" s="24">
        <f t="shared" si="7"/>
        <v>0</v>
      </c>
      <c r="S5193" s="24"/>
      <c r="T5193" s="24"/>
    </row>
    <row r="5194">
      <c r="A5194" s="12" t="s">
        <v>5281</v>
      </c>
      <c r="F5194" s="19">
        <f>IFERROR(__xludf.DUMMYFUNCTION("SPLIT(A5190, "" |"")"),5188.0)</f>
        <v>5188</v>
      </c>
      <c r="G5194" s="19">
        <f>IFERROR(__xludf.DUMMYFUNCTION("""COMPUTED_VALUE"""),0.00232)</f>
        <v>0.00232</v>
      </c>
      <c r="H5194" s="19" t="str">
        <f>IFERROR(__xludf.DUMMYFUNCTION("""COMPUTED_VALUE"""),"-")</f>
        <v>-</v>
      </c>
      <c r="I5194" s="19">
        <f>IFERROR(__xludf.DUMMYFUNCTION("""COMPUTED_VALUE"""),0.00222)</f>
        <v>0.00222</v>
      </c>
      <c r="J5194" s="19">
        <f>IFERROR(__xludf.DUMMYFUNCTION("""COMPUTED_VALUE"""),0.04729)</f>
        <v>0.04729</v>
      </c>
      <c r="K5194" s="19" t="str">
        <f>IFERROR(__xludf.DUMMYFUNCTION("""COMPUTED_VALUE"""),"-")</f>
        <v>-</v>
      </c>
      <c r="L5194" s="19" t="str">
        <f>IFERROR(__xludf.DUMMYFUNCTION("""COMPUTED_VALUE"""),"-")</f>
        <v>-</v>
      </c>
      <c r="O5194" s="24">
        <f t="shared" si="4"/>
        <v>0</v>
      </c>
      <c r="P5194" s="24"/>
      <c r="Q5194" s="24">
        <f t="shared" si="6"/>
        <v>0</v>
      </c>
      <c r="R5194" s="24">
        <f t="shared" si="7"/>
        <v>0</v>
      </c>
      <c r="S5194" s="24"/>
      <c r="T5194" s="24"/>
    </row>
    <row r="5195">
      <c r="A5195" s="12" t="s">
        <v>5282</v>
      </c>
      <c r="F5195" s="19">
        <f>IFERROR(__xludf.DUMMYFUNCTION("SPLIT(A5191, "" |"")"),5189.0)</f>
        <v>5189</v>
      </c>
      <c r="G5195" s="19">
        <f>IFERROR(__xludf.DUMMYFUNCTION("""COMPUTED_VALUE"""),0.00231)</f>
        <v>0.00231</v>
      </c>
      <c r="H5195" s="19" t="str">
        <f>IFERROR(__xludf.DUMMYFUNCTION("""COMPUTED_VALUE"""),"-")</f>
        <v>-</v>
      </c>
      <c r="I5195" s="19">
        <f>IFERROR(__xludf.DUMMYFUNCTION("""COMPUTED_VALUE"""),0.00215)</f>
        <v>0.00215</v>
      </c>
      <c r="J5195" s="19">
        <f>IFERROR(__xludf.DUMMYFUNCTION("""COMPUTED_VALUE"""),0.04089)</f>
        <v>0.04089</v>
      </c>
      <c r="K5195" s="19" t="str">
        <f>IFERROR(__xludf.DUMMYFUNCTION("""COMPUTED_VALUE"""),"-")</f>
        <v>-</v>
      </c>
      <c r="L5195" s="19" t="str">
        <f>IFERROR(__xludf.DUMMYFUNCTION("""COMPUTED_VALUE"""),"-")</f>
        <v>-</v>
      </c>
      <c r="O5195" s="24">
        <f t="shared" si="4"/>
        <v>0</v>
      </c>
      <c r="P5195" s="24"/>
      <c r="Q5195" s="24">
        <f t="shared" si="6"/>
        <v>0</v>
      </c>
      <c r="R5195" s="24">
        <f t="shared" si="7"/>
        <v>1</v>
      </c>
      <c r="S5195" s="24"/>
      <c r="T5195" s="24"/>
    </row>
    <row r="5196">
      <c r="A5196" s="12" t="s">
        <v>5283</v>
      </c>
      <c r="F5196" s="19">
        <f>IFERROR(__xludf.DUMMYFUNCTION("SPLIT(A5192, "" |"")"),5190.0)</f>
        <v>5190</v>
      </c>
      <c r="G5196" s="19">
        <f>IFERROR(__xludf.DUMMYFUNCTION("""COMPUTED_VALUE"""),0.00261)</f>
        <v>0.00261</v>
      </c>
      <c r="H5196" s="19" t="str">
        <f>IFERROR(__xludf.DUMMYFUNCTION("""COMPUTED_VALUE"""),"-")</f>
        <v>-</v>
      </c>
      <c r="I5196" s="19">
        <f>IFERROR(__xludf.DUMMYFUNCTION("""COMPUTED_VALUE"""),0.00239)</f>
        <v>0.00239</v>
      </c>
      <c r="J5196" s="19">
        <f>IFERROR(__xludf.DUMMYFUNCTION("""COMPUTED_VALUE"""),0.04743)</f>
        <v>0.04743</v>
      </c>
      <c r="K5196" s="19" t="str">
        <f>IFERROR(__xludf.DUMMYFUNCTION("""COMPUTED_VALUE"""),"-")</f>
        <v>-</v>
      </c>
      <c r="L5196" s="19" t="str">
        <f>IFERROR(__xludf.DUMMYFUNCTION("""COMPUTED_VALUE"""),"-")</f>
        <v>-</v>
      </c>
      <c r="O5196" s="24">
        <f t="shared" si="4"/>
        <v>0</v>
      </c>
      <c r="P5196" s="24"/>
      <c r="Q5196" s="24">
        <f t="shared" si="6"/>
        <v>0</v>
      </c>
      <c r="R5196" s="24">
        <f t="shared" si="7"/>
        <v>0</v>
      </c>
      <c r="S5196" s="24"/>
      <c r="T5196" s="24"/>
    </row>
    <row r="5197">
      <c r="A5197" s="12" t="s">
        <v>5284</v>
      </c>
      <c r="F5197" s="19">
        <f>IFERROR(__xludf.DUMMYFUNCTION("SPLIT(A5193, "" |"")"),5191.0)</f>
        <v>5191</v>
      </c>
      <c r="G5197" s="19">
        <f>IFERROR(__xludf.DUMMYFUNCTION("""COMPUTED_VALUE"""),0.00229)</f>
        <v>0.00229</v>
      </c>
      <c r="H5197" s="19" t="str">
        <f>IFERROR(__xludf.DUMMYFUNCTION("""COMPUTED_VALUE"""),"-")</f>
        <v>-</v>
      </c>
      <c r="I5197" s="19">
        <f>IFERROR(__xludf.DUMMYFUNCTION("""COMPUTED_VALUE"""),0.00213)</f>
        <v>0.00213</v>
      </c>
      <c r="J5197" s="19">
        <f>IFERROR(__xludf.DUMMYFUNCTION("""COMPUTED_VALUE"""),0.04617)</f>
        <v>0.04617</v>
      </c>
      <c r="K5197" s="19" t="str">
        <f>IFERROR(__xludf.DUMMYFUNCTION("""COMPUTED_VALUE"""),"-")</f>
        <v>-</v>
      </c>
      <c r="L5197" s="19" t="str">
        <f>IFERROR(__xludf.DUMMYFUNCTION("""COMPUTED_VALUE"""),"-")</f>
        <v>-</v>
      </c>
      <c r="O5197" s="24">
        <f t="shared" si="4"/>
        <v>0</v>
      </c>
      <c r="P5197" s="24"/>
      <c r="Q5197" s="24">
        <f t="shared" si="6"/>
        <v>0</v>
      </c>
      <c r="R5197" s="24">
        <f t="shared" si="7"/>
        <v>0</v>
      </c>
      <c r="S5197" s="24"/>
      <c r="T5197" s="24"/>
    </row>
    <row r="5198">
      <c r="A5198" s="12" t="s">
        <v>5285</v>
      </c>
      <c r="F5198" s="19">
        <f>IFERROR(__xludf.DUMMYFUNCTION("SPLIT(A5194, "" |"")"),5192.0)</f>
        <v>5192</v>
      </c>
      <c r="G5198" s="19">
        <f>IFERROR(__xludf.DUMMYFUNCTION("""COMPUTED_VALUE"""),0.00223)</f>
        <v>0.00223</v>
      </c>
      <c r="H5198" s="19" t="str">
        <f>IFERROR(__xludf.DUMMYFUNCTION("""COMPUTED_VALUE"""),"-")</f>
        <v>-</v>
      </c>
      <c r="I5198" s="19">
        <f>IFERROR(__xludf.DUMMYFUNCTION("""COMPUTED_VALUE"""),0.00209)</f>
        <v>0.00209</v>
      </c>
      <c r="J5198" s="19">
        <f>IFERROR(__xludf.DUMMYFUNCTION("""COMPUTED_VALUE"""),0.04544)</f>
        <v>0.04544</v>
      </c>
      <c r="K5198" s="19" t="str">
        <f>IFERROR(__xludf.DUMMYFUNCTION("""COMPUTED_VALUE"""),"-")</f>
        <v>-</v>
      </c>
      <c r="L5198" s="19" t="str">
        <f>IFERROR(__xludf.DUMMYFUNCTION("""COMPUTED_VALUE"""),"-")</f>
        <v>-</v>
      </c>
      <c r="O5198" s="24">
        <f t="shared" si="4"/>
        <v>0</v>
      </c>
      <c r="P5198" s="24"/>
      <c r="Q5198" s="24">
        <f t="shared" si="6"/>
        <v>0</v>
      </c>
      <c r="R5198" s="24">
        <f t="shared" si="7"/>
        <v>0</v>
      </c>
      <c r="S5198" s="24"/>
      <c r="T5198" s="24"/>
    </row>
    <row r="5199">
      <c r="A5199" s="12" t="s">
        <v>5286</v>
      </c>
      <c r="F5199" s="19">
        <f>IFERROR(__xludf.DUMMYFUNCTION("SPLIT(A5195, "" |"")"),5193.0)</f>
        <v>5193</v>
      </c>
      <c r="G5199" s="19">
        <f>IFERROR(__xludf.DUMMYFUNCTION("""COMPUTED_VALUE"""),0.00237)</f>
        <v>0.00237</v>
      </c>
      <c r="H5199" s="19" t="str">
        <f>IFERROR(__xludf.DUMMYFUNCTION("""COMPUTED_VALUE"""),"-")</f>
        <v>-</v>
      </c>
      <c r="I5199" s="19">
        <f>IFERROR(__xludf.DUMMYFUNCTION("""COMPUTED_VALUE"""),0.00216)</f>
        <v>0.00216</v>
      </c>
      <c r="J5199" s="19">
        <f>IFERROR(__xludf.DUMMYFUNCTION("""COMPUTED_VALUE"""),0.04361)</f>
        <v>0.04361</v>
      </c>
      <c r="K5199" s="19" t="str">
        <f>IFERROR(__xludf.DUMMYFUNCTION("""COMPUTED_VALUE"""),"-")</f>
        <v>-</v>
      </c>
      <c r="L5199" s="19" t="str">
        <f>IFERROR(__xludf.DUMMYFUNCTION("""COMPUTED_VALUE"""),"-")</f>
        <v>-</v>
      </c>
      <c r="O5199" s="24">
        <f t="shared" si="4"/>
        <v>0</v>
      </c>
      <c r="P5199" s="24"/>
      <c r="Q5199" s="24">
        <f t="shared" si="6"/>
        <v>0</v>
      </c>
      <c r="R5199" s="24">
        <f t="shared" si="7"/>
        <v>1</v>
      </c>
      <c r="S5199" s="24"/>
      <c r="T5199" s="24"/>
    </row>
    <row r="5200">
      <c r="A5200" s="12" t="s">
        <v>5287</v>
      </c>
      <c r="F5200" s="19">
        <f>IFERROR(__xludf.DUMMYFUNCTION("SPLIT(A5196, "" |"")"),5194.0)</f>
        <v>5194</v>
      </c>
      <c r="G5200" s="19">
        <f>IFERROR(__xludf.DUMMYFUNCTION("""COMPUTED_VALUE"""),0.00238)</f>
        <v>0.00238</v>
      </c>
      <c r="H5200" s="19" t="str">
        <f>IFERROR(__xludf.DUMMYFUNCTION("""COMPUTED_VALUE"""),"-")</f>
        <v>-</v>
      </c>
      <c r="I5200" s="19">
        <f>IFERROR(__xludf.DUMMYFUNCTION("""COMPUTED_VALUE"""),0.00223)</f>
        <v>0.00223</v>
      </c>
      <c r="J5200" s="19">
        <f>IFERROR(__xludf.DUMMYFUNCTION("""COMPUTED_VALUE"""),0.04747)</f>
        <v>0.04747</v>
      </c>
      <c r="K5200" s="19" t="str">
        <f>IFERROR(__xludf.DUMMYFUNCTION("""COMPUTED_VALUE"""),"-")</f>
        <v>-</v>
      </c>
      <c r="L5200" s="19" t="str">
        <f>IFERROR(__xludf.DUMMYFUNCTION("""COMPUTED_VALUE"""),"-")</f>
        <v>-</v>
      </c>
      <c r="O5200" s="24">
        <f t="shared" si="4"/>
        <v>0</v>
      </c>
      <c r="P5200" s="24"/>
      <c r="Q5200" s="24">
        <f t="shared" si="6"/>
        <v>0</v>
      </c>
      <c r="R5200" s="24">
        <f t="shared" si="7"/>
        <v>0</v>
      </c>
      <c r="S5200" s="24"/>
      <c r="T5200" s="24"/>
    </row>
    <row r="5201">
      <c r="A5201" s="12" t="s">
        <v>5288</v>
      </c>
      <c r="F5201" s="19">
        <f>IFERROR(__xludf.DUMMYFUNCTION("SPLIT(A5197, "" |"")"),5195.0)</f>
        <v>5195</v>
      </c>
      <c r="G5201" s="19">
        <f>IFERROR(__xludf.DUMMYFUNCTION("""COMPUTED_VALUE"""),0.00235)</f>
        <v>0.00235</v>
      </c>
      <c r="H5201" s="19" t="str">
        <f>IFERROR(__xludf.DUMMYFUNCTION("""COMPUTED_VALUE"""),"-")</f>
        <v>-</v>
      </c>
      <c r="I5201" s="19">
        <f>IFERROR(__xludf.DUMMYFUNCTION("""COMPUTED_VALUE"""),0.00223)</f>
        <v>0.00223</v>
      </c>
      <c r="J5201" s="19">
        <f>IFERROR(__xludf.DUMMYFUNCTION("""COMPUTED_VALUE"""),0.04747)</f>
        <v>0.04747</v>
      </c>
      <c r="K5201" s="19" t="str">
        <f>IFERROR(__xludf.DUMMYFUNCTION("""COMPUTED_VALUE"""),"-")</f>
        <v>-</v>
      </c>
      <c r="L5201" s="19" t="str">
        <f>IFERROR(__xludf.DUMMYFUNCTION("""COMPUTED_VALUE"""),"-")</f>
        <v>-</v>
      </c>
      <c r="O5201" s="24">
        <f t="shared" si="4"/>
        <v>0</v>
      </c>
      <c r="P5201" s="24"/>
      <c r="Q5201" s="24">
        <f t="shared" si="6"/>
        <v>0</v>
      </c>
      <c r="R5201" s="24">
        <f t="shared" si="7"/>
        <v>0</v>
      </c>
      <c r="S5201" s="24"/>
      <c r="T5201" s="24"/>
    </row>
    <row r="5202">
      <c r="A5202" s="12" t="s">
        <v>5289</v>
      </c>
      <c r="F5202" s="19">
        <f>IFERROR(__xludf.DUMMYFUNCTION("SPLIT(A5198, "" |"")"),5196.0)</f>
        <v>5196</v>
      </c>
      <c r="G5202" s="19">
        <f>IFERROR(__xludf.DUMMYFUNCTION("""COMPUTED_VALUE"""),0.00237)</f>
        <v>0.00237</v>
      </c>
      <c r="H5202" s="19" t="str">
        <f>IFERROR(__xludf.DUMMYFUNCTION("""COMPUTED_VALUE"""),"-")</f>
        <v>-</v>
      </c>
      <c r="I5202" s="19">
        <f>IFERROR(__xludf.DUMMYFUNCTION("""COMPUTED_VALUE"""),0.00226)</f>
        <v>0.00226</v>
      </c>
      <c r="J5202" s="19">
        <f>IFERROR(__xludf.DUMMYFUNCTION("""COMPUTED_VALUE"""),0.04744)</f>
        <v>0.04744</v>
      </c>
      <c r="K5202" s="19" t="str">
        <f>IFERROR(__xludf.DUMMYFUNCTION("""COMPUTED_VALUE"""),"-")</f>
        <v>-</v>
      </c>
      <c r="L5202" s="19" t="str">
        <f>IFERROR(__xludf.DUMMYFUNCTION("""COMPUTED_VALUE"""),"-")</f>
        <v>-</v>
      </c>
      <c r="O5202" s="24">
        <f t="shared" si="4"/>
        <v>0</v>
      </c>
      <c r="P5202" s="24"/>
      <c r="Q5202" s="24">
        <f t="shared" si="6"/>
        <v>0</v>
      </c>
      <c r="R5202" s="24">
        <f t="shared" si="7"/>
        <v>0</v>
      </c>
      <c r="S5202" s="24"/>
      <c r="T5202" s="24"/>
    </row>
    <row r="5203">
      <c r="A5203" s="12" t="s">
        <v>5290</v>
      </c>
      <c r="F5203" s="19">
        <f>IFERROR(__xludf.DUMMYFUNCTION("SPLIT(A5199, "" |"")"),5197.0)</f>
        <v>5197</v>
      </c>
      <c r="G5203" s="19">
        <f>IFERROR(__xludf.DUMMYFUNCTION("""COMPUTED_VALUE"""),0.00235)</f>
        <v>0.00235</v>
      </c>
      <c r="H5203" s="19" t="str">
        <f>IFERROR(__xludf.DUMMYFUNCTION("""COMPUTED_VALUE"""),"-")</f>
        <v>-</v>
      </c>
      <c r="I5203" s="19">
        <f>IFERROR(__xludf.DUMMYFUNCTION("""COMPUTED_VALUE"""),0.00223)</f>
        <v>0.00223</v>
      </c>
      <c r="J5203" s="19">
        <f>IFERROR(__xludf.DUMMYFUNCTION("""COMPUTED_VALUE"""),0.04106)</f>
        <v>0.04106</v>
      </c>
      <c r="K5203" s="19" t="str">
        <f>IFERROR(__xludf.DUMMYFUNCTION("""COMPUTED_VALUE"""),"-")</f>
        <v>-</v>
      </c>
      <c r="L5203" s="19" t="str">
        <f>IFERROR(__xludf.DUMMYFUNCTION("""COMPUTED_VALUE"""),"-")</f>
        <v>-</v>
      </c>
      <c r="O5203" s="24">
        <f t="shared" si="4"/>
        <v>0</v>
      </c>
      <c r="P5203" s="24"/>
      <c r="Q5203" s="24">
        <f t="shared" si="6"/>
        <v>0</v>
      </c>
      <c r="R5203" s="24">
        <f t="shared" si="7"/>
        <v>1</v>
      </c>
      <c r="S5203" s="24"/>
      <c r="T5203" s="24"/>
    </row>
    <row r="5204">
      <c r="A5204" s="12" t="s">
        <v>5291</v>
      </c>
      <c r="F5204" s="19">
        <f>IFERROR(__xludf.DUMMYFUNCTION("SPLIT(A5200, "" |"")"),5198.0)</f>
        <v>5198</v>
      </c>
      <c r="G5204" s="19">
        <f>IFERROR(__xludf.DUMMYFUNCTION("""COMPUTED_VALUE"""),0.00237)</f>
        <v>0.00237</v>
      </c>
      <c r="H5204" s="19" t="str">
        <f>IFERROR(__xludf.DUMMYFUNCTION("""COMPUTED_VALUE"""),"-")</f>
        <v>-</v>
      </c>
      <c r="I5204" s="19">
        <f>IFERROR(__xludf.DUMMYFUNCTION("""COMPUTED_VALUE"""),0.0022)</f>
        <v>0.0022</v>
      </c>
      <c r="J5204" s="19">
        <f>IFERROR(__xludf.DUMMYFUNCTION("""COMPUTED_VALUE"""),0.0422)</f>
        <v>0.0422</v>
      </c>
      <c r="K5204" s="19" t="str">
        <f>IFERROR(__xludf.DUMMYFUNCTION("""COMPUTED_VALUE"""),"-")</f>
        <v>-</v>
      </c>
      <c r="L5204" s="19" t="str">
        <f>IFERROR(__xludf.DUMMYFUNCTION("""COMPUTED_VALUE"""),"-")</f>
        <v>-</v>
      </c>
      <c r="O5204" s="24">
        <f t="shared" si="4"/>
        <v>0</v>
      </c>
      <c r="P5204" s="24"/>
      <c r="Q5204" s="24">
        <f t="shared" si="6"/>
        <v>0</v>
      </c>
      <c r="R5204" s="24">
        <f t="shared" si="7"/>
        <v>1</v>
      </c>
      <c r="S5204" s="24"/>
      <c r="T5204" s="24"/>
    </row>
    <row r="5205">
      <c r="A5205" s="12" t="s">
        <v>5292</v>
      </c>
      <c r="F5205" s="19">
        <f>IFERROR(__xludf.DUMMYFUNCTION("SPLIT(A5201, "" |"")"),5199.0)</f>
        <v>5199</v>
      </c>
      <c r="G5205" s="19">
        <f>IFERROR(__xludf.DUMMYFUNCTION("""COMPUTED_VALUE"""),0.00234)</f>
        <v>0.00234</v>
      </c>
      <c r="H5205" s="19" t="str">
        <f>IFERROR(__xludf.DUMMYFUNCTION("""COMPUTED_VALUE"""),"-")</f>
        <v>-</v>
      </c>
      <c r="I5205" s="19">
        <f>IFERROR(__xludf.DUMMYFUNCTION("""COMPUTED_VALUE"""),0.00224)</f>
        <v>0.00224</v>
      </c>
      <c r="J5205" s="19">
        <f>IFERROR(__xludf.DUMMYFUNCTION("""COMPUTED_VALUE"""),0.0462)</f>
        <v>0.0462</v>
      </c>
      <c r="K5205" s="19" t="str">
        <f>IFERROR(__xludf.DUMMYFUNCTION("""COMPUTED_VALUE"""),"-")</f>
        <v>-</v>
      </c>
      <c r="L5205" s="19" t="str">
        <f>IFERROR(__xludf.DUMMYFUNCTION("""COMPUTED_VALUE"""),"-")</f>
        <v>-</v>
      </c>
      <c r="O5205" s="24">
        <f t="shared" si="4"/>
        <v>0</v>
      </c>
      <c r="P5205" s="24"/>
      <c r="Q5205" s="24">
        <f t="shared" si="6"/>
        <v>0</v>
      </c>
      <c r="R5205" s="24">
        <f t="shared" si="7"/>
        <v>0</v>
      </c>
      <c r="S5205" s="24"/>
      <c r="T5205" s="24"/>
    </row>
    <row r="5206">
      <c r="A5206" s="12" t="s">
        <v>5293</v>
      </c>
      <c r="F5206" s="19">
        <f>IFERROR(__xludf.DUMMYFUNCTION("SPLIT(A5202, "" |"")"),5200.0)</f>
        <v>5200</v>
      </c>
      <c r="G5206" s="19">
        <f>IFERROR(__xludf.DUMMYFUNCTION("""COMPUTED_VALUE"""),0.00238)</f>
        <v>0.00238</v>
      </c>
      <c r="H5206" s="19" t="str">
        <f>IFERROR(__xludf.DUMMYFUNCTION("""COMPUTED_VALUE"""),"-")</f>
        <v>-</v>
      </c>
      <c r="I5206" s="19">
        <f>IFERROR(__xludf.DUMMYFUNCTION("""COMPUTED_VALUE"""),0.00224)</f>
        <v>0.00224</v>
      </c>
      <c r="J5206" s="19">
        <f>IFERROR(__xludf.DUMMYFUNCTION("""COMPUTED_VALUE"""),0.04746)</f>
        <v>0.04746</v>
      </c>
      <c r="K5206" s="19" t="str">
        <f>IFERROR(__xludf.DUMMYFUNCTION("""COMPUTED_VALUE"""),"-")</f>
        <v>-</v>
      </c>
      <c r="L5206" s="19" t="str">
        <f>IFERROR(__xludf.DUMMYFUNCTION("""COMPUTED_VALUE"""),"-")</f>
        <v>-</v>
      </c>
      <c r="O5206" s="24">
        <f t="shared" si="4"/>
        <v>0</v>
      </c>
      <c r="P5206" s="24"/>
      <c r="Q5206" s="24">
        <f t="shared" si="6"/>
        <v>0</v>
      </c>
      <c r="R5206" s="24">
        <f t="shared" si="7"/>
        <v>0</v>
      </c>
      <c r="S5206" s="24"/>
      <c r="T5206" s="24"/>
    </row>
    <row r="5207">
      <c r="A5207" s="12" t="s">
        <v>5294</v>
      </c>
      <c r="F5207" s="19">
        <f>IFERROR(__xludf.DUMMYFUNCTION("SPLIT(A5203, "" |"")"),5201.0)</f>
        <v>5201</v>
      </c>
      <c r="G5207" s="19">
        <f>IFERROR(__xludf.DUMMYFUNCTION("""COMPUTED_VALUE"""),0.00236)</f>
        <v>0.00236</v>
      </c>
      <c r="H5207" s="19" t="str">
        <f>IFERROR(__xludf.DUMMYFUNCTION("""COMPUTED_VALUE"""),"-")</f>
        <v>-</v>
      </c>
      <c r="I5207" s="19">
        <f>IFERROR(__xludf.DUMMYFUNCTION("""COMPUTED_VALUE"""),0.00225)</f>
        <v>0.00225</v>
      </c>
      <c r="J5207" s="19">
        <f>IFERROR(__xludf.DUMMYFUNCTION("""COMPUTED_VALUE"""),0.04658)</f>
        <v>0.04658</v>
      </c>
      <c r="K5207" s="19" t="str">
        <f>IFERROR(__xludf.DUMMYFUNCTION("""COMPUTED_VALUE"""),"-")</f>
        <v>-</v>
      </c>
      <c r="L5207" s="19" t="str">
        <f>IFERROR(__xludf.DUMMYFUNCTION("""COMPUTED_VALUE"""),"-")</f>
        <v>-</v>
      </c>
      <c r="O5207" s="24">
        <f t="shared" si="4"/>
        <v>0</v>
      </c>
      <c r="P5207" s="24"/>
      <c r="Q5207" s="24">
        <f t="shared" si="6"/>
        <v>0</v>
      </c>
      <c r="R5207" s="24">
        <f t="shared" si="7"/>
        <v>0</v>
      </c>
      <c r="S5207" s="24"/>
      <c r="T5207" s="24"/>
    </row>
    <row r="5208">
      <c r="A5208" s="12" t="s">
        <v>5295</v>
      </c>
      <c r="F5208" s="19">
        <f>IFERROR(__xludf.DUMMYFUNCTION("SPLIT(A5204, "" |"")"),5202.0)</f>
        <v>5202</v>
      </c>
      <c r="G5208" s="19">
        <f>IFERROR(__xludf.DUMMYFUNCTION("""COMPUTED_VALUE"""),0.00244)</f>
        <v>0.00244</v>
      </c>
      <c r="H5208" s="19" t="str">
        <f>IFERROR(__xludf.DUMMYFUNCTION("""COMPUTED_VALUE"""),"-")</f>
        <v>-</v>
      </c>
      <c r="I5208" s="19">
        <f>IFERROR(__xludf.DUMMYFUNCTION("""COMPUTED_VALUE"""),0.00248)</f>
        <v>0.00248</v>
      </c>
      <c r="J5208" s="19">
        <f>IFERROR(__xludf.DUMMYFUNCTION("""COMPUTED_VALUE"""),0.04753)</f>
        <v>0.04753</v>
      </c>
      <c r="K5208" s="19" t="str">
        <f>IFERROR(__xludf.DUMMYFUNCTION("""COMPUTED_VALUE"""),"-")</f>
        <v>-</v>
      </c>
      <c r="L5208" s="19" t="str">
        <f>IFERROR(__xludf.DUMMYFUNCTION("""COMPUTED_VALUE"""),"-")</f>
        <v>-</v>
      </c>
      <c r="O5208" s="24">
        <f t="shared" si="4"/>
        <v>0</v>
      </c>
      <c r="P5208" s="24"/>
      <c r="Q5208" s="24">
        <f t="shared" si="6"/>
        <v>0</v>
      </c>
      <c r="R5208" s="24">
        <f t="shared" si="7"/>
        <v>0</v>
      </c>
      <c r="S5208" s="24"/>
      <c r="T5208" s="24"/>
    </row>
    <row r="5209">
      <c r="A5209" s="12" t="s">
        <v>5296</v>
      </c>
      <c r="F5209" s="19">
        <f>IFERROR(__xludf.DUMMYFUNCTION("SPLIT(A5205, "" |"")"),5203.0)</f>
        <v>5203</v>
      </c>
      <c r="G5209" s="19">
        <f>IFERROR(__xludf.DUMMYFUNCTION("""COMPUTED_VALUE"""),0.00232)</f>
        <v>0.00232</v>
      </c>
      <c r="H5209" s="19" t="str">
        <f>IFERROR(__xludf.DUMMYFUNCTION("""COMPUTED_VALUE"""),"-")</f>
        <v>-</v>
      </c>
      <c r="I5209" s="19">
        <f>IFERROR(__xludf.DUMMYFUNCTION("""COMPUTED_VALUE"""),0.00221)</f>
        <v>0.00221</v>
      </c>
      <c r="J5209" s="19">
        <f>IFERROR(__xludf.DUMMYFUNCTION("""COMPUTED_VALUE"""),0.04548)</f>
        <v>0.04548</v>
      </c>
      <c r="K5209" s="19" t="str">
        <f>IFERROR(__xludf.DUMMYFUNCTION("""COMPUTED_VALUE"""),"-")</f>
        <v>-</v>
      </c>
      <c r="L5209" s="19" t="str">
        <f>IFERROR(__xludf.DUMMYFUNCTION("""COMPUTED_VALUE"""),"-")</f>
        <v>-</v>
      </c>
      <c r="O5209" s="24">
        <f t="shared" si="4"/>
        <v>0</v>
      </c>
      <c r="P5209" s="24"/>
      <c r="Q5209" s="24">
        <f t="shared" si="6"/>
        <v>0</v>
      </c>
      <c r="R5209" s="24">
        <f t="shared" si="7"/>
        <v>0</v>
      </c>
      <c r="S5209" s="24"/>
      <c r="T5209" s="24"/>
    </row>
    <row r="5210">
      <c r="A5210" s="12" t="s">
        <v>5297</v>
      </c>
      <c r="F5210" s="19">
        <f>IFERROR(__xludf.DUMMYFUNCTION("SPLIT(A5206, "" |"")"),5204.0)</f>
        <v>5204</v>
      </c>
      <c r="G5210" s="19">
        <f>IFERROR(__xludf.DUMMYFUNCTION("""COMPUTED_VALUE"""),0.00239)</f>
        <v>0.00239</v>
      </c>
      <c r="H5210" s="19" t="str">
        <f>IFERROR(__xludf.DUMMYFUNCTION("""COMPUTED_VALUE"""),"-")</f>
        <v>-</v>
      </c>
      <c r="I5210" s="19">
        <f>IFERROR(__xludf.DUMMYFUNCTION("""COMPUTED_VALUE"""),0.00224)</f>
        <v>0.00224</v>
      </c>
      <c r="J5210" s="19">
        <f>IFERROR(__xludf.DUMMYFUNCTION("""COMPUTED_VALUE"""),0.0475)</f>
        <v>0.0475</v>
      </c>
      <c r="K5210" s="19" t="str">
        <f>IFERROR(__xludf.DUMMYFUNCTION("""COMPUTED_VALUE"""),"-")</f>
        <v>-</v>
      </c>
      <c r="L5210" s="19" t="str">
        <f>IFERROR(__xludf.DUMMYFUNCTION("""COMPUTED_VALUE"""),"-")</f>
        <v>-</v>
      </c>
      <c r="O5210" s="24">
        <f t="shared" si="4"/>
        <v>0</v>
      </c>
      <c r="P5210" s="24"/>
      <c r="Q5210" s="24">
        <f t="shared" si="6"/>
        <v>0</v>
      </c>
      <c r="R5210" s="24">
        <f t="shared" si="7"/>
        <v>0</v>
      </c>
      <c r="S5210" s="24"/>
      <c r="T5210" s="24"/>
    </row>
    <row r="5211">
      <c r="A5211" s="12" t="s">
        <v>5298</v>
      </c>
      <c r="F5211" s="19">
        <f>IFERROR(__xludf.DUMMYFUNCTION("SPLIT(A5207, "" |"")"),5205.0)</f>
        <v>5205</v>
      </c>
      <c r="G5211" s="19">
        <f>IFERROR(__xludf.DUMMYFUNCTION("""COMPUTED_VALUE"""),0.00234)</f>
        <v>0.00234</v>
      </c>
      <c r="H5211" s="19" t="str">
        <f>IFERROR(__xludf.DUMMYFUNCTION("""COMPUTED_VALUE"""),"-")</f>
        <v>-</v>
      </c>
      <c r="I5211" s="19">
        <f>IFERROR(__xludf.DUMMYFUNCTION("""COMPUTED_VALUE"""),0.00219)</f>
        <v>0.00219</v>
      </c>
      <c r="J5211" s="19">
        <f>IFERROR(__xludf.DUMMYFUNCTION("""COMPUTED_VALUE"""),0.04272)</f>
        <v>0.04272</v>
      </c>
      <c r="K5211" s="19" t="str">
        <f>IFERROR(__xludf.DUMMYFUNCTION("""COMPUTED_VALUE"""),"-")</f>
        <v>-</v>
      </c>
      <c r="L5211" s="19" t="str">
        <f>IFERROR(__xludf.DUMMYFUNCTION("""COMPUTED_VALUE"""),"-")</f>
        <v>-</v>
      </c>
      <c r="O5211" s="24">
        <f t="shared" si="4"/>
        <v>0</v>
      </c>
      <c r="P5211" s="24"/>
      <c r="Q5211" s="24">
        <f t="shared" si="6"/>
        <v>0</v>
      </c>
      <c r="R5211" s="24">
        <f t="shared" si="7"/>
        <v>1</v>
      </c>
      <c r="S5211" s="24"/>
      <c r="T5211" s="24"/>
    </row>
    <row r="5212">
      <c r="A5212" s="12" t="s">
        <v>5299</v>
      </c>
      <c r="F5212" s="19">
        <f>IFERROR(__xludf.DUMMYFUNCTION("SPLIT(A5208, "" |"")"),5206.0)</f>
        <v>5206</v>
      </c>
      <c r="G5212" s="19">
        <f>IFERROR(__xludf.DUMMYFUNCTION("""COMPUTED_VALUE"""),0.00238)</f>
        <v>0.00238</v>
      </c>
      <c r="H5212" s="19" t="str">
        <f>IFERROR(__xludf.DUMMYFUNCTION("""COMPUTED_VALUE"""),"-")</f>
        <v>-</v>
      </c>
      <c r="I5212" s="19">
        <f>IFERROR(__xludf.DUMMYFUNCTION("""COMPUTED_VALUE"""),0.00219)</f>
        <v>0.00219</v>
      </c>
      <c r="J5212" s="19">
        <f>IFERROR(__xludf.DUMMYFUNCTION("""COMPUTED_VALUE"""),0.04743)</f>
        <v>0.04743</v>
      </c>
      <c r="K5212" s="19" t="str">
        <f>IFERROR(__xludf.DUMMYFUNCTION("""COMPUTED_VALUE"""),"-")</f>
        <v>-</v>
      </c>
      <c r="L5212" s="19" t="str">
        <f>IFERROR(__xludf.DUMMYFUNCTION("""COMPUTED_VALUE"""),"-")</f>
        <v>-</v>
      </c>
      <c r="O5212" s="24">
        <f t="shared" si="4"/>
        <v>0</v>
      </c>
      <c r="P5212" s="24"/>
      <c r="Q5212" s="24">
        <f t="shared" si="6"/>
        <v>0</v>
      </c>
      <c r="R5212" s="24">
        <f t="shared" si="7"/>
        <v>0</v>
      </c>
      <c r="S5212" s="24"/>
      <c r="T5212" s="24"/>
    </row>
    <row r="5213">
      <c r="A5213" s="12" t="s">
        <v>5300</v>
      </c>
      <c r="F5213" s="19">
        <f>IFERROR(__xludf.DUMMYFUNCTION("SPLIT(A5209, "" |"")"),5207.0)</f>
        <v>5207</v>
      </c>
      <c r="G5213" s="19">
        <f>IFERROR(__xludf.DUMMYFUNCTION("""COMPUTED_VALUE"""),0.00232)</f>
        <v>0.00232</v>
      </c>
      <c r="H5213" s="19" t="str">
        <f>IFERROR(__xludf.DUMMYFUNCTION("""COMPUTED_VALUE"""),"-")</f>
        <v>-</v>
      </c>
      <c r="I5213" s="19">
        <f>IFERROR(__xludf.DUMMYFUNCTION("""COMPUTED_VALUE"""),0.00222)</f>
        <v>0.00222</v>
      </c>
      <c r="J5213" s="19">
        <f>IFERROR(__xludf.DUMMYFUNCTION("""COMPUTED_VALUE"""),0.04749)</f>
        <v>0.04749</v>
      </c>
      <c r="K5213" s="19" t="str">
        <f>IFERROR(__xludf.DUMMYFUNCTION("""COMPUTED_VALUE"""),"-")</f>
        <v>-</v>
      </c>
      <c r="L5213" s="19" t="str">
        <f>IFERROR(__xludf.DUMMYFUNCTION("""COMPUTED_VALUE"""),"-")</f>
        <v>-</v>
      </c>
      <c r="O5213" s="24">
        <f t="shared" si="4"/>
        <v>0</v>
      </c>
      <c r="P5213" s="24"/>
      <c r="Q5213" s="24">
        <f t="shared" si="6"/>
        <v>0</v>
      </c>
      <c r="R5213" s="24">
        <f t="shared" si="7"/>
        <v>0</v>
      </c>
      <c r="S5213" s="24"/>
      <c r="T5213" s="24"/>
    </row>
    <row r="5214">
      <c r="A5214" s="12" t="s">
        <v>5301</v>
      </c>
      <c r="F5214" s="19">
        <f>IFERROR(__xludf.DUMMYFUNCTION("SPLIT(A5210, "" |"")"),5208.0)</f>
        <v>5208</v>
      </c>
      <c r="G5214" s="19">
        <f>IFERROR(__xludf.DUMMYFUNCTION("""COMPUTED_VALUE"""),0.00232)</f>
        <v>0.00232</v>
      </c>
      <c r="H5214" s="19" t="str">
        <f>IFERROR(__xludf.DUMMYFUNCTION("""COMPUTED_VALUE"""),"-")</f>
        <v>-</v>
      </c>
      <c r="I5214" s="19">
        <f>IFERROR(__xludf.DUMMYFUNCTION("""COMPUTED_VALUE"""),0.00222)</f>
        <v>0.00222</v>
      </c>
      <c r="J5214" s="19">
        <f>IFERROR(__xludf.DUMMYFUNCTION("""COMPUTED_VALUE"""),0.04734)</f>
        <v>0.04734</v>
      </c>
      <c r="K5214" s="19" t="str">
        <f>IFERROR(__xludf.DUMMYFUNCTION("""COMPUTED_VALUE"""),"-")</f>
        <v>-</v>
      </c>
      <c r="L5214" s="19" t="str">
        <f>IFERROR(__xludf.DUMMYFUNCTION("""COMPUTED_VALUE"""),"-")</f>
        <v>-</v>
      </c>
      <c r="O5214" s="24">
        <f t="shared" si="4"/>
        <v>0</v>
      </c>
      <c r="P5214" s="24"/>
      <c r="Q5214" s="24">
        <f t="shared" si="6"/>
        <v>0</v>
      </c>
      <c r="R5214" s="24">
        <f t="shared" si="7"/>
        <v>0</v>
      </c>
      <c r="S5214" s="24"/>
      <c r="T5214" s="24"/>
    </row>
    <row r="5215">
      <c r="A5215" s="12" t="s">
        <v>5302</v>
      </c>
      <c r="F5215" s="19">
        <f>IFERROR(__xludf.DUMMYFUNCTION("SPLIT(A5211, "" |"")"),5209.0)</f>
        <v>5209</v>
      </c>
      <c r="G5215" s="19">
        <f>IFERROR(__xludf.DUMMYFUNCTION("""COMPUTED_VALUE"""),0.00237)</f>
        <v>0.00237</v>
      </c>
      <c r="H5215" s="19" t="str">
        <f>IFERROR(__xludf.DUMMYFUNCTION("""COMPUTED_VALUE"""),"-")</f>
        <v>-</v>
      </c>
      <c r="I5215" s="19">
        <f>IFERROR(__xludf.DUMMYFUNCTION("""COMPUTED_VALUE"""),0.00227)</f>
        <v>0.00227</v>
      </c>
      <c r="J5215" s="19">
        <f>IFERROR(__xludf.DUMMYFUNCTION("""COMPUTED_VALUE"""),0.04244)</f>
        <v>0.04244</v>
      </c>
      <c r="K5215" s="19" t="str">
        <f>IFERROR(__xludf.DUMMYFUNCTION("""COMPUTED_VALUE"""),"-")</f>
        <v>-</v>
      </c>
      <c r="L5215" s="19" t="str">
        <f>IFERROR(__xludf.DUMMYFUNCTION("""COMPUTED_VALUE"""),"-")</f>
        <v>-</v>
      </c>
      <c r="O5215" s="24">
        <f t="shared" si="4"/>
        <v>0</v>
      </c>
      <c r="P5215" s="24"/>
      <c r="Q5215" s="24">
        <f t="shared" si="6"/>
        <v>0</v>
      </c>
      <c r="R5215" s="24">
        <f t="shared" si="7"/>
        <v>1</v>
      </c>
      <c r="S5215" s="24"/>
      <c r="T5215" s="24"/>
    </row>
    <row r="5216">
      <c r="A5216" s="12" t="s">
        <v>5303</v>
      </c>
      <c r="F5216" s="19">
        <f>IFERROR(__xludf.DUMMYFUNCTION("SPLIT(A5212, "" |"")"),5210.0)</f>
        <v>5210</v>
      </c>
      <c r="G5216" s="19">
        <f>IFERROR(__xludf.DUMMYFUNCTION("""COMPUTED_VALUE"""),0.00237)</f>
        <v>0.00237</v>
      </c>
      <c r="H5216" s="19" t="str">
        <f>IFERROR(__xludf.DUMMYFUNCTION("""COMPUTED_VALUE"""),"-")</f>
        <v>-</v>
      </c>
      <c r="I5216" s="19">
        <f>IFERROR(__xludf.DUMMYFUNCTION("""COMPUTED_VALUE"""),0.00223)</f>
        <v>0.00223</v>
      </c>
      <c r="J5216" s="19">
        <f>IFERROR(__xludf.DUMMYFUNCTION("""COMPUTED_VALUE"""),0.04733)</f>
        <v>0.04733</v>
      </c>
      <c r="K5216" s="19" t="str">
        <f>IFERROR(__xludf.DUMMYFUNCTION("""COMPUTED_VALUE"""),"-")</f>
        <v>-</v>
      </c>
      <c r="L5216" s="19" t="str">
        <f>IFERROR(__xludf.DUMMYFUNCTION("""COMPUTED_VALUE"""),"-")</f>
        <v>-</v>
      </c>
      <c r="O5216" s="24">
        <f t="shared" si="4"/>
        <v>0</v>
      </c>
      <c r="P5216" s="24"/>
      <c r="Q5216" s="24">
        <f t="shared" si="6"/>
        <v>0</v>
      </c>
      <c r="R5216" s="24">
        <f t="shared" si="7"/>
        <v>0</v>
      </c>
      <c r="S5216" s="24"/>
      <c r="T5216" s="24"/>
    </row>
    <row r="5217">
      <c r="A5217" s="12" t="s">
        <v>5304</v>
      </c>
      <c r="F5217" s="19">
        <f>IFERROR(__xludf.DUMMYFUNCTION("SPLIT(A5213, "" |"")"),5211.0)</f>
        <v>5211</v>
      </c>
      <c r="G5217" s="19">
        <f>IFERROR(__xludf.DUMMYFUNCTION("""COMPUTED_VALUE"""),0.00237)</f>
        <v>0.00237</v>
      </c>
      <c r="H5217" s="19" t="str">
        <f>IFERROR(__xludf.DUMMYFUNCTION("""COMPUTED_VALUE"""),"-")</f>
        <v>-</v>
      </c>
      <c r="I5217" s="19">
        <f>IFERROR(__xludf.DUMMYFUNCTION("""COMPUTED_VALUE"""),0.00224)</f>
        <v>0.00224</v>
      </c>
      <c r="J5217" s="19">
        <f>IFERROR(__xludf.DUMMYFUNCTION("""COMPUTED_VALUE"""),0.04646)</f>
        <v>0.04646</v>
      </c>
      <c r="K5217" s="19" t="str">
        <f>IFERROR(__xludf.DUMMYFUNCTION("""COMPUTED_VALUE"""),"-")</f>
        <v>-</v>
      </c>
      <c r="L5217" s="19" t="str">
        <f>IFERROR(__xludf.DUMMYFUNCTION("""COMPUTED_VALUE"""),"-")</f>
        <v>-</v>
      </c>
      <c r="O5217" s="24">
        <f t="shared" si="4"/>
        <v>0</v>
      </c>
      <c r="P5217" s="24"/>
      <c r="Q5217" s="24">
        <f t="shared" si="6"/>
        <v>0</v>
      </c>
      <c r="R5217" s="24">
        <f t="shared" si="7"/>
        <v>0</v>
      </c>
      <c r="S5217" s="24"/>
      <c r="T5217" s="24"/>
    </row>
    <row r="5218">
      <c r="A5218" s="12" t="s">
        <v>5305</v>
      </c>
      <c r="F5218" s="19">
        <f>IFERROR(__xludf.DUMMYFUNCTION("SPLIT(A5214, "" |"")"),5212.0)</f>
        <v>5212</v>
      </c>
      <c r="G5218" s="19">
        <f>IFERROR(__xludf.DUMMYFUNCTION("""COMPUTED_VALUE"""),0.00223)</f>
        <v>0.00223</v>
      </c>
      <c r="H5218" s="19" t="str">
        <f>IFERROR(__xludf.DUMMYFUNCTION("""COMPUTED_VALUE"""),"-")</f>
        <v>-</v>
      </c>
      <c r="I5218" s="19">
        <f>IFERROR(__xludf.DUMMYFUNCTION("""COMPUTED_VALUE"""),0.0022)</f>
        <v>0.0022</v>
      </c>
      <c r="J5218" s="19">
        <f>IFERROR(__xludf.DUMMYFUNCTION("""COMPUTED_VALUE"""),0.04742)</f>
        <v>0.04742</v>
      </c>
      <c r="K5218" s="19" t="str">
        <f>IFERROR(__xludf.DUMMYFUNCTION("""COMPUTED_VALUE"""),"-")</f>
        <v>-</v>
      </c>
      <c r="L5218" s="19" t="str">
        <f>IFERROR(__xludf.DUMMYFUNCTION("""COMPUTED_VALUE"""),"-")</f>
        <v>-</v>
      </c>
      <c r="O5218" s="24">
        <f t="shared" si="4"/>
        <v>0</v>
      </c>
      <c r="P5218" s="24"/>
      <c r="Q5218" s="24">
        <f t="shared" si="6"/>
        <v>0</v>
      </c>
      <c r="R5218" s="24">
        <f t="shared" si="7"/>
        <v>0</v>
      </c>
      <c r="S5218" s="24"/>
      <c r="T5218" s="24"/>
    </row>
    <row r="5219">
      <c r="A5219" s="12" t="s">
        <v>5306</v>
      </c>
      <c r="F5219" s="19">
        <f>IFERROR(__xludf.DUMMYFUNCTION("SPLIT(A5215, "" |"")"),5213.0)</f>
        <v>5213</v>
      </c>
      <c r="G5219" s="19">
        <f>IFERROR(__xludf.DUMMYFUNCTION("""COMPUTED_VALUE"""),0.00237)</f>
        <v>0.00237</v>
      </c>
      <c r="H5219" s="19" t="str">
        <f>IFERROR(__xludf.DUMMYFUNCTION("""COMPUTED_VALUE"""),"-")</f>
        <v>-</v>
      </c>
      <c r="I5219" s="19">
        <f>IFERROR(__xludf.DUMMYFUNCTION("""COMPUTED_VALUE"""),0.00222)</f>
        <v>0.00222</v>
      </c>
      <c r="J5219" s="19">
        <f>IFERROR(__xludf.DUMMYFUNCTION("""COMPUTED_VALUE"""),0.04135)</f>
        <v>0.04135</v>
      </c>
      <c r="K5219" s="19" t="str">
        <f>IFERROR(__xludf.DUMMYFUNCTION("""COMPUTED_VALUE"""),"-")</f>
        <v>-</v>
      </c>
      <c r="L5219" s="19" t="str">
        <f>IFERROR(__xludf.DUMMYFUNCTION("""COMPUTED_VALUE"""),"-")</f>
        <v>-</v>
      </c>
      <c r="O5219" s="24">
        <f t="shared" si="4"/>
        <v>0</v>
      </c>
      <c r="P5219" s="24"/>
      <c r="Q5219" s="24">
        <f t="shared" si="6"/>
        <v>0</v>
      </c>
      <c r="R5219" s="24">
        <f t="shared" si="7"/>
        <v>1</v>
      </c>
      <c r="S5219" s="24"/>
      <c r="T5219" s="24"/>
    </row>
    <row r="5220">
      <c r="A5220" s="12" t="s">
        <v>5307</v>
      </c>
      <c r="F5220" s="19">
        <f>IFERROR(__xludf.DUMMYFUNCTION("SPLIT(A5216, "" |"")"),5214.0)</f>
        <v>5214</v>
      </c>
      <c r="G5220" s="19">
        <f>IFERROR(__xludf.DUMMYFUNCTION("""COMPUTED_VALUE"""),0.00235)</f>
        <v>0.00235</v>
      </c>
      <c r="H5220" s="19" t="str">
        <f>IFERROR(__xludf.DUMMYFUNCTION("""COMPUTED_VALUE"""),"-")</f>
        <v>-</v>
      </c>
      <c r="I5220" s="19">
        <f>IFERROR(__xludf.DUMMYFUNCTION("""COMPUTED_VALUE"""),0.00219)</f>
        <v>0.00219</v>
      </c>
      <c r="J5220" s="19">
        <f>IFERROR(__xludf.DUMMYFUNCTION("""COMPUTED_VALUE"""),0.04112)</f>
        <v>0.04112</v>
      </c>
      <c r="K5220" s="19" t="str">
        <f>IFERROR(__xludf.DUMMYFUNCTION("""COMPUTED_VALUE"""),"-")</f>
        <v>-</v>
      </c>
      <c r="L5220" s="19" t="str">
        <f>IFERROR(__xludf.DUMMYFUNCTION("""COMPUTED_VALUE"""),"-")</f>
        <v>-</v>
      </c>
      <c r="O5220" s="24">
        <f t="shared" si="4"/>
        <v>0</v>
      </c>
      <c r="P5220" s="24"/>
      <c r="Q5220" s="24">
        <f t="shared" si="6"/>
        <v>0</v>
      </c>
      <c r="R5220" s="24">
        <f t="shared" si="7"/>
        <v>1</v>
      </c>
      <c r="S5220" s="24"/>
      <c r="T5220" s="24"/>
    </row>
    <row r="5221">
      <c r="A5221" s="12" t="s">
        <v>5308</v>
      </c>
      <c r="F5221" s="19">
        <f>IFERROR(__xludf.DUMMYFUNCTION("SPLIT(A5217, "" |"")"),5215.0)</f>
        <v>5215</v>
      </c>
      <c r="G5221" s="19">
        <f>IFERROR(__xludf.DUMMYFUNCTION("""COMPUTED_VALUE"""),0.00229)</f>
        <v>0.00229</v>
      </c>
      <c r="H5221" s="19" t="str">
        <f>IFERROR(__xludf.DUMMYFUNCTION("""COMPUTED_VALUE"""),"-")</f>
        <v>-</v>
      </c>
      <c r="I5221" s="19">
        <f>IFERROR(__xludf.DUMMYFUNCTION("""COMPUTED_VALUE"""),0.00219)</f>
        <v>0.00219</v>
      </c>
      <c r="J5221" s="19">
        <f>IFERROR(__xludf.DUMMYFUNCTION("""COMPUTED_VALUE"""),0.04742)</f>
        <v>0.04742</v>
      </c>
      <c r="K5221" s="19" t="str">
        <f>IFERROR(__xludf.DUMMYFUNCTION("""COMPUTED_VALUE"""),"-")</f>
        <v>-</v>
      </c>
      <c r="L5221" s="19" t="str">
        <f>IFERROR(__xludf.DUMMYFUNCTION("""COMPUTED_VALUE"""),"-")</f>
        <v>-</v>
      </c>
      <c r="O5221" s="24">
        <f t="shared" si="4"/>
        <v>0</v>
      </c>
      <c r="P5221" s="24"/>
      <c r="Q5221" s="24">
        <f t="shared" si="6"/>
        <v>0</v>
      </c>
      <c r="R5221" s="24">
        <f t="shared" si="7"/>
        <v>0</v>
      </c>
      <c r="S5221" s="24"/>
      <c r="T5221" s="24"/>
    </row>
    <row r="5222">
      <c r="A5222" s="12" t="s">
        <v>5309</v>
      </c>
      <c r="F5222" s="19">
        <f>IFERROR(__xludf.DUMMYFUNCTION("SPLIT(A5218, "" |"")"),5216.0)</f>
        <v>5216</v>
      </c>
      <c r="G5222" s="19">
        <f>IFERROR(__xludf.DUMMYFUNCTION("""COMPUTED_VALUE"""),0.00234)</f>
        <v>0.00234</v>
      </c>
      <c r="H5222" s="19" t="str">
        <f>IFERROR(__xludf.DUMMYFUNCTION("""COMPUTED_VALUE"""),"-")</f>
        <v>-</v>
      </c>
      <c r="I5222" s="19">
        <f>IFERROR(__xludf.DUMMYFUNCTION("""COMPUTED_VALUE"""),0.0022)</f>
        <v>0.0022</v>
      </c>
      <c r="J5222" s="19">
        <f>IFERROR(__xludf.DUMMYFUNCTION("""COMPUTED_VALUE"""),0.04575)</f>
        <v>0.04575</v>
      </c>
      <c r="K5222" s="19" t="str">
        <f>IFERROR(__xludf.DUMMYFUNCTION("""COMPUTED_VALUE"""),"-")</f>
        <v>-</v>
      </c>
      <c r="L5222" s="19" t="str">
        <f>IFERROR(__xludf.DUMMYFUNCTION("""COMPUTED_VALUE"""),"-")</f>
        <v>-</v>
      </c>
      <c r="O5222" s="24">
        <f t="shared" si="4"/>
        <v>0</v>
      </c>
      <c r="P5222" s="24"/>
      <c r="Q5222" s="24">
        <f t="shared" si="6"/>
        <v>0</v>
      </c>
      <c r="R5222" s="24">
        <f t="shared" si="7"/>
        <v>0</v>
      </c>
      <c r="S5222" s="24"/>
      <c r="T5222" s="24"/>
    </row>
    <row r="5223">
      <c r="A5223" s="12" t="s">
        <v>5310</v>
      </c>
      <c r="F5223" s="19">
        <f>IFERROR(__xludf.DUMMYFUNCTION("SPLIT(A5219, "" |"")"),5217.0)</f>
        <v>5217</v>
      </c>
      <c r="G5223" s="19">
        <f>IFERROR(__xludf.DUMMYFUNCTION("""COMPUTED_VALUE"""),0.00236)</f>
        <v>0.00236</v>
      </c>
      <c r="H5223" s="19" t="str">
        <f>IFERROR(__xludf.DUMMYFUNCTION("""COMPUTED_VALUE"""),"-")</f>
        <v>-</v>
      </c>
      <c r="I5223" s="19">
        <f>IFERROR(__xludf.DUMMYFUNCTION("""COMPUTED_VALUE"""),0.00223)</f>
        <v>0.00223</v>
      </c>
      <c r="J5223" s="19">
        <f>IFERROR(__xludf.DUMMYFUNCTION("""COMPUTED_VALUE"""),0.04741)</f>
        <v>0.04741</v>
      </c>
      <c r="K5223" s="19" t="str">
        <f>IFERROR(__xludf.DUMMYFUNCTION("""COMPUTED_VALUE"""),"-")</f>
        <v>-</v>
      </c>
      <c r="L5223" s="19" t="str">
        <f>IFERROR(__xludf.DUMMYFUNCTION("""COMPUTED_VALUE"""),"-")</f>
        <v>-</v>
      </c>
      <c r="O5223" s="24">
        <f t="shared" si="4"/>
        <v>0</v>
      </c>
      <c r="P5223" s="24"/>
      <c r="Q5223" s="24">
        <f t="shared" si="6"/>
        <v>0</v>
      </c>
      <c r="R5223" s="24">
        <f t="shared" si="7"/>
        <v>0</v>
      </c>
      <c r="S5223" s="24"/>
      <c r="T5223" s="24"/>
    </row>
    <row r="5224">
      <c r="A5224" s="12" t="s">
        <v>5311</v>
      </c>
      <c r="F5224" s="19">
        <f>IFERROR(__xludf.DUMMYFUNCTION("SPLIT(A5220, "" |"")"),5218.0)</f>
        <v>5218</v>
      </c>
      <c r="G5224" s="19">
        <f>IFERROR(__xludf.DUMMYFUNCTION("""COMPUTED_VALUE"""),0.00239)</f>
        <v>0.00239</v>
      </c>
      <c r="H5224" s="19" t="str">
        <f>IFERROR(__xludf.DUMMYFUNCTION("""COMPUTED_VALUE"""),"-")</f>
        <v>-</v>
      </c>
      <c r="I5224" s="19">
        <f>IFERROR(__xludf.DUMMYFUNCTION("""COMPUTED_VALUE"""),0.0023)</f>
        <v>0.0023</v>
      </c>
      <c r="J5224" s="19">
        <f>IFERROR(__xludf.DUMMYFUNCTION("""COMPUTED_VALUE"""),0.04742)</f>
        <v>0.04742</v>
      </c>
      <c r="K5224" s="19" t="str">
        <f>IFERROR(__xludf.DUMMYFUNCTION("""COMPUTED_VALUE"""),"-")</f>
        <v>-</v>
      </c>
      <c r="L5224" s="19" t="str">
        <f>IFERROR(__xludf.DUMMYFUNCTION("""COMPUTED_VALUE"""),"-")</f>
        <v>-</v>
      </c>
      <c r="O5224" s="24">
        <f t="shared" si="4"/>
        <v>0</v>
      </c>
      <c r="P5224" s="24"/>
      <c r="Q5224" s="24">
        <f t="shared" si="6"/>
        <v>0</v>
      </c>
      <c r="R5224" s="24">
        <f t="shared" si="7"/>
        <v>0</v>
      </c>
      <c r="S5224" s="24"/>
      <c r="T5224" s="24"/>
    </row>
    <row r="5225">
      <c r="A5225" s="12" t="s">
        <v>5312</v>
      </c>
      <c r="F5225" s="19">
        <f>IFERROR(__xludf.DUMMYFUNCTION("SPLIT(A5221, "" |"")"),5219.0)</f>
        <v>5219</v>
      </c>
      <c r="G5225" s="19">
        <f>IFERROR(__xludf.DUMMYFUNCTION("""COMPUTED_VALUE"""),0.00236)</f>
        <v>0.00236</v>
      </c>
      <c r="H5225" s="19" t="str">
        <f>IFERROR(__xludf.DUMMYFUNCTION("""COMPUTED_VALUE"""),"-")</f>
        <v>-</v>
      </c>
      <c r="I5225" s="19">
        <f>IFERROR(__xludf.DUMMYFUNCTION("""COMPUTED_VALUE"""),0.00222)</f>
        <v>0.00222</v>
      </c>
      <c r="J5225" s="19">
        <f>IFERROR(__xludf.DUMMYFUNCTION("""COMPUTED_VALUE"""),0.04502)</f>
        <v>0.04502</v>
      </c>
      <c r="K5225" s="19" t="str">
        <f>IFERROR(__xludf.DUMMYFUNCTION("""COMPUTED_VALUE"""),"-")</f>
        <v>-</v>
      </c>
      <c r="L5225" s="19" t="str">
        <f>IFERROR(__xludf.DUMMYFUNCTION("""COMPUTED_VALUE"""),"-")</f>
        <v>-</v>
      </c>
      <c r="O5225" s="24">
        <f t="shared" si="4"/>
        <v>0</v>
      </c>
      <c r="P5225" s="24"/>
      <c r="Q5225" s="24">
        <f t="shared" si="6"/>
        <v>0</v>
      </c>
      <c r="R5225" s="24">
        <f t="shared" si="7"/>
        <v>0</v>
      </c>
      <c r="S5225" s="24"/>
      <c r="T5225" s="24"/>
    </row>
    <row r="5226">
      <c r="A5226" s="12" t="s">
        <v>5313</v>
      </c>
      <c r="F5226" s="19">
        <f>IFERROR(__xludf.DUMMYFUNCTION("SPLIT(A5222, "" |"")"),5220.0)</f>
        <v>5220</v>
      </c>
      <c r="G5226" s="19">
        <f>IFERROR(__xludf.DUMMYFUNCTION("""COMPUTED_VALUE"""),0.00233)</f>
        <v>0.00233</v>
      </c>
      <c r="H5226" s="19" t="str">
        <f>IFERROR(__xludf.DUMMYFUNCTION("""COMPUTED_VALUE"""),"-")</f>
        <v>-</v>
      </c>
      <c r="I5226" s="19">
        <f>IFERROR(__xludf.DUMMYFUNCTION("""COMPUTED_VALUE"""),0.00218)</f>
        <v>0.00218</v>
      </c>
      <c r="J5226" s="19">
        <f>IFERROR(__xludf.DUMMYFUNCTION("""COMPUTED_VALUE"""),0.0474)</f>
        <v>0.0474</v>
      </c>
      <c r="K5226" s="19" t="str">
        <f>IFERROR(__xludf.DUMMYFUNCTION("""COMPUTED_VALUE"""),"-")</f>
        <v>-</v>
      </c>
      <c r="L5226" s="19" t="str">
        <f>IFERROR(__xludf.DUMMYFUNCTION("""COMPUTED_VALUE"""),"-")</f>
        <v>-</v>
      </c>
      <c r="O5226" s="24">
        <f t="shared" si="4"/>
        <v>0</v>
      </c>
      <c r="P5226" s="24"/>
      <c r="Q5226" s="24">
        <f t="shared" si="6"/>
        <v>0</v>
      </c>
      <c r="R5226" s="24">
        <f t="shared" si="7"/>
        <v>0</v>
      </c>
      <c r="S5226" s="24"/>
      <c r="T5226" s="24"/>
    </row>
    <row r="5227">
      <c r="A5227" s="12" t="s">
        <v>5314</v>
      </c>
      <c r="F5227" s="19">
        <f>IFERROR(__xludf.DUMMYFUNCTION("SPLIT(A5223, "" |"")"),5221.0)</f>
        <v>5221</v>
      </c>
      <c r="G5227" s="19">
        <f>IFERROR(__xludf.DUMMYFUNCTION("""COMPUTED_VALUE"""),0.00236)</f>
        <v>0.00236</v>
      </c>
      <c r="H5227" s="19" t="str">
        <f>IFERROR(__xludf.DUMMYFUNCTION("""COMPUTED_VALUE"""),"-")</f>
        <v>-</v>
      </c>
      <c r="I5227" s="19">
        <f>IFERROR(__xludf.DUMMYFUNCTION("""COMPUTED_VALUE"""),0.00224)</f>
        <v>0.00224</v>
      </c>
      <c r="J5227" s="19">
        <f>IFERROR(__xludf.DUMMYFUNCTION("""COMPUTED_VALUE"""),0.04446)</f>
        <v>0.04446</v>
      </c>
      <c r="K5227" s="19" t="str">
        <f>IFERROR(__xludf.DUMMYFUNCTION("""COMPUTED_VALUE"""),"-")</f>
        <v>-</v>
      </c>
      <c r="L5227" s="19" t="str">
        <f>IFERROR(__xludf.DUMMYFUNCTION("""COMPUTED_VALUE"""),"-")</f>
        <v>-</v>
      </c>
      <c r="O5227" s="24">
        <f t="shared" si="4"/>
        <v>0</v>
      </c>
      <c r="P5227" s="24"/>
      <c r="Q5227" s="24">
        <f t="shared" si="6"/>
        <v>0</v>
      </c>
      <c r="R5227" s="24">
        <f t="shared" si="7"/>
        <v>1</v>
      </c>
      <c r="S5227" s="24"/>
      <c r="T5227" s="24"/>
    </row>
    <row r="5228">
      <c r="A5228" s="12" t="s">
        <v>5315</v>
      </c>
      <c r="F5228" s="19">
        <f>IFERROR(__xludf.DUMMYFUNCTION("SPLIT(A5224, "" |"")"),5222.0)</f>
        <v>5222</v>
      </c>
      <c r="G5228" s="19">
        <f>IFERROR(__xludf.DUMMYFUNCTION("""COMPUTED_VALUE"""),0.00224)</f>
        <v>0.00224</v>
      </c>
      <c r="H5228" s="19" t="str">
        <f>IFERROR(__xludf.DUMMYFUNCTION("""COMPUTED_VALUE"""),"-")</f>
        <v>-</v>
      </c>
      <c r="I5228" s="19">
        <f>IFERROR(__xludf.DUMMYFUNCTION("""COMPUTED_VALUE"""),0.00214)</f>
        <v>0.00214</v>
      </c>
      <c r="J5228" s="19">
        <f>IFERROR(__xludf.DUMMYFUNCTION("""COMPUTED_VALUE"""),0.0475)</f>
        <v>0.0475</v>
      </c>
      <c r="K5228" s="19" t="str">
        <f>IFERROR(__xludf.DUMMYFUNCTION("""COMPUTED_VALUE"""),"-")</f>
        <v>-</v>
      </c>
      <c r="L5228" s="19" t="str">
        <f>IFERROR(__xludf.DUMMYFUNCTION("""COMPUTED_VALUE"""),"-")</f>
        <v>-</v>
      </c>
      <c r="O5228" s="24">
        <f t="shared" si="4"/>
        <v>0</v>
      </c>
      <c r="P5228" s="24"/>
      <c r="Q5228" s="24">
        <f t="shared" si="6"/>
        <v>0</v>
      </c>
      <c r="R5228" s="24">
        <f t="shared" si="7"/>
        <v>0</v>
      </c>
      <c r="S5228" s="24"/>
      <c r="T5228" s="24"/>
    </row>
    <row r="5229">
      <c r="A5229" s="12" t="s">
        <v>5316</v>
      </c>
      <c r="F5229" s="19">
        <f>IFERROR(__xludf.DUMMYFUNCTION("SPLIT(A5225, "" |"")"),5223.0)</f>
        <v>5223</v>
      </c>
      <c r="G5229" s="19">
        <f>IFERROR(__xludf.DUMMYFUNCTION("""COMPUTED_VALUE"""),0.00229)</f>
        <v>0.00229</v>
      </c>
      <c r="H5229" s="19" t="str">
        <f>IFERROR(__xludf.DUMMYFUNCTION("""COMPUTED_VALUE"""),"-")</f>
        <v>-</v>
      </c>
      <c r="I5229" s="19">
        <f>IFERROR(__xludf.DUMMYFUNCTION("""COMPUTED_VALUE"""),0.00223)</f>
        <v>0.00223</v>
      </c>
      <c r="J5229" s="19">
        <f>IFERROR(__xludf.DUMMYFUNCTION("""COMPUTED_VALUE"""),0.04592)</f>
        <v>0.04592</v>
      </c>
      <c r="K5229" s="19" t="str">
        <f>IFERROR(__xludf.DUMMYFUNCTION("""COMPUTED_VALUE"""),"-")</f>
        <v>-</v>
      </c>
      <c r="L5229" s="19" t="str">
        <f>IFERROR(__xludf.DUMMYFUNCTION("""COMPUTED_VALUE"""),"-")</f>
        <v>-</v>
      </c>
      <c r="O5229" s="24">
        <f t="shared" si="4"/>
        <v>0</v>
      </c>
      <c r="P5229" s="24"/>
      <c r="Q5229" s="24">
        <f t="shared" si="6"/>
        <v>0</v>
      </c>
      <c r="R5229" s="24">
        <f t="shared" si="7"/>
        <v>0</v>
      </c>
      <c r="S5229" s="24"/>
      <c r="T5229" s="24"/>
    </row>
    <row r="5230">
      <c r="A5230" s="12" t="s">
        <v>5317</v>
      </c>
      <c r="F5230" s="19">
        <f>IFERROR(__xludf.DUMMYFUNCTION("SPLIT(A5226, "" |"")"),5224.0)</f>
        <v>5224</v>
      </c>
      <c r="G5230" s="19">
        <f>IFERROR(__xludf.DUMMYFUNCTION("""COMPUTED_VALUE"""),0.00245)</f>
        <v>0.00245</v>
      </c>
      <c r="H5230" s="19" t="str">
        <f>IFERROR(__xludf.DUMMYFUNCTION("""COMPUTED_VALUE"""),"-")</f>
        <v>-</v>
      </c>
      <c r="I5230" s="19">
        <f>IFERROR(__xludf.DUMMYFUNCTION("""COMPUTED_VALUE"""),0.00234)</f>
        <v>0.00234</v>
      </c>
      <c r="J5230" s="19">
        <f>IFERROR(__xludf.DUMMYFUNCTION("""COMPUTED_VALUE"""),0.04743)</f>
        <v>0.04743</v>
      </c>
      <c r="K5230" s="19" t="str">
        <f>IFERROR(__xludf.DUMMYFUNCTION("""COMPUTED_VALUE"""),"-")</f>
        <v>-</v>
      </c>
      <c r="L5230" s="19" t="str">
        <f>IFERROR(__xludf.DUMMYFUNCTION("""COMPUTED_VALUE"""),"-")</f>
        <v>-</v>
      </c>
      <c r="O5230" s="24">
        <f t="shared" si="4"/>
        <v>0</v>
      </c>
      <c r="P5230" s="24"/>
      <c r="Q5230" s="24">
        <f t="shared" si="6"/>
        <v>0</v>
      </c>
      <c r="R5230" s="24">
        <f t="shared" si="7"/>
        <v>0</v>
      </c>
      <c r="S5230" s="24"/>
      <c r="T5230" s="24"/>
    </row>
    <row r="5231">
      <c r="A5231" s="12" t="s">
        <v>5318</v>
      </c>
      <c r="F5231" s="19">
        <f>IFERROR(__xludf.DUMMYFUNCTION("SPLIT(A5227, "" |"")"),5225.0)</f>
        <v>5225</v>
      </c>
      <c r="G5231" s="19">
        <f>IFERROR(__xludf.DUMMYFUNCTION("""COMPUTED_VALUE"""),0.00244)</f>
        <v>0.00244</v>
      </c>
      <c r="H5231" s="19" t="str">
        <f>IFERROR(__xludf.DUMMYFUNCTION("""COMPUTED_VALUE"""),"-")</f>
        <v>-</v>
      </c>
      <c r="I5231" s="19">
        <f>IFERROR(__xludf.DUMMYFUNCTION("""COMPUTED_VALUE"""),0.00225)</f>
        <v>0.00225</v>
      </c>
      <c r="J5231" s="19">
        <f>IFERROR(__xludf.DUMMYFUNCTION("""COMPUTED_VALUE"""),0.04241)</f>
        <v>0.04241</v>
      </c>
      <c r="K5231" s="19" t="str">
        <f>IFERROR(__xludf.DUMMYFUNCTION("""COMPUTED_VALUE"""),"-")</f>
        <v>-</v>
      </c>
      <c r="L5231" s="19" t="str">
        <f>IFERROR(__xludf.DUMMYFUNCTION("""COMPUTED_VALUE"""),"-")</f>
        <v>-</v>
      </c>
      <c r="O5231" s="24">
        <f t="shared" si="4"/>
        <v>0</v>
      </c>
      <c r="P5231" s="24"/>
      <c r="Q5231" s="24">
        <f t="shared" si="6"/>
        <v>0</v>
      </c>
      <c r="R5231" s="24">
        <f t="shared" si="7"/>
        <v>1</v>
      </c>
      <c r="S5231" s="24"/>
      <c r="T5231" s="24"/>
    </row>
    <row r="5232">
      <c r="A5232" s="12" t="s">
        <v>5319</v>
      </c>
      <c r="F5232" s="19">
        <f>IFERROR(__xludf.DUMMYFUNCTION("SPLIT(A5228, "" |"")"),5226.0)</f>
        <v>5226</v>
      </c>
      <c r="G5232" s="19">
        <f>IFERROR(__xludf.DUMMYFUNCTION("""COMPUTED_VALUE"""),0.00236)</f>
        <v>0.00236</v>
      </c>
      <c r="H5232" s="19" t="str">
        <f>IFERROR(__xludf.DUMMYFUNCTION("""COMPUTED_VALUE"""),"-")</f>
        <v>-</v>
      </c>
      <c r="I5232" s="19">
        <f>IFERROR(__xludf.DUMMYFUNCTION("""COMPUTED_VALUE"""),0.00219)</f>
        <v>0.00219</v>
      </c>
      <c r="J5232" s="19">
        <f>IFERROR(__xludf.DUMMYFUNCTION("""COMPUTED_VALUE"""),0.04746)</f>
        <v>0.04746</v>
      </c>
      <c r="K5232" s="19" t="str">
        <f>IFERROR(__xludf.DUMMYFUNCTION("""COMPUTED_VALUE"""),"-")</f>
        <v>-</v>
      </c>
      <c r="L5232" s="19" t="str">
        <f>IFERROR(__xludf.DUMMYFUNCTION("""COMPUTED_VALUE"""),"-")</f>
        <v>-</v>
      </c>
      <c r="O5232" s="24">
        <f t="shared" si="4"/>
        <v>0</v>
      </c>
      <c r="P5232" s="24"/>
      <c r="Q5232" s="24">
        <f t="shared" si="6"/>
        <v>0</v>
      </c>
      <c r="R5232" s="24">
        <f t="shared" si="7"/>
        <v>0</v>
      </c>
      <c r="S5232" s="24"/>
      <c r="T5232" s="24"/>
    </row>
    <row r="5233">
      <c r="A5233" s="12" t="s">
        <v>5320</v>
      </c>
      <c r="F5233" s="19">
        <f>IFERROR(__xludf.DUMMYFUNCTION("SPLIT(A5229, "" |"")"),5227.0)</f>
        <v>5227</v>
      </c>
      <c r="G5233" s="19">
        <f>IFERROR(__xludf.DUMMYFUNCTION("""COMPUTED_VALUE"""),0.00236)</f>
        <v>0.00236</v>
      </c>
      <c r="H5233" s="19" t="str">
        <f>IFERROR(__xludf.DUMMYFUNCTION("""COMPUTED_VALUE"""),"-")</f>
        <v>-</v>
      </c>
      <c r="I5233" s="19">
        <f>IFERROR(__xludf.DUMMYFUNCTION("""COMPUTED_VALUE"""),0.00222)</f>
        <v>0.00222</v>
      </c>
      <c r="J5233" s="19">
        <f>IFERROR(__xludf.DUMMYFUNCTION("""COMPUTED_VALUE"""),0.04757)</f>
        <v>0.04757</v>
      </c>
      <c r="K5233" s="19" t="str">
        <f>IFERROR(__xludf.DUMMYFUNCTION("""COMPUTED_VALUE"""),"-")</f>
        <v>-</v>
      </c>
      <c r="L5233" s="19" t="str">
        <f>IFERROR(__xludf.DUMMYFUNCTION("""COMPUTED_VALUE"""),"-")</f>
        <v>-</v>
      </c>
      <c r="O5233" s="24">
        <f t="shared" si="4"/>
        <v>0</v>
      </c>
      <c r="P5233" s="24"/>
      <c r="Q5233" s="24">
        <f t="shared" si="6"/>
        <v>0</v>
      </c>
      <c r="R5233" s="24">
        <f t="shared" si="7"/>
        <v>0</v>
      </c>
      <c r="S5233" s="24"/>
      <c r="T5233" s="24"/>
    </row>
    <row r="5234">
      <c r="A5234" s="12" t="s">
        <v>5321</v>
      </c>
      <c r="F5234" s="19">
        <f>IFERROR(__xludf.DUMMYFUNCTION("SPLIT(A5230, "" |"")"),5228.0)</f>
        <v>5228</v>
      </c>
      <c r="G5234" s="19">
        <f>IFERROR(__xludf.DUMMYFUNCTION("""COMPUTED_VALUE"""),0.00245)</f>
        <v>0.00245</v>
      </c>
      <c r="H5234" s="19" t="str">
        <f>IFERROR(__xludf.DUMMYFUNCTION("""COMPUTED_VALUE"""),"-")</f>
        <v>-</v>
      </c>
      <c r="I5234" s="19">
        <f>IFERROR(__xludf.DUMMYFUNCTION("""COMPUTED_VALUE"""),0.00223)</f>
        <v>0.00223</v>
      </c>
      <c r="J5234" s="19">
        <f>IFERROR(__xludf.DUMMYFUNCTION("""COMPUTED_VALUE"""),0.04748)</f>
        <v>0.04748</v>
      </c>
      <c r="K5234" s="19" t="str">
        <f>IFERROR(__xludf.DUMMYFUNCTION("""COMPUTED_VALUE"""),"-")</f>
        <v>-</v>
      </c>
      <c r="L5234" s="19" t="str">
        <f>IFERROR(__xludf.DUMMYFUNCTION("""COMPUTED_VALUE"""),"-")</f>
        <v>-</v>
      </c>
      <c r="O5234" s="24">
        <f t="shared" si="4"/>
        <v>0</v>
      </c>
      <c r="P5234" s="24"/>
      <c r="Q5234" s="24">
        <f t="shared" si="6"/>
        <v>0</v>
      </c>
      <c r="R5234" s="24">
        <f t="shared" si="7"/>
        <v>0</v>
      </c>
      <c r="S5234" s="24"/>
      <c r="T5234" s="24"/>
    </row>
    <row r="5235">
      <c r="A5235" s="12" t="s">
        <v>5322</v>
      </c>
      <c r="F5235" s="19">
        <f>IFERROR(__xludf.DUMMYFUNCTION("SPLIT(A5231, "" |"")"),5229.0)</f>
        <v>5229</v>
      </c>
      <c r="G5235" s="19">
        <f>IFERROR(__xludf.DUMMYFUNCTION("""COMPUTED_VALUE"""),0.00242)</f>
        <v>0.00242</v>
      </c>
      <c r="H5235" s="19" t="str">
        <f>IFERROR(__xludf.DUMMYFUNCTION("""COMPUTED_VALUE"""),"-")</f>
        <v>-</v>
      </c>
      <c r="I5235" s="19">
        <f>IFERROR(__xludf.DUMMYFUNCTION("""COMPUTED_VALUE"""),0.00226)</f>
        <v>0.00226</v>
      </c>
      <c r="J5235" s="19">
        <f>IFERROR(__xludf.DUMMYFUNCTION("""COMPUTED_VALUE"""),0.04093)</f>
        <v>0.04093</v>
      </c>
      <c r="K5235" s="19" t="str">
        <f>IFERROR(__xludf.DUMMYFUNCTION("""COMPUTED_VALUE"""),"-")</f>
        <v>-</v>
      </c>
      <c r="L5235" s="19" t="str">
        <f>IFERROR(__xludf.DUMMYFUNCTION("""COMPUTED_VALUE"""),"-")</f>
        <v>-</v>
      </c>
      <c r="O5235" s="24">
        <f t="shared" si="4"/>
        <v>0</v>
      </c>
      <c r="P5235" s="24"/>
      <c r="Q5235" s="24">
        <f t="shared" si="6"/>
        <v>0</v>
      </c>
      <c r="R5235" s="24">
        <f t="shared" si="7"/>
        <v>1</v>
      </c>
      <c r="S5235" s="24"/>
      <c r="T5235" s="24"/>
    </row>
    <row r="5236">
      <c r="A5236" s="12" t="s">
        <v>5323</v>
      </c>
      <c r="F5236" s="19">
        <f>IFERROR(__xludf.DUMMYFUNCTION("SPLIT(A5232, "" |"")"),5230.0)</f>
        <v>5230</v>
      </c>
      <c r="G5236" s="19">
        <f>IFERROR(__xludf.DUMMYFUNCTION("""COMPUTED_VALUE"""),0.00251)</f>
        <v>0.00251</v>
      </c>
      <c r="H5236" s="19" t="str">
        <f>IFERROR(__xludf.DUMMYFUNCTION("""COMPUTED_VALUE"""),"-")</f>
        <v>-</v>
      </c>
      <c r="I5236" s="19">
        <f>IFERROR(__xludf.DUMMYFUNCTION("""COMPUTED_VALUE"""),0.00228)</f>
        <v>0.00228</v>
      </c>
      <c r="J5236" s="19">
        <f>IFERROR(__xludf.DUMMYFUNCTION("""COMPUTED_VALUE"""),0.04734)</f>
        <v>0.04734</v>
      </c>
      <c r="K5236" s="19" t="str">
        <f>IFERROR(__xludf.DUMMYFUNCTION("""COMPUTED_VALUE"""),"-")</f>
        <v>-</v>
      </c>
      <c r="L5236" s="19" t="str">
        <f>IFERROR(__xludf.DUMMYFUNCTION("""COMPUTED_VALUE"""),"-")</f>
        <v>-</v>
      </c>
      <c r="O5236" s="24">
        <f t="shared" si="4"/>
        <v>0</v>
      </c>
      <c r="P5236" s="24"/>
      <c r="Q5236" s="24">
        <f t="shared" si="6"/>
        <v>0</v>
      </c>
      <c r="R5236" s="24">
        <f t="shared" si="7"/>
        <v>0</v>
      </c>
      <c r="S5236" s="24"/>
      <c r="T5236" s="24"/>
    </row>
    <row r="5237">
      <c r="A5237" s="12" t="s">
        <v>5324</v>
      </c>
      <c r="F5237" s="19">
        <f>IFERROR(__xludf.DUMMYFUNCTION("SPLIT(A5233, "" |"")"),5231.0)</f>
        <v>5231</v>
      </c>
      <c r="G5237" s="19">
        <f>IFERROR(__xludf.DUMMYFUNCTION("""COMPUTED_VALUE"""),0.00236)</f>
        <v>0.00236</v>
      </c>
      <c r="H5237" s="19" t="str">
        <f>IFERROR(__xludf.DUMMYFUNCTION("""COMPUTED_VALUE"""),"-")</f>
        <v>-</v>
      </c>
      <c r="I5237" s="19">
        <f>IFERROR(__xludf.DUMMYFUNCTION("""COMPUTED_VALUE"""),0.00225)</f>
        <v>0.00225</v>
      </c>
      <c r="J5237" s="19">
        <f>IFERROR(__xludf.DUMMYFUNCTION("""COMPUTED_VALUE"""),0.04752)</f>
        <v>0.04752</v>
      </c>
      <c r="K5237" s="19" t="str">
        <f>IFERROR(__xludf.DUMMYFUNCTION("""COMPUTED_VALUE"""),"-")</f>
        <v>-</v>
      </c>
      <c r="L5237" s="19" t="str">
        <f>IFERROR(__xludf.DUMMYFUNCTION("""COMPUTED_VALUE"""),"-")</f>
        <v>-</v>
      </c>
      <c r="O5237" s="24">
        <f t="shared" si="4"/>
        <v>0</v>
      </c>
      <c r="P5237" s="24"/>
      <c r="Q5237" s="24">
        <f t="shared" si="6"/>
        <v>0</v>
      </c>
      <c r="R5237" s="24">
        <f t="shared" si="7"/>
        <v>0</v>
      </c>
      <c r="S5237" s="24"/>
      <c r="T5237" s="24"/>
    </row>
    <row r="5238">
      <c r="A5238" s="12" t="s">
        <v>5325</v>
      </c>
      <c r="F5238" s="19">
        <f>IFERROR(__xludf.DUMMYFUNCTION("SPLIT(A5234, "" |"")"),5232.0)</f>
        <v>5232</v>
      </c>
      <c r="G5238" s="19">
        <f>IFERROR(__xludf.DUMMYFUNCTION("""COMPUTED_VALUE"""),0.00247)</f>
        <v>0.00247</v>
      </c>
      <c r="H5238" s="19" t="str">
        <f>IFERROR(__xludf.DUMMYFUNCTION("""COMPUTED_VALUE"""),"-")</f>
        <v>-</v>
      </c>
      <c r="I5238" s="19">
        <f>IFERROR(__xludf.DUMMYFUNCTION("""COMPUTED_VALUE"""),0.00226)</f>
        <v>0.00226</v>
      </c>
      <c r="J5238" s="19">
        <f>IFERROR(__xludf.DUMMYFUNCTION("""COMPUTED_VALUE"""),0.04791)</f>
        <v>0.04791</v>
      </c>
      <c r="K5238" s="19" t="str">
        <f>IFERROR(__xludf.DUMMYFUNCTION("""COMPUTED_VALUE"""),"-")</f>
        <v>-</v>
      </c>
      <c r="L5238" s="19" t="str">
        <f>IFERROR(__xludf.DUMMYFUNCTION("""COMPUTED_VALUE"""),"-")</f>
        <v>-</v>
      </c>
      <c r="O5238" s="24">
        <f t="shared" si="4"/>
        <v>0</v>
      </c>
      <c r="P5238" s="24"/>
      <c r="Q5238" s="24">
        <f t="shared" si="6"/>
        <v>0</v>
      </c>
      <c r="R5238" s="24">
        <f t="shared" si="7"/>
        <v>0</v>
      </c>
      <c r="S5238" s="24"/>
      <c r="T5238" s="24"/>
    </row>
    <row r="5239">
      <c r="A5239" s="12" t="s">
        <v>5326</v>
      </c>
      <c r="F5239" s="19">
        <f>IFERROR(__xludf.DUMMYFUNCTION("SPLIT(A5235, "" |"")"),5233.0)</f>
        <v>5233</v>
      </c>
      <c r="G5239" s="19">
        <f>IFERROR(__xludf.DUMMYFUNCTION("""COMPUTED_VALUE"""),0.00248)</f>
        <v>0.00248</v>
      </c>
      <c r="H5239" s="19" t="str">
        <f>IFERROR(__xludf.DUMMYFUNCTION("""COMPUTED_VALUE"""),"-")</f>
        <v>-</v>
      </c>
      <c r="I5239" s="19">
        <f>IFERROR(__xludf.DUMMYFUNCTION("""COMPUTED_VALUE"""),0.00224)</f>
        <v>0.00224</v>
      </c>
      <c r="J5239" s="19">
        <f>IFERROR(__xludf.DUMMYFUNCTION("""COMPUTED_VALUE"""),0.04018)</f>
        <v>0.04018</v>
      </c>
      <c r="K5239" s="19" t="str">
        <f>IFERROR(__xludf.DUMMYFUNCTION("""COMPUTED_VALUE"""),"-")</f>
        <v>-</v>
      </c>
      <c r="L5239" s="19" t="str">
        <f>IFERROR(__xludf.DUMMYFUNCTION("""COMPUTED_VALUE"""),"-")</f>
        <v>-</v>
      </c>
      <c r="O5239" s="24">
        <f t="shared" si="4"/>
        <v>0</v>
      </c>
      <c r="P5239" s="24"/>
      <c r="Q5239" s="24">
        <f t="shared" si="6"/>
        <v>0</v>
      </c>
      <c r="R5239" s="24">
        <f t="shared" si="7"/>
        <v>1</v>
      </c>
      <c r="S5239" s="24"/>
      <c r="T5239" s="24"/>
    </row>
    <row r="5240">
      <c r="A5240" s="12" t="s">
        <v>5327</v>
      </c>
      <c r="F5240" s="19">
        <f>IFERROR(__xludf.DUMMYFUNCTION("SPLIT(A5236, "" |"")"),5234.0)</f>
        <v>5234</v>
      </c>
      <c r="G5240" s="19">
        <f>IFERROR(__xludf.DUMMYFUNCTION("""COMPUTED_VALUE"""),0.00233)</f>
        <v>0.00233</v>
      </c>
      <c r="H5240" s="19" t="str">
        <f>IFERROR(__xludf.DUMMYFUNCTION("""COMPUTED_VALUE"""),"-")</f>
        <v>-</v>
      </c>
      <c r="I5240" s="19">
        <f>IFERROR(__xludf.DUMMYFUNCTION("""COMPUTED_VALUE"""),0.00218)</f>
        <v>0.00218</v>
      </c>
      <c r="J5240" s="19">
        <f>IFERROR(__xludf.DUMMYFUNCTION("""COMPUTED_VALUE"""),0.04743)</f>
        <v>0.04743</v>
      </c>
      <c r="K5240" s="19" t="str">
        <f>IFERROR(__xludf.DUMMYFUNCTION("""COMPUTED_VALUE"""),"-")</f>
        <v>-</v>
      </c>
      <c r="L5240" s="19" t="str">
        <f>IFERROR(__xludf.DUMMYFUNCTION("""COMPUTED_VALUE"""),"-")</f>
        <v>-</v>
      </c>
      <c r="O5240" s="24">
        <f t="shared" si="4"/>
        <v>0</v>
      </c>
      <c r="P5240" s="24"/>
      <c r="Q5240" s="24">
        <f t="shared" si="6"/>
        <v>0</v>
      </c>
      <c r="R5240" s="24">
        <f t="shared" si="7"/>
        <v>0</v>
      </c>
      <c r="S5240" s="24"/>
      <c r="T5240" s="24"/>
    </row>
    <row r="5241">
      <c r="A5241" s="12" t="s">
        <v>5328</v>
      </c>
      <c r="F5241" s="19">
        <f>IFERROR(__xludf.DUMMYFUNCTION("SPLIT(A5237, "" |"")"),5235.0)</f>
        <v>5235</v>
      </c>
      <c r="G5241" s="19">
        <f>IFERROR(__xludf.DUMMYFUNCTION("""COMPUTED_VALUE"""),0.00233)</f>
        <v>0.00233</v>
      </c>
      <c r="H5241" s="19" t="str">
        <f>IFERROR(__xludf.DUMMYFUNCTION("""COMPUTED_VALUE"""),"-")</f>
        <v>-</v>
      </c>
      <c r="I5241" s="19">
        <f>IFERROR(__xludf.DUMMYFUNCTION("""COMPUTED_VALUE"""),0.00223)</f>
        <v>0.00223</v>
      </c>
      <c r="J5241" s="19">
        <f>IFERROR(__xludf.DUMMYFUNCTION("""COMPUTED_VALUE"""),0.04746)</f>
        <v>0.04746</v>
      </c>
      <c r="K5241" s="19" t="str">
        <f>IFERROR(__xludf.DUMMYFUNCTION("""COMPUTED_VALUE"""),"-")</f>
        <v>-</v>
      </c>
      <c r="L5241" s="19" t="str">
        <f>IFERROR(__xludf.DUMMYFUNCTION("""COMPUTED_VALUE"""),"-")</f>
        <v>-</v>
      </c>
      <c r="O5241" s="24">
        <f t="shared" si="4"/>
        <v>0</v>
      </c>
      <c r="P5241" s="24"/>
      <c r="Q5241" s="24">
        <f t="shared" si="6"/>
        <v>0</v>
      </c>
      <c r="R5241" s="24">
        <f t="shared" si="7"/>
        <v>0</v>
      </c>
      <c r="S5241" s="24"/>
      <c r="T5241" s="24"/>
    </row>
    <row r="5242">
      <c r="A5242" s="12" t="s">
        <v>5329</v>
      </c>
      <c r="F5242" s="19">
        <f>IFERROR(__xludf.DUMMYFUNCTION("SPLIT(A5238, "" |"")"),5236.0)</f>
        <v>5236</v>
      </c>
      <c r="G5242" s="19">
        <f>IFERROR(__xludf.DUMMYFUNCTION("""COMPUTED_VALUE"""),0.00238)</f>
        <v>0.00238</v>
      </c>
      <c r="H5242" s="19" t="str">
        <f>IFERROR(__xludf.DUMMYFUNCTION("""COMPUTED_VALUE"""),"-")</f>
        <v>-</v>
      </c>
      <c r="I5242" s="19">
        <f>IFERROR(__xludf.DUMMYFUNCTION("""COMPUTED_VALUE"""),0.00223)</f>
        <v>0.00223</v>
      </c>
      <c r="J5242" s="19">
        <f>IFERROR(__xludf.DUMMYFUNCTION("""COMPUTED_VALUE"""),0.04733)</f>
        <v>0.04733</v>
      </c>
      <c r="K5242" s="19" t="str">
        <f>IFERROR(__xludf.DUMMYFUNCTION("""COMPUTED_VALUE"""),"-")</f>
        <v>-</v>
      </c>
      <c r="L5242" s="19" t="str">
        <f>IFERROR(__xludf.DUMMYFUNCTION("""COMPUTED_VALUE"""),"-")</f>
        <v>-</v>
      </c>
      <c r="O5242" s="24">
        <f t="shared" si="4"/>
        <v>0</v>
      </c>
      <c r="P5242" s="24"/>
      <c r="Q5242" s="24">
        <f t="shared" si="6"/>
        <v>0</v>
      </c>
      <c r="R5242" s="24">
        <f t="shared" si="7"/>
        <v>0</v>
      </c>
      <c r="S5242" s="24"/>
      <c r="T5242" s="24"/>
    </row>
    <row r="5243">
      <c r="A5243" s="12" t="s">
        <v>5330</v>
      </c>
      <c r="F5243" s="19">
        <f>IFERROR(__xludf.DUMMYFUNCTION("SPLIT(A5239, "" |"")"),5237.0)</f>
        <v>5237</v>
      </c>
      <c r="G5243" s="19">
        <f>IFERROR(__xludf.DUMMYFUNCTION("""COMPUTED_VALUE"""),0.00237)</f>
        <v>0.00237</v>
      </c>
      <c r="H5243" s="19" t="str">
        <f>IFERROR(__xludf.DUMMYFUNCTION("""COMPUTED_VALUE"""),"-")</f>
        <v>-</v>
      </c>
      <c r="I5243" s="19">
        <f>IFERROR(__xludf.DUMMYFUNCTION("""COMPUTED_VALUE"""),0.00221)</f>
        <v>0.00221</v>
      </c>
      <c r="J5243" s="19">
        <f>IFERROR(__xludf.DUMMYFUNCTION("""COMPUTED_VALUE"""),0.04135)</f>
        <v>0.04135</v>
      </c>
      <c r="K5243" s="19" t="str">
        <f>IFERROR(__xludf.DUMMYFUNCTION("""COMPUTED_VALUE"""),"-")</f>
        <v>-</v>
      </c>
      <c r="L5243" s="19" t="str">
        <f>IFERROR(__xludf.DUMMYFUNCTION("""COMPUTED_VALUE"""),"-")</f>
        <v>-</v>
      </c>
      <c r="O5243" s="24">
        <f t="shared" si="4"/>
        <v>0</v>
      </c>
      <c r="P5243" s="24"/>
      <c r="Q5243" s="24">
        <f t="shared" si="6"/>
        <v>0</v>
      </c>
      <c r="R5243" s="24">
        <f t="shared" si="7"/>
        <v>1</v>
      </c>
      <c r="S5243" s="24"/>
      <c r="T5243" s="24"/>
    </row>
    <row r="5244">
      <c r="A5244" s="12" t="s">
        <v>5331</v>
      </c>
      <c r="F5244" s="19">
        <f>IFERROR(__xludf.DUMMYFUNCTION("SPLIT(A5240, "" |"")"),5238.0)</f>
        <v>5238</v>
      </c>
      <c r="G5244" s="19">
        <f>IFERROR(__xludf.DUMMYFUNCTION("""COMPUTED_VALUE"""),0.00233)</f>
        <v>0.00233</v>
      </c>
      <c r="H5244" s="19" t="str">
        <f>IFERROR(__xludf.DUMMYFUNCTION("""COMPUTED_VALUE"""),"-")</f>
        <v>-</v>
      </c>
      <c r="I5244" s="19">
        <f>IFERROR(__xludf.DUMMYFUNCTION("""COMPUTED_VALUE"""),0.00217)</f>
        <v>0.00217</v>
      </c>
      <c r="J5244" s="19">
        <f>IFERROR(__xludf.DUMMYFUNCTION("""COMPUTED_VALUE"""),0.04199)</f>
        <v>0.04199</v>
      </c>
      <c r="K5244" s="19" t="str">
        <f>IFERROR(__xludf.DUMMYFUNCTION("""COMPUTED_VALUE"""),"-")</f>
        <v>-</v>
      </c>
      <c r="L5244" s="19" t="str">
        <f>IFERROR(__xludf.DUMMYFUNCTION("""COMPUTED_VALUE"""),"-")</f>
        <v>-</v>
      </c>
      <c r="O5244" s="24">
        <f t="shared" si="4"/>
        <v>0</v>
      </c>
      <c r="P5244" s="24"/>
      <c r="Q5244" s="24">
        <f t="shared" si="6"/>
        <v>0</v>
      </c>
      <c r="R5244" s="24">
        <f t="shared" si="7"/>
        <v>1</v>
      </c>
      <c r="S5244" s="24"/>
      <c r="T5244" s="24"/>
    </row>
    <row r="5245">
      <c r="A5245" s="12" t="s">
        <v>5332</v>
      </c>
      <c r="F5245" s="19">
        <f>IFERROR(__xludf.DUMMYFUNCTION("SPLIT(A5241, "" |"")"),5239.0)</f>
        <v>5239</v>
      </c>
      <c r="G5245" s="19">
        <f>IFERROR(__xludf.DUMMYFUNCTION("""COMPUTED_VALUE"""),0.00233)</f>
        <v>0.00233</v>
      </c>
      <c r="H5245" s="19" t="str">
        <f>IFERROR(__xludf.DUMMYFUNCTION("""COMPUTED_VALUE"""),"-")</f>
        <v>-</v>
      </c>
      <c r="I5245" s="19">
        <f>IFERROR(__xludf.DUMMYFUNCTION("""COMPUTED_VALUE"""),0.0022)</f>
        <v>0.0022</v>
      </c>
      <c r="J5245" s="19">
        <f>IFERROR(__xludf.DUMMYFUNCTION("""COMPUTED_VALUE"""),0.04456)</f>
        <v>0.04456</v>
      </c>
      <c r="K5245" s="19" t="str">
        <f>IFERROR(__xludf.DUMMYFUNCTION("""COMPUTED_VALUE"""),"-")</f>
        <v>-</v>
      </c>
      <c r="L5245" s="19" t="str">
        <f>IFERROR(__xludf.DUMMYFUNCTION("""COMPUTED_VALUE"""),"-")</f>
        <v>-</v>
      </c>
      <c r="O5245" s="24">
        <f t="shared" si="4"/>
        <v>0</v>
      </c>
      <c r="P5245" s="24"/>
      <c r="Q5245" s="24">
        <f t="shared" si="6"/>
        <v>0</v>
      </c>
      <c r="R5245" s="24">
        <f t="shared" si="7"/>
        <v>1</v>
      </c>
      <c r="S5245" s="24"/>
      <c r="T5245" s="24"/>
    </row>
    <row r="5246">
      <c r="A5246" s="12" t="s">
        <v>5333</v>
      </c>
      <c r="F5246" s="19">
        <f>IFERROR(__xludf.DUMMYFUNCTION("SPLIT(A5242, "" |"")"),5240.0)</f>
        <v>5240</v>
      </c>
      <c r="G5246" s="19">
        <f>IFERROR(__xludf.DUMMYFUNCTION("""COMPUTED_VALUE"""),0.00235)</f>
        <v>0.00235</v>
      </c>
      <c r="H5246" s="19" t="str">
        <f>IFERROR(__xludf.DUMMYFUNCTION("""COMPUTED_VALUE"""),"-")</f>
        <v>-</v>
      </c>
      <c r="I5246" s="19">
        <f>IFERROR(__xludf.DUMMYFUNCTION("""COMPUTED_VALUE"""),0.0022)</f>
        <v>0.0022</v>
      </c>
      <c r="J5246" s="19">
        <f>IFERROR(__xludf.DUMMYFUNCTION("""COMPUTED_VALUE"""),0.04745)</f>
        <v>0.04745</v>
      </c>
      <c r="K5246" s="19" t="str">
        <f>IFERROR(__xludf.DUMMYFUNCTION("""COMPUTED_VALUE"""),"-")</f>
        <v>-</v>
      </c>
      <c r="L5246" s="19" t="str">
        <f>IFERROR(__xludf.DUMMYFUNCTION("""COMPUTED_VALUE"""),"-")</f>
        <v>-</v>
      </c>
      <c r="O5246" s="24">
        <f t="shared" si="4"/>
        <v>0</v>
      </c>
      <c r="P5246" s="24"/>
      <c r="Q5246" s="24">
        <f t="shared" si="6"/>
        <v>0</v>
      </c>
      <c r="R5246" s="24">
        <f t="shared" si="7"/>
        <v>0</v>
      </c>
      <c r="S5246" s="24"/>
      <c r="T5246" s="24"/>
    </row>
    <row r="5247">
      <c r="A5247" s="12" t="s">
        <v>5334</v>
      </c>
      <c r="F5247" s="19">
        <f>IFERROR(__xludf.DUMMYFUNCTION("SPLIT(A5243, "" |"")"),5241.0)</f>
        <v>5241</v>
      </c>
      <c r="G5247" s="19">
        <f>IFERROR(__xludf.DUMMYFUNCTION("""COMPUTED_VALUE"""),0.00222)</f>
        <v>0.00222</v>
      </c>
      <c r="H5247" s="19" t="str">
        <f>IFERROR(__xludf.DUMMYFUNCTION("""COMPUTED_VALUE"""),"-")</f>
        <v>-</v>
      </c>
      <c r="I5247" s="19">
        <f>IFERROR(__xludf.DUMMYFUNCTION("""COMPUTED_VALUE"""),0.0021)</f>
        <v>0.0021</v>
      </c>
      <c r="J5247" s="19">
        <f>IFERROR(__xludf.DUMMYFUNCTION("""COMPUTED_VALUE"""),0.04733)</f>
        <v>0.04733</v>
      </c>
      <c r="K5247" s="19" t="str">
        <f>IFERROR(__xludf.DUMMYFUNCTION("""COMPUTED_VALUE"""),"-")</f>
        <v>-</v>
      </c>
      <c r="L5247" s="19" t="str">
        <f>IFERROR(__xludf.DUMMYFUNCTION("""COMPUTED_VALUE"""),"-")</f>
        <v>-</v>
      </c>
      <c r="O5247" s="24">
        <f t="shared" si="4"/>
        <v>0</v>
      </c>
      <c r="P5247" s="24"/>
      <c r="Q5247" s="24">
        <f t="shared" si="6"/>
        <v>0</v>
      </c>
      <c r="R5247" s="24">
        <f t="shared" si="7"/>
        <v>0</v>
      </c>
      <c r="S5247" s="24"/>
      <c r="T5247" s="24"/>
    </row>
    <row r="5248">
      <c r="A5248" s="12" t="s">
        <v>5335</v>
      </c>
      <c r="F5248" s="19">
        <f>IFERROR(__xludf.DUMMYFUNCTION("SPLIT(A5244, "" |"")"),5242.0)</f>
        <v>5242</v>
      </c>
      <c r="G5248" s="19">
        <f>IFERROR(__xludf.DUMMYFUNCTION("""COMPUTED_VALUE"""),0.00231)</f>
        <v>0.00231</v>
      </c>
      <c r="H5248" s="19" t="str">
        <f>IFERROR(__xludf.DUMMYFUNCTION("""COMPUTED_VALUE"""),"-")</f>
        <v>-</v>
      </c>
      <c r="I5248" s="19">
        <f>IFERROR(__xludf.DUMMYFUNCTION("""COMPUTED_VALUE"""),0.00217)</f>
        <v>0.00217</v>
      </c>
      <c r="J5248" s="19">
        <f>IFERROR(__xludf.DUMMYFUNCTION("""COMPUTED_VALUE"""),0.04729)</f>
        <v>0.04729</v>
      </c>
      <c r="K5248" s="19" t="str">
        <f>IFERROR(__xludf.DUMMYFUNCTION("""COMPUTED_VALUE"""),"-")</f>
        <v>-</v>
      </c>
      <c r="L5248" s="19" t="str">
        <f>IFERROR(__xludf.DUMMYFUNCTION("""COMPUTED_VALUE"""),"-")</f>
        <v>-</v>
      </c>
      <c r="O5248" s="24">
        <f t="shared" si="4"/>
        <v>0</v>
      </c>
      <c r="P5248" s="24"/>
      <c r="Q5248" s="24">
        <f t="shared" si="6"/>
        <v>0</v>
      </c>
      <c r="R5248" s="24">
        <f t="shared" si="7"/>
        <v>0</v>
      </c>
      <c r="S5248" s="24"/>
      <c r="T5248" s="24"/>
    </row>
    <row r="5249">
      <c r="A5249" s="12" t="s">
        <v>5336</v>
      </c>
      <c r="F5249" s="19">
        <f>IFERROR(__xludf.DUMMYFUNCTION("SPLIT(A5245, "" |"")"),5243.0)</f>
        <v>5243</v>
      </c>
      <c r="G5249" s="19">
        <f>IFERROR(__xludf.DUMMYFUNCTION("""COMPUTED_VALUE"""),0.00231)</f>
        <v>0.00231</v>
      </c>
      <c r="H5249" s="19" t="str">
        <f>IFERROR(__xludf.DUMMYFUNCTION("""COMPUTED_VALUE"""),"-")</f>
        <v>-</v>
      </c>
      <c r="I5249" s="19">
        <f>IFERROR(__xludf.DUMMYFUNCTION("""COMPUTED_VALUE"""),0.00217)</f>
        <v>0.00217</v>
      </c>
      <c r="J5249" s="19">
        <f>IFERROR(__xludf.DUMMYFUNCTION("""COMPUTED_VALUE"""),0.04734)</f>
        <v>0.04734</v>
      </c>
      <c r="K5249" s="19" t="str">
        <f>IFERROR(__xludf.DUMMYFUNCTION("""COMPUTED_VALUE"""),"-")</f>
        <v>-</v>
      </c>
      <c r="L5249" s="19" t="str">
        <f>IFERROR(__xludf.DUMMYFUNCTION("""COMPUTED_VALUE"""),"-")</f>
        <v>-</v>
      </c>
      <c r="O5249" s="24">
        <f t="shared" si="4"/>
        <v>0</v>
      </c>
      <c r="P5249" s="24"/>
      <c r="Q5249" s="24">
        <f t="shared" si="6"/>
        <v>0</v>
      </c>
      <c r="R5249" s="24">
        <f t="shared" si="7"/>
        <v>0</v>
      </c>
      <c r="S5249" s="24"/>
      <c r="T5249" s="24"/>
    </row>
    <row r="5250">
      <c r="A5250" s="12" t="s">
        <v>5337</v>
      </c>
      <c r="F5250" s="19">
        <f>IFERROR(__xludf.DUMMYFUNCTION("SPLIT(A5246, "" |"")"),5244.0)</f>
        <v>5244</v>
      </c>
      <c r="G5250" s="19">
        <f>IFERROR(__xludf.DUMMYFUNCTION("""COMPUTED_VALUE"""),0.00244)</f>
        <v>0.00244</v>
      </c>
      <c r="H5250" s="19" t="str">
        <f>IFERROR(__xludf.DUMMYFUNCTION("""COMPUTED_VALUE"""),"-")</f>
        <v>-</v>
      </c>
      <c r="I5250" s="19">
        <f>IFERROR(__xludf.DUMMYFUNCTION("""COMPUTED_VALUE"""),0.00222)</f>
        <v>0.00222</v>
      </c>
      <c r="J5250" s="19">
        <f>IFERROR(__xludf.DUMMYFUNCTION("""COMPUTED_VALUE"""),0.0474)</f>
        <v>0.0474</v>
      </c>
      <c r="K5250" s="19" t="str">
        <f>IFERROR(__xludf.DUMMYFUNCTION("""COMPUTED_VALUE"""),"-")</f>
        <v>-</v>
      </c>
      <c r="L5250" s="19" t="str">
        <f>IFERROR(__xludf.DUMMYFUNCTION("""COMPUTED_VALUE"""),"-")</f>
        <v>-</v>
      </c>
      <c r="O5250" s="24">
        <f t="shared" si="4"/>
        <v>0</v>
      </c>
      <c r="P5250" s="24"/>
      <c r="Q5250" s="24">
        <f t="shared" si="6"/>
        <v>0</v>
      </c>
      <c r="R5250" s="24">
        <f t="shared" si="7"/>
        <v>0</v>
      </c>
      <c r="S5250" s="24"/>
      <c r="T5250" s="24"/>
    </row>
    <row r="5251">
      <c r="A5251" s="12" t="s">
        <v>5338</v>
      </c>
      <c r="F5251" s="19">
        <f>IFERROR(__xludf.DUMMYFUNCTION("SPLIT(A5247, "" |"")"),5245.0)</f>
        <v>5245</v>
      </c>
      <c r="G5251" s="19">
        <f>IFERROR(__xludf.DUMMYFUNCTION("""COMPUTED_VALUE"""),0.00233)</f>
        <v>0.00233</v>
      </c>
      <c r="H5251" s="19" t="str">
        <f>IFERROR(__xludf.DUMMYFUNCTION("""COMPUTED_VALUE"""),"-")</f>
        <v>-</v>
      </c>
      <c r="I5251" s="19">
        <f>IFERROR(__xludf.DUMMYFUNCTION("""COMPUTED_VALUE"""),0.00224)</f>
        <v>0.00224</v>
      </c>
      <c r="J5251" s="19">
        <f>IFERROR(__xludf.DUMMYFUNCTION("""COMPUTED_VALUE"""),0.04293)</f>
        <v>0.04293</v>
      </c>
      <c r="K5251" s="19" t="str">
        <f>IFERROR(__xludf.DUMMYFUNCTION("""COMPUTED_VALUE"""),"-")</f>
        <v>-</v>
      </c>
      <c r="L5251" s="19" t="str">
        <f>IFERROR(__xludf.DUMMYFUNCTION("""COMPUTED_VALUE"""),"-")</f>
        <v>-</v>
      </c>
      <c r="O5251" s="24">
        <f t="shared" si="4"/>
        <v>0</v>
      </c>
      <c r="P5251" s="24"/>
      <c r="Q5251" s="24">
        <f t="shared" si="6"/>
        <v>0</v>
      </c>
      <c r="R5251" s="24">
        <f t="shared" si="7"/>
        <v>1</v>
      </c>
      <c r="S5251" s="24"/>
      <c r="T5251" s="24"/>
    </row>
    <row r="5252">
      <c r="A5252" s="12" t="s">
        <v>5339</v>
      </c>
      <c r="F5252" s="19">
        <f>IFERROR(__xludf.DUMMYFUNCTION("SPLIT(A5248, "" |"")"),5246.0)</f>
        <v>5246</v>
      </c>
      <c r="G5252" s="19">
        <f>IFERROR(__xludf.DUMMYFUNCTION("""COMPUTED_VALUE"""),0.0023)</f>
        <v>0.0023</v>
      </c>
      <c r="H5252" s="19" t="str">
        <f>IFERROR(__xludf.DUMMYFUNCTION("""COMPUTED_VALUE"""),"-")</f>
        <v>-</v>
      </c>
      <c r="I5252" s="19">
        <f>IFERROR(__xludf.DUMMYFUNCTION("""COMPUTED_VALUE"""),0.0022)</f>
        <v>0.0022</v>
      </c>
      <c r="J5252" s="19">
        <f>IFERROR(__xludf.DUMMYFUNCTION("""COMPUTED_VALUE"""),0.04745)</f>
        <v>0.04745</v>
      </c>
      <c r="K5252" s="19" t="str">
        <f>IFERROR(__xludf.DUMMYFUNCTION("""COMPUTED_VALUE"""),"-")</f>
        <v>-</v>
      </c>
      <c r="L5252" s="19" t="str">
        <f>IFERROR(__xludf.DUMMYFUNCTION("""COMPUTED_VALUE"""),"-")</f>
        <v>-</v>
      </c>
      <c r="O5252" s="24">
        <f t="shared" si="4"/>
        <v>0</v>
      </c>
      <c r="P5252" s="24"/>
      <c r="Q5252" s="24">
        <f t="shared" si="6"/>
        <v>0</v>
      </c>
      <c r="R5252" s="24">
        <f t="shared" si="7"/>
        <v>0</v>
      </c>
      <c r="S5252" s="24"/>
      <c r="T5252" s="24"/>
    </row>
    <row r="5253">
      <c r="A5253" s="12" t="s">
        <v>5340</v>
      </c>
      <c r="F5253" s="19">
        <f>IFERROR(__xludf.DUMMYFUNCTION("SPLIT(A5249, "" |"")"),5247.0)</f>
        <v>5247</v>
      </c>
      <c r="G5253" s="19">
        <f>IFERROR(__xludf.DUMMYFUNCTION("""COMPUTED_VALUE"""),0.00235)</f>
        <v>0.00235</v>
      </c>
      <c r="H5253" s="19" t="str">
        <f>IFERROR(__xludf.DUMMYFUNCTION("""COMPUTED_VALUE"""),"-")</f>
        <v>-</v>
      </c>
      <c r="I5253" s="19">
        <f>IFERROR(__xludf.DUMMYFUNCTION("""COMPUTED_VALUE"""),0.00221)</f>
        <v>0.00221</v>
      </c>
      <c r="J5253" s="19">
        <f>IFERROR(__xludf.DUMMYFUNCTION("""COMPUTED_VALUE"""),0.04747)</f>
        <v>0.04747</v>
      </c>
      <c r="K5253" s="19" t="str">
        <f>IFERROR(__xludf.DUMMYFUNCTION("""COMPUTED_VALUE"""),"-")</f>
        <v>-</v>
      </c>
      <c r="L5253" s="19" t="str">
        <f>IFERROR(__xludf.DUMMYFUNCTION("""COMPUTED_VALUE"""),"-")</f>
        <v>-</v>
      </c>
      <c r="O5253" s="24">
        <f t="shared" si="4"/>
        <v>0</v>
      </c>
      <c r="P5253" s="24"/>
      <c r="Q5253" s="24">
        <f t="shared" si="6"/>
        <v>0</v>
      </c>
      <c r="R5253" s="24">
        <f t="shared" si="7"/>
        <v>0</v>
      </c>
      <c r="S5253" s="24"/>
      <c r="T5253" s="24"/>
    </row>
    <row r="5254">
      <c r="A5254" s="12" t="s">
        <v>5341</v>
      </c>
      <c r="F5254" s="19">
        <f>IFERROR(__xludf.DUMMYFUNCTION("SPLIT(A5250, "" |"")"),5248.0)</f>
        <v>5248</v>
      </c>
      <c r="G5254" s="19">
        <f>IFERROR(__xludf.DUMMYFUNCTION("""COMPUTED_VALUE"""),0.00238)</f>
        <v>0.00238</v>
      </c>
      <c r="H5254" s="19" t="str">
        <f>IFERROR(__xludf.DUMMYFUNCTION("""COMPUTED_VALUE"""),"-")</f>
        <v>-</v>
      </c>
      <c r="I5254" s="19">
        <f>IFERROR(__xludf.DUMMYFUNCTION("""COMPUTED_VALUE"""),0.00222)</f>
        <v>0.00222</v>
      </c>
      <c r="J5254" s="19">
        <f>IFERROR(__xludf.DUMMYFUNCTION("""COMPUTED_VALUE"""),0.04686)</f>
        <v>0.04686</v>
      </c>
      <c r="K5254" s="19" t="str">
        <f>IFERROR(__xludf.DUMMYFUNCTION("""COMPUTED_VALUE"""),"-")</f>
        <v>-</v>
      </c>
      <c r="L5254" s="19" t="str">
        <f>IFERROR(__xludf.DUMMYFUNCTION("""COMPUTED_VALUE"""),"-")</f>
        <v>-</v>
      </c>
      <c r="O5254" s="24">
        <f t="shared" si="4"/>
        <v>0</v>
      </c>
      <c r="P5254" s="24"/>
      <c r="Q5254" s="24">
        <f t="shared" si="6"/>
        <v>0</v>
      </c>
      <c r="R5254" s="24">
        <f t="shared" si="7"/>
        <v>0</v>
      </c>
      <c r="S5254" s="24"/>
      <c r="T5254" s="24"/>
    </row>
    <row r="5255">
      <c r="A5255" s="12" t="s">
        <v>5342</v>
      </c>
      <c r="F5255" s="19">
        <f>IFERROR(__xludf.DUMMYFUNCTION("SPLIT(A5251, "" |"")"),5249.0)</f>
        <v>5249</v>
      </c>
      <c r="G5255" s="19">
        <f>IFERROR(__xludf.DUMMYFUNCTION("""COMPUTED_VALUE"""),0.00233)</f>
        <v>0.00233</v>
      </c>
      <c r="H5255" s="19" t="str">
        <f>IFERROR(__xludf.DUMMYFUNCTION("""COMPUTED_VALUE"""),"-")</f>
        <v>-</v>
      </c>
      <c r="I5255" s="19">
        <f>IFERROR(__xludf.DUMMYFUNCTION("""COMPUTED_VALUE"""),0.0021)</f>
        <v>0.0021</v>
      </c>
      <c r="J5255" s="19">
        <f>IFERROR(__xludf.DUMMYFUNCTION("""COMPUTED_VALUE"""),0.04226)</f>
        <v>0.04226</v>
      </c>
      <c r="K5255" s="19" t="str">
        <f>IFERROR(__xludf.DUMMYFUNCTION("""COMPUTED_VALUE"""),"-")</f>
        <v>-</v>
      </c>
      <c r="L5255" s="19" t="str">
        <f>IFERROR(__xludf.DUMMYFUNCTION("""COMPUTED_VALUE"""),"-")</f>
        <v>-</v>
      </c>
      <c r="O5255" s="24">
        <f t="shared" si="4"/>
        <v>0</v>
      </c>
      <c r="P5255" s="24"/>
      <c r="Q5255" s="24">
        <f t="shared" si="6"/>
        <v>0</v>
      </c>
      <c r="R5255" s="24">
        <f t="shared" si="7"/>
        <v>1</v>
      </c>
      <c r="S5255" s="24"/>
      <c r="T5255" s="24"/>
    </row>
    <row r="5256">
      <c r="A5256" s="12" t="s">
        <v>5343</v>
      </c>
      <c r="F5256" s="19">
        <f>IFERROR(__xludf.DUMMYFUNCTION("SPLIT(A5252, "" |"")"),5250.0)</f>
        <v>5250</v>
      </c>
      <c r="G5256" s="19">
        <f>IFERROR(__xludf.DUMMYFUNCTION("""COMPUTED_VALUE"""),0.00242)</f>
        <v>0.00242</v>
      </c>
      <c r="H5256" s="19" t="str">
        <f>IFERROR(__xludf.DUMMYFUNCTION("""COMPUTED_VALUE"""),"-")</f>
        <v>-</v>
      </c>
      <c r="I5256" s="19">
        <f>IFERROR(__xludf.DUMMYFUNCTION("""COMPUTED_VALUE"""),0.00226)</f>
        <v>0.00226</v>
      </c>
      <c r="J5256" s="19">
        <f>IFERROR(__xludf.DUMMYFUNCTION("""COMPUTED_VALUE"""),0.04094)</f>
        <v>0.04094</v>
      </c>
      <c r="K5256" s="19" t="str">
        <f>IFERROR(__xludf.DUMMYFUNCTION("""COMPUTED_VALUE"""),"-")</f>
        <v>-</v>
      </c>
      <c r="L5256" s="19" t="str">
        <f>IFERROR(__xludf.DUMMYFUNCTION("""COMPUTED_VALUE"""),"-")</f>
        <v>-</v>
      </c>
      <c r="O5256" s="24">
        <f t="shared" si="4"/>
        <v>0</v>
      </c>
      <c r="P5256" s="24"/>
      <c r="Q5256" s="24">
        <f t="shared" si="6"/>
        <v>0</v>
      </c>
      <c r="R5256" s="24">
        <f t="shared" si="7"/>
        <v>1</v>
      </c>
      <c r="S5256" s="24"/>
      <c r="T5256" s="24"/>
    </row>
    <row r="5257">
      <c r="A5257" s="12" t="s">
        <v>5344</v>
      </c>
      <c r="F5257" s="19">
        <f>IFERROR(__xludf.DUMMYFUNCTION("SPLIT(A5253, "" |"")"),5251.0)</f>
        <v>5251</v>
      </c>
      <c r="G5257" s="19">
        <f>IFERROR(__xludf.DUMMYFUNCTION("""COMPUTED_VALUE"""),0.00247)</f>
        <v>0.00247</v>
      </c>
      <c r="H5257" s="19" t="str">
        <f>IFERROR(__xludf.DUMMYFUNCTION("""COMPUTED_VALUE"""),"-")</f>
        <v>-</v>
      </c>
      <c r="I5257" s="19">
        <f>IFERROR(__xludf.DUMMYFUNCTION("""COMPUTED_VALUE"""),0.00226)</f>
        <v>0.00226</v>
      </c>
      <c r="J5257" s="19">
        <f>IFERROR(__xludf.DUMMYFUNCTION("""COMPUTED_VALUE"""),0.04749)</f>
        <v>0.04749</v>
      </c>
      <c r="K5257" s="19" t="str">
        <f>IFERROR(__xludf.DUMMYFUNCTION("""COMPUTED_VALUE"""),"-")</f>
        <v>-</v>
      </c>
      <c r="L5257" s="19" t="str">
        <f>IFERROR(__xludf.DUMMYFUNCTION("""COMPUTED_VALUE"""),"-")</f>
        <v>-</v>
      </c>
      <c r="O5257" s="24">
        <f t="shared" si="4"/>
        <v>0</v>
      </c>
      <c r="P5257" s="24"/>
      <c r="Q5257" s="24">
        <f t="shared" si="6"/>
        <v>0</v>
      </c>
      <c r="R5257" s="24">
        <f t="shared" si="7"/>
        <v>0</v>
      </c>
      <c r="S5257" s="24"/>
      <c r="T5257" s="24"/>
    </row>
    <row r="5258">
      <c r="A5258" s="12" t="s">
        <v>5345</v>
      </c>
      <c r="F5258" s="19">
        <f>IFERROR(__xludf.DUMMYFUNCTION("SPLIT(A5254, "" |"")"),5252.0)</f>
        <v>5252</v>
      </c>
      <c r="G5258" s="19">
        <f>IFERROR(__xludf.DUMMYFUNCTION("""COMPUTED_VALUE"""),0.00244)</f>
        <v>0.00244</v>
      </c>
      <c r="H5258" s="19" t="str">
        <f>IFERROR(__xludf.DUMMYFUNCTION("""COMPUTED_VALUE"""),"-")</f>
        <v>-</v>
      </c>
      <c r="I5258" s="19">
        <f>IFERROR(__xludf.DUMMYFUNCTION("""COMPUTED_VALUE"""),0.00223)</f>
        <v>0.00223</v>
      </c>
      <c r="J5258" s="19">
        <f>IFERROR(__xludf.DUMMYFUNCTION("""COMPUTED_VALUE"""),0.04746)</f>
        <v>0.04746</v>
      </c>
      <c r="K5258" s="19" t="str">
        <f>IFERROR(__xludf.DUMMYFUNCTION("""COMPUTED_VALUE"""),"-")</f>
        <v>-</v>
      </c>
      <c r="L5258" s="19" t="str">
        <f>IFERROR(__xludf.DUMMYFUNCTION("""COMPUTED_VALUE"""),"-")</f>
        <v>-</v>
      </c>
      <c r="O5258" s="24">
        <f t="shared" si="4"/>
        <v>0</v>
      </c>
      <c r="P5258" s="24"/>
      <c r="Q5258" s="24">
        <f t="shared" si="6"/>
        <v>0</v>
      </c>
      <c r="R5258" s="24">
        <f t="shared" si="7"/>
        <v>0</v>
      </c>
      <c r="S5258" s="24"/>
      <c r="T5258" s="24"/>
    </row>
    <row r="5259">
      <c r="A5259" s="12" t="s">
        <v>5346</v>
      </c>
      <c r="F5259" s="19">
        <f>IFERROR(__xludf.DUMMYFUNCTION("SPLIT(A5255, "" |"")"),5253.0)</f>
        <v>5253</v>
      </c>
      <c r="G5259" s="19">
        <f>IFERROR(__xludf.DUMMYFUNCTION("""COMPUTED_VALUE"""),0.00236)</f>
        <v>0.00236</v>
      </c>
      <c r="H5259" s="19" t="str">
        <f>IFERROR(__xludf.DUMMYFUNCTION("""COMPUTED_VALUE"""),"-")</f>
        <v>-</v>
      </c>
      <c r="I5259" s="19">
        <f>IFERROR(__xludf.DUMMYFUNCTION("""COMPUTED_VALUE"""),0.0022)</f>
        <v>0.0022</v>
      </c>
      <c r="J5259" s="19">
        <f>IFERROR(__xludf.DUMMYFUNCTION("""COMPUTED_VALUE"""),0.04705)</f>
        <v>0.04705</v>
      </c>
      <c r="K5259" s="19" t="str">
        <f>IFERROR(__xludf.DUMMYFUNCTION("""COMPUTED_VALUE"""),"-")</f>
        <v>-</v>
      </c>
      <c r="L5259" s="19" t="str">
        <f>IFERROR(__xludf.DUMMYFUNCTION("""COMPUTED_VALUE"""),"-")</f>
        <v>-</v>
      </c>
      <c r="O5259" s="24">
        <f t="shared" si="4"/>
        <v>0</v>
      </c>
      <c r="P5259" s="24"/>
      <c r="Q5259" s="24">
        <f t="shared" si="6"/>
        <v>0</v>
      </c>
      <c r="R5259" s="24">
        <f t="shared" si="7"/>
        <v>0</v>
      </c>
      <c r="S5259" s="24"/>
      <c r="T5259" s="24"/>
    </row>
    <row r="5260">
      <c r="A5260" s="12" t="s">
        <v>5347</v>
      </c>
      <c r="F5260" s="19">
        <f>IFERROR(__xludf.DUMMYFUNCTION("SPLIT(A5256, "" |"")"),5254.0)</f>
        <v>5254</v>
      </c>
      <c r="G5260" s="19">
        <f>IFERROR(__xludf.DUMMYFUNCTION("""COMPUTED_VALUE"""),0.00238)</f>
        <v>0.00238</v>
      </c>
      <c r="H5260" s="19" t="str">
        <f>IFERROR(__xludf.DUMMYFUNCTION("""COMPUTED_VALUE"""),"-")</f>
        <v>-</v>
      </c>
      <c r="I5260" s="19">
        <f>IFERROR(__xludf.DUMMYFUNCTION("""COMPUTED_VALUE"""),0.00226)</f>
        <v>0.00226</v>
      </c>
      <c r="J5260" s="19">
        <f>IFERROR(__xludf.DUMMYFUNCTION("""COMPUTED_VALUE"""),0.04741)</f>
        <v>0.04741</v>
      </c>
      <c r="K5260" s="19" t="str">
        <f>IFERROR(__xludf.DUMMYFUNCTION("""COMPUTED_VALUE"""),"-")</f>
        <v>-</v>
      </c>
      <c r="L5260" s="19" t="str">
        <f>IFERROR(__xludf.DUMMYFUNCTION("""COMPUTED_VALUE"""),"-")</f>
        <v>-</v>
      </c>
      <c r="O5260" s="24">
        <f t="shared" si="4"/>
        <v>0</v>
      </c>
      <c r="P5260" s="24"/>
      <c r="Q5260" s="24">
        <f t="shared" si="6"/>
        <v>0</v>
      </c>
      <c r="R5260" s="24">
        <f t="shared" si="7"/>
        <v>0</v>
      </c>
      <c r="S5260" s="24"/>
      <c r="T5260" s="24"/>
    </row>
    <row r="5261">
      <c r="A5261" s="12" t="s">
        <v>5348</v>
      </c>
      <c r="F5261" s="19">
        <f>IFERROR(__xludf.DUMMYFUNCTION("SPLIT(A5257, "" |"")"),5255.0)</f>
        <v>5255</v>
      </c>
      <c r="G5261" s="19">
        <f>IFERROR(__xludf.DUMMYFUNCTION("""COMPUTED_VALUE"""),0.00242)</f>
        <v>0.00242</v>
      </c>
      <c r="H5261" s="19" t="str">
        <f>IFERROR(__xludf.DUMMYFUNCTION("""COMPUTED_VALUE"""),"-")</f>
        <v>-</v>
      </c>
      <c r="I5261" s="19">
        <f>IFERROR(__xludf.DUMMYFUNCTION("""COMPUTED_VALUE"""),0.00229)</f>
        <v>0.00229</v>
      </c>
      <c r="J5261" s="19">
        <f>IFERROR(__xludf.DUMMYFUNCTION("""COMPUTED_VALUE"""),0.04741)</f>
        <v>0.04741</v>
      </c>
      <c r="K5261" s="19" t="str">
        <f>IFERROR(__xludf.DUMMYFUNCTION("""COMPUTED_VALUE"""),"-")</f>
        <v>-</v>
      </c>
      <c r="L5261" s="19" t="str">
        <f>IFERROR(__xludf.DUMMYFUNCTION("""COMPUTED_VALUE"""),"-")</f>
        <v>-</v>
      </c>
      <c r="O5261" s="24">
        <f t="shared" si="4"/>
        <v>0</v>
      </c>
      <c r="P5261" s="24"/>
      <c r="Q5261" s="24">
        <f t="shared" si="6"/>
        <v>0</v>
      </c>
      <c r="R5261" s="24">
        <f t="shared" si="7"/>
        <v>0</v>
      </c>
      <c r="S5261" s="24"/>
      <c r="T5261" s="24"/>
    </row>
    <row r="5262">
      <c r="A5262" s="12" t="s">
        <v>5349</v>
      </c>
      <c r="F5262" s="19">
        <f>IFERROR(__xludf.DUMMYFUNCTION("SPLIT(A5258, "" |"")"),5256.0)</f>
        <v>5256</v>
      </c>
      <c r="G5262" s="19">
        <f>IFERROR(__xludf.DUMMYFUNCTION("""COMPUTED_VALUE"""),0.00242)</f>
        <v>0.00242</v>
      </c>
      <c r="H5262" s="19" t="str">
        <f>IFERROR(__xludf.DUMMYFUNCTION("""COMPUTED_VALUE"""),"-")</f>
        <v>-</v>
      </c>
      <c r="I5262" s="19">
        <f>IFERROR(__xludf.DUMMYFUNCTION("""COMPUTED_VALUE"""),0.00228)</f>
        <v>0.00228</v>
      </c>
      <c r="J5262" s="19">
        <f>IFERROR(__xludf.DUMMYFUNCTION("""COMPUTED_VALUE"""),0.04747)</f>
        <v>0.04747</v>
      </c>
      <c r="K5262" s="19" t="str">
        <f>IFERROR(__xludf.DUMMYFUNCTION("""COMPUTED_VALUE"""),"-")</f>
        <v>-</v>
      </c>
      <c r="L5262" s="19" t="str">
        <f>IFERROR(__xludf.DUMMYFUNCTION("""COMPUTED_VALUE"""),"-")</f>
        <v>-</v>
      </c>
      <c r="O5262" s="24">
        <f t="shared" si="4"/>
        <v>0</v>
      </c>
      <c r="P5262" s="24"/>
      <c r="Q5262" s="24">
        <f t="shared" si="6"/>
        <v>0</v>
      </c>
      <c r="R5262" s="24">
        <f t="shared" si="7"/>
        <v>0</v>
      </c>
      <c r="S5262" s="24"/>
      <c r="T5262" s="24"/>
    </row>
    <row r="5263">
      <c r="A5263" s="12" t="s">
        <v>5350</v>
      </c>
      <c r="F5263" s="19">
        <f>IFERROR(__xludf.DUMMYFUNCTION("SPLIT(A5259, "" |"")"),5257.0)</f>
        <v>5257</v>
      </c>
      <c r="G5263" s="19">
        <f>IFERROR(__xludf.DUMMYFUNCTION("""COMPUTED_VALUE"""),0.00235)</f>
        <v>0.00235</v>
      </c>
      <c r="H5263" s="19" t="str">
        <f>IFERROR(__xludf.DUMMYFUNCTION("""COMPUTED_VALUE"""),"-")</f>
        <v>-</v>
      </c>
      <c r="I5263" s="19">
        <f>IFERROR(__xludf.DUMMYFUNCTION("""COMPUTED_VALUE"""),0.00222)</f>
        <v>0.00222</v>
      </c>
      <c r="J5263" s="19">
        <f>IFERROR(__xludf.DUMMYFUNCTION("""COMPUTED_VALUE"""),0.04737)</f>
        <v>0.04737</v>
      </c>
      <c r="K5263" s="19" t="str">
        <f>IFERROR(__xludf.DUMMYFUNCTION("""COMPUTED_VALUE"""),"-")</f>
        <v>-</v>
      </c>
      <c r="L5263" s="19" t="str">
        <f>IFERROR(__xludf.DUMMYFUNCTION("""COMPUTED_VALUE"""),"-")</f>
        <v>-</v>
      </c>
      <c r="O5263" s="24">
        <f t="shared" si="4"/>
        <v>0</v>
      </c>
      <c r="P5263" s="24"/>
      <c r="Q5263" s="24">
        <f t="shared" si="6"/>
        <v>0</v>
      </c>
      <c r="R5263" s="24">
        <f t="shared" si="7"/>
        <v>0</v>
      </c>
      <c r="S5263" s="24"/>
      <c r="T5263" s="24"/>
    </row>
    <row r="5264">
      <c r="A5264" s="12" t="s">
        <v>5351</v>
      </c>
      <c r="F5264" s="19">
        <f>IFERROR(__xludf.DUMMYFUNCTION("SPLIT(A5260, "" |"")"),5258.0)</f>
        <v>5258</v>
      </c>
      <c r="G5264" s="19">
        <f>IFERROR(__xludf.DUMMYFUNCTION("""COMPUTED_VALUE"""),0.0023)</f>
        <v>0.0023</v>
      </c>
      <c r="H5264" s="19" t="str">
        <f>IFERROR(__xludf.DUMMYFUNCTION("""COMPUTED_VALUE"""),"-")</f>
        <v>-</v>
      </c>
      <c r="I5264" s="19">
        <f>IFERROR(__xludf.DUMMYFUNCTION("""COMPUTED_VALUE"""),0.00217)</f>
        <v>0.00217</v>
      </c>
      <c r="J5264" s="19">
        <f>IFERROR(__xludf.DUMMYFUNCTION("""COMPUTED_VALUE"""),0.04745)</f>
        <v>0.04745</v>
      </c>
      <c r="K5264" s="19" t="str">
        <f>IFERROR(__xludf.DUMMYFUNCTION("""COMPUTED_VALUE"""),"-")</f>
        <v>-</v>
      </c>
      <c r="L5264" s="19" t="str">
        <f>IFERROR(__xludf.DUMMYFUNCTION("""COMPUTED_VALUE"""),"-")</f>
        <v>-</v>
      </c>
      <c r="O5264" s="24">
        <f t="shared" si="4"/>
        <v>0</v>
      </c>
      <c r="P5264" s="24"/>
      <c r="Q5264" s="24">
        <f t="shared" si="6"/>
        <v>0</v>
      </c>
      <c r="R5264" s="24">
        <f t="shared" si="7"/>
        <v>0</v>
      </c>
      <c r="S5264" s="24"/>
      <c r="T5264" s="24"/>
    </row>
    <row r="5265">
      <c r="A5265" s="12" t="s">
        <v>5352</v>
      </c>
      <c r="F5265" s="19">
        <f>IFERROR(__xludf.DUMMYFUNCTION("SPLIT(A5261, "" |"")"),5259.0)</f>
        <v>5259</v>
      </c>
      <c r="G5265" s="19">
        <f>IFERROR(__xludf.DUMMYFUNCTION("""COMPUTED_VALUE"""),0.00236)</f>
        <v>0.00236</v>
      </c>
      <c r="H5265" s="19" t="str">
        <f>IFERROR(__xludf.DUMMYFUNCTION("""COMPUTED_VALUE"""),"-")</f>
        <v>-</v>
      </c>
      <c r="I5265" s="19">
        <f>IFERROR(__xludf.DUMMYFUNCTION("""COMPUTED_VALUE"""),0.00222)</f>
        <v>0.00222</v>
      </c>
      <c r="J5265" s="19">
        <f>IFERROR(__xludf.DUMMYFUNCTION("""COMPUTED_VALUE"""),0.04746)</f>
        <v>0.04746</v>
      </c>
      <c r="K5265" s="19" t="str">
        <f>IFERROR(__xludf.DUMMYFUNCTION("""COMPUTED_VALUE"""),"-")</f>
        <v>-</v>
      </c>
      <c r="L5265" s="19" t="str">
        <f>IFERROR(__xludf.DUMMYFUNCTION("""COMPUTED_VALUE"""),"-")</f>
        <v>-</v>
      </c>
      <c r="O5265" s="24">
        <f t="shared" si="4"/>
        <v>0</v>
      </c>
      <c r="P5265" s="24"/>
      <c r="Q5265" s="24">
        <f t="shared" si="6"/>
        <v>0</v>
      </c>
      <c r="R5265" s="24">
        <f t="shared" si="7"/>
        <v>0</v>
      </c>
      <c r="S5265" s="24"/>
      <c r="T5265" s="24"/>
    </row>
    <row r="5266">
      <c r="A5266" s="12" t="s">
        <v>5353</v>
      </c>
      <c r="F5266" s="19">
        <f>IFERROR(__xludf.DUMMYFUNCTION("SPLIT(A5262, "" |"")"),5260.0)</f>
        <v>5260</v>
      </c>
      <c r="G5266" s="19">
        <f>IFERROR(__xludf.DUMMYFUNCTION("""COMPUTED_VALUE"""),0.00245)</f>
        <v>0.00245</v>
      </c>
      <c r="H5266" s="19" t="str">
        <f>IFERROR(__xludf.DUMMYFUNCTION("""COMPUTED_VALUE"""),"-")</f>
        <v>-</v>
      </c>
      <c r="I5266" s="19">
        <f>IFERROR(__xludf.DUMMYFUNCTION("""COMPUTED_VALUE"""),0.00224)</f>
        <v>0.00224</v>
      </c>
      <c r="J5266" s="19">
        <f>IFERROR(__xludf.DUMMYFUNCTION("""COMPUTED_VALUE"""),0.04746)</f>
        <v>0.04746</v>
      </c>
      <c r="K5266" s="19" t="str">
        <f>IFERROR(__xludf.DUMMYFUNCTION("""COMPUTED_VALUE"""),"-")</f>
        <v>-</v>
      </c>
      <c r="L5266" s="19" t="str">
        <f>IFERROR(__xludf.DUMMYFUNCTION("""COMPUTED_VALUE"""),"-")</f>
        <v>-</v>
      </c>
      <c r="O5266" s="24">
        <f t="shared" si="4"/>
        <v>0</v>
      </c>
      <c r="P5266" s="24"/>
      <c r="Q5266" s="24">
        <f t="shared" si="6"/>
        <v>0</v>
      </c>
      <c r="R5266" s="24">
        <f t="shared" si="7"/>
        <v>0</v>
      </c>
      <c r="S5266" s="24"/>
      <c r="T5266" s="24"/>
    </row>
    <row r="5267">
      <c r="A5267" s="12" t="s">
        <v>5354</v>
      </c>
      <c r="F5267" s="19">
        <f>IFERROR(__xludf.DUMMYFUNCTION("SPLIT(A5263, "" |"")"),5261.0)</f>
        <v>5261</v>
      </c>
      <c r="G5267" s="19">
        <f>IFERROR(__xludf.DUMMYFUNCTION("""COMPUTED_VALUE"""),0.00235)</f>
        <v>0.00235</v>
      </c>
      <c r="H5267" s="19" t="str">
        <f>IFERROR(__xludf.DUMMYFUNCTION("""COMPUTED_VALUE"""),"-")</f>
        <v>-</v>
      </c>
      <c r="I5267" s="19">
        <f>IFERROR(__xludf.DUMMYFUNCTION("""COMPUTED_VALUE"""),0.00222)</f>
        <v>0.00222</v>
      </c>
      <c r="J5267" s="19">
        <f>IFERROR(__xludf.DUMMYFUNCTION("""COMPUTED_VALUE"""),0.04746)</f>
        <v>0.04746</v>
      </c>
      <c r="K5267" s="19" t="str">
        <f>IFERROR(__xludf.DUMMYFUNCTION("""COMPUTED_VALUE"""),"-")</f>
        <v>-</v>
      </c>
      <c r="L5267" s="19" t="str">
        <f>IFERROR(__xludf.DUMMYFUNCTION("""COMPUTED_VALUE"""),"-")</f>
        <v>-</v>
      </c>
      <c r="O5267" s="24">
        <f t="shared" si="4"/>
        <v>0</v>
      </c>
      <c r="P5267" s="24"/>
      <c r="Q5267" s="24">
        <f t="shared" si="6"/>
        <v>0</v>
      </c>
      <c r="R5267" s="24">
        <f t="shared" si="7"/>
        <v>0</v>
      </c>
      <c r="S5267" s="24"/>
      <c r="T5267" s="24"/>
    </row>
    <row r="5268">
      <c r="A5268" s="12" t="s">
        <v>5355</v>
      </c>
      <c r="F5268" s="19">
        <f>IFERROR(__xludf.DUMMYFUNCTION("SPLIT(A5264, "" |"")"),5262.0)</f>
        <v>5262</v>
      </c>
      <c r="G5268" s="19">
        <f>IFERROR(__xludf.DUMMYFUNCTION("""COMPUTED_VALUE"""),0.00238)</f>
        <v>0.00238</v>
      </c>
      <c r="H5268" s="19" t="str">
        <f>IFERROR(__xludf.DUMMYFUNCTION("""COMPUTED_VALUE"""),"-")</f>
        <v>-</v>
      </c>
      <c r="I5268" s="19">
        <f>IFERROR(__xludf.DUMMYFUNCTION("""COMPUTED_VALUE"""),0.00223)</f>
        <v>0.00223</v>
      </c>
      <c r="J5268" s="19">
        <f>IFERROR(__xludf.DUMMYFUNCTION("""COMPUTED_VALUE"""),0.0474)</f>
        <v>0.0474</v>
      </c>
      <c r="K5268" s="19" t="str">
        <f>IFERROR(__xludf.DUMMYFUNCTION("""COMPUTED_VALUE"""),"-")</f>
        <v>-</v>
      </c>
      <c r="L5268" s="19" t="str">
        <f>IFERROR(__xludf.DUMMYFUNCTION("""COMPUTED_VALUE"""),"-")</f>
        <v>-</v>
      </c>
      <c r="O5268" s="24">
        <f t="shared" si="4"/>
        <v>0</v>
      </c>
      <c r="P5268" s="24"/>
      <c r="Q5268" s="24">
        <f t="shared" si="6"/>
        <v>0</v>
      </c>
      <c r="R5268" s="24">
        <f t="shared" si="7"/>
        <v>0</v>
      </c>
      <c r="S5268" s="24"/>
      <c r="T5268" s="24"/>
    </row>
    <row r="5269">
      <c r="A5269" s="12" t="s">
        <v>5356</v>
      </c>
      <c r="F5269" s="19">
        <f>IFERROR(__xludf.DUMMYFUNCTION("SPLIT(A5265, "" |"")"),5263.0)</f>
        <v>5263</v>
      </c>
      <c r="G5269" s="19">
        <f>IFERROR(__xludf.DUMMYFUNCTION("""COMPUTED_VALUE"""),0.00232)</f>
        <v>0.00232</v>
      </c>
      <c r="H5269" s="19" t="str">
        <f>IFERROR(__xludf.DUMMYFUNCTION("""COMPUTED_VALUE"""),"-")</f>
        <v>-</v>
      </c>
      <c r="I5269" s="19">
        <f>IFERROR(__xludf.DUMMYFUNCTION("""COMPUTED_VALUE"""),0.0022)</f>
        <v>0.0022</v>
      </c>
      <c r="J5269" s="19">
        <f>IFERROR(__xludf.DUMMYFUNCTION("""COMPUTED_VALUE"""),0.04741)</f>
        <v>0.04741</v>
      </c>
      <c r="K5269" s="19" t="str">
        <f>IFERROR(__xludf.DUMMYFUNCTION("""COMPUTED_VALUE"""),"-")</f>
        <v>-</v>
      </c>
      <c r="L5269" s="19" t="str">
        <f>IFERROR(__xludf.DUMMYFUNCTION("""COMPUTED_VALUE"""),"-")</f>
        <v>-</v>
      </c>
      <c r="O5269" s="24">
        <f t="shared" si="4"/>
        <v>0</v>
      </c>
      <c r="P5269" s="24"/>
      <c r="Q5269" s="24">
        <f t="shared" si="6"/>
        <v>0</v>
      </c>
      <c r="R5269" s="24">
        <f t="shared" si="7"/>
        <v>0</v>
      </c>
      <c r="S5269" s="24"/>
      <c r="T5269" s="24"/>
    </row>
    <row r="5270">
      <c r="A5270" s="12" t="s">
        <v>5357</v>
      </c>
      <c r="F5270" s="19">
        <f>IFERROR(__xludf.DUMMYFUNCTION("SPLIT(A5266, "" |"")"),5264.0)</f>
        <v>5264</v>
      </c>
      <c r="G5270" s="19">
        <f>IFERROR(__xludf.DUMMYFUNCTION("""COMPUTED_VALUE"""),0.00238)</f>
        <v>0.00238</v>
      </c>
      <c r="H5270" s="19" t="str">
        <f>IFERROR(__xludf.DUMMYFUNCTION("""COMPUTED_VALUE"""),"-")</f>
        <v>-</v>
      </c>
      <c r="I5270" s="19">
        <f>IFERROR(__xludf.DUMMYFUNCTION("""COMPUTED_VALUE"""),0.00224)</f>
        <v>0.00224</v>
      </c>
      <c r="J5270" s="19">
        <f>IFERROR(__xludf.DUMMYFUNCTION("""COMPUTED_VALUE"""),0.04708)</f>
        <v>0.04708</v>
      </c>
      <c r="K5270" s="19" t="str">
        <f>IFERROR(__xludf.DUMMYFUNCTION("""COMPUTED_VALUE"""),"-")</f>
        <v>-</v>
      </c>
      <c r="L5270" s="19" t="str">
        <f>IFERROR(__xludf.DUMMYFUNCTION("""COMPUTED_VALUE"""),"-")</f>
        <v>-</v>
      </c>
      <c r="O5270" s="24">
        <f t="shared" si="4"/>
        <v>0</v>
      </c>
      <c r="P5270" s="24"/>
      <c r="Q5270" s="24">
        <f t="shared" si="6"/>
        <v>0</v>
      </c>
      <c r="R5270" s="24">
        <f t="shared" si="7"/>
        <v>0</v>
      </c>
      <c r="S5270" s="24"/>
      <c r="T5270" s="24"/>
    </row>
    <row r="5271">
      <c r="A5271" s="12" t="s">
        <v>5358</v>
      </c>
      <c r="F5271" s="19">
        <f>IFERROR(__xludf.DUMMYFUNCTION("SPLIT(A5267, "" |"")"),5265.0)</f>
        <v>5265</v>
      </c>
      <c r="G5271" s="19">
        <f>IFERROR(__xludf.DUMMYFUNCTION("""COMPUTED_VALUE"""),0.00248)</f>
        <v>0.00248</v>
      </c>
      <c r="H5271" s="19" t="str">
        <f>IFERROR(__xludf.DUMMYFUNCTION("""COMPUTED_VALUE"""),"-")</f>
        <v>-</v>
      </c>
      <c r="I5271" s="19">
        <f>IFERROR(__xludf.DUMMYFUNCTION("""COMPUTED_VALUE"""),0.00221)</f>
        <v>0.00221</v>
      </c>
      <c r="J5271" s="19">
        <f>IFERROR(__xludf.DUMMYFUNCTION("""COMPUTED_VALUE"""),0.0475)</f>
        <v>0.0475</v>
      </c>
      <c r="K5271" s="19" t="str">
        <f>IFERROR(__xludf.DUMMYFUNCTION("""COMPUTED_VALUE"""),"-")</f>
        <v>-</v>
      </c>
      <c r="L5271" s="19" t="str">
        <f>IFERROR(__xludf.DUMMYFUNCTION("""COMPUTED_VALUE"""),"-")</f>
        <v>-</v>
      </c>
      <c r="O5271" s="24">
        <f t="shared" si="4"/>
        <v>0</v>
      </c>
      <c r="P5271" s="24"/>
      <c r="Q5271" s="24">
        <f t="shared" si="6"/>
        <v>0</v>
      </c>
      <c r="R5271" s="24">
        <f t="shared" si="7"/>
        <v>0</v>
      </c>
      <c r="S5271" s="24"/>
      <c r="T5271" s="24"/>
    </row>
    <row r="5272">
      <c r="A5272" s="12" t="s">
        <v>5359</v>
      </c>
      <c r="F5272" s="19">
        <f>IFERROR(__xludf.DUMMYFUNCTION("SPLIT(A5268, "" |"")"),5266.0)</f>
        <v>5266</v>
      </c>
      <c r="G5272" s="19">
        <f>IFERROR(__xludf.DUMMYFUNCTION("""COMPUTED_VALUE"""),0.0025)</f>
        <v>0.0025</v>
      </c>
      <c r="H5272" s="19" t="str">
        <f>IFERROR(__xludf.DUMMYFUNCTION("""COMPUTED_VALUE"""),"-")</f>
        <v>-</v>
      </c>
      <c r="I5272" s="19">
        <f>IFERROR(__xludf.DUMMYFUNCTION("""COMPUTED_VALUE"""),0.00227)</f>
        <v>0.00227</v>
      </c>
      <c r="J5272" s="19">
        <f>IFERROR(__xludf.DUMMYFUNCTION("""COMPUTED_VALUE"""),0.04747)</f>
        <v>0.04747</v>
      </c>
      <c r="K5272" s="19" t="str">
        <f>IFERROR(__xludf.DUMMYFUNCTION("""COMPUTED_VALUE"""),"-")</f>
        <v>-</v>
      </c>
      <c r="L5272" s="19" t="str">
        <f>IFERROR(__xludf.DUMMYFUNCTION("""COMPUTED_VALUE"""),"-")</f>
        <v>-</v>
      </c>
      <c r="O5272" s="24">
        <f t="shared" si="4"/>
        <v>0</v>
      </c>
      <c r="P5272" s="24"/>
      <c r="Q5272" s="24">
        <f t="shared" si="6"/>
        <v>0</v>
      </c>
      <c r="R5272" s="24">
        <f t="shared" si="7"/>
        <v>0</v>
      </c>
      <c r="S5272" s="24"/>
      <c r="T5272" s="24"/>
    </row>
    <row r="5273">
      <c r="A5273" s="12" t="s">
        <v>5360</v>
      </c>
      <c r="F5273" s="19">
        <f>IFERROR(__xludf.DUMMYFUNCTION("SPLIT(A5269, "" |"")"),5267.0)</f>
        <v>5267</v>
      </c>
      <c r="G5273" s="19">
        <f>IFERROR(__xludf.DUMMYFUNCTION("""COMPUTED_VALUE"""),0.00239)</f>
        <v>0.00239</v>
      </c>
      <c r="H5273" s="19" t="str">
        <f>IFERROR(__xludf.DUMMYFUNCTION("""COMPUTED_VALUE"""),"-")</f>
        <v>-</v>
      </c>
      <c r="I5273" s="19">
        <f>IFERROR(__xludf.DUMMYFUNCTION("""COMPUTED_VALUE"""),0.00225)</f>
        <v>0.00225</v>
      </c>
      <c r="J5273" s="19">
        <f>IFERROR(__xludf.DUMMYFUNCTION("""COMPUTED_VALUE"""),0.04747)</f>
        <v>0.04747</v>
      </c>
      <c r="K5273" s="19" t="str">
        <f>IFERROR(__xludf.DUMMYFUNCTION("""COMPUTED_VALUE"""),"-")</f>
        <v>-</v>
      </c>
      <c r="L5273" s="19" t="str">
        <f>IFERROR(__xludf.DUMMYFUNCTION("""COMPUTED_VALUE"""),"-")</f>
        <v>-</v>
      </c>
      <c r="O5273" s="24">
        <f t="shared" si="4"/>
        <v>0</v>
      </c>
      <c r="P5273" s="24"/>
      <c r="Q5273" s="24">
        <f t="shared" si="6"/>
        <v>0</v>
      </c>
      <c r="R5273" s="24">
        <f t="shared" si="7"/>
        <v>0</v>
      </c>
      <c r="S5273" s="24"/>
      <c r="T5273" s="24"/>
    </row>
    <row r="5274">
      <c r="A5274" s="12" t="s">
        <v>5361</v>
      </c>
      <c r="F5274" s="19">
        <f>IFERROR(__xludf.DUMMYFUNCTION("SPLIT(A5270, "" |"")"),5268.0)</f>
        <v>5268</v>
      </c>
      <c r="G5274" s="19">
        <f>IFERROR(__xludf.DUMMYFUNCTION("""COMPUTED_VALUE"""),0.00238)</f>
        <v>0.00238</v>
      </c>
      <c r="H5274" s="19" t="str">
        <f>IFERROR(__xludf.DUMMYFUNCTION("""COMPUTED_VALUE"""),"-")</f>
        <v>-</v>
      </c>
      <c r="I5274" s="19">
        <f>IFERROR(__xludf.DUMMYFUNCTION("""COMPUTED_VALUE"""),0.00222)</f>
        <v>0.00222</v>
      </c>
      <c r="J5274" s="19">
        <f>IFERROR(__xludf.DUMMYFUNCTION("""COMPUTED_VALUE"""),0.04746)</f>
        <v>0.04746</v>
      </c>
      <c r="K5274" s="19" t="str">
        <f>IFERROR(__xludf.DUMMYFUNCTION("""COMPUTED_VALUE"""),"-")</f>
        <v>-</v>
      </c>
      <c r="L5274" s="19" t="str">
        <f>IFERROR(__xludf.DUMMYFUNCTION("""COMPUTED_VALUE"""),"-")</f>
        <v>-</v>
      </c>
      <c r="O5274" s="24">
        <f t="shared" si="4"/>
        <v>0</v>
      </c>
      <c r="P5274" s="24"/>
      <c r="Q5274" s="24">
        <f t="shared" si="6"/>
        <v>0</v>
      </c>
      <c r="R5274" s="24">
        <f t="shared" si="7"/>
        <v>0</v>
      </c>
      <c r="S5274" s="24"/>
      <c r="T5274" s="24"/>
    </row>
    <row r="5275">
      <c r="A5275" s="12" t="s">
        <v>5362</v>
      </c>
      <c r="F5275" s="19">
        <f>IFERROR(__xludf.DUMMYFUNCTION("SPLIT(A5271, "" |"")"),5269.0)</f>
        <v>5269</v>
      </c>
      <c r="G5275" s="19">
        <f>IFERROR(__xludf.DUMMYFUNCTION("""COMPUTED_VALUE"""),0.00233)</f>
        <v>0.00233</v>
      </c>
      <c r="H5275" s="19" t="str">
        <f>IFERROR(__xludf.DUMMYFUNCTION("""COMPUTED_VALUE"""),"-")</f>
        <v>-</v>
      </c>
      <c r="I5275" s="19">
        <f>IFERROR(__xludf.DUMMYFUNCTION("""COMPUTED_VALUE"""),0.00225)</f>
        <v>0.00225</v>
      </c>
      <c r="J5275" s="19">
        <f>IFERROR(__xludf.DUMMYFUNCTION("""COMPUTED_VALUE"""),0.04491)</f>
        <v>0.04491</v>
      </c>
      <c r="K5275" s="19" t="str">
        <f>IFERROR(__xludf.DUMMYFUNCTION("""COMPUTED_VALUE"""),"-")</f>
        <v>-</v>
      </c>
      <c r="L5275" s="19" t="str">
        <f>IFERROR(__xludf.DUMMYFUNCTION("""COMPUTED_VALUE"""),"-")</f>
        <v>-</v>
      </c>
      <c r="O5275" s="24">
        <f t="shared" si="4"/>
        <v>0</v>
      </c>
      <c r="P5275" s="24"/>
      <c r="Q5275" s="24">
        <f t="shared" si="6"/>
        <v>0</v>
      </c>
      <c r="R5275" s="24">
        <f t="shared" si="7"/>
        <v>1</v>
      </c>
      <c r="S5275" s="24"/>
      <c r="T5275" s="24"/>
    </row>
    <row r="5276">
      <c r="A5276" s="12" t="s">
        <v>5363</v>
      </c>
      <c r="F5276" s="19">
        <f>IFERROR(__xludf.DUMMYFUNCTION("SPLIT(A5272, "" |"")"),5270.0)</f>
        <v>5270</v>
      </c>
      <c r="G5276" s="19">
        <f>IFERROR(__xludf.DUMMYFUNCTION("""COMPUTED_VALUE"""),0.0024)</f>
        <v>0.0024</v>
      </c>
      <c r="H5276" s="19" t="str">
        <f>IFERROR(__xludf.DUMMYFUNCTION("""COMPUTED_VALUE"""),"-")</f>
        <v>-</v>
      </c>
      <c r="I5276" s="19">
        <f>IFERROR(__xludf.DUMMYFUNCTION("""COMPUTED_VALUE"""),0.00229)</f>
        <v>0.00229</v>
      </c>
      <c r="J5276" s="19">
        <f>IFERROR(__xludf.DUMMYFUNCTION("""COMPUTED_VALUE"""),0.04747)</f>
        <v>0.04747</v>
      </c>
      <c r="K5276" s="19" t="str">
        <f>IFERROR(__xludf.DUMMYFUNCTION("""COMPUTED_VALUE"""),"-")</f>
        <v>-</v>
      </c>
      <c r="L5276" s="19" t="str">
        <f>IFERROR(__xludf.DUMMYFUNCTION("""COMPUTED_VALUE"""),"-")</f>
        <v>-</v>
      </c>
      <c r="O5276" s="24">
        <f t="shared" si="4"/>
        <v>0</v>
      </c>
      <c r="P5276" s="24"/>
      <c r="Q5276" s="24">
        <f t="shared" si="6"/>
        <v>0</v>
      </c>
      <c r="R5276" s="24">
        <f t="shared" si="7"/>
        <v>0</v>
      </c>
      <c r="S5276" s="24"/>
      <c r="T5276" s="24"/>
    </row>
    <row r="5277">
      <c r="A5277" s="12" t="s">
        <v>5364</v>
      </c>
      <c r="F5277" s="19">
        <f>IFERROR(__xludf.DUMMYFUNCTION("SPLIT(A5273, "" |"")"),5271.0)</f>
        <v>5271</v>
      </c>
      <c r="G5277" s="19">
        <f>IFERROR(__xludf.DUMMYFUNCTION("""COMPUTED_VALUE"""),0.00241)</f>
        <v>0.00241</v>
      </c>
      <c r="H5277" s="19" t="str">
        <f>IFERROR(__xludf.DUMMYFUNCTION("""COMPUTED_VALUE"""),"-")</f>
        <v>-</v>
      </c>
      <c r="I5277" s="19">
        <f>IFERROR(__xludf.DUMMYFUNCTION("""COMPUTED_VALUE"""),0.00218)</f>
        <v>0.00218</v>
      </c>
      <c r="J5277" s="19">
        <f>IFERROR(__xludf.DUMMYFUNCTION("""COMPUTED_VALUE"""),0.04595)</f>
        <v>0.04595</v>
      </c>
      <c r="K5277" s="19" t="str">
        <f>IFERROR(__xludf.DUMMYFUNCTION("""COMPUTED_VALUE"""),"-")</f>
        <v>-</v>
      </c>
      <c r="L5277" s="19" t="str">
        <f>IFERROR(__xludf.DUMMYFUNCTION("""COMPUTED_VALUE"""),"-")</f>
        <v>-</v>
      </c>
      <c r="O5277" s="24">
        <f t="shared" si="4"/>
        <v>0</v>
      </c>
      <c r="P5277" s="24"/>
      <c r="Q5277" s="24">
        <f t="shared" si="6"/>
        <v>0</v>
      </c>
      <c r="R5277" s="24">
        <f t="shared" si="7"/>
        <v>0</v>
      </c>
      <c r="S5277" s="24"/>
      <c r="T5277" s="24"/>
    </row>
    <row r="5278">
      <c r="A5278" s="12" t="s">
        <v>5365</v>
      </c>
      <c r="F5278" s="19">
        <f>IFERROR(__xludf.DUMMYFUNCTION("SPLIT(A5274, "" |"")"),5272.0)</f>
        <v>5272</v>
      </c>
      <c r="G5278" s="19">
        <f>IFERROR(__xludf.DUMMYFUNCTION("""COMPUTED_VALUE"""),0.00242)</f>
        <v>0.00242</v>
      </c>
      <c r="H5278" s="19" t="str">
        <f>IFERROR(__xludf.DUMMYFUNCTION("""COMPUTED_VALUE"""),"-")</f>
        <v>-</v>
      </c>
      <c r="I5278" s="19">
        <f>IFERROR(__xludf.DUMMYFUNCTION("""COMPUTED_VALUE"""),0.00219)</f>
        <v>0.00219</v>
      </c>
      <c r="J5278" s="19">
        <f>IFERROR(__xludf.DUMMYFUNCTION("""COMPUTED_VALUE"""),0.04748)</f>
        <v>0.04748</v>
      </c>
      <c r="K5278" s="19" t="str">
        <f>IFERROR(__xludf.DUMMYFUNCTION("""COMPUTED_VALUE"""),"-")</f>
        <v>-</v>
      </c>
      <c r="L5278" s="19" t="str">
        <f>IFERROR(__xludf.DUMMYFUNCTION("""COMPUTED_VALUE"""),"-")</f>
        <v>-</v>
      </c>
      <c r="O5278" s="24">
        <f t="shared" si="4"/>
        <v>0</v>
      </c>
      <c r="P5278" s="24"/>
      <c r="Q5278" s="24">
        <f t="shared" si="6"/>
        <v>0</v>
      </c>
      <c r="R5278" s="24">
        <f t="shared" si="7"/>
        <v>0</v>
      </c>
      <c r="S5278" s="24"/>
      <c r="T5278" s="24"/>
    </row>
    <row r="5279">
      <c r="A5279" s="12" t="s">
        <v>5366</v>
      </c>
      <c r="F5279" s="19">
        <f>IFERROR(__xludf.DUMMYFUNCTION("SPLIT(A5275, "" |"")"),5273.0)</f>
        <v>5273</v>
      </c>
      <c r="G5279" s="19">
        <f>IFERROR(__xludf.DUMMYFUNCTION("""COMPUTED_VALUE"""),0.00237)</f>
        <v>0.00237</v>
      </c>
      <c r="H5279" s="19" t="str">
        <f>IFERROR(__xludf.DUMMYFUNCTION("""COMPUTED_VALUE"""),"-")</f>
        <v>-</v>
      </c>
      <c r="I5279" s="19">
        <f>IFERROR(__xludf.DUMMYFUNCTION("""COMPUTED_VALUE"""),0.00222)</f>
        <v>0.00222</v>
      </c>
      <c r="J5279" s="19">
        <f>IFERROR(__xludf.DUMMYFUNCTION("""COMPUTED_VALUE"""),0.04747)</f>
        <v>0.04747</v>
      </c>
      <c r="K5279" s="19" t="str">
        <f>IFERROR(__xludf.DUMMYFUNCTION("""COMPUTED_VALUE"""),"-")</f>
        <v>-</v>
      </c>
      <c r="L5279" s="19" t="str">
        <f>IFERROR(__xludf.DUMMYFUNCTION("""COMPUTED_VALUE"""),"-")</f>
        <v>-</v>
      </c>
      <c r="O5279" s="24">
        <f t="shared" si="4"/>
        <v>0</v>
      </c>
      <c r="P5279" s="24"/>
      <c r="Q5279" s="24">
        <f t="shared" si="6"/>
        <v>0</v>
      </c>
      <c r="R5279" s="24">
        <f t="shared" si="7"/>
        <v>0</v>
      </c>
      <c r="S5279" s="24"/>
      <c r="T5279" s="24"/>
    </row>
    <row r="5280">
      <c r="A5280" s="12" t="s">
        <v>5367</v>
      </c>
      <c r="F5280" s="19">
        <f>IFERROR(__xludf.DUMMYFUNCTION("SPLIT(A5276, "" |"")"),5274.0)</f>
        <v>5274</v>
      </c>
      <c r="G5280" s="19">
        <f>IFERROR(__xludf.DUMMYFUNCTION("""COMPUTED_VALUE"""),0.0024)</f>
        <v>0.0024</v>
      </c>
      <c r="H5280" s="19" t="str">
        <f>IFERROR(__xludf.DUMMYFUNCTION("""COMPUTED_VALUE"""),"-")</f>
        <v>-</v>
      </c>
      <c r="I5280" s="19">
        <f>IFERROR(__xludf.DUMMYFUNCTION("""COMPUTED_VALUE"""),0.00229)</f>
        <v>0.00229</v>
      </c>
      <c r="J5280" s="19">
        <f>IFERROR(__xludf.DUMMYFUNCTION("""COMPUTED_VALUE"""),0.04747)</f>
        <v>0.04747</v>
      </c>
      <c r="K5280" s="19" t="str">
        <f>IFERROR(__xludf.DUMMYFUNCTION("""COMPUTED_VALUE"""),"-")</f>
        <v>-</v>
      </c>
      <c r="L5280" s="19" t="str">
        <f>IFERROR(__xludf.DUMMYFUNCTION("""COMPUTED_VALUE"""),"-")</f>
        <v>-</v>
      </c>
      <c r="O5280" s="24">
        <f t="shared" si="4"/>
        <v>0</v>
      </c>
      <c r="P5280" s="24"/>
      <c r="Q5280" s="24">
        <f t="shared" si="6"/>
        <v>0</v>
      </c>
      <c r="R5280" s="24">
        <f t="shared" si="7"/>
        <v>0</v>
      </c>
      <c r="S5280" s="24"/>
      <c r="T5280" s="24"/>
    </row>
    <row r="5281">
      <c r="A5281" s="12" t="s">
        <v>5368</v>
      </c>
      <c r="F5281" s="19">
        <f>IFERROR(__xludf.DUMMYFUNCTION("SPLIT(A5277, "" |"")"),5275.0)</f>
        <v>5275</v>
      </c>
      <c r="G5281" s="19">
        <f>IFERROR(__xludf.DUMMYFUNCTION("""COMPUTED_VALUE"""),0.00232)</f>
        <v>0.00232</v>
      </c>
      <c r="H5281" s="19" t="str">
        <f>IFERROR(__xludf.DUMMYFUNCTION("""COMPUTED_VALUE"""),"-")</f>
        <v>-</v>
      </c>
      <c r="I5281" s="19">
        <f>IFERROR(__xludf.DUMMYFUNCTION("""COMPUTED_VALUE"""),0.00225)</f>
        <v>0.00225</v>
      </c>
      <c r="J5281" s="19">
        <f>IFERROR(__xludf.DUMMYFUNCTION("""COMPUTED_VALUE"""),0.04748)</f>
        <v>0.04748</v>
      </c>
      <c r="K5281" s="19" t="str">
        <f>IFERROR(__xludf.DUMMYFUNCTION("""COMPUTED_VALUE"""),"-")</f>
        <v>-</v>
      </c>
      <c r="L5281" s="19" t="str">
        <f>IFERROR(__xludf.DUMMYFUNCTION("""COMPUTED_VALUE"""),"-")</f>
        <v>-</v>
      </c>
      <c r="O5281" s="24">
        <f t="shared" si="4"/>
        <v>0</v>
      </c>
      <c r="P5281" s="24"/>
      <c r="Q5281" s="24">
        <f t="shared" si="6"/>
        <v>0</v>
      </c>
      <c r="R5281" s="24">
        <f t="shared" si="7"/>
        <v>0</v>
      </c>
      <c r="S5281" s="24"/>
      <c r="T5281" s="24"/>
    </row>
    <row r="5282">
      <c r="A5282" s="12" t="s">
        <v>5369</v>
      </c>
      <c r="F5282" s="19">
        <f>IFERROR(__xludf.DUMMYFUNCTION("SPLIT(A5278, "" |"")"),5276.0)</f>
        <v>5276</v>
      </c>
      <c r="G5282" s="19">
        <f>IFERROR(__xludf.DUMMYFUNCTION("""COMPUTED_VALUE"""),0.00235)</f>
        <v>0.00235</v>
      </c>
      <c r="H5282" s="19" t="str">
        <f>IFERROR(__xludf.DUMMYFUNCTION("""COMPUTED_VALUE"""),"-")</f>
        <v>-</v>
      </c>
      <c r="I5282" s="19">
        <f>IFERROR(__xludf.DUMMYFUNCTION("""COMPUTED_VALUE"""),0.00221)</f>
        <v>0.00221</v>
      </c>
      <c r="J5282" s="19">
        <f>IFERROR(__xludf.DUMMYFUNCTION("""COMPUTED_VALUE"""),0.04749)</f>
        <v>0.04749</v>
      </c>
      <c r="K5282" s="19" t="str">
        <f>IFERROR(__xludf.DUMMYFUNCTION("""COMPUTED_VALUE"""),"-")</f>
        <v>-</v>
      </c>
      <c r="L5282" s="19" t="str">
        <f>IFERROR(__xludf.DUMMYFUNCTION("""COMPUTED_VALUE"""),"-")</f>
        <v>-</v>
      </c>
      <c r="O5282" s="24">
        <f t="shared" si="4"/>
        <v>0</v>
      </c>
      <c r="P5282" s="24"/>
      <c r="Q5282" s="24">
        <f t="shared" si="6"/>
        <v>0</v>
      </c>
      <c r="R5282" s="24">
        <f t="shared" si="7"/>
        <v>0</v>
      </c>
      <c r="S5282" s="24"/>
      <c r="T5282" s="24"/>
    </row>
    <row r="5283">
      <c r="A5283" s="12" t="s">
        <v>5370</v>
      </c>
      <c r="F5283" s="19">
        <f>IFERROR(__xludf.DUMMYFUNCTION("SPLIT(A5279, "" |"")"),5277.0)</f>
        <v>5277</v>
      </c>
      <c r="G5283" s="19">
        <f>IFERROR(__xludf.DUMMYFUNCTION("""COMPUTED_VALUE"""),0.00233)</f>
        <v>0.00233</v>
      </c>
      <c r="H5283" s="19" t="str">
        <f>IFERROR(__xludf.DUMMYFUNCTION("""COMPUTED_VALUE"""),"-")</f>
        <v>-</v>
      </c>
      <c r="I5283" s="19">
        <f>IFERROR(__xludf.DUMMYFUNCTION("""COMPUTED_VALUE"""),0.00222)</f>
        <v>0.00222</v>
      </c>
      <c r="J5283" s="19">
        <f>IFERROR(__xludf.DUMMYFUNCTION("""COMPUTED_VALUE"""),0.03984)</f>
        <v>0.03984</v>
      </c>
      <c r="K5283" s="19" t="str">
        <f>IFERROR(__xludf.DUMMYFUNCTION("""COMPUTED_VALUE"""),"-")</f>
        <v>-</v>
      </c>
      <c r="L5283" s="19" t="str">
        <f>IFERROR(__xludf.DUMMYFUNCTION("""COMPUTED_VALUE"""),"-")</f>
        <v>-</v>
      </c>
      <c r="O5283" s="24">
        <f t="shared" si="4"/>
        <v>0</v>
      </c>
      <c r="P5283" s="24"/>
      <c r="Q5283" s="24">
        <f t="shared" si="6"/>
        <v>0</v>
      </c>
      <c r="R5283" s="24">
        <f t="shared" si="7"/>
        <v>1</v>
      </c>
      <c r="S5283" s="24"/>
      <c r="T5283" s="24"/>
    </row>
    <row r="5284">
      <c r="A5284" s="12" t="s">
        <v>5371</v>
      </c>
      <c r="F5284" s="19">
        <f>IFERROR(__xludf.DUMMYFUNCTION("SPLIT(A5280, "" |"")"),5278.0)</f>
        <v>5278</v>
      </c>
      <c r="G5284" s="19">
        <f>IFERROR(__xludf.DUMMYFUNCTION("""COMPUTED_VALUE"""),0.00238)</f>
        <v>0.00238</v>
      </c>
      <c r="H5284" s="19" t="str">
        <f>IFERROR(__xludf.DUMMYFUNCTION("""COMPUTED_VALUE"""),"-")</f>
        <v>-</v>
      </c>
      <c r="I5284" s="19">
        <f>IFERROR(__xludf.DUMMYFUNCTION("""COMPUTED_VALUE"""),0.00221)</f>
        <v>0.00221</v>
      </c>
      <c r="J5284" s="19">
        <f>IFERROR(__xludf.DUMMYFUNCTION("""COMPUTED_VALUE"""),0.04742)</f>
        <v>0.04742</v>
      </c>
      <c r="K5284" s="19" t="str">
        <f>IFERROR(__xludf.DUMMYFUNCTION("""COMPUTED_VALUE"""),"-")</f>
        <v>-</v>
      </c>
      <c r="L5284" s="19" t="str">
        <f>IFERROR(__xludf.DUMMYFUNCTION("""COMPUTED_VALUE"""),"-")</f>
        <v>-</v>
      </c>
      <c r="O5284" s="24">
        <f t="shared" si="4"/>
        <v>0</v>
      </c>
      <c r="P5284" s="24"/>
      <c r="Q5284" s="24">
        <f t="shared" si="6"/>
        <v>0</v>
      </c>
      <c r="R5284" s="24">
        <f t="shared" si="7"/>
        <v>0</v>
      </c>
      <c r="S5284" s="24"/>
      <c r="T5284" s="24"/>
    </row>
    <row r="5285">
      <c r="A5285" s="12" t="s">
        <v>5372</v>
      </c>
      <c r="F5285" s="19">
        <f>IFERROR(__xludf.DUMMYFUNCTION("SPLIT(A5281, "" |"")"),5279.0)</f>
        <v>5279</v>
      </c>
      <c r="G5285" s="19">
        <f>IFERROR(__xludf.DUMMYFUNCTION("""COMPUTED_VALUE"""),0.00238)</f>
        <v>0.00238</v>
      </c>
      <c r="H5285" s="19" t="str">
        <f>IFERROR(__xludf.DUMMYFUNCTION("""COMPUTED_VALUE"""),"-")</f>
        <v>-</v>
      </c>
      <c r="I5285" s="19">
        <f>IFERROR(__xludf.DUMMYFUNCTION("""COMPUTED_VALUE"""),0.00223)</f>
        <v>0.00223</v>
      </c>
      <c r="J5285" s="19">
        <f>IFERROR(__xludf.DUMMYFUNCTION("""COMPUTED_VALUE"""),0.04698)</f>
        <v>0.04698</v>
      </c>
      <c r="K5285" s="19" t="str">
        <f>IFERROR(__xludf.DUMMYFUNCTION("""COMPUTED_VALUE"""),"-")</f>
        <v>-</v>
      </c>
      <c r="L5285" s="19" t="str">
        <f>IFERROR(__xludf.DUMMYFUNCTION("""COMPUTED_VALUE"""),"-")</f>
        <v>-</v>
      </c>
      <c r="O5285" s="24">
        <f t="shared" si="4"/>
        <v>0</v>
      </c>
      <c r="P5285" s="24"/>
      <c r="Q5285" s="24">
        <f t="shared" si="6"/>
        <v>0</v>
      </c>
      <c r="R5285" s="24">
        <f t="shared" si="7"/>
        <v>0</v>
      </c>
      <c r="S5285" s="24"/>
      <c r="T5285" s="24"/>
    </row>
    <row r="5286">
      <c r="A5286" s="12" t="s">
        <v>5373</v>
      </c>
      <c r="F5286" s="19">
        <f>IFERROR(__xludf.DUMMYFUNCTION("SPLIT(A5282, "" |"")"),5280.0)</f>
        <v>5280</v>
      </c>
      <c r="G5286" s="19">
        <f>IFERROR(__xludf.DUMMYFUNCTION("""COMPUTED_VALUE"""),0.00227)</f>
        <v>0.00227</v>
      </c>
      <c r="H5286" s="19" t="str">
        <f>IFERROR(__xludf.DUMMYFUNCTION("""COMPUTED_VALUE"""),"-")</f>
        <v>-</v>
      </c>
      <c r="I5286" s="19">
        <f>IFERROR(__xludf.DUMMYFUNCTION("""COMPUTED_VALUE"""),0.00222)</f>
        <v>0.00222</v>
      </c>
      <c r="J5286" s="19">
        <f>IFERROR(__xludf.DUMMYFUNCTION("""COMPUTED_VALUE"""),0.04743)</f>
        <v>0.04743</v>
      </c>
      <c r="K5286" s="19" t="str">
        <f>IFERROR(__xludf.DUMMYFUNCTION("""COMPUTED_VALUE"""),"-")</f>
        <v>-</v>
      </c>
      <c r="L5286" s="19" t="str">
        <f>IFERROR(__xludf.DUMMYFUNCTION("""COMPUTED_VALUE"""),"-")</f>
        <v>-</v>
      </c>
      <c r="O5286" s="24">
        <f t="shared" si="4"/>
        <v>0</v>
      </c>
      <c r="P5286" s="24"/>
      <c r="Q5286" s="24">
        <f t="shared" si="6"/>
        <v>0</v>
      </c>
      <c r="R5286" s="24">
        <f t="shared" si="7"/>
        <v>0</v>
      </c>
      <c r="S5286" s="24"/>
      <c r="T5286" s="24"/>
    </row>
    <row r="5287">
      <c r="A5287" s="12" t="s">
        <v>5374</v>
      </c>
      <c r="F5287" s="19">
        <f>IFERROR(__xludf.DUMMYFUNCTION("SPLIT(A5283, "" |"")"),5281.0)</f>
        <v>5281</v>
      </c>
      <c r="G5287" s="19">
        <f>IFERROR(__xludf.DUMMYFUNCTION("""COMPUTED_VALUE"""),0.00231)</f>
        <v>0.00231</v>
      </c>
      <c r="H5287" s="19" t="str">
        <f>IFERROR(__xludf.DUMMYFUNCTION("""COMPUTED_VALUE"""),"-")</f>
        <v>-</v>
      </c>
      <c r="I5287" s="19">
        <f>IFERROR(__xludf.DUMMYFUNCTION("""COMPUTED_VALUE"""),0.00225)</f>
        <v>0.00225</v>
      </c>
      <c r="J5287" s="19">
        <f>IFERROR(__xludf.DUMMYFUNCTION("""COMPUTED_VALUE"""),0.04741)</f>
        <v>0.04741</v>
      </c>
      <c r="K5287" s="19" t="str">
        <f>IFERROR(__xludf.DUMMYFUNCTION("""COMPUTED_VALUE"""),"-")</f>
        <v>-</v>
      </c>
      <c r="L5287" s="19" t="str">
        <f>IFERROR(__xludf.DUMMYFUNCTION("""COMPUTED_VALUE"""),"-")</f>
        <v>-</v>
      </c>
      <c r="O5287" s="24">
        <f t="shared" si="4"/>
        <v>0</v>
      </c>
      <c r="P5287" s="24"/>
      <c r="Q5287" s="24">
        <f t="shared" si="6"/>
        <v>0</v>
      </c>
      <c r="R5287" s="24">
        <f t="shared" si="7"/>
        <v>0</v>
      </c>
      <c r="S5287" s="24"/>
      <c r="T5287" s="24"/>
    </row>
    <row r="5288">
      <c r="A5288" s="12" t="s">
        <v>5375</v>
      </c>
      <c r="F5288" s="19">
        <f>IFERROR(__xludf.DUMMYFUNCTION("SPLIT(A5284, "" |"")"),5282.0)</f>
        <v>5282</v>
      </c>
      <c r="G5288" s="19">
        <f>IFERROR(__xludf.DUMMYFUNCTION("""COMPUTED_VALUE"""),0.0024)</f>
        <v>0.0024</v>
      </c>
      <c r="H5288" s="19" t="str">
        <f>IFERROR(__xludf.DUMMYFUNCTION("""COMPUTED_VALUE"""),"-")</f>
        <v>-</v>
      </c>
      <c r="I5288" s="19">
        <f>IFERROR(__xludf.DUMMYFUNCTION("""COMPUTED_VALUE"""),0.00224)</f>
        <v>0.00224</v>
      </c>
      <c r="J5288" s="19">
        <f>IFERROR(__xludf.DUMMYFUNCTION("""COMPUTED_VALUE"""),0.04065)</f>
        <v>0.04065</v>
      </c>
      <c r="K5288" s="19" t="str">
        <f>IFERROR(__xludf.DUMMYFUNCTION("""COMPUTED_VALUE"""),"-")</f>
        <v>-</v>
      </c>
      <c r="L5288" s="19" t="str">
        <f>IFERROR(__xludf.DUMMYFUNCTION("""COMPUTED_VALUE"""),"-")</f>
        <v>-</v>
      </c>
      <c r="O5288" s="24">
        <f t="shared" si="4"/>
        <v>0</v>
      </c>
      <c r="P5288" s="24"/>
      <c r="Q5288" s="24">
        <f t="shared" si="6"/>
        <v>0</v>
      </c>
      <c r="R5288" s="24">
        <f t="shared" si="7"/>
        <v>1</v>
      </c>
      <c r="S5288" s="24"/>
      <c r="T5288" s="24"/>
    </row>
    <row r="5289">
      <c r="A5289" s="12" t="s">
        <v>5376</v>
      </c>
      <c r="F5289" s="19">
        <f>IFERROR(__xludf.DUMMYFUNCTION("SPLIT(A5285, "" |"")"),5283.0)</f>
        <v>5283</v>
      </c>
      <c r="G5289" s="19">
        <f>IFERROR(__xludf.DUMMYFUNCTION("""COMPUTED_VALUE"""),0.00231)</f>
        <v>0.00231</v>
      </c>
      <c r="H5289" s="19" t="str">
        <f>IFERROR(__xludf.DUMMYFUNCTION("""COMPUTED_VALUE"""),"-")</f>
        <v>-</v>
      </c>
      <c r="I5289" s="19">
        <f>IFERROR(__xludf.DUMMYFUNCTION("""COMPUTED_VALUE"""),0.00219)</f>
        <v>0.00219</v>
      </c>
      <c r="J5289" s="19">
        <f>IFERROR(__xludf.DUMMYFUNCTION("""COMPUTED_VALUE"""),0.04746)</f>
        <v>0.04746</v>
      </c>
      <c r="K5289" s="19" t="str">
        <f>IFERROR(__xludf.DUMMYFUNCTION("""COMPUTED_VALUE"""),"-")</f>
        <v>-</v>
      </c>
      <c r="L5289" s="19" t="str">
        <f>IFERROR(__xludf.DUMMYFUNCTION("""COMPUTED_VALUE"""),"-")</f>
        <v>-</v>
      </c>
      <c r="O5289" s="24">
        <f t="shared" si="4"/>
        <v>0</v>
      </c>
      <c r="P5289" s="24"/>
      <c r="Q5289" s="24">
        <f t="shared" si="6"/>
        <v>0</v>
      </c>
      <c r="R5289" s="24">
        <f t="shared" si="7"/>
        <v>0</v>
      </c>
      <c r="S5289" s="24"/>
      <c r="T5289" s="24"/>
    </row>
    <row r="5290">
      <c r="A5290" s="12" t="s">
        <v>5377</v>
      </c>
      <c r="F5290" s="19">
        <f>IFERROR(__xludf.DUMMYFUNCTION("SPLIT(A5286, "" |"")"),5284.0)</f>
        <v>5284</v>
      </c>
      <c r="G5290" s="19">
        <f>IFERROR(__xludf.DUMMYFUNCTION("""COMPUTED_VALUE"""),0.00242)</f>
        <v>0.00242</v>
      </c>
      <c r="H5290" s="19" t="str">
        <f>IFERROR(__xludf.DUMMYFUNCTION("""COMPUTED_VALUE"""),"-")</f>
        <v>-</v>
      </c>
      <c r="I5290" s="19">
        <f>IFERROR(__xludf.DUMMYFUNCTION("""COMPUTED_VALUE"""),0.00224)</f>
        <v>0.00224</v>
      </c>
      <c r="J5290" s="19">
        <f>IFERROR(__xludf.DUMMYFUNCTION("""COMPUTED_VALUE"""),0.04743)</f>
        <v>0.04743</v>
      </c>
      <c r="K5290" s="19" t="str">
        <f>IFERROR(__xludf.DUMMYFUNCTION("""COMPUTED_VALUE"""),"-")</f>
        <v>-</v>
      </c>
      <c r="L5290" s="19" t="str">
        <f>IFERROR(__xludf.DUMMYFUNCTION("""COMPUTED_VALUE"""),"-")</f>
        <v>-</v>
      </c>
      <c r="O5290" s="24">
        <f t="shared" si="4"/>
        <v>0</v>
      </c>
      <c r="P5290" s="24"/>
      <c r="Q5290" s="24">
        <f t="shared" si="6"/>
        <v>0</v>
      </c>
      <c r="R5290" s="24">
        <f t="shared" si="7"/>
        <v>0</v>
      </c>
      <c r="S5290" s="24"/>
      <c r="T5290" s="24"/>
    </row>
    <row r="5291">
      <c r="A5291" s="12" t="s">
        <v>5378</v>
      </c>
      <c r="F5291" s="19">
        <f>IFERROR(__xludf.DUMMYFUNCTION("SPLIT(A5287, "" |"")"),5285.0)</f>
        <v>5285</v>
      </c>
      <c r="G5291" s="19">
        <f>IFERROR(__xludf.DUMMYFUNCTION("""COMPUTED_VALUE"""),0.00232)</f>
        <v>0.00232</v>
      </c>
      <c r="H5291" s="19" t="str">
        <f>IFERROR(__xludf.DUMMYFUNCTION("""COMPUTED_VALUE"""),"-")</f>
        <v>-</v>
      </c>
      <c r="I5291" s="19">
        <f>IFERROR(__xludf.DUMMYFUNCTION("""COMPUTED_VALUE"""),0.0022)</f>
        <v>0.0022</v>
      </c>
      <c r="J5291" s="19">
        <f>IFERROR(__xludf.DUMMYFUNCTION("""COMPUTED_VALUE"""),0.04745)</f>
        <v>0.04745</v>
      </c>
      <c r="K5291" s="19" t="str">
        <f>IFERROR(__xludf.DUMMYFUNCTION("""COMPUTED_VALUE"""),"-")</f>
        <v>-</v>
      </c>
      <c r="L5291" s="19" t="str">
        <f>IFERROR(__xludf.DUMMYFUNCTION("""COMPUTED_VALUE"""),"-")</f>
        <v>-</v>
      </c>
      <c r="O5291" s="24">
        <f t="shared" si="4"/>
        <v>0</v>
      </c>
      <c r="P5291" s="24"/>
      <c r="Q5291" s="24">
        <f t="shared" si="6"/>
        <v>0</v>
      </c>
      <c r="R5291" s="24">
        <f t="shared" si="7"/>
        <v>0</v>
      </c>
      <c r="S5291" s="24"/>
      <c r="T5291" s="24"/>
    </row>
    <row r="5292">
      <c r="A5292" s="12" t="s">
        <v>5379</v>
      </c>
      <c r="F5292" s="19">
        <f>IFERROR(__xludf.DUMMYFUNCTION("SPLIT(A5288, "" |"")"),5286.0)</f>
        <v>5286</v>
      </c>
      <c r="G5292" s="19">
        <f>IFERROR(__xludf.DUMMYFUNCTION("""COMPUTED_VALUE"""),0.00237)</f>
        <v>0.00237</v>
      </c>
      <c r="H5292" s="19" t="str">
        <f>IFERROR(__xludf.DUMMYFUNCTION("""COMPUTED_VALUE"""),"-")</f>
        <v>-</v>
      </c>
      <c r="I5292" s="19">
        <f>IFERROR(__xludf.DUMMYFUNCTION("""COMPUTED_VALUE"""),0.0022)</f>
        <v>0.0022</v>
      </c>
      <c r="J5292" s="19">
        <f>IFERROR(__xludf.DUMMYFUNCTION("""COMPUTED_VALUE"""),0.04747)</f>
        <v>0.04747</v>
      </c>
      <c r="K5292" s="19" t="str">
        <f>IFERROR(__xludf.DUMMYFUNCTION("""COMPUTED_VALUE"""),"-")</f>
        <v>-</v>
      </c>
      <c r="L5292" s="19" t="str">
        <f>IFERROR(__xludf.DUMMYFUNCTION("""COMPUTED_VALUE"""),"-")</f>
        <v>-</v>
      </c>
      <c r="O5292" s="24">
        <f t="shared" si="4"/>
        <v>0</v>
      </c>
      <c r="P5292" s="24"/>
      <c r="Q5292" s="24">
        <f t="shared" si="6"/>
        <v>0</v>
      </c>
      <c r="R5292" s="24">
        <f t="shared" si="7"/>
        <v>0</v>
      </c>
      <c r="S5292" s="24"/>
      <c r="T5292" s="24"/>
    </row>
    <row r="5293">
      <c r="A5293" s="12" t="s">
        <v>5380</v>
      </c>
      <c r="F5293" s="19">
        <f>IFERROR(__xludf.DUMMYFUNCTION("SPLIT(A5289, "" |"")"),5287.0)</f>
        <v>5287</v>
      </c>
      <c r="G5293" s="19">
        <f>IFERROR(__xludf.DUMMYFUNCTION("""COMPUTED_VALUE"""),0.00232)</f>
        <v>0.00232</v>
      </c>
      <c r="H5293" s="19" t="str">
        <f>IFERROR(__xludf.DUMMYFUNCTION("""COMPUTED_VALUE"""),"-")</f>
        <v>-</v>
      </c>
      <c r="I5293" s="19">
        <f>IFERROR(__xludf.DUMMYFUNCTION("""COMPUTED_VALUE"""),0.00223)</f>
        <v>0.00223</v>
      </c>
      <c r="J5293" s="19">
        <f>IFERROR(__xludf.DUMMYFUNCTION("""COMPUTED_VALUE"""),0.04748)</f>
        <v>0.04748</v>
      </c>
      <c r="K5293" s="19" t="str">
        <f>IFERROR(__xludf.DUMMYFUNCTION("""COMPUTED_VALUE"""),"-")</f>
        <v>-</v>
      </c>
      <c r="L5293" s="19" t="str">
        <f>IFERROR(__xludf.DUMMYFUNCTION("""COMPUTED_VALUE"""),"-")</f>
        <v>-</v>
      </c>
      <c r="O5293" s="24">
        <f t="shared" si="4"/>
        <v>0</v>
      </c>
      <c r="P5293" s="24"/>
      <c r="Q5293" s="24">
        <f t="shared" si="6"/>
        <v>0</v>
      </c>
      <c r="R5293" s="24">
        <f t="shared" si="7"/>
        <v>0</v>
      </c>
      <c r="S5293" s="24"/>
      <c r="T5293" s="24"/>
    </row>
    <row r="5294">
      <c r="A5294" s="12" t="s">
        <v>5381</v>
      </c>
      <c r="F5294" s="19">
        <f>IFERROR(__xludf.DUMMYFUNCTION("SPLIT(A5290, "" |"")"),5288.0)</f>
        <v>5288</v>
      </c>
      <c r="G5294" s="19">
        <f>IFERROR(__xludf.DUMMYFUNCTION("""COMPUTED_VALUE"""),0.00234)</f>
        <v>0.00234</v>
      </c>
      <c r="H5294" s="19" t="str">
        <f>IFERROR(__xludf.DUMMYFUNCTION("""COMPUTED_VALUE"""),"-")</f>
        <v>-</v>
      </c>
      <c r="I5294" s="19">
        <f>IFERROR(__xludf.DUMMYFUNCTION("""COMPUTED_VALUE"""),0.00215)</f>
        <v>0.00215</v>
      </c>
      <c r="J5294" s="19">
        <f>IFERROR(__xludf.DUMMYFUNCTION("""COMPUTED_VALUE"""),0.04367)</f>
        <v>0.04367</v>
      </c>
      <c r="K5294" s="19" t="str">
        <f>IFERROR(__xludf.DUMMYFUNCTION("""COMPUTED_VALUE"""),"-")</f>
        <v>-</v>
      </c>
      <c r="L5294" s="19" t="str">
        <f>IFERROR(__xludf.DUMMYFUNCTION("""COMPUTED_VALUE"""),"-")</f>
        <v>-</v>
      </c>
      <c r="O5294" s="24">
        <f t="shared" si="4"/>
        <v>0</v>
      </c>
      <c r="P5294" s="24"/>
      <c r="Q5294" s="24">
        <f t="shared" si="6"/>
        <v>0</v>
      </c>
      <c r="R5294" s="24">
        <f t="shared" si="7"/>
        <v>1</v>
      </c>
      <c r="S5294" s="24"/>
      <c r="T5294" s="24"/>
    </row>
    <row r="5295">
      <c r="A5295" s="12" t="s">
        <v>5382</v>
      </c>
      <c r="F5295" s="19">
        <f>IFERROR(__xludf.DUMMYFUNCTION("SPLIT(A5291, "" |"")"),5289.0)</f>
        <v>5289</v>
      </c>
      <c r="G5295" s="19">
        <f>IFERROR(__xludf.DUMMYFUNCTION("""COMPUTED_VALUE"""),0.00239)</f>
        <v>0.00239</v>
      </c>
      <c r="H5295" s="19" t="str">
        <f>IFERROR(__xludf.DUMMYFUNCTION("""COMPUTED_VALUE"""),"-")</f>
        <v>-</v>
      </c>
      <c r="I5295" s="19">
        <f>IFERROR(__xludf.DUMMYFUNCTION("""COMPUTED_VALUE"""),0.00226)</f>
        <v>0.00226</v>
      </c>
      <c r="J5295" s="19">
        <f>IFERROR(__xludf.DUMMYFUNCTION("""COMPUTED_VALUE"""),0.04742)</f>
        <v>0.04742</v>
      </c>
      <c r="K5295" s="19" t="str">
        <f>IFERROR(__xludf.DUMMYFUNCTION("""COMPUTED_VALUE"""),"-")</f>
        <v>-</v>
      </c>
      <c r="L5295" s="19" t="str">
        <f>IFERROR(__xludf.DUMMYFUNCTION("""COMPUTED_VALUE"""),"-")</f>
        <v>-</v>
      </c>
      <c r="O5295" s="24">
        <f t="shared" si="4"/>
        <v>0</v>
      </c>
      <c r="P5295" s="24"/>
      <c r="Q5295" s="24">
        <f t="shared" si="6"/>
        <v>0</v>
      </c>
      <c r="R5295" s="24">
        <f t="shared" si="7"/>
        <v>0</v>
      </c>
      <c r="S5295" s="24"/>
      <c r="T5295" s="24"/>
    </row>
    <row r="5296">
      <c r="A5296" s="12" t="s">
        <v>5383</v>
      </c>
      <c r="F5296" s="19">
        <f>IFERROR(__xludf.DUMMYFUNCTION("SPLIT(A5292, "" |"")"),5290.0)</f>
        <v>5290</v>
      </c>
      <c r="G5296" s="19">
        <f>IFERROR(__xludf.DUMMYFUNCTION("""COMPUTED_VALUE"""),0.00244)</f>
        <v>0.00244</v>
      </c>
      <c r="H5296" s="19" t="str">
        <f>IFERROR(__xludf.DUMMYFUNCTION("""COMPUTED_VALUE"""),"-")</f>
        <v>-</v>
      </c>
      <c r="I5296" s="19">
        <f>IFERROR(__xludf.DUMMYFUNCTION("""COMPUTED_VALUE"""),0.00218)</f>
        <v>0.00218</v>
      </c>
      <c r="J5296" s="19">
        <f>IFERROR(__xludf.DUMMYFUNCTION("""COMPUTED_VALUE"""),0.0474)</f>
        <v>0.0474</v>
      </c>
      <c r="K5296" s="19" t="str">
        <f>IFERROR(__xludf.DUMMYFUNCTION("""COMPUTED_VALUE"""),"-")</f>
        <v>-</v>
      </c>
      <c r="L5296" s="19" t="str">
        <f>IFERROR(__xludf.DUMMYFUNCTION("""COMPUTED_VALUE"""),"-")</f>
        <v>-</v>
      </c>
      <c r="O5296" s="24">
        <f t="shared" si="4"/>
        <v>0</v>
      </c>
      <c r="P5296" s="24"/>
      <c r="Q5296" s="24">
        <f t="shared" si="6"/>
        <v>0</v>
      </c>
      <c r="R5296" s="24">
        <f t="shared" si="7"/>
        <v>0</v>
      </c>
      <c r="S5296" s="24"/>
      <c r="T5296" s="24"/>
    </row>
    <row r="5297">
      <c r="A5297" s="12" t="s">
        <v>5384</v>
      </c>
      <c r="F5297" s="19">
        <f>IFERROR(__xludf.DUMMYFUNCTION("SPLIT(A5293, "" |"")"),5291.0)</f>
        <v>5291</v>
      </c>
      <c r="G5297" s="19">
        <f>IFERROR(__xludf.DUMMYFUNCTION("""COMPUTED_VALUE"""),0.00238)</f>
        <v>0.00238</v>
      </c>
      <c r="H5297" s="19" t="str">
        <f>IFERROR(__xludf.DUMMYFUNCTION("""COMPUTED_VALUE"""),"-")</f>
        <v>-</v>
      </c>
      <c r="I5297" s="19">
        <f>IFERROR(__xludf.DUMMYFUNCTION("""COMPUTED_VALUE"""),0.00224)</f>
        <v>0.00224</v>
      </c>
      <c r="J5297" s="19">
        <f>IFERROR(__xludf.DUMMYFUNCTION("""COMPUTED_VALUE"""),0.04349)</f>
        <v>0.04349</v>
      </c>
      <c r="K5297" s="19" t="str">
        <f>IFERROR(__xludf.DUMMYFUNCTION("""COMPUTED_VALUE"""),"-")</f>
        <v>-</v>
      </c>
      <c r="L5297" s="19" t="str">
        <f>IFERROR(__xludf.DUMMYFUNCTION("""COMPUTED_VALUE"""),"-")</f>
        <v>-</v>
      </c>
      <c r="O5297" s="24">
        <f t="shared" si="4"/>
        <v>0</v>
      </c>
      <c r="P5297" s="24"/>
      <c r="Q5297" s="24">
        <f t="shared" si="6"/>
        <v>0</v>
      </c>
      <c r="R5297" s="24">
        <f t="shared" si="7"/>
        <v>1</v>
      </c>
      <c r="S5297" s="24"/>
      <c r="T5297" s="24"/>
    </row>
    <row r="5298">
      <c r="A5298" s="12" t="s">
        <v>5385</v>
      </c>
      <c r="F5298" s="19">
        <f>IFERROR(__xludf.DUMMYFUNCTION("SPLIT(A5294, "" |"")"),5292.0)</f>
        <v>5292</v>
      </c>
      <c r="G5298" s="19">
        <f>IFERROR(__xludf.DUMMYFUNCTION("""COMPUTED_VALUE"""),0.0024)</f>
        <v>0.0024</v>
      </c>
      <c r="H5298" s="19" t="str">
        <f>IFERROR(__xludf.DUMMYFUNCTION("""COMPUTED_VALUE"""),"-")</f>
        <v>-</v>
      </c>
      <c r="I5298" s="19">
        <f>IFERROR(__xludf.DUMMYFUNCTION("""COMPUTED_VALUE"""),0.00223)</f>
        <v>0.00223</v>
      </c>
      <c r="J5298" s="19">
        <f>IFERROR(__xludf.DUMMYFUNCTION("""COMPUTED_VALUE"""),0.04746)</f>
        <v>0.04746</v>
      </c>
      <c r="K5298" s="19" t="str">
        <f>IFERROR(__xludf.DUMMYFUNCTION("""COMPUTED_VALUE"""),"-")</f>
        <v>-</v>
      </c>
      <c r="L5298" s="19" t="str">
        <f>IFERROR(__xludf.DUMMYFUNCTION("""COMPUTED_VALUE"""),"-")</f>
        <v>-</v>
      </c>
      <c r="O5298" s="24">
        <f t="shared" si="4"/>
        <v>0</v>
      </c>
      <c r="P5298" s="24"/>
      <c r="Q5298" s="24">
        <f t="shared" si="6"/>
        <v>0</v>
      </c>
      <c r="R5298" s="24">
        <f t="shared" si="7"/>
        <v>0</v>
      </c>
      <c r="S5298" s="24"/>
      <c r="T5298" s="24"/>
    </row>
    <row r="5299">
      <c r="A5299" s="12" t="s">
        <v>5386</v>
      </c>
      <c r="F5299" s="19">
        <f>IFERROR(__xludf.DUMMYFUNCTION("SPLIT(A5295, "" |"")"),5293.0)</f>
        <v>5293</v>
      </c>
      <c r="G5299" s="19">
        <f>IFERROR(__xludf.DUMMYFUNCTION("""COMPUTED_VALUE"""),0.00236)</f>
        <v>0.00236</v>
      </c>
      <c r="H5299" s="19" t="str">
        <f>IFERROR(__xludf.DUMMYFUNCTION("""COMPUTED_VALUE"""),"-")</f>
        <v>-</v>
      </c>
      <c r="I5299" s="19">
        <f>IFERROR(__xludf.DUMMYFUNCTION("""COMPUTED_VALUE"""),0.00214)</f>
        <v>0.00214</v>
      </c>
      <c r="J5299" s="19">
        <f>IFERROR(__xludf.DUMMYFUNCTION("""COMPUTED_VALUE"""),0.04752)</f>
        <v>0.04752</v>
      </c>
      <c r="K5299" s="19" t="str">
        <f>IFERROR(__xludf.DUMMYFUNCTION("""COMPUTED_VALUE"""),"-")</f>
        <v>-</v>
      </c>
      <c r="L5299" s="19" t="str">
        <f>IFERROR(__xludf.DUMMYFUNCTION("""COMPUTED_VALUE"""),"-")</f>
        <v>-</v>
      </c>
      <c r="O5299" s="24">
        <f t="shared" si="4"/>
        <v>0</v>
      </c>
      <c r="P5299" s="24"/>
      <c r="Q5299" s="24">
        <f t="shared" si="6"/>
        <v>0</v>
      </c>
      <c r="R5299" s="24">
        <f t="shared" si="7"/>
        <v>0</v>
      </c>
      <c r="S5299" s="24"/>
      <c r="T5299" s="24"/>
    </row>
    <row r="5300">
      <c r="A5300" s="12" t="s">
        <v>5387</v>
      </c>
      <c r="F5300" s="19">
        <f>IFERROR(__xludf.DUMMYFUNCTION("SPLIT(A5296, "" |"")"),5294.0)</f>
        <v>5294</v>
      </c>
      <c r="G5300" s="19">
        <f>IFERROR(__xludf.DUMMYFUNCTION("""COMPUTED_VALUE"""),0.00237)</f>
        <v>0.00237</v>
      </c>
      <c r="H5300" s="19" t="str">
        <f>IFERROR(__xludf.DUMMYFUNCTION("""COMPUTED_VALUE"""),"-")</f>
        <v>-</v>
      </c>
      <c r="I5300" s="19">
        <f>IFERROR(__xludf.DUMMYFUNCTION("""COMPUTED_VALUE"""),0.00221)</f>
        <v>0.00221</v>
      </c>
      <c r="J5300" s="19">
        <f>IFERROR(__xludf.DUMMYFUNCTION("""COMPUTED_VALUE"""),0.04746)</f>
        <v>0.04746</v>
      </c>
      <c r="K5300" s="19" t="str">
        <f>IFERROR(__xludf.DUMMYFUNCTION("""COMPUTED_VALUE"""),"-")</f>
        <v>-</v>
      </c>
      <c r="L5300" s="19" t="str">
        <f>IFERROR(__xludf.DUMMYFUNCTION("""COMPUTED_VALUE"""),"-")</f>
        <v>-</v>
      </c>
      <c r="O5300" s="24">
        <f t="shared" si="4"/>
        <v>0</v>
      </c>
      <c r="P5300" s="24"/>
      <c r="Q5300" s="24">
        <f t="shared" si="6"/>
        <v>0</v>
      </c>
      <c r="R5300" s="24">
        <f t="shared" si="7"/>
        <v>0</v>
      </c>
      <c r="S5300" s="24"/>
      <c r="T5300" s="24"/>
    </row>
    <row r="5301">
      <c r="A5301" s="12" t="s">
        <v>5388</v>
      </c>
      <c r="F5301" s="19">
        <f>IFERROR(__xludf.DUMMYFUNCTION("SPLIT(A5297, "" |"")"),5295.0)</f>
        <v>5295</v>
      </c>
      <c r="G5301" s="19">
        <f>IFERROR(__xludf.DUMMYFUNCTION("""COMPUTED_VALUE"""),0.00232)</f>
        <v>0.00232</v>
      </c>
      <c r="H5301" s="19" t="str">
        <f>IFERROR(__xludf.DUMMYFUNCTION("""COMPUTED_VALUE"""),"-")</f>
        <v>-</v>
      </c>
      <c r="I5301" s="19">
        <f>IFERROR(__xludf.DUMMYFUNCTION("""COMPUTED_VALUE"""),0.00219)</f>
        <v>0.00219</v>
      </c>
      <c r="J5301" s="19">
        <f>IFERROR(__xludf.DUMMYFUNCTION("""COMPUTED_VALUE"""),0.04745)</f>
        <v>0.04745</v>
      </c>
      <c r="K5301" s="19" t="str">
        <f>IFERROR(__xludf.DUMMYFUNCTION("""COMPUTED_VALUE"""),"-")</f>
        <v>-</v>
      </c>
      <c r="L5301" s="19" t="str">
        <f>IFERROR(__xludf.DUMMYFUNCTION("""COMPUTED_VALUE"""),"-")</f>
        <v>-</v>
      </c>
      <c r="O5301" s="24">
        <f t="shared" si="4"/>
        <v>0</v>
      </c>
      <c r="P5301" s="24"/>
      <c r="Q5301" s="24">
        <f t="shared" si="6"/>
        <v>0</v>
      </c>
      <c r="R5301" s="24">
        <f t="shared" si="7"/>
        <v>0</v>
      </c>
      <c r="S5301" s="24"/>
      <c r="T5301" s="24"/>
    </row>
    <row r="5302">
      <c r="A5302" s="12" t="s">
        <v>5389</v>
      </c>
      <c r="F5302" s="19">
        <f>IFERROR(__xludf.DUMMYFUNCTION("SPLIT(A5298, "" |"")"),5296.0)</f>
        <v>5296</v>
      </c>
      <c r="G5302" s="19">
        <f>IFERROR(__xludf.DUMMYFUNCTION("""COMPUTED_VALUE"""),0.00238)</f>
        <v>0.00238</v>
      </c>
      <c r="H5302" s="19" t="str">
        <f>IFERROR(__xludf.DUMMYFUNCTION("""COMPUTED_VALUE"""),"-")</f>
        <v>-</v>
      </c>
      <c r="I5302" s="19">
        <f>IFERROR(__xludf.DUMMYFUNCTION("""COMPUTED_VALUE"""),0.00225)</f>
        <v>0.00225</v>
      </c>
      <c r="J5302" s="19">
        <f>IFERROR(__xludf.DUMMYFUNCTION("""COMPUTED_VALUE"""),0.04738)</f>
        <v>0.04738</v>
      </c>
      <c r="K5302" s="19" t="str">
        <f>IFERROR(__xludf.DUMMYFUNCTION("""COMPUTED_VALUE"""),"-")</f>
        <v>-</v>
      </c>
      <c r="L5302" s="19" t="str">
        <f>IFERROR(__xludf.DUMMYFUNCTION("""COMPUTED_VALUE"""),"-")</f>
        <v>-</v>
      </c>
      <c r="O5302" s="24">
        <f t="shared" si="4"/>
        <v>0</v>
      </c>
      <c r="P5302" s="24"/>
      <c r="Q5302" s="24">
        <f t="shared" si="6"/>
        <v>0</v>
      </c>
      <c r="R5302" s="24">
        <f t="shared" si="7"/>
        <v>0</v>
      </c>
      <c r="S5302" s="24"/>
      <c r="T5302" s="24"/>
    </row>
    <row r="5303">
      <c r="A5303" s="12" t="s">
        <v>5390</v>
      </c>
      <c r="F5303" s="19">
        <f>IFERROR(__xludf.DUMMYFUNCTION("SPLIT(A5299, "" |"")"),5297.0)</f>
        <v>5297</v>
      </c>
      <c r="G5303" s="19">
        <f>IFERROR(__xludf.DUMMYFUNCTION("""COMPUTED_VALUE"""),0.00223)</f>
        <v>0.00223</v>
      </c>
      <c r="H5303" s="19" t="str">
        <f>IFERROR(__xludf.DUMMYFUNCTION("""COMPUTED_VALUE"""),"-")</f>
        <v>-</v>
      </c>
      <c r="I5303" s="19">
        <f>IFERROR(__xludf.DUMMYFUNCTION("""COMPUTED_VALUE"""),0.0021)</f>
        <v>0.0021</v>
      </c>
      <c r="J5303" s="19">
        <f>IFERROR(__xludf.DUMMYFUNCTION("""COMPUTED_VALUE"""),0.04729)</f>
        <v>0.04729</v>
      </c>
      <c r="K5303" s="19" t="str">
        <f>IFERROR(__xludf.DUMMYFUNCTION("""COMPUTED_VALUE"""),"-")</f>
        <v>-</v>
      </c>
      <c r="L5303" s="19" t="str">
        <f>IFERROR(__xludf.DUMMYFUNCTION("""COMPUTED_VALUE"""),"-")</f>
        <v>-</v>
      </c>
      <c r="O5303" s="24">
        <f t="shared" si="4"/>
        <v>0</v>
      </c>
      <c r="P5303" s="24"/>
      <c r="Q5303" s="24">
        <f t="shared" si="6"/>
        <v>0</v>
      </c>
      <c r="R5303" s="24">
        <f t="shared" si="7"/>
        <v>0</v>
      </c>
      <c r="S5303" s="24"/>
      <c r="T5303" s="24"/>
    </row>
    <row r="5304">
      <c r="A5304" s="12" t="s">
        <v>5391</v>
      </c>
      <c r="F5304" s="19">
        <f>IFERROR(__xludf.DUMMYFUNCTION("SPLIT(A5300, "" |"")"),5298.0)</f>
        <v>5298</v>
      </c>
      <c r="G5304" s="19">
        <f>IFERROR(__xludf.DUMMYFUNCTION("""COMPUTED_VALUE"""),0.00225)</f>
        <v>0.00225</v>
      </c>
      <c r="H5304" s="19" t="str">
        <f>IFERROR(__xludf.DUMMYFUNCTION("""COMPUTED_VALUE"""),"-")</f>
        <v>-</v>
      </c>
      <c r="I5304" s="19">
        <f>IFERROR(__xludf.DUMMYFUNCTION("""COMPUTED_VALUE"""),0.00211)</f>
        <v>0.00211</v>
      </c>
      <c r="J5304" s="19">
        <f>IFERROR(__xludf.DUMMYFUNCTION("""COMPUTED_VALUE"""),0.04071)</f>
        <v>0.04071</v>
      </c>
      <c r="K5304" s="19" t="str">
        <f>IFERROR(__xludf.DUMMYFUNCTION("""COMPUTED_VALUE"""),"-")</f>
        <v>-</v>
      </c>
      <c r="L5304" s="19" t="str">
        <f>IFERROR(__xludf.DUMMYFUNCTION("""COMPUTED_VALUE"""),"-")</f>
        <v>-</v>
      </c>
      <c r="O5304" s="24">
        <f t="shared" si="4"/>
        <v>0</v>
      </c>
      <c r="P5304" s="24"/>
      <c r="Q5304" s="24">
        <f t="shared" si="6"/>
        <v>0</v>
      </c>
      <c r="R5304" s="24">
        <f t="shared" si="7"/>
        <v>1</v>
      </c>
      <c r="S5304" s="24"/>
      <c r="T5304" s="24"/>
    </row>
    <row r="5305">
      <c r="A5305" s="12" t="s">
        <v>5392</v>
      </c>
      <c r="F5305" s="19">
        <f>IFERROR(__xludf.DUMMYFUNCTION("SPLIT(A5301, "" |"")"),5299.0)</f>
        <v>5299</v>
      </c>
      <c r="G5305" s="19">
        <f>IFERROR(__xludf.DUMMYFUNCTION("""COMPUTED_VALUE"""),0.00234)</f>
        <v>0.00234</v>
      </c>
      <c r="H5305" s="19" t="str">
        <f>IFERROR(__xludf.DUMMYFUNCTION("""COMPUTED_VALUE"""),"-")</f>
        <v>-</v>
      </c>
      <c r="I5305" s="19">
        <f>IFERROR(__xludf.DUMMYFUNCTION("""COMPUTED_VALUE"""),0.00217)</f>
        <v>0.00217</v>
      </c>
      <c r="J5305" s="19">
        <f>IFERROR(__xludf.DUMMYFUNCTION("""COMPUTED_VALUE"""),0.04746)</f>
        <v>0.04746</v>
      </c>
      <c r="K5305" s="19" t="str">
        <f>IFERROR(__xludf.DUMMYFUNCTION("""COMPUTED_VALUE"""),"-")</f>
        <v>-</v>
      </c>
      <c r="L5305" s="19" t="str">
        <f>IFERROR(__xludf.DUMMYFUNCTION("""COMPUTED_VALUE"""),"-")</f>
        <v>-</v>
      </c>
      <c r="O5305" s="24">
        <f t="shared" si="4"/>
        <v>0</v>
      </c>
      <c r="P5305" s="24"/>
      <c r="Q5305" s="24">
        <f t="shared" si="6"/>
        <v>0</v>
      </c>
      <c r="R5305" s="24">
        <f t="shared" si="7"/>
        <v>0</v>
      </c>
      <c r="S5305" s="24"/>
      <c r="T5305" s="24"/>
    </row>
    <row r="5306">
      <c r="A5306" s="12" t="s">
        <v>5393</v>
      </c>
      <c r="F5306" s="19">
        <f>IFERROR(__xludf.DUMMYFUNCTION("SPLIT(A5302, "" |"")"),5300.0)</f>
        <v>5300</v>
      </c>
      <c r="G5306" s="19">
        <f>IFERROR(__xludf.DUMMYFUNCTION("""COMPUTED_VALUE"""),0.00233)</f>
        <v>0.00233</v>
      </c>
      <c r="H5306" s="19" t="str">
        <f>IFERROR(__xludf.DUMMYFUNCTION("""COMPUTED_VALUE"""),"-")</f>
        <v>-</v>
      </c>
      <c r="I5306" s="19">
        <f>IFERROR(__xludf.DUMMYFUNCTION("""COMPUTED_VALUE"""),0.00224)</f>
        <v>0.00224</v>
      </c>
      <c r="J5306" s="19">
        <f>IFERROR(__xludf.DUMMYFUNCTION("""COMPUTED_VALUE"""),0.04756)</f>
        <v>0.04756</v>
      </c>
      <c r="K5306" s="19" t="str">
        <f>IFERROR(__xludf.DUMMYFUNCTION("""COMPUTED_VALUE"""),"-")</f>
        <v>-</v>
      </c>
      <c r="L5306" s="19" t="str">
        <f>IFERROR(__xludf.DUMMYFUNCTION("""COMPUTED_VALUE"""),"-")</f>
        <v>-</v>
      </c>
      <c r="O5306" s="24">
        <f t="shared" si="4"/>
        <v>0</v>
      </c>
      <c r="P5306" s="24"/>
      <c r="Q5306" s="24">
        <f t="shared" si="6"/>
        <v>0</v>
      </c>
      <c r="R5306" s="24">
        <f t="shared" si="7"/>
        <v>0</v>
      </c>
      <c r="S5306" s="24"/>
      <c r="T5306" s="24"/>
    </row>
    <row r="5307">
      <c r="A5307" s="12" t="s">
        <v>5394</v>
      </c>
      <c r="F5307" s="19">
        <f>IFERROR(__xludf.DUMMYFUNCTION("SPLIT(A5303, "" |"")"),5301.0)</f>
        <v>5301</v>
      </c>
      <c r="G5307" s="19">
        <f>IFERROR(__xludf.DUMMYFUNCTION("""COMPUTED_VALUE"""),0.00245)</f>
        <v>0.00245</v>
      </c>
      <c r="H5307" s="19" t="str">
        <f>IFERROR(__xludf.DUMMYFUNCTION("""COMPUTED_VALUE"""),"-")</f>
        <v>-</v>
      </c>
      <c r="I5307" s="19">
        <f>IFERROR(__xludf.DUMMYFUNCTION("""COMPUTED_VALUE"""),0.00221)</f>
        <v>0.00221</v>
      </c>
      <c r="J5307" s="19">
        <f>IFERROR(__xludf.DUMMYFUNCTION("""COMPUTED_VALUE"""),0.04743)</f>
        <v>0.04743</v>
      </c>
      <c r="K5307" s="19" t="str">
        <f>IFERROR(__xludf.DUMMYFUNCTION("""COMPUTED_VALUE"""),"-")</f>
        <v>-</v>
      </c>
      <c r="L5307" s="19" t="str">
        <f>IFERROR(__xludf.DUMMYFUNCTION("""COMPUTED_VALUE"""),"-")</f>
        <v>-</v>
      </c>
      <c r="O5307" s="24">
        <f t="shared" si="4"/>
        <v>0</v>
      </c>
      <c r="P5307" s="24"/>
      <c r="Q5307" s="24">
        <f t="shared" si="6"/>
        <v>0</v>
      </c>
      <c r="R5307" s="24">
        <f t="shared" si="7"/>
        <v>0</v>
      </c>
      <c r="S5307" s="24"/>
      <c r="T5307" s="24"/>
    </row>
    <row r="5308">
      <c r="A5308" s="12" t="s">
        <v>5395</v>
      </c>
      <c r="F5308" s="19">
        <f>IFERROR(__xludf.DUMMYFUNCTION("SPLIT(A5304, "" |"")"),5302.0)</f>
        <v>5302</v>
      </c>
      <c r="G5308" s="19">
        <f>IFERROR(__xludf.DUMMYFUNCTION("""COMPUTED_VALUE"""),0.0024)</f>
        <v>0.0024</v>
      </c>
      <c r="H5308" s="19" t="str">
        <f>IFERROR(__xludf.DUMMYFUNCTION("""COMPUTED_VALUE"""),"-")</f>
        <v>-</v>
      </c>
      <c r="I5308" s="19">
        <f>IFERROR(__xludf.DUMMYFUNCTION("""COMPUTED_VALUE"""),0.00219)</f>
        <v>0.00219</v>
      </c>
      <c r="J5308" s="19">
        <f>IFERROR(__xludf.DUMMYFUNCTION("""COMPUTED_VALUE"""),0.04736)</f>
        <v>0.04736</v>
      </c>
      <c r="K5308" s="19" t="str">
        <f>IFERROR(__xludf.DUMMYFUNCTION("""COMPUTED_VALUE"""),"-")</f>
        <v>-</v>
      </c>
      <c r="L5308" s="19" t="str">
        <f>IFERROR(__xludf.DUMMYFUNCTION("""COMPUTED_VALUE"""),"-")</f>
        <v>-</v>
      </c>
      <c r="O5308" s="24">
        <f t="shared" si="4"/>
        <v>0</v>
      </c>
      <c r="P5308" s="24"/>
      <c r="Q5308" s="24">
        <f t="shared" si="6"/>
        <v>0</v>
      </c>
      <c r="R5308" s="24">
        <f t="shared" si="7"/>
        <v>0</v>
      </c>
      <c r="S5308" s="24"/>
      <c r="T5308" s="24"/>
    </row>
    <row r="5309">
      <c r="A5309" s="12" t="s">
        <v>5396</v>
      </c>
      <c r="F5309" s="19">
        <f>IFERROR(__xludf.DUMMYFUNCTION("SPLIT(A5305, "" |"")"),5303.0)</f>
        <v>5303</v>
      </c>
      <c r="G5309" s="19">
        <f>IFERROR(__xludf.DUMMYFUNCTION("""COMPUTED_VALUE"""),0.00231)</f>
        <v>0.00231</v>
      </c>
      <c r="H5309" s="19" t="str">
        <f>IFERROR(__xludf.DUMMYFUNCTION("""COMPUTED_VALUE"""),"-")</f>
        <v>-</v>
      </c>
      <c r="I5309" s="19">
        <f>IFERROR(__xludf.DUMMYFUNCTION("""COMPUTED_VALUE"""),0.00225)</f>
        <v>0.00225</v>
      </c>
      <c r="J5309" s="19">
        <f>IFERROR(__xludf.DUMMYFUNCTION("""COMPUTED_VALUE"""),0.04746)</f>
        <v>0.04746</v>
      </c>
      <c r="K5309" s="19" t="str">
        <f>IFERROR(__xludf.DUMMYFUNCTION("""COMPUTED_VALUE"""),"-")</f>
        <v>-</v>
      </c>
      <c r="L5309" s="19" t="str">
        <f>IFERROR(__xludf.DUMMYFUNCTION("""COMPUTED_VALUE"""),"-")</f>
        <v>-</v>
      </c>
      <c r="O5309" s="24">
        <f t="shared" si="4"/>
        <v>0</v>
      </c>
      <c r="P5309" s="24"/>
      <c r="Q5309" s="24">
        <f t="shared" si="6"/>
        <v>0</v>
      </c>
      <c r="R5309" s="24">
        <f t="shared" si="7"/>
        <v>0</v>
      </c>
      <c r="S5309" s="24"/>
      <c r="T5309" s="24"/>
    </row>
    <row r="5310">
      <c r="A5310" s="12" t="s">
        <v>5397</v>
      </c>
      <c r="F5310" s="19">
        <f>IFERROR(__xludf.DUMMYFUNCTION("SPLIT(A5306, "" |"")"),5304.0)</f>
        <v>5304</v>
      </c>
      <c r="G5310" s="19">
        <f>IFERROR(__xludf.DUMMYFUNCTION("""COMPUTED_VALUE"""),0.0024)</f>
        <v>0.0024</v>
      </c>
      <c r="H5310" s="19" t="str">
        <f>IFERROR(__xludf.DUMMYFUNCTION("""COMPUTED_VALUE"""),"-")</f>
        <v>-</v>
      </c>
      <c r="I5310" s="19">
        <f>IFERROR(__xludf.DUMMYFUNCTION("""COMPUTED_VALUE"""),0.00224)</f>
        <v>0.00224</v>
      </c>
      <c r="J5310" s="19">
        <f>IFERROR(__xludf.DUMMYFUNCTION("""COMPUTED_VALUE"""),0.04741)</f>
        <v>0.04741</v>
      </c>
      <c r="K5310" s="19" t="str">
        <f>IFERROR(__xludf.DUMMYFUNCTION("""COMPUTED_VALUE"""),"-")</f>
        <v>-</v>
      </c>
      <c r="L5310" s="19" t="str">
        <f>IFERROR(__xludf.DUMMYFUNCTION("""COMPUTED_VALUE"""),"-")</f>
        <v>-</v>
      </c>
      <c r="O5310" s="24">
        <f t="shared" si="4"/>
        <v>0</v>
      </c>
      <c r="P5310" s="24"/>
      <c r="Q5310" s="24">
        <f t="shared" si="6"/>
        <v>0</v>
      </c>
      <c r="R5310" s="24">
        <f t="shared" si="7"/>
        <v>0</v>
      </c>
      <c r="S5310" s="24"/>
      <c r="T5310" s="24"/>
    </row>
    <row r="5311">
      <c r="A5311" s="12" t="s">
        <v>5398</v>
      </c>
      <c r="F5311" s="19">
        <f>IFERROR(__xludf.DUMMYFUNCTION("SPLIT(A5307, "" |"")"),5305.0)</f>
        <v>5305</v>
      </c>
      <c r="G5311" s="19">
        <f>IFERROR(__xludf.DUMMYFUNCTION("""COMPUTED_VALUE"""),0.00234)</f>
        <v>0.00234</v>
      </c>
      <c r="H5311" s="19" t="str">
        <f>IFERROR(__xludf.DUMMYFUNCTION("""COMPUTED_VALUE"""),"-")</f>
        <v>-</v>
      </c>
      <c r="I5311" s="19">
        <f>IFERROR(__xludf.DUMMYFUNCTION("""COMPUTED_VALUE"""),0.00221)</f>
        <v>0.00221</v>
      </c>
      <c r="J5311" s="19">
        <f>IFERROR(__xludf.DUMMYFUNCTION("""COMPUTED_VALUE"""),0.04747)</f>
        <v>0.04747</v>
      </c>
      <c r="K5311" s="19" t="str">
        <f>IFERROR(__xludf.DUMMYFUNCTION("""COMPUTED_VALUE"""),"-")</f>
        <v>-</v>
      </c>
      <c r="L5311" s="19" t="str">
        <f>IFERROR(__xludf.DUMMYFUNCTION("""COMPUTED_VALUE"""),"-")</f>
        <v>-</v>
      </c>
      <c r="O5311" s="24">
        <f t="shared" si="4"/>
        <v>0</v>
      </c>
      <c r="P5311" s="24"/>
      <c r="Q5311" s="24">
        <f t="shared" si="6"/>
        <v>0</v>
      </c>
      <c r="R5311" s="24">
        <f t="shared" si="7"/>
        <v>0</v>
      </c>
      <c r="S5311" s="24"/>
      <c r="T5311" s="24"/>
    </row>
    <row r="5312">
      <c r="A5312" s="12" t="s">
        <v>5399</v>
      </c>
      <c r="F5312" s="19">
        <f>IFERROR(__xludf.DUMMYFUNCTION("SPLIT(A5308, "" |"")"),5306.0)</f>
        <v>5306</v>
      </c>
      <c r="G5312" s="19">
        <f>IFERROR(__xludf.DUMMYFUNCTION("""COMPUTED_VALUE"""),0.00237)</f>
        <v>0.00237</v>
      </c>
      <c r="H5312" s="19" t="str">
        <f>IFERROR(__xludf.DUMMYFUNCTION("""COMPUTED_VALUE"""),"-")</f>
        <v>-</v>
      </c>
      <c r="I5312" s="19">
        <f>IFERROR(__xludf.DUMMYFUNCTION("""COMPUTED_VALUE"""),0.00222)</f>
        <v>0.00222</v>
      </c>
      <c r="J5312" s="19">
        <f>IFERROR(__xludf.DUMMYFUNCTION("""COMPUTED_VALUE"""),0.03902)</f>
        <v>0.03902</v>
      </c>
      <c r="K5312" s="19" t="str">
        <f>IFERROR(__xludf.DUMMYFUNCTION("""COMPUTED_VALUE"""),"-")</f>
        <v>-</v>
      </c>
      <c r="L5312" s="19" t="str">
        <f>IFERROR(__xludf.DUMMYFUNCTION("""COMPUTED_VALUE"""),"-")</f>
        <v>-</v>
      </c>
      <c r="O5312" s="24">
        <f t="shared" si="4"/>
        <v>0</v>
      </c>
      <c r="P5312" s="24"/>
      <c r="Q5312" s="24">
        <f t="shared" si="6"/>
        <v>0</v>
      </c>
      <c r="R5312" s="24">
        <f t="shared" si="7"/>
        <v>1</v>
      </c>
      <c r="S5312" s="24"/>
      <c r="T5312" s="24"/>
    </row>
    <row r="5313">
      <c r="A5313" s="12" t="s">
        <v>5400</v>
      </c>
      <c r="F5313" s="19">
        <f>IFERROR(__xludf.DUMMYFUNCTION("SPLIT(A5309, "" |"")"),5307.0)</f>
        <v>5307</v>
      </c>
      <c r="G5313" s="19">
        <f>IFERROR(__xludf.DUMMYFUNCTION("""COMPUTED_VALUE"""),0.00231)</f>
        <v>0.00231</v>
      </c>
      <c r="H5313" s="19" t="str">
        <f>IFERROR(__xludf.DUMMYFUNCTION("""COMPUTED_VALUE"""),"-")</f>
        <v>-</v>
      </c>
      <c r="I5313" s="19">
        <f>IFERROR(__xludf.DUMMYFUNCTION("""COMPUTED_VALUE"""),0.0022)</f>
        <v>0.0022</v>
      </c>
      <c r="J5313" s="19">
        <f>IFERROR(__xludf.DUMMYFUNCTION("""COMPUTED_VALUE"""),0.04668)</f>
        <v>0.04668</v>
      </c>
      <c r="K5313" s="19" t="str">
        <f>IFERROR(__xludf.DUMMYFUNCTION("""COMPUTED_VALUE"""),"-")</f>
        <v>-</v>
      </c>
      <c r="L5313" s="19" t="str">
        <f>IFERROR(__xludf.DUMMYFUNCTION("""COMPUTED_VALUE"""),"-")</f>
        <v>-</v>
      </c>
      <c r="O5313" s="24">
        <f t="shared" si="4"/>
        <v>0</v>
      </c>
      <c r="P5313" s="24"/>
      <c r="Q5313" s="24">
        <f t="shared" si="6"/>
        <v>0</v>
      </c>
      <c r="R5313" s="24">
        <f t="shared" si="7"/>
        <v>0</v>
      </c>
      <c r="S5313" s="24"/>
      <c r="T5313" s="24"/>
    </row>
    <row r="5314">
      <c r="A5314" s="12" t="s">
        <v>5401</v>
      </c>
      <c r="F5314" s="19">
        <f>IFERROR(__xludf.DUMMYFUNCTION("SPLIT(A5310, "" |"")"),5308.0)</f>
        <v>5308</v>
      </c>
      <c r="G5314" s="19">
        <f>IFERROR(__xludf.DUMMYFUNCTION("""COMPUTED_VALUE"""),0.0024)</f>
        <v>0.0024</v>
      </c>
      <c r="H5314" s="19" t="str">
        <f>IFERROR(__xludf.DUMMYFUNCTION("""COMPUTED_VALUE"""),"-")</f>
        <v>-</v>
      </c>
      <c r="I5314" s="19">
        <f>IFERROR(__xludf.DUMMYFUNCTION("""COMPUTED_VALUE"""),0.00219)</f>
        <v>0.00219</v>
      </c>
      <c r="J5314" s="19">
        <f>IFERROR(__xludf.DUMMYFUNCTION("""COMPUTED_VALUE"""),0.04741)</f>
        <v>0.04741</v>
      </c>
      <c r="K5314" s="19" t="str">
        <f>IFERROR(__xludf.DUMMYFUNCTION("""COMPUTED_VALUE"""),"-")</f>
        <v>-</v>
      </c>
      <c r="L5314" s="19" t="str">
        <f>IFERROR(__xludf.DUMMYFUNCTION("""COMPUTED_VALUE"""),"-")</f>
        <v>-</v>
      </c>
      <c r="O5314" s="24">
        <f t="shared" si="4"/>
        <v>0</v>
      </c>
      <c r="P5314" s="24"/>
      <c r="Q5314" s="24">
        <f t="shared" si="6"/>
        <v>0</v>
      </c>
      <c r="R5314" s="24">
        <f t="shared" si="7"/>
        <v>0</v>
      </c>
      <c r="S5314" s="24"/>
      <c r="T5314" s="24"/>
    </row>
    <row r="5315">
      <c r="A5315" s="12" t="s">
        <v>5402</v>
      </c>
      <c r="F5315" s="19">
        <f>IFERROR(__xludf.DUMMYFUNCTION("SPLIT(A5311, "" |"")"),5309.0)</f>
        <v>5309</v>
      </c>
      <c r="G5315" s="19">
        <f>IFERROR(__xludf.DUMMYFUNCTION("""COMPUTED_VALUE"""),0.00229)</f>
        <v>0.00229</v>
      </c>
      <c r="H5315" s="19" t="str">
        <f>IFERROR(__xludf.DUMMYFUNCTION("""COMPUTED_VALUE"""),"-")</f>
        <v>-</v>
      </c>
      <c r="I5315" s="19">
        <f>IFERROR(__xludf.DUMMYFUNCTION("""COMPUTED_VALUE"""),0.00221)</f>
        <v>0.00221</v>
      </c>
      <c r="J5315" s="19">
        <f>IFERROR(__xludf.DUMMYFUNCTION("""COMPUTED_VALUE"""),0.04745)</f>
        <v>0.04745</v>
      </c>
      <c r="K5315" s="19" t="str">
        <f>IFERROR(__xludf.DUMMYFUNCTION("""COMPUTED_VALUE"""),"-")</f>
        <v>-</v>
      </c>
      <c r="L5315" s="19" t="str">
        <f>IFERROR(__xludf.DUMMYFUNCTION("""COMPUTED_VALUE"""),"-")</f>
        <v>-</v>
      </c>
      <c r="O5315" s="24">
        <f t="shared" si="4"/>
        <v>0</v>
      </c>
      <c r="P5315" s="24"/>
      <c r="Q5315" s="24">
        <f t="shared" si="6"/>
        <v>0</v>
      </c>
      <c r="R5315" s="24">
        <f t="shared" si="7"/>
        <v>0</v>
      </c>
      <c r="S5315" s="24"/>
      <c r="T5315" s="24"/>
    </row>
    <row r="5316">
      <c r="A5316" s="12" t="s">
        <v>5403</v>
      </c>
      <c r="F5316" s="19">
        <f>IFERROR(__xludf.DUMMYFUNCTION("SPLIT(A5312, "" |"")"),5310.0)</f>
        <v>5310</v>
      </c>
      <c r="G5316" s="19">
        <f>IFERROR(__xludf.DUMMYFUNCTION("""COMPUTED_VALUE"""),0.00236)</f>
        <v>0.00236</v>
      </c>
      <c r="H5316" s="19" t="str">
        <f>IFERROR(__xludf.DUMMYFUNCTION("""COMPUTED_VALUE"""),"-")</f>
        <v>-</v>
      </c>
      <c r="I5316" s="19">
        <f>IFERROR(__xludf.DUMMYFUNCTION("""COMPUTED_VALUE"""),0.00221)</f>
        <v>0.00221</v>
      </c>
      <c r="J5316" s="19">
        <f>IFERROR(__xludf.DUMMYFUNCTION("""COMPUTED_VALUE"""),0.04745)</f>
        <v>0.04745</v>
      </c>
      <c r="K5316" s="19" t="str">
        <f>IFERROR(__xludf.DUMMYFUNCTION("""COMPUTED_VALUE"""),"-")</f>
        <v>-</v>
      </c>
      <c r="L5316" s="19" t="str">
        <f>IFERROR(__xludf.DUMMYFUNCTION("""COMPUTED_VALUE"""),"-")</f>
        <v>-</v>
      </c>
      <c r="O5316" s="24">
        <f t="shared" si="4"/>
        <v>0</v>
      </c>
      <c r="P5316" s="24"/>
      <c r="Q5316" s="24">
        <f t="shared" si="6"/>
        <v>0</v>
      </c>
      <c r="R5316" s="24">
        <f t="shared" si="7"/>
        <v>0</v>
      </c>
      <c r="S5316" s="24"/>
      <c r="T5316" s="24"/>
    </row>
    <row r="5317">
      <c r="A5317" s="12" t="s">
        <v>5404</v>
      </c>
      <c r="F5317" s="19">
        <f>IFERROR(__xludf.DUMMYFUNCTION("SPLIT(A5313, "" |"")"),5311.0)</f>
        <v>5311</v>
      </c>
      <c r="G5317" s="19">
        <f>IFERROR(__xludf.DUMMYFUNCTION("""COMPUTED_VALUE"""),0.00232)</f>
        <v>0.00232</v>
      </c>
      <c r="H5317" s="19" t="str">
        <f>IFERROR(__xludf.DUMMYFUNCTION("""COMPUTED_VALUE"""),"-")</f>
        <v>-</v>
      </c>
      <c r="I5317" s="19">
        <f>IFERROR(__xludf.DUMMYFUNCTION("""COMPUTED_VALUE"""),0.0022)</f>
        <v>0.0022</v>
      </c>
      <c r="J5317" s="19">
        <f>IFERROR(__xludf.DUMMYFUNCTION("""COMPUTED_VALUE"""),0.04179)</f>
        <v>0.04179</v>
      </c>
      <c r="K5317" s="19" t="str">
        <f>IFERROR(__xludf.DUMMYFUNCTION("""COMPUTED_VALUE"""),"-")</f>
        <v>-</v>
      </c>
      <c r="L5317" s="19" t="str">
        <f>IFERROR(__xludf.DUMMYFUNCTION("""COMPUTED_VALUE"""),"-")</f>
        <v>-</v>
      </c>
      <c r="O5317" s="24">
        <f t="shared" si="4"/>
        <v>0</v>
      </c>
      <c r="P5317" s="24"/>
      <c r="Q5317" s="24">
        <f t="shared" si="6"/>
        <v>0</v>
      </c>
      <c r="R5317" s="24">
        <f t="shared" si="7"/>
        <v>1</v>
      </c>
      <c r="S5317" s="24"/>
      <c r="T5317" s="24"/>
    </row>
    <row r="5318">
      <c r="A5318" s="12" t="s">
        <v>5405</v>
      </c>
      <c r="F5318" s="19">
        <f>IFERROR(__xludf.DUMMYFUNCTION("SPLIT(A5314, "" |"")"),5312.0)</f>
        <v>5312</v>
      </c>
      <c r="G5318" s="19">
        <f>IFERROR(__xludf.DUMMYFUNCTION("""COMPUTED_VALUE"""),0.00232)</f>
        <v>0.00232</v>
      </c>
      <c r="H5318" s="19" t="str">
        <f>IFERROR(__xludf.DUMMYFUNCTION("""COMPUTED_VALUE"""),"-")</f>
        <v>-</v>
      </c>
      <c r="I5318" s="19">
        <f>IFERROR(__xludf.DUMMYFUNCTION("""COMPUTED_VALUE"""),0.00218)</f>
        <v>0.00218</v>
      </c>
      <c r="J5318" s="19">
        <f>IFERROR(__xludf.DUMMYFUNCTION("""COMPUTED_VALUE"""),0.04742)</f>
        <v>0.04742</v>
      </c>
      <c r="K5318" s="19" t="str">
        <f>IFERROR(__xludf.DUMMYFUNCTION("""COMPUTED_VALUE"""),"-")</f>
        <v>-</v>
      </c>
      <c r="L5318" s="19" t="str">
        <f>IFERROR(__xludf.DUMMYFUNCTION("""COMPUTED_VALUE"""),"-")</f>
        <v>-</v>
      </c>
      <c r="O5318" s="24">
        <f t="shared" si="4"/>
        <v>0</v>
      </c>
      <c r="P5318" s="24"/>
      <c r="Q5318" s="24">
        <f t="shared" si="6"/>
        <v>0</v>
      </c>
      <c r="R5318" s="24">
        <f t="shared" si="7"/>
        <v>0</v>
      </c>
      <c r="S5318" s="24"/>
      <c r="T5318" s="24"/>
    </row>
    <row r="5319">
      <c r="A5319" s="12" t="s">
        <v>5406</v>
      </c>
      <c r="F5319" s="19">
        <f>IFERROR(__xludf.DUMMYFUNCTION("SPLIT(A5315, "" |"")"),5313.0)</f>
        <v>5313</v>
      </c>
      <c r="G5319" s="19">
        <f>IFERROR(__xludf.DUMMYFUNCTION("""COMPUTED_VALUE"""),0.00235)</f>
        <v>0.00235</v>
      </c>
      <c r="H5319" s="19" t="str">
        <f>IFERROR(__xludf.DUMMYFUNCTION("""COMPUTED_VALUE"""),"-")</f>
        <v>-</v>
      </c>
      <c r="I5319" s="19">
        <f>IFERROR(__xludf.DUMMYFUNCTION("""COMPUTED_VALUE"""),0.00223)</f>
        <v>0.00223</v>
      </c>
      <c r="J5319" s="19">
        <f>IFERROR(__xludf.DUMMYFUNCTION("""COMPUTED_VALUE"""),0.04747)</f>
        <v>0.04747</v>
      </c>
      <c r="K5319" s="19" t="str">
        <f>IFERROR(__xludf.DUMMYFUNCTION("""COMPUTED_VALUE"""),"-")</f>
        <v>-</v>
      </c>
      <c r="L5319" s="19" t="str">
        <f>IFERROR(__xludf.DUMMYFUNCTION("""COMPUTED_VALUE"""),"-")</f>
        <v>-</v>
      </c>
      <c r="O5319" s="24">
        <f t="shared" si="4"/>
        <v>0</v>
      </c>
      <c r="P5319" s="24"/>
      <c r="Q5319" s="24">
        <f t="shared" si="6"/>
        <v>0</v>
      </c>
      <c r="R5319" s="24">
        <f t="shared" si="7"/>
        <v>0</v>
      </c>
      <c r="S5319" s="24"/>
      <c r="T5319" s="24"/>
    </row>
    <row r="5320">
      <c r="A5320" s="12" t="s">
        <v>5407</v>
      </c>
      <c r="F5320" s="19">
        <f>IFERROR(__xludf.DUMMYFUNCTION("SPLIT(A5316, "" |"")"),5314.0)</f>
        <v>5314</v>
      </c>
      <c r="G5320" s="19">
        <f>IFERROR(__xludf.DUMMYFUNCTION("""COMPUTED_VALUE"""),0.00235)</f>
        <v>0.00235</v>
      </c>
      <c r="H5320" s="19" t="str">
        <f>IFERROR(__xludf.DUMMYFUNCTION("""COMPUTED_VALUE"""),"-")</f>
        <v>-</v>
      </c>
      <c r="I5320" s="19">
        <f>IFERROR(__xludf.DUMMYFUNCTION("""COMPUTED_VALUE"""),0.00222)</f>
        <v>0.00222</v>
      </c>
      <c r="J5320" s="19">
        <f>IFERROR(__xludf.DUMMYFUNCTION("""COMPUTED_VALUE"""),0.04746)</f>
        <v>0.04746</v>
      </c>
      <c r="K5320" s="19" t="str">
        <f>IFERROR(__xludf.DUMMYFUNCTION("""COMPUTED_VALUE"""),"-")</f>
        <v>-</v>
      </c>
      <c r="L5320" s="19" t="str">
        <f>IFERROR(__xludf.DUMMYFUNCTION("""COMPUTED_VALUE"""),"-")</f>
        <v>-</v>
      </c>
      <c r="O5320" s="24">
        <f t="shared" si="4"/>
        <v>0</v>
      </c>
      <c r="P5320" s="24"/>
      <c r="Q5320" s="24">
        <f t="shared" si="6"/>
        <v>0</v>
      </c>
      <c r="R5320" s="24">
        <f t="shared" si="7"/>
        <v>0</v>
      </c>
      <c r="S5320" s="24"/>
      <c r="T5320" s="24"/>
    </row>
    <row r="5321">
      <c r="A5321" s="12" t="s">
        <v>5408</v>
      </c>
      <c r="F5321" s="19">
        <f>IFERROR(__xludf.DUMMYFUNCTION("SPLIT(A5317, "" |"")"),5315.0)</f>
        <v>5315</v>
      </c>
      <c r="G5321" s="19">
        <f>IFERROR(__xludf.DUMMYFUNCTION("""COMPUTED_VALUE"""),0.00232)</f>
        <v>0.00232</v>
      </c>
      <c r="H5321" s="19" t="str">
        <f>IFERROR(__xludf.DUMMYFUNCTION("""COMPUTED_VALUE"""),"-")</f>
        <v>-</v>
      </c>
      <c r="I5321" s="19">
        <f>IFERROR(__xludf.DUMMYFUNCTION("""COMPUTED_VALUE"""),0.00223)</f>
        <v>0.00223</v>
      </c>
      <c r="J5321" s="19">
        <f>IFERROR(__xludf.DUMMYFUNCTION("""COMPUTED_VALUE"""),0.04741)</f>
        <v>0.04741</v>
      </c>
      <c r="K5321" s="19" t="str">
        <f>IFERROR(__xludf.DUMMYFUNCTION("""COMPUTED_VALUE"""),"-")</f>
        <v>-</v>
      </c>
      <c r="L5321" s="19" t="str">
        <f>IFERROR(__xludf.DUMMYFUNCTION("""COMPUTED_VALUE"""),"-")</f>
        <v>-</v>
      </c>
      <c r="O5321" s="24">
        <f t="shared" si="4"/>
        <v>0</v>
      </c>
      <c r="P5321" s="24"/>
      <c r="Q5321" s="24">
        <f t="shared" si="6"/>
        <v>0</v>
      </c>
      <c r="R5321" s="24">
        <f t="shared" si="7"/>
        <v>0</v>
      </c>
      <c r="S5321" s="24"/>
      <c r="T5321" s="24"/>
    </row>
    <row r="5322">
      <c r="A5322" s="12" t="s">
        <v>5409</v>
      </c>
      <c r="F5322" s="19">
        <f>IFERROR(__xludf.DUMMYFUNCTION("SPLIT(A5318, "" |"")"),5316.0)</f>
        <v>5316</v>
      </c>
      <c r="G5322" s="19">
        <f>IFERROR(__xludf.DUMMYFUNCTION("""COMPUTED_VALUE"""),0.00226)</f>
        <v>0.00226</v>
      </c>
      <c r="H5322" s="19" t="str">
        <f>IFERROR(__xludf.DUMMYFUNCTION("""COMPUTED_VALUE"""),"-")</f>
        <v>-</v>
      </c>
      <c r="I5322" s="19">
        <f>IFERROR(__xludf.DUMMYFUNCTION("""COMPUTED_VALUE"""),0.00209)</f>
        <v>0.00209</v>
      </c>
      <c r="J5322" s="19">
        <f>IFERROR(__xludf.DUMMYFUNCTION("""COMPUTED_VALUE"""),0.04723)</f>
        <v>0.04723</v>
      </c>
      <c r="K5322" s="19" t="str">
        <f>IFERROR(__xludf.DUMMYFUNCTION("""COMPUTED_VALUE"""),"-")</f>
        <v>-</v>
      </c>
      <c r="L5322" s="19" t="str">
        <f>IFERROR(__xludf.DUMMYFUNCTION("""COMPUTED_VALUE"""),"-")</f>
        <v>-</v>
      </c>
      <c r="O5322" s="24">
        <f t="shared" si="4"/>
        <v>0</v>
      </c>
      <c r="P5322" s="24"/>
      <c r="Q5322" s="24">
        <f t="shared" si="6"/>
        <v>0</v>
      </c>
      <c r="R5322" s="24">
        <f t="shared" si="7"/>
        <v>0</v>
      </c>
      <c r="S5322" s="24"/>
      <c r="T5322" s="24"/>
    </row>
    <row r="5323">
      <c r="A5323" s="12" t="s">
        <v>5410</v>
      </c>
      <c r="F5323" s="19">
        <f>IFERROR(__xludf.DUMMYFUNCTION("SPLIT(A5319, "" |"")"),5317.0)</f>
        <v>5317</v>
      </c>
      <c r="G5323" s="19">
        <f>IFERROR(__xludf.DUMMYFUNCTION("""COMPUTED_VALUE"""),0.00226)</f>
        <v>0.00226</v>
      </c>
      <c r="H5323" s="19" t="str">
        <f>IFERROR(__xludf.DUMMYFUNCTION("""COMPUTED_VALUE"""),"-")</f>
        <v>-</v>
      </c>
      <c r="I5323" s="19">
        <f>IFERROR(__xludf.DUMMYFUNCTION("""COMPUTED_VALUE"""),0.00209)</f>
        <v>0.00209</v>
      </c>
      <c r="J5323" s="19">
        <f>IFERROR(__xludf.DUMMYFUNCTION("""COMPUTED_VALUE"""),0.04732)</f>
        <v>0.04732</v>
      </c>
      <c r="K5323" s="19" t="str">
        <f>IFERROR(__xludf.DUMMYFUNCTION("""COMPUTED_VALUE"""),"-")</f>
        <v>-</v>
      </c>
      <c r="L5323" s="19" t="str">
        <f>IFERROR(__xludf.DUMMYFUNCTION("""COMPUTED_VALUE"""),"-")</f>
        <v>-</v>
      </c>
      <c r="O5323" s="24">
        <f t="shared" si="4"/>
        <v>0</v>
      </c>
      <c r="P5323" s="24"/>
      <c r="Q5323" s="24">
        <f t="shared" si="6"/>
        <v>0</v>
      </c>
      <c r="R5323" s="24">
        <f t="shared" si="7"/>
        <v>0</v>
      </c>
      <c r="S5323" s="24"/>
      <c r="T5323" s="24"/>
    </row>
    <row r="5324">
      <c r="A5324" s="12" t="s">
        <v>5411</v>
      </c>
      <c r="F5324" s="19">
        <f>IFERROR(__xludf.DUMMYFUNCTION("SPLIT(A5320, "" |"")"),5318.0)</f>
        <v>5318</v>
      </c>
      <c r="G5324" s="19">
        <f>IFERROR(__xludf.DUMMYFUNCTION("""COMPUTED_VALUE"""),0.00242)</f>
        <v>0.00242</v>
      </c>
      <c r="H5324" s="19" t="str">
        <f>IFERROR(__xludf.DUMMYFUNCTION("""COMPUTED_VALUE"""),"-")</f>
        <v>-</v>
      </c>
      <c r="I5324" s="19">
        <f>IFERROR(__xludf.DUMMYFUNCTION("""COMPUTED_VALUE"""),0.00212)</f>
        <v>0.00212</v>
      </c>
      <c r="J5324" s="19">
        <f>IFERROR(__xludf.DUMMYFUNCTION("""COMPUTED_VALUE"""),0.04728)</f>
        <v>0.04728</v>
      </c>
      <c r="K5324" s="19" t="str">
        <f>IFERROR(__xludf.DUMMYFUNCTION("""COMPUTED_VALUE"""),"-")</f>
        <v>-</v>
      </c>
      <c r="L5324" s="19" t="str">
        <f>IFERROR(__xludf.DUMMYFUNCTION("""COMPUTED_VALUE"""),"-")</f>
        <v>-</v>
      </c>
      <c r="O5324" s="24">
        <f t="shared" si="4"/>
        <v>0</v>
      </c>
      <c r="P5324" s="24"/>
      <c r="Q5324" s="24">
        <f t="shared" si="6"/>
        <v>0</v>
      </c>
      <c r="R5324" s="24">
        <f t="shared" si="7"/>
        <v>0</v>
      </c>
      <c r="S5324" s="24"/>
      <c r="T5324" s="24"/>
    </row>
    <row r="5325">
      <c r="A5325" s="12" t="s">
        <v>5412</v>
      </c>
      <c r="F5325" s="19">
        <f>IFERROR(__xludf.DUMMYFUNCTION("SPLIT(A5321, "" |"")"),5319.0)</f>
        <v>5319</v>
      </c>
      <c r="G5325" s="19">
        <f>IFERROR(__xludf.DUMMYFUNCTION("""COMPUTED_VALUE"""),0.00238)</f>
        <v>0.00238</v>
      </c>
      <c r="H5325" s="19" t="str">
        <f>IFERROR(__xludf.DUMMYFUNCTION("""COMPUTED_VALUE"""),"-")</f>
        <v>-</v>
      </c>
      <c r="I5325" s="19">
        <f>IFERROR(__xludf.DUMMYFUNCTION("""COMPUTED_VALUE"""),0.00224)</f>
        <v>0.00224</v>
      </c>
      <c r="J5325" s="19">
        <f>IFERROR(__xludf.DUMMYFUNCTION("""COMPUTED_VALUE"""),0.04746)</f>
        <v>0.04746</v>
      </c>
      <c r="K5325" s="19" t="str">
        <f>IFERROR(__xludf.DUMMYFUNCTION("""COMPUTED_VALUE"""),"-")</f>
        <v>-</v>
      </c>
      <c r="L5325" s="19" t="str">
        <f>IFERROR(__xludf.DUMMYFUNCTION("""COMPUTED_VALUE"""),"-")</f>
        <v>-</v>
      </c>
      <c r="O5325" s="24">
        <f t="shared" si="4"/>
        <v>0</v>
      </c>
      <c r="P5325" s="24"/>
      <c r="Q5325" s="24">
        <f t="shared" si="6"/>
        <v>0</v>
      </c>
      <c r="R5325" s="24">
        <f t="shared" si="7"/>
        <v>0</v>
      </c>
      <c r="S5325" s="24"/>
      <c r="T5325" s="24"/>
    </row>
    <row r="5326">
      <c r="A5326" s="12" t="s">
        <v>5413</v>
      </c>
      <c r="F5326" s="19">
        <f>IFERROR(__xludf.DUMMYFUNCTION("SPLIT(A5322, "" |"")"),5320.0)</f>
        <v>5320</v>
      </c>
      <c r="G5326" s="19">
        <f>IFERROR(__xludf.DUMMYFUNCTION("""COMPUTED_VALUE"""),0.00234)</f>
        <v>0.00234</v>
      </c>
      <c r="H5326" s="19" t="str">
        <f>IFERROR(__xludf.DUMMYFUNCTION("""COMPUTED_VALUE"""),"-")</f>
        <v>-</v>
      </c>
      <c r="I5326" s="19">
        <f>IFERROR(__xludf.DUMMYFUNCTION("""COMPUTED_VALUE"""),0.00221)</f>
        <v>0.00221</v>
      </c>
      <c r="J5326" s="19">
        <f>IFERROR(__xludf.DUMMYFUNCTION("""COMPUTED_VALUE"""),0.04744)</f>
        <v>0.04744</v>
      </c>
      <c r="K5326" s="19" t="str">
        <f>IFERROR(__xludf.DUMMYFUNCTION("""COMPUTED_VALUE"""),"-")</f>
        <v>-</v>
      </c>
      <c r="L5326" s="19" t="str">
        <f>IFERROR(__xludf.DUMMYFUNCTION("""COMPUTED_VALUE"""),"-")</f>
        <v>-</v>
      </c>
      <c r="O5326" s="24">
        <f t="shared" si="4"/>
        <v>0</v>
      </c>
      <c r="P5326" s="24"/>
      <c r="Q5326" s="24">
        <f t="shared" si="6"/>
        <v>0</v>
      </c>
      <c r="R5326" s="24">
        <f t="shared" si="7"/>
        <v>0</v>
      </c>
      <c r="S5326" s="24"/>
      <c r="T5326" s="24"/>
    </row>
    <row r="5327">
      <c r="A5327" s="12" t="s">
        <v>5414</v>
      </c>
      <c r="F5327" s="19">
        <f>IFERROR(__xludf.DUMMYFUNCTION("SPLIT(A5323, "" |"")"),5321.0)</f>
        <v>5321</v>
      </c>
      <c r="G5327" s="19">
        <f>IFERROR(__xludf.DUMMYFUNCTION("""COMPUTED_VALUE"""),0.00237)</f>
        <v>0.00237</v>
      </c>
      <c r="H5327" s="19" t="str">
        <f>IFERROR(__xludf.DUMMYFUNCTION("""COMPUTED_VALUE"""),"-")</f>
        <v>-</v>
      </c>
      <c r="I5327" s="19">
        <f>IFERROR(__xludf.DUMMYFUNCTION("""COMPUTED_VALUE"""),0.00224)</f>
        <v>0.00224</v>
      </c>
      <c r="J5327" s="19">
        <f>IFERROR(__xludf.DUMMYFUNCTION("""COMPUTED_VALUE"""),0.04741)</f>
        <v>0.04741</v>
      </c>
      <c r="K5327" s="19" t="str">
        <f>IFERROR(__xludf.DUMMYFUNCTION("""COMPUTED_VALUE"""),"-")</f>
        <v>-</v>
      </c>
      <c r="L5327" s="19" t="str">
        <f>IFERROR(__xludf.DUMMYFUNCTION("""COMPUTED_VALUE"""),"-")</f>
        <v>-</v>
      </c>
      <c r="O5327" s="24">
        <f t="shared" si="4"/>
        <v>0</v>
      </c>
      <c r="P5327" s="24"/>
      <c r="Q5327" s="24">
        <f t="shared" si="6"/>
        <v>0</v>
      </c>
      <c r="R5327" s="24">
        <f t="shared" si="7"/>
        <v>0</v>
      </c>
      <c r="S5327" s="24"/>
      <c r="T5327" s="24"/>
    </row>
    <row r="5328">
      <c r="A5328" s="12" t="s">
        <v>5415</v>
      </c>
      <c r="F5328" s="19">
        <f>IFERROR(__xludf.DUMMYFUNCTION("SPLIT(A5324, "" |"")"),5322.0)</f>
        <v>5322</v>
      </c>
      <c r="G5328" s="19">
        <f>IFERROR(__xludf.DUMMYFUNCTION("""COMPUTED_VALUE"""),0.0024)</f>
        <v>0.0024</v>
      </c>
      <c r="H5328" s="19" t="str">
        <f>IFERROR(__xludf.DUMMYFUNCTION("""COMPUTED_VALUE"""),"-")</f>
        <v>-</v>
      </c>
      <c r="I5328" s="19">
        <f>IFERROR(__xludf.DUMMYFUNCTION("""COMPUTED_VALUE"""),0.00222)</f>
        <v>0.00222</v>
      </c>
      <c r="J5328" s="19">
        <f>IFERROR(__xludf.DUMMYFUNCTION("""COMPUTED_VALUE"""),0.04742)</f>
        <v>0.04742</v>
      </c>
      <c r="K5328" s="19" t="str">
        <f>IFERROR(__xludf.DUMMYFUNCTION("""COMPUTED_VALUE"""),"-")</f>
        <v>-</v>
      </c>
      <c r="L5328" s="19" t="str">
        <f>IFERROR(__xludf.DUMMYFUNCTION("""COMPUTED_VALUE"""),"-")</f>
        <v>-</v>
      </c>
      <c r="O5328" s="24">
        <f t="shared" si="4"/>
        <v>0</v>
      </c>
      <c r="P5328" s="24"/>
      <c r="Q5328" s="24">
        <f t="shared" si="6"/>
        <v>0</v>
      </c>
      <c r="R5328" s="24">
        <f t="shared" si="7"/>
        <v>0</v>
      </c>
      <c r="S5328" s="24"/>
      <c r="T5328" s="24"/>
    </row>
    <row r="5329">
      <c r="A5329" s="12" t="s">
        <v>5416</v>
      </c>
      <c r="F5329" s="19">
        <f>IFERROR(__xludf.DUMMYFUNCTION("SPLIT(A5325, "" |"")"),5323.0)</f>
        <v>5323</v>
      </c>
      <c r="G5329" s="19">
        <f>IFERROR(__xludf.DUMMYFUNCTION("""COMPUTED_VALUE"""),0.00231)</f>
        <v>0.00231</v>
      </c>
      <c r="H5329" s="19" t="str">
        <f>IFERROR(__xludf.DUMMYFUNCTION("""COMPUTED_VALUE"""),"-")</f>
        <v>-</v>
      </c>
      <c r="I5329" s="19">
        <f>IFERROR(__xludf.DUMMYFUNCTION("""COMPUTED_VALUE"""),0.0022)</f>
        <v>0.0022</v>
      </c>
      <c r="J5329" s="19">
        <f>IFERROR(__xludf.DUMMYFUNCTION("""COMPUTED_VALUE"""),0.04742)</f>
        <v>0.04742</v>
      </c>
      <c r="K5329" s="19" t="str">
        <f>IFERROR(__xludf.DUMMYFUNCTION("""COMPUTED_VALUE"""),"-")</f>
        <v>-</v>
      </c>
      <c r="L5329" s="19" t="str">
        <f>IFERROR(__xludf.DUMMYFUNCTION("""COMPUTED_VALUE"""),"-")</f>
        <v>-</v>
      </c>
      <c r="O5329" s="24">
        <f t="shared" si="4"/>
        <v>0</v>
      </c>
      <c r="P5329" s="24"/>
      <c r="Q5329" s="24">
        <f t="shared" si="6"/>
        <v>0</v>
      </c>
      <c r="R5329" s="24">
        <f t="shared" si="7"/>
        <v>0</v>
      </c>
      <c r="S5329" s="24"/>
      <c r="T5329" s="24"/>
    </row>
    <row r="5330">
      <c r="A5330" s="12" t="s">
        <v>5417</v>
      </c>
      <c r="F5330" s="19">
        <f>IFERROR(__xludf.DUMMYFUNCTION("SPLIT(A5326, "" |"")"),5324.0)</f>
        <v>5324</v>
      </c>
      <c r="G5330" s="19">
        <f>IFERROR(__xludf.DUMMYFUNCTION("""COMPUTED_VALUE"""),0.00236)</f>
        <v>0.00236</v>
      </c>
      <c r="H5330" s="19" t="str">
        <f>IFERROR(__xludf.DUMMYFUNCTION("""COMPUTED_VALUE"""),"-")</f>
        <v>-</v>
      </c>
      <c r="I5330" s="19">
        <f>IFERROR(__xludf.DUMMYFUNCTION("""COMPUTED_VALUE"""),0.00222)</f>
        <v>0.00222</v>
      </c>
      <c r="J5330" s="19">
        <f>IFERROR(__xludf.DUMMYFUNCTION("""COMPUTED_VALUE"""),0.04743)</f>
        <v>0.04743</v>
      </c>
      <c r="K5330" s="19" t="str">
        <f>IFERROR(__xludf.DUMMYFUNCTION("""COMPUTED_VALUE"""),"-")</f>
        <v>-</v>
      </c>
      <c r="L5330" s="19" t="str">
        <f>IFERROR(__xludf.DUMMYFUNCTION("""COMPUTED_VALUE"""),"-")</f>
        <v>-</v>
      </c>
      <c r="O5330" s="24">
        <f t="shared" si="4"/>
        <v>0</v>
      </c>
      <c r="P5330" s="24"/>
      <c r="Q5330" s="24">
        <f t="shared" si="6"/>
        <v>0</v>
      </c>
      <c r="R5330" s="24">
        <f t="shared" si="7"/>
        <v>0</v>
      </c>
      <c r="S5330" s="24"/>
      <c r="T5330" s="24"/>
    </row>
    <row r="5331">
      <c r="A5331" s="12" t="s">
        <v>5418</v>
      </c>
      <c r="F5331" s="19">
        <f>IFERROR(__xludf.DUMMYFUNCTION("SPLIT(A5327, "" |"")"),5325.0)</f>
        <v>5325</v>
      </c>
      <c r="G5331" s="19">
        <f>IFERROR(__xludf.DUMMYFUNCTION("""COMPUTED_VALUE"""),0.00236)</f>
        <v>0.00236</v>
      </c>
      <c r="H5331" s="19" t="str">
        <f>IFERROR(__xludf.DUMMYFUNCTION("""COMPUTED_VALUE"""),"-")</f>
        <v>-</v>
      </c>
      <c r="I5331" s="19">
        <f>IFERROR(__xludf.DUMMYFUNCTION("""COMPUTED_VALUE"""),0.00223)</f>
        <v>0.00223</v>
      </c>
      <c r="J5331" s="19">
        <f>IFERROR(__xludf.DUMMYFUNCTION("""COMPUTED_VALUE"""),0.04749)</f>
        <v>0.04749</v>
      </c>
      <c r="K5331" s="19" t="str">
        <f>IFERROR(__xludf.DUMMYFUNCTION("""COMPUTED_VALUE"""),"-")</f>
        <v>-</v>
      </c>
      <c r="L5331" s="19" t="str">
        <f>IFERROR(__xludf.DUMMYFUNCTION("""COMPUTED_VALUE"""),"-")</f>
        <v>-</v>
      </c>
      <c r="O5331" s="24">
        <f t="shared" si="4"/>
        <v>0</v>
      </c>
      <c r="P5331" s="24"/>
      <c r="Q5331" s="24">
        <f t="shared" si="6"/>
        <v>0</v>
      </c>
      <c r="R5331" s="24">
        <f t="shared" si="7"/>
        <v>0</v>
      </c>
      <c r="S5331" s="24"/>
      <c r="T5331" s="24"/>
    </row>
    <row r="5332">
      <c r="A5332" s="12" t="s">
        <v>5419</v>
      </c>
      <c r="F5332" s="19">
        <f>IFERROR(__xludf.DUMMYFUNCTION("SPLIT(A5328, "" |"")"),5326.0)</f>
        <v>5326</v>
      </c>
      <c r="G5332" s="19">
        <f>IFERROR(__xludf.DUMMYFUNCTION("""COMPUTED_VALUE"""),0.00237)</f>
        <v>0.00237</v>
      </c>
      <c r="H5332" s="19" t="str">
        <f>IFERROR(__xludf.DUMMYFUNCTION("""COMPUTED_VALUE"""),"-")</f>
        <v>-</v>
      </c>
      <c r="I5332" s="19">
        <f>IFERROR(__xludf.DUMMYFUNCTION("""COMPUTED_VALUE"""),0.00219)</f>
        <v>0.00219</v>
      </c>
      <c r="J5332" s="19">
        <f>IFERROR(__xludf.DUMMYFUNCTION("""COMPUTED_VALUE"""),0.04746)</f>
        <v>0.04746</v>
      </c>
      <c r="K5332" s="19" t="str">
        <f>IFERROR(__xludf.DUMMYFUNCTION("""COMPUTED_VALUE"""),"-")</f>
        <v>-</v>
      </c>
      <c r="L5332" s="19" t="str">
        <f>IFERROR(__xludf.DUMMYFUNCTION("""COMPUTED_VALUE"""),"-")</f>
        <v>-</v>
      </c>
      <c r="O5332" s="24">
        <f t="shared" si="4"/>
        <v>0</v>
      </c>
      <c r="P5332" s="24"/>
      <c r="Q5332" s="24">
        <f t="shared" si="6"/>
        <v>0</v>
      </c>
      <c r="R5332" s="24">
        <f t="shared" si="7"/>
        <v>0</v>
      </c>
      <c r="S5332" s="24"/>
      <c r="T5332" s="24"/>
    </row>
    <row r="5333">
      <c r="A5333" s="12" t="s">
        <v>5420</v>
      </c>
      <c r="F5333" s="19">
        <f>IFERROR(__xludf.DUMMYFUNCTION("SPLIT(A5329, "" |"")"),5327.0)</f>
        <v>5327</v>
      </c>
      <c r="G5333" s="19">
        <f>IFERROR(__xludf.DUMMYFUNCTION("""COMPUTED_VALUE"""),0.00233)</f>
        <v>0.00233</v>
      </c>
      <c r="H5333" s="19" t="str">
        <f>IFERROR(__xludf.DUMMYFUNCTION("""COMPUTED_VALUE"""),"-")</f>
        <v>-</v>
      </c>
      <c r="I5333" s="19">
        <f>IFERROR(__xludf.DUMMYFUNCTION("""COMPUTED_VALUE"""),0.00219)</f>
        <v>0.00219</v>
      </c>
      <c r="J5333" s="19">
        <f>IFERROR(__xludf.DUMMYFUNCTION("""COMPUTED_VALUE"""),0.0474)</f>
        <v>0.0474</v>
      </c>
      <c r="K5333" s="19" t="str">
        <f>IFERROR(__xludf.DUMMYFUNCTION("""COMPUTED_VALUE"""),"-")</f>
        <v>-</v>
      </c>
      <c r="L5333" s="19" t="str">
        <f>IFERROR(__xludf.DUMMYFUNCTION("""COMPUTED_VALUE"""),"-")</f>
        <v>-</v>
      </c>
      <c r="O5333" s="24">
        <f t="shared" si="4"/>
        <v>0</v>
      </c>
      <c r="P5333" s="24"/>
      <c r="Q5333" s="24">
        <f t="shared" si="6"/>
        <v>0</v>
      </c>
      <c r="R5333" s="24">
        <f t="shared" si="7"/>
        <v>0</v>
      </c>
      <c r="S5333" s="24"/>
      <c r="T5333" s="24"/>
    </row>
    <row r="5334">
      <c r="A5334" s="12" t="s">
        <v>5421</v>
      </c>
      <c r="F5334" s="19">
        <f>IFERROR(__xludf.DUMMYFUNCTION("SPLIT(A5330, "" |"")"),5328.0)</f>
        <v>5328</v>
      </c>
      <c r="G5334" s="19">
        <f>IFERROR(__xludf.DUMMYFUNCTION("""COMPUTED_VALUE"""),0.00249)</f>
        <v>0.00249</v>
      </c>
      <c r="H5334" s="19" t="str">
        <f>IFERROR(__xludf.DUMMYFUNCTION("""COMPUTED_VALUE"""),"-")</f>
        <v>-</v>
      </c>
      <c r="I5334" s="19">
        <f>IFERROR(__xludf.DUMMYFUNCTION("""COMPUTED_VALUE"""),0.00228)</f>
        <v>0.00228</v>
      </c>
      <c r="J5334" s="19">
        <f>IFERROR(__xludf.DUMMYFUNCTION("""COMPUTED_VALUE"""),0.04742)</f>
        <v>0.04742</v>
      </c>
      <c r="K5334" s="19" t="str">
        <f>IFERROR(__xludf.DUMMYFUNCTION("""COMPUTED_VALUE"""),"-")</f>
        <v>-</v>
      </c>
      <c r="L5334" s="19" t="str">
        <f>IFERROR(__xludf.DUMMYFUNCTION("""COMPUTED_VALUE"""),"-")</f>
        <v>-</v>
      </c>
      <c r="O5334" s="24">
        <f t="shared" si="4"/>
        <v>0</v>
      </c>
      <c r="P5334" s="24"/>
      <c r="Q5334" s="24">
        <f t="shared" si="6"/>
        <v>0</v>
      </c>
      <c r="R5334" s="24">
        <f t="shared" si="7"/>
        <v>0</v>
      </c>
      <c r="S5334" s="24"/>
      <c r="T5334" s="24"/>
    </row>
    <row r="5335">
      <c r="A5335" s="12" t="s">
        <v>5422</v>
      </c>
      <c r="F5335" s="19">
        <f>IFERROR(__xludf.DUMMYFUNCTION("SPLIT(A5331, "" |"")"),5329.0)</f>
        <v>5329</v>
      </c>
      <c r="G5335" s="19">
        <f>IFERROR(__xludf.DUMMYFUNCTION("""COMPUTED_VALUE"""),0.00235)</f>
        <v>0.00235</v>
      </c>
      <c r="H5335" s="19" t="str">
        <f>IFERROR(__xludf.DUMMYFUNCTION("""COMPUTED_VALUE"""),"-")</f>
        <v>-</v>
      </c>
      <c r="I5335" s="19">
        <f>IFERROR(__xludf.DUMMYFUNCTION("""COMPUTED_VALUE"""),0.00221)</f>
        <v>0.00221</v>
      </c>
      <c r="J5335" s="19">
        <f>IFERROR(__xludf.DUMMYFUNCTION("""COMPUTED_VALUE"""),0.04735)</f>
        <v>0.04735</v>
      </c>
      <c r="K5335" s="19" t="str">
        <f>IFERROR(__xludf.DUMMYFUNCTION("""COMPUTED_VALUE"""),"-")</f>
        <v>-</v>
      </c>
      <c r="L5335" s="19" t="str">
        <f>IFERROR(__xludf.DUMMYFUNCTION("""COMPUTED_VALUE"""),"-")</f>
        <v>-</v>
      </c>
      <c r="O5335" s="24">
        <f t="shared" si="4"/>
        <v>0</v>
      </c>
      <c r="P5335" s="24"/>
      <c r="Q5335" s="24">
        <f t="shared" si="6"/>
        <v>0</v>
      </c>
      <c r="R5335" s="24">
        <f t="shared" si="7"/>
        <v>0</v>
      </c>
      <c r="S5335" s="24"/>
      <c r="T5335" s="24"/>
    </row>
    <row r="5336">
      <c r="A5336" s="12" t="s">
        <v>5423</v>
      </c>
      <c r="F5336" s="19">
        <f>IFERROR(__xludf.DUMMYFUNCTION("SPLIT(A5332, "" |"")"),5330.0)</f>
        <v>5330</v>
      </c>
      <c r="G5336" s="19">
        <f>IFERROR(__xludf.DUMMYFUNCTION("""COMPUTED_VALUE"""),0.00237)</f>
        <v>0.00237</v>
      </c>
      <c r="H5336" s="19" t="str">
        <f>IFERROR(__xludf.DUMMYFUNCTION("""COMPUTED_VALUE"""),"-")</f>
        <v>-</v>
      </c>
      <c r="I5336" s="19">
        <f>IFERROR(__xludf.DUMMYFUNCTION("""COMPUTED_VALUE"""),0.00225)</f>
        <v>0.00225</v>
      </c>
      <c r="J5336" s="19">
        <f>IFERROR(__xludf.DUMMYFUNCTION("""COMPUTED_VALUE"""),0.04728)</f>
        <v>0.04728</v>
      </c>
      <c r="K5336" s="19" t="str">
        <f>IFERROR(__xludf.DUMMYFUNCTION("""COMPUTED_VALUE"""),"-")</f>
        <v>-</v>
      </c>
      <c r="L5336" s="19" t="str">
        <f>IFERROR(__xludf.DUMMYFUNCTION("""COMPUTED_VALUE"""),"-")</f>
        <v>-</v>
      </c>
      <c r="O5336" s="24">
        <f t="shared" si="4"/>
        <v>0</v>
      </c>
      <c r="P5336" s="24"/>
      <c r="Q5336" s="24">
        <f t="shared" si="6"/>
        <v>0</v>
      </c>
      <c r="R5336" s="24">
        <f t="shared" si="7"/>
        <v>0</v>
      </c>
      <c r="S5336" s="24"/>
      <c r="T5336" s="24"/>
    </row>
    <row r="5337">
      <c r="A5337" s="12" t="s">
        <v>5424</v>
      </c>
      <c r="F5337" s="19">
        <f>IFERROR(__xludf.DUMMYFUNCTION("SPLIT(A5333, "" |"")"),5331.0)</f>
        <v>5331</v>
      </c>
      <c r="G5337" s="19">
        <f>IFERROR(__xludf.DUMMYFUNCTION("""COMPUTED_VALUE"""),0.00218)</f>
        <v>0.00218</v>
      </c>
      <c r="H5337" s="19" t="str">
        <f>IFERROR(__xludf.DUMMYFUNCTION("""COMPUTED_VALUE"""),"-")</f>
        <v>-</v>
      </c>
      <c r="I5337" s="19">
        <f>IFERROR(__xludf.DUMMYFUNCTION("""COMPUTED_VALUE"""),0.00207)</f>
        <v>0.00207</v>
      </c>
      <c r="J5337" s="19">
        <f>IFERROR(__xludf.DUMMYFUNCTION("""COMPUTED_VALUE"""),0.04731)</f>
        <v>0.04731</v>
      </c>
      <c r="K5337" s="19" t="str">
        <f>IFERROR(__xludf.DUMMYFUNCTION("""COMPUTED_VALUE"""),"-")</f>
        <v>-</v>
      </c>
      <c r="L5337" s="19" t="str">
        <f>IFERROR(__xludf.DUMMYFUNCTION("""COMPUTED_VALUE"""),"-")</f>
        <v>-</v>
      </c>
      <c r="O5337" s="24">
        <f t="shared" si="4"/>
        <v>0</v>
      </c>
      <c r="P5337" s="24"/>
      <c r="Q5337" s="24">
        <f t="shared" si="6"/>
        <v>0</v>
      </c>
      <c r="R5337" s="24">
        <f t="shared" si="7"/>
        <v>0</v>
      </c>
      <c r="S5337" s="24"/>
      <c r="T5337" s="24"/>
    </row>
    <row r="5338">
      <c r="A5338" s="12" t="s">
        <v>5425</v>
      </c>
      <c r="F5338" s="19">
        <f>IFERROR(__xludf.DUMMYFUNCTION("SPLIT(A5334, "" |"")"),5332.0)</f>
        <v>5332</v>
      </c>
      <c r="G5338" s="19">
        <f>IFERROR(__xludf.DUMMYFUNCTION("""COMPUTED_VALUE"""),0.00238)</f>
        <v>0.00238</v>
      </c>
      <c r="H5338" s="19" t="str">
        <f>IFERROR(__xludf.DUMMYFUNCTION("""COMPUTED_VALUE"""),"-")</f>
        <v>-</v>
      </c>
      <c r="I5338" s="19">
        <f>IFERROR(__xludf.DUMMYFUNCTION("""COMPUTED_VALUE"""),0.00221)</f>
        <v>0.00221</v>
      </c>
      <c r="J5338" s="19">
        <f>IFERROR(__xludf.DUMMYFUNCTION("""COMPUTED_VALUE"""),0.04745)</f>
        <v>0.04745</v>
      </c>
      <c r="K5338" s="19" t="str">
        <f>IFERROR(__xludf.DUMMYFUNCTION("""COMPUTED_VALUE"""),"-")</f>
        <v>-</v>
      </c>
      <c r="L5338" s="19" t="str">
        <f>IFERROR(__xludf.DUMMYFUNCTION("""COMPUTED_VALUE"""),"-")</f>
        <v>-</v>
      </c>
      <c r="O5338" s="24">
        <f t="shared" si="4"/>
        <v>0</v>
      </c>
      <c r="P5338" s="24"/>
      <c r="Q5338" s="24">
        <f t="shared" si="6"/>
        <v>0</v>
      </c>
      <c r="R5338" s="24">
        <f t="shared" si="7"/>
        <v>0</v>
      </c>
      <c r="S5338" s="24"/>
      <c r="T5338" s="24"/>
    </row>
    <row r="5339">
      <c r="A5339" s="12" t="s">
        <v>5426</v>
      </c>
      <c r="F5339" s="19">
        <f>IFERROR(__xludf.DUMMYFUNCTION("SPLIT(A5335, "" |"")"),5333.0)</f>
        <v>5333</v>
      </c>
      <c r="G5339" s="19">
        <f>IFERROR(__xludf.DUMMYFUNCTION("""COMPUTED_VALUE"""),0.00228)</f>
        <v>0.00228</v>
      </c>
      <c r="H5339" s="19" t="str">
        <f>IFERROR(__xludf.DUMMYFUNCTION("""COMPUTED_VALUE"""),"-")</f>
        <v>-</v>
      </c>
      <c r="I5339" s="19">
        <f>IFERROR(__xludf.DUMMYFUNCTION("""COMPUTED_VALUE"""),0.00215)</f>
        <v>0.00215</v>
      </c>
      <c r="J5339" s="19">
        <f>IFERROR(__xludf.DUMMYFUNCTION("""COMPUTED_VALUE"""),0.04738)</f>
        <v>0.04738</v>
      </c>
      <c r="K5339" s="19" t="str">
        <f>IFERROR(__xludf.DUMMYFUNCTION("""COMPUTED_VALUE"""),"-")</f>
        <v>-</v>
      </c>
      <c r="L5339" s="19" t="str">
        <f>IFERROR(__xludf.DUMMYFUNCTION("""COMPUTED_VALUE"""),"-")</f>
        <v>-</v>
      </c>
      <c r="O5339" s="24">
        <f t="shared" si="4"/>
        <v>0</v>
      </c>
      <c r="P5339" s="24"/>
      <c r="Q5339" s="24">
        <f t="shared" si="6"/>
        <v>0</v>
      </c>
      <c r="R5339" s="24">
        <f t="shared" si="7"/>
        <v>0</v>
      </c>
      <c r="S5339" s="24"/>
      <c r="T5339" s="24"/>
    </row>
    <row r="5340">
      <c r="A5340" s="12" t="s">
        <v>5427</v>
      </c>
      <c r="F5340" s="19">
        <f>IFERROR(__xludf.DUMMYFUNCTION("SPLIT(A5336, "" |"")"),5334.0)</f>
        <v>5334</v>
      </c>
      <c r="G5340" s="19">
        <f>IFERROR(__xludf.DUMMYFUNCTION("""COMPUTED_VALUE"""),0.00231)</f>
        <v>0.00231</v>
      </c>
      <c r="H5340" s="19" t="str">
        <f>IFERROR(__xludf.DUMMYFUNCTION("""COMPUTED_VALUE"""),"-")</f>
        <v>-</v>
      </c>
      <c r="I5340" s="19">
        <f>IFERROR(__xludf.DUMMYFUNCTION("""COMPUTED_VALUE"""),0.00217)</f>
        <v>0.00217</v>
      </c>
      <c r="J5340" s="19">
        <f>IFERROR(__xludf.DUMMYFUNCTION("""COMPUTED_VALUE"""),0.04746)</f>
        <v>0.04746</v>
      </c>
      <c r="K5340" s="19" t="str">
        <f>IFERROR(__xludf.DUMMYFUNCTION("""COMPUTED_VALUE"""),"-")</f>
        <v>-</v>
      </c>
      <c r="L5340" s="19" t="str">
        <f>IFERROR(__xludf.DUMMYFUNCTION("""COMPUTED_VALUE"""),"-")</f>
        <v>-</v>
      </c>
      <c r="O5340" s="24">
        <f t="shared" si="4"/>
        <v>0</v>
      </c>
      <c r="P5340" s="24"/>
      <c r="Q5340" s="24">
        <f t="shared" si="6"/>
        <v>0</v>
      </c>
      <c r="R5340" s="24">
        <f t="shared" si="7"/>
        <v>0</v>
      </c>
      <c r="S5340" s="24"/>
      <c r="T5340" s="24"/>
    </row>
    <row r="5341">
      <c r="A5341" s="12" t="s">
        <v>5428</v>
      </c>
      <c r="F5341" s="19">
        <f>IFERROR(__xludf.DUMMYFUNCTION("SPLIT(A5337, "" |"")"),5335.0)</f>
        <v>5335</v>
      </c>
      <c r="G5341" s="19">
        <f>IFERROR(__xludf.DUMMYFUNCTION("""COMPUTED_VALUE"""),0.00233)</f>
        <v>0.00233</v>
      </c>
      <c r="H5341" s="19" t="str">
        <f>IFERROR(__xludf.DUMMYFUNCTION("""COMPUTED_VALUE"""),"-")</f>
        <v>-</v>
      </c>
      <c r="I5341" s="19">
        <f>IFERROR(__xludf.DUMMYFUNCTION("""COMPUTED_VALUE"""),0.00222)</f>
        <v>0.00222</v>
      </c>
      <c r="J5341" s="19">
        <f>IFERROR(__xludf.DUMMYFUNCTION("""COMPUTED_VALUE"""),0.04746)</f>
        <v>0.04746</v>
      </c>
      <c r="K5341" s="19" t="str">
        <f>IFERROR(__xludf.DUMMYFUNCTION("""COMPUTED_VALUE"""),"-")</f>
        <v>-</v>
      </c>
      <c r="L5341" s="19" t="str">
        <f>IFERROR(__xludf.DUMMYFUNCTION("""COMPUTED_VALUE"""),"-")</f>
        <v>-</v>
      </c>
      <c r="O5341" s="24">
        <f t="shared" si="4"/>
        <v>0</v>
      </c>
      <c r="P5341" s="24"/>
      <c r="Q5341" s="24">
        <f t="shared" si="6"/>
        <v>0</v>
      </c>
      <c r="R5341" s="24">
        <f t="shared" si="7"/>
        <v>0</v>
      </c>
      <c r="S5341" s="24"/>
      <c r="T5341" s="24"/>
    </row>
    <row r="5342">
      <c r="A5342" s="12" t="s">
        <v>5429</v>
      </c>
      <c r="F5342" s="19">
        <f>IFERROR(__xludf.DUMMYFUNCTION("SPLIT(A5338, "" |"")"),5336.0)</f>
        <v>5336</v>
      </c>
      <c r="G5342" s="19">
        <f>IFERROR(__xludf.DUMMYFUNCTION("""COMPUTED_VALUE"""),0.00235)</f>
        <v>0.00235</v>
      </c>
      <c r="H5342" s="19" t="str">
        <f>IFERROR(__xludf.DUMMYFUNCTION("""COMPUTED_VALUE"""),"-")</f>
        <v>-</v>
      </c>
      <c r="I5342" s="19">
        <f>IFERROR(__xludf.DUMMYFUNCTION("""COMPUTED_VALUE"""),0.00219)</f>
        <v>0.00219</v>
      </c>
      <c r="J5342" s="19">
        <f>IFERROR(__xludf.DUMMYFUNCTION("""COMPUTED_VALUE"""),0.0442)</f>
        <v>0.0442</v>
      </c>
      <c r="K5342" s="19" t="str">
        <f>IFERROR(__xludf.DUMMYFUNCTION("""COMPUTED_VALUE"""),"-")</f>
        <v>-</v>
      </c>
      <c r="L5342" s="19" t="str">
        <f>IFERROR(__xludf.DUMMYFUNCTION("""COMPUTED_VALUE"""),"-")</f>
        <v>-</v>
      </c>
      <c r="O5342" s="24">
        <f t="shared" si="4"/>
        <v>0</v>
      </c>
      <c r="P5342" s="24"/>
      <c r="Q5342" s="24">
        <f t="shared" si="6"/>
        <v>0</v>
      </c>
      <c r="R5342" s="24">
        <f t="shared" si="7"/>
        <v>1</v>
      </c>
      <c r="S5342" s="24"/>
      <c r="T5342" s="24"/>
    </row>
    <row r="5343">
      <c r="A5343" s="12" t="s">
        <v>5430</v>
      </c>
      <c r="F5343" s="19">
        <f>IFERROR(__xludf.DUMMYFUNCTION("SPLIT(A5339, "" |"")"),5337.0)</f>
        <v>5337</v>
      </c>
      <c r="G5343" s="19">
        <f>IFERROR(__xludf.DUMMYFUNCTION("""COMPUTED_VALUE"""),0.00227)</f>
        <v>0.00227</v>
      </c>
      <c r="H5343" s="19" t="str">
        <f>IFERROR(__xludf.DUMMYFUNCTION("""COMPUTED_VALUE"""),"-")</f>
        <v>-</v>
      </c>
      <c r="I5343" s="19">
        <f>IFERROR(__xludf.DUMMYFUNCTION("""COMPUTED_VALUE"""),0.00219)</f>
        <v>0.00219</v>
      </c>
      <c r="J5343" s="19">
        <f>IFERROR(__xludf.DUMMYFUNCTION("""COMPUTED_VALUE"""),0.04741)</f>
        <v>0.04741</v>
      </c>
      <c r="K5343" s="19" t="str">
        <f>IFERROR(__xludf.DUMMYFUNCTION("""COMPUTED_VALUE"""),"-")</f>
        <v>-</v>
      </c>
      <c r="L5343" s="19" t="str">
        <f>IFERROR(__xludf.DUMMYFUNCTION("""COMPUTED_VALUE"""),"-")</f>
        <v>-</v>
      </c>
      <c r="O5343" s="24">
        <f t="shared" si="4"/>
        <v>0</v>
      </c>
      <c r="P5343" s="24"/>
      <c r="Q5343" s="24">
        <f t="shared" si="6"/>
        <v>0</v>
      </c>
      <c r="R5343" s="24">
        <f t="shared" si="7"/>
        <v>0</v>
      </c>
      <c r="S5343" s="24"/>
      <c r="T5343" s="24"/>
    </row>
    <row r="5344">
      <c r="A5344" s="12" t="s">
        <v>5431</v>
      </c>
      <c r="F5344" s="19">
        <f>IFERROR(__xludf.DUMMYFUNCTION("SPLIT(A5340, "" |"")"),5338.0)</f>
        <v>5338</v>
      </c>
      <c r="G5344" s="19">
        <f>IFERROR(__xludf.DUMMYFUNCTION("""COMPUTED_VALUE"""),0.00239)</f>
        <v>0.00239</v>
      </c>
      <c r="H5344" s="19" t="str">
        <f>IFERROR(__xludf.DUMMYFUNCTION("""COMPUTED_VALUE"""),"-")</f>
        <v>-</v>
      </c>
      <c r="I5344" s="19">
        <f>IFERROR(__xludf.DUMMYFUNCTION("""COMPUTED_VALUE"""),0.00222)</f>
        <v>0.00222</v>
      </c>
      <c r="J5344" s="19">
        <f>IFERROR(__xludf.DUMMYFUNCTION("""COMPUTED_VALUE"""),0.04745)</f>
        <v>0.04745</v>
      </c>
      <c r="K5344" s="19" t="str">
        <f>IFERROR(__xludf.DUMMYFUNCTION("""COMPUTED_VALUE"""),"-")</f>
        <v>-</v>
      </c>
      <c r="L5344" s="19" t="str">
        <f>IFERROR(__xludf.DUMMYFUNCTION("""COMPUTED_VALUE"""),"-")</f>
        <v>-</v>
      </c>
      <c r="O5344" s="24">
        <f t="shared" si="4"/>
        <v>0</v>
      </c>
      <c r="P5344" s="24"/>
      <c r="Q5344" s="24">
        <f t="shared" si="6"/>
        <v>0</v>
      </c>
      <c r="R5344" s="24">
        <f t="shared" si="7"/>
        <v>0</v>
      </c>
      <c r="S5344" s="24"/>
      <c r="T5344" s="24"/>
    </row>
    <row r="5345">
      <c r="A5345" s="12" t="s">
        <v>5432</v>
      </c>
      <c r="F5345" s="19">
        <f>IFERROR(__xludf.DUMMYFUNCTION("SPLIT(A5341, "" |"")"),5339.0)</f>
        <v>5339</v>
      </c>
      <c r="G5345" s="19">
        <f>IFERROR(__xludf.DUMMYFUNCTION("""COMPUTED_VALUE"""),0.00231)</f>
        <v>0.00231</v>
      </c>
      <c r="H5345" s="19" t="str">
        <f>IFERROR(__xludf.DUMMYFUNCTION("""COMPUTED_VALUE"""),"-")</f>
        <v>-</v>
      </c>
      <c r="I5345" s="19">
        <f>IFERROR(__xludf.DUMMYFUNCTION("""COMPUTED_VALUE"""),0.00223)</f>
        <v>0.00223</v>
      </c>
      <c r="J5345" s="19">
        <f>IFERROR(__xludf.DUMMYFUNCTION("""COMPUTED_VALUE"""),0.04739)</f>
        <v>0.04739</v>
      </c>
      <c r="K5345" s="19" t="str">
        <f>IFERROR(__xludf.DUMMYFUNCTION("""COMPUTED_VALUE"""),"-")</f>
        <v>-</v>
      </c>
      <c r="L5345" s="19" t="str">
        <f>IFERROR(__xludf.DUMMYFUNCTION("""COMPUTED_VALUE"""),"-")</f>
        <v>-</v>
      </c>
      <c r="O5345" s="24">
        <f t="shared" si="4"/>
        <v>0</v>
      </c>
      <c r="P5345" s="24"/>
      <c r="Q5345" s="24">
        <f t="shared" si="6"/>
        <v>0</v>
      </c>
      <c r="R5345" s="24">
        <f t="shared" si="7"/>
        <v>0</v>
      </c>
      <c r="S5345" s="24"/>
      <c r="T5345" s="24"/>
    </row>
    <row r="5346">
      <c r="A5346" s="12" t="s">
        <v>5433</v>
      </c>
      <c r="F5346" s="19">
        <f>IFERROR(__xludf.DUMMYFUNCTION("SPLIT(A5342, "" |"")"),5340.0)</f>
        <v>5340</v>
      </c>
      <c r="G5346" s="19">
        <f>IFERROR(__xludf.DUMMYFUNCTION("""COMPUTED_VALUE"""),0.00244)</f>
        <v>0.00244</v>
      </c>
      <c r="H5346" s="19" t="str">
        <f>IFERROR(__xludf.DUMMYFUNCTION("""COMPUTED_VALUE"""),"-")</f>
        <v>-</v>
      </c>
      <c r="I5346" s="19">
        <f>IFERROR(__xludf.DUMMYFUNCTION("""COMPUTED_VALUE"""),0.0022)</f>
        <v>0.0022</v>
      </c>
      <c r="J5346" s="19">
        <f>IFERROR(__xludf.DUMMYFUNCTION("""COMPUTED_VALUE"""),0.04744)</f>
        <v>0.04744</v>
      </c>
      <c r="K5346" s="19" t="str">
        <f>IFERROR(__xludf.DUMMYFUNCTION("""COMPUTED_VALUE"""),"-")</f>
        <v>-</v>
      </c>
      <c r="L5346" s="19" t="str">
        <f>IFERROR(__xludf.DUMMYFUNCTION("""COMPUTED_VALUE"""),"-")</f>
        <v>-</v>
      </c>
      <c r="O5346" s="24">
        <f t="shared" si="4"/>
        <v>0</v>
      </c>
      <c r="P5346" s="24"/>
      <c r="Q5346" s="24">
        <f t="shared" si="6"/>
        <v>0</v>
      </c>
      <c r="R5346" s="24">
        <f t="shared" si="7"/>
        <v>0</v>
      </c>
      <c r="S5346" s="24"/>
      <c r="T5346" s="24"/>
    </row>
    <row r="5347">
      <c r="A5347" s="12" t="s">
        <v>5434</v>
      </c>
      <c r="F5347" s="19">
        <f>IFERROR(__xludf.DUMMYFUNCTION("SPLIT(A5343, "" |"")"),5341.0)</f>
        <v>5341</v>
      </c>
      <c r="G5347" s="19">
        <f>IFERROR(__xludf.DUMMYFUNCTION("""COMPUTED_VALUE"""),0.00233)</f>
        <v>0.00233</v>
      </c>
      <c r="H5347" s="19" t="str">
        <f>IFERROR(__xludf.DUMMYFUNCTION("""COMPUTED_VALUE"""),"-")</f>
        <v>-</v>
      </c>
      <c r="I5347" s="19">
        <f>IFERROR(__xludf.DUMMYFUNCTION("""COMPUTED_VALUE"""),0.00222)</f>
        <v>0.00222</v>
      </c>
      <c r="J5347" s="19">
        <f>IFERROR(__xludf.DUMMYFUNCTION("""COMPUTED_VALUE"""),0.04741)</f>
        <v>0.04741</v>
      </c>
      <c r="K5347" s="19" t="str">
        <f>IFERROR(__xludf.DUMMYFUNCTION("""COMPUTED_VALUE"""),"-")</f>
        <v>-</v>
      </c>
      <c r="L5347" s="19" t="str">
        <f>IFERROR(__xludf.DUMMYFUNCTION("""COMPUTED_VALUE"""),"-")</f>
        <v>-</v>
      </c>
      <c r="O5347" s="24">
        <f t="shared" si="4"/>
        <v>0</v>
      </c>
      <c r="P5347" s="24"/>
      <c r="Q5347" s="24">
        <f t="shared" si="6"/>
        <v>0</v>
      </c>
      <c r="R5347" s="24">
        <f t="shared" si="7"/>
        <v>0</v>
      </c>
      <c r="S5347" s="24"/>
      <c r="T5347" s="24"/>
    </row>
    <row r="5348">
      <c r="A5348" s="12" t="s">
        <v>5435</v>
      </c>
      <c r="F5348" s="19">
        <f>IFERROR(__xludf.DUMMYFUNCTION("SPLIT(A5344, "" |"")"),5342.0)</f>
        <v>5342</v>
      </c>
      <c r="G5348" s="19">
        <f>IFERROR(__xludf.DUMMYFUNCTION("""COMPUTED_VALUE"""),0.00227)</f>
        <v>0.00227</v>
      </c>
      <c r="H5348" s="19" t="str">
        <f>IFERROR(__xludf.DUMMYFUNCTION("""COMPUTED_VALUE"""),"-")</f>
        <v>-</v>
      </c>
      <c r="I5348" s="19">
        <f>IFERROR(__xludf.DUMMYFUNCTION("""COMPUTED_VALUE"""),0.00228)</f>
        <v>0.00228</v>
      </c>
      <c r="J5348" s="19">
        <f>IFERROR(__xludf.DUMMYFUNCTION("""COMPUTED_VALUE"""),0.04745)</f>
        <v>0.04745</v>
      </c>
      <c r="K5348" s="19" t="str">
        <f>IFERROR(__xludf.DUMMYFUNCTION("""COMPUTED_VALUE"""),"-")</f>
        <v>-</v>
      </c>
      <c r="L5348" s="19" t="str">
        <f>IFERROR(__xludf.DUMMYFUNCTION("""COMPUTED_VALUE"""),"-")</f>
        <v>-</v>
      </c>
      <c r="O5348" s="24">
        <f t="shared" si="4"/>
        <v>0</v>
      </c>
      <c r="P5348" s="24"/>
      <c r="Q5348" s="24">
        <f t="shared" si="6"/>
        <v>0</v>
      </c>
      <c r="R5348" s="24">
        <f t="shared" si="7"/>
        <v>0</v>
      </c>
      <c r="S5348" s="24"/>
      <c r="T5348" s="24"/>
    </row>
    <row r="5349">
      <c r="A5349" s="12" t="s">
        <v>5436</v>
      </c>
      <c r="F5349" s="19">
        <f>IFERROR(__xludf.DUMMYFUNCTION("SPLIT(A5345, "" |"")"),5343.0)</f>
        <v>5343</v>
      </c>
      <c r="G5349" s="19">
        <f>IFERROR(__xludf.DUMMYFUNCTION("""COMPUTED_VALUE"""),0.00233)</f>
        <v>0.00233</v>
      </c>
      <c r="H5349" s="19" t="str">
        <f>IFERROR(__xludf.DUMMYFUNCTION("""COMPUTED_VALUE"""),"-")</f>
        <v>-</v>
      </c>
      <c r="I5349" s="19">
        <f>IFERROR(__xludf.DUMMYFUNCTION("""COMPUTED_VALUE"""),0.00221)</f>
        <v>0.00221</v>
      </c>
      <c r="J5349" s="19">
        <f>IFERROR(__xludf.DUMMYFUNCTION("""COMPUTED_VALUE"""),0.03967)</f>
        <v>0.03967</v>
      </c>
      <c r="K5349" s="19" t="str">
        <f>IFERROR(__xludf.DUMMYFUNCTION("""COMPUTED_VALUE"""),"-")</f>
        <v>-</v>
      </c>
      <c r="L5349" s="19" t="str">
        <f>IFERROR(__xludf.DUMMYFUNCTION("""COMPUTED_VALUE"""),"-")</f>
        <v>-</v>
      </c>
      <c r="O5349" s="24">
        <f t="shared" si="4"/>
        <v>0</v>
      </c>
      <c r="P5349" s="24"/>
      <c r="Q5349" s="24">
        <f t="shared" si="6"/>
        <v>0</v>
      </c>
      <c r="R5349" s="24">
        <f t="shared" si="7"/>
        <v>1</v>
      </c>
      <c r="S5349" s="24"/>
      <c r="T5349" s="24"/>
    </row>
    <row r="5350">
      <c r="A5350" s="12" t="s">
        <v>5437</v>
      </c>
      <c r="F5350" s="19">
        <f>IFERROR(__xludf.DUMMYFUNCTION("SPLIT(A5346, "" |"")"),5344.0)</f>
        <v>5344</v>
      </c>
      <c r="G5350" s="19">
        <f>IFERROR(__xludf.DUMMYFUNCTION("""COMPUTED_VALUE"""),0.00237)</f>
        <v>0.00237</v>
      </c>
      <c r="H5350" s="19" t="str">
        <f>IFERROR(__xludf.DUMMYFUNCTION("""COMPUTED_VALUE"""),"-")</f>
        <v>-</v>
      </c>
      <c r="I5350" s="19">
        <f>IFERROR(__xludf.DUMMYFUNCTION("""COMPUTED_VALUE"""),0.00222)</f>
        <v>0.00222</v>
      </c>
      <c r="J5350" s="19">
        <f>IFERROR(__xludf.DUMMYFUNCTION("""COMPUTED_VALUE"""),0.04744)</f>
        <v>0.04744</v>
      </c>
      <c r="K5350" s="19" t="str">
        <f>IFERROR(__xludf.DUMMYFUNCTION("""COMPUTED_VALUE"""),"-")</f>
        <v>-</v>
      </c>
      <c r="L5350" s="19" t="str">
        <f>IFERROR(__xludf.DUMMYFUNCTION("""COMPUTED_VALUE"""),"-")</f>
        <v>-</v>
      </c>
      <c r="O5350" s="24">
        <f t="shared" si="4"/>
        <v>0</v>
      </c>
      <c r="P5350" s="24"/>
      <c r="Q5350" s="24">
        <f t="shared" si="6"/>
        <v>0</v>
      </c>
      <c r="R5350" s="24">
        <f t="shared" si="7"/>
        <v>0</v>
      </c>
      <c r="S5350" s="24"/>
      <c r="T5350" s="24"/>
    </row>
    <row r="5351">
      <c r="A5351" s="12" t="s">
        <v>5438</v>
      </c>
      <c r="F5351" s="19">
        <f>IFERROR(__xludf.DUMMYFUNCTION("SPLIT(A5347, "" |"")"),5345.0)</f>
        <v>5345</v>
      </c>
      <c r="G5351" s="19">
        <f>IFERROR(__xludf.DUMMYFUNCTION("""COMPUTED_VALUE"""),0.00227)</f>
        <v>0.00227</v>
      </c>
      <c r="H5351" s="19" t="str">
        <f>IFERROR(__xludf.DUMMYFUNCTION("""COMPUTED_VALUE"""),"-")</f>
        <v>-</v>
      </c>
      <c r="I5351" s="19">
        <f>IFERROR(__xludf.DUMMYFUNCTION("""COMPUTED_VALUE"""),0.00218)</f>
        <v>0.00218</v>
      </c>
      <c r="J5351" s="19">
        <f>IFERROR(__xludf.DUMMYFUNCTION("""COMPUTED_VALUE"""),0.04742)</f>
        <v>0.04742</v>
      </c>
      <c r="K5351" s="19" t="str">
        <f>IFERROR(__xludf.DUMMYFUNCTION("""COMPUTED_VALUE"""),"-")</f>
        <v>-</v>
      </c>
      <c r="L5351" s="19" t="str">
        <f>IFERROR(__xludf.DUMMYFUNCTION("""COMPUTED_VALUE"""),"-")</f>
        <v>-</v>
      </c>
      <c r="O5351" s="24">
        <f t="shared" si="4"/>
        <v>0</v>
      </c>
      <c r="P5351" s="24"/>
      <c r="Q5351" s="24">
        <f t="shared" si="6"/>
        <v>0</v>
      </c>
      <c r="R5351" s="24">
        <f t="shared" si="7"/>
        <v>0</v>
      </c>
      <c r="S5351" s="24"/>
      <c r="T5351" s="24"/>
    </row>
    <row r="5352">
      <c r="A5352" s="12" t="s">
        <v>5439</v>
      </c>
      <c r="F5352" s="19">
        <f>IFERROR(__xludf.DUMMYFUNCTION("SPLIT(A5348, "" |"")"),5346.0)</f>
        <v>5346</v>
      </c>
      <c r="G5352" s="19">
        <f>IFERROR(__xludf.DUMMYFUNCTION("""COMPUTED_VALUE"""),0.00236)</f>
        <v>0.00236</v>
      </c>
      <c r="H5352" s="19" t="str">
        <f>IFERROR(__xludf.DUMMYFUNCTION("""COMPUTED_VALUE"""),"-")</f>
        <v>-</v>
      </c>
      <c r="I5352" s="19">
        <f>IFERROR(__xludf.DUMMYFUNCTION("""COMPUTED_VALUE"""),0.00222)</f>
        <v>0.00222</v>
      </c>
      <c r="J5352" s="19">
        <f>IFERROR(__xludf.DUMMYFUNCTION("""COMPUTED_VALUE"""),0.04747)</f>
        <v>0.04747</v>
      </c>
      <c r="K5352" s="19" t="str">
        <f>IFERROR(__xludf.DUMMYFUNCTION("""COMPUTED_VALUE"""),"-")</f>
        <v>-</v>
      </c>
      <c r="L5352" s="19" t="str">
        <f>IFERROR(__xludf.DUMMYFUNCTION("""COMPUTED_VALUE"""),"-")</f>
        <v>-</v>
      </c>
      <c r="O5352" s="24">
        <f t="shared" si="4"/>
        <v>0</v>
      </c>
      <c r="P5352" s="24"/>
      <c r="Q5352" s="24">
        <f t="shared" si="6"/>
        <v>0</v>
      </c>
      <c r="R5352" s="24">
        <f t="shared" si="7"/>
        <v>0</v>
      </c>
      <c r="S5352" s="24"/>
      <c r="T5352" s="24"/>
    </row>
    <row r="5353">
      <c r="A5353" s="12" t="s">
        <v>5440</v>
      </c>
      <c r="F5353" s="19">
        <f>IFERROR(__xludf.DUMMYFUNCTION("SPLIT(A5349, "" |"")"),5347.0)</f>
        <v>5347</v>
      </c>
      <c r="G5353" s="19">
        <f>IFERROR(__xludf.DUMMYFUNCTION("""COMPUTED_VALUE"""),0.00239)</f>
        <v>0.00239</v>
      </c>
      <c r="H5353" s="19" t="str">
        <f>IFERROR(__xludf.DUMMYFUNCTION("""COMPUTED_VALUE"""),"-")</f>
        <v>-</v>
      </c>
      <c r="I5353" s="19">
        <f>IFERROR(__xludf.DUMMYFUNCTION("""COMPUTED_VALUE"""),0.00226)</f>
        <v>0.00226</v>
      </c>
      <c r="J5353" s="19">
        <f>IFERROR(__xludf.DUMMYFUNCTION("""COMPUTED_VALUE"""),0.04356)</f>
        <v>0.04356</v>
      </c>
      <c r="K5353" s="19" t="str">
        <f>IFERROR(__xludf.DUMMYFUNCTION("""COMPUTED_VALUE"""),"-")</f>
        <v>-</v>
      </c>
      <c r="L5353" s="19" t="str">
        <f>IFERROR(__xludf.DUMMYFUNCTION("""COMPUTED_VALUE"""),"-")</f>
        <v>-</v>
      </c>
      <c r="O5353" s="24">
        <f t="shared" si="4"/>
        <v>0</v>
      </c>
      <c r="P5353" s="24"/>
      <c r="Q5353" s="24">
        <f t="shared" si="6"/>
        <v>0</v>
      </c>
      <c r="R5353" s="24">
        <f t="shared" si="7"/>
        <v>1</v>
      </c>
      <c r="S5353" s="24"/>
      <c r="T5353" s="24"/>
    </row>
    <row r="5354">
      <c r="A5354" s="12" t="s">
        <v>5441</v>
      </c>
      <c r="F5354" s="19">
        <f>IFERROR(__xludf.DUMMYFUNCTION("SPLIT(A5350, "" |"")"),5348.0)</f>
        <v>5348</v>
      </c>
      <c r="G5354" s="19">
        <f>IFERROR(__xludf.DUMMYFUNCTION("""COMPUTED_VALUE"""),0.00239)</f>
        <v>0.00239</v>
      </c>
      <c r="H5354" s="19" t="str">
        <f>IFERROR(__xludf.DUMMYFUNCTION("""COMPUTED_VALUE"""),"-")</f>
        <v>-</v>
      </c>
      <c r="I5354" s="19">
        <f>IFERROR(__xludf.DUMMYFUNCTION("""COMPUTED_VALUE"""),0.0022)</f>
        <v>0.0022</v>
      </c>
      <c r="J5354" s="19">
        <f>IFERROR(__xludf.DUMMYFUNCTION("""COMPUTED_VALUE"""),0.04742)</f>
        <v>0.04742</v>
      </c>
      <c r="K5354" s="19" t="str">
        <f>IFERROR(__xludf.DUMMYFUNCTION("""COMPUTED_VALUE"""),"-")</f>
        <v>-</v>
      </c>
      <c r="L5354" s="19" t="str">
        <f>IFERROR(__xludf.DUMMYFUNCTION("""COMPUTED_VALUE"""),"-")</f>
        <v>-</v>
      </c>
      <c r="O5354" s="24">
        <f t="shared" si="4"/>
        <v>0</v>
      </c>
      <c r="P5354" s="24"/>
      <c r="Q5354" s="24">
        <f t="shared" si="6"/>
        <v>0</v>
      </c>
      <c r="R5354" s="24">
        <f t="shared" si="7"/>
        <v>0</v>
      </c>
      <c r="S5354" s="24"/>
      <c r="T5354" s="24"/>
    </row>
    <row r="5355">
      <c r="A5355" s="12" t="s">
        <v>5442</v>
      </c>
      <c r="F5355" s="19">
        <f>IFERROR(__xludf.DUMMYFUNCTION("SPLIT(A5351, "" |"")"),5349.0)</f>
        <v>5349</v>
      </c>
      <c r="G5355" s="19">
        <f>IFERROR(__xludf.DUMMYFUNCTION("""COMPUTED_VALUE"""),0.00238)</f>
        <v>0.00238</v>
      </c>
      <c r="H5355" s="19" t="str">
        <f>IFERROR(__xludf.DUMMYFUNCTION("""COMPUTED_VALUE"""),"-")</f>
        <v>-</v>
      </c>
      <c r="I5355" s="19">
        <f>IFERROR(__xludf.DUMMYFUNCTION("""COMPUTED_VALUE"""),0.00221)</f>
        <v>0.00221</v>
      </c>
      <c r="J5355" s="19">
        <f>IFERROR(__xludf.DUMMYFUNCTION("""COMPUTED_VALUE"""),0.04747)</f>
        <v>0.04747</v>
      </c>
      <c r="K5355" s="19" t="str">
        <f>IFERROR(__xludf.DUMMYFUNCTION("""COMPUTED_VALUE"""),"-")</f>
        <v>-</v>
      </c>
      <c r="L5355" s="19" t="str">
        <f>IFERROR(__xludf.DUMMYFUNCTION("""COMPUTED_VALUE"""),"-")</f>
        <v>-</v>
      </c>
      <c r="O5355" s="24">
        <f t="shared" si="4"/>
        <v>0</v>
      </c>
      <c r="P5355" s="24"/>
      <c r="Q5355" s="24">
        <f t="shared" si="6"/>
        <v>0</v>
      </c>
      <c r="R5355" s="24">
        <f t="shared" si="7"/>
        <v>0</v>
      </c>
      <c r="S5355" s="24"/>
      <c r="T5355" s="24"/>
    </row>
    <row r="5356">
      <c r="A5356" s="12" t="s">
        <v>5443</v>
      </c>
      <c r="F5356" s="19">
        <f>IFERROR(__xludf.DUMMYFUNCTION("SPLIT(A5352, "" |"")"),5350.0)</f>
        <v>5350</v>
      </c>
      <c r="G5356" s="19">
        <f>IFERROR(__xludf.DUMMYFUNCTION("""COMPUTED_VALUE"""),0.00237)</f>
        <v>0.00237</v>
      </c>
      <c r="H5356" s="19" t="str">
        <f>IFERROR(__xludf.DUMMYFUNCTION("""COMPUTED_VALUE"""),"-")</f>
        <v>-</v>
      </c>
      <c r="I5356" s="19">
        <f>IFERROR(__xludf.DUMMYFUNCTION("""COMPUTED_VALUE"""),0.00221)</f>
        <v>0.00221</v>
      </c>
      <c r="J5356" s="19">
        <f>IFERROR(__xludf.DUMMYFUNCTION("""COMPUTED_VALUE"""),0.04745)</f>
        <v>0.04745</v>
      </c>
      <c r="K5356" s="19" t="str">
        <f>IFERROR(__xludf.DUMMYFUNCTION("""COMPUTED_VALUE"""),"-")</f>
        <v>-</v>
      </c>
      <c r="L5356" s="19" t="str">
        <f>IFERROR(__xludf.DUMMYFUNCTION("""COMPUTED_VALUE"""),"-")</f>
        <v>-</v>
      </c>
      <c r="O5356" s="24">
        <f t="shared" si="4"/>
        <v>0</v>
      </c>
      <c r="P5356" s="24"/>
      <c r="Q5356" s="24">
        <f t="shared" si="6"/>
        <v>0</v>
      </c>
      <c r="R5356" s="24">
        <f t="shared" si="7"/>
        <v>0</v>
      </c>
      <c r="S5356" s="24"/>
      <c r="T5356" s="24"/>
    </row>
    <row r="5357">
      <c r="A5357" s="12" t="s">
        <v>5444</v>
      </c>
      <c r="F5357" s="19">
        <f>IFERROR(__xludf.DUMMYFUNCTION("SPLIT(A5353, "" |"")"),5351.0)</f>
        <v>5351</v>
      </c>
      <c r="G5357" s="19">
        <f>IFERROR(__xludf.DUMMYFUNCTION("""COMPUTED_VALUE"""),0.0024)</f>
        <v>0.0024</v>
      </c>
      <c r="H5357" s="19" t="str">
        <f>IFERROR(__xludf.DUMMYFUNCTION("""COMPUTED_VALUE"""),"-")</f>
        <v>-</v>
      </c>
      <c r="I5357" s="19">
        <f>IFERROR(__xludf.DUMMYFUNCTION("""COMPUTED_VALUE"""),0.00228)</f>
        <v>0.00228</v>
      </c>
      <c r="J5357" s="19">
        <f>IFERROR(__xludf.DUMMYFUNCTION("""COMPUTED_VALUE"""),0.04745)</f>
        <v>0.04745</v>
      </c>
      <c r="K5357" s="19" t="str">
        <f>IFERROR(__xludf.DUMMYFUNCTION("""COMPUTED_VALUE"""),"-")</f>
        <v>-</v>
      </c>
      <c r="L5357" s="19" t="str">
        <f>IFERROR(__xludf.DUMMYFUNCTION("""COMPUTED_VALUE"""),"-")</f>
        <v>-</v>
      </c>
      <c r="O5357" s="24">
        <f t="shared" si="4"/>
        <v>0</v>
      </c>
      <c r="P5357" s="24"/>
      <c r="Q5357" s="24">
        <f t="shared" si="6"/>
        <v>0</v>
      </c>
      <c r="R5357" s="24">
        <f t="shared" si="7"/>
        <v>0</v>
      </c>
      <c r="S5357" s="24"/>
      <c r="T5357" s="24"/>
    </row>
    <row r="5358">
      <c r="A5358" s="12" t="s">
        <v>5445</v>
      </c>
      <c r="F5358" s="19">
        <f>IFERROR(__xludf.DUMMYFUNCTION("SPLIT(A5354, "" |"")"),5352.0)</f>
        <v>5352</v>
      </c>
      <c r="G5358" s="19">
        <f>IFERROR(__xludf.DUMMYFUNCTION("""COMPUTED_VALUE"""),0.00222)</f>
        <v>0.00222</v>
      </c>
      <c r="H5358" s="19" t="str">
        <f>IFERROR(__xludf.DUMMYFUNCTION("""COMPUTED_VALUE"""),"-")</f>
        <v>-</v>
      </c>
      <c r="I5358" s="19">
        <f>IFERROR(__xludf.DUMMYFUNCTION("""COMPUTED_VALUE"""),0.00211)</f>
        <v>0.00211</v>
      </c>
      <c r="J5358" s="19">
        <f>IFERROR(__xludf.DUMMYFUNCTION("""COMPUTED_VALUE"""),0.04732)</f>
        <v>0.04732</v>
      </c>
      <c r="K5358" s="19" t="str">
        <f>IFERROR(__xludf.DUMMYFUNCTION("""COMPUTED_VALUE"""),"-")</f>
        <v>-</v>
      </c>
      <c r="L5358" s="19" t="str">
        <f>IFERROR(__xludf.DUMMYFUNCTION("""COMPUTED_VALUE"""),"-")</f>
        <v>-</v>
      </c>
      <c r="O5358" s="24">
        <f t="shared" si="4"/>
        <v>0</v>
      </c>
      <c r="P5358" s="24"/>
      <c r="Q5358" s="24">
        <f t="shared" si="6"/>
        <v>0</v>
      </c>
      <c r="R5358" s="24">
        <f t="shared" si="7"/>
        <v>0</v>
      </c>
      <c r="S5358" s="24"/>
      <c r="T5358" s="24"/>
    </row>
    <row r="5359">
      <c r="A5359" s="12" t="s">
        <v>5446</v>
      </c>
      <c r="F5359" s="19">
        <f>IFERROR(__xludf.DUMMYFUNCTION("SPLIT(A5355, "" |"")"),5353.0)</f>
        <v>5353</v>
      </c>
      <c r="G5359" s="19">
        <f>IFERROR(__xludf.DUMMYFUNCTION("""COMPUTED_VALUE"""),0.00238)</f>
        <v>0.00238</v>
      </c>
      <c r="H5359" s="19" t="str">
        <f>IFERROR(__xludf.DUMMYFUNCTION("""COMPUTED_VALUE"""),"-")</f>
        <v>-</v>
      </c>
      <c r="I5359" s="19">
        <f>IFERROR(__xludf.DUMMYFUNCTION("""COMPUTED_VALUE"""),0.00221)</f>
        <v>0.00221</v>
      </c>
      <c r="J5359" s="19">
        <f>IFERROR(__xludf.DUMMYFUNCTION("""COMPUTED_VALUE"""),0.04743)</f>
        <v>0.04743</v>
      </c>
      <c r="K5359" s="19" t="str">
        <f>IFERROR(__xludf.DUMMYFUNCTION("""COMPUTED_VALUE"""),"-")</f>
        <v>-</v>
      </c>
      <c r="L5359" s="19" t="str">
        <f>IFERROR(__xludf.DUMMYFUNCTION("""COMPUTED_VALUE"""),"-")</f>
        <v>-</v>
      </c>
      <c r="O5359" s="24">
        <f t="shared" si="4"/>
        <v>0</v>
      </c>
      <c r="P5359" s="24"/>
      <c r="Q5359" s="24">
        <f t="shared" si="6"/>
        <v>0</v>
      </c>
      <c r="R5359" s="24">
        <f t="shared" si="7"/>
        <v>0</v>
      </c>
      <c r="S5359" s="24"/>
      <c r="T5359" s="24"/>
    </row>
    <row r="5360">
      <c r="A5360" s="12" t="s">
        <v>5447</v>
      </c>
      <c r="F5360" s="19">
        <f>IFERROR(__xludf.DUMMYFUNCTION("SPLIT(A5356, "" |"")"),5354.0)</f>
        <v>5354</v>
      </c>
      <c r="G5360" s="19">
        <f>IFERROR(__xludf.DUMMYFUNCTION("""COMPUTED_VALUE"""),0.00235)</f>
        <v>0.00235</v>
      </c>
      <c r="H5360" s="19" t="str">
        <f>IFERROR(__xludf.DUMMYFUNCTION("""COMPUTED_VALUE"""),"-")</f>
        <v>-</v>
      </c>
      <c r="I5360" s="19">
        <f>IFERROR(__xludf.DUMMYFUNCTION("""COMPUTED_VALUE"""),0.00221)</f>
        <v>0.00221</v>
      </c>
      <c r="J5360" s="19">
        <f>IFERROR(__xludf.DUMMYFUNCTION("""COMPUTED_VALUE"""),0.04741)</f>
        <v>0.04741</v>
      </c>
      <c r="K5360" s="19" t="str">
        <f>IFERROR(__xludf.DUMMYFUNCTION("""COMPUTED_VALUE"""),"-")</f>
        <v>-</v>
      </c>
      <c r="L5360" s="19" t="str">
        <f>IFERROR(__xludf.DUMMYFUNCTION("""COMPUTED_VALUE"""),"-")</f>
        <v>-</v>
      </c>
      <c r="O5360" s="24">
        <f t="shared" si="4"/>
        <v>0</v>
      </c>
      <c r="P5360" s="24"/>
      <c r="Q5360" s="24">
        <f t="shared" si="6"/>
        <v>0</v>
      </c>
      <c r="R5360" s="24">
        <f t="shared" si="7"/>
        <v>0</v>
      </c>
      <c r="S5360" s="24"/>
      <c r="T5360" s="24"/>
    </row>
    <row r="5361">
      <c r="A5361" s="12" t="s">
        <v>5448</v>
      </c>
      <c r="F5361" s="19">
        <f>IFERROR(__xludf.DUMMYFUNCTION("SPLIT(A5357, "" |"")"),5355.0)</f>
        <v>5355</v>
      </c>
      <c r="G5361" s="19">
        <f>IFERROR(__xludf.DUMMYFUNCTION("""COMPUTED_VALUE"""),0.00233)</f>
        <v>0.00233</v>
      </c>
      <c r="H5361" s="19" t="str">
        <f>IFERROR(__xludf.DUMMYFUNCTION("""COMPUTED_VALUE"""),"-")</f>
        <v>-</v>
      </c>
      <c r="I5361" s="19">
        <f>IFERROR(__xludf.DUMMYFUNCTION("""COMPUTED_VALUE"""),0.00224)</f>
        <v>0.00224</v>
      </c>
      <c r="J5361" s="19">
        <f>IFERROR(__xludf.DUMMYFUNCTION("""COMPUTED_VALUE"""),0.04741)</f>
        <v>0.04741</v>
      </c>
      <c r="K5361" s="19" t="str">
        <f>IFERROR(__xludf.DUMMYFUNCTION("""COMPUTED_VALUE"""),"-")</f>
        <v>-</v>
      </c>
      <c r="L5361" s="19" t="str">
        <f>IFERROR(__xludf.DUMMYFUNCTION("""COMPUTED_VALUE"""),"-")</f>
        <v>-</v>
      </c>
      <c r="O5361" s="24">
        <f t="shared" si="4"/>
        <v>0</v>
      </c>
      <c r="P5361" s="24"/>
      <c r="Q5361" s="24">
        <f t="shared" si="6"/>
        <v>0</v>
      </c>
      <c r="R5361" s="24">
        <f t="shared" si="7"/>
        <v>0</v>
      </c>
      <c r="S5361" s="24"/>
      <c r="T5361" s="24"/>
    </row>
    <row r="5362">
      <c r="A5362" s="12" t="s">
        <v>5449</v>
      </c>
      <c r="F5362" s="19">
        <f>IFERROR(__xludf.DUMMYFUNCTION("SPLIT(A5358, "" |"")"),5356.0)</f>
        <v>5356</v>
      </c>
      <c r="G5362" s="19">
        <f>IFERROR(__xludf.DUMMYFUNCTION("""COMPUTED_VALUE"""),0.00235)</f>
        <v>0.00235</v>
      </c>
      <c r="H5362" s="19" t="str">
        <f>IFERROR(__xludf.DUMMYFUNCTION("""COMPUTED_VALUE"""),"-")</f>
        <v>-</v>
      </c>
      <c r="I5362" s="19">
        <f>IFERROR(__xludf.DUMMYFUNCTION("""COMPUTED_VALUE"""),0.00222)</f>
        <v>0.00222</v>
      </c>
      <c r="J5362" s="19">
        <f>IFERROR(__xludf.DUMMYFUNCTION("""COMPUTED_VALUE"""),0.04178)</f>
        <v>0.04178</v>
      </c>
      <c r="K5362" s="19" t="str">
        <f>IFERROR(__xludf.DUMMYFUNCTION("""COMPUTED_VALUE"""),"-")</f>
        <v>-</v>
      </c>
      <c r="L5362" s="19" t="str">
        <f>IFERROR(__xludf.DUMMYFUNCTION("""COMPUTED_VALUE"""),"-")</f>
        <v>-</v>
      </c>
      <c r="O5362" s="24">
        <f t="shared" si="4"/>
        <v>0</v>
      </c>
      <c r="P5362" s="24"/>
      <c r="Q5362" s="24">
        <f t="shared" si="6"/>
        <v>0</v>
      </c>
      <c r="R5362" s="24">
        <f t="shared" si="7"/>
        <v>1</v>
      </c>
      <c r="S5362" s="24"/>
      <c r="T5362" s="24"/>
    </row>
    <row r="5363">
      <c r="A5363" s="12" t="s">
        <v>5450</v>
      </c>
      <c r="F5363" s="19">
        <f>IFERROR(__xludf.DUMMYFUNCTION("SPLIT(A5359, "" |"")"),5357.0)</f>
        <v>5357</v>
      </c>
      <c r="G5363" s="19">
        <f>IFERROR(__xludf.DUMMYFUNCTION("""COMPUTED_VALUE"""),0.00233)</f>
        <v>0.00233</v>
      </c>
      <c r="H5363" s="19" t="str">
        <f>IFERROR(__xludf.DUMMYFUNCTION("""COMPUTED_VALUE"""),"-")</f>
        <v>-</v>
      </c>
      <c r="I5363" s="19">
        <f>IFERROR(__xludf.DUMMYFUNCTION("""COMPUTED_VALUE"""),0.00223)</f>
        <v>0.00223</v>
      </c>
      <c r="J5363" s="19">
        <f>IFERROR(__xludf.DUMMYFUNCTION("""COMPUTED_VALUE"""),0.04743)</f>
        <v>0.04743</v>
      </c>
      <c r="K5363" s="19" t="str">
        <f>IFERROR(__xludf.DUMMYFUNCTION("""COMPUTED_VALUE"""),"-")</f>
        <v>-</v>
      </c>
      <c r="L5363" s="19" t="str">
        <f>IFERROR(__xludf.DUMMYFUNCTION("""COMPUTED_VALUE"""),"-")</f>
        <v>-</v>
      </c>
      <c r="O5363" s="24">
        <f t="shared" si="4"/>
        <v>0</v>
      </c>
      <c r="P5363" s="24"/>
      <c r="Q5363" s="24">
        <f t="shared" si="6"/>
        <v>0</v>
      </c>
      <c r="R5363" s="24">
        <f t="shared" si="7"/>
        <v>0</v>
      </c>
      <c r="S5363" s="24"/>
      <c r="T5363" s="24"/>
    </row>
    <row r="5364">
      <c r="A5364" s="12" t="s">
        <v>5451</v>
      </c>
      <c r="F5364" s="19">
        <f>IFERROR(__xludf.DUMMYFUNCTION("SPLIT(A5360, "" |"")"),5358.0)</f>
        <v>5358</v>
      </c>
      <c r="G5364" s="19">
        <f>IFERROR(__xludf.DUMMYFUNCTION("""COMPUTED_VALUE"""),0.00236)</f>
        <v>0.00236</v>
      </c>
      <c r="H5364" s="19" t="str">
        <f>IFERROR(__xludf.DUMMYFUNCTION("""COMPUTED_VALUE"""),"-")</f>
        <v>-</v>
      </c>
      <c r="I5364" s="19">
        <f>IFERROR(__xludf.DUMMYFUNCTION("""COMPUTED_VALUE"""),0.00215)</f>
        <v>0.00215</v>
      </c>
      <c r="J5364" s="19">
        <f>IFERROR(__xludf.DUMMYFUNCTION("""COMPUTED_VALUE"""),0.04749)</f>
        <v>0.04749</v>
      </c>
      <c r="K5364" s="19" t="str">
        <f>IFERROR(__xludf.DUMMYFUNCTION("""COMPUTED_VALUE"""),"-")</f>
        <v>-</v>
      </c>
      <c r="L5364" s="19" t="str">
        <f>IFERROR(__xludf.DUMMYFUNCTION("""COMPUTED_VALUE"""),"-")</f>
        <v>-</v>
      </c>
      <c r="O5364" s="24">
        <f t="shared" si="4"/>
        <v>0</v>
      </c>
      <c r="P5364" s="24"/>
      <c r="Q5364" s="24">
        <f t="shared" si="6"/>
        <v>0</v>
      </c>
      <c r="R5364" s="24">
        <f t="shared" si="7"/>
        <v>0</v>
      </c>
      <c r="S5364" s="24"/>
      <c r="T5364" s="24"/>
    </row>
    <row r="5365">
      <c r="A5365" s="12" t="s">
        <v>5452</v>
      </c>
      <c r="F5365" s="19">
        <f>IFERROR(__xludf.DUMMYFUNCTION("SPLIT(A5361, "" |"")"),5359.0)</f>
        <v>5359</v>
      </c>
      <c r="G5365" s="19">
        <f>IFERROR(__xludf.DUMMYFUNCTION("""COMPUTED_VALUE"""),0.00231)</f>
        <v>0.00231</v>
      </c>
      <c r="H5365" s="19" t="str">
        <f>IFERROR(__xludf.DUMMYFUNCTION("""COMPUTED_VALUE"""),"-")</f>
        <v>-</v>
      </c>
      <c r="I5365" s="19">
        <f>IFERROR(__xludf.DUMMYFUNCTION("""COMPUTED_VALUE"""),0.00222)</f>
        <v>0.00222</v>
      </c>
      <c r="J5365" s="19">
        <f>IFERROR(__xludf.DUMMYFUNCTION("""COMPUTED_VALUE"""),0.04734)</f>
        <v>0.04734</v>
      </c>
      <c r="K5365" s="19" t="str">
        <f>IFERROR(__xludf.DUMMYFUNCTION("""COMPUTED_VALUE"""),"-")</f>
        <v>-</v>
      </c>
      <c r="L5365" s="19" t="str">
        <f>IFERROR(__xludf.DUMMYFUNCTION("""COMPUTED_VALUE"""),"-")</f>
        <v>-</v>
      </c>
      <c r="O5365" s="24">
        <f t="shared" si="4"/>
        <v>0</v>
      </c>
      <c r="P5365" s="24"/>
      <c r="Q5365" s="24">
        <f t="shared" si="6"/>
        <v>0</v>
      </c>
      <c r="R5365" s="24">
        <f t="shared" si="7"/>
        <v>0</v>
      </c>
      <c r="S5365" s="24"/>
      <c r="T5365" s="24"/>
    </row>
    <row r="5366">
      <c r="A5366" s="12" t="s">
        <v>5453</v>
      </c>
      <c r="F5366" s="19">
        <f>IFERROR(__xludf.DUMMYFUNCTION("SPLIT(A5362, "" |"")"),5360.0)</f>
        <v>5360</v>
      </c>
      <c r="G5366" s="19">
        <f>IFERROR(__xludf.DUMMYFUNCTION("""COMPUTED_VALUE"""),0.00242)</f>
        <v>0.00242</v>
      </c>
      <c r="H5366" s="19" t="str">
        <f>IFERROR(__xludf.DUMMYFUNCTION("""COMPUTED_VALUE"""),"-")</f>
        <v>-</v>
      </c>
      <c r="I5366" s="19">
        <f>IFERROR(__xludf.DUMMYFUNCTION("""COMPUTED_VALUE"""),0.00227)</f>
        <v>0.00227</v>
      </c>
      <c r="J5366" s="19">
        <f>IFERROR(__xludf.DUMMYFUNCTION("""COMPUTED_VALUE"""),0.04746)</f>
        <v>0.04746</v>
      </c>
      <c r="K5366" s="19" t="str">
        <f>IFERROR(__xludf.DUMMYFUNCTION("""COMPUTED_VALUE"""),"-")</f>
        <v>-</v>
      </c>
      <c r="L5366" s="19" t="str">
        <f>IFERROR(__xludf.DUMMYFUNCTION("""COMPUTED_VALUE"""),"-")</f>
        <v>-</v>
      </c>
      <c r="O5366" s="24">
        <f t="shared" si="4"/>
        <v>0</v>
      </c>
      <c r="P5366" s="24"/>
      <c r="Q5366" s="24">
        <f t="shared" si="6"/>
        <v>0</v>
      </c>
      <c r="R5366" s="24">
        <f t="shared" si="7"/>
        <v>0</v>
      </c>
      <c r="S5366" s="24"/>
      <c r="T5366" s="24"/>
    </row>
    <row r="5367">
      <c r="A5367" s="12" t="s">
        <v>5454</v>
      </c>
      <c r="F5367" s="19">
        <f>IFERROR(__xludf.DUMMYFUNCTION("SPLIT(A5363, "" |"")"),5361.0)</f>
        <v>5361</v>
      </c>
      <c r="G5367" s="19">
        <f>IFERROR(__xludf.DUMMYFUNCTION("""COMPUTED_VALUE"""),0.00231)</f>
        <v>0.00231</v>
      </c>
      <c r="H5367" s="19" t="str">
        <f>IFERROR(__xludf.DUMMYFUNCTION("""COMPUTED_VALUE"""),"-")</f>
        <v>-</v>
      </c>
      <c r="I5367" s="19">
        <f>IFERROR(__xludf.DUMMYFUNCTION("""COMPUTED_VALUE"""),0.0022)</f>
        <v>0.0022</v>
      </c>
      <c r="J5367" s="19">
        <f>IFERROR(__xludf.DUMMYFUNCTION("""COMPUTED_VALUE"""),0.04746)</f>
        <v>0.04746</v>
      </c>
      <c r="K5367" s="19" t="str">
        <f>IFERROR(__xludf.DUMMYFUNCTION("""COMPUTED_VALUE"""),"-")</f>
        <v>-</v>
      </c>
      <c r="L5367" s="19" t="str">
        <f>IFERROR(__xludf.DUMMYFUNCTION("""COMPUTED_VALUE"""),"-")</f>
        <v>-</v>
      </c>
      <c r="O5367" s="24">
        <f t="shared" si="4"/>
        <v>0</v>
      </c>
      <c r="P5367" s="24"/>
      <c r="Q5367" s="24">
        <f t="shared" si="6"/>
        <v>0</v>
      </c>
      <c r="R5367" s="24">
        <f t="shared" si="7"/>
        <v>0</v>
      </c>
      <c r="S5367" s="24"/>
      <c r="T5367" s="24"/>
    </row>
    <row r="5368">
      <c r="A5368" s="12" t="s">
        <v>5455</v>
      </c>
      <c r="F5368" s="19">
        <f>IFERROR(__xludf.DUMMYFUNCTION("SPLIT(A5364, "" |"")"),5362.0)</f>
        <v>5362</v>
      </c>
      <c r="G5368" s="19">
        <f>IFERROR(__xludf.DUMMYFUNCTION("""COMPUTED_VALUE"""),0.00238)</f>
        <v>0.00238</v>
      </c>
      <c r="H5368" s="19" t="str">
        <f>IFERROR(__xludf.DUMMYFUNCTION("""COMPUTED_VALUE"""),"-")</f>
        <v>-</v>
      </c>
      <c r="I5368" s="19">
        <f>IFERROR(__xludf.DUMMYFUNCTION("""COMPUTED_VALUE"""),0.00222)</f>
        <v>0.00222</v>
      </c>
      <c r="J5368" s="19">
        <f>IFERROR(__xludf.DUMMYFUNCTION("""COMPUTED_VALUE"""),0.04745)</f>
        <v>0.04745</v>
      </c>
      <c r="K5368" s="19" t="str">
        <f>IFERROR(__xludf.DUMMYFUNCTION("""COMPUTED_VALUE"""),"-")</f>
        <v>-</v>
      </c>
      <c r="L5368" s="19" t="str">
        <f>IFERROR(__xludf.DUMMYFUNCTION("""COMPUTED_VALUE"""),"-")</f>
        <v>-</v>
      </c>
      <c r="O5368" s="24">
        <f t="shared" si="4"/>
        <v>0</v>
      </c>
      <c r="P5368" s="24"/>
      <c r="Q5368" s="24">
        <f t="shared" si="6"/>
        <v>0</v>
      </c>
      <c r="R5368" s="24">
        <f t="shared" si="7"/>
        <v>0</v>
      </c>
      <c r="S5368" s="24"/>
      <c r="T5368" s="24"/>
    </row>
    <row r="5369">
      <c r="A5369" s="12" t="s">
        <v>5456</v>
      </c>
      <c r="F5369" s="19">
        <f>IFERROR(__xludf.DUMMYFUNCTION("SPLIT(A5365, "" |"")"),5363.0)</f>
        <v>5363</v>
      </c>
      <c r="G5369" s="19">
        <f>IFERROR(__xludf.DUMMYFUNCTION("""COMPUTED_VALUE"""),0.00231)</f>
        <v>0.00231</v>
      </c>
      <c r="H5369" s="19" t="str">
        <f>IFERROR(__xludf.DUMMYFUNCTION("""COMPUTED_VALUE"""),"-")</f>
        <v>-</v>
      </c>
      <c r="I5369" s="19">
        <f>IFERROR(__xludf.DUMMYFUNCTION("""COMPUTED_VALUE"""),0.0022)</f>
        <v>0.0022</v>
      </c>
      <c r="J5369" s="19">
        <f>IFERROR(__xludf.DUMMYFUNCTION("""COMPUTED_VALUE"""),0.04745)</f>
        <v>0.04745</v>
      </c>
      <c r="K5369" s="19" t="str">
        <f>IFERROR(__xludf.DUMMYFUNCTION("""COMPUTED_VALUE"""),"-")</f>
        <v>-</v>
      </c>
      <c r="L5369" s="19" t="str">
        <f>IFERROR(__xludf.DUMMYFUNCTION("""COMPUTED_VALUE"""),"-")</f>
        <v>-</v>
      </c>
      <c r="O5369" s="24">
        <f t="shared" si="4"/>
        <v>0</v>
      </c>
      <c r="P5369" s="24"/>
      <c r="Q5369" s="24">
        <f t="shared" si="6"/>
        <v>0</v>
      </c>
      <c r="R5369" s="24">
        <f t="shared" si="7"/>
        <v>0</v>
      </c>
      <c r="S5369" s="24"/>
      <c r="T5369" s="24"/>
    </row>
    <row r="5370">
      <c r="A5370" s="12" t="s">
        <v>5457</v>
      </c>
      <c r="F5370" s="19">
        <f>IFERROR(__xludf.DUMMYFUNCTION("SPLIT(A5366, "" |"")"),5364.0)</f>
        <v>5364</v>
      </c>
      <c r="G5370" s="19">
        <f>IFERROR(__xludf.DUMMYFUNCTION("""COMPUTED_VALUE"""),0.00231)</f>
        <v>0.00231</v>
      </c>
      <c r="H5370" s="19" t="str">
        <f>IFERROR(__xludf.DUMMYFUNCTION("""COMPUTED_VALUE"""),"-")</f>
        <v>-</v>
      </c>
      <c r="I5370" s="19">
        <f>IFERROR(__xludf.DUMMYFUNCTION("""COMPUTED_VALUE"""),0.00223)</f>
        <v>0.00223</v>
      </c>
      <c r="J5370" s="19">
        <f>IFERROR(__xludf.DUMMYFUNCTION("""COMPUTED_VALUE"""),0.04536)</f>
        <v>0.04536</v>
      </c>
      <c r="K5370" s="19" t="str">
        <f>IFERROR(__xludf.DUMMYFUNCTION("""COMPUTED_VALUE"""),"-")</f>
        <v>-</v>
      </c>
      <c r="L5370" s="19" t="str">
        <f>IFERROR(__xludf.DUMMYFUNCTION("""COMPUTED_VALUE"""),"-")</f>
        <v>-</v>
      </c>
      <c r="O5370" s="24">
        <f t="shared" si="4"/>
        <v>0</v>
      </c>
      <c r="P5370" s="24"/>
      <c r="Q5370" s="24">
        <f t="shared" si="6"/>
        <v>0</v>
      </c>
      <c r="R5370" s="24">
        <f t="shared" si="7"/>
        <v>0</v>
      </c>
      <c r="S5370" s="24"/>
      <c r="T5370" s="24"/>
    </row>
    <row r="5371">
      <c r="A5371" s="12" t="s">
        <v>5458</v>
      </c>
      <c r="F5371" s="19">
        <f>IFERROR(__xludf.DUMMYFUNCTION("SPLIT(A5367, "" |"")"),5365.0)</f>
        <v>5365</v>
      </c>
      <c r="G5371" s="19">
        <f>IFERROR(__xludf.DUMMYFUNCTION("""COMPUTED_VALUE"""),0.00234)</f>
        <v>0.00234</v>
      </c>
      <c r="H5371" s="19" t="str">
        <f>IFERROR(__xludf.DUMMYFUNCTION("""COMPUTED_VALUE"""),"-")</f>
        <v>-</v>
      </c>
      <c r="I5371" s="19">
        <f>IFERROR(__xludf.DUMMYFUNCTION("""COMPUTED_VALUE"""),0.00225)</f>
        <v>0.00225</v>
      </c>
      <c r="J5371" s="19">
        <f>IFERROR(__xludf.DUMMYFUNCTION("""COMPUTED_VALUE"""),0.0474)</f>
        <v>0.0474</v>
      </c>
      <c r="K5371" s="19" t="str">
        <f>IFERROR(__xludf.DUMMYFUNCTION("""COMPUTED_VALUE"""),"-")</f>
        <v>-</v>
      </c>
      <c r="L5371" s="19" t="str">
        <f>IFERROR(__xludf.DUMMYFUNCTION("""COMPUTED_VALUE"""),"-")</f>
        <v>-</v>
      </c>
      <c r="O5371" s="24">
        <f t="shared" si="4"/>
        <v>0</v>
      </c>
      <c r="P5371" s="24"/>
      <c r="Q5371" s="24">
        <f t="shared" si="6"/>
        <v>0</v>
      </c>
      <c r="R5371" s="24">
        <f t="shared" si="7"/>
        <v>0</v>
      </c>
      <c r="S5371" s="24"/>
      <c r="T5371" s="24"/>
    </row>
    <row r="5372">
      <c r="A5372" s="12" t="s">
        <v>5459</v>
      </c>
      <c r="F5372" s="19">
        <f>IFERROR(__xludf.DUMMYFUNCTION("SPLIT(A5368, "" |"")"),5366.0)</f>
        <v>5366</v>
      </c>
      <c r="G5372" s="19">
        <f>IFERROR(__xludf.DUMMYFUNCTION("""COMPUTED_VALUE"""),0.0023)</f>
        <v>0.0023</v>
      </c>
      <c r="H5372" s="19" t="str">
        <f>IFERROR(__xludf.DUMMYFUNCTION("""COMPUTED_VALUE"""),"-")</f>
        <v>-</v>
      </c>
      <c r="I5372" s="19">
        <f>IFERROR(__xludf.DUMMYFUNCTION("""COMPUTED_VALUE"""),0.00207)</f>
        <v>0.00207</v>
      </c>
      <c r="J5372" s="19">
        <f>IFERROR(__xludf.DUMMYFUNCTION("""COMPUTED_VALUE"""),0.04738)</f>
        <v>0.04738</v>
      </c>
      <c r="K5372" s="19" t="str">
        <f>IFERROR(__xludf.DUMMYFUNCTION("""COMPUTED_VALUE"""),"-")</f>
        <v>-</v>
      </c>
      <c r="L5372" s="19" t="str">
        <f>IFERROR(__xludf.DUMMYFUNCTION("""COMPUTED_VALUE"""),"-")</f>
        <v>-</v>
      </c>
      <c r="O5372" s="24">
        <f t="shared" si="4"/>
        <v>0</v>
      </c>
      <c r="P5372" s="24"/>
      <c r="Q5372" s="24">
        <f t="shared" si="6"/>
        <v>0</v>
      </c>
      <c r="R5372" s="24">
        <f t="shared" si="7"/>
        <v>0</v>
      </c>
      <c r="S5372" s="24"/>
      <c r="T5372" s="24"/>
    </row>
    <row r="5373">
      <c r="A5373" s="12" t="s">
        <v>5460</v>
      </c>
      <c r="F5373" s="19">
        <f>IFERROR(__xludf.DUMMYFUNCTION("SPLIT(A5369, "" |"")"),5367.0)</f>
        <v>5367</v>
      </c>
      <c r="G5373" s="19">
        <f>IFERROR(__xludf.DUMMYFUNCTION("""COMPUTED_VALUE"""),0.00254)</f>
        <v>0.00254</v>
      </c>
      <c r="H5373" s="19" t="str">
        <f>IFERROR(__xludf.DUMMYFUNCTION("""COMPUTED_VALUE"""),"-")</f>
        <v>-</v>
      </c>
      <c r="I5373" s="19">
        <f>IFERROR(__xludf.DUMMYFUNCTION("""COMPUTED_VALUE"""),0.00218)</f>
        <v>0.00218</v>
      </c>
      <c r="J5373" s="19">
        <f>IFERROR(__xludf.DUMMYFUNCTION("""COMPUTED_VALUE"""),0.04743)</f>
        <v>0.04743</v>
      </c>
      <c r="K5373" s="19" t="str">
        <f>IFERROR(__xludf.DUMMYFUNCTION("""COMPUTED_VALUE"""),"-")</f>
        <v>-</v>
      </c>
      <c r="L5373" s="19" t="str">
        <f>IFERROR(__xludf.DUMMYFUNCTION("""COMPUTED_VALUE"""),"-")</f>
        <v>-</v>
      </c>
      <c r="O5373" s="24">
        <f t="shared" si="4"/>
        <v>0</v>
      </c>
      <c r="P5373" s="24"/>
      <c r="Q5373" s="24">
        <f t="shared" si="6"/>
        <v>0</v>
      </c>
      <c r="R5373" s="24">
        <f t="shared" si="7"/>
        <v>0</v>
      </c>
      <c r="S5373" s="24"/>
      <c r="T5373" s="24"/>
    </row>
    <row r="5374">
      <c r="A5374" s="12" t="s">
        <v>5461</v>
      </c>
      <c r="F5374" s="19">
        <f>IFERROR(__xludf.DUMMYFUNCTION("SPLIT(A5370, "" |"")"),5368.0)</f>
        <v>5368</v>
      </c>
      <c r="G5374" s="19">
        <f>IFERROR(__xludf.DUMMYFUNCTION("""COMPUTED_VALUE"""),0.00245)</f>
        <v>0.00245</v>
      </c>
      <c r="H5374" s="19" t="str">
        <f>IFERROR(__xludf.DUMMYFUNCTION("""COMPUTED_VALUE"""),"-")</f>
        <v>-</v>
      </c>
      <c r="I5374" s="19">
        <f>IFERROR(__xludf.DUMMYFUNCTION("""COMPUTED_VALUE"""),0.00229)</f>
        <v>0.00229</v>
      </c>
      <c r="J5374" s="19">
        <f>IFERROR(__xludf.DUMMYFUNCTION("""COMPUTED_VALUE"""),0.04744)</f>
        <v>0.04744</v>
      </c>
      <c r="K5374" s="19" t="str">
        <f>IFERROR(__xludf.DUMMYFUNCTION("""COMPUTED_VALUE"""),"-")</f>
        <v>-</v>
      </c>
      <c r="L5374" s="19" t="str">
        <f>IFERROR(__xludf.DUMMYFUNCTION("""COMPUTED_VALUE"""),"-")</f>
        <v>-</v>
      </c>
      <c r="O5374" s="24">
        <f t="shared" si="4"/>
        <v>0</v>
      </c>
      <c r="P5374" s="24"/>
      <c r="Q5374" s="24">
        <f t="shared" si="6"/>
        <v>0</v>
      </c>
      <c r="R5374" s="24">
        <f t="shared" si="7"/>
        <v>0</v>
      </c>
      <c r="S5374" s="24"/>
      <c r="T5374" s="24"/>
    </row>
    <row r="5375">
      <c r="A5375" s="12" t="s">
        <v>5462</v>
      </c>
      <c r="F5375" s="19">
        <f>IFERROR(__xludf.DUMMYFUNCTION("SPLIT(A5371, "" |"")"),5369.0)</f>
        <v>5369</v>
      </c>
      <c r="G5375" s="19">
        <f>IFERROR(__xludf.DUMMYFUNCTION("""COMPUTED_VALUE"""),0.00233)</f>
        <v>0.00233</v>
      </c>
      <c r="H5375" s="19" t="str">
        <f>IFERROR(__xludf.DUMMYFUNCTION("""COMPUTED_VALUE"""),"-")</f>
        <v>-</v>
      </c>
      <c r="I5375" s="19">
        <f>IFERROR(__xludf.DUMMYFUNCTION("""COMPUTED_VALUE"""),0.00222)</f>
        <v>0.00222</v>
      </c>
      <c r="J5375" s="19">
        <f>IFERROR(__xludf.DUMMYFUNCTION("""COMPUTED_VALUE"""),0.04739)</f>
        <v>0.04739</v>
      </c>
      <c r="K5375" s="19" t="str">
        <f>IFERROR(__xludf.DUMMYFUNCTION("""COMPUTED_VALUE"""),"-")</f>
        <v>-</v>
      </c>
      <c r="L5375" s="19" t="str">
        <f>IFERROR(__xludf.DUMMYFUNCTION("""COMPUTED_VALUE"""),"-")</f>
        <v>-</v>
      </c>
      <c r="O5375" s="24">
        <f t="shared" si="4"/>
        <v>0</v>
      </c>
      <c r="P5375" s="24"/>
      <c r="Q5375" s="24">
        <f t="shared" si="6"/>
        <v>0</v>
      </c>
      <c r="R5375" s="24">
        <f t="shared" si="7"/>
        <v>0</v>
      </c>
      <c r="S5375" s="24"/>
      <c r="T5375" s="24"/>
    </row>
    <row r="5376">
      <c r="A5376" s="12" t="s">
        <v>5463</v>
      </c>
      <c r="F5376" s="19">
        <f>IFERROR(__xludf.DUMMYFUNCTION("SPLIT(A5372, "" |"")"),5370.0)</f>
        <v>5370</v>
      </c>
      <c r="G5376" s="19">
        <f>IFERROR(__xludf.DUMMYFUNCTION("""COMPUTED_VALUE"""),0.00235)</f>
        <v>0.00235</v>
      </c>
      <c r="H5376" s="19" t="str">
        <f>IFERROR(__xludf.DUMMYFUNCTION("""COMPUTED_VALUE"""),"-")</f>
        <v>-</v>
      </c>
      <c r="I5376" s="19">
        <f>IFERROR(__xludf.DUMMYFUNCTION("""COMPUTED_VALUE"""),0.00221)</f>
        <v>0.00221</v>
      </c>
      <c r="J5376" s="19">
        <f>IFERROR(__xludf.DUMMYFUNCTION("""COMPUTED_VALUE"""),0.04743)</f>
        <v>0.04743</v>
      </c>
      <c r="K5376" s="19" t="str">
        <f>IFERROR(__xludf.DUMMYFUNCTION("""COMPUTED_VALUE"""),"-")</f>
        <v>-</v>
      </c>
      <c r="L5376" s="19" t="str">
        <f>IFERROR(__xludf.DUMMYFUNCTION("""COMPUTED_VALUE"""),"-")</f>
        <v>-</v>
      </c>
      <c r="O5376" s="24">
        <f t="shared" si="4"/>
        <v>0</v>
      </c>
      <c r="P5376" s="24"/>
      <c r="Q5376" s="24">
        <f t="shared" si="6"/>
        <v>0</v>
      </c>
      <c r="R5376" s="24">
        <f t="shared" si="7"/>
        <v>0</v>
      </c>
      <c r="S5376" s="24"/>
      <c r="T5376" s="24"/>
    </row>
    <row r="5377">
      <c r="A5377" s="12" t="s">
        <v>5464</v>
      </c>
      <c r="F5377" s="19">
        <f>IFERROR(__xludf.DUMMYFUNCTION("SPLIT(A5373, "" |"")"),5371.0)</f>
        <v>5371</v>
      </c>
      <c r="G5377" s="19">
        <f>IFERROR(__xludf.DUMMYFUNCTION("""COMPUTED_VALUE"""),0.00234)</f>
        <v>0.00234</v>
      </c>
      <c r="H5377" s="19" t="str">
        <f>IFERROR(__xludf.DUMMYFUNCTION("""COMPUTED_VALUE"""),"-")</f>
        <v>-</v>
      </c>
      <c r="I5377" s="19">
        <f>IFERROR(__xludf.DUMMYFUNCTION("""COMPUTED_VALUE"""),0.00223)</f>
        <v>0.00223</v>
      </c>
      <c r="J5377" s="19">
        <f>IFERROR(__xludf.DUMMYFUNCTION("""COMPUTED_VALUE"""),0.04747)</f>
        <v>0.04747</v>
      </c>
      <c r="K5377" s="19" t="str">
        <f>IFERROR(__xludf.DUMMYFUNCTION("""COMPUTED_VALUE"""),"-")</f>
        <v>-</v>
      </c>
      <c r="L5377" s="19" t="str">
        <f>IFERROR(__xludf.DUMMYFUNCTION("""COMPUTED_VALUE"""),"-")</f>
        <v>-</v>
      </c>
      <c r="O5377" s="24">
        <f t="shared" si="4"/>
        <v>0</v>
      </c>
      <c r="P5377" s="24"/>
      <c r="Q5377" s="24">
        <f t="shared" si="6"/>
        <v>0</v>
      </c>
      <c r="R5377" s="24">
        <f t="shared" si="7"/>
        <v>0</v>
      </c>
      <c r="S5377" s="24"/>
      <c r="T5377" s="24"/>
    </row>
    <row r="5378">
      <c r="A5378" s="12" t="s">
        <v>5465</v>
      </c>
      <c r="F5378" s="19">
        <f>IFERROR(__xludf.DUMMYFUNCTION("SPLIT(A5374, "" |"")"),5372.0)</f>
        <v>5372</v>
      </c>
      <c r="G5378" s="19">
        <f>IFERROR(__xludf.DUMMYFUNCTION("""COMPUTED_VALUE"""),0.00232)</f>
        <v>0.00232</v>
      </c>
      <c r="H5378" s="19" t="str">
        <f>IFERROR(__xludf.DUMMYFUNCTION("""COMPUTED_VALUE"""),"-")</f>
        <v>-</v>
      </c>
      <c r="I5378" s="19">
        <f>IFERROR(__xludf.DUMMYFUNCTION("""COMPUTED_VALUE"""),0.00221)</f>
        <v>0.00221</v>
      </c>
      <c r="J5378" s="19">
        <f>IFERROR(__xludf.DUMMYFUNCTION("""COMPUTED_VALUE"""),0.04746)</f>
        <v>0.04746</v>
      </c>
      <c r="K5378" s="19" t="str">
        <f>IFERROR(__xludf.DUMMYFUNCTION("""COMPUTED_VALUE"""),"-")</f>
        <v>-</v>
      </c>
      <c r="L5378" s="19" t="str">
        <f>IFERROR(__xludf.DUMMYFUNCTION("""COMPUTED_VALUE"""),"-")</f>
        <v>-</v>
      </c>
      <c r="O5378" s="24">
        <f t="shared" si="4"/>
        <v>0</v>
      </c>
      <c r="P5378" s="24"/>
      <c r="Q5378" s="24">
        <f t="shared" si="6"/>
        <v>0</v>
      </c>
      <c r="R5378" s="24">
        <f t="shared" si="7"/>
        <v>0</v>
      </c>
      <c r="S5378" s="24"/>
      <c r="T5378" s="24"/>
    </row>
    <row r="5379">
      <c r="A5379" s="12" t="s">
        <v>5466</v>
      </c>
      <c r="F5379" s="19">
        <f>IFERROR(__xludf.DUMMYFUNCTION("SPLIT(A5375, "" |"")"),5373.0)</f>
        <v>5373</v>
      </c>
      <c r="G5379" s="19">
        <f>IFERROR(__xludf.DUMMYFUNCTION("""COMPUTED_VALUE"""),0.00232)</f>
        <v>0.00232</v>
      </c>
      <c r="H5379" s="19" t="str">
        <f>IFERROR(__xludf.DUMMYFUNCTION("""COMPUTED_VALUE"""),"-")</f>
        <v>-</v>
      </c>
      <c r="I5379" s="19">
        <f>IFERROR(__xludf.DUMMYFUNCTION("""COMPUTED_VALUE"""),0.00223)</f>
        <v>0.00223</v>
      </c>
      <c r="J5379" s="19">
        <f>IFERROR(__xludf.DUMMYFUNCTION("""COMPUTED_VALUE"""),0.04581)</f>
        <v>0.04581</v>
      </c>
      <c r="K5379" s="19" t="str">
        <f>IFERROR(__xludf.DUMMYFUNCTION("""COMPUTED_VALUE"""),"-")</f>
        <v>-</v>
      </c>
      <c r="L5379" s="19" t="str">
        <f>IFERROR(__xludf.DUMMYFUNCTION("""COMPUTED_VALUE"""),"-")</f>
        <v>-</v>
      </c>
      <c r="O5379" s="24">
        <f t="shared" si="4"/>
        <v>0</v>
      </c>
      <c r="P5379" s="24"/>
      <c r="Q5379" s="24">
        <f t="shared" si="6"/>
        <v>0</v>
      </c>
      <c r="R5379" s="24">
        <f t="shared" si="7"/>
        <v>0</v>
      </c>
      <c r="S5379" s="24"/>
      <c r="T5379" s="24"/>
    </row>
    <row r="5380">
      <c r="A5380" s="12" t="s">
        <v>5467</v>
      </c>
      <c r="F5380" s="19">
        <f>IFERROR(__xludf.DUMMYFUNCTION("SPLIT(A5376, "" |"")"),5374.0)</f>
        <v>5374</v>
      </c>
      <c r="G5380" s="19">
        <f>IFERROR(__xludf.DUMMYFUNCTION("""COMPUTED_VALUE"""),0.00241)</f>
        <v>0.00241</v>
      </c>
      <c r="H5380" s="19" t="str">
        <f>IFERROR(__xludf.DUMMYFUNCTION("""COMPUTED_VALUE"""),"-")</f>
        <v>-</v>
      </c>
      <c r="I5380" s="19">
        <f>IFERROR(__xludf.DUMMYFUNCTION("""COMPUTED_VALUE"""),0.00222)</f>
        <v>0.00222</v>
      </c>
      <c r="J5380" s="19">
        <f>IFERROR(__xludf.DUMMYFUNCTION("""COMPUTED_VALUE"""),0.04746)</f>
        <v>0.04746</v>
      </c>
      <c r="K5380" s="19" t="str">
        <f>IFERROR(__xludf.DUMMYFUNCTION("""COMPUTED_VALUE"""),"-")</f>
        <v>-</v>
      </c>
      <c r="L5380" s="19" t="str">
        <f>IFERROR(__xludf.DUMMYFUNCTION("""COMPUTED_VALUE"""),"-")</f>
        <v>-</v>
      </c>
      <c r="O5380" s="24">
        <f t="shared" si="4"/>
        <v>0</v>
      </c>
      <c r="P5380" s="24"/>
      <c r="Q5380" s="24">
        <f t="shared" si="6"/>
        <v>0</v>
      </c>
      <c r="R5380" s="24">
        <f t="shared" si="7"/>
        <v>0</v>
      </c>
      <c r="S5380" s="24"/>
      <c r="T5380" s="24"/>
    </row>
    <row r="5381">
      <c r="A5381" s="12" t="s">
        <v>5468</v>
      </c>
      <c r="F5381" s="19">
        <f>IFERROR(__xludf.DUMMYFUNCTION("SPLIT(A5377, "" |"")"),5375.0)</f>
        <v>5375</v>
      </c>
      <c r="G5381" s="19">
        <f>IFERROR(__xludf.DUMMYFUNCTION("""COMPUTED_VALUE"""),0.00233)</f>
        <v>0.00233</v>
      </c>
      <c r="H5381" s="19" t="str">
        <f>IFERROR(__xludf.DUMMYFUNCTION("""COMPUTED_VALUE"""),"-")</f>
        <v>-</v>
      </c>
      <c r="I5381" s="19">
        <f>IFERROR(__xludf.DUMMYFUNCTION("""COMPUTED_VALUE"""),0.00224)</f>
        <v>0.00224</v>
      </c>
      <c r="J5381" s="19">
        <f>IFERROR(__xludf.DUMMYFUNCTION("""COMPUTED_VALUE"""),0.04493)</f>
        <v>0.04493</v>
      </c>
      <c r="K5381" s="19" t="str">
        <f>IFERROR(__xludf.DUMMYFUNCTION("""COMPUTED_VALUE"""),"-")</f>
        <v>-</v>
      </c>
      <c r="L5381" s="19" t="str">
        <f>IFERROR(__xludf.DUMMYFUNCTION("""COMPUTED_VALUE"""),"-")</f>
        <v>-</v>
      </c>
      <c r="O5381" s="24">
        <f t="shared" si="4"/>
        <v>0</v>
      </c>
      <c r="P5381" s="24"/>
      <c r="Q5381" s="24">
        <f t="shared" si="6"/>
        <v>0</v>
      </c>
      <c r="R5381" s="24">
        <f t="shared" si="7"/>
        <v>0</v>
      </c>
      <c r="S5381" s="24"/>
      <c r="T5381" s="24"/>
    </row>
    <row r="5382">
      <c r="A5382" s="12" t="s">
        <v>5469</v>
      </c>
      <c r="F5382" s="19">
        <f>IFERROR(__xludf.DUMMYFUNCTION("SPLIT(A5378, "" |"")"),5376.0)</f>
        <v>5376</v>
      </c>
      <c r="G5382" s="19">
        <f>IFERROR(__xludf.DUMMYFUNCTION("""COMPUTED_VALUE"""),0.00233)</f>
        <v>0.00233</v>
      </c>
      <c r="H5382" s="19" t="str">
        <f>IFERROR(__xludf.DUMMYFUNCTION("""COMPUTED_VALUE"""),"-")</f>
        <v>-</v>
      </c>
      <c r="I5382" s="19">
        <f>IFERROR(__xludf.DUMMYFUNCTION("""COMPUTED_VALUE"""),0.0022)</f>
        <v>0.0022</v>
      </c>
      <c r="J5382" s="19">
        <f>IFERROR(__xludf.DUMMYFUNCTION("""COMPUTED_VALUE"""),0.03817)</f>
        <v>0.03817</v>
      </c>
      <c r="K5382" s="19" t="str">
        <f>IFERROR(__xludf.DUMMYFUNCTION("""COMPUTED_VALUE"""),"-")</f>
        <v>-</v>
      </c>
      <c r="L5382" s="19" t="str">
        <f>IFERROR(__xludf.DUMMYFUNCTION("""COMPUTED_VALUE"""),"-")</f>
        <v>-</v>
      </c>
      <c r="O5382" s="24">
        <f t="shared" si="4"/>
        <v>0</v>
      </c>
      <c r="P5382" s="24"/>
      <c r="Q5382" s="24">
        <f t="shared" si="6"/>
        <v>0</v>
      </c>
      <c r="R5382" s="24">
        <f t="shared" si="7"/>
        <v>1</v>
      </c>
      <c r="S5382" s="24"/>
      <c r="T5382" s="24"/>
    </row>
    <row r="5383">
      <c r="A5383" s="12" t="s">
        <v>5470</v>
      </c>
      <c r="F5383" s="19">
        <f>IFERROR(__xludf.DUMMYFUNCTION("SPLIT(A5379, "" |"")"),5377.0)</f>
        <v>5377</v>
      </c>
      <c r="G5383" s="19">
        <f>IFERROR(__xludf.DUMMYFUNCTION("""COMPUTED_VALUE"""),0.00232)</f>
        <v>0.00232</v>
      </c>
      <c r="H5383" s="19" t="str">
        <f>IFERROR(__xludf.DUMMYFUNCTION("""COMPUTED_VALUE"""),"-")</f>
        <v>-</v>
      </c>
      <c r="I5383" s="19">
        <f>IFERROR(__xludf.DUMMYFUNCTION("""COMPUTED_VALUE"""),0.0022)</f>
        <v>0.0022</v>
      </c>
      <c r="J5383" s="19">
        <f>IFERROR(__xludf.DUMMYFUNCTION("""COMPUTED_VALUE"""),0.04743)</f>
        <v>0.04743</v>
      </c>
      <c r="K5383" s="19" t="str">
        <f>IFERROR(__xludf.DUMMYFUNCTION("""COMPUTED_VALUE"""),"-")</f>
        <v>-</v>
      </c>
      <c r="L5383" s="19" t="str">
        <f>IFERROR(__xludf.DUMMYFUNCTION("""COMPUTED_VALUE"""),"-")</f>
        <v>-</v>
      </c>
      <c r="O5383" s="24">
        <f t="shared" si="4"/>
        <v>0</v>
      </c>
      <c r="P5383" s="24"/>
      <c r="Q5383" s="24">
        <f t="shared" si="6"/>
        <v>0</v>
      </c>
      <c r="R5383" s="24">
        <f t="shared" si="7"/>
        <v>0</v>
      </c>
      <c r="S5383" s="24"/>
      <c r="T5383" s="24"/>
    </row>
    <row r="5384">
      <c r="A5384" s="12" t="s">
        <v>5471</v>
      </c>
      <c r="F5384" s="19">
        <f>IFERROR(__xludf.DUMMYFUNCTION("SPLIT(A5380, "" |"")"),5378.0)</f>
        <v>5378</v>
      </c>
      <c r="G5384" s="19">
        <f>IFERROR(__xludf.DUMMYFUNCTION("""COMPUTED_VALUE"""),0.0022)</f>
        <v>0.0022</v>
      </c>
      <c r="H5384" s="19" t="str">
        <f>IFERROR(__xludf.DUMMYFUNCTION("""COMPUTED_VALUE"""),"-")</f>
        <v>-</v>
      </c>
      <c r="I5384" s="19">
        <f>IFERROR(__xludf.DUMMYFUNCTION("""COMPUTED_VALUE"""),0.00212)</f>
        <v>0.00212</v>
      </c>
      <c r="J5384" s="19">
        <f>IFERROR(__xludf.DUMMYFUNCTION("""COMPUTED_VALUE"""),0.04736)</f>
        <v>0.04736</v>
      </c>
      <c r="K5384" s="19" t="str">
        <f>IFERROR(__xludf.DUMMYFUNCTION("""COMPUTED_VALUE"""),"-")</f>
        <v>-</v>
      </c>
      <c r="L5384" s="19" t="str">
        <f>IFERROR(__xludf.DUMMYFUNCTION("""COMPUTED_VALUE"""),"-")</f>
        <v>-</v>
      </c>
      <c r="O5384" s="24">
        <f t="shared" si="4"/>
        <v>0</v>
      </c>
      <c r="P5384" s="24"/>
      <c r="Q5384" s="24">
        <f t="shared" si="6"/>
        <v>0</v>
      </c>
      <c r="R5384" s="24">
        <f t="shared" si="7"/>
        <v>0</v>
      </c>
      <c r="S5384" s="24"/>
      <c r="T5384" s="24"/>
    </row>
    <row r="5385">
      <c r="A5385" s="12" t="s">
        <v>5472</v>
      </c>
      <c r="F5385" s="19">
        <f>IFERROR(__xludf.DUMMYFUNCTION("SPLIT(A5381, "" |"")"),5379.0)</f>
        <v>5379</v>
      </c>
      <c r="G5385" s="19">
        <f>IFERROR(__xludf.DUMMYFUNCTION("""COMPUTED_VALUE"""),0.00242)</f>
        <v>0.00242</v>
      </c>
      <c r="H5385" s="19" t="str">
        <f>IFERROR(__xludf.DUMMYFUNCTION("""COMPUTED_VALUE"""),"-")</f>
        <v>-</v>
      </c>
      <c r="I5385" s="19">
        <f>IFERROR(__xludf.DUMMYFUNCTION("""COMPUTED_VALUE"""),0.0023)</f>
        <v>0.0023</v>
      </c>
      <c r="J5385" s="19">
        <f>IFERROR(__xludf.DUMMYFUNCTION("""COMPUTED_VALUE"""),0.04739)</f>
        <v>0.04739</v>
      </c>
      <c r="K5385" s="19" t="str">
        <f>IFERROR(__xludf.DUMMYFUNCTION("""COMPUTED_VALUE"""),"-")</f>
        <v>-</v>
      </c>
      <c r="L5385" s="19" t="str">
        <f>IFERROR(__xludf.DUMMYFUNCTION("""COMPUTED_VALUE"""),"-")</f>
        <v>-</v>
      </c>
      <c r="O5385" s="24">
        <f t="shared" si="4"/>
        <v>0</v>
      </c>
      <c r="P5385" s="24"/>
      <c r="Q5385" s="24">
        <f t="shared" si="6"/>
        <v>0</v>
      </c>
      <c r="R5385" s="24">
        <f t="shared" si="7"/>
        <v>0</v>
      </c>
      <c r="S5385" s="24"/>
      <c r="T5385" s="24"/>
    </row>
    <row r="5386">
      <c r="A5386" s="12" t="s">
        <v>5473</v>
      </c>
      <c r="F5386" s="19">
        <f>IFERROR(__xludf.DUMMYFUNCTION("SPLIT(A5382, "" |"")"),5380.0)</f>
        <v>5380</v>
      </c>
      <c r="G5386" s="19">
        <f>IFERROR(__xludf.DUMMYFUNCTION("""COMPUTED_VALUE"""),0.00236)</f>
        <v>0.00236</v>
      </c>
      <c r="H5386" s="19" t="str">
        <f>IFERROR(__xludf.DUMMYFUNCTION("""COMPUTED_VALUE"""),"-")</f>
        <v>-</v>
      </c>
      <c r="I5386" s="19">
        <f>IFERROR(__xludf.DUMMYFUNCTION("""COMPUTED_VALUE"""),0.00222)</f>
        <v>0.00222</v>
      </c>
      <c r="J5386" s="19">
        <f>IFERROR(__xludf.DUMMYFUNCTION("""COMPUTED_VALUE"""),0.03993)</f>
        <v>0.03993</v>
      </c>
      <c r="K5386" s="19" t="str">
        <f>IFERROR(__xludf.DUMMYFUNCTION("""COMPUTED_VALUE"""),"-")</f>
        <v>-</v>
      </c>
      <c r="L5386" s="19" t="str">
        <f>IFERROR(__xludf.DUMMYFUNCTION("""COMPUTED_VALUE"""),"-")</f>
        <v>-</v>
      </c>
      <c r="O5386" s="24">
        <f t="shared" si="4"/>
        <v>0</v>
      </c>
      <c r="P5386" s="24"/>
      <c r="Q5386" s="24">
        <f t="shared" si="6"/>
        <v>0</v>
      </c>
      <c r="R5386" s="24">
        <f t="shared" si="7"/>
        <v>1</v>
      </c>
      <c r="S5386" s="24"/>
      <c r="T5386" s="24"/>
    </row>
    <row r="5387">
      <c r="A5387" s="12" t="s">
        <v>5474</v>
      </c>
      <c r="F5387" s="19">
        <f>IFERROR(__xludf.DUMMYFUNCTION("SPLIT(A5383, "" |"")"),5381.0)</f>
        <v>5381</v>
      </c>
      <c r="G5387" s="19">
        <f>IFERROR(__xludf.DUMMYFUNCTION("""COMPUTED_VALUE"""),0.0023)</f>
        <v>0.0023</v>
      </c>
      <c r="H5387" s="19" t="str">
        <f>IFERROR(__xludf.DUMMYFUNCTION("""COMPUTED_VALUE"""),"-")</f>
        <v>-</v>
      </c>
      <c r="I5387" s="19">
        <f>IFERROR(__xludf.DUMMYFUNCTION("""COMPUTED_VALUE"""),0.00224)</f>
        <v>0.00224</v>
      </c>
      <c r="J5387" s="19">
        <f>IFERROR(__xludf.DUMMYFUNCTION("""COMPUTED_VALUE"""),0.04739)</f>
        <v>0.04739</v>
      </c>
      <c r="K5387" s="19" t="str">
        <f>IFERROR(__xludf.DUMMYFUNCTION("""COMPUTED_VALUE"""),"-")</f>
        <v>-</v>
      </c>
      <c r="L5387" s="19" t="str">
        <f>IFERROR(__xludf.DUMMYFUNCTION("""COMPUTED_VALUE"""),"-")</f>
        <v>-</v>
      </c>
      <c r="O5387" s="24">
        <f t="shared" si="4"/>
        <v>0</v>
      </c>
      <c r="P5387" s="24"/>
      <c r="Q5387" s="24">
        <f t="shared" si="6"/>
        <v>0</v>
      </c>
      <c r="R5387" s="24">
        <f t="shared" si="7"/>
        <v>0</v>
      </c>
      <c r="S5387" s="24"/>
      <c r="T5387" s="24"/>
    </row>
    <row r="5388">
      <c r="A5388" s="12" t="s">
        <v>5475</v>
      </c>
      <c r="F5388" s="19">
        <f>IFERROR(__xludf.DUMMYFUNCTION("SPLIT(A5384, "" |"")"),5382.0)</f>
        <v>5382</v>
      </c>
      <c r="G5388" s="19">
        <f>IFERROR(__xludf.DUMMYFUNCTION("""COMPUTED_VALUE"""),0.00237)</f>
        <v>0.00237</v>
      </c>
      <c r="H5388" s="19" t="str">
        <f>IFERROR(__xludf.DUMMYFUNCTION("""COMPUTED_VALUE"""),"-")</f>
        <v>-</v>
      </c>
      <c r="I5388" s="19">
        <f>IFERROR(__xludf.DUMMYFUNCTION("""COMPUTED_VALUE"""),0.00225)</f>
        <v>0.00225</v>
      </c>
      <c r="J5388" s="19">
        <f>IFERROR(__xludf.DUMMYFUNCTION("""COMPUTED_VALUE"""),0.04744)</f>
        <v>0.04744</v>
      </c>
      <c r="K5388" s="19" t="str">
        <f>IFERROR(__xludf.DUMMYFUNCTION("""COMPUTED_VALUE"""),"-")</f>
        <v>-</v>
      </c>
      <c r="L5388" s="19" t="str">
        <f>IFERROR(__xludf.DUMMYFUNCTION("""COMPUTED_VALUE"""),"-")</f>
        <v>-</v>
      </c>
      <c r="O5388" s="24">
        <f t="shared" si="4"/>
        <v>0</v>
      </c>
      <c r="P5388" s="24"/>
      <c r="Q5388" s="24">
        <f t="shared" si="6"/>
        <v>0</v>
      </c>
      <c r="R5388" s="24">
        <f t="shared" si="7"/>
        <v>0</v>
      </c>
      <c r="S5388" s="24"/>
      <c r="T5388" s="24"/>
    </row>
    <row r="5389">
      <c r="A5389" s="12" t="s">
        <v>5476</v>
      </c>
      <c r="F5389" s="19">
        <f>IFERROR(__xludf.DUMMYFUNCTION("SPLIT(A5385, "" |"")"),5383.0)</f>
        <v>5383</v>
      </c>
      <c r="G5389" s="19">
        <f>IFERROR(__xludf.DUMMYFUNCTION("""COMPUTED_VALUE"""),0.00239)</f>
        <v>0.00239</v>
      </c>
      <c r="H5389" s="19" t="str">
        <f>IFERROR(__xludf.DUMMYFUNCTION("""COMPUTED_VALUE"""),"-")</f>
        <v>-</v>
      </c>
      <c r="I5389" s="19">
        <f>IFERROR(__xludf.DUMMYFUNCTION("""COMPUTED_VALUE"""),0.0022)</f>
        <v>0.0022</v>
      </c>
      <c r="J5389" s="19">
        <f>IFERROR(__xludf.DUMMYFUNCTION("""COMPUTED_VALUE"""),0.04738)</f>
        <v>0.04738</v>
      </c>
      <c r="K5389" s="19" t="str">
        <f>IFERROR(__xludf.DUMMYFUNCTION("""COMPUTED_VALUE"""),"-")</f>
        <v>-</v>
      </c>
      <c r="L5389" s="19" t="str">
        <f>IFERROR(__xludf.DUMMYFUNCTION("""COMPUTED_VALUE"""),"-")</f>
        <v>-</v>
      </c>
      <c r="O5389" s="24">
        <f t="shared" si="4"/>
        <v>0</v>
      </c>
      <c r="P5389" s="24"/>
      <c r="Q5389" s="24">
        <f t="shared" si="6"/>
        <v>0</v>
      </c>
      <c r="R5389" s="24">
        <f t="shared" si="7"/>
        <v>0</v>
      </c>
      <c r="S5389" s="24"/>
      <c r="T5389" s="24"/>
    </row>
    <row r="5390">
      <c r="A5390" s="12" t="s">
        <v>5477</v>
      </c>
      <c r="F5390" s="19">
        <f>IFERROR(__xludf.DUMMYFUNCTION("SPLIT(A5386, "" |"")"),5384.0)</f>
        <v>5384</v>
      </c>
      <c r="G5390" s="19">
        <f>IFERROR(__xludf.DUMMYFUNCTION("""COMPUTED_VALUE"""),0.00235)</f>
        <v>0.00235</v>
      </c>
      <c r="H5390" s="19" t="str">
        <f>IFERROR(__xludf.DUMMYFUNCTION("""COMPUTED_VALUE"""),"-")</f>
        <v>-</v>
      </c>
      <c r="I5390" s="19">
        <f>IFERROR(__xludf.DUMMYFUNCTION("""COMPUTED_VALUE"""),0.00224)</f>
        <v>0.00224</v>
      </c>
      <c r="J5390" s="19">
        <f>IFERROR(__xludf.DUMMYFUNCTION("""COMPUTED_VALUE"""),0.04746)</f>
        <v>0.04746</v>
      </c>
      <c r="K5390" s="19" t="str">
        <f>IFERROR(__xludf.DUMMYFUNCTION("""COMPUTED_VALUE"""),"-")</f>
        <v>-</v>
      </c>
      <c r="L5390" s="19" t="str">
        <f>IFERROR(__xludf.DUMMYFUNCTION("""COMPUTED_VALUE"""),"-")</f>
        <v>-</v>
      </c>
      <c r="O5390" s="24">
        <f t="shared" si="4"/>
        <v>0</v>
      </c>
      <c r="P5390" s="24"/>
      <c r="Q5390" s="24">
        <f t="shared" si="6"/>
        <v>0</v>
      </c>
      <c r="R5390" s="24">
        <f t="shared" si="7"/>
        <v>0</v>
      </c>
      <c r="S5390" s="24"/>
      <c r="T5390" s="24"/>
    </row>
    <row r="5391">
      <c r="A5391" s="12" t="s">
        <v>5478</v>
      </c>
      <c r="F5391" s="19">
        <f>IFERROR(__xludf.DUMMYFUNCTION("SPLIT(A5387, "" |"")"),5385.0)</f>
        <v>5385</v>
      </c>
      <c r="G5391" s="19">
        <f>IFERROR(__xludf.DUMMYFUNCTION("""COMPUTED_VALUE"""),0.00236)</f>
        <v>0.00236</v>
      </c>
      <c r="H5391" s="19" t="str">
        <f>IFERROR(__xludf.DUMMYFUNCTION("""COMPUTED_VALUE"""),"-")</f>
        <v>-</v>
      </c>
      <c r="I5391" s="19">
        <f>IFERROR(__xludf.DUMMYFUNCTION("""COMPUTED_VALUE"""),0.00223)</f>
        <v>0.00223</v>
      </c>
      <c r="J5391" s="19">
        <f>IFERROR(__xludf.DUMMYFUNCTION("""COMPUTED_VALUE"""),0.0475)</f>
        <v>0.0475</v>
      </c>
      <c r="K5391" s="19" t="str">
        <f>IFERROR(__xludf.DUMMYFUNCTION("""COMPUTED_VALUE"""),"-")</f>
        <v>-</v>
      </c>
      <c r="L5391" s="19" t="str">
        <f>IFERROR(__xludf.DUMMYFUNCTION("""COMPUTED_VALUE"""),"-")</f>
        <v>-</v>
      </c>
      <c r="O5391" s="24">
        <f t="shared" si="4"/>
        <v>0</v>
      </c>
      <c r="P5391" s="24"/>
      <c r="Q5391" s="24">
        <f t="shared" si="6"/>
        <v>0</v>
      </c>
      <c r="R5391" s="24">
        <f t="shared" si="7"/>
        <v>0</v>
      </c>
      <c r="S5391" s="24"/>
      <c r="T5391" s="24"/>
    </row>
    <row r="5392">
      <c r="A5392" s="12" t="s">
        <v>5479</v>
      </c>
      <c r="F5392" s="19">
        <f>IFERROR(__xludf.DUMMYFUNCTION("SPLIT(A5388, "" |"")"),5386.0)</f>
        <v>5386</v>
      </c>
      <c r="G5392" s="19">
        <f>IFERROR(__xludf.DUMMYFUNCTION("""COMPUTED_VALUE"""),0.00241)</f>
        <v>0.00241</v>
      </c>
      <c r="H5392" s="19" t="str">
        <f>IFERROR(__xludf.DUMMYFUNCTION("""COMPUTED_VALUE"""),"-")</f>
        <v>-</v>
      </c>
      <c r="I5392" s="19">
        <f>IFERROR(__xludf.DUMMYFUNCTION("""COMPUTED_VALUE"""),0.00227)</f>
        <v>0.00227</v>
      </c>
      <c r="J5392" s="19">
        <f>IFERROR(__xludf.DUMMYFUNCTION("""COMPUTED_VALUE"""),0.04742)</f>
        <v>0.04742</v>
      </c>
      <c r="K5392" s="19" t="str">
        <f>IFERROR(__xludf.DUMMYFUNCTION("""COMPUTED_VALUE"""),"-")</f>
        <v>-</v>
      </c>
      <c r="L5392" s="19" t="str">
        <f>IFERROR(__xludf.DUMMYFUNCTION("""COMPUTED_VALUE"""),"-")</f>
        <v>-</v>
      </c>
      <c r="O5392" s="24">
        <f t="shared" si="4"/>
        <v>0</v>
      </c>
      <c r="P5392" s="24"/>
      <c r="Q5392" s="24">
        <f t="shared" si="6"/>
        <v>0</v>
      </c>
      <c r="R5392" s="24">
        <f t="shared" si="7"/>
        <v>0</v>
      </c>
      <c r="S5392" s="24"/>
      <c r="T5392" s="24"/>
    </row>
    <row r="5393">
      <c r="A5393" s="12" t="s">
        <v>5480</v>
      </c>
      <c r="F5393" s="19">
        <f>IFERROR(__xludf.DUMMYFUNCTION("SPLIT(A5389, "" |"")"),5387.0)</f>
        <v>5387</v>
      </c>
      <c r="G5393" s="19">
        <f>IFERROR(__xludf.DUMMYFUNCTION("""COMPUTED_VALUE"""),0.00244)</f>
        <v>0.00244</v>
      </c>
      <c r="H5393" s="19" t="str">
        <f>IFERROR(__xludf.DUMMYFUNCTION("""COMPUTED_VALUE"""),"-")</f>
        <v>-</v>
      </c>
      <c r="I5393" s="19">
        <f>IFERROR(__xludf.DUMMYFUNCTION("""COMPUTED_VALUE"""),0.00221)</f>
        <v>0.00221</v>
      </c>
      <c r="J5393" s="19">
        <f>IFERROR(__xludf.DUMMYFUNCTION("""COMPUTED_VALUE"""),0.04523)</f>
        <v>0.04523</v>
      </c>
      <c r="K5393" s="19" t="str">
        <f>IFERROR(__xludf.DUMMYFUNCTION("""COMPUTED_VALUE"""),"-")</f>
        <v>-</v>
      </c>
      <c r="L5393" s="19" t="str">
        <f>IFERROR(__xludf.DUMMYFUNCTION("""COMPUTED_VALUE"""),"-")</f>
        <v>-</v>
      </c>
      <c r="O5393" s="24">
        <f t="shared" si="4"/>
        <v>0</v>
      </c>
      <c r="P5393" s="24"/>
      <c r="Q5393" s="24">
        <f t="shared" si="6"/>
        <v>0</v>
      </c>
      <c r="R5393" s="24">
        <f t="shared" si="7"/>
        <v>0</v>
      </c>
      <c r="S5393" s="24"/>
      <c r="T5393" s="24"/>
    </row>
    <row r="5394">
      <c r="A5394" s="12" t="s">
        <v>5481</v>
      </c>
      <c r="F5394" s="19">
        <f>IFERROR(__xludf.DUMMYFUNCTION("SPLIT(A5390, "" |"")"),5388.0)</f>
        <v>5388</v>
      </c>
      <c r="G5394" s="19">
        <f>IFERROR(__xludf.DUMMYFUNCTION("""COMPUTED_VALUE"""),0.00228)</f>
        <v>0.00228</v>
      </c>
      <c r="H5394" s="19" t="str">
        <f>IFERROR(__xludf.DUMMYFUNCTION("""COMPUTED_VALUE"""),"-")</f>
        <v>-</v>
      </c>
      <c r="I5394" s="19">
        <f>IFERROR(__xludf.DUMMYFUNCTION("""COMPUTED_VALUE"""),0.00221)</f>
        <v>0.00221</v>
      </c>
      <c r="J5394" s="19">
        <f>IFERROR(__xludf.DUMMYFUNCTION("""COMPUTED_VALUE"""),0.0474)</f>
        <v>0.0474</v>
      </c>
      <c r="K5394" s="19" t="str">
        <f>IFERROR(__xludf.DUMMYFUNCTION("""COMPUTED_VALUE"""),"-")</f>
        <v>-</v>
      </c>
      <c r="L5394" s="19" t="str">
        <f>IFERROR(__xludf.DUMMYFUNCTION("""COMPUTED_VALUE"""),"-")</f>
        <v>-</v>
      </c>
      <c r="O5394" s="24">
        <f t="shared" si="4"/>
        <v>0</v>
      </c>
      <c r="P5394" s="24"/>
      <c r="Q5394" s="24">
        <f t="shared" si="6"/>
        <v>0</v>
      </c>
      <c r="R5394" s="24">
        <f t="shared" si="7"/>
        <v>0</v>
      </c>
      <c r="S5394" s="24"/>
      <c r="T5394" s="24"/>
    </row>
    <row r="5395">
      <c r="A5395" s="12" t="s">
        <v>5482</v>
      </c>
      <c r="F5395" s="19">
        <f>IFERROR(__xludf.DUMMYFUNCTION("SPLIT(A5391, "" |"")"),5389.0)</f>
        <v>5389</v>
      </c>
      <c r="G5395" s="19">
        <f>IFERROR(__xludf.DUMMYFUNCTION("""COMPUTED_VALUE"""),0.00236)</f>
        <v>0.00236</v>
      </c>
      <c r="H5395" s="19" t="str">
        <f>IFERROR(__xludf.DUMMYFUNCTION("""COMPUTED_VALUE"""),"-")</f>
        <v>-</v>
      </c>
      <c r="I5395" s="19">
        <f>IFERROR(__xludf.DUMMYFUNCTION("""COMPUTED_VALUE"""),0.00222)</f>
        <v>0.00222</v>
      </c>
      <c r="J5395" s="19">
        <f>IFERROR(__xludf.DUMMYFUNCTION("""COMPUTED_VALUE"""),0.0475)</f>
        <v>0.0475</v>
      </c>
      <c r="K5395" s="19" t="str">
        <f>IFERROR(__xludf.DUMMYFUNCTION("""COMPUTED_VALUE"""),"-")</f>
        <v>-</v>
      </c>
      <c r="L5395" s="19" t="str">
        <f>IFERROR(__xludf.DUMMYFUNCTION("""COMPUTED_VALUE"""),"-")</f>
        <v>-</v>
      </c>
      <c r="O5395" s="24">
        <f t="shared" si="4"/>
        <v>0</v>
      </c>
      <c r="P5395" s="24"/>
      <c r="Q5395" s="24">
        <f t="shared" si="6"/>
        <v>0</v>
      </c>
      <c r="R5395" s="24">
        <f t="shared" si="7"/>
        <v>0</v>
      </c>
      <c r="S5395" s="24"/>
      <c r="T5395" s="24"/>
    </row>
    <row r="5396">
      <c r="A5396" s="12" t="s">
        <v>5483</v>
      </c>
      <c r="F5396" s="19">
        <f>IFERROR(__xludf.DUMMYFUNCTION("SPLIT(A5392, "" |"")"),5390.0)</f>
        <v>5390</v>
      </c>
      <c r="G5396" s="19">
        <f>IFERROR(__xludf.DUMMYFUNCTION("""COMPUTED_VALUE"""),0.00233)</f>
        <v>0.00233</v>
      </c>
      <c r="H5396" s="19" t="str">
        <f>IFERROR(__xludf.DUMMYFUNCTION("""COMPUTED_VALUE"""),"-")</f>
        <v>-</v>
      </c>
      <c r="I5396" s="19">
        <f>IFERROR(__xludf.DUMMYFUNCTION("""COMPUTED_VALUE"""),0.00226)</f>
        <v>0.00226</v>
      </c>
      <c r="J5396" s="19">
        <f>IFERROR(__xludf.DUMMYFUNCTION("""COMPUTED_VALUE"""),0.04745)</f>
        <v>0.04745</v>
      </c>
      <c r="K5396" s="19" t="str">
        <f>IFERROR(__xludf.DUMMYFUNCTION("""COMPUTED_VALUE"""),"-")</f>
        <v>-</v>
      </c>
      <c r="L5396" s="19" t="str">
        <f>IFERROR(__xludf.DUMMYFUNCTION("""COMPUTED_VALUE"""),"-")</f>
        <v>-</v>
      </c>
      <c r="O5396" s="24">
        <f t="shared" si="4"/>
        <v>0</v>
      </c>
      <c r="P5396" s="24"/>
      <c r="Q5396" s="24">
        <f t="shared" si="6"/>
        <v>0</v>
      </c>
      <c r="R5396" s="24">
        <f t="shared" si="7"/>
        <v>0</v>
      </c>
      <c r="S5396" s="24"/>
      <c r="T5396" s="24"/>
    </row>
    <row r="5397">
      <c r="A5397" s="12" t="s">
        <v>5484</v>
      </c>
      <c r="F5397" s="19">
        <f>IFERROR(__xludf.DUMMYFUNCTION("SPLIT(A5393, "" |"")"),5391.0)</f>
        <v>5391</v>
      </c>
      <c r="G5397" s="19">
        <f>IFERROR(__xludf.DUMMYFUNCTION("""COMPUTED_VALUE"""),0.00237)</f>
        <v>0.00237</v>
      </c>
      <c r="H5397" s="19" t="str">
        <f>IFERROR(__xludf.DUMMYFUNCTION("""COMPUTED_VALUE"""),"-")</f>
        <v>-</v>
      </c>
      <c r="I5397" s="19">
        <f>IFERROR(__xludf.DUMMYFUNCTION("""COMPUTED_VALUE"""),0.00219)</f>
        <v>0.00219</v>
      </c>
      <c r="J5397" s="19">
        <f>IFERROR(__xludf.DUMMYFUNCTION("""COMPUTED_VALUE"""),0.04747)</f>
        <v>0.04747</v>
      </c>
      <c r="K5397" s="19" t="str">
        <f>IFERROR(__xludf.DUMMYFUNCTION("""COMPUTED_VALUE"""),"-")</f>
        <v>-</v>
      </c>
      <c r="L5397" s="19" t="str">
        <f>IFERROR(__xludf.DUMMYFUNCTION("""COMPUTED_VALUE"""),"-")</f>
        <v>-</v>
      </c>
      <c r="O5397" s="24">
        <f t="shared" si="4"/>
        <v>0</v>
      </c>
      <c r="P5397" s="24"/>
      <c r="Q5397" s="24">
        <f t="shared" si="6"/>
        <v>0</v>
      </c>
      <c r="R5397" s="24">
        <f t="shared" si="7"/>
        <v>0</v>
      </c>
      <c r="S5397" s="24"/>
      <c r="T5397" s="24"/>
    </row>
    <row r="5398">
      <c r="A5398" s="12" t="s">
        <v>5485</v>
      </c>
      <c r="F5398" s="19">
        <f>IFERROR(__xludf.DUMMYFUNCTION("SPLIT(A5394, "" |"")"),5392.0)</f>
        <v>5392</v>
      </c>
      <c r="G5398" s="19">
        <f>IFERROR(__xludf.DUMMYFUNCTION("""COMPUTED_VALUE"""),0.00238)</f>
        <v>0.00238</v>
      </c>
      <c r="H5398" s="19" t="str">
        <f>IFERROR(__xludf.DUMMYFUNCTION("""COMPUTED_VALUE"""),"-")</f>
        <v>-</v>
      </c>
      <c r="I5398" s="19">
        <f>IFERROR(__xludf.DUMMYFUNCTION("""COMPUTED_VALUE"""),0.00222)</f>
        <v>0.00222</v>
      </c>
      <c r="J5398" s="19">
        <f>IFERROR(__xludf.DUMMYFUNCTION("""COMPUTED_VALUE"""),0.04745)</f>
        <v>0.04745</v>
      </c>
      <c r="K5398" s="19" t="str">
        <f>IFERROR(__xludf.DUMMYFUNCTION("""COMPUTED_VALUE"""),"-")</f>
        <v>-</v>
      </c>
      <c r="L5398" s="19" t="str">
        <f>IFERROR(__xludf.DUMMYFUNCTION("""COMPUTED_VALUE"""),"-")</f>
        <v>-</v>
      </c>
      <c r="O5398" s="24">
        <f t="shared" si="4"/>
        <v>0</v>
      </c>
      <c r="P5398" s="24"/>
      <c r="Q5398" s="24">
        <f t="shared" si="6"/>
        <v>0</v>
      </c>
      <c r="R5398" s="24">
        <f t="shared" si="7"/>
        <v>0</v>
      </c>
      <c r="S5398" s="24"/>
      <c r="T5398" s="24"/>
    </row>
    <row r="5399">
      <c r="A5399" s="12" t="s">
        <v>5486</v>
      </c>
      <c r="F5399" s="19">
        <f>IFERROR(__xludf.DUMMYFUNCTION("SPLIT(A5395, "" |"")"),5393.0)</f>
        <v>5393</v>
      </c>
      <c r="G5399" s="19">
        <f>IFERROR(__xludf.DUMMYFUNCTION("""COMPUTED_VALUE"""),0.00236)</f>
        <v>0.00236</v>
      </c>
      <c r="H5399" s="19" t="str">
        <f>IFERROR(__xludf.DUMMYFUNCTION("""COMPUTED_VALUE"""),"-")</f>
        <v>-</v>
      </c>
      <c r="I5399" s="19">
        <f>IFERROR(__xludf.DUMMYFUNCTION("""COMPUTED_VALUE"""),0.0022)</f>
        <v>0.0022</v>
      </c>
      <c r="J5399" s="19">
        <f>IFERROR(__xludf.DUMMYFUNCTION("""COMPUTED_VALUE"""),0.04666)</f>
        <v>0.04666</v>
      </c>
      <c r="K5399" s="19" t="str">
        <f>IFERROR(__xludf.DUMMYFUNCTION("""COMPUTED_VALUE"""),"-")</f>
        <v>-</v>
      </c>
      <c r="L5399" s="19" t="str">
        <f>IFERROR(__xludf.DUMMYFUNCTION("""COMPUTED_VALUE"""),"-")</f>
        <v>-</v>
      </c>
      <c r="O5399" s="24">
        <f t="shared" si="4"/>
        <v>0</v>
      </c>
      <c r="P5399" s="24"/>
      <c r="Q5399" s="24">
        <f t="shared" si="6"/>
        <v>0</v>
      </c>
      <c r="R5399" s="24">
        <f t="shared" si="7"/>
        <v>0</v>
      </c>
      <c r="S5399" s="24"/>
      <c r="T5399" s="24"/>
    </row>
    <row r="5400">
      <c r="A5400" s="12" t="s">
        <v>5487</v>
      </c>
      <c r="F5400" s="19">
        <f>IFERROR(__xludf.DUMMYFUNCTION("SPLIT(A5396, "" |"")"),5394.0)</f>
        <v>5394</v>
      </c>
      <c r="G5400" s="19">
        <f>IFERROR(__xludf.DUMMYFUNCTION("""COMPUTED_VALUE"""),0.00242)</f>
        <v>0.00242</v>
      </c>
      <c r="H5400" s="19" t="str">
        <f>IFERROR(__xludf.DUMMYFUNCTION("""COMPUTED_VALUE"""),"-")</f>
        <v>-</v>
      </c>
      <c r="I5400" s="19">
        <f>IFERROR(__xludf.DUMMYFUNCTION("""COMPUTED_VALUE"""),0.00223)</f>
        <v>0.00223</v>
      </c>
      <c r="J5400" s="19">
        <f>IFERROR(__xludf.DUMMYFUNCTION("""COMPUTED_VALUE"""),0.04502)</f>
        <v>0.04502</v>
      </c>
      <c r="K5400" s="19" t="str">
        <f>IFERROR(__xludf.DUMMYFUNCTION("""COMPUTED_VALUE"""),"-")</f>
        <v>-</v>
      </c>
      <c r="L5400" s="19" t="str">
        <f>IFERROR(__xludf.DUMMYFUNCTION("""COMPUTED_VALUE"""),"-")</f>
        <v>-</v>
      </c>
      <c r="O5400" s="24">
        <f t="shared" si="4"/>
        <v>0</v>
      </c>
      <c r="P5400" s="24"/>
      <c r="Q5400" s="24">
        <f t="shared" si="6"/>
        <v>0</v>
      </c>
      <c r="R5400" s="24">
        <f t="shared" si="7"/>
        <v>0</v>
      </c>
      <c r="S5400" s="24"/>
      <c r="T5400" s="24"/>
    </row>
    <row r="5401">
      <c r="A5401" s="12" t="s">
        <v>5488</v>
      </c>
      <c r="F5401" s="19">
        <f>IFERROR(__xludf.DUMMYFUNCTION("SPLIT(A5397, "" |"")"),5395.0)</f>
        <v>5395</v>
      </c>
      <c r="G5401" s="19">
        <f>IFERROR(__xludf.DUMMYFUNCTION("""COMPUTED_VALUE"""),0.00232)</f>
        <v>0.00232</v>
      </c>
      <c r="H5401" s="19" t="str">
        <f>IFERROR(__xludf.DUMMYFUNCTION("""COMPUTED_VALUE"""),"-")</f>
        <v>-</v>
      </c>
      <c r="I5401" s="19">
        <f>IFERROR(__xludf.DUMMYFUNCTION("""COMPUTED_VALUE"""),0.0022)</f>
        <v>0.0022</v>
      </c>
      <c r="J5401" s="19">
        <f>IFERROR(__xludf.DUMMYFUNCTION("""COMPUTED_VALUE"""),0.0474)</f>
        <v>0.0474</v>
      </c>
      <c r="K5401" s="19" t="str">
        <f>IFERROR(__xludf.DUMMYFUNCTION("""COMPUTED_VALUE"""),"-")</f>
        <v>-</v>
      </c>
      <c r="L5401" s="19" t="str">
        <f>IFERROR(__xludf.DUMMYFUNCTION("""COMPUTED_VALUE"""),"-")</f>
        <v>-</v>
      </c>
      <c r="O5401" s="24">
        <f t="shared" si="4"/>
        <v>0</v>
      </c>
      <c r="P5401" s="24"/>
      <c r="Q5401" s="24">
        <f t="shared" si="6"/>
        <v>0</v>
      </c>
      <c r="R5401" s="24">
        <f t="shared" si="7"/>
        <v>0</v>
      </c>
      <c r="S5401" s="24"/>
      <c r="T5401" s="24"/>
    </row>
    <row r="5402">
      <c r="A5402" s="12" t="s">
        <v>5489</v>
      </c>
      <c r="F5402" s="19">
        <f>IFERROR(__xludf.DUMMYFUNCTION("SPLIT(A5398, "" |"")"),5396.0)</f>
        <v>5396</v>
      </c>
      <c r="G5402" s="19">
        <f>IFERROR(__xludf.DUMMYFUNCTION("""COMPUTED_VALUE"""),0.00237)</f>
        <v>0.00237</v>
      </c>
      <c r="H5402" s="19" t="str">
        <f>IFERROR(__xludf.DUMMYFUNCTION("""COMPUTED_VALUE"""),"-")</f>
        <v>-</v>
      </c>
      <c r="I5402" s="19">
        <f>IFERROR(__xludf.DUMMYFUNCTION("""COMPUTED_VALUE"""),0.00222)</f>
        <v>0.00222</v>
      </c>
      <c r="J5402" s="19">
        <f>IFERROR(__xludf.DUMMYFUNCTION("""COMPUTED_VALUE"""),0.04746)</f>
        <v>0.04746</v>
      </c>
      <c r="K5402" s="19" t="str">
        <f>IFERROR(__xludf.DUMMYFUNCTION("""COMPUTED_VALUE"""),"-")</f>
        <v>-</v>
      </c>
      <c r="L5402" s="19" t="str">
        <f>IFERROR(__xludf.DUMMYFUNCTION("""COMPUTED_VALUE"""),"-")</f>
        <v>-</v>
      </c>
      <c r="O5402" s="24">
        <f t="shared" si="4"/>
        <v>0</v>
      </c>
      <c r="P5402" s="24"/>
      <c r="Q5402" s="24">
        <f t="shared" si="6"/>
        <v>0</v>
      </c>
      <c r="R5402" s="24">
        <f t="shared" si="7"/>
        <v>0</v>
      </c>
      <c r="S5402" s="24"/>
      <c r="T5402" s="24"/>
    </row>
    <row r="5403">
      <c r="A5403" s="12" t="s">
        <v>5490</v>
      </c>
      <c r="F5403" s="19">
        <f>IFERROR(__xludf.DUMMYFUNCTION("SPLIT(A5399, "" |"")"),5397.0)</f>
        <v>5397</v>
      </c>
      <c r="G5403" s="19">
        <f>IFERROR(__xludf.DUMMYFUNCTION("""COMPUTED_VALUE"""),0.00235)</f>
        <v>0.00235</v>
      </c>
      <c r="H5403" s="19" t="str">
        <f>IFERROR(__xludf.DUMMYFUNCTION("""COMPUTED_VALUE"""),"-")</f>
        <v>-</v>
      </c>
      <c r="I5403" s="19">
        <f>IFERROR(__xludf.DUMMYFUNCTION("""COMPUTED_VALUE"""),0.00222)</f>
        <v>0.00222</v>
      </c>
      <c r="J5403" s="19">
        <f>IFERROR(__xludf.DUMMYFUNCTION("""COMPUTED_VALUE"""),0.04734)</f>
        <v>0.04734</v>
      </c>
      <c r="K5403" s="19" t="str">
        <f>IFERROR(__xludf.DUMMYFUNCTION("""COMPUTED_VALUE"""),"-")</f>
        <v>-</v>
      </c>
      <c r="L5403" s="19" t="str">
        <f>IFERROR(__xludf.DUMMYFUNCTION("""COMPUTED_VALUE"""),"-")</f>
        <v>-</v>
      </c>
      <c r="O5403" s="24">
        <f t="shared" si="4"/>
        <v>0</v>
      </c>
      <c r="P5403" s="24"/>
      <c r="Q5403" s="24">
        <f t="shared" si="6"/>
        <v>0</v>
      </c>
      <c r="R5403" s="24">
        <f t="shared" si="7"/>
        <v>0</v>
      </c>
      <c r="S5403" s="24"/>
      <c r="T5403" s="24"/>
    </row>
    <row r="5404">
      <c r="A5404" s="12" t="s">
        <v>5491</v>
      </c>
      <c r="F5404" s="19">
        <f>IFERROR(__xludf.DUMMYFUNCTION("SPLIT(A5400, "" |"")"),5398.0)</f>
        <v>5398</v>
      </c>
      <c r="G5404" s="19">
        <f>IFERROR(__xludf.DUMMYFUNCTION("""COMPUTED_VALUE"""),0.00238)</f>
        <v>0.00238</v>
      </c>
      <c r="H5404" s="19" t="str">
        <f>IFERROR(__xludf.DUMMYFUNCTION("""COMPUTED_VALUE"""),"-")</f>
        <v>-</v>
      </c>
      <c r="I5404" s="19">
        <f>IFERROR(__xludf.DUMMYFUNCTION("""COMPUTED_VALUE"""),0.00229)</f>
        <v>0.00229</v>
      </c>
      <c r="J5404" s="19">
        <f>IFERROR(__xludf.DUMMYFUNCTION("""COMPUTED_VALUE"""),0.04741)</f>
        <v>0.04741</v>
      </c>
      <c r="K5404" s="19" t="str">
        <f>IFERROR(__xludf.DUMMYFUNCTION("""COMPUTED_VALUE"""),"-")</f>
        <v>-</v>
      </c>
      <c r="L5404" s="19" t="str">
        <f>IFERROR(__xludf.DUMMYFUNCTION("""COMPUTED_VALUE"""),"-")</f>
        <v>-</v>
      </c>
      <c r="O5404" s="24">
        <f t="shared" si="4"/>
        <v>0</v>
      </c>
      <c r="P5404" s="24"/>
      <c r="Q5404" s="24">
        <f t="shared" si="6"/>
        <v>0</v>
      </c>
      <c r="R5404" s="24">
        <f t="shared" si="7"/>
        <v>0</v>
      </c>
      <c r="S5404" s="24"/>
      <c r="T5404" s="24"/>
    </row>
    <row r="5405">
      <c r="A5405" s="12" t="s">
        <v>5492</v>
      </c>
      <c r="F5405" s="19">
        <f>IFERROR(__xludf.DUMMYFUNCTION("SPLIT(A5401, "" |"")"),5399.0)</f>
        <v>5399</v>
      </c>
      <c r="G5405" s="19">
        <f>IFERROR(__xludf.DUMMYFUNCTION("""COMPUTED_VALUE"""),0.00236)</f>
        <v>0.00236</v>
      </c>
      <c r="H5405" s="19" t="str">
        <f>IFERROR(__xludf.DUMMYFUNCTION("""COMPUTED_VALUE"""),"-")</f>
        <v>-</v>
      </c>
      <c r="I5405" s="19">
        <f>IFERROR(__xludf.DUMMYFUNCTION("""COMPUTED_VALUE"""),0.00223)</f>
        <v>0.00223</v>
      </c>
      <c r="J5405" s="19">
        <f>IFERROR(__xludf.DUMMYFUNCTION("""COMPUTED_VALUE"""),0.04739)</f>
        <v>0.04739</v>
      </c>
      <c r="K5405" s="19" t="str">
        <f>IFERROR(__xludf.DUMMYFUNCTION("""COMPUTED_VALUE"""),"-")</f>
        <v>-</v>
      </c>
      <c r="L5405" s="19" t="str">
        <f>IFERROR(__xludf.DUMMYFUNCTION("""COMPUTED_VALUE"""),"-")</f>
        <v>-</v>
      </c>
      <c r="O5405" s="24">
        <f t="shared" si="4"/>
        <v>0</v>
      </c>
      <c r="P5405" s="24"/>
      <c r="Q5405" s="24">
        <f t="shared" si="6"/>
        <v>0</v>
      </c>
      <c r="R5405" s="24">
        <f t="shared" si="7"/>
        <v>0</v>
      </c>
      <c r="S5405" s="24"/>
      <c r="T5405" s="24"/>
    </row>
    <row r="5406">
      <c r="A5406" s="12" t="s">
        <v>5493</v>
      </c>
      <c r="F5406" s="19">
        <f>IFERROR(__xludf.DUMMYFUNCTION("SPLIT(A5402, "" |"")"),5400.0)</f>
        <v>5400</v>
      </c>
      <c r="G5406" s="19">
        <f>IFERROR(__xludf.DUMMYFUNCTION("""COMPUTED_VALUE"""),0.00236)</f>
        <v>0.00236</v>
      </c>
      <c r="H5406" s="19" t="str">
        <f>IFERROR(__xludf.DUMMYFUNCTION("""COMPUTED_VALUE"""),"-")</f>
        <v>-</v>
      </c>
      <c r="I5406" s="19">
        <f>IFERROR(__xludf.DUMMYFUNCTION("""COMPUTED_VALUE"""),0.00224)</f>
        <v>0.00224</v>
      </c>
      <c r="J5406" s="19">
        <f>IFERROR(__xludf.DUMMYFUNCTION("""COMPUTED_VALUE"""),0.04731)</f>
        <v>0.04731</v>
      </c>
      <c r="K5406" s="19" t="str">
        <f>IFERROR(__xludf.DUMMYFUNCTION("""COMPUTED_VALUE"""),"-")</f>
        <v>-</v>
      </c>
      <c r="L5406" s="19" t="str">
        <f>IFERROR(__xludf.DUMMYFUNCTION("""COMPUTED_VALUE"""),"-")</f>
        <v>-</v>
      </c>
      <c r="O5406" s="24">
        <f t="shared" si="4"/>
        <v>0</v>
      </c>
      <c r="P5406" s="24"/>
      <c r="Q5406" s="24">
        <f t="shared" si="6"/>
        <v>0</v>
      </c>
      <c r="R5406" s="24">
        <f t="shared" si="7"/>
        <v>0</v>
      </c>
      <c r="S5406" s="24"/>
      <c r="T5406" s="24"/>
    </row>
    <row r="5407">
      <c r="A5407" s="12" t="s">
        <v>5494</v>
      </c>
      <c r="F5407" s="19">
        <f>IFERROR(__xludf.DUMMYFUNCTION("SPLIT(A5403, "" |"")"),5401.0)</f>
        <v>5401</v>
      </c>
      <c r="G5407" s="19">
        <f>IFERROR(__xludf.DUMMYFUNCTION("""COMPUTED_VALUE"""),0.00241)</f>
        <v>0.00241</v>
      </c>
      <c r="H5407" s="19" t="str">
        <f>IFERROR(__xludf.DUMMYFUNCTION("""COMPUTED_VALUE"""),"-")</f>
        <v>-</v>
      </c>
      <c r="I5407" s="19">
        <f>IFERROR(__xludf.DUMMYFUNCTION("""COMPUTED_VALUE"""),0.00226)</f>
        <v>0.00226</v>
      </c>
      <c r="J5407" s="19">
        <f>IFERROR(__xludf.DUMMYFUNCTION("""COMPUTED_VALUE"""),0.04748)</f>
        <v>0.04748</v>
      </c>
      <c r="K5407" s="19" t="str">
        <f>IFERROR(__xludf.DUMMYFUNCTION("""COMPUTED_VALUE"""),"-")</f>
        <v>-</v>
      </c>
      <c r="L5407" s="19" t="str">
        <f>IFERROR(__xludf.DUMMYFUNCTION("""COMPUTED_VALUE"""),"-")</f>
        <v>-</v>
      </c>
      <c r="O5407" s="24">
        <f t="shared" si="4"/>
        <v>0</v>
      </c>
      <c r="P5407" s="24"/>
      <c r="Q5407" s="24">
        <f t="shared" si="6"/>
        <v>0</v>
      </c>
      <c r="R5407" s="24">
        <f t="shared" si="7"/>
        <v>0</v>
      </c>
      <c r="S5407" s="24"/>
      <c r="T5407" s="24"/>
    </row>
    <row r="5408">
      <c r="A5408" s="12" t="s">
        <v>5495</v>
      </c>
      <c r="F5408" s="19">
        <f>IFERROR(__xludf.DUMMYFUNCTION("SPLIT(A5404, "" |"")"),5402.0)</f>
        <v>5402</v>
      </c>
      <c r="G5408" s="19">
        <f>IFERROR(__xludf.DUMMYFUNCTION("""COMPUTED_VALUE"""),0.0024)</f>
        <v>0.0024</v>
      </c>
      <c r="H5408" s="19" t="str">
        <f>IFERROR(__xludf.DUMMYFUNCTION("""COMPUTED_VALUE"""),"-")</f>
        <v>-</v>
      </c>
      <c r="I5408" s="19">
        <f>IFERROR(__xludf.DUMMYFUNCTION("""COMPUTED_VALUE"""),0.0022)</f>
        <v>0.0022</v>
      </c>
      <c r="J5408" s="19">
        <f>IFERROR(__xludf.DUMMYFUNCTION("""COMPUTED_VALUE"""),0.0469)</f>
        <v>0.0469</v>
      </c>
      <c r="K5408" s="19" t="str">
        <f>IFERROR(__xludf.DUMMYFUNCTION("""COMPUTED_VALUE"""),"-")</f>
        <v>-</v>
      </c>
      <c r="L5408" s="19" t="str">
        <f>IFERROR(__xludf.DUMMYFUNCTION("""COMPUTED_VALUE"""),"-")</f>
        <v>-</v>
      </c>
      <c r="O5408" s="24">
        <f t="shared" si="4"/>
        <v>0</v>
      </c>
      <c r="P5408" s="24"/>
      <c r="Q5408" s="24">
        <f t="shared" si="6"/>
        <v>0</v>
      </c>
      <c r="R5408" s="24">
        <f t="shared" si="7"/>
        <v>0</v>
      </c>
      <c r="S5408" s="24"/>
      <c r="T5408" s="24"/>
    </row>
    <row r="5409">
      <c r="A5409" s="12" t="s">
        <v>5496</v>
      </c>
      <c r="F5409" s="19">
        <f>IFERROR(__xludf.DUMMYFUNCTION("SPLIT(A5405, "" |"")"),5403.0)</f>
        <v>5403</v>
      </c>
      <c r="G5409" s="19">
        <f>IFERROR(__xludf.DUMMYFUNCTION("""COMPUTED_VALUE"""),0.00222)</f>
        <v>0.00222</v>
      </c>
      <c r="H5409" s="19" t="str">
        <f>IFERROR(__xludf.DUMMYFUNCTION("""COMPUTED_VALUE"""),"-")</f>
        <v>-</v>
      </c>
      <c r="I5409" s="19">
        <f>IFERROR(__xludf.DUMMYFUNCTION("""COMPUTED_VALUE"""),0.00209)</f>
        <v>0.00209</v>
      </c>
      <c r="J5409" s="19">
        <f>IFERROR(__xludf.DUMMYFUNCTION("""COMPUTED_VALUE"""),0.04733)</f>
        <v>0.04733</v>
      </c>
      <c r="K5409" s="19" t="str">
        <f>IFERROR(__xludf.DUMMYFUNCTION("""COMPUTED_VALUE"""),"-")</f>
        <v>-</v>
      </c>
      <c r="L5409" s="19" t="str">
        <f>IFERROR(__xludf.DUMMYFUNCTION("""COMPUTED_VALUE"""),"-")</f>
        <v>-</v>
      </c>
      <c r="O5409" s="24">
        <f t="shared" si="4"/>
        <v>0</v>
      </c>
      <c r="P5409" s="24"/>
      <c r="Q5409" s="24">
        <f t="shared" si="6"/>
        <v>0</v>
      </c>
      <c r="R5409" s="24">
        <f t="shared" si="7"/>
        <v>0</v>
      </c>
      <c r="S5409" s="24"/>
      <c r="T5409" s="24"/>
    </row>
    <row r="5410">
      <c r="A5410" s="12" t="s">
        <v>5497</v>
      </c>
      <c r="F5410" s="19">
        <f>IFERROR(__xludf.DUMMYFUNCTION("SPLIT(A5406, "" |"")"),5404.0)</f>
        <v>5404</v>
      </c>
      <c r="G5410" s="19">
        <f>IFERROR(__xludf.DUMMYFUNCTION("""COMPUTED_VALUE"""),0.00223)</f>
        <v>0.00223</v>
      </c>
      <c r="H5410" s="19" t="str">
        <f>IFERROR(__xludf.DUMMYFUNCTION("""COMPUTED_VALUE"""),"-")</f>
        <v>-</v>
      </c>
      <c r="I5410" s="19">
        <f>IFERROR(__xludf.DUMMYFUNCTION("""COMPUTED_VALUE"""),0.00209)</f>
        <v>0.00209</v>
      </c>
      <c r="J5410" s="19">
        <f>IFERROR(__xludf.DUMMYFUNCTION("""COMPUTED_VALUE"""),0.04731)</f>
        <v>0.04731</v>
      </c>
      <c r="K5410" s="19" t="str">
        <f>IFERROR(__xludf.DUMMYFUNCTION("""COMPUTED_VALUE"""),"-")</f>
        <v>-</v>
      </c>
      <c r="L5410" s="19" t="str">
        <f>IFERROR(__xludf.DUMMYFUNCTION("""COMPUTED_VALUE"""),"-")</f>
        <v>-</v>
      </c>
      <c r="O5410" s="24">
        <f t="shared" si="4"/>
        <v>0</v>
      </c>
      <c r="P5410" s="24"/>
      <c r="Q5410" s="24">
        <f t="shared" si="6"/>
        <v>0</v>
      </c>
      <c r="R5410" s="24">
        <f t="shared" si="7"/>
        <v>0</v>
      </c>
      <c r="S5410" s="24"/>
      <c r="T5410" s="24"/>
    </row>
    <row r="5411">
      <c r="A5411" s="12" t="s">
        <v>5498</v>
      </c>
      <c r="F5411" s="19">
        <f>IFERROR(__xludf.DUMMYFUNCTION("SPLIT(A5407, "" |"")"),5405.0)</f>
        <v>5405</v>
      </c>
      <c r="G5411" s="19">
        <f>IFERROR(__xludf.DUMMYFUNCTION("""COMPUTED_VALUE"""),0.00224)</f>
        <v>0.00224</v>
      </c>
      <c r="H5411" s="19" t="str">
        <f>IFERROR(__xludf.DUMMYFUNCTION("""COMPUTED_VALUE"""),"-")</f>
        <v>-</v>
      </c>
      <c r="I5411" s="19">
        <f>IFERROR(__xludf.DUMMYFUNCTION("""COMPUTED_VALUE"""),0.00223)</f>
        <v>0.00223</v>
      </c>
      <c r="J5411" s="19">
        <f>IFERROR(__xludf.DUMMYFUNCTION("""COMPUTED_VALUE"""),0.04751)</f>
        <v>0.04751</v>
      </c>
      <c r="K5411" s="19" t="str">
        <f>IFERROR(__xludf.DUMMYFUNCTION("""COMPUTED_VALUE"""),"-")</f>
        <v>-</v>
      </c>
      <c r="L5411" s="19" t="str">
        <f>IFERROR(__xludf.DUMMYFUNCTION("""COMPUTED_VALUE"""),"-")</f>
        <v>-</v>
      </c>
      <c r="O5411" s="24">
        <f t="shared" si="4"/>
        <v>0</v>
      </c>
      <c r="P5411" s="24"/>
      <c r="Q5411" s="24">
        <f t="shared" si="6"/>
        <v>0</v>
      </c>
      <c r="R5411" s="24">
        <f t="shared" si="7"/>
        <v>0</v>
      </c>
      <c r="S5411" s="24"/>
      <c r="T5411" s="24"/>
    </row>
    <row r="5412">
      <c r="A5412" s="12" t="s">
        <v>5499</v>
      </c>
      <c r="F5412" s="19">
        <f>IFERROR(__xludf.DUMMYFUNCTION("SPLIT(A5408, "" |"")"),5406.0)</f>
        <v>5406</v>
      </c>
      <c r="G5412" s="19">
        <f>IFERROR(__xludf.DUMMYFUNCTION("""COMPUTED_VALUE"""),0.00251)</f>
        <v>0.00251</v>
      </c>
      <c r="H5412" s="19" t="str">
        <f>IFERROR(__xludf.DUMMYFUNCTION("""COMPUTED_VALUE"""),"-")</f>
        <v>-</v>
      </c>
      <c r="I5412" s="19">
        <f>IFERROR(__xludf.DUMMYFUNCTION("""COMPUTED_VALUE"""),0.00226)</f>
        <v>0.00226</v>
      </c>
      <c r="J5412" s="19">
        <f>IFERROR(__xludf.DUMMYFUNCTION("""COMPUTED_VALUE"""),0.04744)</f>
        <v>0.04744</v>
      </c>
      <c r="K5412" s="19" t="str">
        <f>IFERROR(__xludf.DUMMYFUNCTION("""COMPUTED_VALUE"""),"-")</f>
        <v>-</v>
      </c>
      <c r="L5412" s="19" t="str">
        <f>IFERROR(__xludf.DUMMYFUNCTION("""COMPUTED_VALUE"""),"-")</f>
        <v>-</v>
      </c>
      <c r="O5412" s="24">
        <f t="shared" si="4"/>
        <v>0</v>
      </c>
      <c r="P5412" s="24"/>
      <c r="Q5412" s="24">
        <f t="shared" si="6"/>
        <v>0</v>
      </c>
      <c r="R5412" s="24">
        <f t="shared" si="7"/>
        <v>0</v>
      </c>
      <c r="S5412" s="24"/>
      <c r="T5412" s="24"/>
    </row>
    <row r="5413">
      <c r="A5413" s="12" t="s">
        <v>5500</v>
      </c>
      <c r="F5413" s="19">
        <f>IFERROR(__xludf.DUMMYFUNCTION("SPLIT(A5409, "" |"")"),5407.0)</f>
        <v>5407</v>
      </c>
      <c r="G5413" s="19">
        <f>IFERROR(__xludf.DUMMYFUNCTION("""COMPUTED_VALUE"""),0.00234)</f>
        <v>0.00234</v>
      </c>
      <c r="H5413" s="19" t="str">
        <f>IFERROR(__xludf.DUMMYFUNCTION("""COMPUTED_VALUE"""),"-")</f>
        <v>-</v>
      </c>
      <c r="I5413" s="19">
        <f>IFERROR(__xludf.DUMMYFUNCTION("""COMPUTED_VALUE"""),0.00221)</f>
        <v>0.00221</v>
      </c>
      <c r="J5413" s="19">
        <f>IFERROR(__xludf.DUMMYFUNCTION("""COMPUTED_VALUE"""),0.04741)</f>
        <v>0.04741</v>
      </c>
      <c r="K5413" s="19" t="str">
        <f>IFERROR(__xludf.DUMMYFUNCTION("""COMPUTED_VALUE"""),"-")</f>
        <v>-</v>
      </c>
      <c r="L5413" s="19" t="str">
        <f>IFERROR(__xludf.DUMMYFUNCTION("""COMPUTED_VALUE"""),"-")</f>
        <v>-</v>
      </c>
      <c r="O5413" s="24">
        <f t="shared" si="4"/>
        <v>0</v>
      </c>
      <c r="P5413" s="24"/>
      <c r="Q5413" s="24">
        <f t="shared" si="6"/>
        <v>0</v>
      </c>
      <c r="R5413" s="24">
        <f t="shared" si="7"/>
        <v>0</v>
      </c>
      <c r="S5413" s="24"/>
      <c r="T5413" s="24"/>
    </row>
    <row r="5414">
      <c r="A5414" s="12" t="s">
        <v>5501</v>
      </c>
      <c r="F5414" s="19">
        <f>IFERROR(__xludf.DUMMYFUNCTION("SPLIT(A5410, "" |"")"),5408.0)</f>
        <v>5408</v>
      </c>
      <c r="G5414" s="19">
        <f>IFERROR(__xludf.DUMMYFUNCTION("""COMPUTED_VALUE"""),0.00235)</f>
        <v>0.00235</v>
      </c>
      <c r="H5414" s="19" t="str">
        <f>IFERROR(__xludf.DUMMYFUNCTION("""COMPUTED_VALUE"""),"-")</f>
        <v>-</v>
      </c>
      <c r="I5414" s="19">
        <f>IFERROR(__xludf.DUMMYFUNCTION("""COMPUTED_VALUE"""),0.00222)</f>
        <v>0.00222</v>
      </c>
      <c r="J5414" s="19">
        <f>IFERROR(__xludf.DUMMYFUNCTION("""COMPUTED_VALUE"""),0.04749)</f>
        <v>0.04749</v>
      </c>
      <c r="K5414" s="19" t="str">
        <f>IFERROR(__xludf.DUMMYFUNCTION("""COMPUTED_VALUE"""),"-")</f>
        <v>-</v>
      </c>
      <c r="L5414" s="19" t="str">
        <f>IFERROR(__xludf.DUMMYFUNCTION("""COMPUTED_VALUE"""),"-")</f>
        <v>-</v>
      </c>
      <c r="O5414" s="24">
        <f t="shared" si="4"/>
        <v>0</v>
      </c>
      <c r="P5414" s="24"/>
      <c r="Q5414" s="24">
        <f t="shared" si="6"/>
        <v>0</v>
      </c>
      <c r="R5414" s="24">
        <f t="shared" si="7"/>
        <v>0</v>
      </c>
      <c r="S5414" s="24"/>
      <c r="T5414" s="24"/>
    </row>
    <row r="5415">
      <c r="A5415" s="12" t="s">
        <v>5502</v>
      </c>
      <c r="F5415" s="19">
        <f>IFERROR(__xludf.DUMMYFUNCTION("SPLIT(A5411, "" |"")"),5409.0)</f>
        <v>5409</v>
      </c>
      <c r="G5415" s="19">
        <f>IFERROR(__xludf.DUMMYFUNCTION("""COMPUTED_VALUE"""),0.00238)</f>
        <v>0.00238</v>
      </c>
      <c r="H5415" s="19" t="str">
        <f>IFERROR(__xludf.DUMMYFUNCTION("""COMPUTED_VALUE"""),"-")</f>
        <v>-</v>
      </c>
      <c r="I5415" s="19">
        <f>IFERROR(__xludf.DUMMYFUNCTION("""COMPUTED_VALUE"""),0.00222)</f>
        <v>0.00222</v>
      </c>
      <c r="J5415" s="19">
        <f>IFERROR(__xludf.DUMMYFUNCTION("""COMPUTED_VALUE"""),0.04745)</f>
        <v>0.04745</v>
      </c>
      <c r="K5415" s="19" t="str">
        <f>IFERROR(__xludf.DUMMYFUNCTION("""COMPUTED_VALUE"""),"-")</f>
        <v>-</v>
      </c>
      <c r="L5415" s="19" t="str">
        <f>IFERROR(__xludf.DUMMYFUNCTION("""COMPUTED_VALUE"""),"-")</f>
        <v>-</v>
      </c>
      <c r="O5415" s="24">
        <f t="shared" si="4"/>
        <v>0</v>
      </c>
      <c r="P5415" s="24"/>
      <c r="Q5415" s="24">
        <f t="shared" si="6"/>
        <v>0</v>
      </c>
      <c r="R5415" s="24">
        <f t="shared" si="7"/>
        <v>0</v>
      </c>
      <c r="S5415" s="24"/>
      <c r="T5415" s="24"/>
    </row>
    <row r="5416">
      <c r="A5416" s="12" t="s">
        <v>5503</v>
      </c>
      <c r="F5416" s="19">
        <f>IFERROR(__xludf.DUMMYFUNCTION("SPLIT(A5412, "" |"")"),5410.0)</f>
        <v>5410</v>
      </c>
      <c r="G5416" s="19">
        <f>IFERROR(__xludf.DUMMYFUNCTION("""COMPUTED_VALUE"""),0.00236)</f>
        <v>0.00236</v>
      </c>
      <c r="H5416" s="19" t="str">
        <f>IFERROR(__xludf.DUMMYFUNCTION("""COMPUTED_VALUE"""),"-")</f>
        <v>-</v>
      </c>
      <c r="I5416" s="19">
        <f>IFERROR(__xludf.DUMMYFUNCTION("""COMPUTED_VALUE"""),0.0022)</f>
        <v>0.0022</v>
      </c>
      <c r="J5416" s="19">
        <f>IFERROR(__xludf.DUMMYFUNCTION("""COMPUTED_VALUE"""),0.04002)</f>
        <v>0.04002</v>
      </c>
      <c r="K5416" s="19" t="str">
        <f>IFERROR(__xludf.DUMMYFUNCTION("""COMPUTED_VALUE"""),"-")</f>
        <v>-</v>
      </c>
      <c r="L5416" s="19" t="str">
        <f>IFERROR(__xludf.DUMMYFUNCTION("""COMPUTED_VALUE"""),"-")</f>
        <v>-</v>
      </c>
      <c r="O5416" s="24">
        <f t="shared" si="4"/>
        <v>0</v>
      </c>
      <c r="P5416" s="24"/>
      <c r="Q5416" s="24">
        <f t="shared" si="6"/>
        <v>0</v>
      </c>
      <c r="R5416" s="24">
        <f t="shared" si="7"/>
        <v>1</v>
      </c>
      <c r="S5416" s="24"/>
      <c r="T5416" s="24"/>
    </row>
    <row r="5417">
      <c r="A5417" s="12" t="s">
        <v>5504</v>
      </c>
      <c r="F5417" s="19">
        <f>IFERROR(__xludf.DUMMYFUNCTION("SPLIT(A5413, "" |"")"),5411.0)</f>
        <v>5411</v>
      </c>
      <c r="G5417" s="19">
        <f>IFERROR(__xludf.DUMMYFUNCTION("""COMPUTED_VALUE"""),0.00237)</f>
        <v>0.00237</v>
      </c>
      <c r="H5417" s="19" t="str">
        <f>IFERROR(__xludf.DUMMYFUNCTION("""COMPUTED_VALUE"""),"-")</f>
        <v>-</v>
      </c>
      <c r="I5417" s="19">
        <f>IFERROR(__xludf.DUMMYFUNCTION("""COMPUTED_VALUE"""),0.00223)</f>
        <v>0.00223</v>
      </c>
      <c r="J5417" s="19">
        <f>IFERROR(__xludf.DUMMYFUNCTION("""COMPUTED_VALUE"""),0.04741)</f>
        <v>0.04741</v>
      </c>
      <c r="K5417" s="19" t="str">
        <f>IFERROR(__xludf.DUMMYFUNCTION("""COMPUTED_VALUE"""),"-")</f>
        <v>-</v>
      </c>
      <c r="L5417" s="19" t="str">
        <f>IFERROR(__xludf.DUMMYFUNCTION("""COMPUTED_VALUE"""),"-")</f>
        <v>-</v>
      </c>
      <c r="O5417" s="24">
        <f t="shared" si="4"/>
        <v>0</v>
      </c>
      <c r="P5417" s="24"/>
      <c r="Q5417" s="24">
        <f t="shared" si="6"/>
        <v>0</v>
      </c>
      <c r="R5417" s="24">
        <f t="shared" si="7"/>
        <v>0</v>
      </c>
      <c r="S5417" s="24"/>
      <c r="T5417" s="24"/>
    </row>
    <row r="5418">
      <c r="A5418" s="12" t="s">
        <v>5505</v>
      </c>
      <c r="F5418" s="19">
        <f>IFERROR(__xludf.DUMMYFUNCTION("SPLIT(A5414, "" |"")"),5412.0)</f>
        <v>5412</v>
      </c>
      <c r="G5418" s="19">
        <f>IFERROR(__xludf.DUMMYFUNCTION("""COMPUTED_VALUE"""),0.00237)</f>
        <v>0.00237</v>
      </c>
      <c r="H5418" s="19" t="str">
        <f>IFERROR(__xludf.DUMMYFUNCTION("""COMPUTED_VALUE"""),"-")</f>
        <v>-</v>
      </c>
      <c r="I5418" s="19">
        <f>IFERROR(__xludf.DUMMYFUNCTION("""COMPUTED_VALUE"""),0.00223)</f>
        <v>0.00223</v>
      </c>
      <c r="J5418" s="19">
        <f>IFERROR(__xludf.DUMMYFUNCTION("""COMPUTED_VALUE"""),0.04428)</f>
        <v>0.04428</v>
      </c>
      <c r="K5418" s="19" t="str">
        <f>IFERROR(__xludf.DUMMYFUNCTION("""COMPUTED_VALUE"""),"-")</f>
        <v>-</v>
      </c>
      <c r="L5418" s="19" t="str">
        <f>IFERROR(__xludf.DUMMYFUNCTION("""COMPUTED_VALUE"""),"-")</f>
        <v>-</v>
      </c>
      <c r="O5418" s="24">
        <f t="shared" si="4"/>
        <v>0</v>
      </c>
      <c r="P5418" s="24"/>
      <c r="Q5418" s="24">
        <f t="shared" si="6"/>
        <v>0</v>
      </c>
      <c r="R5418" s="24">
        <f t="shared" si="7"/>
        <v>1</v>
      </c>
      <c r="S5418" s="24"/>
      <c r="T5418" s="24"/>
    </row>
    <row r="5419">
      <c r="A5419" s="12" t="s">
        <v>5506</v>
      </c>
      <c r="F5419" s="19">
        <f>IFERROR(__xludf.DUMMYFUNCTION("SPLIT(A5415, "" |"")"),5413.0)</f>
        <v>5413</v>
      </c>
      <c r="G5419" s="19">
        <f>IFERROR(__xludf.DUMMYFUNCTION("""COMPUTED_VALUE"""),0.00235)</f>
        <v>0.00235</v>
      </c>
      <c r="H5419" s="19" t="str">
        <f>IFERROR(__xludf.DUMMYFUNCTION("""COMPUTED_VALUE"""),"-")</f>
        <v>-</v>
      </c>
      <c r="I5419" s="19">
        <f>IFERROR(__xludf.DUMMYFUNCTION("""COMPUTED_VALUE"""),0.00221)</f>
        <v>0.00221</v>
      </c>
      <c r="J5419" s="19">
        <f>IFERROR(__xludf.DUMMYFUNCTION("""COMPUTED_VALUE"""),0.04738)</f>
        <v>0.04738</v>
      </c>
      <c r="K5419" s="19" t="str">
        <f>IFERROR(__xludf.DUMMYFUNCTION("""COMPUTED_VALUE"""),"-")</f>
        <v>-</v>
      </c>
      <c r="L5419" s="19" t="str">
        <f>IFERROR(__xludf.DUMMYFUNCTION("""COMPUTED_VALUE"""),"-")</f>
        <v>-</v>
      </c>
      <c r="O5419" s="24">
        <f t="shared" si="4"/>
        <v>0</v>
      </c>
      <c r="P5419" s="24"/>
      <c r="Q5419" s="24">
        <f t="shared" si="6"/>
        <v>0</v>
      </c>
      <c r="R5419" s="24">
        <f t="shared" si="7"/>
        <v>0</v>
      </c>
      <c r="S5419" s="24"/>
      <c r="T5419" s="24"/>
    </row>
    <row r="5420">
      <c r="A5420" s="12" t="s">
        <v>5507</v>
      </c>
      <c r="F5420" s="19">
        <f>IFERROR(__xludf.DUMMYFUNCTION("SPLIT(A5416, "" |"")"),5414.0)</f>
        <v>5414</v>
      </c>
      <c r="G5420" s="19">
        <f>IFERROR(__xludf.DUMMYFUNCTION("""COMPUTED_VALUE"""),0.00231)</f>
        <v>0.00231</v>
      </c>
      <c r="H5420" s="19" t="str">
        <f>IFERROR(__xludf.DUMMYFUNCTION("""COMPUTED_VALUE"""),"-")</f>
        <v>-</v>
      </c>
      <c r="I5420" s="19">
        <f>IFERROR(__xludf.DUMMYFUNCTION("""COMPUTED_VALUE"""),0.00224)</f>
        <v>0.00224</v>
      </c>
      <c r="J5420" s="19">
        <f>IFERROR(__xludf.DUMMYFUNCTION("""COMPUTED_VALUE"""),0.04445)</f>
        <v>0.04445</v>
      </c>
      <c r="K5420" s="19" t="str">
        <f>IFERROR(__xludf.DUMMYFUNCTION("""COMPUTED_VALUE"""),"-")</f>
        <v>-</v>
      </c>
      <c r="L5420" s="19" t="str">
        <f>IFERROR(__xludf.DUMMYFUNCTION("""COMPUTED_VALUE"""),"-")</f>
        <v>-</v>
      </c>
      <c r="O5420" s="24">
        <f t="shared" si="4"/>
        <v>0</v>
      </c>
      <c r="P5420" s="24"/>
      <c r="Q5420" s="24">
        <f t="shared" si="6"/>
        <v>0</v>
      </c>
      <c r="R5420" s="24">
        <f t="shared" si="7"/>
        <v>1</v>
      </c>
      <c r="S5420" s="24"/>
      <c r="T5420" s="24"/>
    </row>
    <row r="5421">
      <c r="A5421" s="12" t="s">
        <v>5508</v>
      </c>
      <c r="F5421" s="19">
        <f>IFERROR(__xludf.DUMMYFUNCTION("SPLIT(A5417, "" |"")"),5415.0)</f>
        <v>5415</v>
      </c>
      <c r="G5421" s="19">
        <f>IFERROR(__xludf.DUMMYFUNCTION("""COMPUTED_VALUE"""),0.00238)</f>
        <v>0.00238</v>
      </c>
      <c r="H5421" s="19" t="str">
        <f>IFERROR(__xludf.DUMMYFUNCTION("""COMPUTED_VALUE"""),"-")</f>
        <v>-</v>
      </c>
      <c r="I5421" s="19">
        <f>IFERROR(__xludf.DUMMYFUNCTION("""COMPUTED_VALUE"""),0.00223)</f>
        <v>0.00223</v>
      </c>
      <c r="J5421" s="19">
        <f>IFERROR(__xludf.DUMMYFUNCTION("""COMPUTED_VALUE"""),0.04113)</f>
        <v>0.04113</v>
      </c>
      <c r="K5421" s="19" t="str">
        <f>IFERROR(__xludf.DUMMYFUNCTION("""COMPUTED_VALUE"""),"-")</f>
        <v>-</v>
      </c>
      <c r="L5421" s="19" t="str">
        <f>IFERROR(__xludf.DUMMYFUNCTION("""COMPUTED_VALUE"""),"-")</f>
        <v>-</v>
      </c>
      <c r="O5421" s="24">
        <f t="shared" si="4"/>
        <v>0</v>
      </c>
      <c r="P5421" s="24"/>
      <c r="Q5421" s="24">
        <f t="shared" si="6"/>
        <v>0</v>
      </c>
      <c r="R5421" s="24">
        <f t="shared" si="7"/>
        <v>1</v>
      </c>
      <c r="S5421" s="24"/>
      <c r="T5421" s="24"/>
    </row>
    <row r="5422">
      <c r="A5422" s="12" t="s">
        <v>5509</v>
      </c>
      <c r="F5422" s="19">
        <f>IFERROR(__xludf.DUMMYFUNCTION("SPLIT(A5418, "" |"")"),5416.0)</f>
        <v>5416</v>
      </c>
      <c r="G5422" s="19">
        <f>IFERROR(__xludf.DUMMYFUNCTION("""COMPUTED_VALUE"""),0.00227)</f>
        <v>0.00227</v>
      </c>
      <c r="H5422" s="19" t="str">
        <f>IFERROR(__xludf.DUMMYFUNCTION("""COMPUTED_VALUE"""),"-")</f>
        <v>-</v>
      </c>
      <c r="I5422" s="19">
        <f>IFERROR(__xludf.DUMMYFUNCTION("""COMPUTED_VALUE"""),0.00222)</f>
        <v>0.00222</v>
      </c>
      <c r="J5422" s="19">
        <f>IFERROR(__xludf.DUMMYFUNCTION("""COMPUTED_VALUE"""),0.04495)</f>
        <v>0.04495</v>
      </c>
      <c r="K5422" s="19" t="str">
        <f>IFERROR(__xludf.DUMMYFUNCTION("""COMPUTED_VALUE"""),"-")</f>
        <v>-</v>
      </c>
      <c r="L5422" s="19" t="str">
        <f>IFERROR(__xludf.DUMMYFUNCTION("""COMPUTED_VALUE"""),"-")</f>
        <v>-</v>
      </c>
      <c r="O5422" s="24">
        <f t="shared" si="4"/>
        <v>0</v>
      </c>
      <c r="P5422" s="24"/>
      <c r="Q5422" s="24">
        <f t="shared" si="6"/>
        <v>0</v>
      </c>
      <c r="R5422" s="24">
        <f t="shared" si="7"/>
        <v>0</v>
      </c>
      <c r="S5422" s="24"/>
      <c r="T5422" s="24"/>
    </row>
    <row r="5423">
      <c r="A5423" s="12" t="s">
        <v>5510</v>
      </c>
      <c r="F5423" s="19">
        <f>IFERROR(__xludf.DUMMYFUNCTION("SPLIT(A5419, "" |"")"),5417.0)</f>
        <v>5417</v>
      </c>
      <c r="G5423" s="19">
        <f>IFERROR(__xludf.DUMMYFUNCTION("""COMPUTED_VALUE"""),0.00236)</f>
        <v>0.00236</v>
      </c>
      <c r="H5423" s="19" t="str">
        <f>IFERROR(__xludf.DUMMYFUNCTION("""COMPUTED_VALUE"""),"-")</f>
        <v>-</v>
      </c>
      <c r="I5423" s="19">
        <f>IFERROR(__xludf.DUMMYFUNCTION("""COMPUTED_VALUE"""),0.00223)</f>
        <v>0.00223</v>
      </c>
      <c r="J5423" s="19">
        <f>IFERROR(__xludf.DUMMYFUNCTION("""COMPUTED_VALUE"""),0.04748)</f>
        <v>0.04748</v>
      </c>
      <c r="K5423" s="19" t="str">
        <f>IFERROR(__xludf.DUMMYFUNCTION("""COMPUTED_VALUE"""),"-")</f>
        <v>-</v>
      </c>
      <c r="L5423" s="19" t="str">
        <f>IFERROR(__xludf.DUMMYFUNCTION("""COMPUTED_VALUE"""),"-")</f>
        <v>-</v>
      </c>
      <c r="O5423" s="24">
        <f t="shared" si="4"/>
        <v>0</v>
      </c>
      <c r="P5423" s="24"/>
      <c r="Q5423" s="24">
        <f t="shared" si="6"/>
        <v>0</v>
      </c>
      <c r="R5423" s="24">
        <f t="shared" si="7"/>
        <v>0</v>
      </c>
      <c r="S5423" s="24"/>
      <c r="T5423" s="24"/>
    </row>
    <row r="5424">
      <c r="A5424" s="12" t="s">
        <v>5511</v>
      </c>
      <c r="F5424" s="19">
        <f>IFERROR(__xludf.DUMMYFUNCTION("SPLIT(A5420, "" |"")"),5418.0)</f>
        <v>5418</v>
      </c>
      <c r="G5424" s="19">
        <f>IFERROR(__xludf.DUMMYFUNCTION("""COMPUTED_VALUE"""),0.00232)</f>
        <v>0.00232</v>
      </c>
      <c r="H5424" s="19" t="str">
        <f>IFERROR(__xludf.DUMMYFUNCTION("""COMPUTED_VALUE"""),"-")</f>
        <v>-</v>
      </c>
      <c r="I5424" s="19">
        <f>IFERROR(__xludf.DUMMYFUNCTION("""COMPUTED_VALUE"""),0.00221)</f>
        <v>0.00221</v>
      </c>
      <c r="J5424" s="19">
        <f>IFERROR(__xludf.DUMMYFUNCTION("""COMPUTED_VALUE"""),0.04747)</f>
        <v>0.04747</v>
      </c>
      <c r="K5424" s="19" t="str">
        <f>IFERROR(__xludf.DUMMYFUNCTION("""COMPUTED_VALUE"""),"-")</f>
        <v>-</v>
      </c>
      <c r="L5424" s="19" t="str">
        <f>IFERROR(__xludf.DUMMYFUNCTION("""COMPUTED_VALUE"""),"-")</f>
        <v>-</v>
      </c>
      <c r="O5424" s="24">
        <f t="shared" si="4"/>
        <v>0</v>
      </c>
      <c r="P5424" s="24"/>
      <c r="Q5424" s="24">
        <f t="shared" si="6"/>
        <v>0</v>
      </c>
      <c r="R5424" s="24">
        <f t="shared" si="7"/>
        <v>0</v>
      </c>
      <c r="S5424" s="24"/>
      <c r="T5424" s="24"/>
    </row>
    <row r="5425">
      <c r="A5425" s="12" t="s">
        <v>5512</v>
      </c>
      <c r="F5425" s="19">
        <f>IFERROR(__xludf.DUMMYFUNCTION("SPLIT(A5421, "" |"")"),5419.0)</f>
        <v>5419</v>
      </c>
      <c r="G5425" s="19">
        <f>IFERROR(__xludf.DUMMYFUNCTION("""COMPUTED_VALUE"""),0.00234)</f>
        <v>0.00234</v>
      </c>
      <c r="H5425" s="19" t="str">
        <f>IFERROR(__xludf.DUMMYFUNCTION("""COMPUTED_VALUE"""),"-")</f>
        <v>-</v>
      </c>
      <c r="I5425" s="19">
        <f>IFERROR(__xludf.DUMMYFUNCTION("""COMPUTED_VALUE"""),0.00222)</f>
        <v>0.00222</v>
      </c>
      <c r="J5425" s="19">
        <f>IFERROR(__xludf.DUMMYFUNCTION("""COMPUTED_VALUE"""),0.04747)</f>
        <v>0.04747</v>
      </c>
      <c r="K5425" s="19" t="str">
        <f>IFERROR(__xludf.DUMMYFUNCTION("""COMPUTED_VALUE"""),"-")</f>
        <v>-</v>
      </c>
      <c r="L5425" s="19" t="str">
        <f>IFERROR(__xludf.DUMMYFUNCTION("""COMPUTED_VALUE"""),"-")</f>
        <v>-</v>
      </c>
      <c r="O5425" s="24">
        <f t="shared" si="4"/>
        <v>0</v>
      </c>
      <c r="P5425" s="24"/>
      <c r="Q5425" s="24">
        <f t="shared" si="6"/>
        <v>0</v>
      </c>
      <c r="R5425" s="24">
        <f t="shared" si="7"/>
        <v>0</v>
      </c>
      <c r="S5425" s="24"/>
      <c r="T5425" s="24"/>
    </row>
    <row r="5426">
      <c r="A5426" s="12" t="s">
        <v>5513</v>
      </c>
      <c r="F5426" s="19">
        <f>IFERROR(__xludf.DUMMYFUNCTION("SPLIT(A5422, "" |"")"),5420.0)</f>
        <v>5420</v>
      </c>
      <c r="G5426" s="19">
        <f>IFERROR(__xludf.DUMMYFUNCTION("""COMPUTED_VALUE"""),0.00234)</f>
        <v>0.00234</v>
      </c>
      <c r="H5426" s="19" t="str">
        <f>IFERROR(__xludf.DUMMYFUNCTION("""COMPUTED_VALUE"""),"-")</f>
        <v>-</v>
      </c>
      <c r="I5426" s="19">
        <f>IFERROR(__xludf.DUMMYFUNCTION("""COMPUTED_VALUE"""),0.00211)</f>
        <v>0.00211</v>
      </c>
      <c r="J5426" s="19">
        <f>IFERROR(__xludf.DUMMYFUNCTION("""COMPUTED_VALUE"""),0.04737)</f>
        <v>0.04737</v>
      </c>
      <c r="K5426" s="19" t="str">
        <f>IFERROR(__xludf.DUMMYFUNCTION("""COMPUTED_VALUE"""),"-")</f>
        <v>-</v>
      </c>
      <c r="L5426" s="19" t="str">
        <f>IFERROR(__xludf.DUMMYFUNCTION("""COMPUTED_VALUE"""),"-")</f>
        <v>-</v>
      </c>
      <c r="O5426" s="24">
        <f t="shared" si="4"/>
        <v>0</v>
      </c>
      <c r="P5426" s="24"/>
      <c r="Q5426" s="24">
        <f t="shared" si="6"/>
        <v>0</v>
      </c>
      <c r="R5426" s="24">
        <f t="shared" si="7"/>
        <v>0</v>
      </c>
      <c r="S5426" s="24"/>
      <c r="T5426" s="24"/>
    </row>
    <row r="5427">
      <c r="A5427" s="12" t="s">
        <v>5514</v>
      </c>
      <c r="F5427" s="19">
        <f>IFERROR(__xludf.DUMMYFUNCTION("SPLIT(A5423, "" |"")"),5421.0)</f>
        <v>5421</v>
      </c>
      <c r="G5427" s="19">
        <f>IFERROR(__xludf.DUMMYFUNCTION("""COMPUTED_VALUE"""),0.00238)</f>
        <v>0.00238</v>
      </c>
      <c r="H5427" s="19" t="str">
        <f>IFERROR(__xludf.DUMMYFUNCTION("""COMPUTED_VALUE"""),"-")</f>
        <v>-</v>
      </c>
      <c r="I5427" s="19">
        <f>IFERROR(__xludf.DUMMYFUNCTION("""COMPUTED_VALUE"""),0.00229)</f>
        <v>0.00229</v>
      </c>
      <c r="J5427" s="19">
        <f>IFERROR(__xludf.DUMMYFUNCTION("""COMPUTED_VALUE"""),0.04022)</f>
        <v>0.04022</v>
      </c>
      <c r="K5427" s="19" t="str">
        <f>IFERROR(__xludf.DUMMYFUNCTION("""COMPUTED_VALUE"""),"-")</f>
        <v>-</v>
      </c>
      <c r="L5427" s="19" t="str">
        <f>IFERROR(__xludf.DUMMYFUNCTION("""COMPUTED_VALUE"""),"-")</f>
        <v>-</v>
      </c>
      <c r="O5427" s="24">
        <f t="shared" si="4"/>
        <v>0</v>
      </c>
      <c r="P5427" s="24"/>
      <c r="Q5427" s="24">
        <f t="shared" si="6"/>
        <v>0</v>
      </c>
      <c r="R5427" s="24">
        <f t="shared" si="7"/>
        <v>1</v>
      </c>
      <c r="S5427" s="24"/>
      <c r="T5427" s="24"/>
    </row>
    <row r="5428">
      <c r="A5428" s="12" t="s">
        <v>5515</v>
      </c>
      <c r="F5428" s="19">
        <f>IFERROR(__xludf.DUMMYFUNCTION("SPLIT(A5424, "" |"")"),5422.0)</f>
        <v>5422</v>
      </c>
      <c r="G5428" s="19">
        <f>IFERROR(__xludf.DUMMYFUNCTION("""COMPUTED_VALUE"""),0.00234)</f>
        <v>0.00234</v>
      </c>
      <c r="H5428" s="19" t="str">
        <f>IFERROR(__xludf.DUMMYFUNCTION("""COMPUTED_VALUE"""),"-")</f>
        <v>-</v>
      </c>
      <c r="I5428" s="19">
        <f>IFERROR(__xludf.DUMMYFUNCTION("""COMPUTED_VALUE"""),0.00221)</f>
        <v>0.00221</v>
      </c>
      <c r="J5428" s="19">
        <f>IFERROR(__xludf.DUMMYFUNCTION("""COMPUTED_VALUE"""),0.04358)</f>
        <v>0.04358</v>
      </c>
      <c r="K5428" s="19" t="str">
        <f>IFERROR(__xludf.DUMMYFUNCTION("""COMPUTED_VALUE"""),"-")</f>
        <v>-</v>
      </c>
      <c r="L5428" s="19" t="str">
        <f>IFERROR(__xludf.DUMMYFUNCTION("""COMPUTED_VALUE"""),"-")</f>
        <v>-</v>
      </c>
      <c r="O5428" s="24">
        <f t="shared" si="4"/>
        <v>0</v>
      </c>
      <c r="P5428" s="24"/>
      <c r="Q5428" s="24">
        <f t="shared" si="6"/>
        <v>0</v>
      </c>
      <c r="R5428" s="24">
        <f t="shared" si="7"/>
        <v>1</v>
      </c>
      <c r="S5428" s="24"/>
      <c r="T5428" s="24"/>
    </row>
    <row r="5429">
      <c r="A5429" s="12" t="s">
        <v>5516</v>
      </c>
      <c r="F5429" s="19">
        <f>IFERROR(__xludf.DUMMYFUNCTION("SPLIT(A5425, "" |"")"),5423.0)</f>
        <v>5423</v>
      </c>
      <c r="G5429" s="19">
        <f>IFERROR(__xludf.DUMMYFUNCTION("""COMPUTED_VALUE"""),0.00232)</f>
        <v>0.00232</v>
      </c>
      <c r="H5429" s="19" t="str">
        <f>IFERROR(__xludf.DUMMYFUNCTION("""COMPUTED_VALUE"""),"-")</f>
        <v>-</v>
      </c>
      <c r="I5429" s="19">
        <f>IFERROR(__xludf.DUMMYFUNCTION("""COMPUTED_VALUE"""),0.00213)</f>
        <v>0.00213</v>
      </c>
      <c r="J5429" s="19">
        <f>IFERROR(__xludf.DUMMYFUNCTION("""COMPUTED_VALUE"""),0.0468)</f>
        <v>0.0468</v>
      </c>
      <c r="K5429" s="19" t="str">
        <f>IFERROR(__xludf.DUMMYFUNCTION("""COMPUTED_VALUE"""),"-")</f>
        <v>-</v>
      </c>
      <c r="L5429" s="19" t="str">
        <f>IFERROR(__xludf.DUMMYFUNCTION("""COMPUTED_VALUE"""),"-")</f>
        <v>-</v>
      </c>
      <c r="O5429" s="24">
        <f t="shared" si="4"/>
        <v>0</v>
      </c>
      <c r="P5429" s="24"/>
      <c r="Q5429" s="24">
        <f t="shared" si="6"/>
        <v>0</v>
      </c>
      <c r="R5429" s="24">
        <f t="shared" si="7"/>
        <v>0</v>
      </c>
      <c r="S5429" s="24"/>
      <c r="T5429" s="24"/>
    </row>
    <row r="5430">
      <c r="A5430" s="12" t="s">
        <v>5517</v>
      </c>
      <c r="F5430" s="19">
        <f>IFERROR(__xludf.DUMMYFUNCTION("SPLIT(A5426, "" |"")"),5424.0)</f>
        <v>5424</v>
      </c>
      <c r="G5430" s="19">
        <f>IFERROR(__xludf.DUMMYFUNCTION("""COMPUTED_VALUE"""),0.00235)</f>
        <v>0.00235</v>
      </c>
      <c r="H5430" s="19" t="str">
        <f>IFERROR(__xludf.DUMMYFUNCTION("""COMPUTED_VALUE"""),"-")</f>
        <v>-</v>
      </c>
      <c r="I5430" s="19">
        <f>IFERROR(__xludf.DUMMYFUNCTION("""COMPUTED_VALUE"""),0.00222)</f>
        <v>0.00222</v>
      </c>
      <c r="J5430" s="19">
        <f>IFERROR(__xludf.DUMMYFUNCTION("""COMPUTED_VALUE"""),0.04753)</f>
        <v>0.04753</v>
      </c>
      <c r="K5430" s="19" t="str">
        <f>IFERROR(__xludf.DUMMYFUNCTION("""COMPUTED_VALUE"""),"-")</f>
        <v>-</v>
      </c>
      <c r="L5430" s="19" t="str">
        <f>IFERROR(__xludf.DUMMYFUNCTION("""COMPUTED_VALUE"""),"-")</f>
        <v>-</v>
      </c>
      <c r="O5430" s="24">
        <f t="shared" si="4"/>
        <v>0</v>
      </c>
      <c r="P5430" s="24"/>
      <c r="Q5430" s="24">
        <f t="shared" si="6"/>
        <v>0</v>
      </c>
      <c r="R5430" s="24">
        <f t="shared" si="7"/>
        <v>0</v>
      </c>
      <c r="S5430" s="24"/>
      <c r="T5430" s="24"/>
    </row>
    <row r="5431">
      <c r="A5431" s="12" t="s">
        <v>5518</v>
      </c>
      <c r="F5431" s="19">
        <f>IFERROR(__xludf.DUMMYFUNCTION("SPLIT(A5427, "" |"")"),5425.0)</f>
        <v>5425</v>
      </c>
      <c r="G5431" s="19">
        <f>IFERROR(__xludf.DUMMYFUNCTION("""COMPUTED_VALUE"""),0.00233)</f>
        <v>0.00233</v>
      </c>
      <c r="H5431" s="19" t="str">
        <f>IFERROR(__xludf.DUMMYFUNCTION("""COMPUTED_VALUE"""),"-")</f>
        <v>-</v>
      </c>
      <c r="I5431" s="19">
        <f>IFERROR(__xludf.DUMMYFUNCTION("""COMPUTED_VALUE"""),0.00217)</f>
        <v>0.00217</v>
      </c>
      <c r="J5431" s="19">
        <f>IFERROR(__xludf.DUMMYFUNCTION("""COMPUTED_VALUE"""),0.04743)</f>
        <v>0.04743</v>
      </c>
      <c r="K5431" s="19" t="str">
        <f>IFERROR(__xludf.DUMMYFUNCTION("""COMPUTED_VALUE"""),"-")</f>
        <v>-</v>
      </c>
      <c r="L5431" s="19" t="str">
        <f>IFERROR(__xludf.DUMMYFUNCTION("""COMPUTED_VALUE"""),"-")</f>
        <v>-</v>
      </c>
      <c r="O5431" s="24">
        <f t="shared" si="4"/>
        <v>0</v>
      </c>
      <c r="P5431" s="24"/>
      <c r="Q5431" s="24">
        <f t="shared" si="6"/>
        <v>0</v>
      </c>
      <c r="R5431" s="24">
        <f t="shared" si="7"/>
        <v>0</v>
      </c>
      <c r="S5431" s="24"/>
      <c r="T5431" s="24"/>
    </row>
    <row r="5432">
      <c r="A5432" s="12" t="s">
        <v>5519</v>
      </c>
      <c r="F5432" s="19">
        <f>IFERROR(__xludf.DUMMYFUNCTION("SPLIT(A5428, "" |"")"),5426.0)</f>
        <v>5426</v>
      </c>
      <c r="G5432" s="19">
        <f>IFERROR(__xludf.DUMMYFUNCTION("""COMPUTED_VALUE"""),0.00243)</f>
        <v>0.00243</v>
      </c>
      <c r="H5432" s="19" t="str">
        <f>IFERROR(__xludf.DUMMYFUNCTION("""COMPUTED_VALUE"""),"-")</f>
        <v>-</v>
      </c>
      <c r="I5432" s="19">
        <f>IFERROR(__xludf.DUMMYFUNCTION("""COMPUTED_VALUE"""),0.0023)</f>
        <v>0.0023</v>
      </c>
      <c r="J5432" s="19">
        <f>IFERROR(__xludf.DUMMYFUNCTION("""COMPUTED_VALUE"""),0.03964)</f>
        <v>0.03964</v>
      </c>
      <c r="K5432" s="19" t="str">
        <f>IFERROR(__xludf.DUMMYFUNCTION("""COMPUTED_VALUE"""),"-")</f>
        <v>-</v>
      </c>
      <c r="L5432" s="19" t="str">
        <f>IFERROR(__xludf.DUMMYFUNCTION("""COMPUTED_VALUE"""),"-")</f>
        <v>-</v>
      </c>
      <c r="O5432" s="24">
        <f t="shared" si="4"/>
        <v>0</v>
      </c>
      <c r="P5432" s="24"/>
      <c r="Q5432" s="24">
        <f t="shared" si="6"/>
        <v>0</v>
      </c>
      <c r="R5432" s="24">
        <f t="shared" si="7"/>
        <v>1</v>
      </c>
      <c r="S5432" s="24"/>
      <c r="T5432" s="24"/>
    </row>
    <row r="5433">
      <c r="A5433" s="12" t="s">
        <v>5520</v>
      </c>
      <c r="F5433" s="19">
        <f>IFERROR(__xludf.DUMMYFUNCTION("SPLIT(A5429, "" |"")"),5427.0)</f>
        <v>5427</v>
      </c>
      <c r="G5433" s="19">
        <f>IFERROR(__xludf.DUMMYFUNCTION("""COMPUTED_VALUE"""),0.00233)</f>
        <v>0.00233</v>
      </c>
      <c r="H5433" s="19" t="str">
        <f>IFERROR(__xludf.DUMMYFUNCTION("""COMPUTED_VALUE"""),"-")</f>
        <v>-</v>
      </c>
      <c r="I5433" s="19">
        <f>IFERROR(__xludf.DUMMYFUNCTION("""COMPUTED_VALUE"""),0.00223)</f>
        <v>0.00223</v>
      </c>
      <c r="J5433" s="19">
        <f>IFERROR(__xludf.DUMMYFUNCTION("""COMPUTED_VALUE"""),0.04759)</f>
        <v>0.04759</v>
      </c>
      <c r="K5433" s="19" t="str">
        <f>IFERROR(__xludf.DUMMYFUNCTION("""COMPUTED_VALUE"""),"-")</f>
        <v>-</v>
      </c>
      <c r="L5433" s="19" t="str">
        <f>IFERROR(__xludf.DUMMYFUNCTION("""COMPUTED_VALUE"""),"-")</f>
        <v>-</v>
      </c>
      <c r="O5433" s="24">
        <f t="shared" si="4"/>
        <v>0</v>
      </c>
      <c r="P5433" s="24"/>
      <c r="Q5433" s="24">
        <f t="shared" si="6"/>
        <v>0</v>
      </c>
      <c r="R5433" s="24">
        <f t="shared" si="7"/>
        <v>0</v>
      </c>
      <c r="S5433" s="24"/>
      <c r="T5433" s="24"/>
    </row>
    <row r="5434">
      <c r="A5434" s="12" t="s">
        <v>5521</v>
      </c>
      <c r="F5434" s="19">
        <f>IFERROR(__xludf.DUMMYFUNCTION("SPLIT(A5430, "" |"")"),5428.0)</f>
        <v>5428</v>
      </c>
      <c r="G5434" s="19">
        <f>IFERROR(__xludf.DUMMYFUNCTION("""COMPUTED_VALUE"""),0.00246)</f>
        <v>0.00246</v>
      </c>
      <c r="H5434" s="19" t="str">
        <f>IFERROR(__xludf.DUMMYFUNCTION("""COMPUTED_VALUE"""),"-")</f>
        <v>-</v>
      </c>
      <c r="I5434" s="19">
        <f>IFERROR(__xludf.DUMMYFUNCTION("""COMPUTED_VALUE"""),0.00228)</f>
        <v>0.00228</v>
      </c>
      <c r="J5434" s="19">
        <f>IFERROR(__xludf.DUMMYFUNCTION("""COMPUTED_VALUE"""),0.04752)</f>
        <v>0.04752</v>
      </c>
      <c r="K5434" s="19" t="str">
        <f>IFERROR(__xludf.DUMMYFUNCTION("""COMPUTED_VALUE"""),"-")</f>
        <v>-</v>
      </c>
      <c r="L5434" s="19" t="str">
        <f>IFERROR(__xludf.DUMMYFUNCTION("""COMPUTED_VALUE"""),"-")</f>
        <v>-</v>
      </c>
      <c r="O5434" s="24">
        <f t="shared" si="4"/>
        <v>0</v>
      </c>
      <c r="P5434" s="24"/>
      <c r="Q5434" s="24">
        <f t="shared" si="6"/>
        <v>0</v>
      </c>
      <c r="R5434" s="24">
        <f t="shared" si="7"/>
        <v>0</v>
      </c>
      <c r="S5434" s="24"/>
      <c r="T5434" s="24"/>
    </row>
    <row r="5435">
      <c r="A5435" s="12" t="s">
        <v>5522</v>
      </c>
      <c r="F5435" s="19">
        <f>IFERROR(__xludf.DUMMYFUNCTION("SPLIT(A5431, "" |"")"),5429.0)</f>
        <v>5429</v>
      </c>
      <c r="G5435" s="19">
        <f>IFERROR(__xludf.DUMMYFUNCTION("""COMPUTED_VALUE"""),0.00244)</f>
        <v>0.00244</v>
      </c>
      <c r="H5435" s="19" t="str">
        <f>IFERROR(__xludf.DUMMYFUNCTION("""COMPUTED_VALUE"""),"-")</f>
        <v>-</v>
      </c>
      <c r="I5435" s="19">
        <f>IFERROR(__xludf.DUMMYFUNCTION("""COMPUTED_VALUE"""),0.00222)</f>
        <v>0.00222</v>
      </c>
      <c r="J5435" s="19">
        <f>IFERROR(__xludf.DUMMYFUNCTION("""COMPUTED_VALUE"""),0.04748)</f>
        <v>0.04748</v>
      </c>
      <c r="K5435" s="19" t="str">
        <f>IFERROR(__xludf.DUMMYFUNCTION("""COMPUTED_VALUE"""),"-")</f>
        <v>-</v>
      </c>
      <c r="L5435" s="19" t="str">
        <f>IFERROR(__xludf.DUMMYFUNCTION("""COMPUTED_VALUE"""),"-")</f>
        <v>-</v>
      </c>
      <c r="O5435" s="24">
        <f t="shared" si="4"/>
        <v>0</v>
      </c>
      <c r="P5435" s="24"/>
      <c r="Q5435" s="24">
        <f t="shared" si="6"/>
        <v>0</v>
      </c>
      <c r="R5435" s="24">
        <f t="shared" si="7"/>
        <v>0</v>
      </c>
      <c r="S5435" s="24"/>
      <c r="T5435" s="24"/>
    </row>
    <row r="5436">
      <c r="A5436" s="12" t="s">
        <v>5523</v>
      </c>
      <c r="F5436" s="19">
        <f>IFERROR(__xludf.DUMMYFUNCTION("SPLIT(A5432, "" |"")"),5430.0)</f>
        <v>5430</v>
      </c>
      <c r="G5436" s="19">
        <f>IFERROR(__xludf.DUMMYFUNCTION("""COMPUTED_VALUE"""),0.00234)</f>
        <v>0.00234</v>
      </c>
      <c r="H5436" s="19" t="str">
        <f>IFERROR(__xludf.DUMMYFUNCTION("""COMPUTED_VALUE"""),"-")</f>
        <v>-</v>
      </c>
      <c r="I5436" s="19">
        <f>IFERROR(__xludf.DUMMYFUNCTION("""COMPUTED_VALUE"""),0.00223)</f>
        <v>0.00223</v>
      </c>
      <c r="J5436" s="19">
        <f>IFERROR(__xludf.DUMMYFUNCTION("""COMPUTED_VALUE"""),0.04251)</f>
        <v>0.04251</v>
      </c>
      <c r="K5436" s="19" t="str">
        <f>IFERROR(__xludf.DUMMYFUNCTION("""COMPUTED_VALUE"""),"-")</f>
        <v>-</v>
      </c>
      <c r="L5436" s="19" t="str">
        <f>IFERROR(__xludf.DUMMYFUNCTION("""COMPUTED_VALUE"""),"-")</f>
        <v>-</v>
      </c>
      <c r="O5436" s="24">
        <f t="shared" si="4"/>
        <v>0</v>
      </c>
      <c r="P5436" s="24"/>
      <c r="Q5436" s="24">
        <f t="shared" si="6"/>
        <v>0</v>
      </c>
      <c r="R5436" s="24">
        <f t="shared" si="7"/>
        <v>1</v>
      </c>
      <c r="S5436" s="24"/>
      <c r="T5436" s="24"/>
    </row>
    <row r="5437">
      <c r="A5437" s="12" t="s">
        <v>5524</v>
      </c>
      <c r="F5437" s="19">
        <f>IFERROR(__xludf.DUMMYFUNCTION("SPLIT(A5433, "" |"")"),5431.0)</f>
        <v>5431</v>
      </c>
      <c r="G5437" s="19">
        <f>IFERROR(__xludf.DUMMYFUNCTION("""COMPUTED_VALUE"""),0.00237)</f>
        <v>0.00237</v>
      </c>
      <c r="H5437" s="19" t="str">
        <f>IFERROR(__xludf.DUMMYFUNCTION("""COMPUTED_VALUE"""),"-")</f>
        <v>-</v>
      </c>
      <c r="I5437" s="19">
        <f>IFERROR(__xludf.DUMMYFUNCTION("""COMPUTED_VALUE"""),0.00222)</f>
        <v>0.00222</v>
      </c>
      <c r="J5437" s="19">
        <f>IFERROR(__xludf.DUMMYFUNCTION("""COMPUTED_VALUE"""),0.04735)</f>
        <v>0.04735</v>
      </c>
      <c r="K5437" s="19" t="str">
        <f>IFERROR(__xludf.DUMMYFUNCTION("""COMPUTED_VALUE"""),"-")</f>
        <v>-</v>
      </c>
      <c r="L5437" s="19" t="str">
        <f>IFERROR(__xludf.DUMMYFUNCTION("""COMPUTED_VALUE"""),"-")</f>
        <v>-</v>
      </c>
      <c r="O5437" s="24">
        <f t="shared" si="4"/>
        <v>0</v>
      </c>
      <c r="P5437" s="24"/>
      <c r="Q5437" s="24">
        <f t="shared" si="6"/>
        <v>0</v>
      </c>
      <c r="R5437" s="24">
        <f t="shared" si="7"/>
        <v>0</v>
      </c>
      <c r="S5437" s="24"/>
      <c r="T5437" s="24"/>
    </row>
    <row r="5438">
      <c r="A5438" s="12" t="s">
        <v>5525</v>
      </c>
      <c r="F5438" s="19">
        <f>IFERROR(__xludf.DUMMYFUNCTION("SPLIT(A5434, "" |"")"),5432.0)</f>
        <v>5432</v>
      </c>
      <c r="G5438" s="19">
        <f>IFERROR(__xludf.DUMMYFUNCTION("""COMPUTED_VALUE"""),0.00227)</f>
        <v>0.00227</v>
      </c>
      <c r="H5438" s="19" t="str">
        <f>IFERROR(__xludf.DUMMYFUNCTION("""COMPUTED_VALUE"""),"-")</f>
        <v>-</v>
      </c>
      <c r="I5438" s="19">
        <f>IFERROR(__xludf.DUMMYFUNCTION("""COMPUTED_VALUE"""),0.00216)</f>
        <v>0.00216</v>
      </c>
      <c r="J5438" s="19">
        <f>IFERROR(__xludf.DUMMYFUNCTION("""COMPUTED_VALUE"""),0.0403)</f>
        <v>0.0403</v>
      </c>
      <c r="K5438" s="19" t="str">
        <f>IFERROR(__xludf.DUMMYFUNCTION("""COMPUTED_VALUE"""),"-")</f>
        <v>-</v>
      </c>
      <c r="L5438" s="19" t="str">
        <f>IFERROR(__xludf.DUMMYFUNCTION("""COMPUTED_VALUE"""),"-")</f>
        <v>-</v>
      </c>
      <c r="O5438" s="24">
        <f t="shared" si="4"/>
        <v>0</v>
      </c>
      <c r="P5438" s="24"/>
      <c r="Q5438" s="24">
        <f t="shared" si="6"/>
        <v>0</v>
      </c>
      <c r="R5438" s="24">
        <f t="shared" si="7"/>
        <v>1</v>
      </c>
      <c r="S5438" s="24"/>
      <c r="T5438" s="24"/>
    </row>
    <row r="5439">
      <c r="A5439" s="12" t="s">
        <v>5526</v>
      </c>
      <c r="F5439" s="19">
        <f>IFERROR(__xludf.DUMMYFUNCTION("SPLIT(A5435, "" |"")"),5433.0)</f>
        <v>5433</v>
      </c>
      <c r="G5439" s="19">
        <f>IFERROR(__xludf.DUMMYFUNCTION("""COMPUTED_VALUE"""),0.00229)</f>
        <v>0.00229</v>
      </c>
      <c r="H5439" s="19" t="str">
        <f>IFERROR(__xludf.DUMMYFUNCTION("""COMPUTED_VALUE"""),"-")</f>
        <v>-</v>
      </c>
      <c r="I5439" s="19">
        <f>IFERROR(__xludf.DUMMYFUNCTION("""COMPUTED_VALUE"""),0.00219)</f>
        <v>0.00219</v>
      </c>
      <c r="J5439" s="19">
        <f>IFERROR(__xludf.DUMMYFUNCTION("""COMPUTED_VALUE"""),0.04742)</f>
        <v>0.04742</v>
      </c>
      <c r="K5439" s="19" t="str">
        <f>IFERROR(__xludf.DUMMYFUNCTION("""COMPUTED_VALUE"""),"-")</f>
        <v>-</v>
      </c>
      <c r="L5439" s="19" t="str">
        <f>IFERROR(__xludf.DUMMYFUNCTION("""COMPUTED_VALUE"""),"-")</f>
        <v>-</v>
      </c>
      <c r="O5439" s="24">
        <f t="shared" si="4"/>
        <v>0</v>
      </c>
      <c r="P5439" s="24"/>
      <c r="Q5439" s="24">
        <f t="shared" si="6"/>
        <v>0</v>
      </c>
      <c r="R5439" s="24">
        <f t="shared" si="7"/>
        <v>0</v>
      </c>
      <c r="S5439" s="24"/>
      <c r="T5439" s="24"/>
    </row>
    <row r="5440">
      <c r="A5440" s="12" t="s">
        <v>5527</v>
      </c>
      <c r="F5440" s="19">
        <f>IFERROR(__xludf.DUMMYFUNCTION("SPLIT(A5436, "" |"")"),5434.0)</f>
        <v>5434</v>
      </c>
      <c r="G5440" s="19">
        <f>IFERROR(__xludf.DUMMYFUNCTION("""COMPUTED_VALUE"""),0.00238)</f>
        <v>0.00238</v>
      </c>
      <c r="H5440" s="19" t="str">
        <f>IFERROR(__xludf.DUMMYFUNCTION("""COMPUTED_VALUE"""),"-")</f>
        <v>-</v>
      </c>
      <c r="I5440" s="19">
        <f>IFERROR(__xludf.DUMMYFUNCTION("""COMPUTED_VALUE"""),0.00224)</f>
        <v>0.00224</v>
      </c>
      <c r="J5440" s="19">
        <f>IFERROR(__xludf.DUMMYFUNCTION("""COMPUTED_VALUE"""),0.0474)</f>
        <v>0.0474</v>
      </c>
      <c r="K5440" s="19" t="str">
        <f>IFERROR(__xludf.DUMMYFUNCTION("""COMPUTED_VALUE"""),"-")</f>
        <v>-</v>
      </c>
      <c r="L5440" s="19" t="str">
        <f>IFERROR(__xludf.DUMMYFUNCTION("""COMPUTED_VALUE"""),"-")</f>
        <v>-</v>
      </c>
      <c r="O5440" s="24">
        <f t="shared" si="4"/>
        <v>0</v>
      </c>
      <c r="P5440" s="24"/>
      <c r="Q5440" s="24">
        <f t="shared" si="6"/>
        <v>0</v>
      </c>
      <c r="R5440" s="24">
        <f t="shared" si="7"/>
        <v>0</v>
      </c>
      <c r="S5440" s="24"/>
      <c r="T5440" s="24"/>
    </row>
    <row r="5441">
      <c r="A5441" s="12" t="s">
        <v>5528</v>
      </c>
      <c r="F5441" s="19">
        <f>IFERROR(__xludf.DUMMYFUNCTION("SPLIT(A5437, "" |"")"),5435.0)</f>
        <v>5435</v>
      </c>
      <c r="G5441" s="19">
        <f>IFERROR(__xludf.DUMMYFUNCTION("""COMPUTED_VALUE"""),0.00236)</f>
        <v>0.00236</v>
      </c>
      <c r="H5441" s="19" t="str">
        <f>IFERROR(__xludf.DUMMYFUNCTION("""COMPUTED_VALUE"""),"-")</f>
        <v>-</v>
      </c>
      <c r="I5441" s="19">
        <f>IFERROR(__xludf.DUMMYFUNCTION("""COMPUTED_VALUE"""),0.00225)</f>
        <v>0.00225</v>
      </c>
      <c r="J5441" s="19">
        <f>IFERROR(__xludf.DUMMYFUNCTION("""COMPUTED_VALUE"""),0.04752)</f>
        <v>0.04752</v>
      </c>
      <c r="K5441" s="19" t="str">
        <f>IFERROR(__xludf.DUMMYFUNCTION("""COMPUTED_VALUE"""),"-")</f>
        <v>-</v>
      </c>
      <c r="L5441" s="19" t="str">
        <f>IFERROR(__xludf.DUMMYFUNCTION("""COMPUTED_VALUE"""),"-")</f>
        <v>-</v>
      </c>
      <c r="O5441" s="24">
        <f t="shared" si="4"/>
        <v>0</v>
      </c>
      <c r="P5441" s="24"/>
      <c r="Q5441" s="24">
        <f t="shared" si="6"/>
        <v>0</v>
      </c>
      <c r="R5441" s="24">
        <f t="shared" si="7"/>
        <v>0</v>
      </c>
      <c r="S5441" s="24"/>
      <c r="T5441" s="24"/>
    </row>
    <row r="5442">
      <c r="A5442" s="12" t="s">
        <v>5529</v>
      </c>
      <c r="F5442" s="19">
        <f>IFERROR(__xludf.DUMMYFUNCTION("SPLIT(A5438, "" |"")"),5436.0)</f>
        <v>5436</v>
      </c>
      <c r="G5442" s="19">
        <f>IFERROR(__xludf.DUMMYFUNCTION("""COMPUTED_VALUE"""),0.0024)</f>
        <v>0.0024</v>
      </c>
      <c r="H5442" s="19" t="str">
        <f>IFERROR(__xludf.DUMMYFUNCTION("""COMPUTED_VALUE"""),"-")</f>
        <v>-</v>
      </c>
      <c r="I5442" s="19">
        <f>IFERROR(__xludf.DUMMYFUNCTION("""COMPUTED_VALUE"""),0.00227)</f>
        <v>0.00227</v>
      </c>
      <c r="J5442" s="19">
        <f>IFERROR(__xludf.DUMMYFUNCTION("""COMPUTED_VALUE"""),0.04742)</f>
        <v>0.04742</v>
      </c>
      <c r="K5442" s="19" t="str">
        <f>IFERROR(__xludf.DUMMYFUNCTION("""COMPUTED_VALUE"""),"-")</f>
        <v>-</v>
      </c>
      <c r="L5442" s="19" t="str">
        <f>IFERROR(__xludf.DUMMYFUNCTION("""COMPUTED_VALUE"""),"-")</f>
        <v>-</v>
      </c>
      <c r="O5442" s="24">
        <f t="shared" si="4"/>
        <v>0</v>
      </c>
      <c r="P5442" s="24"/>
      <c r="Q5442" s="24">
        <f t="shared" si="6"/>
        <v>0</v>
      </c>
      <c r="R5442" s="24">
        <f t="shared" si="7"/>
        <v>0</v>
      </c>
      <c r="S5442" s="24"/>
      <c r="T5442" s="24"/>
    </row>
    <row r="5443">
      <c r="A5443" s="12" t="s">
        <v>5530</v>
      </c>
      <c r="F5443" s="19">
        <f>IFERROR(__xludf.DUMMYFUNCTION("SPLIT(A5439, "" |"")"),5437.0)</f>
        <v>5437</v>
      </c>
      <c r="G5443" s="19">
        <f>IFERROR(__xludf.DUMMYFUNCTION("""COMPUTED_VALUE"""),0.00236)</f>
        <v>0.00236</v>
      </c>
      <c r="H5443" s="19" t="str">
        <f>IFERROR(__xludf.DUMMYFUNCTION("""COMPUTED_VALUE"""),"-")</f>
        <v>-</v>
      </c>
      <c r="I5443" s="19">
        <f>IFERROR(__xludf.DUMMYFUNCTION("""COMPUTED_VALUE"""),0.00223)</f>
        <v>0.00223</v>
      </c>
      <c r="J5443" s="19">
        <f>IFERROR(__xludf.DUMMYFUNCTION("""COMPUTED_VALUE"""),0.04737)</f>
        <v>0.04737</v>
      </c>
      <c r="K5443" s="19" t="str">
        <f>IFERROR(__xludf.DUMMYFUNCTION("""COMPUTED_VALUE"""),"-")</f>
        <v>-</v>
      </c>
      <c r="L5443" s="19" t="str">
        <f>IFERROR(__xludf.DUMMYFUNCTION("""COMPUTED_VALUE"""),"-")</f>
        <v>-</v>
      </c>
      <c r="O5443" s="24">
        <f t="shared" si="4"/>
        <v>0</v>
      </c>
      <c r="P5443" s="24"/>
      <c r="Q5443" s="24">
        <f t="shared" si="6"/>
        <v>0</v>
      </c>
      <c r="R5443" s="24">
        <f t="shared" si="7"/>
        <v>0</v>
      </c>
      <c r="S5443" s="24"/>
      <c r="T5443" s="24"/>
    </row>
    <row r="5444">
      <c r="A5444" s="12" t="s">
        <v>5531</v>
      </c>
      <c r="F5444" s="19">
        <f>IFERROR(__xludf.DUMMYFUNCTION("SPLIT(A5440, "" |"")"),5438.0)</f>
        <v>5438</v>
      </c>
      <c r="G5444" s="19">
        <f>IFERROR(__xludf.DUMMYFUNCTION("""COMPUTED_VALUE"""),0.00241)</f>
        <v>0.00241</v>
      </c>
      <c r="H5444" s="19" t="str">
        <f>IFERROR(__xludf.DUMMYFUNCTION("""COMPUTED_VALUE"""),"-")</f>
        <v>-</v>
      </c>
      <c r="I5444" s="19">
        <f>IFERROR(__xludf.DUMMYFUNCTION("""COMPUTED_VALUE"""),0.00221)</f>
        <v>0.00221</v>
      </c>
      <c r="J5444" s="19">
        <f>IFERROR(__xludf.DUMMYFUNCTION("""COMPUTED_VALUE"""),0.04748)</f>
        <v>0.04748</v>
      </c>
      <c r="K5444" s="19" t="str">
        <f>IFERROR(__xludf.DUMMYFUNCTION("""COMPUTED_VALUE"""),"-")</f>
        <v>-</v>
      </c>
      <c r="L5444" s="19" t="str">
        <f>IFERROR(__xludf.DUMMYFUNCTION("""COMPUTED_VALUE"""),"-")</f>
        <v>-</v>
      </c>
      <c r="O5444" s="24">
        <f t="shared" si="4"/>
        <v>0</v>
      </c>
      <c r="P5444" s="24"/>
      <c r="Q5444" s="24">
        <f t="shared" si="6"/>
        <v>0</v>
      </c>
      <c r="R5444" s="24">
        <f t="shared" si="7"/>
        <v>0</v>
      </c>
      <c r="S5444" s="24"/>
      <c r="T5444" s="24"/>
    </row>
    <row r="5445">
      <c r="A5445" s="12" t="s">
        <v>5532</v>
      </c>
      <c r="F5445" s="19">
        <f>IFERROR(__xludf.DUMMYFUNCTION("SPLIT(A5441, "" |"")"),5439.0)</f>
        <v>5439</v>
      </c>
      <c r="G5445" s="19">
        <f>IFERROR(__xludf.DUMMYFUNCTION("""COMPUTED_VALUE"""),0.00238)</f>
        <v>0.00238</v>
      </c>
      <c r="H5445" s="19" t="str">
        <f>IFERROR(__xludf.DUMMYFUNCTION("""COMPUTED_VALUE"""),"-")</f>
        <v>-</v>
      </c>
      <c r="I5445" s="19">
        <f>IFERROR(__xludf.DUMMYFUNCTION("""COMPUTED_VALUE"""),0.0022)</f>
        <v>0.0022</v>
      </c>
      <c r="J5445" s="19">
        <f>IFERROR(__xludf.DUMMYFUNCTION("""COMPUTED_VALUE"""),0.04744)</f>
        <v>0.04744</v>
      </c>
      <c r="K5445" s="19" t="str">
        <f>IFERROR(__xludf.DUMMYFUNCTION("""COMPUTED_VALUE"""),"-")</f>
        <v>-</v>
      </c>
      <c r="L5445" s="19" t="str">
        <f>IFERROR(__xludf.DUMMYFUNCTION("""COMPUTED_VALUE"""),"-")</f>
        <v>-</v>
      </c>
      <c r="O5445" s="24">
        <f t="shared" si="4"/>
        <v>0</v>
      </c>
      <c r="P5445" s="24"/>
      <c r="Q5445" s="24">
        <f t="shared" si="6"/>
        <v>0</v>
      </c>
      <c r="R5445" s="24">
        <f t="shared" si="7"/>
        <v>0</v>
      </c>
      <c r="S5445" s="24"/>
      <c r="T5445" s="24"/>
    </row>
    <row r="5446">
      <c r="A5446" s="12" t="s">
        <v>5533</v>
      </c>
      <c r="F5446" s="19">
        <f>IFERROR(__xludf.DUMMYFUNCTION("SPLIT(A5442, "" |"")"),5440.0)</f>
        <v>5440</v>
      </c>
      <c r="G5446" s="19">
        <f>IFERROR(__xludf.DUMMYFUNCTION("""COMPUTED_VALUE"""),0.00231)</f>
        <v>0.00231</v>
      </c>
      <c r="H5446" s="19" t="str">
        <f>IFERROR(__xludf.DUMMYFUNCTION("""COMPUTED_VALUE"""),"-")</f>
        <v>-</v>
      </c>
      <c r="I5446" s="19">
        <f>IFERROR(__xludf.DUMMYFUNCTION("""COMPUTED_VALUE"""),0.00219)</f>
        <v>0.00219</v>
      </c>
      <c r="J5446" s="19">
        <f>IFERROR(__xludf.DUMMYFUNCTION("""COMPUTED_VALUE"""),0.04745)</f>
        <v>0.04745</v>
      </c>
      <c r="K5446" s="19" t="str">
        <f>IFERROR(__xludf.DUMMYFUNCTION("""COMPUTED_VALUE"""),"-")</f>
        <v>-</v>
      </c>
      <c r="L5446" s="19" t="str">
        <f>IFERROR(__xludf.DUMMYFUNCTION("""COMPUTED_VALUE"""),"-")</f>
        <v>-</v>
      </c>
      <c r="O5446" s="24">
        <f t="shared" si="4"/>
        <v>0</v>
      </c>
      <c r="P5446" s="24"/>
      <c r="Q5446" s="24">
        <f t="shared" si="6"/>
        <v>0</v>
      </c>
      <c r="R5446" s="24">
        <f t="shared" si="7"/>
        <v>0</v>
      </c>
      <c r="S5446" s="24"/>
      <c r="T5446" s="24"/>
    </row>
    <row r="5447">
      <c r="A5447" s="12" t="s">
        <v>5534</v>
      </c>
      <c r="F5447" s="19">
        <f>IFERROR(__xludf.DUMMYFUNCTION("SPLIT(A5443, "" |"")"),5441.0)</f>
        <v>5441</v>
      </c>
      <c r="G5447" s="19">
        <f>IFERROR(__xludf.DUMMYFUNCTION("""COMPUTED_VALUE"""),0.00238)</f>
        <v>0.00238</v>
      </c>
      <c r="H5447" s="19" t="str">
        <f>IFERROR(__xludf.DUMMYFUNCTION("""COMPUTED_VALUE"""),"-")</f>
        <v>-</v>
      </c>
      <c r="I5447" s="19">
        <f>IFERROR(__xludf.DUMMYFUNCTION("""COMPUTED_VALUE"""),0.00221)</f>
        <v>0.00221</v>
      </c>
      <c r="J5447" s="19">
        <f>IFERROR(__xludf.DUMMYFUNCTION("""COMPUTED_VALUE"""),0.04741)</f>
        <v>0.04741</v>
      </c>
      <c r="K5447" s="19" t="str">
        <f>IFERROR(__xludf.DUMMYFUNCTION("""COMPUTED_VALUE"""),"-")</f>
        <v>-</v>
      </c>
      <c r="L5447" s="19" t="str">
        <f>IFERROR(__xludf.DUMMYFUNCTION("""COMPUTED_VALUE"""),"-")</f>
        <v>-</v>
      </c>
      <c r="O5447" s="24">
        <f t="shared" si="4"/>
        <v>0</v>
      </c>
      <c r="P5447" s="24"/>
      <c r="Q5447" s="24">
        <f t="shared" si="6"/>
        <v>0</v>
      </c>
      <c r="R5447" s="24">
        <f t="shared" si="7"/>
        <v>0</v>
      </c>
      <c r="S5447" s="24"/>
      <c r="T5447" s="24"/>
    </row>
    <row r="5448">
      <c r="A5448" s="12" t="s">
        <v>5535</v>
      </c>
      <c r="F5448" s="19">
        <f>IFERROR(__xludf.DUMMYFUNCTION("SPLIT(A5444, "" |"")"),5442.0)</f>
        <v>5442</v>
      </c>
      <c r="G5448" s="19">
        <f>IFERROR(__xludf.DUMMYFUNCTION("""COMPUTED_VALUE"""),0.00238)</f>
        <v>0.00238</v>
      </c>
      <c r="H5448" s="19" t="str">
        <f>IFERROR(__xludf.DUMMYFUNCTION("""COMPUTED_VALUE"""),"-")</f>
        <v>-</v>
      </c>
      <c r="I5448" s="19">
        <f>IFERROR(__xludf.DUMMYFUNCTION("""COMPUTED_VALUE"""),0.00222)</f>
        <v>0.00222</v>
      </c>
      <c r="J5448" s="19">
        <f>IFERROR(__xludf.DUMMYFUNCTION("""COMPUTED_VALUE"""),0.0474)</f>
        <v>0.0474</v>
      </c>
      <c r="K5448" s="19" t="str">
        <f>IFERROR(__xludf.DUMMYFUNCTION("""COMPUTED_VALUE"""),"-")</f>
        <v>-</v>
      </c>
      <c r="L5448" s="19" t="str">
        <f>IFERROR(__xludf.DUMMYFUNCTION("""COMPUTED_VALUE"""),"-")</f>
        <v>-</v>
      </c>
      <c r="O5448" s="24">
        <f t="shared" si="4"/>
        <v>0</v>
      </c>
      <c r="P5448" s="24"/>
      <c r="Q5448" s="24">
        <f t="shared" si="6"/>
        <v>0</v>
      </c>
      <c r="R5448" s="24">
        <f t="shared" si="7"/>
        <v>0</v>
      </c>
      <c r="S5448" s="24"/>
      <c r="T5448" s="24"/>
    </row>
    <row r="5449">
      <c r="A5449" s="12" t="s">
        <v>5536</v>
      </c>
      <c r="F5449" s="19">
        <f>IFERROR(__xludf.DUMMYFUNCTION("SPLIT(A5445, "" |"")"),5443.0)</f>
        <v>5443</v>
      </c>
      <c r="G5449" s="19">
        <f>IFERROR(__xludf.DUMMYFUNCTION("""COMPUTED_VALUE"""),0.00237)</f>
        <v>0.00237</v>
      </c>
      <c r="H5449" s="19" t="str">
        <f>IFERROR(__xludf.DUMMYFUNCTION("""COMPUTED_VALUE"""),"-")</f>
        <v>-</v>
      </c>
      <c r="I5449" s="19">
        <f>IFERROR(__xludf.DUMMYFUNCTION("""COMPUTED_VALUE"""),0.0022)</f>
        <v>0.0022</v>
      </c>
      <c r="J5449" s="19">
        <f>IFERROR(__xludf.DUMMYFUNCTION("""COMPUTED_VALUE"""),0.0475)</f>
        <v>0.0475</v>
      </c>
      <c r="K5449" s="19" t="str">
        <f>IFERROR(__xludf.DUMMYFUNCTION("""COMPUTED_VALUE"""),"-")</f>
        <v>-</v>
      </c>
      <c r="L5449" s="19" t="str">
        <f>IFERROR(__xludf.DUMMYFUNCTION("""COMPUTED_VALUE"""),"-")</f>
        <v>-</v>
      </c>
      <c r="O5449" s="24">
        <f t="shared" si="4"/>
        <v>0</v>
      </c>
      <c r="P5449" s="24"/>
      <c r="Q5449" s="24">
        <f t="shared" si="6"/>
        <v>0</v>
      </c>
      <c r="R5449" s="24">
        <f t="shared" si="7"/>
        <v>0</v>
      </c>
      <c r="S5449" s="24"/>
      <c r="T5449" s="24"/>
    </row>
    <row r="5450">
      <c r="A5450" s="12" t="s">
        <v>5537</v>
      </c>
      <c r="F5450" s="19">
        <f>IFERROR(__xludf.DUMMYFUNCTION("SPLIT(A5446, "" |"")"),5444.0)</f>
        <v>5444</v>
      </c>
      <c r="G5450" s="19">
        <f>IFERROR(__xludf.DUMMYFUNCTION("""COMPUTED_VALUE"""),0.00232)</f>
        <v>0.00232</v>
      </c>
      <c r="H5450" s="19" t="str">
        <f>IFERROR(__xludf.DUMMYFUNCTION("""COMPUTED_VALUE"""),"-")</f>
        <v>-</v>
      </c>
      <c r="I5450" s="19">
        <f>IFERROR(__xludf.DUMMYFUNCTION("""COMPUTED_VALUE"""),0.00222)</f>
        <v>0.00222</v>
      </c>
      <c r="J5450" s="19">
        <f>IFERROR(__xludf.DUMMYFUNCTION("""COMPUTED_VALUE"""),0.04736)</f>
        <v>0.04736</v>
      </c>
      <c r="K5450" s="19" t="str">
        <f>IFERROR(__xludf.DUMMYFUNCTION("""COMPUTED_VALUE"""),"-")</f>
        <v>-</v>
      </c>
      <c r="L5450" s="19" t="str">
        <f>IFERROR(__xludf.DUMMYFUNCTION("""COMPUTED_VALUE"""),"-")</f>
        <v>-</v>
      </c>
      <c r="O5450" s="24">
        <f t="shared" si="4"/>
        <v>0</v>
      </c>
      <c r="P5450" s="24"/>
      <c r="Q5450" s="24">
        <f t="shared" si="6"/>
        <v>0</v>
      </c>
      <c r="R5450" s="24">
        <f t="shared" si="7"/>
        <v>0</v>
      </c>
      <c r="S5450" s="24"/>
      <c r="T5450" s="24"/>
    </row>
    <row r="5451">
      <c r="A5451" s="12" t="s">
        <v>5538</v>
      </c>
      <c r="F5451" s="19">
        <f>IFERROR(__xludf.DUMMYFUNCTION("SPLIT(A5447, "" |"")"),5445.0)</f>
        <v>5445</v>
      </c>
      <c r="G5451" s="19">
        <f>IFERROR(__xludf.DUMMYFUNCTION("""COMPUTED_VALUE"""),0.00235)</f>
        <v>0.00235</v>
      </c>
      <c r="H5451" s="19" t="str">
        <f>IFERROR(__xludf.DUMMYFUNCTION("""COMPUTED_VALUE"""),"-")</f>
        <v>-</v>
      </c>
      <c r="I5451" s="19">
        <f>IFERROR(__xludf.DUMMYFUNCTION("""COMPUTED_VALUE"""),0.00224)</f>
        <v>0.00224</v>
      </c>
      <c r="J5451" s="19">
        <f>IFERROR(__xludf.DUMMYFUNCTION("""COMPUTED_VALUE"""),0.04387)</f>
        <v>0.04387</v>
      </c>
      <c r="K5451" s="19" t="str">
        <f>IFERROR(__xludf.DUMMYFUNCTION("""COMPUTED_VALUE"""),"-")</f>
        <v>-</v>
      </c>
      <c r="L5451" s="19" t="str">
        <f>IFERROR(__xludf.DUMMYFUNCTION("""COMPUTED_VALUE"""),"-")</f>
        <v>-</v>
      </c>
      <c r="O5451" s="24">
        <f t="shared" si="4"/>
        <v>0</v>
      </c>
      <c r="P5451" s="24"/>
      <c r="Q5451" s="24">
        <f t="shared" si="6"/>
        <v>0</v>
      </c>
      <c r="R5451" s="24">
        <f t="shared" si="7"/>
        <v>1</v>
      </c>
      <c r="S5451" s="24"/>
      <c r="T5451" s="24"/>
    </row>
    <row r="5452">
      <c r="A5452" s="12" t="s">
        <v>5539</v>
      </c>
      <c r="F5452" s="19">
        <f>IFERROR(__xludf.DUMMYFUNCTION("SPLIT(A5448, "" |"")"),5446.0)</f>
        <v>5446</v>
      </c>
      <c r="G5452" s="19">
        <f>IFERROR(__xludf.DUMMYFUNCTION("""COMPUTED_VALUE"""),0.00239)</f>
        <v>0.00239</v>
      </c>
      <c r="H5452" s="19" t="str">
        <f>IFERROR(__xludf.DUMMYFUNCTION("""COMPUTED_VALUE"""),"-")</f>
        <v>-</v>
      </c>
      <c r="I5452" s="19">
        <f>IFERROR(__xludf.DUMMYFUNCTION("""COMPUTED_VALUE"""),0.00213)</f>
        <v>0.00213</v>
      </c>
      <c r="J5452" s="19">
        <f>IFERROR(__xludf.DUMMYFUNCTION("""COMPUTED_VALUE"""),0.04083)</f>
        <v>0.04083</v>
      </c>
      <c r="K5452" s="19" t="str">
        <f>IFERROR(__xludf.DUMMYFUNCTION("""COMPUTED_VALUE"""),"-")</f>
        <v>-</v>
      </c>
      <c r="L5452" s="19" t="str">
        <f>IFERROR(__xludf.DUMMYFUNCTION("""COMPUTED_VALUE"""),"-")</f>
        <v>-</v>
      </c>
      <c r="O5452" s="24">
        <f t="shared" si="4"/>
        <v>0</v>
      </c>
      <c r="P5452" s="24"/>
      <c r="Q5452" s="24">
        <f t="shared" si="6"/>
        <v>0</v>
      </c>
      <c r="R5452" s="24">
        <f t="shared" si="7"/>
        <v>1</v>
      </c>
      <c r="S5452" s="24"/>
      <c r="T5452" s="24"/>
    </row>
    <row r="5453">
      <c r="A5453" s="12" t="s">
        <v>5540</v>
      </c>
      <c r="F5453" s="19">
        <f>IFERROR(__xludf.DUMMYFUNCTION("SPLIT(A5449, "" |"")"),5447.0)</f>
        <v>5447</v>
      </c>
      <c r="G5453" s="19">
        <f>IFERROR(__xludf.DUMMYFUNCTION("""COMPUTED_VALUE"""),0.00233)</f>
        <v>0.00233</v>
      </c>
      <c r="H5453" s="19" t="str">
        <f>IFERROR(__xludf.DUMMYFUNCTION("""COMPUTED_VALUE"""),"-")</f>
        <v>-</v>
      </c>
      <c r="I5453" s="19">
        <f>IFERROR(__xludf.DUMMYFUNCTION("""COMPUTED_VALUE"""),0.00223)</f>
        <v>0.00223</v>
      </c>
      <c r="J5453" s="19">
        <f>IFERROR(__xludf.DUMMYFUNCTION("""COMPUTED_VALUE"""),0.04746)</f>
        <v>0.04746</v>
      </c>
      <c r="K5453" s="19" t="str">
        <f>IFERROR(__xludf.DUMMYFUNCTION("""COMPUTED_VALUE"""),"-")</f>
        <v>-</v>
      </c>
      <c r="L5453" s="19" t="str">
        <f>IFERROR(__xludf.DUMMYFUNCTION("""COMPUTED_VALUE"""),"-")</f>
        <v>-</v>
      </c>
      <c r="O5453" s="24">
        <f t="shared" si="4"/>
        <v>0</v>
      </c>
      <c r="P5453" s="24"/>
      <c r="Q5453" s="24">
        <f t="shared" si="6"/>
        <v>0</v>
      </c>
      <c r="R5453" s="24">
        <f t="shared" si="7"/>
        <v>0</v>
      </c>
      <c r="S5453" s="24"/>
      <c r="T5453" s="24"/>
    </row>
    <row r="5454">
      <c r="A5454" s="12" t="s">
        <v>5541</v>
      </c>
      <c r="F5454" s="19">
        <f>IFERROR(__xludf.DUMMYFUNCTION("SPLIT(A5450, "" |"")"),5448.0)</f>
        <v>5448</v>
      </c>
      <c r="G5454" s="19">
        <f>IFERROR(__xludf.DUMMYFUNCTION("""COMPUTED_VALUE"""),0.00236)</f>
        <v>0.00236</v>
      </c>
      <c r="H5454" s="19" t="str">
        <f>IFERROR(__xludf.DUMMYFUNCTION("""COMPUTED_VALUE"""),"-")</f>
        <v>-</v>
      </c>
      <c r="I5454" s="19">
        <f>IFERROR(__xludf.DUMMYFUNCTION("""COMPUTED_VALUE"""),0.0022)</f>
        <v>0.0022</v>
      </c>
      <c r="J5454" s="19">
        <f>IFERROR(__xludf.DUMMYFUNCTION("""COMPUTED_VALUE"""),0.04567)</f>
        <v>0.04567</v>
      </c>
      <c r="K5454" s="19" t="str">
        <f>IFERROR(__xludf.DUMMYFUNCTION("""COMPUTED_VALUE"""),"-")</f>
        <v>-</v>
      </c>
      <c r="L5454" s="19" t="str">
        <f>IFERROR(__xludf.DUMMYFUNCTION("""COMPUTED_VALUE"""),"-")</f>
        <v>-</v>
      </c>
      <c r="O5454" s="24">
        <f t="shared" si="4"/>
        <v>0</v>
      </c>
      <c r="P5454" s="24"/>
      <c r="Q5454" s="24">
        <f t="shared" si="6"/>
        <v>0</v>
      </c>
      <c r="R5454" s="24">
        <f t="shared" si="7"/>
        <v>0</v>
      </c>
      <c r="S5454" s="24"/>
      <c r="T5454" s="24"/>
    </row>
    <row r="5455">
      <c r="A5455" s="12" t="s">
        <v>5542</v>
      </c>
      <c r="F5455" s="19">
        <f>IFERROR(__xludf.DUMMYFUNCTION("SPLIT(A5451, "" |"")"),5449.0)</f>
        <v>5449</v>
      </c>
      <c r="G5455" s="19">
        <f>IFERROR(__xludf.DUMMYFUNCTION("""COMPUTED_VALUE"""),0.00238)</f>
        <v>0.00238</v>
      </c>
      <c r="H5455" s="19" t="str">
        <f>IFERROR(__xludf.DUMMYFUNCTION("""COMPUTED_VALUE"""),"-")</f>
        <v>-</v>
      </c>
      <c r="I5455" s="19">
        <f>IFERROR(__xludf.DUMMYFUNCTION("""COMPUTED_VALUE"""),0.0022)</f>
        <v>0.0022</v>
      </c>
      <c r="J5455" s="19">
        <f>IFERROR(__xludf.DUMMYFUNCTION("""COMPUTED_VALUE"""),0.04741)</f>
        <v>0.04741</v>
      </c>
      <c r="K5455" s="19" t="str">
        <f>IFERROR(__xludf.DUMMYFUNCTION("""COMPUTED_VALUE"""),"-")</f>
        <v>-</v>
      </c>
      <c r="L5455" s="19" t="str">
        <f>IFERROR(__xludf.DUMMYFUNCTION("""COMPUTED_VALUE"""),"-")</f>
        <v>-</v>
      </c>
      <c r="O5455" s="24">
        <f t="shared" si="4"/>
        <v>0</v>
      </c>
      <c r="P5455" s="24"/>
      <c r="Q5455" s="24">
        <f t="shared" si="6"/>
        <v>0</v>
      </c>
      <c r="R5455" s="24">
        <f t="shared" si="7"/>
        <v>0</v>
      </c>
      <c r="S5455" s="24"/>
      <c r="T5455" s="24"/>
    </row>
    <row r="5456">
      <c r="A5456" s="12" t="s">
        <v>5543</v>
      </c>
      <c r="F5456" s="19">
        <f>IFERROR(__xludf.DUMMYFUNCTION("SPLIT(A5452, "" |"")"),5450.0)</f>
        <v>5450</v>
      </c>
      <c r="G5456" s="19">
        <f>IFERROR(__xludf.DUMMYFUNCTION("""COMPUTED_VALUE"""),0.00226)</f>
        <v>0.00226</v>
      </c>
      <c r="H5456" s="19" t="str">
        <f>IFERROR(__xludf.DUMMYFUNCTION("""COMPUTED_VALUE"""),"-")</f>
        <v>-</v>
      </c>
      <c r="I5456" s="19">
        <f>IFERROR(__xludf.DUMMYFUNCTION("""COMPUTED_VALUE"""),0.0021)</f>
        <v>0.0021</v>
      </c>
      <c r="J5456" s="19">
        <f>IFERROR(__xludf.DUMMYFUNCTION("""COMPUTED_VALUE"""),0.03829)</f>
        <v>0.03829</v>
      </c>
      <c r="K5456" s="19" t="str">
        <f>IFERROR(__xludf.DUMMYFUNCTION("""COMPUTED_VALUE"""),"-")</f>
        <v>-</v>
      </c>
      <c r="L5456" s="19" t="str">
        <f>IFERROR(__xludf.DUMMYFUNCTION("""COMPUTED_VALUE"""),"-")</f>
        <v>-</v>
      </c>
      <c r="O5456" s="24">
        <f t="shared" si="4"/>
        <v>0</v>
      </c>
      <c r="P5456" s="24"/>
      <c r="Q5456" s="24">
        <f t="shared" si="6"/>
        <v>0</v>
      </c>
      <c r="R5456" s="24">
        <f t="shared" si="7"/>
        <v>1</v>
      </c>
      <c r="S5456" s="24"/>
      <c r="T5456" s="24"/>
    </row>
    <row r="5457">
      <c r="A5457" s="12" t="s">
        <v>5544</v>
      </c>
      <c r="F5457" s="19">
        <f>IFERROR(__xludf.DUMMYFUNCTION("SPLIT(A5453, "" |"")"),5451.0)</f>
        <v>5451</v>
      </c>
      <c r="G5457" s="19">
        <f>IFERROR(__xludf.DUMMYFUNCTION("""COMPUTED_VALUE"""),0.0018)</f>
        <v>0.0018</v>
      </c>
      <c r="H5457" s="19" t="str">
        <f>IFERROR(__xludf.DUMMYFUNCTION("""COMPUTED_VALUE"""),"-")</f>
        <v>-</v>
      </c>
      <c r="I5457" s="19">
        <f>IFERROR(__xludf.DUMMYFUNCTION("""COMPUTED_VALUE"""),0.00233)</f>
        <v>0.00233</v>
      </c>
      <c r="J5457" s="19">
        <f>IFERROR(__xludf.DUMMYFUNCTION("""COMPUTED_VALUE"""),0.04748)</f>
        <v>0.04748</v>
      </c>
      <c r="K5457" s="19" t="str">
        <f>IFERROR(__xludf.DUMMYFUNCTION("""COMPUTED_VALUE"""),"-")</f>
        <v>-</v>
      </c>
      <c r="L5457" s="19" t="str">
        <f>IFERROR(__xludf.DUMMYFUNCTION("""COMPUTED_VALUE"""),"-")</f>
        <v>-</v>
      </c>
      <c r="O5457" s="24">
        <f t="shared" si="4"/>
        <v>0</v>
      </c>
      <c r="P5457" s="24"/>
      <c r="Q5457" s="24">
        <f t="shared" si="6"/>
        <v>0</v>
      </c>
      <c r="R5457" s="24">
        <f t="shared" si="7"/>
        <v>0</v>
      </c>
      <c r="S5457" s="24"/>
      <c r="T5457" s="24"/>
    </row>
    <row r="5458">
      <c r="A5458" s="12" t="s">
        <v>5545</v>
      </c>
      <c r="F5458" s="19">
        <f>IFERROR(__xludf.DUMMYFUNCTION("SPLIT(A5454, "" |"")"),5452.0)</f>
        <v>5452</v>
      </c>
      <c r="G5458" s="19">
        <f>IFERROR(__xludf.DUMMYFUNCTION("""COMPUTED_VALUE"""),0.00235)</f>
        <v>0.00235</v>
      </c>
      <c r="H5458" s="19" t="str">
        <f>IFERROR(__xludf.DUMMYFUNCTION("""COMPUTED_VALUE"""),"-")</f>
        <v>-</v>
      </c>
      <c r="I5458" s="19">
        <f>IFERROR(__xludf.DUMMYFUNCTION("""COMPUTED_VALUE"""),0.00222)</f>
        <v>0.00222</v>
      </c>
      <c r="J5458" s="19">
        <f>IFERROR(__xludf.DUMMYFUNCTION("""COMPUTED_VALUE"""),0.04739)</f>
        <v>0.04739</v>
      </c>
      <c r="K5458" s="19" t="str">
        <f>IFERROR(__xludf.DUMMYFUNCTION("""COMPUTED_VALUE"""),"-")</f>
        <v>-</v>
      </c>
      <c r="L5458" s="19" t="str">
        <f>IFERROR(__xludf.DUMMYFUNCTION("""COMPUTED_VALUE"""),"-")</f>
        <v>-</v>
      </c>
      <c r="O5458" s="24">
        <f t="shared" si="4"/>
        <v>0</v>
      </c>
      <c r="P5458" s="24"/>
      <c r="Q5458" s="24">
        <f t="shared" si="6"/>
        <v>0</v>
      </c>
      <c r="R5458" s="24">
        <f t="shared" si="7"/>
        <v>0</v>
      </c>
      <c r="S5458" s="24"/>
      <c r="T5458" s="24"/>
    </row>
    <row r="5459">
      <c r="A5459" s="12" t="s">
        <v>5546</v>
      </c>
      <c r="F5459" s="19">
        <f>IFERROR(__xludf.DUMMYFUNCTION("SPLIT(A5455, "" |"")"),5453.0)</f>
        <v>5453</v>
      </c>
      <c r="G5459" s="19">
        <f>IFERROR(__xludf.DUMMYFUNCTION("""COMPUTED_VALUE"""),0.00235)</f>
        <v>0.00235</v>
      </c>
      <c r="H5459" s="19" t="str">
        <f>IFERROR(__xludf.DUMMYFUNCTION("""COMPUTED_VALUE"""),"-")</f>
        <v>-</v>
      </c>
      <c r="I5459" s="19">
        <f>IFERROR(__xludf.DUMMYFUNCTION("""COMPUTED_VALUE"""),0.00223)</f>
        <v>0.00223</v>
      </c>
      <c r="J5459" s="19">
        <f>IFERROR(__xludf.DUMMYFUNCTION("""COMPUTED_VALUE"""),0.04746)</f>
        <v>0.04746</v>
      </c>
      <c r="K5459" s="19" t="str">
        <f>IFERROR(__xludf.DUMMYFUNCTION("""COMPUTED_VALUE"""),"-")</f>
        <v>-</v>
      </c>
      <c r="L5459" s="19" t="str">
        <f>IFERROR(__xludf.DUMMYFUNCTION("""COMPUTED_VALUE"""),"-")</f>
        <v>-</v>
      </c>
      <c r="O5459" s="24">
        <f t="shared" si="4"/>
        <v>0</v>
      </c>
      <c r="P5459" s="24"/>
      <c r="Q5459" s="24">
        <f t="shared" si="6"/>
        <v>0</v>
      </c>
      <c r="R5459" s="24">
        <f t="shared" si="7"/>
        <v>0</v>
      </c>
      <c r="S5459" s="24"/>
      <c r="T5459" s="24"/>
    </row>
    <row r="5460">
      <c r="A5460" s="12" t="s">
        <v>5547</v>
      </c>
      <c r="F5460" s="19">
        <f>IFERROR(__xludf.DUMMYFUNCTION("SPLIT(A5456, "" |"")"),5454.0)</f>
        <v>5454</v>
      </c>
      <c r="G5460" s="19">
        <f>IFERROR(__xludf.DUMMYFUNCTION("""COMPUTED_VALUE"""),0.00233)</f>
        <v>0.00233</v>
      </c>
      <c r="H5460" s="19" t="str">
        <f>IFERROR(__xludf.DUMMYFUNCTION("""COMPUTED_VALUE"""),"-")</f>
        <v>-</v>
      </c>
      <c r="I5460" s="19">
        <f>IFERROR(__xludf.DUMMYFUNCTION("""COMPUTED_VALUE"""),0.00219)</f>
        <v>0.00219</v>
      </c>
      <c r="J5460" s="19">
        <f>IFERROR(__xludf.DUMMYFUNCTION("""COMPUTED_VALUE"""),0.04738)</f>
        <v>0.04738</v>
      </c>
      <c r="K5460" s="19" t="str">
        <f>IFERROR(__xludf.DUMMYFUNCTION("""COMPUTED_VALUE"""),"-")</f>
        <v>-</v>
      </c>
      <c r="L5460" s="19" t="str">
        <f>IFERROR(__xludf.DUMMYFUNCTION("""COMPUTED_VALUE"""),"-")</f>
        <v>-</v>
      </c>
      <c r="O5460" s="24">
        <f t="shared" si="4"/>
        <v>0</v>
      </c>
      <c r="P5460" s="24"/>
      <c r="Q5460" s="24">
        <f t="shared" si="6"/>
        <v>0</v>
      </c>
      <c r="R5460" s="24">
        <f t="shared" si="7"/>
        <v>0</v>
      </c>
      <c r="S5460" s="24"/>
      <c r="T5460" s="24"/>
    </row>
    <row r="5461">
      <c r="A5461" s="12" t="s">
        <v>5548</v>
      </c>
      <c r="F5461" s="19">
        <f>IFERROR(__xludf.DUMMYFUNCTION("SPLIT(A5457, "" |"")"),5455.0)</f>
        <v>5455</v>
      </c>
      <c r="G5461" s="19">
        <f>IFERROR(__xludf.DUMMYFUNCTION("""COMPUTED_VALUE"""),0.00237)</f>
        <v>0.00237</v>
      </c>
      <c r="H5461" s="19" t="str">
        <f>IFERROR(__xludf.DUMMYFUNCTION("""COMPUTED_VALUE"""),"-")</f>
        <v>-</v>
      </c>
      <c r="I5461" s="19">
        <f>IFERROR(__xludf.DUMMYFUNCTION("""COMPUTED_VALUE"""),0.00223)</f>
        <v>0.00223</v>
      </c>
      <c r="J5461" s="19">
        <f>IFERROR(__xludf.DUMMYFUNCTION("""COMPUTED_VALUE"""),0.04741)</f>
        <v>0.04741</v>
      </c>
      <c r="K5461" s="19" t="str">
        <f>IFERROR(__xludf.DUMMYFUNCTION("""COMPUTED_VALUE"""),"-")</f>
        <v>-</v>
      </c>
      <c r="L5461" s="19" t="str">
        <f>IFERROR(__xludf.DUMMYFUNCTION("""COMPUTED_VALUE"""),"-")</f>
        <v>-</v>
      </c>
      <c r="O5461" s="24">
        <f t="shared" si="4"/>
        <v>0</v>
      </c>
      <c r="P5461" s="24"/>
      <c r="Q5461" s="24">
        <f t="shared" si="6"/>
        <v>0</v>
      </c>
      <c r="R5461" s="24">
        <f t="shared" si="7"/>
        <v>0</v>
      </c>
      <c r="S5461" s="24"/>
      <c r="T5461" s="24"/>
    </row>
    <row r="5462">
      <c r="A5462" s="12" t="s">
        <v>5549</v>
      </c>
      <c r="F5462" s="19">
        <f>IFERROR(__xludf.DUMMYFUNCTION("SPLIT(A5458, "" |"")"),5456.0)</f>
        <v>5456</v>
      </c>
      <c r="G5462" s="19">
        <f>IFERROR(__xludf.DUMMYFUNCTION("""COMPUTED_VALUE"""),0.00236)</f>
        <v>0.00236</v>
      </c>
      <c r="H5462" s="19" t="str">
        <f>IFERROR(__xludf.DUMMYFUNCTION("""COMPUTED_VALUE"""),"-")</f>
        <v>-</v>
      </c>
      <c r="I5462" s="19">
        <f>IFERROR(__xludf.DUMMYFUNCTION("""COMPUTED_VALUE"""),0.00223)</f>
        <v>0.00223</v>
      </c>
      <c r="J5462" s="19">
        <f>IFERROR(__xludf.DUMMYFUNCTION("""COMPUTED_VALUE"""),0.04746)</f>
        <v>0.04746</v>
      </c>
      <c r="K5462" s="19" t="str">
        <f>IFERROR(__xludf.DUMMYFUNCTION("""COMPUTED_VALUE"""),"-")</f>
        <v>-</v>
      </c>
      <c r="L5462" s="19" t="str">
        <f>IFERROR(__xludf.DUMMYFUNCTION("""COMPUTED_VALUE"""),"-")</f>
        <v>-</v>
      </c>
      <c r="O5462" s="24">
        <f t="shared" si="4"/>
        <v>0</v>
      </c>
      <c r="P5462" s="24"/>
      <c r="Q5462" s="24">
        <f t="shared" si="6"/>
        <v>0</v>
      </c>
      <c r="R5462" s="24">
        <f t="shared" si="7"/>
        <v>0</v>
      </c>
      <c r="S5462" s="24"/>
      <c r="T5462" s="24"/>
    </row>
    <row r="5463">
      <c r="A5463" s="12" t="s">
        <v>5550</v>
      </c>
      <c r="F5463" s="19">
        <f>IFERROR(__xludf.DUMMYFUNCTION("SPLIT(A5459, "" |"")"),5457.0)</f>
        <v>5457</v>
      </c>
      <c r="G5463" s="19">
        <f>IFERROR(__xludf.DUMMYFUNCTION("""COMPUTED_VALUE"""),0.00234)</f>
        <v>0.00234</v>
      </c>
      <c r="H5463" s="19" t="str">
        <f>IFERROR(__xludf.DUMMYFUNCTION("""COMPUTED_VALUE"""),"-")</f>
        <v>-</v>
      </c>
      <c r="I5463" s="19">
        <f>IFERROR(__xludf.DUMMYFUNCTION("""COMPUTED_VALUE"""),0.00223)</f>
        <v>0.00223</v>
      </c>
      <c r="J5463" s="19">
        <f>IFERROR(__xludf.DUMMYFUNCTION("""COMPUTED_VALUE"""),0.04736)</f>
        <v>0.04736</v>
      </c>
      <c r="K5463" s="19" t="str">
        <f>IFERROR(__xludf.DUMMYFUNCTION("""COMPUTED_VALUE"""),"-")</f>
        <v>-</v>
      </c>
      <c r="L5463" s="19" t="str">
        <f>IFERROR(__xludf.DUMMYFUNCTION("""COMPUTED_VALUE"""),"-")</f>
        <v>-</v>
      </c>
      <c r="O5463" s="24">
        <f t="shared" si="4"/>
        <v>0</v>
      </c>
      <c r="P5463" s="24"/>
      <c r="Q5463" s="24">
        <f t="shared" si="6"/>
        <v>0</v>
      </c>
      <c r="R5463" s="24">
        <f t="shared" si="7"/>
        <v>0</v>
      </c>
      <c r="S5463" s="24"/>
      <c r="T5463" s="24"/>
    </row>
    <row r="5464">
      <c r="A5464" s="12" t="s">
        <v>5551</v>
      </c>
      <c r="F5464" s="19">
        <f>IFERROR(__xludf.DUMMYFUNCTION("SPLIT(A5460, "" |"")"),5458.0)</f>
        <v>5458</v>
      </c>
      <c r="G5464" s="19">
        <f>IFERROR(__xludf.DUMMYFUNCTION("""COMPUTED_VALUE"""),0.00239)</f>
        <v>0.00239</v>
      </c>
      <c r="H5464" s="19" t="str">
        <f>IFERROR(__xludf.DUMMYFUNCTION("""COMPUTED_VALUE"""),"-")</f>
        <v>-</v>
      </c>
      <c r="I5464" s="19">
        <f>IFERROR(__xludf.DUMMYFUNCTION("""COMPUTED_VALUE"""),0.00212)</f>
        <v>0.00212</v>
      </c>
      <c r="J5464" s="19">
        <f>IFERROR(__xludf.DUMMYFUNCTION("""COMPUTED_VALUE"""),0.04736)</f>
        <v>0.04736</v>
      </c>
      <c r="K5464" s="19" t="str">
        <f>IFERROR(__xludf.DUMMYFUNCTION("""COMPUTED_VALUE"""),"-")</f>
        <v>-</v>
      </c>
      <c r="L5464" s="19" t="str">
        <f>IFERROR(__xludf.DUMMYFUNCTION("""COMPUTED_VALUE"""),"-")</f>
        <v>-</v>
      </c>
      <c r="O5464" s="24">
        <f t="shared" si="4"/>
        <v>0</v>
      </c>
      <c r="P5464" s="24"/>
      <c r="Q5464" s="24">
        <f t="shared" si="6"/>
        <v>0</v>
      </c>
      <c r="R5464" s="24">
        <f t="shared" si="7"/>
        <v>0</v>
      </c>
      <c r="S5464" s="24"/>
      <c r="T5464" s="24"/>
    </row>
    <row r="5465">
      <c r="A5465" s="12" t="s">
        <v>5552</v>
      </c>
      <c r="F5465" s="19">
        <f>IFERROR(__xludf.DUMMYFUNCTION("SPLIT(A5461, "" |"")"),5459.0)</f>
        <v>5459</v>
      </c>
      <c r="G5465" s="19">
        <f>IFERROR(__xludf.DUMMYFUNCTION("""COMPUTED_VALUE"""),0.00233)</f>
        <v>0.00233</v>
      </c>
      <c r="H5465" s="19" t="str">
        <f>IFERROR(__xludf.DUMMYFUNCTION("""COMPUTED_VALUE"""),"-")</f>
        <v>-</v>
      </c>
      <c r="I5465" s="19">
        <f>IFERROR(__xludf.DUMMYFUNCTION("""COMPUTED_VALUE"""),0.0022)</f>
        <v>0.0022</v>
      </c>
      <c r="J5465" s="19">
        <f>IFERROR(__xludf.DUMMYFUNCTION("""COMPUTED_VALUE"""),0.04599)</f>
        <v>0.04599</v>
      </c>
      <c r="K5465" s="19" t="str">
        <f>IFERROR(__xludf.DUMMYFUNCTION("""COMPUTED_VALUE"""),"-")</f>
        <v>-</v>
      </c>
      <c r="L5465" s="19" t="str">
        <f>IFERROR(__xludf.DUMMYFUNCTION("""COMPUTED_VALUE"""),"-")</f>
        <v>-</v>
      </c>
      <c r="O5465" s="24">
        <f t="shared" si="4"/>
        <v>0</v>
      </c>
      <c r="P5465" s="24"/>
      <c r="Q5465" s="24">
        <f t="shared" si="6"/>
        <v>0</v>
      </c>
      <c r="R5465" s="24">
        <f t="shared" si="7"/>
        <v>0</v>
      </c>
      <c r="S5465" s="24"/>
      <c r="T5465" s="24"/>
    </row>
    <row r="5466">
      <c r="A5466" s="12" t="s">
        <v>5553</v>
      </c>
      <c r="F5466" s="19">
        <f>IFERROR(__xludf.DUMMYFUNCTION("SPLIT(A5462, "" |"")"),5460.0)</f>
        <v>5460</v>
      </c>
      <c r="G5466" s="19">
        <f>IFERROR(__xludf.DUMMYFUNCTION("""COMPUTED_VALUE"""),0.00239)</f>
        <v>0.00239</v>
      </c>
      <c r="H5466" s="19" t="str">
        <f>IFERROR(__xludf.DUMMYFUNCTION("""COMPUTED_VALUE"""),"-")</f>
        <v>-</v>
      </c>
      <c r="I5466" s="19">
        <f>IFERROR(__xludf.DUMMYFUNCTION("""COMPUTED_VALUE"""),0.00223)</f>
        <v>0.00223</v>
      </c>
      <c r="J5466" s="19">
        <f>IFERROR(__xludf.DUMMYFUNCTION("""COMPUTED_VALUE"""),0.04745)</f>
        <v>0.04745</v>
      </c>
      <c r="K5466" s="19" t="str">
        <f>IFERROR(__xludf.DUMMYFUNCTION("""COMPUTED_VALUE"""),"-")</f>
        <v>-</v>
      </c>
      <c r="L5466" s="19" t="str">
        <f>IFERROR(__xludf.DUMMYFUNCTION("""COMPUTED_VALUE"""),"-")</f>
        <v>-</v>
      </c>
      <c r="O5466" s="24">
        <f t="shared" si="4"/>
        <v>0</v>
      </c>
      <c r="P5466" s="24"/>
      <c r="Q5466" s="24">
        <f t="shared" si="6"/>
        <v>0</v>
      </c>
      <c r="R5466" s="24">
        <f t="shared" si="7"/>
        <v>0</v>
      </c>
      <c r="S5466" s="24"/>
      <c r="T5466" s="24"/>
    </row>
    <row r="5467">
      <c r="A5467" s="12" t="s">
        <v>5554</v>
      </c>
      <c r="F5467" s="19">
        <f>IFERROR(__xludf.DUMMYFUNCTION("SPLIT(A5463, "" |"")"),5461.0)</f>
        <v>5461</v>
      </c>
      <c r="G5467" s="19">
        <f>IFERROR(__xludf.DUMMYFUNCTION("""COMPUTED_VALUE"""),0.00236)</f>
        <v>0.00236</v>
      </c>
      <c r="H5467" s="19" t="str">
        <f>IFERROR(__xludf.DUMMYFUNCTION("""COMPUTED_VALUE"""),"-")</f>
        <v>-</v>
      </c>
      <c r="I5467" s="19">
        <f>IFERROR(__xludf.DUMMYFUNCTION("""COMPUTED_VALUE"""),0.00223)</f>
        <v>0.00223</v>
      </c>
      <c r="J5467" s="19">
        <f>IFERROR(__xludf.DUMMYFUNCTION("""COMPUTED_VALUE"""),0.04748)</f>
        <v>0.04748</v>
      </c>
      <c r="K5467" s="19" t="str">
        <f>IFERROR(__xludf.DUMMYFUNCTION("""COMPUTED_VALUE"""),"-")</f>
        <v>-</v>
      </c>
      <c r="L5467" s="19" t="str">
        <f>IFERROR(__xludf.DUMMYFUNCTION("""COMPUTED_VALUE"""),"-")</f>
        <v>-</v>
      </c>
      <c r="O5467" s="24">
        <f t="shared" si="4"/>
        <v>0</v>
      </c>
      <c r="P5467" s="24"/>
      <c r="Q5467" s="24">
        <f t="shared" si="6"/>
        <v>0</v>
      </c>
      <c r="R5467" s="24">
        <f t="shared" si="7"/>
        <v>0</v>
      </c>
      <c r="S5467" s="24"/>
      <c r="T5467" s="24"/>
    </row>
    <row r="5468">
      <c r="A5468" s="12" t="s">
        <v>5555</v>
      </c>
      <c r="F5468" s="19">
        <f>IFERROR(__xludf.DUMMYFUNCTION("SPLIT(A5464, "" |"")"),5462.0)</f>
        <v>5462</v>
      </c>
      <c r="G5468" s="19">
        <f>IFERROR(__xludf.DUMMYFUNCTION("""COMPUTED_VALUE"""),0.00236)</f>
        <v>0.00236</v>
      </c>
      <c r="H5468" s="19" t="str">
        <f>IFERROR(__xludf.DUMMYFUNCTION("""COMPUTED_VALUE"""),"-")</f>
        <v>-</v>
      </c>
      <c r="I5468" s="19">
        <f>IFERROR(__xludf.DUMMYFUNCTION("""COMPUTED_VALUE"""),0.0022)</f>
        <v>0.0022</v>
      </c>
      <c r="J5468" s="19">
        <f>IFERROR(__xludf.DUMMYFUNCTION("""COMPUTED_VALUE"""),0.04744)</f>
        <v>0.04744</v>
      </c>
      <c r="K5468" s="19" t="str">
        <f>IFERROR(__xludf.DUMMYFUNCTION("""COMPUTED_VALUE"""),"-")</f>
        <v>-</v>
      </c>
      <c r="L5468" s="19" t="str">
        <f>IFERROR(__xludf.DUMMYFUNCTION("""COMPUTED_VALUE"""),"-")</f>
        <v>-</v>
      </c>
      <c r="O5468" s="24">
        <f t="shared" si="4"/>
        <v>0</v>
      </c>
      <c r="P5468" s="24"/>
      <c r="Q5468" s="24">
        <f t="shared" si="6"/>
        <v>0</v>
      </c>
      <c r="R5468" s="24">
        <f t="shared" si="7"/>
        <v>0</v>
      </c>
      <c r="S5468" s="24"/>
      <c r="T5468" s="24"/>
    </row>
    <row r="5469">
      <c r="A5469" s="12" t="s">
        <v>5556</v>
      </c>
      <c r="F5469" s="19">
        <f>IFERROR(__xludf.DUMMYFUNCTION("SPLIT(A5465, "" |"")"),5463.0)</f>
        <v>5463</v>
      </c>
      <c r="G5469" s="19">
        <f>IFERROR(__xludf.DUMMYFUNCTION("""COMPUTED_VALUE"""),0.00236)</f>
        <v>0.00236</v>
      </c>
      <c r="H5469" s="19" t="str">
        <f>IFERROR(__xludf.DUMMYFUNCTION("""COMPUTED_VALUE"""),"-")</f>
        <v>-</v>
      </c>
      <c r="I5469" s="19">
        <f>IFERROR(__xludf.DUMMYFUNCTION("""COMPUTED_VALUE"""),0.00221)</f>
        <v>0.00221</v>
      </c>
      <c r="J5469" s="19">
        <f>IFERROR(__xludf.DUMMYFUNCTION("""COMPUTED_VALUE"""),0.04745)</f>
        <v>0.04745</v>
      </c>
      <c r="K5469" s="19" t="str">
        <f>IFERROR(__xludf.DUMMYFUNCTION("""COMPUTED_VALUE"""),"-")</f>
        <v>-</v>
      </c>
      <c r="L5469" s="19" t="str">
        <f>IFERROR(__xludf.DUMMYFUNCTION("""COMPUTED_VALUE"""),"-")</f>
        <v>-</v>
      </c>
      <c r="O5469" s="24">
        <f t="shared" si="4"/>
        <v>0</v>
      </c>
      <c r="P5469" s="24"/>
      <c r="Q5469" s="24">
        <f t="shared" si="6"/>
        <v>0</v>
      </c>
      <c r="R5469" s="24">
        <f t="shared" si="7"/>
        <v>0</v>
      </c>
      <c r="S5469" s="24"/>
      <c r="T5469" s="24"/>
    </row>
    <row r="5470">
      <c r="A5470" s="12" t="s">
        <v>5557</v>
      </c>
      <c r="F5470" s="19">
        <f>IFERROR(__xludf.DUMMYFUNCTION("SPLIT(A5466, "" |"")"),5464.0)</f>
        <v>5464</v>
      </c>
      <c r="G5470" s="19">
        <f>IFERROR(__xludf.DUMMYFUNCTION("""COMPUTED_VALUE"""),0.00234)</f>
        <v>0.00234</v>
      </c>
      <c r="H5470" s="19" t="str">
        <f>IFERROR(__xludf.DUMMYFUNCTION("""COMPUTED_VALUE"""),"-")</f>
        <v>-</v>
      </c>
      <c r="I5470" s="19">
        <f>IFERROR(__xludf.DUMMYFUNCTION("""COMPUTED_VALUE"""),0.00221)</f>
        <v>0.00221</v>
      </c>
      <c r="J5470" s="19">
        <f>IFERROR(__xludf.DUMMYFUNCTION("""COMPUTED_VALUE"""),0.04734)</f>
        <v>0.04734</v>
      </c>
      <c r="K5470" s="19" t="str">
        <f>IFERROR(__xludf.DUMMYFUNCTION("""COMPUTED_VALUE"""),"-")</f>
        <v>-</v>
      </c>
      <c r="L5470" s="19" t="str">
        <f>IFERROR(__xludf.DUMMYFUNCTION("""COMPUTED_VALUE"""),"-")</f>
        <v>-</v>
      </c>
      <c r="O5470" s="24">
        <f t="shared" si="4"/>
        <v>0</v>
      </c>
      <c r="P5470" s="24"/>
      <c r="Q5470" s="24">
        <f t="shared" si="6"/>
        <v>0</v>
      </c>
      <c r="R5470" s="24">
        <f t="shared" si="7"/>
        <v>0</v>
      </c>
      <c r="S5470" s="24"/>
      <c r="T5470" s="24"/>
    </row>
    <row r="5471">
      <c r="A5471" s="12" t="s">
        <v>5558</v>
      </c>
      <c r="F5471" s="19">
        <f>IFERROR(__xludf.DUMMYFUNCTION("SPLIT(A5467, "" |"")"),5465.0)</f>
        <v>5465</v>
      </c>
      <c r="G5471" s="19">
        <f>IFERROR(__xludf.DUMMYFUNCTION("""COMPUTED_VALUE"""),0.00246)</f>
        <v>0.00246</v>
      </c>
      <c r="H5471" s="19" t="str">
        <f>IFERROR(__xludf.DUMMYFUNCTION("""COMPUTED_VALUE"""),"-")</f>
        <v>-</v>
      </c>
      <c r="I5471" s="19">
        <f>IFERROR(__xludf.DUMMYFUNCTION("""COMPUTED_VALUE"""),0.00228)</f>
        <v>0.00228</v>
      </c>
      <c r="J5471" s="19">
        <f>IFERROR(__xludf.DUMMYFUNCTION("""COMPUTED_VALUE"""),0.04753)</f>
        <v>0.04753</v>
      </c>
      <c r="K5471" s="19" t="str">
        <f>IFERROR(__xludf.DUMMYFUNCTION("""COMPUTED_VALUE"""),"-")</f>
        <v>-</v>
      </c>
      <c r="L5471" s="19" t="str">
        <f>IFERROR(__xludf.DUMMYFUNCTION("""COMPUTED_VALUE"""),"-")</f>
        <v>-</v>
      </c>
      <c r="O5471" s="24">
        <f t="shared" si="4"/>
        <v>0</v>
      </c>
      <c r="P5471" s="24"/>
      <c r="Q5471" s="24">
        <f t="shared" si="6"/>
        <v>0</v>
      </c>
      <c r="R5471" s="24">
        <f t="shared" si="7"/>
        <v>0</v>
      </c>
      <c r="S5471" s="24"/>
      <c r="T5471" s="24"/>
    </row>
    <row r="5472">
      <c r="A5472" s="12" t="s">
        <v>5559</v>
      </c>
      <c r="F5472" s="19">
        <f>IFERROR(__xludf.DUMMYFUNCTION("SPLIT(A5468, "" |"")"),5466.0)</f>
        <v>5466</v>
      </c>
      <c r="G5472" s="19">
        <f>IFERROR(__xludf.DUMMYFUNCTION("""COMPUTED_VALUE"""),0.00239)</f>
        <v>0.00239</v>
      </c>
      <c r="H5472" s="19" t="str">
        <f>IFERROR(__xludf.DUMMYFUNCTION("""COMPUTED_VALUE"""),"-")</f>
        <v>-</v>
      </c>
      <c r="I5472" s="19">
        <f>IFERROR(__xludf.DUMMYFUNCTION("""COMPUTED_VALUE"""),0.00219)</f>
        <v>0.00219</v>
      </c>
      <c r="J5472" s="19">
        <f>IFERROR(__xludf.DUMMYFUNCTION("""COMPUTED_VALUE"""),0.04739)</f>
        <v>0.04739</v>
      </c>
      <c r="K5472" s="19" t="str">
        <f>IFERROR(__xludf.DUMMYFUNCTION("""COMPUTED_VALUE"""),"-")</f>
        <v>-</v>
      </c>
      <c r="L5472" s="19" t="str">
        <f>IFERROR(__xludf.DUMMYFUNCTION("""COMPUTED_VALUE"""),"-")</f>
        <v>-</v>
      </c>
      <c r="O5472" s="24">
        <f t="shared" si="4"/>
        <v>0</v>
      </c>
      <c r="P5472" s="24"/>
      <c r="Q5472" s="24">
        <f t="shared" si="6"/>
        <v>0</v>
      </c>
      <c r="R5472" s="24">
        <f t="shared" si="7"/>
        <v>0</v>
      </c>
      <c r="S5472" s="24"/>
      <c r="T5472" s="24"/>
    </row>
    <row r="5473">
      <c r="A5473" s="12" t="s">
        <v>5560</v>
      </c>
      <c r="F5473" s="19">
        <f>IFERROR(__xludf.DUMMYFUNCTION("SPLIT(A5469, "" |"")"),5467.0)</f>
        <v>5467</v>
      </c>
      <c r="G5473" s="19">
        <f>IFERROR(__xludf.DUMMYFUNCTION("""COMPUTED_VALUE"""),0.0024)</f>
        <v>0.0024</v>
      </c>
      <c r="H5473" s="19" t="str">
        <f>IFERROR(__xludf.DUMMYFUNCTION("""COMPUTED_VALUE"""),"-")</f>
        <v>-</v>
      </c>
      <c r="I5473" s="19">
        <f>IFERROR(__xludf.DUMMYFUNCTION("""COMPUTED_VALUE"""),0.00222)</f>
        <v>0.00222</v>
      </c>
      <c r="J5473" s="19">
        <f>IFERROR(__xludf.DUMMYFUNCTION("""COMPUTED_VALUE"""),0.0447)</f>
        <v>0.0447</v>
      </c>
      <c r="K5473" s="19" t="str">
        <f>IFERROR(__xludf.DUMMYFUNCTION("""COMPUTED_VALUE"""),"-")</f>
        <v>-</v>
      </c>
      <c r="L5473" s="19" t="str">
        <f>IFERROR(__xludf.DUMMYFUNCTION("""COMPUTED_VALUE"""),"-")</f>
        <v>-</v>
      </c>
      <c r="O5473" s="24">
        <f t="shared" si="4"/>
        <v>0</v>
      </c>
      <c r="P5473" s="24"/>
      <c r="Q5473" s="24">
        <f t="shared" si="6"/>
        <v>0</v>
      </c>
      <c r="R5473" s="24">
        <f t="shared" si="7"/>
        <v>1</v>
      </c>
      <c r="S5473" s="24"/>
      <c r="T5473" s="24"/>
    </row>
    <row r="5474">
      <c r="A5474" s="12" t="s">
        <v>5561</v>
      </c>
      <c r="F5474" s="19">
        <f>IFERROR(__xludf.DUMMYFUNCTION("SPLIT(A5470, "" |"")"),5468.0)</f>
        <v>5468</v>
      </c>
      <c r="G5474" s="19">
        <f>IFERROR(__xludf.DUMMYFUNCTION("""COMPUTED_VALUE"""),0.00231)</f>
        <v>0.00231</v>
      </c>
      <c r="H5474" s="19" t="str">
        <f>IFERROR(__xludf.DUMMYFUNCTION("""COMPUTED_VALUE"""),"-")</f>
        <v>-</v>
      </c>
      <c r="I5474" s="19">
        <f>IFERROR(__xludf.DUMMYFUNCTION("""COMPUTED_VALUE"""),0.00221)</f>
        <v>0.00221</v>
      </c>
      <c r="J5474" s="19">
        <f>IFERROR(__xludf.DUMMYFUNCTION("""COMPUTED_VALUE"""),0.04047)</f>
        <v>0.04047</v>
      </c>
      <c r="K5474" s="19" t="str">
        <f>IFERROR(__xludf.DUMMYFUNCTION("""COMPUTED_VALUE"""),"-")</f>
        <v>-</v>
      </c>
      <c r="L5474" s="19" t="str">
        <f>IFERROR(__xludf.DUMMYFUNCTION("""COMPUTED_VALUE"""),"-")</f>
        <v>-</v>
      </c>
      <c r="O5474" s="24">
        <f t="shared" si="4"/>
        <v>0</v>
      </c>
      <c r="P5474" s="24"/>
      <c r="Q5474" s="24">
        <f t="shared" si="6"/>
        <v>0</v>
      </c>
      <c r="R5474" s="24">
        <f t="shared" si="7"/>
        <v>1</v>
      </c>
      <c r="S5474" s="24"/>
      <c r="T5474" s="24"/>
    </row>
    <row r="5475">
      <c r="A5475" s="12" t="s">
        <v>5562</v>
      </c>
      <c r="F5475" s="19">
        <f>IFERROR(__xludf.DUMMYFUNCTION("SPLIT(A5471, "" |"")"),5469.0)</f>
        <v>5469</v>
      </c>
      <c r="G5475" s="19">
        <f>IFERROR(__xludf.DUMMYFUNCTION("""COMPUTED_VALUE"""),0.00228)</f>
        <v>0.00228</v>
      </c>
      <c r="H5475" s="19" t="str">
        <f>IFERROR(__xludf.DUMMYFUNCTION("""COMPUTED_VALUE"""),"-")</f>
        <v>-</v>
      </c>
      <c r="I5475" s="19">
        <f>IFERROR(__xludf.DUMMYFUNCTION("""COMPUTED_VALUE"""),0.00219)</f>
        <v>0.00219</v>
      </c>
      <c r="J5475" s="19">
        <f>IFERROR(__xludf.DUMMYFUNCTION("""COMPUTED_VALUE"""),0.04743)</f>
        <v>0.04743</v>
      </c>
      <c r="K5475" s="19" t="str">
        <f>IFERROR(__xludf.DUMMYFUNCTION("""COMPUTED_VALUE"""),"-")</f>
        <v>-</v>
      </c>
      <c r="L5475" s="19" t="str">
        <f>IFERROR(__xludf.DUMMYFUNCTION("""COMPUTED_VALUE"""),"-")</f>
        <v>-</v>
      </c>
      <c r="O5475" s="24">
        <f t="shared" si="4"/>
        <v>0</v>
      </c>
      <c r="P5475" s="24"/>
      <c r="Q5475" s="24">
        <f t="shared" si="6"/>
        <v>0</v>
      </c>
      <c r="R5475" s="24">
        <f t="shared" si="7"/>
        <v>0</v>
      </c>
      <c r="S5475" s="24"/>
      <c r="T5475" s="24"/>
    </row>
    <row r="5476">
      <c r="A5476" s="12" t="s">
        <v>5563</v>
      </c>
      <c r="F5476" s="19">
        <f>IFERROR(__xludf.DUMMYFUNCTION("SPLIT(A5472, "" |"")"),5470.0)</f>
        <v>5470</v>
      </c>
      <c r="G5476" s="19">
        <f>IFERROR(__xludf.DUMMYFUNCTION("""COMPUTED_VALUE"""),0.00237)</f>
        <v>0.00237</v>
      </c>
      <c r="H5476" s="19" t="str">
        <f>IFERROR(__xludf.DUMMYFUNCTION("""COMPUTED_VALUE"""),"-")</f>
        <v>-</v>
      </c>
      <c r="I5476" s="19">
        <f>IFERROR(__xludf.DUMMYFUNCTION("""COMPUTED_VALUE"""),0.00225)</f>
        <v>0.00225</v>
      </c>
      <c r="J5476" s="19">
        <f>IFERROR(__xludf.DUMMYFUNCTION("""COMPUTED_VALUE"""),0.04745)</f>
        <v>0.04745</v>
      </c>
      <c r="K5476" s="19" t="str">
        <f>IFERROR(__xludf.DUMMYFUNCTION("""COMPUTED_VALUE"""),"-")</f>
        <v>-</v>
      </c>
      <c r="L5476" s="19" t="str">
        <f>IFERROR(__xludf.DUMMYFUNCTION("""COMPUTED_VALUE"""),"-")</f>
        <v>-</v>
      </c>
      <c r="O5476" s="24">
        <f t="shared" si="4"/>
        <v>0</v>
      </c>
      <c r="P5476" s="24"/>
      <c r="Q5476" s="24">
        <f t="shared" si="6"/>
        <v>0</v>
      </c>
      <c r="R5476" s="24">
        <f t="shared" si="7"/>
        <v>0</v>
      </c>
      <c r="S5476" s="24"/>
      <c r="T5476" s="24"/>
    </row>
    <row r="5477">
      <c r="A5477" s="12" t="s">
        <v>5564</v>
      </c>
      <c r="F5477" s="19">
        <f>IFERROR(__xludf.DUMMYFUNCTION("SPLIT(A5473, "" |"")"),5471.0)</f>
        <v>5471</v>
      </c>
      <c r="G5477" s="19">
        <f>IFERROR(__xludf.DUMMYFUNCTION("""COMPUTED_VALUE"""),0.00234)</f>
        <v>0.00234</v>
      </c>
      <c r="H5477" s="19" t="str">
        <f>IFERROR(__xludf.DUMMYFUNCTION("""COMPUTED_VALUE"""),"-")</f>
        <v>-</v>
      </c>
      <c r="I5477" s="19">
        <f>IFERROR(__xludf.DUMMYFUNCTION("""COMPUTED_VALUE"""),0.00225)</f>
        <v>0.00225</v>
      </c>
      <c r="J5477" s="19">
        <f>IFERROR(__xludf.DUMMYFUNCTION("""COMPUTED_VALUE"""),0.04744)</f>
        <v>0.04744</v>
      </c>
      <c r="K5477" s="19" t="str">
        <f>IFERROR(__xludf.DUMMYFUNCTION("""COMPUTED_VALUE"""),"-")</f>
        <v>-</v>
      </c>
      <c r="L5477" s="19" t="str">
        <f>IFERROR(__xludf.DUMMYFUNCTION("""COMPUTED_VALUE"""),"-")</f>
        <v>-</v>
      </c>
      <c r="O5477" s="24">
        <f t="shared" si="4"/>
        <v>0</v>
      </c>
      <c r="P5477" s="24"/>
      <c r="Q5477" s="24">
        <f t="shared" si="6"/>
        <v>0</v>
      </c>
      <c r="R5477" s="24">
        <f t="shared" si="7"/>
        <v>0</v>
      </c>
      <c r="S5477" s="24"/>
      <c r="T5477" s="24"/>
    </row>
    <row r="5478">
      <c r="A5478" s="12" t="s">
        <v>5565</v>
      </c>
      <c r="F5478" s="19">
        <f>IFERROR(__xludf.DUMMYFUNCTION("SPLIT(A5474, "" |"")"),5472.0)</f>
        <v>5472</v>
      </c>
      <c r="G5478" s="19">
        <f>IFERROR(__xludf.DUMMYFUNCTION("""COMPUTED_VALUE"""),0.00235)</f>
        <v>0.00235</v>
      </c>
      <c r="H5478" s="19" t="str">
        <f>IFERROR(__xludf.DUMMYFUNCTION("""COMPUTED_VALUE"""),"-")</f>
        <v>-</v>
      </c>
      <c r="I5478" s="19">
        <f>IFERROR(__xludf.DUMMYFUNCTION("""COMPUTED_VALUE"""),0.00222)</f>
        <v>0.00222</v>
      </c>
      <c r="J5478" s="19">
        <f>IFERROR(__xludf.DUMMYFUNCTION("""COMPUTED_VALUE"""),0.04739)</f>
        <v>0.04739</v>
      </c>
      <c r="K5478" s="19" t="str">
        <f>IFERROR(__xludf.DUMMYFUNCTION("""COMPUTED_VALUE"""),"-")</f>
        <v>-</v>
      </c>
      <c r="L5478" s="19" t="str">
        <f>IFERROR(__xludf.DUMMYFUNCTION("""COMPUTED_VALUE"""),"-")</f>
        <v>-</v>
      </c>
      <c r="O5478" s="24">
        <f t="shared" si="4"/>
        <v>0</v>
      </c>
      <c r="P5478" s="24"/>
      <c r="Q5478" s="24">
        <f t="shared" si="6"/>
        <v>0</v>
      </c>
      <c r="R5478" s="24">
        <f t="shared" si="7"/>
        <v>0</v>
      </c>
      <c r="S5478" s="24"/>
      <c r="T5478" s="24"/>
    </row>
    <row r="5479">
      <c r="A5479" s="12" t="s">
        <v>5566</v>
      </c>
      <c r="F5479" s="19">
        <f>IFERROR(__xludf.DUMMYFUNCTION("SPLIT(A5475, "" |"")"),5473.0)</f>
        <v>5473</v>
      </c>
      <c r="G5479" s="19">
        <f>IFERROR(__xludf.DUMMYFUNCTION("""COMPUTED_VALUE"""),0.00235)</f>
        <v>0.00235</v>
      </c>
      <c r="H5479" s="19" t="str">
        <f>IFERROR(__xludf.DUMMYFUNCTION("""COMPUTED_VALUE"""),"-")</f>
        <v>-</v>
      </c>
      <c r="I5479" s="19">
        <f>IFERROR(__xludf.DUMMYFUNCTION("""COMPUTED_VALUE"""),0.00221)</f>
        <v>0.00221</v>
      </c>
      <c r="J5479" s="19">
        <f>IFERROR(__xludf.DUMMYFUNCTION("""COMPUTED_VALUE"""),0.04009)</f>
        <v>0.04009</v>
      </c>
      <c r="K5479" s="19" t="str">
        <f>IFERROR(__xludf.DUMMYFUNCTION("""COMPUTED_VALUE"""),"-")</f>
        <v>-</v>
      </c>
      <c r="L5479" s="19" t="str">
        <f>IFERROR(__xludf.DUMMYFUNCTION("""COMPUTED_VALUE"""),"-")</f>
        <v>-</v>
      </c>
      <c r="O5479" s="24">
        <f t="shared" si="4"/>
        <v>0</v>
      </c>
      <c r="P5479" s="24"/>
      <c r="Q5479" s="24">
        <f t="shared" si="6"/>
        <v>0</v>
      </c>
      <c r="R5479" s="24">
        <f t="shared" si="7"/>
        <v>1</v>
      </c>
      <c r="S5479" s="24"/>
      <c r="T5479" s="24"/>
    </row>
    <row r="5480">
      <c r="A5480" s="12" t="s">
        <v>5567</v>
      </c>
      <c r="F5480" s="19">
        <f>IFERROR(__xludf.DUMMYFUNCTION("SPLIT(A5476, "" |"")"),5474.0)</f>
        <v>5474</v>
      </c>
      <c r="G5480" s="19">
        <f>IFERROR(__xludf.DUMMYFUNCTION("""COMPUTED_VALUE"""),0.00235)</f>
        <v>0.00235</v>
      </c>
      <c r="H5480" s="19" t="str">
        <f>IFERROR(__xludf.DUMMYFUNCTION("""COMPUTED_VALUE"""),"-")</f>
        <v>-</v>
      </c>
      <c r="I5480" s="19">
        <f>IFERROR(__xludf.DUMMYFUNCTION("""COMPUTED_VALUE"""),0.00226)</f>
        <v>0.00226</v>
      </c>
      <c r="J5480" s="19">
        <f>IFERROR(__xludf.DUMMYFUNCTION("""COMPUTED_VALUE"""),0.04512)</f>
        <v>0.04512</v>
      </c>
      <c r="K5480" s="19" t="str">
        <f>IFERROR(__xludf.DUMMYFUNCTION("""COMPUTED_VALUE"""),"-")</f>
        <v>-</v>
      </c>
      <c r="L5480" s="19" t="str">
        <f>IFERROR(__xludf.DUMMYFUNCTION("""COMPUTED_VALUE"""),"-")</f>
        <v>-</v>
      </c>
      <c r="O5480" s="24">
        <f t="shared" si="4"/>
        <v>0</v>
      </c>
      <c r="P5480" s="24"/>
      <c r="Q5480" s="24">
        <f t="shared" si="6"/>
        <v>0</v>
      </c>
      <c r="R5480" s="24">
        <f t="shared" si="7"/>
        <v>0</v>
      </c>
      <c r="S5480" s="24"/>
      <c r="T5480" s="24"/>
    </row>
    <row r="5481">
      <c r="A5481" s="12" t="s">
        <v>5568</v>
      </c>
      <c r="F5481" s="19">
        <f>IFERROR(__xludf.DUMMYFUNCTION("SPLIT(A5477, "" |"")"),5475.0)</f>
        <v>5475</v>
      </c>
      <c r="G5481" s="19">
        <f>IFERROR(__xludf.DUMMYFUNCTION("""COMPUTED_VALUE"""),0.00238)</f>
        <v>0.00238</v>
      </c>
      <c r="H5481" s="19" t="str">
        <f>IFERROR(__xludf.DUMMYFUNCTION("""COMPUTED_VALUE"""),"-")</f>
        <v>-</v>
      </c>
      <c r="I5481" s="19">
        <f>IFERROR(__xludf.DUMMYFUNCTION("""COMPUTED_VALUE"""),0.00223)</f>
        <v>0.00223</v>
      </c>
      <c r="J5481" s="19">
        <f>IFERROR(__xludf.DUMMYFUNCTION("""COMPUTED_VALUE"""),0.04745)</f>
        <v>0.04745</v>
      </c>
      <c r="K5481" s="19" t="str">
        <f>IFERROR(__xludf.DUMMYFUNCTION("""COMPUTED_VALUE"""),"-")</f>
        <v>-</v>
      </c>
      <c r="L5481" s="19" t="str">
        <f>IFERROR(__xludf.DUMMYFUNCTION("""COMPUTED_VALUE"""),"-")</f>
        <v>-</v>
      </c>
      <c r="O5481" s="24">
        <f t="shared" si="4"/>
        <v>0</v>
      </c>
      <c r="P5481" s="24"/>
      <c r="Q5481" s="24">
        <f t="shared" si="6"/>
        <v>0</v>
      </c>
      <c r="R5481" s="24">
        <f t="shared" si="7"/>
        <v>0</v>
      </c>
      <c r="S5481" s="24"/>
      <c r="T5481" s="24"/>
    </row>
    <row r="5482">
      <c r="A5482" s="12" t="s">
        <v>5569</v>
      </c>
      <c r="F5482" s="19">
        <f>IFERROR(__xludf.DUMMYFUNCTION("SPLIT(A5478, "" |"")"),5476.0)</f>
        <v>5476</v>
      </c>
      <c r="G5482" s="19">
        <f>IFERROR(__xludf.DUMMYFUNCTION("""COMPUTED_VALUE"""),0.00235)</f>
        <v>0.00235</v>
      </c>
      <c r="H5482" s="19" t="str">
        <f>IFERROR(__xludf.DUMMYFUNCTION("""COMPUTED_VALUE"""),"-")</f>
        <v>-</v>
      </c>
      <c r="I5482" s="19">
        <f>IFERROR(__xludf.DUMMYFUNCTION("""COMPUTED_VALUE"""),0.0022)</f>
        <v>0.0022</v>
      </c>
      <c r="J5482" s="19">
        <f>IFERROR(__xludf.DUMMYFUNCTION("""COMPUTED_VALUE"""),0.04739)</f>
        <v>0.04739</v>
      </c>
      <c r="K5482" s="19" t="str">
        <f>IFERROR(__xludf.DUMMYFUNCTION("""COMPUTED_VALUE"""),"-")</f>
        <v>-</v>
      </c>
      <c r="L5482" s="19" t="str">
        <f>IFERROR(__xludf.DUMMYFUNCTION("""COMPUTED_VALUE"""),"-")</f>
        <v>-</v>
      </c>
      <c r="O5482" s="24">
        <f t="shared" si="4"/>
        <v>0</v>
      </c>
      <c r="P5482" s="24"/>
      <c r="Q5482" s="24">
        <f t="shared" si="6"/>
        <v>0</v>
      </c>
      <c r="R5482" s="24">
        <f t="shared" si="7"/>
        <v>0</v>
      </c>
      <c r="S5482" s="24"/>
      <c r="T5482" s="24"/>
    </row>
    <row r="5483">
      <c r="A5483" s="12" t="s">
        <v>5570</v>
      </c>
      <c r="F5483" s="19">
        <f>IFERROR(__xludf.DUMMYFUNCTION("SPLIT(A5479, "" |"")"),5477.0)</f>
        <v>5477</v>
      </c>
      <c r="G5483" s="19">
        <f>IFERROR(__xludf.DUMMYFUNCTION("""COMPUTED_VALUE"""),0.00239)</f>
        <v>0.00239</v>
      </c>
      <c r="H5483" s="19" t="str">
        <f>IFERROR(__xludf.DUMMYFUNCTION("""COMPUTED_VALUE"""),"-")</f>
        <v>-</v>
      </c>
      <c r="I5483" s="19">
        <f>IFERROR(__xludf.DUMMYFUNCTION("""COMPUTED_VALUE"""),0.00221)</f>
        <v>0.00221</v>
      </c>
      <c r="J5483" s="19">
        <f>IFERROR(__xludf.DUMMYFUNCTION("""COMPUTED_VALUE"""),0.04741)</f>
        <v>0.04741</v>
      </c>
      <c r="K5483" s="19" t="str">
        <f>IFERROR(__xludf.DUMMYFUNCTION("""COMPUTED_VALUE"""),"-")</f>
        <v>-</v>
      </c>
      <c r="L5483" s="19" t="str">
        <f>IFERROR(__xludf.DUMMYFUNCTION("""COMPUTED_VALUE"""),"-")</f>
        <v>-</v>
      </c>
      <c r="O5483" s="24">
        <f t="shared" si="4"/>
        <v>0</v>
      </c>
      <c r="P5483" s="24"/>
      <c r="Q5483" s="24">
        <f t="shared" si="6"/>
        <v>0</v>
      </c>
      <c r="R5483" s="24">
        <f t="shared" si="7"/>
        <v>0</v>
      </c>
      <c r="S5483" s="24"/>
      <c r="T5483" s="24"/>
    </row>
    <row r="5484">
      <c r="A5484" s="12" t="s">
        <v>5571</v>
      </c>
      <c r="F5484" s="19">
        <f>IFERROR(__xludf.DUMMYFUNCTION("SPLIT(A5480, "" |"")"),5478.0)</f>
        <v>5478</v>
      </c>
      <c r="G5484" s="19">
        <f>IFERROR(__xludf.DUMMYFUNCTION("""COMPUTED_VALUE"""),0.0024)</f>
        <v>0.0024</v>
      </c>
      <c r="H5484" s="19" t="str">
        <f>IFERROR(__xludf.DUMMYFUNCTION("""COMPUTED_VALUE"""),"-")</f>
        <v>-</v>
      </c>
      <c r="I5484" s="19">
        <f>IFERROR(__xludf.DUMMYFUNCTION("""COMPUTED_VALUE"""),0.00222)</f>
        <v>0.00222</v>
      </c>
      <c r="J5484" s="19">
        <f>IFERROR(__xludf.DUMMYFUNCTION("""COMPUTED_VALUE"""),0.04734)</f>
        <v>0.04734</v>
      </c>
      <c r="K5484" s="19" t="str">
        <f>IFERROR(__xludf.DUMMYFUNCTION("""COMPUTED_VALUE"""),"-")</f>
        <v>-</v>
      </c>
      <c r="L5484" s="19" t="str">
        <f>IFERROR(__xludf.DUMMYFUNCTION("""COMPUTED_VALUE"""),"-")</f>
        <v>-</v>
      </c>
      <c r="O5484" s="24">
        <f t="shared" si="4"/>
        <v>0</v>
      </c>
      <c r="P5484" s="24"/>
      <c r="Q5484" s="24">
        <f t="shared" si="6"/>
        <v>0</v>
      </c>
      <c r="R5484" s="24">
        <f t="shared" si="7"/>
        <v>0</v>
      </c>
      <c r="S5484" s="24"/>
      <c r="T5484" s="24"/>
    </row>
    <row r="5485">
      <c r="A5485" s="12" t="s">
        <v>5572</v>
      </c>
      <c r="F5485" s="19">
        <f>IFERROR(__xludf.DUMMYFUNCTION("SPLIT(A5481, "" |"")"),5479.0)</f>
        <v>5479</v>
      </c>
      <c r="G5485" s="19">
        <f>IFERROR(__xludf.DUMMYFUNCTION("""COMPUTED_VALUE"""),0.00236)</f>
        <v>0.00236</v>
      </c>
      <c r="H5485" s="19" t="str">
        <f>IFERROR(__xludf.DUMMYFUNCTION("""COMPUTED_VALUE"""),"-")</f>
        <v>-</v>
      </c>
      <c r="I5485" s="19">
        <f>IFERROR(__xludf.DUMMYFUNCTION("""COMPUTED_VALUE"""),0.00213)</f>
        <v>0.00213</v>
      </c>
      <c r="J5485" s="19">
        <f>IFERROR(__xludf.DUMMYFUNCTION("""COMPUTED_VALUE"""),0.04742)</f>
        <v>0.04742</v>
      </c>
      <c r="K5485" s="19" t="str">
        <f>IFERROR(__xludf.DUMMYFUNCTION("""COMPUTED_VALUE"""),"-")</f>
        <v>-</v>
      </c>
      <c r="L5485" s="19" t="str">
        <f>IFERROR(__xludf.DUMMYFUNCTION("""COMPUTED_VALUE"""),"-")</f>
        <v>-</v>
      </c>
      <c r="O5485" s="24">
        <f t="shared" si="4"/>
        <v>0</v>
      </c>
      <c r="P5485" s="24"/>
      <c r="Q5485" s="24">
        <f t="shared" si="6"/>
        <v>0</v>
      </c>
      <c r="R5485" s="24">
        <f t="shared" si="7"/>
        <v>0</v>
      </c>
      <c r="S5485" s="24"/>
      <c r="T5485" s="24"/>
    </row>
    <row r="5486">
      <c r="A5486" s="12" t="s">
        <v>5573</v>
      </c>
      <c r="F5486" s="19">
        <f>IFERROR(__xludf.DUMMYFUNCTION("SPLIT(A5482, "" |"")"),5480.0)</f>
        <v>5480</v>
      </c>
      <c r="G5486" s="19">
        <f>IFERROR(__xludf.DUMMYFUNCTION("""COMPUTED_VALUE"""),0.0023)</f>
        <v>0.0023</v>
      </c>
      <c r="H5486" s="19" t="str">
        <f>IFERROR(__xludf.DUMMYFUNCTION("""COMPUTED_VALUE"""),"-")</f>
        <v>-</v>
      </c>
      <c r="I5486" s="19">
        <f>IFERROR(__xludf.DUMMYFUNCTION("""COMPUTED_VALUE"""),0.00222)</f>
        <v>0.00222</v>
      </c>
      <c r="J5486" s="19">
        <f>IFERROR(__xludf.DUMMYFUNCTION("""COMPUTED_VALUE"""),0.04676)</f>
        <v>0.04676</v>
      </c>
      <c r="K5486" s="19" t="str">
        <f>IFERROR(__xludf.DUMMYFUNCTION("""COMPUTED_VALUE"""),"-")</f>
        <v>-</v>
      </c>
      <c r="L5486" s="19" t="str">
        <f>IFERROR(__xludf.DUMMYFUNCTION("""COMPUTED_VALUE"""),"-")</f>
        <v>-</v>
      </c>
      <c r="O5486" s="24">
        <f t="shared" si="4"/>
        <v>0</v>
      </c>
      <c r="P5486" s="24"/>
      <c r="Q5486" s="24">
        <f t="shared" si="6"/>
        <v>0</v>
      </c>
      <c r="R5486" s="24">
        <f t="shared" si="7"/>
        <v>0</v>
      </c>
      <c r="S5486" s="24"/>
      <c r="T5486" s="24"/>
    </row>
    <row r="5487">
      <c r="A5487" s="12" t="s">
        <v>5574</v>
      </c>
      <c r="F5487" s="19">
        <f>IFERROR(__xludf.DUMMYFUNCTION("SPLIT(A5483, "" |"")"),5481.0)</f>
        <v>5481</v>
      </c>
      <c r="G5487" s="19">
        <f>IFERROR(__xludf.DUMMYFUNCTION("""COMPUTED_VALUE"""),0.00233)</f>
        <v>0.00233</v>
      </c>
      <c r="H5487" s="19" t="str">
        <f>IFERROR(__xludf.DUMMYFUNCTION("""COMPUTED_VALUE"""),"-")</f>
        <v>-</v>
      </c>
      <c r="I5487" s="19">
        <f>IFERROR(__xludf.DUMMYFUNCTION("""COMPUTED_VALUE"""),0.00223)</f>
        <v>0.00223</v>
      </c>
      <c r="J5487" s="19">
        <f>IFERROR(__xludf.DUMMYFUNCTION("""COMPUTED_VALUE"""),0.04743)</f>
        <v>0.04743</v>
      </c>
      <c r="K5487" s="19" t="str">
        <f>IFERROR(__xludf.DUMMYFUNCTION("""COMPUTED_VALUE"""),"-")</f>
        <v>-</v>
      </c>
      <c r="L5487" s="19" t="str">
        <f>IFERROR(__xludf.DUMMYFUNCTION("""COMPUTED_VALUE"""),"-")</f>
        <v>-</v>
      </c>
      <c r="O5487" s="24">
        <f t="shared" si="4"/>
        <v>0</v>
      </c>
      <c r="P5487" s="24"/>
      <c r="Q5487" s="24">
        <f t="shared" si="6"/>
        <v>0</v>
      </c>
      <c r="R5487" s="24">
        <f t="shared" si="7"/>
        <v>0</v>
      </c>
      <c r="S5487" s="24"/>
      <c r="T5487" s="24"/>
    </row>
    <row r="5488">
      <c r="A5488" s="12" t="s">
        <v>5575</v>
      </c>
      <c r="F5488" s="19">
        <f>IFERROR(__xludf.DUMMYFUNCTION("SPLIT(A5484, "" |"")"),5482.0)</f>
        <v>5482</v>
      </c>
      <c r="G5488" s="19">
        <f>IFERROR(__xludf.DUMMYFUNCTION("""COMPUTED_VALUE"""),0.00244)</f>
        <v>0.00244</v>
      </c>
      <c r="H5488" s="19" t="str">
        <f>IFERROR(__xludf.DUMMYFUNCTION("""COMPUTED_VALUE"""),"-")</f>
        <v>-</v>
      </c>
      <c r="I5488" s="19">
        <f>IFERROR(__xludf.DUMMYFUNCTION("""COMPUTED_VALUE"""),0.00221)</f>
        <v>0.00221</v>
      </c>
      <c r="J5488" s="19">
        <f>IFERROR(__xludf.DUMMYFUNCTION("""COMPUTED_VALUE"""),0.04714)</f>
        <v>0.04714</v>
      </c>
      <c r="K5488" s="19" t="str">
        <f>IFERROR(__xludf.DUMMYFUNCTION("""COMPUTED_VALUE"""),"-")</f>
        <v>-</v>
      </c>
      <c r="L5488" s="19" t="str">
        <f>IFERROR(__xludf.DUMMYFUNCTION("""COMPUTED_VALUE"""),"-")</f>
        <v>-</v>
      </c>
      <c r="O5488" s="24">
        <f t="shared" si="4"/>
        <v>0</v>
      </c>
      <c r="P5488" s="24"/>
      <c r="Q5488" s="24">
        <f t="shared" si="6"/>
        <v>0</v>
      </c>
      <c r="R5488" s="24">
        <f t="shared" si="7"/>
        <v>0</v>
      </c>
      <c r="S5488" s="24"/>
      <c r="T5488" s="24"/>
    </row>
    <row r="5489">
      <c r="A5489" s="12" t="s">
        <v>5576</v>
      </c>
      <c r="F5489" s="19">
        <f>IFERROR(__xludf.DUMMYFUNCTION("SPLIT(A5485, "" |"")"),5483.0)</f>
        <v>5483</v>
      </c>
      <c r="G5489" s="19">
        <f>IFERROR(__xludf.DUMMYFUNCTION("""COMPUTED_VALUE"""),0.00241)</f>
        <v>0.00241</v>
      </c>
      <c r="H5489" s="19" t="str">
        <f>IFERROR(__xludf.DUMMYFUNCTION("""COMPUTED_VALUE"""),"-")</f>
        <v>-</v>
      </c>
      <c r="I5489" s="19">
        <f>IFERROR(__xludf.DUMMYFUNCTION("""COMPUTED_VALUE"""),0.00222)</f>
        <v>0.00222</v>
      </c>
      <c r="J5489" s="19">
        <f>IFERROR(__xludf.DUMMYFUNCTION("""COMPUTED_VALUE"""),0.04743)</f>
        <v>0.04743</v>
      </c>
      <c r="K5489" s="19" t="str">
        <f>IFERROR(__xludf.DUMMYFUNCTION("""COMPUTED_VALUE"""),"-")</f>
        <v>-</v>
      </c>
      <c r="L5489" s="19" t="str">
        <f>IFERROR(__xludf.DUMMYFUNCTION("""COMPUTED_VALUE"""),"-")</f>
        <v>-</v>
      </c>
      <c r="O5489" s="24">
        <f t="shared" si="4"/>
        <v>0</v>
      </c>
      <c r="P5489" s="24"/>
      <c r="Q5489" s="24">
        <f t="shared" si="6"/>
        <v>0</v>
      </c>
      <c r="R5489" s="24">
        <f t="shared" si="7"/>
        <v>0</v>
      </c>
      <c r="S5489" s="24"/>
      <c r="T5489" s="24"/>
    </row>
    <row r="5490">
      <c r="A5490" s="12" t="s">
        <v>5577</v>
      </c>
      <c r="F5490" s="19">
        <f>IFERROR(__xludf.DUMMYFUNCTION("SPLIT(A5486, "" |"")"),5484.0)</f>
        <v>5484</v>
      </c>
      <c r="G5490" s="19">
        <f>IFERROR(__xludf.DUMMYFUNCTION("""COMPUTED_VALUE"""),0.00238)</f>
        <v>0.00238</v>
      </c>
      <c r="H5490" s="19" t="str">
        <f>IFERROR(__xludf.DUMMYFUNCTION("""COMPUTED_VALUE"""),"-")</f>
        <v>-</v>
      </c>
      <c r="I5490" s="19">
        <f>IFERROR(__xludf.DUMMYFUNCTION("""COMPUTED_VALUE"""),0.00212)</f>
        <v>0.00212</v>
      </c>
      <c r="J5490" s="19">
        <f>IFERROR(__xludf.DUMMYFUNCTION("""COMPUTED_VALUE"""),0.04748)</f>
        <v>0.04748</v>
      </c>
      <c r="K5490" s="19" t="str">
        <f>IFERROR(__xludf.DUMMYFUNCTION("""COMPUTED_VALUE"""),"-")</f>
        <v>-</v>
      </c>
      <c r="L5490" s="19" t="str">
        <f>IFERROR(__xludf.DUMMYFUNCTION("""COMPUTED_VALUE"""),"-")</f>
        <v>-</v>
      </c>
      <c r="O5490" s="24">
        <f t="shared" si="4"/>
        <v>0</v>
      </c>
      <c r="P5490" s="24"/>
      <c r="Q5490" s="24">
        <f t="shared" si="6"/>
        <v>0</v>
      </c>
      <c r="R5490" s="24">
        <f t="shared" si="7"/>
        <v>0</v>
      </c>
      <c r="S5490" s="24"/>
      <c r="T5490" s="24"/>
    </row>
    <row r="5491">
      <c r="A5491" s="12" t="s">
        <v>5578</v>
      </c>
      <c r="F5491" s="19">
        <f>IFERROR(__xludf.DUMMYFUNCTION("SPLIT(A5487, "" |"")"),5485.0)</f>
        <v>5485</v>
      </c>
      <c r="G5491" s="19">
        <f>IFERROR(__xludf.DUMMYFUNCTION("""COMPUTED_VALUE"""),0.00239)</f>
        <v>0.00239</v>
      </c>
      <c r="H5491" s="19" t="str">
        <f>IFERROR(__xludf.DUMMYFUNCTION("""COMPUTED_VALUE"""),"-")</f>
        <v>-</v>
      </c>
      <c r="I5491" s="19">
        <f>IFERROR(__xludf.DUMMYFUNCTION("""COMPUTED_VALUE"""),0.00219)</f>
        <v>0.00219</v>
      </c>
      <c r="J5491" s="19">
        <f>IFERROR(__xludf.DUMMYFUNCTION("""COMPUTED_VALUE"""),0.04743)</f>
        <v>0.04743</v>
      </c>
      <c r="K5491" s="19" t="str">
        <f>IFERROR(__xludf.DUMMYFUNCTION("""COMPUTED_VALUE"""),"-")</f>
        <v>-</v>
      </c>
      <c r="L5491" s="19" t="str">
        <f>IFERROR(__xludf.DUMMYFUNCTION("""COMPUTED_VALUE"""),"-")</f>
        <v>-</v>
      </c>
      <c r="O5491" s="24">
        <f t="shared" si="4"/>
        <v>0</v>
      </c>
      <c r="P5491" s="24"/>
      <c r="Q5491" s="24">
        <f t="shared" si="6"/>
        <v>0</v>
      </c>
      <c r="R5491" s="24">
        <f t="shared" si="7"/>
        <v>0</v>
      </c>
      <c r="S5491" s="24"/>
      <c r="T5491" s="24"/>
    </row>
    <row r="5492">
      <c r="A5492" s="12" t="s">
        <v>5579</v>
      </c>
      <c r="F5492" s="19">
        <f>IFERROR(__xludf.DUMMYFUNCTION("SPLIT(A5488, "" |"")"),5486.0)</f>
        <v>5486</v>
      </c>
      <c r="G5492" s="19">
        <f>IFERROR(__xludf.DUMMYFUNCTION("""COMPUTED_VALUE"""),0.00233)</f>
        <v>0.00233</v>
      </c>
      <c r="H5492" s="19" t="str">
        <f>IFERROR(__xludf.DUMMYFUNCTION("""COMPUTED_VALUE"""),"-")</f>
        <v>-</v>
      </c>
      <c r="I5492" s="19">
        <f>IFERROR(__xludf.DUMMYFUNCTION("""COMPUTED_VALUE"""),0.00223)</f>
        <v>0.00223</v>
      </c>
      <c r="J5492" s="19">
        <f>IFERROR(__xludf.DUMMYFUNCTION("""COMPUTED_VALUE"""),0.04745)</f>
        <v>0.04745</v>
      </c>
      <c r="K5492" s="19" t="str">
        <f>IFERROR(__xludf.DUMMYFUNCTION("""COMPUTED_VALUE"""),"-")</f>
        <v>-</v>
      </c>
      <c r="L5492" s="19" t="str">
        <f>IFERROR(__xludf.DUMMYFUNCTION("""COMPUTED_VALUE"""),"-")</f>
        <v>-</v>
      </c>
      <c r="O5492" s="24">
        <f t="shared" si="4"/>
        <v>0</v>
      </c>
      <c r="P5492" s="24"/>
      <c r="Q5492" s="24">
        <f t="shared" si="6"/>
        <v>0</v>
      </c>
      <c r="R5492" s="24">
        <f t="shared" si="7"/>
        <v>0</v>
      </c>
      <c r="S5492" s="24"/>
      <c r="T5492" s="24"/>
    </row>
    <row r="5493">
      <c r="A5493" s="12" t="s">
        <v>5580</v>
      </c>
      <c r="F5493" s="19">
        <f>IFERROR(__xludf.DUMMYFUNCTION("SPLIT(A5489, "" |"")"),5487.0)</f>
        <v>5487</v>
      </c>
      <c r="G5493" s="19">
        <f>IFERROR(__xludf.DUMMYFUNCTION("""COMPUTED_VALUE"""),0.00235)</f>
        <v>0.00235</v>
      </c>
      <c r="H5493" s="19" t="str">
        <f>IFERROR(__xludf.DUMMYFUNCTION("""COMPUTED_VALUE"""),"-")</f>
        <v>-</v>
      </c>
      <c r="I5493" s="19">
        <f>IFERROR(__xludf.DUMMYFUNCTION("""COMPUTED_VALUE"""),0.00222)</f>
        <v>0.00222</v>
      </c>
      <c r="J5493" s="19">
        <f>IFERROR(__xludf.DUMMYFUNCTION("""COMPUTED_VALUE"""),0.04744)</f>
        <v>0.04744</v>
      </c>
      <c r="K5493" s="19" t="str">
        <f>IFERROR(__xludf.DUMMYFUNCTION("""COMPUTED_VALUE"""),"-")</f>
        <v>-</v>
      </c>
      <c r="L5493" s="19" t="str">
        <f>IFERROR(__xludf.DUMMYFUNCTION("""COMPUTED_VALUE"""),"-")</f>
        <v>-</v>
      </c>
      <c r="O5493" s="24">
        <f t="shared" si="4"/>
        <v>0</v>
      </c>
      <c r="P5493" s="24"/>
      <c r="Q5493" s="24">
        <f t="shared" si="6"/>
        <v>0</v>
      </c>
      <c r="R5493" s="24">
        <f t="shared" si="7"/>
        <v>0</v>
      </c>
      <c r="S5493" s="24"/>
      <c r="T5493" s="24"/>
    </row>
    <row r="5494">
      <c r="A5494" s="12" t="s">
        <v>5581</v>
      </c>
      <c r="F5494" s="19">
        <f>IFERROR(__xludf.DUMMYFUNCTION("SPLIT(A5490, "" |"")"),5488.0)</f>
        <v>5488</v>
      </c>
      <c r="G5494" s="19">
        <f>IFERROR(__xludf.DUMMYFUNCTION("""COMPUTED_VALUE"""),0.00236)</f>
        <v>0.00236</v>
      </c>
      <c r="H5494" s="19" t="str">
        <f>IFERROR(__xludf.DUMMYFUNCTION("""COMPUTED_VALUE"""),"-")</f>
        <v>-</v>
      </c>
      <c r="I5494" s="19">
        <f>IFERROR(__xludf.DUMMYFUNCTION("""COMPUTED_VALUE"""),0.00221)</f>
        <v>0.00221</v>
      </c>
      <c r="J5494" s="19">
        <f>IFERROR(__xludf.DUMMYFUNCTION("""COMPUTED_VALUE"""),0.04745)</f>
        <v>0.04745</v>
      </c>
      <c r="K5494" s="19" t="str">
        <f>IFERROR(__xludf.DUMMYFUNCTION("""COMPUTED_VALUE"""),"-")</f>
        <v>-</v>
      </c>
      <c r="L5494" s="19" t="str">
        <f>IFERROR(__xludf.DUMMYFUNCTION("""COMPUTED_VALUE"""),"-")</f>
        <v>-</v>
      </c>
      <c r="O5494" s="24">
        <f t="shared" si="4"/>
        <v>0</v>
      </c>
      <c r="P5494" s="24"/>
      <c r="Q5494" s="24">
        <f t="shared" si="6"/>
        <v>0</v>
      </c>
      <c r="R5494" s="24">
        <f t="shared" si="7"/>
        <v>0</v>
      </c>
      <c r="S5494" s="24"/>
      <c r="T5494" s="24"/>
    </row>
    <row r="5495">
      <c r="A5495" s="12" t="s">
        <v>5582</v>
      </c>
      <c r="F5495" s="19">
        <f>IFERROR(__xludf.DUMMYFUNCTION("SPLIT(A5491, "" |"")"),5489.0)</f>
        <v>5489</v>
      </c>
      <c r="G5495" s="19">
        <f>IFERROR(__xludf.DUMMYFUNCTION("""COMPUTED_VALUE"""),0.00227)</f>
        <v>0.00227</v>
      </c>
      <c r="H5495" s="19" t="str">
        <f>IFERROR(__xludf.DUMMYFUNCTION("""COMPUTED_VALUE"""),"-")</f>
        <v>-</v>
      </c>
      <c r="I5495" s="19">
        <f>IFERROR(__xludf.DUMMYFUNCTION("""COMPUTED_VALUE"""),0.00222)</f>
        <v>0.00222</v>
      </c>
      <c r="J5495" s="19">
        <f>IFERROR(__xludf.DUMMYFUNCTION("""COMPUTED_VALUE"""),0.04737)</f>
        <v>0.04737</v>
      </c>
      <c r="K5495" s="19" t="str">
        <f>IFERROR(__xludf.DUMMYFUNCTION("""COMPUTED_VALUE"""),"-")</f>
        <v>-</v>
      </c>
      <c r="L5495" s="19" t="str">
        <f>IFERROR(__xludf.DUMMYFUNCTION("""COMPUTED_VALUE"""),"-")</f>
        <v>-</v>
      </c>
      <c r="O5495" s="24">
        <f t="shared" si="4"/>
        <v>0</v>
      </c>
      <c r="P5495" s="24"/>
      <c r="Q5495" s="24">
        <f t="shared" si="6"/>
        <v>0</v>
      </c>
      <c r="R5495" s="24">
        <f t="shared" si="7"/>
        <v>0</v>
      </c>
      <c r="S5495" s="24"/>
      <c r="T5495" s="24"/>
    </row>
    <row r="5496">
      <c r="A5496" s="12" t="s">
        <v>5583</v>
      </c>
      <c r="F5496" s="19">
        <f>IFERROR(__xludf.DUMMYFUNCTION("SPLIT(A5492, "" |"")"),5490.0)</f>
        <v>5490</v>
      </c>
      <c r="G5496" s="19">
        <f>IFERROR(__xludf.DUMMYFUNCTION("""COMPUTED_VALUE"""),0.00235)</f>
        <v>0.00235</v>
      </c>
      <c r="H5496" s="19" t="str">
        <f>IFERROR(__xludf.DUMMYFUNCTION("""COMPUTED_VALUE"""),"-")</f>
        <v>-</v>
      </c>
      <c r="I5496" s="19">
        <f>IFERROR(__xludf.DUMMYFUNCTION("""COMPUTED_VALUE"""),0.00226)</f>
        <v>0.00226</v>
      </c>
      <c r="J5496" s="19">
        <f>IFERROR(__xludf.DUMMYFUNCTION("""COMPUTED_VALUE"""),0.04738)</f>
        <v>0.04738</v>
      </c>
      <c r="K5496" s="19" t="str">
        <f>IFERROR(__xludf.DUMMYFUNCTION("""COMPUTED_VALUE"""),"-")</f>
        <v>-</v>
      </c>
      <c r="L5496" s="19" t="str">
        <f>IFERROR(__xludf.DUMMYFUNCTION("""COMPUTED_VALUE"""),"-")</f>
        <v>-</v>
      </c>
      <c r="O5496" s="24">
        <f t="shared" si="4"/>
        <v>0</v>
      </c>
      <c r="P5496" s="24"/>
      <c r="Q5496" s="24">
        <f t="shared" si="6"/>
        <v>0</v>
      </c>
      <c r="R5496" s="24">
        <f t="shared" si="7"/>
        <v>0</v>
      </c>
      <c r="S5496" s="24"/>
      <c r="T5496" s="24"/>
    </row>
    <row r="5497">
      <c r="A5497" s="12" t="s">
        <v>5584</v>
      </c>
      <c r="F5497" s="19">
        <f>IFERROR(__xludf.DUMMYFUNCTION("SPLIT(A5493, "" |"")"),5491.0)</f>
        <v>5491</v>
      </c>
      <c r="G5497" s="19">
        <f>IFERROR(__xludf.DUMMYFUNCTION("""COMPUTED_VALUE"""),0.00234)</f>
        <v>0.00234</v>
      </c>
      <c r="H5497" s="19" t="str">
        <f>IFERROR(__xludf.DUMMYFUNCTION("""COMPUTED_VALUE"""),"-")</f>
        <v>-</v>
      </c>
      <c r="I5497" s="19">
        <f>IFERROR(__xludf.DUMMYFUNCTION("""COMPUTED_VALUE"""),0.00219)</f>
        <v>0.00219</v>
      </c>
      <c r="J5497" s="19">
        <f>IFERROR(__xludf.DUMMYFUNCTION("""COMPUTED_VALUE"""),0.04743)</f>
        <v>0.04743</v>
      </c>
      <c r="K5497" s="19" t="str">
        <f>IFERROR(__xludf.DUMMYFUNCTION("""COMPUTED_VALUE"""),"-")</f>
        <v>-</v>
      </c>
      <c r="L5497" s="19" t="str">
        <f>IFERROR(__xludf.DUMMYFUNCTION("""COMPUTED_VALUE"""),"-")</f>
        <v>-</v>
      </c>
      <c r="O5497" s="24">
        <f t="shared" si="4"/>
        <v>0</v>
      </c>
      <c r="P5497" s="24"/>
      <c r="Q5497" s="24">
        <f t="shared" si="6"/>
        <v>0</v>
      </c>
      <c r="R5497" s="24">
        <f t="shared" si="7"/>
        <v>0</v>
      </c>
      <c r="S5497" s="24"/>
      <c r="T5497" s="24"/>
    </row>
    <row r="5498">
      <c r="A5498" s="12" t="s">
        <v>5585</v>
      </c>
      <c r="F5498" s="19">
        <f>IFERROR(__xludf.DUMMYFUNCTION("SPLIT(A5494, "" |"")"),5492.0)</f>
        <v>5492</v>
      </c>
      <c r="G5498" s="19">
        <f>IFERROR(__xludf.DUMMYFUNCTION("""COMPUTED_VALUE"""),0.0023)</f>
        <v>0.0023</v>
      </c>
      <c r="H5498" s="19" t="str">
        <f>IFERROR(__xludf.DUMMYFUNCTION("""COMPUTED_VALUE"""),"-")</f>
        <v>-</v>
      </c>
      <c r="I5498" s="19">
        <f>IFERROR(__xludf.DUMMYFUNCTION("""COMPUTED_VALUE"""),0.0022)</f>
        <v>0.0022</v>
      </c>
      <c r="J5498" s="19">
        <f>IFERROR(__xludf.DUMMYFUNCTION("""COMPUTED_VALUE"""),0.04352)</f>
        <v>0.04352</v>
      </c>
      <c r="K5498" s="19" t="str">
        <f>IFERROR(__xludf.DUMMYFUNCTION("""COMPUTED_VALUE"""),"-")</f>
        <v>-</v>
      </c>
      <c r="L5498" s="19" t="str">
        <f>IFERROR(__xludf.DUMMYFUNCTION("""COMPUTED_VALUE"""),"-")</f>
        <v>-</v>
      </c>
      <c r="O5498" s="24">
        <f t="shared" si="4"/>
        <v>0</v>
      </c>
      <c r="P5498" s="24"/>
      <c r="Q5498" s="24">
        <f t="shared" si="6"/>
        <v>0</v>
      </c>
      <c r="R5498" s="24">
        <f t="shared" si="7"/>
        <v>1</v>
      </c>
      <c r="S5498" s="24"/>
      <c r="T5498" s="24"/>
    </row>
    <row r="5499">
      <c r="A5499" s="12" t="s">
        <v>5586</v>
      </c>
      <c r="F5499" s="19">
        <f>IFERROR(__xludf.DUMMYFUNCTION("SPLIT(A5495, "" |"")"),5493.0)</f>
        <v>5493</v>
      </c>
      <c r="G5499" s="19">
        <f>IFERROR(__xludf.DUMMYFUNCTION("""COMPUTED_VALUE"""),0.00236)</f>
        <v>0.00236</v>
      </c>
      <c r="H5499" s="19" t="str">
        <f>IFERROR(__xludf.DUMMYFUNCTION("""COMPUTED_VALUE"""),"-")</f>
        <v>-</v>
      </c>
      <c r="I5499" s="19">
        <f>IFERROR(__xludf.DUMMYFUNCTION("""COMPUTED_VALUE"""),0.00223)</f>
        <v>0.00223</v>
      </c>
      <c r="J5499" s="19">
        <f>IFERROR(__xludf.DUMMYFUNCTION("""COMPUTED_VALUE"""),0.04736)</f>
        <v>0.04736</v>
      </c>
      <c r="K5499" s="19" t="str">
        <f>IFERROR(__xludf.DUMMYFUNCTION("""COMPUTED_VALUE"""),"-")</f>
        <v>-</v>
      </c>
      <c r="L5499" s="19" t="str">
        <f>IFERROR(__xludf.DUMMYFUNCTION("""COMPUTED_VALUE"""),"-")</f>
        <v>-</v>
      </c>
      <c r="O5499" s="24">
        <f t="shared" si="4"/>
        <v>0</v>
      </c>
      <c r="P5499" s="24"/>
      <c r="Q5499" s="24">
        <f t="shared" si="6"/>
        <v>0</v>
      </c>
      <c r="R5499" s="24">
        <f t="shared" si="7"/>
        <v>0</v>
      </c>
      <c r="S5499" s="24"/>
      <c r="T5499" s="24"/>
    </row>
    <row r="5500">
      <c r="A5500" s="12" t="s">
        <v>5587</v>
      </c>
      <c r="F5500" s="19">
        <f>IFERROR(__xludf.DUMMYFUNCTION("SPLIT(A5496, "" |"")"),5494.0)</f>
        <v>5494</v>
      </c>
      <c r="G5500" s="19">
        <f>IFERROR(__xludf.DUMMYFUNCTION("""COMPUTED_VALUE"""),0.00247)</f>
        <v>0.00247</v>
      </c>
      <c r="H5500" s="19" t="str">
        <f>IFERROR(__xludf.DUMMYFUNCTION("""COMPUTED_VALUE"""),"-")</f>
        <v>-</v>
      </c>
      <c r="I5500" s="19">
        <f>IFERROR(__xludf.DUMMYFUNCTION("""COMPUTED_VALUE"""),0.00224)</f>
        <v>0.00224</v>
      </c>
      <c r="J5500" s="19">
        <f>IFERROR(__xludf.DUMMYFUNCTION("""COMPUTED_VALUE"""),0.0474)</f>
        <v>0.0474</v>
      </c>
      <c r="K5500" s="19" t="str">
        <f>IFERROR(__xludf.DUMMYFUNCTION("""COMPUTED_VALUE"""),"-")</f>
        <v>-</v>
      </c>
      <c r="L5500" s="19" t="str">
        <f>IFERROR(__xludf.DUMMYFUNCTION("""COMPUTED_VALUE"""),"-")</f>
        <v>-</v>
      </c>
      <c r="O5500" s="24">
        <f t="shared" si="4"/>
        <v>0</v>
      </c>
      <c r="P5500" s="24"/>
      <c r="Q5500" s="24">
        <f t="shared" si="6"/>
        <v>0</v>
      </c>
      <c r="R5500" s="24">
        <f t="shared" si="7"/>
        <v>0</v>
      </c>
      <c r="S5500" s="24"/>
      <c r="T5500" s="24"/>
    </row>
    <row r="5501">
      <c r="A5501" s="12" t="s">
        <v>5588</v>
      </c>
      <c r="F5501" s="19">
        <f>IFERROR(__xludf.DUMMYFUNCTION("SPLIT(A5497, "" |"")"),5495.0)</f>
        <v>5495</v>
      </c>
      <c r="G5501" s="19">
        <f>IFERROR(__xludf.DUMMYFUNCTION("""COMPUTED_VALUE"""),0.00237)</f>
        <v>0.00237</v>
      </c>
      <c r="H5501" s="19" t="str">
        <f>IFERROR(__xludf.DUMMYFUNCTION("""COMPUTED_VALUE"""),"-")</f>
        <v>-</v>
      </c>
      <c r="I5501" s="19">
        <f>IFERROR(__xludf.DUMMYFUNCTION("""COMPUTED_VALUE"""),0.00222)</f>
        <v>0.00222</v>
      </c>
      <c r="J5501" s="19">
        <f>IFERROR(__xludf.DUMMYFUNCTION("""COMPUTED_VALUE"""),0.04739)</f>
        <v>0.04739</v>
      </c>
      <c r="K5501" s="19" t="str">
        <f>IFERROR(__xludf.DUMMYFUNCTION("""COMPUTED_VALUE"""),"-")</f>
        <v>-</v>
      </c>
      <c r="L5501" s="19" t="str">
        <f>IFERROR(__xludf.DUMMYFUNCTION("""COMPUTED_VALUE"""),"-")</f>
        <v>-</v>
      </c>
      <c r="O5501" s="24">
        <f t="shared" si="4"/>
        <v>0</v>
      </c>
      <c r="P5501" s="24"/>
      <c r="Q5501" s="24">
        <f t="shared" si="6"/>
        <v>0</v>
      </c>
      <c r="R5501" s="24">
        <f t="shared" si="7"/>
        <v>0</v>
      </c>
      <c r="S5501" s="24"/>
      <c r="T5501" s="24"/>
    </row>
    <row r="5502">
      <c r="A5502" s="12" t="s">
        <v>5589</v>
      </c>
      <c r="F5502" s="19">
        <f>IFERROR(__xludf.DUMMYFUNCTION("SPLIT(A5498, "" |"")"),5496.0)</f>
        <v>5496</v>
      </c>
      <c r="G5502" s="19">
        <f>IFERROR(__xludf.DUMMYFUNCTION("""COMPUTED_VALUE"""),0.00236)</f>
        <v>0.00236</v>
      </c>
      <c r="H5502" s="19" t="str">
        <f>IFERROR(__xludf.DUMMYFUNCTION("""COMPUTED_VALUE"""),"-")</f>
        <v>-</v>
      </c>
      <c r="I5502" s="19">
        <f>IFERROR(__xludf.DUMMYFUNCTION("""COMPUTED_VALUE"""),0.00222)</f>
        <v>0.00222</v>
      </c>
      <c r="J5502" s="19">
        <f>IFERROR(__xludf.DUMMYFUNCTION("""COMPUTED_VALUE"""),0.04737)</f>
        <v>0.04737</v>
      </c>
      <c r="K5502" s="19" t="str">
        <f>IFERROR(__xludf.DUMMYFUNCTION("""COMPUTED_VALUE"""),"-")</f>
        <v>-</v>
      </c>
      <c r="L5502" s="19" t="str">
        <f>IFERROR(__xludf.DUMMYFUNCTION("""COMPUTED_VALUE"""),"-")</f>
        <v>-</v>
      </c>
      <c r="O5502" s="24">
        <f t="shared" si="4"/>
        <v>0</v>
      </c>
      <c r="P5502" s="24"/>
      <c r="Q5502" s="24">
        <f t="shared" si="6"/>
        <v>0</v>
      </c>
      <c r="R5502" s="24">
        <f t="shared" si="7"/>
        <v>0</v>
      </c>
      <c r="S5502" s="24"/>
      <c r="T5502" s="24"/>
    </row>
    <row r="5503">
      <c r="A5503" s="12" t="s">
        <v>5590</v>
      </c>
      <c r="F5503" s="19">
        <f>IFERROR(__xludf.DUMMYFUNCTION("SPLIT(A5499, "" |"")"),5497.0)</f>
        <v>5497</v>
      </c>
      <c r="G5503" s="19">
        <f>IFERROR(__xludf.DUMMYFUNCTION("""COMPUTED_VALUE"""),0.0023)</f>
        <v>0.0023</v>
      </c>
      <c r="H5503" s="19" t="str">
        <f>IFERROR(__xludf.DUMMYFUNCTION("""COMPUTED_VALUE"""),"-")</f>
        <v>-</v>
      </c>
      <c r="I5503" s="19">
        <f>IFERROR(__xludf.DUMMYFUNCTION("""COMPUTED_VALUE"""),0.00229)</f>
        <v>0.00229</v>
      </c>
      <c r="J5503" s="19">
        <f>IFERROR(__xludf.DUMMYFUNCTION("""COMPUTED_VALUE"""),0.04742)</f>
        <v>0.04742</v>
      </c>
      <c r="K5503" s="19" t="str">
        <f>IFERROR(__xludf.DUMMYFUNCTION("""COMPUTED_VALUE"""),"-")</f>
        <v>-</v>
      </c>
      <c r="L5503" s="19" t="str">
        <f>IFERROR(__xludf.DUMMYFUNCTION("""COMPUTED_VALUE"""),"-")</f>
        <v>-</v>
      </c>
      <c r="O5503" s="24">
        <f t="shared" si="4"/>
        <v>0</v>
      </c>
      <c r="P5503" s="24"/>
      <c r="Q5503" s="24">
        <f t="shared" si="6"/>
        <v>0</v>
      </c>
      <c r="R5503" s="24">
        <f t="shared" si="7"/>
        <v>0</v>
      </c>
      <c r="S5503" s="24"/>
      <c r="T5503" s="24"/>
    </row>
    <row r="5504">
      <c r="A5504" s="12" t="s">
        <v>5591</v>
      </c>
      <c r="F5504" s="19">
        <f>IFERROR(__xludf.DUMMYFUNCTION("SPLIT(A5500, "" |"")"),5498.0)</f>
        <v>5498</v>
      </c>
      <c r="G5504" s="19">
        <f>IFERROR(__xludf.DUMMYFUNCTION("""COMPUTED_VALUE"""),0.00234)</f>
        <v>0.00234</v>
      </c>
      <c r="H5504" s="19" t="str">
        <f>IFERROR(__xludf.DUMMYFUNCTION("""COMPUTED_VALUE"""),"-")</f>
        <v>-</v>
      </c>
      <c r="I5504" s="19">
        <f>IFERROR(__xludf.DUMMYFUNCTION("""COMPUTED_VALUE"""),0.0021)</f>
        <v>0.0021</v>
      </c>
      <c r="J5504" s="19">
        <f>IFERROR(__xludf.DUMMYFUNCTION("""COMPUTED_VALUE"""),0.04069)</f>
        <v>0.04069</v>
      </c>
      <c r="K5504" s="19" t="str">
        <f>IFERROR(__xludf.DUMMYFUNCTION("""COMPUTED_VALUE"""),"-")</f>
        <v>-</v>
      </c>
      <c r="L5504" s="19" t="str">
        <f>IFERROR(__xludf.DUMMYFUNCTION("""COMPUTED_VALUE"""),"-")</f>
        <v>-</v>
      </c>
      <c r="O5504" s="24">
        <f t="shared" si="4"/>
        <v>0</v>
      </c>
      <c r="P5504" s="24"/>
      <c r="Q5504" s="24">
        <f t="shared" si="6"/>
        <v>0</v>
      </c>
      <c r="R5504" s="24">
        <f t="shared" si="7"/>
        <v>1</v>
      </c>
      <c r="S5504" s="24"/>
      <c r="T5504" s="24"/>
    </row>
    <row r="5505">
      <c r="A5505" s="12" t="s">
        <v>5592</v>
      </c>
      <c r="F5505" s="19">
        <f>IFERROR(__xludf.DUMMYFUNCTION("SPLIT(A5501, "" |"")"),5499.0)</f>
        <v>5499</v>
      </c>
      <c r="G5505" s="19">
        <f>IFERROR(__xludf.DUMMYFUNCTION("""COMPUTED_VALUE"""),0.00246)</f>
        <v>0.00246</v>
      </c>
      <c r="H5505" s="19" t="str">
        <f>IFERROR(__xludf.DUMMYFUNCTION("""COMPUTED_VALUE"""),"-")</f>
        <v>-</v>
      </c>
      <c r="I5505" s="19">
        <f>IFERROR(__xludf.DUMMYFUNCTION("""COMPUTED_VALUE"""),0.00221)</f>
        <v>0.00221</v>
      </c>
      <c r="J5505" s="19">
        <f>IFERROR(__xludf.DUMMYFUNCTION("""COMPUTED_VALUE"""),0.04202)</f>
        <v>0.04202</v>
      </c>
      <c r="K5505" s="19" t="str">
        <f>IFERROR(__xludf.DUMMYFUNCTION("""COMPUTED_VALUE"""),"-")</f>
        <v>-</v>
      </c>
      <c r="L5505" s="19" t="str">
        <f>IFERROR(__xludf.DUMMYFUNCTION("""COMPUTED_VALUE"""),"-")</f>
        <v>-</v>
      </c>
      <c r="O5505" s="24">
        <f t="shared" si="4"/>
        <v>0</v>
      </c>
      <c r="P5505" s="24"/>
      <c r="Q5505" s="24">
        <f t="shared" si="6"/>
        <v>0</v>
      </c>
      <c r="R5505" s="24">
        <f t="shared" si="7"/>
        <v>1</v>
      </c>
      <c r="S5505" s="24"/>
      <c r="T5505" s="24"/>
    </row>
    <row r="5506">
      <c r="A5506" s="12" t="s">
        <v>5593</v>
      </c>
      <c r="F5506" s="19">
        <f>IFERROR(__xludf.DUMMYFUNCTION("SPLIT(A5502, "" |"")"),5500.0)</f>
        <v>5500</v>
      </c>
      <c r="G5506" s="19">
        <f>IFERROR(__xludf.DUMMYFUNCTION("""COMPUTED_VALUE"""),0.00224)</f>
        <v>0.00224</v>
      </c>
      <c r="H5506" s="19" t="str">
        <f>IFERROR(__xludf.DUMMYFUNCTION("""COMPUTED_VALUE"""),"-")</f>
        <v>-</v>
      </c>
      <c r="I5506" s="19">
        <f>IFERROR(__xludf.DUMMYFUNCTION("""COMPUTED_VALUE"""),0.00218)</f>
        <v>0.00218</v>
      </c>
      <c r="J5506" s="19">
        <f>IFERROR(__xludf.DUMMYFUNCTION("""COMPUTED_VALUE"""),0.04744)</f>
        <v>0.04744</v>
      </c>
      <c r="K5506" s="19" t="str">
        <f>IFERROR(__xludf.DUMMYFUNCTION("""COMPUTED_VALUE"""),"-")</f>
        <v>-</v>
      </c>
      <c r="L5506" s="19" t="str">
        <f>IFERROR(__xludf.DUMMYFUNCTION("""COMPUTED_VALUE"""),"-")</f>
        <v>-</v>
      </c>
      <c r="O5506" s="24">
        <f t="shared" si="4"/>
        <v>0</v>
      </c>
      <c r="P5506" s="24"/>
      <c r="Q5506" s="24">
        <f t="shared" si="6"/>
        <v>0</v>
      </c>
      <c r="R5506" s="24">
        <f t="shared" si="7"/>
        <v>0</v>
      </c>
      <c r="S5506" s="24"/>
      <c r="T5506" s="24"/>
    </row>
    <row r="5507">
      <c r="A5507" s="12" t="s">
        <v>5594</v>
      </c>
      <c r="F5507" s="19">
        <f>IFERROR(__xludf.DUMMYFUNCTION("SPLIT(A5503, "" |"")"),5501.0)</f>
        <v>5501</v>
      </c>
      <c r="G5507" s="19">
        <f>IFERROR(__xludf.DUMMYFUNCTION("""COMPUTED_VALUE"""),0.00234)</f>
        <v>0.00234</v>
      </c>
      <c r="H5507" s="19" t="str">
        <f>IFERROR(__xludf.DUMMYFUNCTION("""COMPUTED_VALUE"""),"-")</f>
        <v>-</v>
      </c>
      <c r="I5507" s="19">
        <f>IFERROR(__xludf.DUMMYFUNCTION("""COMPUTED_VALUE"""),0.00226)</f>
        <v>0.00226</v>
      </c>
      <c r="J5507" s="19">
        <f>IFERROR(__xludf.DUMMYFUNCTION("""COMPUTED_VALUE"""),0.0474)</f>
        <v>0.0474</v>
      </c>
      <c r="K5507" s="19" t="str">
        <f>IFERROR(__xludf.DUMMYFUNCTION("""COMPUTED_VALUE"""),"-")</f>
        <v>-</v>
      </c>
      <c r="L5507" s="19" t="str">
        <f>IFERROR(__xludf.DUMMYFUNCTION("""COMPUTED_VALUE"""),"-")</f>
        <v>-</v>
      </c>
      <c r="O5507" s="24">
        <f t="shared" si="4"/>
        <v>0</v>
      </c>
      <c r="P5507" s="24"/>
      <c r="Q5507" s="24">
        <f t="shared" si="6"/>
        <v>0</v>
      </c>
      <c r="R5507" s="24">
        <f t="shared" si="7"/>
        <v>0</v>
      </c>
      <c r="S5507" s="24"/>
      <c r="T5507" s="24"/>
    </row>
    <row r="5508">
      <c r="A5508" s="12" t="s">
        <v>5595</v>
      </c>
      <c r="F5508" s="19">
        <f>IFERROR(__xludf.DUMMYFUNCTION("SPLIT(A5504, "" |"")"),5502.0)</f>
        <v>5502</v>
      </c>
      <c r="G5508" s="19">
        <f>IFERROR(__xludf.DUMMYFUNCTION("""COMPUTED_VALUE"""),0.00237)</f>
        <v>0.00237</v>
      </c>
      <c r="H5508" s="19" t="str">
        <f>IFERROR(__xludf.DUMMYFUNCTION("""COMPUTED_VALUE"""),"-")</f>
        <v>-</v>
      </c>
      <c r="I5508" s="19">
        <f>IFERROR(__xludf.DUMMYFUNCTION("""COMPUTED_VALUE"""),0.00214)</f>
        <v>0.00214</v>
      </c>
      <c r="J5508" s="19">
        <f>IFERROR(__xludf.DUMMYFUNCTION("""COMPUTED_VALUE"""),0.04182)</f>
        <v>0.04182</v>
      </c>
      <c r="K5508" s="19" t="str">
        <f>IFERROR(__xludf.DUMMYFUNCTION("""COMPUTED_VALUE"""),"-")</f>
        <v>-</v>
      </c>
      <c r="L5508" s="19" t="str">
        <f>IFERROR(__xludf.DUMMYFUNCTION("""COMPUTED_VALUE"""),"-")</f>
        <v>-</v>
      </c>
      <c r="O5508" s="24">
        <f t="shared" si="4"/>
        <v>0</v>
      </c>
      <c r="P5508" s="24"/>
      <c r="Q5508" s="24">
        <f t="shared" si="6"/>
        <v>0</v>
      </c>
      <c r="R5508" s="24">
        <f t="shared" si="7"/>
        <v>1</v>
      </c>
      <c r="S5508" s="24"/>
      <c r="T5508" s="24"/>
    </row>
    <row r="5509">
      <c r="A5509" s="12" t="s">
        <v>5596</v>
      </c>
      <c r="F5509" s="19">
        <f>IFERROR(__xludf.DUMMYFUNCTION("SPLIT(A5505, "" |"")"),5503.0)</f>
        <v>5503</v>
      </c>
      <c r="G5509" s="19">
        <f>IFERROR(__xludf.DUMMYFUNCTION("""COMPUTED_VALUE"""),0.00234)</f>
        <v>0.00234</v>
      </c>
      <c r="H5509" s="19" t="str">
        <f>IFERROR(__xludf.DUMMYFUNCTION("""COMPUTED_VALUE"""),"-")</f>
        <v>-</v>
      </c>
      <c r="I5509" s="19">
        <f>IFERROR(__xludf.DUMMYFUNCTION("""COMPUTED_VALUE"""),0.00221)</f>
        <v>0.00221</v>
      </c>
      <c r="J5509" s="19">
        <f>IFERROR(__xludf.DUMMYFUNCTION("""COMPUTED_VALUE"""),0.04748)</f>
        <v>0.04748</v>
      </c>
      <c r="K5509" s="19" t="str">
        <f>IFERROR(__xludf.DUMMYFUNCTION("""COMPUTED_VALUE"""),"-")</f>
        <v>-</v>
      </c>
      <c r="L5509" s="19" t="str">
        <f>IFERROR(__xludf.DUMMYFUNCTION("""COMPUTED_VALUE"""),"-")</f>
        <v>-</v>
      </c>
      <c r="O5509" s="24">
        <f t="shared" si="4"/>
        <v>0</v>
      </c>
      <c r="P5509" s="24"/>
      <c r="Q5509" s="24">
        <f t="shared" si="6"/>
        <v>0</v>
      </c>
      <c r="R5509" s="24">
        <f t="shared" si="7"/>
        <v>0</v>
      </c>
      <c r="S5509" s="24"/>
      <c r="T5509" s="24"/>
    </row>
    <row r="5510">
      <c r="A5510" s="12" t="s">
        <v>5597</v>
      </c>
      <c r="F5510" s="19">
        <f>IFERROR(__xludf.DUMMYFUNCTION("SPLIT(A5506, "" |"")"),5504.0)</f>
        <v>5504</v>
      </c>
      <c r="G5510" s="19">
        <f>IFERROR(__xludf.DUMMYFUNCTION("""COMPUTED_VALUE"""),0.00245)</f>
        <v>0.00245</v>
      </c>
      <c r="H5510" s="19" t="str">
        <f>IFERROR(__xludf.DUMMYFUNCTION("""COMPUTED_VALUE"""),"-")</f>
        <v>-</v>
      </c>
      <c r="I5510" s="19">
        <f>IFERROR(__xludf.DUMMYFUNCTION("""COMPUTED_VALUE"""),0.00227)</f>
        <v>0.00227</v>
      </c>
      <c r="J5510" s="19">
        <f>IFERROR(__xludf.DUMMYFUNCTION("""COMPUTED_VALUE"""),0.04745)</f>
        <v>0.04745</v>
      </c>
      <c r="K5510" s="19" t="str">
        <f>IFERROR(__xludf.DUMMYFUNCTION("""COMPUTED_VALUE"""),"-")</f>
        <v>-</v>
      </c>
      <c r="L5510" s="19" t="str">
        <f>IFERROR(__xludf.DUMMYFUNCTION("""COMPUTED_VALUE"""),"-")</f>
        <v>-</v>
      </c>
      <c r="O5510" s="24">
        <f t="shared" si="4"/>
        <v>0</v>
      </c>
      <c r="P5510" s="24"/>
      <c r="Q5510" s="24">
        <f t="shared" si="6"/>
        <v>0</v>
      </c>
      <c r="R5510" s="24">
        <f t="shared" si="7"/>
        <v>0</v>
      </c>
      <c r="S5510" s="24"/>
      <c r="T5510" s="24"/>
    </row>
    <row r="5511">
      <c r="A5511" s="12" t="s">
        <v>5598</v>
      </c>
      <c r="F5511" s="19">
        <f>IFERROR(__xludf.DUMMYFUNCTION("SPLIT(A5507, "" |"")"),5505.0)</f>
        <v>5505</v>
      </c>
      <c r="G5511" s="19">
        <f>IFERROR(__xludf.DUMMYFUNCTION("""COMPUTED_VALUE"""),0.00243)</f>
        <v>0.00243</v>
      </c>
      <c r="H5511" s="19" t="str">
        <f>IFERROR(__xludf.DUMMYFUNCTION("""COMPUTED_VALUE"""),"-")</f>
        <v>-</v>
      </c>
      <c r="I5511" s="19">
        <f>IFERROR(__xludf.DUMMYFUNCTION("""COMPUTED_VALUE"""),0.00222)</f>
        <v>0.00222</v>
      </c>
      <c r="J5511" s="19">
        <f>IFERROR(__xludf.DUMMYFUNCTION("""COMPUTED_VALUE"""),0.04742)</f>
        <v>0.04742</v>
      </c>
      <c r="K5511" s="19" t="str">
        <f>IFERROR(__xludf.DUMMYFUNCTION("""COMPUTED_VALUE"""),"-")</f>
        <v>-</v>
      </c>
      <c r="L5511" s="19" t="str">
        <f>IFERROR(__xludf.DUMMYFUNCTION("""COMPUTED_VALUE"""),"-")</f>
        <v>-</v>
      </c>
      <c r="O5511" s="24">
        <f t="shared" si="4"/>
        <v>0</v>
      </c>
      <c r="P5511" s="24"/>
      <c r="Q5511" s="24">
        <f t="shared" si="6"/>
        <v>0</v>
      </c>
      <c r="R5511" s="24">
        <f t="shared" si="7"/>
        <v>0</v>
      </c>
      <c r="S5511" s="24"/>
      <c r="T5511" s="24"/>
    </row>
    <row r="5512">
      <c r="A5512" s="12" t="s">
        <v>5599</v>
      </c>
      <c r="F5512" s="19">
        <f>IFERROR(__xludf.DUMMYFUNCTION("SPLIT(A5508, "" |"")"),5506.0)</f>
        <v>5506</v>
      </c>
      <c r="G5512" s="19">
        <f>IFERROR(__xludf.DUMMYFUNCTION("""COMPUTED_VALUE"""),0.00242)</f>
        <v>0.00242</v>
      </c>
      <c r="H5512" s="19" t="str">
        <f>IFERROR(__xludf.DUMMYFUNCTION("""COMPUTED_VALUE"""),"-")</f>
        <v>-</v>
      </c>
      <c r="I5512" s="19">
        <f>IFERROR(__xludf.DUMMYFUNCTION("""COMPUTED_VALUE"""),0.00228)</f>
        <v>0.00228</v>
      </c>
      <c r="J5512" s="19">
        <f>IFERROR(__xludf.DUMMYFUNCTION("""COMPUTED_VALUE"""),0.04763)</f>
        <v>0.04763</v>
      </c>
      <c r="K5512" s="19" t="str">
        <f>IFERROR(__xludf.DUMMYFUNCTION("""COMPUTED_VALUE"""),"-")</f>
        <v>-</v>
      </c>
      <c r="L5512" s="19" t="str">
        <f>IFERROR(__xludf.DUMMYFUNCTION("""COMPUTED_VALUE"""),"-")</f>
        <v>-</v>
      </c>
      <c r="O5512" s="24">
        <f t="shared" si="4"/>
        <v>0</v>
      </c>
      <c r="P5512" s="24"/>
      <c r="Q5512" s="24">
        <f t="shared" si="6"/>
        <v>0</v>
      </c>
      <c r="R5512" s="24">
        <f t="shared" si="7"/>
        <v>0</v>
      </c>
      <c r="S5512" s="24"/>
      <c r="T5512" s="24"/>
    </row>
    <row r="5513">
      <c r="A5513" s="12" t="s">
        <v>5600</v>
      </c>
      <c r="F5513" s="19">
        <f>IFERROR(__xludf.DUMMYFUNCTION("SPLIT(A5509, "" |"")"),5507.0)</f>
        <v>5507</v>
      </c>
      <c r="G5513" s="19">
        <f>IFERROR(__xludf.DUMMYFUNCTION("""COMPUTED_VALUE"""),0.00251)</f>
        <v>0.00251</v>
      </c>
      <c r="H5513" s="19" t="str">
        <f>IFERROR(__xludf.DUMMYFUNCTION("""COMPUTED_VALUE"""),"-")</f>
        <v>-</v>
      </c>
      <c r="I5513" s="19">
        <f>IFERROR(__xludf.DUMMYFUNCTION("""COMPUTED_VALUE"""),0.00225)</f>
        <v>0.00225</v>
      </c>
      <c r="J5513" s="19">
        <f>IFERROR(__xludf.DUMMYFUNCTION("""COMPUTED_VALUE"""),0.04619)</f>
        <v>0.04619</v>
      </c>
      <c r="K5513" s="19" t="str">
        <f>IFERROR(__xludf.DUMMYFUNCTION("""COMPUTED_VALUE"""),"-")</f>
        <v>-</v>
      </c>
      <c r="L5513" s="19" t="str">
        <f>IFERROR(__xludf.DUMMYFUNCTION("""COMPUTED_VALUE"""),"-")</f>
        <v>-</v>
      </c>
      <c r="O5513" s="24">
        <f t="shared" si="4"/>
        <v>0</v>
      </c>
      <c r="P5513" s="24"/>
      <c r="Q5513" s="24">
        <f t="shared" si="6"/>
        <v>0</v>
      </c>
      <c r="R5513" s="24">
        <f t="shared" si="7"/>
        <v>0</v>
      </c>
      <c r="S5513" s="24"/>
      <c r="T5513" s="24"/>
    </row>
    <row r="5514">
      <c r="A5514" s="12" t="s">
        <v>5601</v>
      </c>
      <c r="F5514" s="19">
        <f>IFERROR(__xludf.DUMMYFUNCTION("SPLIT(A5510, "" |"")"),5508.0)</f>
        <v>5508</v>
      </c>
      <c r="G5514" s="19">
        <f>IFERROR(__xludf.DUMMYFUNCTION("""COMPUTED_VALUE"""),0.00238)</f>
        <v>0.00238</v>
      </c>
      <c r="H5514" s="19" t="str">
        <f>IFERROR(__xludf.DUMMYFUNCTION("""COMPUTED_VALUE"""),"-")</f>
        <v>-</v>
      </c>
      <c r="I5514" s="19">
        <f>IFERROR(__xludf.DUMMYFUNCTION("""COMPUTED_VALUE"""),0.00217)</f>
        <v>0.00217</v>
      </c>
      <c r="J5514" s="19">
        <f>IFERROR(__xludf.DUMMYFUNCTION("""COMPUTED_VALUE"""),0.04746)</f>
        <v>0.04746</v>
      </c>
      <c r="K5514" s="19" t="str">
        <f>IFERROR(__xludf.DUMMYFUNCTION("""COMPUTED_VALUE"""),"-")</f>
        <v>-</v>
      </c>
      <c r="L5514" s="19" t="str">
        <f>IFERROR(__xludf.DUMMYFUNCTION("""COMPUTED_VALUE"""),"-")</f>
        <v>-</v>
      </c>
      <c r="O5514" s="24">
        <f t="shared" si="4"/>
        <v>0</v>
      </c>
      <c r="P5514" s="24"/>
      <c r="Q5514" s="24">
        <f t="shared" si="6"/>
        <v>0</v>
      </c>
      <c r="R5514" s="24">
        <f t="shared" si="7"/>
        <v>0</v>
      </c>
      <c r="S5514" s="24"/>
      <c r="T5514" s="24"/>
    </row>
    <row r="5515">
      <c r="A5515" s="12" t="s">
        <v>5602</v>
      </c>
      <c r="F5515" s="19">
        <f>IFERROR(__xludf.DUMMYFUNCTION("SPLIT(A5511, "" |"")"),5509.0)</f>
        <v>5509</v>
      </c>
      <c r="G5515" s="19">
        <f>IFERROR(__xludf.DUMMYFUNCTION("""COMPUTED_VALUE"""),0.00233)</f>
        <v>0.00233</v>
      </c>
      <c r="H5515" s="19" t="str">
        <f>IFERROR(__xludf.DUMMYFUNCTION("""COMPUTED_VALUE"""),"-")</f>
        <v>-</v>
      </c>
      <c r="I5515" s="19">
        <f>IFERROR(__xludf.DUMMYFUNCTION("""COMPUTED_VALUE"""),0.00226)</f>
        <v>0.00226</v>
      </c>
      <c r="J5515" s="19">
        <f>IFERROR(__xludf.DUMMYFUNCTION("""COMPUTED_VALUE"""),0.04746)</f>
        <v>0.04746</v>
      </c>
      <c r="K5515" s="19" t="str">
        <f>IFERROR(__xludf.DUMMYFUNCTION("""COMPUTED_VALUE"""),"-")</f>
        <v>-</v>
      </c>
      <c r="L5515" s="19" t="str">
        <f>IFERROR(__xludf.DUMMYFUNCTION("""COMPUTED_VALUE"""),"-")</f>
        <v>-</v>
      </c>
      <c r="O5515" s="24">
        <f t="shared" si="4"/>
        <v>0</v>
      </c>
      <c r="P5515" s="24"/>
      <c r="Q5515" s="24">
        <f t="shared" si="6"/>
        <v>0</v>
      </c>
      <c r="R5515" s="24">
        <f t="shared" si="7"/>
        <v>0</v>
      </c>
      <c r="S5515" s="24"/>
      <c r="T5515" s="24"/>
    </row>
    <row r="5516">
      <c r="A5516" s="12" t="s">
        <v>5603</v>
      </c>
      <c r="F5516" s="19">
        <f>IFERROR(__xludf.DUMMYFUNCTION("SPLIT(A5512, "" |"")"),5510.0)</f>
        <v>5510</v>
      </c>
      <c r="G5516" s="19">
        <f>IFERROR(__xludf.DUMMYFUNCTION("""COMPUTED_VALUE"""),0.00241)</f>
        <v>0.00241</v>
      </c>
      <c r="H5516" s="19" t="str">
        <f>IFERROR(__xludf.DUMMYFUNCTION("""COMPUTED_VALUE"""),"-")</f>
        <v>-</v>
      </c>
      <c r="I5516" s="19">
        <f>IFERROR(__xludf.DUMMYFUNCTION("""COMPUTED_VALUE"""),0.00229)</f>
        <v>0.00229</v>
      </c>
      <c r="J5516" s="19">
        <f>IFERROR(__xludf.DUMMYFUNCTION("""COMPUTED_VALUE"""),0.04748)</f>
        <v>0.04748</v>
      </c>
      <c r="K5516" s="19" t="str">
        <f>IFERROR(__xludf.DUMMYFUNCTION("""COMPUTED_VALUE"""),"-")</f>
        <v>-</v>
      </c>
      <c r="L5516" s="19" t="str">
        <f>IFERROR(__xludf.DUMMYFUNCTION("""COMPUTED_VALUE"""),"-")</f>
        <v>-</v>
      </c>
      <c r="O5516" s="24">
        <f t="shared" si="4"/>
        <v>0</v>
      </c>
      <c r="P5516" s="24"/>
      <c r="Q5516" s="24">
        <f t="shared" si="6"/>
        <v>0</v>
      </c>
      <c r="R5516" s="24">
        <f t="shared" si="7"/>
        <v>0</v>
      </c>
      <c r="S5516" s="24"/>
      <c r="T5516" s="24"/>
    </row>
    <row r="5517">
      <c r="A5517" s="12" t="s">
        <v>5604</v>
      </c>
      <c r="F5517" s="19">
        <f>IFERROR(__xludf.DUMMYFUNCTION("SPLIT(A5513, "" |"")"),5511.0)</f>
        <v>5511</v>
      </c>
      <c r="G5517" s="19">
        <f>IFERROR(__xludf.DUMMYFUNCTION("""COMPUTED_VALUE"""),0.00226)</f>
        <v>0.00226</v>
      </c>
      <c r="H5517" s="19" t="str">
        <f>IFERROR(__xludf.DUMMYFUNCTION("""COMPUTED_VALUE"""),"-")</f>
        <v>-</v>
      </c>
      <c r="I5517" s="19">
        <f>IFERROR(__xludf.DUMMYFUNCTION("""COMPUTED_VALUE"""),0.00213)</f>
        <v>0.00213</v>
      </c>
      <c r="J5517" s="19">
        <f>IFERROR(__xludf.DUMMYFUNCTION("""COMPUTED_VALUE"""),0.04733)</f>
        <v>0.04733</v>
      </c>
      <c r="K5517" s="19" t="str">
        <f>IFERROR(__xludf.DUMMYFUNCTION("""COMPUTED_VALUE"""),"-")</f>
        <v>-</v>
      </c>
      <c r="L5517" s="19" t="str">
        <f>IFERROR(__xludf.DUMMYFUNCTION("""COMPUTED_VALUE"""),"-")</f>
        <v>-</v>
      </c>
      <c r="O5517" s="24">
        <f t="shared" si="4"/>
        <v>0</v>
      </c>
      <c r="P5517" s="24"/>
      <c r="Q5517" s="24">
        <f t="shared" si="6"/>
        <v>0</v>
      </c>
      <c r="R5517" s="24">
        <f t="shared" si="7"/>
        <v>0</v>
      </c>
      <c r="S5517" s="24"/>
      <c r="T5517" s="24"/>
    </row>
    <row r="5518">
      <c r="A5518" s="12" t="s">
        <v>5605</v>
      </c>
      <c r="F5518" s="19">
        <f>IFERROR(__xludf.DUMMYFUNCTION("SPLIT(A5514, "" |"")"),5512.0)</f>
        <v>5512</v>
      </c>
      <c r="G5518" s="19">
        <f>IFERROR(__xludf.DUMMYFUNCTION("""COMPUTED_VALUE"""),0.00225)</f>
        <v>0.00225</v>
      </c>
      <c r="H5518" s="19" t="str">
        <f>IFERROR(__xludf.DUMMYFUNCTION("""COMPUTED_VALUE"""),"-")</f>
        <v>-</v>
      </c>
      <c r="I5518" s="19">
        <f>IFERROR(__xludf.DUMMYFUNCTION("""COMPUTED_VALUE"""),0.00212)</f>
        <v>0.00212</v>
      </c>
      <c r="J5518" s="19">
        <f>IFERROR(__xludf.DUMMYFUNCTION("""COMPUTED_VALUE"""),0.04744)</f>
        <v>0.04744</v>
      </c>
      <c r="K5518" s="19" t="str">
        <f>IFERROR(__xludf.DUMMYFUNCTION("""COMPUTED_VALUE"""),"-")</f>
        <v>-</v>
      </c>
      <c r="L5518" s="19" t="str">
        <f>IFERROR(__xludf.DUMMYFUNCTION("""COMPUTED_VALUE"""),"-")</f>
        <v>-</v>
      </c>
      <c r="O5518" s="24">
        <f t="shared" si="4"/>
        <v>0</v>
      </c>
      <c r="P5518" s="24"/>
      <c r="Q5518" s="24">
        <f t="shared" si="6"/>
        <v>0</v>
      </c>
      <c r="R5518" s="24">
        <f t="shared" si="7"/>
        <v>0</v>
      </c>
      <c r="S5518" s="24"/>
      <c r="T5518" s="24"/>
    </row>
    <row r="5519">
      <c r="A5519" s="12" t="s">
        <v>5606</v>
      </c>
      <c r="F5519" s="19">
        <f>IFERROR(__xludf.DUMMYFUNCTION("SPLIT(A5515, "" |"")"),5513.0)</f>
        <v>5513</v>
      </c>
      <c r="G5519" s="19">
        <f>IFERROR(__xludf.DUMMYFUNCTION("""COMPUTED_VALUE"""),0.00238)</f>
        <v>0.00238</v>
      </c>
      <c r="H5519" s="19" t="str">
        <f>IFERROR(__xludf.DUMMYFUNCTION("""COMPUTED_VALUE"""),"-")</f>
        <v>-</v>
      </c>
      <c r="I5519" s="19">
        <f>IFERROR(__xludf.DUMMYFUNCTION("""COMPUTED_VALUE"""),0.00227)</f>
        <v>0.00227</v>
      </c>
      <c r="J5519" s="19">
        <f>IFERROR(__xludf.DUMMYFUNCTION("""COMPUTED_VALUE"""),0.04572)</f>
        <v>0.04572</v>
      </c>
      <c r="K5519" s="19" t="str">
        <f>IFERROR(__xludf.DUMMYFUNCTION("""COMPUTED_VALUE"""),"-")</f>
        <v>-</v>
      </c>
      <c r="L5519" s="19" t="str">
        <f>IFERROR(__xludf.DUMMYFUNCTION("""COMPUTED_VALUE"""),"-")</f>
        <v>-</v>
      </c>
      <c r="O5519" s="24">
        <f t="shared" si="4"/>
        <v>0</v>
      </c>
      <c r="P5519" s="24"/>
      <c r="Q5519" s="24">
        <f t="shared" si="6"/>
        <v>0</v>
      </c>
      <c r="R5519" s="24">
        <f t="shared" si="7"/>
        <v>0</v>
      </c>
      <c r="S5519" s="24"/>
      <c r="T5519" s="24"/>
    </row>
    <row r="5520">
      <c r="A5520" s="12" t="s">
        <v>5607</v>
      </c>
      <c r="F5520" s="19">
        <f>IFERROR(__xludf.DUMMYFUNCTION("SPLIT(A5516, "" |"")"),5514.0)</f>
        <v>5514</v>
      </c>
      <c r="G5520" s="19">
        <f>IFERROR(__xludf.DUMMYFUNCTION("""COMPUTED_VALUE"""),0.00241)</f>
        <v>0.00241</v>
      </c>
      <c r="H5520" s="19" t="str">
        <f>IFERROR(__xludf.DUMMYFUNCTION("""COMPUTED_VALUE"""),"-")</f>
        <v>-</v>
      </c>
      <c r="I5520" s="19">
        <f>IFERROR(__xludf.DUMMYFUNCTION("""COMPUTED_VALUE"""),0.00225)</f>
        <v>0.00225</v>
      </c>
      <c r="J5520" s="19">
        <f>IFERROR(__xludf.DUMMYFUNCTION("""COMPUTED_VALUE"""),0.04741)</f>
        <v>0.04741</v>
      </c>
      <c r="K5520" s="19" t="str">
        <f>IFERROR(__xludf.DUMMYFUNCTION("""COMPUTED_VALUE"""),"-")</f>
        <v>-</v>
      </c>
      <c r="L5520" s="19" t="str">
        <f>IFERROR(__xludf.DUMMYFUNCTION("""COMPUTED_VALUE"""),"-")</f>
        <v>-</v>
      </c>
      <c r="O5520" s="24">
        <f t="shared" si="4"/>
        <v>0</v>
      </c>
      <c r="P5520" s="24"/>
      <c r="Q5520" s="24">
        <f t="shared" si="6"/>
        <v>0</v>
      </c>
      <c r="R5520" s="24">
        <f t="shared" si="7"/>
        <v>0</v>
      </c>
      <c r="S5520" s="24"/>
      <c r="T5520" s="24"/>
    </row>
    <row r="5521">
      <c r="A5521" s="12" t="s">
        <v>5608</v>
      </c>
      <c r="F5521" s="19">
        <f>IFERROR(__xludf.DUMMYFUNCTION("SPLIT(A5517, "" |"")"),5515.0)</f>
        <v>5515</v>
      </c>
      <c r="G5521" s="19">
        <f>IFERROR(__xludf.DUMMYFUNCTION("""COMPUTED_VALUE"""),0.00239)</f>
        <v>0.00239</v>
      </c>
      <c r="H5521" s="19" t="str">
        <f>IFERROR(__xludf.DUMMYFUNCTION("""COMPUTED_VALUE"""),"-")</f>
        <v>-</v>
      </c>
      <c r="I5521" s="19">
        <f>IFERROR(__xludf.DUMMYFUNCTION("""COMPUTED_VALUE"""),0.00225)</f>
        <v>0.00225</v>
      </c>
      <c r="J5521" s="19">
        <f>IFERROR(__xludf.DUMMYFUNCTION("""COMPUTED_VALUE"""),0.0475)</f>
        <v>0.0475</v>
      </c>
      <c r="K5521" s="19" t="str">
        <f>IFERROR(__xludf.DUMMYFUNCTION("""COMPUTED_VALUE"""),"-")</f>
        <v>-</v>
      </c>
      <c r="L5521" s="19" t="str">
        <f>IFERROR(__xludf.DUMMYFUNCTION("""COMPUTED_VALUE"""),"-")</f>
        <v>-</v>
      </c>
      <c r="O5521" s="24">
        <f t="shared" si="4"/>
        <v>0</v>
      </c>
      <c r="P5521" s="24"/>
      <c r="Q5521" s="24">
        <f t="shared" si="6"/>
        <v>0</v>
      </c>
      <c r="R5521" s="24">
        <f t="shared" si="7"/>
        <v>0</v>
      </c>
      <c r="S5521" s="24"/>
      <c r="T5521" s="24"/>
    </row>
    <row r="5522">
      <c r="A5522" s="12" t="s">
        <v>5609</v>
      </c>
      <c r="F5522" s="19">
        <f>IFERROR(__xludf.DUMMYFUNCTION("SPLIT(A5518, "" |"")"),5516.0)</f>
        <v>5516</v>
      </c>
      <c r="G5522" s="19">
        <f>IFERROR(__xludf.DUMMYFUNCTION("""COMPUTED_VALUE"""),0.00235)</f>
        <v>0.00235</v>
      </c>
      <c r="H5522" s="19" t="str">
        <f>IFERROR(__xludf.DUMMYFUNCTION("""COMPUTED_VALUE"""),"-")</f>
        <v>-</v>
      </c>
      <c r="I5522" s="19">
        <f>IFERROR(__xludf.DUMMYFUNCTION("""COMPUTED_VALUE"""),0.00223)</f>
        <v>0.00223</v>
      </c>
      <c r="J5522" s="19">
        <f>IFERROR(__xludf.DUMMYFUNCTION("""COMPUTED_VALUE"""),0.04453)</f>
        <v>0.04453</v>
      </c>
      <c r="K5522" s="19" t="str">
        <f>IFERROR(__xludf.DUMMYFUNCTION("""COMPUTED_VALUE"""),"-")</f>
        <v>-</v>
      </c>
      <c r="L5522" s="19" t="str">
        <f>IFERROR(__xludf.DUMMYFUNCTION("""COMPUTED_VALUE"""),"-")</f>
        <v>-</v>
      </c>
      <c r="O5522" s="24">
        <f t="shared" si="4"/>
        <v>0</v>
      </c>
      <c r="P5522" s="24"/>
      <c r="Q5522" s="24">
        <f t="shared" si="6"/>
        <v>0</v>
      </c>
      <c r="R5522" s="24">
        <f t="shared" si="7"/>
        <v>1</v>
      </c>
      <c r="S5522" s="24"/>
      <c r="T5522" s="24"/>
    </row>
    <row r="5523">
      <c r="A5523" s="12" t="s">
        <v>5610</v>
      </c>
      <c r="F5523" s="19">
        <f>IFERROR(__xludf.DUMMYFUNCTION("SPLIT(A5519, "" |"")"),5517.0)</f>
        <v>5517</v>
      </c>
      <c r="G5523" s="19">
        <f>IFERROR(__xludf.DUMMYFUNCTION("""COMPUTED_VALUE"""),0.0024)</f>
        <v>0.0024</v>
      </c>
      <c r="H5523" s="19" t="str">
        <f>IFERROR(__xludf.DUMMYFUNCTION("""COMPUTED_VALUE"""),"-")</f>
        <v>-</v>
      </c>
      <c r="I5523" s="19">
        <f>IFERROR(__xludf.DUMMYFUNCTION("""COMPUTED_VALUE"""),0.00224)</f>
        <v>0.00224</v>
      </c>
      <c r="J5523" s="19">
        <f>IFERROR(__xludf.DUMMYFUNCTION("""COMPUTED_VALUE"""),0.04091)</f>
        <v>0.04091</v>
      </c>
      <c r="K5523" s="19" t="str">
        <f>IFERROR(__xludf.DUMMYFUNCTION("""COMPUTED_VALUE"""),"-")</f>
        <v>-</v>
      </c>
      <c r="L5523" s="19" t="str">
        <f>IFERROR(__xludf.DUMMYFUNCTION("""COMPUTED_VALUE"""),"-")</f>
        <v>-</v>
      </c>
      <c r="O5523" s="24">
        <f t="shared" si="4"/>
        <v>0</v>
      </c>
      <c r="P5523" s="24"/>
      <c r="Q5523" s="24">
        <f t="shared" si="6"/>
        <v>0</v>
      </c>
      <c r="R5523" s="24">
        <f t="shared" si="7"/>
        <v>1</v>
      </c>
      <c r="S5523" s="24"/>
      <c r="T5523" s="24"/>
    </row>
    <row r="5524">
      <c r="A5524" s="12" t="s">
        <v>5611</v>
      </c>
      <c r="F5524" s="19">
        <f>IFERROR(__xludf.DUMMYFUNCTION("SPLIT(A5520, "" |"")"),5518.0)</f>
        <v>5518</v>
      </c>
      <c r="G5524" s="19">
        <f>IFERROR(__xludf.DUMMYFUNCTION("""COMPUTED_VALUE"""),0.00231)</f>
        <v>0.00231</v>
      </c>
      <c r="H5524" s="19" t="str">
        <f>IFERROR(__xludf.DUMMYFUNCTION("""COMPUTED_VALUE"""),"-")</f>
        <v>-</v>
      </c>
      <c r="I5524" s="19">
        <f>IFERROR(__xludf.DUMMYFUNCTION("""COMPUTED_VALUE"""),0.0022)</f>
        <v>0.0022</v>
      </c>
      <c r="J5524" s="19">
        <f>IFERROR(__xludf.DUMMYFUNCTION("""COMPUTED_VALUE"""),0.04052)</f>
        <v>0.04052</v>
      </c>
      <c r="K5524" s="19" t="str">
        <f>IFERROR(__xludf.DUMMYFUNCTION("""COMPUTED_VALUE"""),"-")</f>
        <v>-</v>
      </c>
      <c r="L5524" s="19" t="str">
        <f>IFERROR(__xludf.DUMMYFUNCTION("""COMPUTED_VALUE"""),"-")</f>
        <v>-</v>
      </c>
      <c r="O5524" s="24">
        <f t="shared" si="4"/>
        <v>0</v>
      </c>
      <c r="P5524" s="24"/>
      <c r="Q5524" s="24">
        <f t="shared" si="6"/>
        <v>0</v>
      </c>
      <c r="R5524" s="24">
        <f t="shared" si="7"/>
        <v>1</v>
      </c>
      <c r="S5524" s="24"/>
      <c r="T5524" s="24"/>
    </row>
    <row r="5525">
      <c r="A5525" s="12" t="s">
        <v>5612</v>
      </c>
      <c r="F5525" s="19">
        <f>IFERROR(__xludf.DUMMYFUNCTION("SPLIT(A5521, "" |"")"),5519.0)</f>
        <v>5519</v>
      </c>
      <c r="G5525" s="19">
        <f>IFERROR(__xludf.DUMMYFUNCTION("""COMPUTED_VALUE"""),0.00236)</f>
        <v>0.00236</v>
      </c>
      <c r="H5525" s="19" t="str">
        <f>IFERROR(__xludf.DUMMYFUNCTION("""COMPUTED_VALUE"""),"-")</f>
        <v>-</v>
      </c>
      <c r="I5525" s="19">
        <f>IFERROR(__xludf.DUMMYFUNCTION("""COMPUTED_VALUE"""),0.00226)</f>
        <v>0.00226</v>
      </c>
      <c r="J5525" s="19">
        <f>IFERROR(__xludf.DUMMYFUNCTION("""COMPUTED_VALUE"""),0.0474)</f>
        <v>0.0474</v>
      </c>
      <c r="K5525" s="19" t="str">
        <f>IFERROR(__xludf.DUMMYFUNCTION("""COMPUTED_VALUE"""),"-")</f>
        <v>-</v>
      </c>
      <c r="L5525" s="19" t="str">
        <f>IFERROR(__xludf.DUMMYFUNCTION("""COMPUTED_VALUE"""),"-")</f>
        <v>-</v>
      </c>
      <c r="O5525" s="24">
        <f t="shared" si="4"/>
        <v>0</v>
      </c>
      <c r="P5525" s="24"/>
      <c r="Q5525" s="24">
        <f t="shared" si="6"/>
        <v>0</v>
      </c>
      <c r="R5525" s="24">
        <f t="shared" si="7"/>
        <v>0</v>
      </c>
      <c r="S5525" s="24"/>
      <c r="T5525" s="24"/>
    </row>
    <row r="5526">
      <c r="A5526" s="12" t="s">
        <v>5613</v>
      </c>
      <c r="F5526" s="19">
        <f>IFERROR(__xludf.DUMMYFUNCTION("SPLIT(A5522, "" |"")"),5520.0)</f>
        <v>5520</v>
      </c>
      <c r="G5526" s="19">
        <f>IFERROR(__xludf.DUMMYFUNCTION("""COMPUTED_VALUE"""),0.00241)</f>
        <v>0.00241</v>
      </c>
      <c r="H5526" s="19" t="str">
        <f>IFERROR(__xludf.DUMMYFUNCTION("""COMPUTED_VALUE"""),"-")</f>
        <v>-</v>
      </c>
      <c r="I5526" s="19">
        <f>IFERROR(__xludf.DUMMYFUNCTION("""COMPUTED_VALUE"""),0.00225)</f>
        <v>0.00225</v>
      </c>
      <c r="J5526" s="19">
        <f>IFERROR(__xludf.DUMMYFUNCTION("""COMPUTED_VALUE"""),0.04743)</f>
        <v>0.04743</v>
      </c>
      <c r="K5526" s="19" t="str">
        <f>IFERROR(__xludf.DUMMYFUNCTION("""COMPUTED_VALUE"""),"-")</f>
        <v>-</v>
      </c>
      <c r="L5526" s="19" t="str">
        <f>IFERROR(__xludf.DUMMYFUNCTION("""COMPUTED_VALUE"""),"-")</f>
        <v>-</v>
      </c>
      <c r="O5526" s="24">
        <f t="shared" si="4"/>
        <v>0</v>
      </c>
      <c r="P5526" s="24"/>
      <c r="Q5526" s="24">
        <f t="shared" si="6"/>
        <v>0</v>
      </c>
      <c r="R5526" s="24">
        <f t="shared" si="7"/>
        <v>0</v>
      </c>
      <c r="S5526" s="24"/>
      <c r="T5526" s="24"/>
    </row>
    <row r="5527">
      <c r="A5527" s="12" t="s">
        <v>5614</v>
      </c>
      <c r="F5527" s="19">
        <f>IFERROR(__xludf.DUMMYFUNCTION("SPLIT(A5523, "" |"")"),5521.0)</f>
        <v>5521</v>
      </c>
      <c r="G5527" s="19">
        <f>IFERROR(__xludf.DUMMYFUNCTION("""COMPUTED_VALUE"""),0.00233)</f>
        <v>0.00233</v>
      </c>
      <c r="H5527" s="19" t="str">
        <f>IFERROR(__xludf.DUMMYFUNCTION("""COMPUTED_VALUE"""),"-")</f>
        <v>-</v>
      </c>
      <c r="I5527" s="19">
        <f>IFERROR(__xludf.DUMMYFUNCTION("""COMPUTED_VALUE"""),0.00225)</f>
        <v>0.00225</v>
      </c>
      <c r="J5527" s="19">
        <f>IFERROR(__xludf.DUMMYFUNCTION("""COMPUTED_VALUE"""),0.04745)</f>
        <v>0.04745</v>
      </c>
      <c r="K5527" s="19" t="str">
        <f>IFERROR(__xludf.DUMMYFUNCTION("""COMPUTED_VALUE"""),"-")</f>
        <v>-</v>
      </c>
      <c r="L5527" s="19" t="str">
        <f>IFERROR(__xludf.DUMMYFUNCTION("""COMPUTED_VALUE"""),"-")</f>
        <v>-</v>
      </c>
      <c r="O5527" s="24">
        <f t="shared" si="4"/>
        <v>0</v>
      </c>
      <c r="P5527" s="24"/>
      <c r="Q5527" s="24">
        <f t="shared" si="6"/>
        <v>0</v>
      </c>
      <c r="R5527" s="24">
        <f t="shared" si="7"/>
        <v>0</v>
      </c>
      <c r="S5527" s="24"/>
      <c r="T5527" s="24"/>
    </row>
    <row r="5528">
      <c r="A5528" s="12" t="s">
        <v>5615</v>
      </c>
      <c r="F5528" s="19">
        <f>IFERROR(__xludf.DUMMYFUNCTION("SPLIT(A5524, "" |"")"),5522.0)</f>
        <v>5522</v>
      </c>
      <c r="G5528" s="19">
        <f>IFERROR(__xludf.DUMMYFUNCTION("""COMPUTED_VALUE"""),0.00237)</f>
        <v>0.00237</v>
      </c>
      <c r="H5528" s="19" t="str">
        <f>IFERROR(__xludf.DUMMYFUNCTION("""COMPUTED_VALUE"""),"-")</f>
        <v>-</v>
      </c>
      <c r="I5528" s="19">
        <f>IFERROR(__xludf.DUMMYFUNCTION("""COMPUTED_VALUE"""),0.00227)</f>
        <v>0.00227</v>
      </c>
      <c r="J5528" s="19">
        <f>IFERROR(__xludf.DUMMYFUNCTION("""COMPUTED_VALUE"""),0.04743)</f>
        <v>0.04743</v>
      </c>
      <c r="K5528" s="19" t="str">
        <f>IFERROR(__xludf.DUMMYFUNCTION("""COMPUTED_VALUE"""),"-")</f>
        <v>-</v>
      </c>
      <c r="L5528" s="19" t="str">
        <f>IFERROR(__xludf.DUMMYFUNCTION("""COMPUTED_VALUE"""),"-")</f>
        <v>-</v>
      </c>
      <c r="O5528" s="24">
        <f t="shared" si="4"/>
        <v>0</v>
      </c>
      <c r="P5528" s="24"/>
      <c r="Q5528" s="24">
        <f t="shared" si="6"/>
        <v>0</v>
      </c>
      <c r="R5528" s="24">
        <f t="shared" si="7"/>
        <v>0</v>
      </c>
      <c r="S5528" s="24"/>
      <c r="T5528" s="24"/>
    </row>
    <row r="5529">
      <c r="A5529" s="12" t="s">
        <v>5616</v>
      </c>
      <c r="F5529" s="19">
        <f>IFERROR(__xludf.DUMMYFUNCTION("SPLIT(A5525, "" |"")"),5523.0)</f>
        <v>5523</v>
      </c>
      <c r="G5529" s="19">
        <f>IFERROR(__xludf.DUMMYFUNCTION("""COMPUTED_VALUE"""),0.00246)</f>
        <v>0.00246</v>
      </c>
      <c r="H5529" s="19" t="str">
        <f>IFERROR(__xludf.DUMMYFUNCTION("""COMPUTED_VALUE"""),"-")</f>
        <v>-</v>
      </c>
      <c r="I5529" s="19">
        <f>IFERROR(__xludf.DUMMYFUNCTION("""COMPUTED_VALUE"""),0.00221)</f>
        <v>0.00221</v>
      </c>
      <c r="J5529" s="19">
        <f>IFERROR(__xludf.DUMMYFUNCTION("""COMPUTED_VALUE"""),0.04748)</f>
        <v>0.04748</v>
      </c>
      <c r="K5529" s="19" t="str">
        <f>IFERROR(__xludf.DUMMYFUNCTION("""COMPUTED_VALUE"""),"-")</f>
        <v>-</v>
      </c>
      <c r="L5529" s="19" t="str">
        <f>IFERROR(__xludf.DUMMYFUNCTION("""COMPUTED_VALUE"""),"-")</f>
        <v>-</v>
      </c>
      <c r="O5529" s="24">
        <f t="shared" si="4"/>
        <v>0</v>
      </c>
      <c r="P5529" s="24"/>
      <c r="Q5529" s="24">
        <f t="shared" si="6"/>
        <v>0</v>
      </c>
      <c r="R5529" s="24">
        <f t="shared" si="7"/>
        <v>0</v>
      </c>
      <c r="S5529" s="24"/>
      <c r="T5529" s="24"/>
    </row>
    <row r="5530">
      <c r="A5530" s="12" t="s">
        <v>5617</v>
      </c>
      <c r="F5530" s="19">
        <f>IFERROR(__xludf.DUMMYFUNCTION("SPLIT(A5526, "" |"")"),5524.0)</f>
        <v>5524</v>
      </c>
      <c r="G5530" s="19">
        <f>IFERROR(__xludf.DUMMYFUNCTION("""COMPUTED_VALUE"""),0.00239)</f>
        <v>0.00239</v>
      </c>
      <c r="H5530" s="19" t="str">
        <f>IFERROR(__xludf.DUMMYFUNCTION("""COMPUTED_VALUE"""),"-")</f>
        <v>-</v>
      </c>
      <c r="I5530" s="19">
        <f>IFERROR(__xludf.DUMMYFUNCTION("""COMPUTED_VALUE"""),0.00229)</f>
        <v>0.00229</v>
      </c>
      <c r="J5530" s="19">
        <f>IFERROR(__xludf.DUMMYFUNCTION("""COMPUTED_VALUE"""),0.04748)</f>
        <v>0.04748</v>
      </c>
      <c r="K5530" s="19" t="str">
        <f>IFERROR(__xludf.DUMMYFUNCTION("""COMPUTED_VALUE"""),"-")</f>
        <v>-</v>
      </c>
      <c r="L5530" s="19" t="str">
        <f>IFERROR(__xludf.DUMMYFUNCTION("""COMPUTED_VALUE"""),"-")</f>
        <v>-</v>
      </c>
      <c r="O5530" s="24">
        <f t="shared" si="4"/>
        <v>0</v>
      </c>
      <c r="P5530" s="24"/>
      <c r="Q5530" s="24">
        <f t="shared" si="6"/>
        <v>0</v>
      </c>
      <c r="R5530" s="24">
        <f t="shared" si="7"/>
        <v>0</v>
      </c>
      <c r="S5530" s="24"/>
      <c r="T5530" s="24"/>
    </row>
    <row r="5531">
      <c r="A5531" s="12" t="s">
        <v>5618</v>
      </c>
      <c r="F5531" s="19">
        <f>IFERROR(__xludf.DUMMYFUNCTION("SPLIT(A5527, "" |"")"),5525.0)</f>
        <v>5525</v>
      </c>
      <c r="G5531" s="19">
        <f>IFERROR(__xludf.DUMMYFUNCTION("""COMPUTED_VALUE"""),0.00235)</f>
        <v>0.00235</v>
      </c>
      <c r="H5531" s="19" t="str">
        <f>IFERROR(__xludf.DUMMYFUNCTION("""COMPUTED_VALUE"""),"-")</f>
        <v>-</v>
      </c>
      <c r="I5531" s="19">
        <f>IFERROR(__xludf.DUMMYFUNCTION("""COMPUTED_VALUE"""),0.0022)</f>
        <v>0.0022</v>
      </c>
      <c r="J5531" s="19">
        <f>IFERROR(__xludf.DUMMYFUNCTION("""COMPUTED_VALUE"""),0.04742)</f>
        <v>0.04742</v>
      </c>
      <c r="K5531" s="19" t="str">
        <f>IFERROR(__xludf.DUMMYFUNCTION("""COMPUTED_VALUE"""),"-")</f>
        <v>-</v>
      </c>
      <c r="L5531" s="19" t="str">
        <f>IFERROR(__xludf.DUMMYFUNCTION("""COMPUTED_VALUE"""),"-")</f>
        <v>-</v>
      </c>
      <c r="O5531" s="24">
        <f t="shared" si="4"/>
        <v>0</v>
      </c>
      <c r="P5531" s="24"/>
      <c r="Q5531" s="24">
        <f t="shared" si="6"/>
        <v>0</v>
      </c>
      <c r="R5531" s="24">
        <f t="shared" si="7"/>
        <v>0</v>
      </c>
      <c r="S5531" s="24"/>
      <c r="T5531" s="24"/>
    </row>
    <row r="5532">
      <c r="A5532" s="12" t="s">
        <v>5619</v>
      </c>
      <c r="F5532" s="19">
        <f>IFERROR(__xludf.DUMMYFUNCTION("SPLIT(A5528, "" |"")"),5526.0)</f>
        <v>5526</v>
      </c>
      <c r="G5532" s="19">
        <f>IFERROR(__xludf.DUMMYFUNCTION("""COMPUTED_VALUE"""),0.00238)</f>
        <v>0.00238</v>
      </c>
      <c r="H5532" s="19" t="str">
        <f>IFERROR(__xludf.DUMMYFUNCTION("""COMPUTED_VALUE"""),"-")</f>
        <v>-</v>
      </c>
      <c r="I5532" s="19">
        <f>IFERROR(__xludf.DUMMYFUNCTION("""COMPUTED_VALUE"""),0.00224)</f>
        <v>0.00224</v>
      </c>
      <c r="J5532" s="19">
        <f>IFERROR(__xludf.DUMMYFUNCTION("""COMPUTED_VALUE"""),0.04748)</f>
        <v>0.04748</v>
      </c>
      <c r="K5532" s="19" t="str">
        <f>IFERROR(__xludf.DUMMYFUNCTION("""COMPUTED_VALUE"""),"-")</f>
        <v>-</v>
      </c>
      <c r="L5532" s="19" t="str">
        <f>IFERROR(__xludf.DUMMYFUNCTION("""COMPUTED_VALUE"""),"-")</f>
        <v>-</v>
      </c>
      <c r="O5532" s="24">
        <f t="shared" si="4"/>
        <v>0</v>
      </c>
      <c r="P5532" s="24"/>
      <c r="Q5532" s="24">
        <f t="shared" si="6"/>
        <v>0</v>
      </c>
      <c r="R5532" s="24">
        <f t="shared" si="7"/>
        <v>0</v>
      </c>
      <c r="S5532" s="24"/>
      <c r="T5532" s="24"/>
    </row>
    <row r="5533">
      <c r="A5533" s="12" t="s">
        <v>5620</v>
      </c>
      <c r="F5533" s="19">
        <f>IFERROR(__xludf.DUMMYFUNCTION("SPLIT(A5529, "" |"")"),5527.0)</f>
        <v>5527</v>
      </c>
      <c r="G5533" s="19">
        <f>IFERROR(__xludf.DUMMYFUNCTION("""COMPUTED_VALUE"""),0.00236)</f>
        <v>0.00236</v>
      </c>
      <c r="H5533" s="19" t="str">
        <f>IFERROR(__xludf.DUMMYFUNCTION("""COMPUTED_VALUE"""),"-")</f>
        <v>-</v>
      </c>
      <c r="I5533" s="19">
        <f>IFERROR(__xludf.DUMMYFUNCTION("""COMPUTED_VALUE"""),0.00224)</f>
        <v>0.00224</v>
      </c>
      <c r="J5533" s="19">
        <f>IFERROR(__xludf.DUMMYFUNCTION("""COMPUTED_VALUE"""),0.04745)</f>
        <v>0.04745</v>
      </c>
      <c r="K5533" s="19" t="str">
        <f>IFERROR(__xludf.DUMMYFUNCTION("""COMPUTED_VALUE"""),"-")</f>
        <v>-</v>
      </c>
      <c r="L5533" s="19" t="str">
        <f>IFERROR(__xludf.DUMMYFUNCTION("""COMPUTED_VALUE"""),"-")</f>
        <v>-</v>
      </c>
      <c r="O5533" s="24">
        <f t="shared" si="4"/>
        <v>0</v>
      </c>
      <c r="P5533" s="24"/>
      <c r="Q5533" s="24">
        <f t="shared" si="6"/>
        <v>0</v>
      </c>
      <c r="R5533" s="24">
        <f t="shared" si="7"/>
        <v>0</v>
      </c>
      <c r="S5533" s="24"/>
      <c r="T5533" s="24"/>
    </row>
    <row r="5534">
      <c r="A5534" s="12" t="s">
        <v>5621</v>
      </c>
      <c r="F5534" s="19">
        <f>IFERROR(__xludf.DUMMYFUNCTION("SPLIT(A5530, "" |"")"),5528.0)</f>
        <v>5528</v>
      </c>
      <c r="G5534" s="19">
        <f>IFERROR(__xludf.DUMMYFUNCTION("""COMPUTED_VALUE"""),0.0023)</f>
        <v>0.0023</v>
      </c>
      <c r="H5534" s="19" t="str">
        <f>IFERROR(__xludf.DUMMYFUNCTION("""COMPUTED_VALUE"""),"-")</f>
        <v>-</v>
      </c>
      <c r="I5534" s="19">
        <f>IFERROR(__xludf.DUMMYFUNCTION("""COMPUTED_VALUE"""),0.00221)</f>
        <v>0.00221</v>
      </c>
      <c r="J5534" s="19">
        <f>IFERROR(__xludf.DUMMYFUNCTION("""COMPUTED_VALUE"""),0.04741)</f>
        <v>0.04741</v>
      </c>
      <c r="K5534" s="19" t="str">
        <f>IFERROR(__xludf.DUMMYFUNCTION("""COMPUTED_VALUE"""),"-")</f>
        <v>-</v>
      </c>
      <c r="L5534" s="19" t="str">
        <f>IFERROR(__xludf.DUMMYFUNCTION("""COMPUTED_VALUE"""),"-")</f>
        <v>-</v>
      </c>
      <c r="O5534" s="24">
        <f t="shared" si="4"/>
        <v>0</v>
      </c>
      <c r="P5534" s="24"/>
      <c r="Q5534" s="24">
        <f t="shared" si="6"/>
        <v>0</v>
      </c>
      <c r="R5534" s="24">
        <f t="shared" si="7"/>
        <v>0</v>
      </c>
      <c r="S5534" s="24"/>
      <c r="T5534" s="24"/>
    </row>
    <row r="5535">
      <c r="A5535" s="12" t="s">
        <v>5622</v>
      </c>
      <c r="F5535" s="19">
        <f>IFERROR(__xludf.DUMMYFUNCTION("SPLIT(A5531, "" |"")"),5529.0)</f>
        <v>5529</v>
      </c>
      <c r="G5535" s="19">
        <f>IFERROR(__xludf.DUMMYFUNCTION("""COMPUTED_VALUE"""),0.00235)</f>
        <v>0.00235</v>
      </c>
      <c r="H5535" s="19" t="str">
        <f>IFERROR(__xludf.DUMMYFUNCTION("""COMPUTED_VALUE"""),"-")</f>
        <v>-</v>
      </c>
      <c r="I5535" s="19">
        <f>IFERROR(__xludf.DUMMYFUNCTION("""COMPUTED_VALUE"""),0.00211)</f>
        <v>0.00211</v>
      </c>
      <c r="J5535" s="19">
        <f>IFERROR(__xludf.DUMMYFUNCTION("""COMPUTED_VALUE"""),0.04735)</f>
        <v>0.04735</v>
      </c>
      <c r="K5535" s="19" t="str">
        <f>IFERROR(__xludf.DUMMYFUNCTION("""COMPUTED_VALUE"""),"-")</f>
        <v>-</v>
      </c>
      <c r="L5535" s="19" t="str">
        <f>IFERROR(__xludf.DUMMYFUNCTION("""COMPUTED_VALUE"""),"-")</f>
        <v>-</v>
      </c>
      <c r="O5535" s="24">
        <f t="shared" si="4"/>
        <v>0</v>
      </c>
      <c r="P5535" s="24"/>
      <c r="Q5535" s="24">
        <f t="shared" si="6"/>
        <v>0</v>
      </c>
      <c r="R5535" s="24">
        <f t="shared" si="7"/>
        <v>0</v>
      </c>
      <c r="S5535" s="24"/>
      <c r="T5535" s="24"/>
    </row>
    <row r="5536">
      <c r="A5536" s="12" t="s">
        <v>5623</v>
      </c>
      <c r="F5536" s="19">
        <f>IFERROR(__xludf.DUMMYFUNCTION("SPLIT(A5532, "" |"")"),5530.0)</f>
        <v>5530</v>
      </c>
      <c r="G5536" s="19">
        <f>IFERROR(__xludf.DUMMYFUNCTION("""COMPUTED_VALUE"""),0.00226)</f>
        <v>0.00226</v>
      </c>
      <c r="H5536" s="19" t="str">
        <f>IFERROR(__xludf.DUMMYFUNCTION("""COMPUTED_VALUE"""),"-")</f>
        <v>-</v>
      </c>
      <c r="I5536" s="19">
        <f>IFERROR(__xludf.DUMMYFUNCTION("""COMPUTED_VALUE"""),0.00226)</f>
        <v>0.00226</v>
      </c>
      <c r="J5536" s="19">
        <f>IFERROR(__xludf.DUMMYFUNCTION("""COMPUTED_VALUE"""),0.04741)</f>
        <v>0.04741</v>
      </c>
      <c r="K5536" s="19" t="str">
        <f>IFERROR(__xludf.DUMMYFUNCTION("""COMPUTED_VALUE"""),"-")</f>
        <v>-</v>
      </c>
      <c r="L5536" s="19" t="str">
        <f>IFERROR(__xludf.DUMMYFUNCTION("""COMPUTED_VALUE"""),"-")</f>
        <v>-</v>
      </c>
      <c r="O5536" s="24">
        <f t="shared" si="4"/>
        <v>0</v>
      </c>
      <c r="P5536" s="24"/>
      <c r="Q5536" s="24">
        <f t="shared" si="6"/>
        <v>0</v>
      </c>
      <c r="R5536" s="24">
        <f t="shared" si="7"/>
        <v>0</v>
      </c>
      <c r="S5536" s="24"/>
      <c r="T5536" s="24"/>
    </row>
    <row r="5537">
      <c r="A5537" s="12" t="s">
        <v>5624</v>
      </c>
      <c r="F5537" s="19">
        <f>IFERROR(__xludf.DUMMYFUNCTION("SPLIT(A5533, "" |"")"),5531.0)</f>
        <v>5531</v>
      </c>
      <c r="G5537" s="19">
        <f>IFERROR(__xludf.DUMMYFUNCTION("""COMPUTED_VALUE"""),0.00239)</f>
        <v>0.00239</v>
      </c>
      <c r="H5537" s="19" t="str">
        <f>IFERROR(__xludf.DUMMYFUNCTION("""COMPUTED_VALUE"""),"-")</f>
        <v>-</v>
      </c>
      <c r="I5537" s="19">
        <f>IFERROR(__xludf.DUMMYFUNCTION("""COMPUTED_VALUE"""),0.00223)</f>
        <v>0.00223</v>
      </c>
      <c r="J5537" s="19">
        <f>IFERROR(__xludf.DUMMYFUNCTION("""COMPUTED_VALUE"""),0.04741)</f>
        <v>0.04741</v>
      </c>
      <c r="K5537" s="19" t="str">
        <f>IFERROR(__xludf.DUMMYFUNCTION("""COMPUTED_VALUE"""),"-")</f>
        <v>-</v>
      </c>
      <c r="L5537" s="19" t="str">
        <f>IFERROR(__xludf.DUMMYFUNCTION("""COMPUTED_VALUE"""),"-")</f>
        <v>-</v>
      </c>
      <c r="O5537" s="24">
        <f t="shared" si="4"/>
        <v>0</v>
      </c>
      <c r="P5537" s="24"/>
      <c r="Q5537" s="24">
        <f t="shared" si="6"/>
        <v>0</v>
      </c>
      <c r="R5537" s="24">
        <f t="shared" si="7"/>
        <v>0</v>
      </c>
      <c r="S5537" s="24"/>
      <c r="T5537" s="24"/>
    </row>
    <row r="5538">
      <c r="A5538" s="12" t="s">
        <v>5625</v>
      </c>
      <c r="F5538" s="19">
        <f>IFERROR(__xludf.DUMMYFUNCTION("SPLIT(A5534, "" |"")"),5532.0)</f>
        <v>5532</v>
      </c>
      <c r="G5538" s="19">
        <f>IFERROR(__xludf.DUMMYFUNCTION("""COMPUTED_VALUE"""),0.00236)</f>
        <v>0.00236</v>
      </c>
      <c r="H5538" s="19" t="str">
        <f>IFERROR(__xludf.DUMMYFUNCTION("""COMPUTED_VALUE"""),"-")</f>
        <v>-</v>
      </c>
      <c r="I5538" s="19">
        <f>IFERROR(__xludf.DUMMYFUNCTION("""COMPUTED_VALUE"""),0.00229)</f>
        <v>0.00229</v>
      </c>
      <c r="J5538" s="19">
        <f>IFERROR(__xludf.DUMMYFUNCTION("""COMPUTED_VALUE"""),0.04745)</f>
        <v>0.04745</v>
      </c>
      <c r="K5538" s="19" t="str">
        <f>IFERROR(__xludf.DUMMYFUNCTION("""COMPUTED_VALUE"""),"-")</f>
        <v>-</v>
      </c>
      <c r="L5538" s="19" t="str">
        <f>IFERROR(__xludf.DUMMYFUNCTION("""COMPUTED_VALUE"""),"-")</f>
        <v>-</v>
      </c>
      <c r="O5538" s="24">
        <f t="shared" si="4"/>
        <v>0</v>
      </c>
      <c r="P5538" s="24"/>
      <c r="Q5538" s="24">
        <f t="shared" si="6"/>
        <v>0</v>
      </c>
      <c r="R5538" s="24">
        <f t="shared" si="7"/>
        <v>0</v>
      </c>
      <c r="S5538" s="24"/>
      <c r="T5538" s="24"/>
    </row>
    <row r="5539">
      <c r="A5539" s="12" t="s">
        <v>5626</v>
      </c>
      <c r="F5539" s="19">
        <f>IFERROR(__xludf.DUMMYFUNCTION("SPLIT(A5535, "" |"")"),5533.0)</f>
        <v>5533</v>
      </c>
      <c r="G5539" s="19">
        <f>IFERROR(__xludf.DUMMYFUNCTION("""COMPUTED_VALUE"""),0.00233)</f>
        <v>0.00233</v>
      </c>
      <c r="H5539" s="19" t="str">
        <f>IFERROR(__xludf.DUMMYFUNCTION("""COMPUTED_VALUE"""),"-")</f>
        <v>-</v>
      </c>
      <c r="I5539" s="19">
        <f>IFERROR(__xludf.DUMMYFUNCTION("""COMPUTED_VALUE"""),0.00218)</f>
        <v>0.00218</v>
      </c>
      <c r="J5539" s="19">
        <f>IFERROR(__xludf.DUMMYFUNCTION("""COMPUTED_VALUE"""),0.0445)</f>
        <v>0.0445</v>
      </c>
      <c r="K5539" s="19" t="str">
        <f>IFERROR(__xludf.DUMMYFUNCTION("""COMPUTED_VALUE"""),"-")</f>
        <v>-</v>
      </c>
      <c r="L5539" s="19" t="str">
        <f>IFERROR(__xludf.DUMMYFUNCTION("""COMPUTED_VALUE"""),"-")</f>
        <v>-</v>
      </c>
      <c r="O5539" s="24">
        <f t="shared" si="4"/>
        <v>0</v>
      </c>
      <c r="P5539" s="24"/>
      <c r="Q5539" s="24">
        <f t="shared" si="6"/>
        <v>0</v>
      </c>
      <c r="R5539" s="24">
        <f t="shared" si="7"/>
        <v>1</v>
      </c>
      <c r="S5539" s="24"/>
      <c r="T5539" s="24"/>
    </row>
    <row r="5540">
      <c r="A5540" s="12" t="s">
        <v>5627</v>
      </c>
      <c r="F5540" s="19">
        <f>IFERROR(__xludf.DUMMYFUNCTION("SPLIT(A5536, "" |"")"),5534.0)</f>
        <v>5534</v>
      </c>
      <c r="G5540" s="19">
        <f>IFERROR(__xludf.DUMMYFUNCTION("""COMPUTED_VALUE"""),0.00233)</f>
        <v>0.00233</v>
      </c>
      <c r="H5540" s="19" t="str">
        <f>IFERROR(__xludf.DUMMYFUNCTION("""COMPUTED_VALUE"""),"-")</f>
        <v>-</v>
      </c>
      <c r="I5540" s="19">
        <f>IFERROR(__xludf.DUMMYFUNCTION("""COMPUTED_VALUE"""),0.00224)</f>
        <v>0.00224</v>
      </c>
      <c r="J5540" s="19">
        <f>IFERROR(__xludf.DUMMYFUNCTION("""COMPUTED_VALUE"""),0.04749)</f>
        <v>0.04749</v>
      </c>
      <c r="K5540" s="19" t="str">
        <f>IFERROR(__xludf.DUMMYFUNCTION("""COMPUTED_VALUE"""),"-")</f>
        <v>-</v>
      </c>
      <c r="L5540" s="19" t="str">
        <f>IFERROR(__xludf.DUMMYFUNCTION("""COMPUTED_VALUE"""),"-")</f>
        <v>-</v>
      </c>
      <c r="O5540" s="24">
        <f t="shared" si="4"/>
        <v>0</v>
      </c>
      <c r="P5540" s="24"/>
      <c r="Q5540" s="24">
        <f t="shared" si="6"/>
        <v>0</v>
      </c>
      <c r="R5540" s="24">
        <f t="shared" si="7"/>
        <v>0</v>
      </c>
      <c r="S5540" s="24"/>
      <c r="T5540" s="24"/>
    </row>
    <row r="5541">
      <c r="A5541" s="12" t="s">
        <v>5628</v>
      </c>
      <c r="F5541" s="19">
        <f>IFERROR(__xludf.DUMMYFUNCTION("SPLIT(A5537, "" |"")"),5535.0)</f>
        <v>5535</v>
      </c>
      <c r="G5541" s="19">
        <f>IFERROR(__xludf.DUMMYFUNCTION("""COMPUTED_VALUE"""),0.0023)</f>
        <v>0.0023</v>
      </c>
      <c r="H5541" s="19" t="str">
        <f>IFERROR(__xludf.DUMMYFUNCTION("""COMPUTED_VALUE"""),"-")</f>
        <v>-</v>
      </c>
      <c r="I5541" s="19">
        <f>IFERROR(__xludf.DUMMYFUNCTION("""COMPUTED_VALUE"""),0.00223)</f>
        <v>0.00223</v>
      </c>
      <c r="J5541" s="19">
        <f>IFERROR(__xludf.DUMMYFUNCTION("""COMPUTED_VALUE"""),0.04746)</f>
        <v>0.04746</v>
      </c>
      <c r="K5541" s="19" t="str">
        <f>IFERROR(__xludf.DUMMYFUNCTION("""COMPUTED_VALUE"""),"-")</f>
        <v>-</v>
      </c>
      <c r="L5541" s="19" t="str">
        <f>IFERROR(__xludf.DUMMYFUNCTION("""COMPUTED_VALUE"""),"-")</f>
        <v>-</v>
      </c>
      <c r="O5541" s="24">
        <f t="shared" si="4"/>
        <v>0</v>
      </c>
      <c r="P5541" s="24"/>
      <c r="Q5541" s="24">
        <f t="shared" si="6"/>
        <v>0</v>
      </c>
      <c r="R5541" s="24">
        <f t="shared" si="7"/>
        <v>0</v>
      </c>
      <c r="S5541" s="24"/>
      <c r="T5541" s="24"/>
    </row>
    <row r="5542">
      <c r="A5542" s="12" t="s">
        <v>5629</v>
      </c>
      <c r="F5542" s="19">
        <f>IFERROR(__xludf.DUMMYFUNCTION("SPLIT(A5538, "" |"")"),5536.0)</f>
        <v>5536</v>
      </c>
      <c r="G5542" s="19">
        <f>IFERROR(__xludf.DUMMYFUNCTION("""COMPUTED_VALUE"""),0.00233)</f>
        <v>0.00233</v>
      </c>
      <c r="H5542" s="19" t="str">
        <f>IFERROR(__xludf.DUMMYFUNCTION("""COMPUTED_VALUE"""),"-")</f>
        <v>-</v>
      </c>
      <c r="I5542" s="19">
        <f>IFERROR(__xludf.DUMMYFUNCTION("""COMPUTED_VALUE"""),0.00216)</f>
        <v>0.00216</v>
      </c>
      <c r="J5542" s="19">
        <f>IFERROR(__xludf.DUMMYFUNCTION("""COMPUTED_VALUE"""),0.0414)</f>
        <v>0.0414</v>
      </c>
      <c r="K5542" s="19" t="str">
        <f>IFERROR(__xludf.DUMMYFUNCTION("""COMPUTED_VALUE"""),"-")</f>
        <v>-</v>
      </c>
      <c r="L5542" s="19" t="str">
        <f>IFERROR(__xludf.DUMMYFUNCTION("""COMPUTED_VALUE"""),"-")</f>
        <v>-</v>
      </c>
      <c r="O5542" s="24">
        <f t="shared" si="4"/>
        <v>0</v>
      </c>
      <c r="P5542" s="24"/>
      <c r="Q5542" s="24">
        <f t="shared" si="6"/>
        <v>0</v>
      </c>
      <c r="R5542" s="24">
        <f t="shared" si="7"/>
        <v>1</v>
      </c>
      <c r="S5542" s="24"/>
      <c r="T5542" s="24"/>
    </row>
    <row r="5543">
      <c r="A5543" s="12" t="s">
        <v>5630</v>
      </c>
      <c r="F5543" s="19">
        <f>IFERROR(__xludf.DUMMYFUNCTION("SPLIT(A5539, "" |"")"),5537.0)</f>
        <v>5537</v>
      </c>
      <c r="G5543" s="19">
        <f>IFERROR(__xludf.DUMMYFUNCTION("""COMPUTED_VALUE"""),0.00231)</f>
        <v>0.00231</v>
      </c>
      <c r="H5543" s="19" t="str">
        <f>IFERROR(__xludf.DUMMYFUNCTION("""COMPUTED_VALUE"""),"-")</f>
        <v>-</v>
      </c>
      <c r="I5543" s="19">
        <f>IFERROR(__xludf.DUMMYFUNCTION("""COMPUTED_VALUE"""),0.0022)</f>
        <v>0.0022</v>
      </c>
      <c r="J5543" s="19">
        <f>IFERROR(__xludf.DUMMYFUNCTION("""COMPUTED_VALUE"""),0.04112)</f>
        <v>0.04112</v>
      </c>
      <c r="K5543" s="19" t="str">
        <f>IFERROR(__xludf.DUMMYFUNCTION("""COMPUTED_VALUE"""),"-")</f>
        <v>-</v>
      </c>
      <c r="L5543" s="19" t="str">
        <f>IFERROR(__xludf.DUMMYFUNCTION("""COMPUTED_VALUE"""),"-")</f>
        <v>-</v>
      </c>
      <c r="O5543" s="24">
        <f t="shared" si="4"/>
        <v>0</v>
      </c>
      <c r="P5543" s="24"/>
      <c r="Q5543" s="24">
        <f t="shared" si="6"/>
        <v>0</v>
      </c>
      <c r="R5543" s="24">
        <f t="shared" si="7"/>
        <v>1</v>
      </c>
      <c r="S5543" s="24"/>
      <c r="T5543" s="24"/>
    </row>
    <row r="5544">
      <c r="A5544" s="12" t="s">
        <v>5631</v>
      </c>
      <c r="F5544" s="19">
        <f>IFERROR(__xludf.DUMMYFUNCTION("SPLIT(A5540, "" |"")"),5538.0)</f>
        <v>5538</v>
      </c>
      <c r="G5544" s="19">
        <f>IFERROR(__xludf.DUMMYFUNCTION("""COMPUTED_VALUE"""),0.00231)</f>
        <v>0.00231</v>
      </c>
      <c r="H5544" s="19" t="str">
        <f>IFERROR(__xludf.DUMMYFUNCTION("""COMPUTED_VALUE"""),"-")</f>
        <v>-</v>
      </c>
      <c r="I5544" s="19">
        <f>IFERROR(__xludf.DUMMYFUNCTION("""COMPUTED_VALUE"""),0.00218)</f>
        <v>0.00218</v>
      </c>
      <c r="J5544" s="19">
        <f>IFERROR(__xludf.DUMMYFUNCTION("""COMPUTED_VALUE"""),0.04453)</f>
        <v>0.04453</v>
      </c>
      <c r="K5544" s="19" t="str">
        <f>IFERROR(__xludf.DUMMYFUNCTION("""COMPUTED_VALUE"""),"-")</f>
        <v>-</v>
      </c>
      <c r="L5544" s="19" t="str">
        <f>IFERROR(__xludf.DUMMYFUNCTION("""COMPUTED_VALUE"""),"-")</f>
        <v>-</v>
      </c>
      <c r="O5544" s="24">
        <f t="shared" si="4"/>
        <v>0</v>
      </c>
      <c r="P5544" s="24"/>
      <c r="Q5544" s="24">
        <f t="shared" si="6"/>
        <v>0</v>
      </c>
      <c r="R5544" s="24">
        <f t="shared" si="7"/>
        <v>1</v>
      </c>
      <c r="S5544" s="24"/>
      <c r="T5544" s="24"/>
    </row>
    <row r="5545">
      <c r="A5545" s="12" t="s">
        <v>5632</v>
      </c>
      <c r="F5545" s="19">
        <f>IFERROR(__xludf.DUMMYFUNCTION("SPLIT(A5541, "" |"")"),5539.0)</f>
        <v>5539</v>
      </c>
      <c r="G5545" s="19">
        <f>IFERROR(__xludf.DUMMYFUNCTION("""COMPUTED_VALUE"""),0.00246)</f>
        <v>0.00246</v>
      </c>
      <c r="H5545" s="19" t="str">
        <f>IFERROR(__xludf.DUMMYFUNCTION("""COMPUTED_VALUE"""),"-")</f>
        <v>-</v>
      </c>
      <c r="I5545" s="19">
        <f>IFERROR(__xludf.DUMMYFUNCTION("""COMPUTED_VALUE"""),0.00221)</f>
        <v>0.00221</v>
      </c>
      <c r="J5545" s="19">
        <f>IFERROR(__xludf.DUMMYFUNCTION("""COMPUTED_VALUE"""),0.04754)</f>
        <v>0.04754</v>
      </c>
      <c r="K5545" s="19" t="str">
        <f>IFERROR(__xludf.DUMMYFUNCTION("""COMPUTED_VALUE"""),"-")</f>
        <v>-</v>
      </c>
      <c r="L5545" s="19" t="str">
        <f>IFERROR(__xludf.DUMMYFUNCTION("""COMPUTED_VALUE"""),"-")</f>
        <v>-</v>
      </c>
      <c r="O5545" s="24">
        <f t="shared" si="4"/>
        <v>0</v>
      </c>
      <c r="P5545" s="24"/>
      <c r="Q5545" s="24">
        <f t="shared" si="6"/>
        <v>0</v>
      </c>
      <c r="R5545" s="24">
        <f t="shared" si="7"/>
        <v>0</v>
      </c>
      <c r="S5545" s="24"/>
      <c r="T5545" s="24"/>
    </row>
    <row r="5546">
      <c r="A5546" s="12" t="s">
        <v>5633</v>
      </c>
      <c r="F5546" s="19">
        <f>IFERROR(__xludf.DUMMYFUNCTION("SPLIT(A5542, "" |"")"),5540.0)</f>
        <v>5540</v>
      </c>
      <c r="G5546" s="19">
        <f>IFERROR(__xludf.DUMMYFUNCTION("""COMPUTED_VALUE"""),0.00236)</f>
        <v>0.00236</v>
      </c>
      <c r="H5546" s="19" t="str">
        <f>IFERROR(__xludf.DUMMYFUNCTION("""COMPUTED_VALUE"""),"-")</f>
        <v>-</v>
      </c>
      <c r="I5546" s="19">
        <f>IFERROR(__xludf.DUMMYFUNCTION("""COMPUTED_VALUE"""),0.00223)</f>
        <v>0.00223</v>
      </c>
      <c r="J5546" s="19">
        <f>IFERROR(__xludf.DUMMYFUNCTION("""COMPUTED_VALUE"""),0.0405)</f>
        <v>0.0405</v>
      </c>
      <c r="K5546" s="19" t="str">
        <f>IFERROR(__xludf.DUMMYFUNCTION("""COMPUTED_VALUE"""),"-")</f>
        <v>-</v>
      </c>
      <c r="L5546" s="19" t="str">
        <f>IFERROR(__xludf.DUMMYFUNCTION("""COMPUTED_VALUE"""),"-")</f>
        <v>-</v>
      </c>
      <c r="O5546" s="24">
        <f t="shared" si="4"/>
        <v>0</v>
      </c>
      <c r="P5546" s="24"/>
      <c r="Q5546" s="24">
        <f t="shared" si="6"/>
        <v>0</v>
      </c>
      <c r="R5546" s="24">
        <f t="shared" si="7"/>
        <v>1</v>
      </c>
      <c r="S5546" s="24"/>
      <c r="T5546" s="24"/>
    </row>
    <row r="5547">
      <c r="A5547" s="12" t="s">
        <v>5634</v>
      </c>
      <c r="F5547" s="19">
        <f>IFERROR(__xludf.DUMMYFUNCTION("SPLIT(A5543, "" |"")"),5541.0)</f>
        <v>5541</v>
      </c>
      <c r="G5547" s="19">
        <f>IFERROR(__xludf.DUMMYFUNCTION("""COMPUTED_VALUE"""),0.00234)</f>
        <v>0.00234</v>
      </c>
      <c r="H5547" s="19" t="str">
        <f>IFERROR(__xludf.DUMMYFUNCTION("""COMPUTED_VALUE"""),"-")</f>
        <v>-</v>
      </c>
      <c r="I5547" s="19">
        <f>IFERROR(__xludf.DUMMYFUNCTION("""COMPUTED_VALUE"""),0.00223)</f>
        <v>0.00223</v>
      </c>
      <c r="J5547" s="19">
        <f>IFERROR(__xludf.DUMMYFUNCTION("""COMPUTED_VALUE"""),0.04188)</f>
        <v>0.04188</v>
      </c>
      <c r="K5547" s="19" t="str">
        <f>IFERROR(__xludf.DUMMYFUNCTION("""COMPUTED_VALUE"""),"-")</f>
        <v>-</v>
      </c>
      <c r="L5547" s="19" t="str">
        <f>IFERROR(__xludf.DUMMYFUNCTION("""COMPUTED_VALUE"""),"-")</f>
        <v>-</v>
      </c>
      <c r="O5547" s="24">
        <f t="shared" si="4"/>
        <v>0</v>
      </c>
      <c r="P5547" s="24"/>
      <c r="Q5547" s="24">
        <f t="shared" si="6"/>
        <v>0</v>
      </c>
      <c r="R5547" s="24">
        <f t="shared" si="7"/>
        <v>1</v>
      </c>
      <c r="S5547" s="24"/>
      <c r="T5547" s="24"/>
    </row>
    <row r="5548">
      <c r="A5548" s="12" t="s">
        <v>5635</v>
      </c>
      <c r="F5548" s="19">
        <f>IFERROR(__xludf.DUMMYFUNCTION("SPLIT(A5544, "" |"")"),5542.0)</f>
        <v>5542</v>
      </c>
      <c r="G5548" s="19">
        <f>IFERROR(__xludf.DUMMYFUNCTION("""COMPUTED_VALUE"""),0.00242)</f>
        <v>0.00242</v>
      </c>
      <c r="H5548" s="19" t="str">
        <f>IFERROR(__xludf.DUMMYFUNCTION("""COMPUTED_VALUE"""),"-")</f>
        <v>-</v>
      </c>
      <c r="I5548" s="19">
        <f>IFERROR(__xludf.DUMMYFUNCTION("""COMPUTED_VALUE"""),0.00225)</f>
        <v>0.00225</v>
      </c>
      <c r="J5548" s="19">
        <f>IFERROR(__xludf.DUMMYFUNCTION("""COMPUTED_VALUE"""),0.04742)</f>
        <v>0.04742</v>
      </c>
      <c r="K5548" s="19" t="str">
        <f>IFERROR(__xludf.DUMMYFUNCTION("""COMPUTED_VALUE"""),"-")</f>
        <v>-</v>
      </c>
      <c r="L5548" s="19" t="str">
        <f>IFERROR(__xludf.DUMMYFUNCTION("""COMPUTED_VALUE"""),"-")</f>
        <v>-</v>
      </c>
      <c r="O5548" s="24">
        <f t="shared" si="4"/>
        <v>0</v>
      </c>
      <c r="P5548" s="24"/>
      <c r="Q5548" s="24">
        <f t="shared" si="6"/>
        <v>0</v>
      </c>
      <c r="R5548" s="24">
        <f t="shared" si="7"/>
        <v>0</v>
      </c>
      <c r="S5548" s="24"/>
      <c r="T5548" s="24"/>
    </row>
    <row r="5549">
      <c r="A5549" s="12" t="s">
        <v>5636</v>
      </c>
      <c r="F5549" s="19">
        <f>IFERROR(__xludf.DUMMYFUNCTION("SPLIT(A5545, "" |"")"),5543.0)</f>
        <v>5543</v>
      </c>
      <c r="G5549" s="19">
        <f>IFERROR(__xludf.DUMMYFUNCTION("""COMPUTED_VALUE"""),0.00245)</f>
        <v>0.00245</v>
      </c>
      <c r="H5549" s="19" t="str">
        <f>IFERROR(__xludf.DUMMYFUNCTION("""COMPUTED_VALUE"""),"-")</f>
        <v>-</v>
      </c>
      <c r="I5549" s="19">
        <f>IFERROR(__xludf.DUMMYFUNCTION("""COMPUTED_VALUE"""),0.00217)</f>
        <v>0.00217</v>
      </c>
      <c r="J5549" s="19">
        <f>IFERROR(__xludf.DUMMYFUNCTION("""COMPUTED_VALUE"""),0.04745)</f>
        <v>0.04745</v>
      </c>
      <c r="K5549" s="19" t="str">
        <f>IFERROR(__xludf.DUMMYFUNCTION("""COMPUTED_VALUE"""),"-")</f>
        <v>-</v>
      </c>
      <c r="L5549" s="19" t="str">
        <f>IFERROR(__xludf.DUMMYFUNCTION("""COMPUTED_VALUE"""),"-")</f>
        <v>-</v>
      </c>
      <c r="O5549" s="24">
        <f t="shared" si="4"/>
        <v>0</v>
      </c>
      <c r="P5549" s="24"/>
      <c r="Q5549" s="24">
        <f t="shared" si="6"/>
        <v>0</v>
      </c>
      <c r="R5549" s="24">
        <f t="shared" si="7"/>
        <v>0</v>
      </c>
      <c r="S5549" s="24"/>
      <c r="T5549" s="24"/>
    </row>
    <row r="5550">
      <c r="A5550" s="12" t="s">
        <v>5637</v>
      </c>
      <c r="F5550" s="19">
        <f>IFERROR(__xludf.DUMMYFUNCTION("SPLIT(A5546, "" |"")"),5544.0)</f>
        <v>5544</v>
      </c>
      <c r="G5550" s="19">
        <f>IFERROR(__xludf.DUMMYFUNCTION("""COMPUTED_VALUE"""),0.00242)</f>
        <v>0.00242</v>
      </c>
      <c r="H5550" s="19" t="str">
        <f>IFERROR(__xludf.DUMMYFUNCTION("""COMPUTED_VALUE"""),"-")</f>
        <v>-</v>
      </c>
      <c r="I5550" s="19">
        <f>IFERROR(__xludf.DUMMYFUNCTION("""COMPUTED_VALUE"""),0.00228)</f>
        <v>0.00228</v>
      </c>
      <c r="J5550" s="19">
        <f>IFERROR(__xludf.DUMMYFUNCTION("""COMPUTED_VALUE"""),0.04738)</f>
        <v>0.04738</v>
      </c>
      <c r="K5550" s="19" t="str">
        <f>IFERROR(__xludf.DUMMYFUNCTION("""COMPUTED_VALUE"""),"-")</f>
        <v>-</v>
      </c>
      <c r="L5550" s="19" t="str">
        <f>IFERROR(__xludf.DUMMYFUNCTION("""COMPUTED_VALUE"""),"-")</f>
        <v>-</v>
      </c>
      <c r="O5550" s="24">
        <f t="shared" si="4"/>
        <v>0</v>
      </c>
      <c r="P5550" s="24"/>
      <c r="Q5550" s="24">
        <f t="shared" si="6"/>
        <v>0</v>
      </c>
      <c r="R5550" s="24">
        <f t="shared" si="7"/>
        <v>0</v>
      </c>
      <c r="S5550" s="24"/>
      <c r="T5550" s="24"/>
    </row>
    <row r="5551">
      <c r="A5551" s="12" t="s">
        <v>5638</v>
      </c>
      <c r="F5551" s="19">
        <f>IFERROR(__xludf.DUMMYFUNCTION("SPLIT(A5547, "" |"")"),5545.0)</f>
        <v>5545</v>
      </c>
      <c r="G5551" s="19">
        <f>IFERROR(__xludf.DUMMYFUNCTION("""COMPUTED_VALUE"""),0.0024)</f>
        <v>0.0024</v>
      </c>
      <c r="H5551" s="19" t="str">
        <f>IFERROR(__xludf.DUMMYFUNCTION("""COMPUTED_VALUE"""),"-")</f>
        <v>-</v>
      </c>
      <c r="I5551" s="19">
        <f>IFERROR(__xludf.DUMMYFUNCTION("""COMPUTED_VALUE"""),0.00229)</f>
        <v>0.00229</v>
      </c>
      <c r="J5551" s="19">
        <f>IFERROR(__xludf.DUMMYFUNCTION("""COMPUTED_VALUE"""),0.04749)</f>
        <v>0.04749</v>
      </c>
      <c r="K5551" s="19" t="str">
        <f>IFERROR(__xludf.DUMMYFUNCTION("""COMPUTED_VALUE"""),"-")</f>
        <v>-</v>
      </c>
      <c r="L5551" s="19" t="str">
        <f>IFERROR(__xludf.DUMMYFUNCTION("""COMPUTED_VALUE"""),"-")</f>
        <v>-</v>
      </c>
      <c r="O5551" s="24">
        <f t="shared" si="4"/>
        <v>0</v>
      </c>
      <c r="P5551" s="24"/>
      <c r="Q5551" s="24">
        <f t="shared" si="6"/>
        <v>0</v>
      </c>
      <c r="R5551" s="24">
        <f t="shared" si="7"/>
        <v>0</v>
      </c>
      <c r="S5551" s="24"/>
      <c r="T5551" s="24"/>
    </row>
    <row r="5552">
      <c r="A5552" s="12" t="s">
        <v>5639</v>
      </c>
      <c r="F5552" s="19">
        <f>IFERROR(__xludf.DUMMYFUNCTION("SPLIT(A5548, "" |"")"),5546.0)</f>
        <v>5546</v>
      </c>
      <c r="G5552" s="19">
        <f>IFERROR(__xludf.DUMMYFUNCTION("""COMPUTED_VALUE"""),0.00234)</f>
        <v>0.00234</v>
      </c>
      <c r="H5552" s="19" t="str">
        <f>IFERROR(__xludf.DUMMYFUNCTION("""COMPUTED_VALUE"""),"-")</f>
        <v>-</v>
      </c>
      <c r="I5552" s="19">
        <f>IFERROR(__xludf.DUMMYFUNCTION("""COMPUTED_VALUE"""),0.00224)</f>
        <v>0.00224</v>
      </c>
      <c r="J5552" s="19">
        <f>IFERROR(__xludf.DUMMYFUNCTION("""COMPUTED_VALUE"""),0.04747)</f>
        <v>0.04747</v>
      </c>
      <c r="K5552" s="19" t="str">
        <f>IFERROR(__xludf.DUMMYFUNCTION("""COMPUTED_VALUE"""),"-")</f>
        <v>-</v>
      </c>
      <c r="L5552" s="19" t="str">
        <f>IFERROR(__xludf.DUMMYFUNCTION("""COMPUTED_VALUE"""),"-")</f>
        <v>-</v>
      </c>
      <c r="O5552" s="24">
        <f t="shared" si="4"/>
        <v>0</v>
      </c>
      <c r="P5552" s="24"/>
      <c r="Q5552" s="24">
        <f t="shared" si="6"/>
        <v>0</v>
      </c>
      <c r="R5552" s="24">
        <f t="shared" si="7"/>
        <v>0</v>
      </c>
      <c r="S5552" s="24"/>
      <c r="T5552" s="24"/>
    </row>
    <row r="5553">
      <c r="A5553" s="12" t="s">
        <v>5640</v>
      </c>
      <c r="F5553" s="19">
        <f>IFERROR(__xludf.DUMMYFUNCTION("SPLIT(A5549, "" |"")"),5547.0)</f>
        <v>5547</v>
      </c>
      <c r="G5553" s="19">
        <f>IFERROR(__xludf.DUMMYFUNCTION("""COMPUTED_VALUE"""),0.00241)</f>
        <v>0.00241</v>
      </c>
      <c r="H5553" s="19" t="str">
        <f>IFERROR(__xludf.DUMMYFUNCTION("""COMPUTED_VALUE"""),"-")</f>
        <v>-</v>
      </c>
      <c r="I5553" s="19">
        <f>IFERROR(__xludf.DUMMYFUNCTION("""COMPUTED_VALUE"""),0.00227)</f>
        <v>0.00227</v>
      </c>
      <c r="J5553" s="19">
        <f>IFERROR(__xludf.DUMMYFUNCTION("""COMPUTED_VALUE"""),0.04747)</f>
        <v>0.04747</v>
      </c>
      <c r="K5553" s="19" t="str">
        <f>IFERROR(__xludf.DUMMYFUNCTION("""COMPUTED_VALUE"""),"-")</f>
        <v>-</v>
      </c>
      <c r="L5553" s="19" t="str">
        <f>IFERROR(__xludf.DUMMYFUNCTION("""COMPUTED_VALUE"""),"-")</f>
        <v>-</v>
      </c>
      <c r="O5553" s="24">
        <f t="shared" si="4"/>
        <v>0</v>
      </c>
      <c r="P5553" s="24"/>
      <c r="Q5553" s="24">
        <f t="shared" si="6"/>
        <v>0</v>
      </c>
      <c r="R5553" s="24">
        <f t="shared" si="7"/>
        <v>0</v>
      </c>
      <c r="S5553" s="24"/>
      <c r="T5553" s="24"/>
    </row>
    <row r="5554">
      <c r="A5554" s="12" t="s">
        <v>5641</v>
      </c>
      <c r="F5554" s="19">
        <f>IFERROR(__xludf.DUMMYFUNCTION("SPLIT(A5550, "" |"")"),5548.0)</f>
        <v>5548</v>
      </c>
      <c r="G5554" s="19">
        <f>IFERROR(__xludf.DUMMYFUNCTION("""COMPUTED_VALUE"""),0.00226)</f>
        <v>0.00226</v>
      </c>
      <c r="H5554" s="19" t="str">
        <f>IFERROR(__xludf.DUMMYFUNCTION("""COMPUTED_VALUE"""),"-")</f>
        <v>-</v>
      </c>
      <c r="I5554" s="19">
        <f>IFERROR(__xludf.DUMMYFUNCTION("""COMPUTED_VALUE"""),0.00207)</f>
        <v>0.00207</v>
      </c>
      <c r="J5554" s="19">
        <f>IFERROR(__xludf.DUMMYFUNCTION("""COMPUTED_VALUE"""),0.04728)</f>
        <v>0.04728</v>
      </c>
      <c r="K5554" s="19" t="str">
        <f>IFERROR(__xludf.DUMMYFUNCTION("""COMPUTED_VALUE"""),"-")</f>
        <v>-</v>
      </c>
      <c r="L5554" s="19" t="str">
        <f>IFERROR(__xludf.DUMMYFUNCTION("""COMPUTED_VALUE"""),"-")</f>
        <v>-</v>
      </c>
      <c r="O5554" s="24">
        <f t="shared" si="4"/>
        <v>0</v>
      </c>
      <c r="P5554" s="24"/>
      <c r="Q5554" s="24">
        <f t="shared" si="6"/>
        <v>0</v>
      </c>
      <c r="R5554" s="24">
        <f t="shared" si="7"/>
        <v>0</v>
      </c>
      <c r="S5554" s="24"/>
      <c r="T5554" s="24"/>
    </row>
    <row r="5555">
      <c r="A5555" s="12" t="s">
        <v>5642</v>
      </c>
      <c r="F5555" s="19">
        <f>IFERROR(__xludf.DUMMYFUNCTION("SPLIT(A5551, "" |"")"),5549.0)</f>
        <v>5549</v>
      </c>
      <c r="G5555" s="19">
        <f>IFERROR(__xludf.DUMMYFUNCTION("""COMPUTED_VALUE"""),0.00245)</f>
        <v>0.00245</v>
      </c>
      <c r="H5555" s="19" t="str">
        <f>IFERROR(__xludf.DUMMYFUNCTION("""COMPUTED_VALUE"""),"-")</f>
        <v>-</v>
      </c>
      <c r="I5555" s="19">
        <f>IFERROR(__xludf.DUMMYFUNCTION("""COMPUTED_VALUE"""),0.00224)</f>
        <v>0.00224</v>
      </c>
      <c r="J5555" s="19">
        <f>IFERROR(__xludf.DUMMYFUNCTION("""COMPUTED_VALUE"""),0.04736)</f>
        <v>0.04736</v>
      </c>
      <c r="K5555" s="19" t="str">
        <f>IFERROR(__xludf.DUMMYFUNCTION("""COMPUTED_VALUE"""),"-")</f>
        <v>-</v>
      </c>
      <c r="L5555" s="19" t="str">
        <f>IFERROR(__xludf.DUMMYFUNCTION("""COMPUTED_VALUE"""),"-")</f>
        <v>-</v>
      </c>
      <c r="O5555" s="24">
        <f t="shared" si="4"/>
        <v>0</v>
      </c>
      <c r="P5555" s="24"/>
      <c r="Q5555" s="24">
        <f t="shared" si="6"/>
        <v>0</v>
      </c>
      <c r="R5555" s="24">
        <f t="shared" si="7"/>
        <v>0</v>
      </c>
      <c r="S5555" s="24"/>
      <c r="T5555" s="24"/>
    </row>
    <row r="5556">
      <c r="A5556" s="12" t="s">
        <v>5643</v>
      </c>
      <c r="F5556" s="19">
        <f>IFERROR(__xludf.DUMMYFUNCTION("SPLIT(A5552, "" |"")"),5550.0)</f>
        <v>5550</v>
      </c>
      <c r="G5556" s="19">
        <f>IFERROR(__xludf.DUMMYFUNCTION("""COMPUTED_VALUE"""),0.00235)</f>
        <v>0.00235</v>
      </c>
      <c r="H5556" s="19" t="str">
        <f>IFERROR(__xludf.DUMMYFUNCTION("""COMPUTED_VALUE"""),"-")</f>
        <v>-</v>
      </c>
      <c r="I5556" s="19">
        <f>IFERROR(__xludf.DUMMYFUNCTION("""COMPUTED_VALUE"""),0.00223)</f>
        <v>0.00223</v>
      </c>
      <c r="J5556" s="19">
        <f>IFERROR(__xludf.DUMMYFUNCTION("""COMPUTED_VALUE"""),0.04746)</f>
        <v>0.04746</v>
      </c>
      <c r="K5556" s="19" t="str">
        <f>IFERROR(__xludf.DUMMYFUNCTION("""COMPUTED_VALUE"""),"-")</f>
        <v>-</v>
      </c>
      <c r="L5556" s="19" t="str">
        <f>IFERROR(__xludf.DUMMYFUNCTION("""COMPUTED_VALUE"""),"-")</f>
        <v>-</v>
      </c>
      <c r="O5556" s="24">
        <f t="shared" si="4"/>
        <v>0</v>
      </c>
      <c r="P5556" s="24"/>
      <c r="Q5556" s="24">
        <f t="shared" si="6"/>
        <v>0</v>
      </c>
      <c r="R5556" s="24">
        <f t="shared" si="7"/>
        <v>0</v>
      </c>
      <c r="S5556" s="24"/>
      <c r="T5556" s="24"/>
    </row>
    <row r="5557">
      <c r="A5557" s="12" t="s">
        <v>5644</v>
      </c>
      <c r="F5557" s="19">
        <f>IFERROR(__xludf.DUMMYFUNCTION("SPLIT(A5553, "" |"")"),5551.0)</f>
        <v>5551</v>
      </c>
      <c r="G5557" s="19">
        <f>IFERROR(__xludf.DUMMYFUNCTION("""COMPUTED_VALUE"""),0.00239)</f>
        <v>0.00239</v>
      </c>
      <c r="H5557" s="19" t="str">
        <f>IFERROR(__xludf.DUMMYFUNCTION("""COMPUTED_VALUE"""),"-")</f>
        <v>-</v>
      </c>
      <c r="I5557" s="19">
        <f>IFERROR(__xludf.DUMMYFUNCTION("""COMPUTED_VALUE"""),0.00221)</f>
        <v>0.00221</v>
      </c>
      <c r="J5557" s="19">
        <f>IFERROR(__xludf.DUMMYFUNCTION("""COMPUTED_VALUE"""),0.04747)</f>
        <v>0.04747</v>
      </c>
      <c r="K5557" s="19" t="str">
        <f>IFERROR(__xludf.DUMMYFUNCTION("""COMPUTED_VALUE"""),"-")</f>
        <v>-</v>
      </c>
      <c r="L5557" s="19" t="str">
        <f>IFERROR(__xludf.DUMMYFUNCTION("""COMPUTED_VALUE"""),"-")</f>
        <v>-</v>
      </c>
      <c r="O5557" s="24">
        <f t="shared" si="4"/>
        <v>0</v>
      </c>
      <c r="P5557" s="24"/>
      <c r="Q5557" s="24">
        <f t="shared" si="6"/>
        <v>0</v>
      </c>
      <c r="R5557" s="24">
        <f t="shared" si="7"/>
        <v>0</v>
      </c>
      <c r="S5557" s="24"/>
      <c r="T5557" s="24"/>
    </row>
    <row r="5558">
      <c r="A5558" s="12" t="s">
        <v>5645</v>
      </c>
      <c r="F5558" s="19">
        <f>IFERROR(__xludf.DUMMYFUNCTION("SPLIT(A5554, "" |"")"),5552.0)</f>
        <v>5552</v>
      </c>
      <c r="G5558" s="19">
        <f>IFERROR(__xludf.DUMMYFUNCTION("""COMPUTED_VALUE"""),0.00233)</f>
        <v>0.00233</v>
      </c>
      <c r="H5558" s="19" t="str">
        <f>IFERROR(__xludf.DUMMYFUNCTION("""COMPUTED_VALUE"""),"-")</f>
        <v>-</v>
      </c>
      <c r="I5558" s="19">
        <f>IFERROR(__xludf.DUMMYFUNCTION("""COMPUTED_VALUE"""),0.00222)</f>
        <v>0.00222</v>
      </c>
      <c r="J5558" s="19">
        <f>IFERROR(__xludf.DUMMYFUNCTION("""COMPUTED_VALUE"""),0.04743)</f>
        <v>0.04743</v>
      </c>
      <c r="K5558" s="19" t="str">
        <f>IFERROR(__xludf.DUMMYFUNCTION("""COMPUTED_VALUE"""),"-")</f>
        <v>-</v>
      </c>
      <c r="L5558" s="19" t="str">
        <f>IFERROR(__xludf.DUMMYFUNCTION("""COMPUTED_VALUE"""),"-")</f>
        <v>-</v>
      </c>
      <c r="O5558" s="24">
        <f t="shared" si="4"/>
        <v>0</v>
      </c>
      <c r="P5558" s="24"/>
      <c r="Q5558" s="24">
        <f t="shared" si="6"/>
        <v>0</v>
      </c>
      <c r="R5558" s="24">
        <f t="shared" si="7"/>
        <v>0</v>
      </c>
      <c r="S5558" s="24"/>
      <c r="T5558" s="24"/>
    </row>
    <row r="5559">
      <c r="A5559" s="12" t="s">
        <v>5646</v>
      </c>
      <c r="F5559" s="19">
        <f>IFERROR(__xludf.DUMMYFUNCTION("SPLIT(A5555, "" |"")"),5553.0)</f>
        <v>5553</v>
      </c>
      <c r="G5559" s="19">
        <f>IFERROR(__xludf.DUMMYFUNCTION("""COMPUTED_VALUE"""),0.00236)</f>
        <v>0.00236</v>
      </c>
      <c r="H5559" s="19" t="str">
        <f>IFERROR(__xludf.DUMMYFUNCTION("""COMPUTED_VALUE"""),"-")</f>
        <v>-</v>
      </c>
      <c r="I5559" s="19">
        <f>IFERROR(__xludf.DUMMYFUNCTION("""COMPUTED_VALUE"""),0.00219)</f>
        <v>0.00219</v>
      </c>
      <c r="J5559" s="19">
        <f>IFERROR(__xludf.DUMMYFUNCTION("""COMPUTED_VALUE"""),0.04741)</f>
        <v>0.04741</v>
      </c>
      <c r="K5559" s="19" t="str">
        <f>IFERROR(__xludf.DUMMYFUNCTION("""COMPUTED_VALUE"""),"-")</f>
        <v>-</v>
      </c>
      <c r="L5559" s="19" t="str">
        <f>IFERROR(__xludf.DUMMYFUNCTION("""COMPUTED_VALUE"""),"-")</f>
        <v>-</v>
      </c>
      <c r="O5559" s="24">
        <f t="shared" si="4"/>
        <v>0</v>
      </c>
      <c r="P5559" s="24"/>
      <c r="Q5559" s="24">
        <f t="shared" si="6"/>
        <v>0</v>
      </c>
      <c r="R5559" s="24">
        <f t="shared" si="7"/>
        <v>0</v>
      </c>
      <c r="S5559" s="24"/>
      <c r="T5559" s="24"/>
    </row>
    <row r="5560">
      <c r="A5560" s="12" t="s">
        <v>5647</v>
      </c>
      <c r="F5560" s="19">
        <f>IFERROR(__xludf.DUMMYFUNCTION("SPLIT(A5556, "" |"")"),5554.0)</f>
        <v>5554</v>
      </c>
      <c r="G5560" s="19">
        <f>IFERROR(__xludf.DUMMYFUNCTION("""COMPUTED_VALUE"""),0.00231)</f>
        <v>0.00231</v>
      </c>
      <c r="H5560" s="19" t="str">
        <f>IFERROR(__xludf.DUMMYFUNCTION("""COMPUTED_VALUE"""),"-")</f>
        <v>-</v>
      </c>
      <c r="I5560" s="19">
        <f>IFERROR(__xludf.DUMMYFUNCTION("""COMPUTED_VALUE"""),0.00213)</f>
        <v>0.00213</v>
      </c>
      <c r="J5560" s="19">
        <f>IFERROR(__xludf.DUMMYFUNCTION("""COMPUTED_VALUE"""),0.04733)</f>
        <v>0.04733</v>
      </c>
      <c r="K5560" s="19" t="str">
        <f>IFERROR(__xludf.DUMMYFUNCTION("""COMPUTED_VALUE"""),"-")</f>
        <v>-</v>
      </c>
      <c r="L5560" s="19" t="str">
        <f>IFERROR(__xludf.DUMMYFUNCTION("""COMPUTED_VALUE"""),"-")</f>
        <v>-</v>
      </c>
      <c r="O5560" s="24">
        <f t="shared" si="4"/>
        <v>0</v>
      </c>
      <c r="P5560" s="24"/>
      <c r="Q5560" s="24">
        <f t="shared" si="6"/>
        <v>0</v>
      </c>
      <c r="R5560" s="24">
        <f t="shared" si="7"/>
        <v>0</v>
      </c>
      <c r="S5560" s="24"/>
      <c r="T5560" s="24"/>
    </row>
    <row r="5561">
      <c r="A5561" s="12" t="s">
        <v>5648</v>
      </c>
      <c r="F5561" s="19">
        <f>IFERROR(__xludf.DUMMYFUNCTION("SPLIT(A5557, "" |"")"),5555.0)</f>
        <v>5555</v>
      </c>
      <c r="G5561" s="19">
        <f>IFERROR(__xludf.DUMMYFUNCTION("""COMPUTED_VALUE"""),0.00236)</f>
        <v>0.00236</v>
      </c>
      <c r="H5561" s="19" t="str">
        <f>IFERROR(__xludf.DUMMYFUNCTION("""COMPUTED_VALUE"""),"-")</f>
        <v>-</v>
      </c>
      <c r="I5561" s="19">
        <f>IFERROR(__xludf.DUMMYFUNCTION("""COMPUTED_VALUE"""),0.0022)</f>
        <v>0.0022</v>
      </c>
      <c r="J5561" s="19">
        <f>IFERROR(__xludf.DUMMYFUNCTION("""COMPUTED_VALUE"""),0.04745)</f>
        <v>0.04745</v>
      </c>
      <c r="K5561" s="19" t="str">
        <f>IFERROR(__xludf.DUMMYFUNCTION("""COMPUTED_VALUE"""),"-")</f>
        <v>-</v>
      </c>
      <c r="L5561" s="19" t="str">
        <f>IFERROR(__xludf.DUMMYFUNCTION("""COMPUTED_VALUE"""),"-")</f>
        <v>-</v>
      </c>
      <c r="O5561" s="24">
        <f t="shared" si="4"/>
        <v>0</v>
      </c>
      <c r="P5561" s="24"/>
      <c r="Q5561" s="24">
        <f t="shared" si="6"/>
        <v>0</v>
      </c>
      <c r="R5561" s="24">
        <f t="shared" si="7"/>
        <v>0</v>
      </c>
      <c r="S5561" s="24"/>
      <c r="T5561" s="24"/>
    </row>
    <row r="5562">
      <c r="A5562" s="12" t="s">
        <v>5649</v>
      </c>
      <c r="F5562" s="19">
        <f>IFERROR(__xludf.DUMMYFUNCTION("SPLIT(A5558, "" |"")"),5556.0)</f>
        <v>5556</v>
      </c>
      <c r="G5562" s="19">
        <f>IFERROR(__xludf.DUMMYFUNCTION("""COMPUTED_VALUE"""),0.00233)</f>
        <v>0.00233</v>
      </c>
      <c r="H5562" s="19" t="str">
        <f>IFERROR(__xludf.DUMMYFUNCTION("""COMPUTED_VALUE"""),"-")</f>
        <v>-</v>
      </c>
      <c r="I5562" s="19">
        <f>IFERROR(__xludf.DUMMYFUNCTION("""COMPUTED_VALUE"""),0.00221)</f>
        <v>0.00221</v>
      </c>
      <c r="J5562" s="19">
        <f>IFERROR(__xludf.DUMMYFUNCTION("""COMPUTED_VALUE"""),0.04741)</f>
        <v>0.04741</v>
      </c>
      <c r="K5562" s="19" t="str">
        <f>IFERROR(__xludf.DUMMYFUNCTION("""COMPUTED_VALUE"""),"-")</f>
        <v>-</v>
      </c>
      <c r="L5562" s="19" t="str">
        <f>IFERROR(__xludf.DUMMYFUNCTION("""COMPUTED_VALUE"""),"-")</f>
        <v>-</v>
      </c>
      <c r="O5562" s="24">
        <f t="shared" si="4"/>
        <v>0</v>
      </c>
      <c r="P5562" s="24"/>
      <c r="Q5562" s="24">
        <f t="shared" si="6"/>
        <v>0</v>
      </c>
      <c r="R5562" s="24">
        <f t="shared" si="7"/>
        <v>0</v>
      </c>
      <c r="S5562" s="24"/>
      <c r="T5562" s="24"/>
    </row>
    <row r="5563">
      <c r="A5563" s="12" t="s">
        <v>5650</v>
      </c>
      <c r="F5563" s="19">
        <f>IFERROR(__xludf.DUMMYFUNCTION("SPLIT(A5559, "" |"")"),5557.0)</f>
        <v>5557</v>
      </c>
      <c r="G5563" s="19">
        <f>IFERROR(__xludf.DUMMYFUNCTION("""COMPUTED_VALUE"""),0.0023)</f>
        <v>0.0023</v>
      </c>
      <c r="H5563" s="19" t="str">
        <f>IFERROR(__xludf.DUMMYFUNCTION("""COMPUTED_VALUE"""),"-")</f>
        <v>-</v>
      </c>
      <c r="I5563" s="19">
        <f>IFERROR(__xludf.DUMMYFUNCTION("""COMPUTED_VALUE"""),0.00226)</f>
        <v>0.00226</v>
      </c>
      <c r="J5563" s="19">
        <f>IFERROR(__xludf.DUMMYFUNCTION("""COMPUTED_VALUE"""),0.04744)</f>
        <v>0.04744</v>
      </c>
      <c r="K5563" s="19" t="str">
        <f>IFERROR(__xludf.DUMMYFUNCTION("""COMPUTED_VALUE"""),"-")</f>
        <v>-</v>
      </c>
      <c r="L5563" s="19" t="str">
        <f>IFERROR(__xludf.DUMMYFUNCTION("""COMPUTED_VALUE"""),"-")</f>
        <v>-</v>
      </c>
      <c r="O5563" s="24">
        <f t="shared" si="4"/>
        <v>0</v>
      </c>
      <c r="P5563" s="24"/>
      <c r="Q5563" s="24">
        <f t="shared" si="6"/>
        <v>0</v>
      </c>
      <c r="R5563" s="24">
        <f t="shared" si="7"/>
        <v>0</v>
      </c>
      <c r="S5563" s="24"/>
      <c r="T5563" s="24"/>
    </row>
    <row r="5564">
      <c r="A5564" s="12" t="s">
        <v>5651</v>
      </c>
      <c r="F5564" s="19">
        <f>IFERROR(__xludf.DUMMYFUNCTION("SPLIT(A5560, "" |"")"),5558.0)</f>
        <v>5558</v>
      </c>
      <c r="G5564" s="19">
        <f>IFERROR(__xludf.DUMMYFUNCTION("""COMPUTED_VALUE"""),0.00236)</f>
        <v>0.00236</v>
      </c>
      <c r="H5564" s="19" t="str">
        <f>IFERROR(__xludf.DUMMYFUNCTION("""COMPUTED_VALUE"""),"-")</f>
        <v>-</v>
      </c>
      <c r="I5564" s="19">
        <f>IFERROR(__xludf.DUMMYFUNCTION("""COMPUTED_VALUE"""),0.00224)</f>
        <v>0.00224</v>
      </c>
      <c r="J5564" s="19">
        <f>IFERROR(__xludf.DUMMYFUNCTION("""COMPUTED_VALUE"""),0.04371)</f>
        <v>0.04371</v>
      </c>
      <c r="K5564" s="19" t="str">
        <f>IFERROR(__xludf.DUMMYFUNCTION("""COMPUTED_VALUE"""),"-")</f>
        <v>-</v>
      </c>
      <c r="L5564" s="19" t="str">
        <f>IFERROR(__xludf.DUMMYFUNCTION("""COMPUTED_VALUE"""),"-")</f>
        <v>-</v>
      </c>
      <c r="O5564" s="24">
        <f t="shared" si="4"/>
        <v>0</v>
      </c>
      <c r="P5564" s="24"/>
      <c r="Q5564" s="24">
        <f t="shared" si="6"/>
        <v>0</v>
      </c>
      <c r="R5564" s="24">
        <f t="shared" si="7"/>
        <v>1</v>
      </c>
      <c r="S5564" s="24"/>
      <c r="T5564" s="24"/>
    </row>
    <row r="5565">
      <c r="A5565" s="12" t="s">
        <v>5652</v>
      </c>
      <c r="F5565" s="19">
        <f>IFERROR(__xludf.DUMMYFUNCTION("SPLIT(A5561, "" |"")"),5559.0)</f>
        <v>5559</v>
      </c>
      <c r="G5565" s="19">
        <f>IFERROR(__xludf.DUMMYFUNCTION("""COMPUTED_VALUE"""),0.00231)</f>
        <v>0.00231</v>
      </c>
      <c r="H5565" s="19" t="str">
        <f>IFERROR(__xludf.DUMMYFUNCTION("""COMPUTED_VALUE"""),"-")</f>
        <v>-</v>
      </c>
      <c r="I5565" s="19">
        <f>IFERROR(__xludf.DUMMYFUNCTION("""COMPUTED_VALUE"""),0.00219)</f>
        <v>0.00219</v>
      </c>
      <c r="J5565" s="19">
        <f>IFERROR(__xludf.DUMMYFUNCTION("""COMPUTED_VALUE"""),0.0474)</f>
        <v>0.0474</v>
      </c>
      <c r="K5565" s="19" t="str">
        <f>IFERROR(__xludf.DUMMYFUNCTION("""COMPUTED_VALUE"""),"-")</f>
        <v>-</v>
      </c>
      <c r="L5565" s="19" t="str">
        <f>IFERROR(__xludf.DUMMYFUNCTION("""COMPUTED_VALUE"""),"-")</f>
        <v>-</v>
      </c>
      <c r="O5565" s="24">
        <f t="shared" si="4"/>
        <v>0</v>
      </c>
      <c r="P5565" s="24"/>
      <c r="Q5565" s="24">
        <f t="shared" si="6"/>
        <v>0</v>
      </c>
      <c r="R5565" s="24">
        <f t="shared" si="7"/>
        <v>0</v>
      </c>
      <c r="S5565" s="24"/>
      <c r="T5565" s="24"/>
    </row>
    <row r="5566">
      <c r="A5566" s="12" t="s">
        <v>5653</v>
      </c>
      <c r="F5566" s="19">
        <f>IFERROR(__xludf.DUMMYFUNCTION("SPLIT(A5562, "" |"")"),5560.0)</f>
        <v>5560</v>
      </c>
      <c r="G5566" s="19">
        <f>IFERROR(__xludf.DUMMYFUNCTION("""COMPUTED_VALUE"""),0.00232)</f>
        <v>0.00232</v>
      </c>
      <c r="H5566" s="19" t="str">
        <f>IFERROR(__xludf.DUMMYFUNCTION("""COMPUTED_VALUE"""),"-")</f>
        <v>-</v>
      </c>
      <c r="I5566" s="19">
        <f>IFERROR(__xludf.DUMMYFUNCTION("""COMPUTED_VALUE"""),0.00225)</f>
        <v>0.00225</v>
      </c>
      <c r="J5566" s="19">
        <f>IFERROR(__xludf.DUMMYFUNCTION("""COMPUTED_VALUE"""),0.0474)</f>
        <v>0.0474</v>
      </c>
      <c r="K5566" s="19" t="str">
        <f>IFERROR(__xludf.DUMMYFUNCTION("""COMPUTED_VALUE"""),"-")</f>
        <v>-</v>
      </c>
      <c r="L5566" s="19" t="str">
        <f>IFERROR(__xludf.DUMMYFUNCTION("""COMPUTED_VALUE"""),"-")</f>
        <v>-</v>
      </c>
      <c r="O5566" s="24">
        <f t="shared" si="4"/>
        <v>0</v>
      </c>
      <c r="P5566" s="24"/>
      <c r="Q5566" s="24">
        <f t="shared" si="6"/>
        <v>0</v>
      </c>
      <c r="R5566" s="24">
        <f t="shared" si="7"/>
        <v>0</v>
      </c>
      <c r="S5566" s="24"/>
      <c r="T5566" s="24"/>
    </row>
    <row r="5567">
      <c r="A5567" s="12" t="s">
        <v>5654</v>
      </c>
      <c r="F5567" s="19">
        <f>IFERROR(__xludf.DUMMYFUNCTION("SPLIT(A5563, "" |"")"),5561.0)</f>
        <v>5561</v>
      </c>
      <c r="G5567" s="19">
        <f>IFERROR(__xludf.DUMMYFUNCTION("""COMPUTED_VALUE"""),0.00238)</f>
        <v>0.00238</v>
      </c>
      <c r="H5567" s="19" t="str">
        <f>IFERROR(__xludf.DUMMYFUNCTION("""COMPUTED_VALUE"""),"-")</f>
        <v>-</v>
      </c>
      <c r="I5567" s="19">
        <f>IFERROR(__xludf.DUMMYFUNCTION("""COMPUTED_VALUE"""),0.00225)</f>
        <v>0.00225</v>
      </c>
      <c r="J5567" s="19">
        <f>IFERROR(__xludf.DUMMYFUNCTION("""COMPUTED_VALUE"""),0.04747)</f>
        <v>0.04747</v>
      </c>
      <c r="K5567" s="19" t="str">
        <f>IFERROR(__xludf.DUMMYFUNCTION("""COMPUTED_VALUE"""),"-")</f>
        <v>-</v>
      </c>
      <c r="L5567" s="19" t="str">
        <f>IFERROR(__xludf.DUMMYFUNCTION("""COMPUTED_VALUE"""),"-")</f>
        <v>-</v>
      </c>
      <c r="O5567" s="24">
        <f t="shared" si="4"/>
        <v>0</v>
      </c>
      <c r="P5567" s="24"/>
      <c r="Q5567" s="24">
        <f t="shared" si="6"/>
        <v>0</v>
      </c>
      <c r="R5567" s="24">
        <f t="shared" si="7"/>
        <v>0</v>
      </c>
      <c r="S5567" s="24"/>
      <c r="T5567" s="24"/>
    </row>
    <row r="5568">
      <c r="A5568" s="12" t="s">
        <v>5655</v>
      </c>
      <c r="F5568" s="19">
        <f>IFERROR(__xludf.DUMMYFUNCTION("SPLIT(A5564, "" |"")"),5562.0)</f>
        <v>5562</v>
      </c>
      <c r="G5568" s="19">
        <f>IFERROR(__xludf.DUMMYFUNCTION("""COMPUTED_VALUE"""),0.00228)</f>
        <v>0.00228</v>
      </c>
      <c r="H5568" s="19" t="str">
        <f>IFERROR(__xludf.DUMMYFUNCTION("""COMPUTED_VALUE"""),"-")</f>
        <v>-</v>
      </c>
      <c r="I5568" s="19">
        <f>IFERROR(__xludf.DUMMYFUNCTION("""COMPUTED_VALUE"""),0.00211)</f>
        <v>0.00211</v>
      </c>
      <c r="J5568" s="19">
        <f>IFERROR(__xludf.DUMMYFUNCTION("""COMPUTED_VALUE"""),0.04749)</f>
        <v>0.04749</v>
      </c>
      <c r="K5568" s="19" t="str">
        <f>IFERROR(__xludf.DUMMYFUNCTION("""COMPUTED_VALUE"""),"-")</f>
        <v>-</v>
      </c>
      <c r="L5568" s="19" t="str">
        <f>IFERROR(__xludf.DUMMYFUNCTION("""COMPUTED_VALUE"""),"-")</f>
        <v>-</v>
      </c>
      <c r="O5568" s="24">
        <f t="shared" si="4"/>
        <v>0</v>
      </c>
      <c r="P5568" s="24"/>
      <c r="Q5568" s="24">
        <f t="shared" si="6"/>
        <v>0</v>
      </c>
      <c r="R5568" s="24">
        <f t="shared" si="7"/>
        <v>0</v>
      </c>
      <c r="S5568" s="24"/>
      <c r="T5568" s="24"/>
    </row>
    <row r="5569">
      <c r="A5569" s="12" t="s">
        <v>5656</v>
      </c>
      <c r="F5569" s="19">
        <f>IFERROR(__xludf.DUMMYFUNCTION("SPLIT(A5565, "" |"")"),5563.0)</f>
        <v>5563</v>
      </c>
      <c r="G5569" s="19">
        <f>IFERROR(__xludf.DUMMYFUNCTION("""COMPUTED_VALUE"""),0.00249)</f>
        <v>0.00249</v>
      </c>
      <c r="H5569" s="19" t="str">
        <f>IFERROR(__xludf.DUMMYFUNCTION("""COMPUTED_VALUE"""),"-")</f>
        <v>-</v>
      </c>
      <c r="I5569" s="19">
        <f>IFERROR(__xludf.DUMMYFUNCTION("""COMPUTED_VALUE"""),0.00228)</f>
        <v>0.00228</v>
      </c>
      <c r="J5569" s="19">
        <f>IFERROR(__xludf.DUMMYFUNCTION("""COMPUTED_VALUE"""),0.04751)</f>
        <v>0.04751</v>
      </c>
      <c r="K5569" s="19" t="str">
        <f>IFERROR(__xludf.DUMMYFUNCTION("""COMPUTED_VALUE"""),"-")</f>
        <v>-</v>
      </c>
      <c r="L5569" s="19" t="str">
        <f>IFERROR(__xludf.DUMMYFUNCTION("""COMPUTED_VALUE"""),"-")</f>
        <v>-</v>
      </c>
      <c r="O5569" s="24">
        <f t="shared" si="4"/>
        <v>0</v>
      </c>
      <c r="P5569" s="24"/>
      <c r="Q5569" s="24">
        <f t="shared" si="6"/>
        <v>0</v>
      </c>
      <c r="R5569" s="24">
        <f t="shared" si="7"/>
        <v>0</v>
      </c>
      <c r="S5569" s="24"/>
      <c r="T5569" s="24"/>
    </row>
    <row r="5570">
      <c r="A5570" s="12" t="s">
        <v>5657</v>
      </c>
      <c r="F5570" s="19">
        <f>IFERROR(__xludf.DUMMYFUNCTION("SPLIT(A5566, "" |"")"),5564.0)</f>
        <v>5564</v>
      </c>
      <c r="G5570" s="19">
        <f>IFERROR(__xludf.DUMMYFUNCTION("""COMPUTED_VALUE"""),0.00231)</f>
        <v>0.00231</v>
      </c>
      <c r="H5570" s="19" t="str">
        <f>IFERROR(__xludf.DUMMYFUNCTION("""COMPUTED_VALUE"""),"-")</f>
        <v>-</v>
      </c>
      <c r="I5570" s="19">
        <f>IFERROR(__xludf.DUMMYFUNCTION("""COMPUTED_VALUE"""),0.00221)</f>
        <v>0.00221</v>
      </c>
      <c r="J5570" s="19">
        <f>IFERROR(__xludf.DUMMYFUNCTION("""COMPUTED_VALUE"""),0.04559)</f>
        <v>0.04559</v>
      </c>
      <c r="K5570" s="19" t="str">
        <f>IFERROR(__xludf.DUMMYFUNCTION("""COMPUTED_VALUE"""),"-")</f>
        <v>-</v>
      </c>
      <c r="L5570" s="19" t="str">
        <f>IFERROR(__xludf.DUMMYFUNCTION("""COMPUTED_VALUE"""),"-")</f>
        <v>-</v>
      </c>
      <c r="O5570" s="24">
        <f t="shared" si="4"/>
        <v>0</v>
      </c>
      <c r="P5570" s="24"/>
      <c r="Q5570" s="24">
        <f t="shared" si="6"/>
        <v>0</v>
      </c>
      <c r="R5570" s="24">
        <f t="shared" si="7"/>
        <v>0</v>
      </c>
      <c r="S5570" s="24"/>
      <c r="T5570" s="24"/>
    </row>
    <row r="5571">
      <c r="A5571" s="12" t="s">
        <v>5658</v>
      </c>
      <c r="F5571" s="19">
        <f>IFERROR(__xludf.DUMMYFUNCTION("SPLIT(A5567, "" |"")"),5565.0)</f>
        <v>5565</v>
      </c>
      <c r="G5571" s="19">
        <f>IFERROR(__xludf.DUMMYFUNCTION("""COMPUTED_VALUE"""),0.00231)</f>
        <v>0.00231</v>
      </c>
      <c r="H5571" s="19" t="str">
        <f>IFERROR(__xludf.DUMMYFUNCTION("""COMPUTED_VALUE"""),"-")</f>
        <v>-</v>
      </c>
      <c r="I5571" s="19">
        <f>IFERROR(__xludf.DUMMYFUNCTION("""COMPUTED_VALUE"""),0.00224)</f>
        <v>0.00224</v>
      </c>
      <c r="J5571" s="19">
        <f>IFERROR(__xludf.DUMMYFUNCTION("""COMPUTED_VALUE"""),0.04745)</f>
        <v>0.04745</v>
      </c>
      <c r="K5571" s="19" t="str">
        <f>IFERROR(__xludf.DUMMYFUNCTION("""COMPUTED_VALUE"""),"-")</f>
        <v>-</v>
      </c>
      <c r="L5571" s="19" t="str">
        <f>IFERROR(__xludf.DUMMYFUNCTION("""COMPUTED_VALUE"""),"-")</f>
        <v>-</v>
      </c>
      <c r="O5571" s="24">
        <f t="shared" si="4"/>
        <v>0</v>
      </c>
      <c r="P5571" s="24"/>
      <c r="Q5571" s="24">
        <f t="shared" si="6"/>
        <v>0</v>
      </c>
      <c r="R5571" s="24">
        <f t="shared" si="7"/>
        <v>0</v>
      </c>
      <c r="S5571" s="24"/>
      <c r="T5571" s="24"/>
    </row>
    <row r="5572">
      <c r="A5572" s="12" t="s">
        <v>5659</v>
      </c>
      <c r="F5572" s="19">
        <f>IFERROR(__xludf.DUMMYFUNCTION("SPLIT(A5568, "" |"")"),5566.0)</f>
        <v>5566</v>
      </c>
      <c r="G5572" s="19">
        <f>IFERROR(__xludf.DUMMYFUNCTION("""COMPUTED_VALUE"""),0.00236)</f>
        <v>0.00236</v>
      </c>
      <c r="H5572" s="19" t="str">
        <f>IFERROR(__xludf.DUMMYFUNCTION("""COMPUTED_VALUE"""),"-")</f>
        <v>-</v>
      </c>
      <c r="I5572" s="19">
        <f>IFERROR(__xludf.DUMMYFUNCTION("""COMPUTED_VALUE"""),0.00224)</f>
        <v>0.00224</v>
      </c>
      <c r="J5572" s="19">
        <f>IFERROR(__xludf.DUMMYFUNCTION("""COMPUTED_VALUE"""),0.04746)</f>
        <v>0.04746</v>
      </c>
      <c r="K5572" s="19" t="str">
        <f>IFERROR(__xludf.DUMMYFUNCTION("""COMPUTED_VALUE"""),"-")</f>
        <v>-</v>
      </c>
      <c r="L5572" s="19" t="str">
        <f>IFERROR(__xludf.DUMMYFUNCTION("""COMPUTED_VALUE"""),"-")</f>
        <v>-</v>
      </c>
      <c r="O5572" s="24">
        <f t="shared" si="4"/>
        <v>0</v>
      </c>
      <c r="P5572" s="24"/>
      <c r="Q5572" s="24">
        <f t="shared" si="6"/>
        <v>0</v>
      </c>
      <c r="R5572" s="24">
        <f t="shared" si="7"/>
        <v>0</v>
      </c>
      <c r="S5572" s="24"/>
      <c r="T5572" s="24"/>
    </row>
    <row r="5573">
      <c r="A5573" s="12" t="s">
        <v>5660</v>
      </c>
      <c r="F5573" s="19">
        <f>IFERROR(__xludf.DUMMYFUNCTION("SPLIT(A5569, "" |"")"),5567.0)</f>
        <v>5567</v>
      </c>
      <c r="G5573" s="19">
        <f>IFERROR(__xludf.DUMMYFUNCTION("""COMPUTED_VALUE"""),0.00237)</f>
        <v>0.00237</v>
      </c>
      <c r="H5573" s="19" t="str">
        <f>IFERROR(__xludf.DUMMYFUNCTION("""COMPUTED_VALUE"""),"-")</f>
        <v>-</v>
      </c>
      <c r="I5573" s="19">
        <f>IFERROR(__xludf.DUMMYFUNCTION("""COMPUTED_VALUE"""),0.00223)</f>
        <v>0.00223</v>
      </c>
      <c r="J5573" s="19">
        <f>IFERROR(__xludf.DUMMYFUNCTION("""COMPUTED_VALUE"""),0.04747)</f>
        <v>0.04747</v>
      </c>
      <c r="K5573" s="19" t="str">
        <f>IFERROR(__xludf.DUMMYFUNCTION("""COMPUTED_VALUE"""),"-")</f>
        <v>-</v>
      </c>
      <c r="L5573" s="19" t="str">
        <f>IFERROR(__xludf.DUMMYFUNCTION("""COMPUTED_VALUE"""),"-")</f>
        <v>-</v>
      </c>
      <c r="O5573" s="24">
        <f t="shared" si="4"/>
        <v>0</v>
      </c>
      <c r="P5573" s="24"/>
      <c r="Q5573" s="24">
        <f t="shared" si="6"/>
        <v>0</v>
      </c>
      <c r="R5573" s="24">
        <f t="shared" si="7"/>
        <v>0</v>
      </c>
      <c r="S5573" s="24"/>
      <c r="T5573" s="24"/>
    </row>
    <row r="5574">
      <c r="A5574" s="12" t="s">
        <v>5661</v>
      </c>
      <c r="F5574" s="19">
        <f>IFERROR(__xludf.DUMMYFUNCTION("SPLIT(A5570, "" |"")"),5568.0)</f>
        <v>5568</v>
      </c>
      <c r="G5574" s="19">
        <f>IFERROR(__xludf.DUMMYFUNCTION("""COMPUTED_VALUE"""),0.00231)</f>
        <v>0.00231</v>
      </c>
      <c r="H5574" s="19" t="str">
        <f>IFERROR(__xludf.DUMMYFUNCTION("""COMPUTED_VALUE"""),"-")</f>
        <v>-</v>
      </c>
      <c r="I5574" s="19">
        <f>IFERROR(__xludf.DUMMYFUNCTION("""COMPUTED_VALUE"""),0.00221)</f>
        <v>0.00221</v>
      </c>
      <c r="J5574" s="19">
        <f>IFERROR(__xludf.DUMMYFUNCTION("""COMPUTED_VALUE"""),0.04749)</f>
        <v>0.04749</v>
      </c>
      <c r="K5574" s="19" t="str">
        <f>IFERROR(__xludf.DUMMYFUNCTION("""COMPUTED_VALUE"""),"-")</f>
        <v>-</v>
      </c>
      <c r="L5574" s="19" t="str">
        <f>IFERROR(__xludf.DUMMYFUNCTION("""COMPUTED_VALUE"""),"-")</f>
        <v>-</v>
      </c>
      <c r="O5574" s="24">
        <f t="shared" si="4"/>
        <v>0</v>
      </c>
      <c r="P5574" s="24"/>
      <c r="Q5574" s="24">
        <f t="shared" si="6"/>
        <v>0</v>
      </c>
      <c r="R5574" s="24">
        <f t="shared" si="7"/>
        <v>0</v>
      </c>
      <c r="S5574" s="24"/>
      <c r="T5574" s="24"/>
    </row>
    <row r="5575">
      <c r="A5575" s="12" t="s">
        <v>5662</v>
      </c>
      <c r="F5575" s="19">
        <f>IFERROR(__xludf.DUMMYFUNCTION("SPLIT(A5571, "" |"")"),5569.0)</f>
        <v>5569</v>
      </c>
      <c r="G5575" s="19">
        <f>IFERROR(__xludf.DUMMYFUNCTION("""COMPUTED_VALUE"""),0.00231)</f>
        <v>0.00231</v>
      </c>
      <c r="H5575" s="19" t="str">
        <f>IFERROR(__xludf.DUMMYFUNCTION("""COMPUTED_VALUE"""),"-")</f>
        <v>-</v>
      </c>
      <c r="I5575" s="19">
        <f>IFERROR(__xludf.DUMMYFUNCTION("""COMPUTED_VALUE"""),0.00218)</f>
        <v>0.00218</v>
      </c>
      <c r="J5575" s="19">
        <f>IFERROR(__xludf.DUMMYFUNCTION("""COMPUTED_VALUE"""),0.04743)</f>
        <v>0.04743</v>
      </c>
      <c r="K5575" s="19" t="str">
        <f>IFERROR(__xludf.DUMMYFUNCTION("""COMPUTED_VALUE"""),"-")</f>
        <v>-</v>
      </c>
      <c r="L5575" s="19" t="str">
        <f>IFERROR(__xludf.DUMMYFUNCTION("""COMPUTED_VALUE"""),"-")</f>
        <v>-</v>
      </c>
      <c r="O5575" s="24">
        <f t="shared" si="4"/>
        <v>0</v>
      </c>
      <c r="P5575" s="24"/>
      <c r="Q5575" s="24">
        <f t="shared" si="6"/>
        <v>0</v>
      </c>
      <c r="R5575" s="24">
        <f t="shared" si="7"/>
        <v>0</v>
      </c>
      <c r="S5575" s="24"/>
      <c r="T5575" s="24"/>
    </row>
    <row r="5576">
      <c r="A5576" s="12" t="s">
        <v>5663</v>
      </c>
      <c r="F5576" s="19">
        <f>IFERROR(__xludf.DUMMYFUNCTION("SPLIT(A5572, "" |"")"),5570.0)</f>
        <v>5570</v>
      </c>
      <c r="G5576" s="19">
        <f>IFERROR(__xludf.DUMMYFUNCTION("""COMPUTED_VALUE"""),0.00232)</f>
        <v>0.00232</v>
      </c>
      <c r="H5576" s="19" t="str">
        <f>IFERROR(__xludf.DUMMYFUNCTION("""COMPUTED_VALUE"""),"-")</f>
        <v>-</v>
      </c>
      <c r="I5576" s="19">
        <f>IFERROR(__xludf.DUMMYFUNCTION("""COMPUTED_VALUE"""),0.00215)</f>
        <v>0.00215</v>
      </c>
      <c r="J5576" s="19">
        <f>IFERROR(__xludf.DUMMYFUNCTION("""COMPUTED_VALUE"""),0.04745)</f>
        <v>0.04745</v>
      </c>
      <c r="K5576" s="19" t="str">
        <f>IFERROR(__xludf.DUMMYFUNCTION("""COMPUTED_VALUE"""),"-")</f>
        <v>-</v>
      </c>
      <c r="L5576" s="19" t="str">
        <f>IFERROR(__xludf.DUMMYFUNCTION("""COMPUTED_VALUE"""),"-")</f>
        <v>-</v>
      </c>
      <c r="O5576" s="24">
        <f t="shared" si="4"/>
        <v>0</v>
      </c>
      <c r="P5576" s="24"/>
      <c r="Q5576" s="24">
        <f t="shared" si="6"/>
        <v>0</v>
      </c>
      <c r="R5576" s="24">
        <f t="shared" si="7"/>
        <v>0</v>
      </c>
      <c r="S5576" s="24"/>
      <c r="T5576" s="24"/>
    </row>
    <row r="5577">
      <c r="A5577" s="12" t="s">
        <v>5664</v>
      </c>
      <c r="F5577" s="19">
        <f>IFERROR(__xludf.DUMMYFUNCTION("SPLIT(A5573, "" |"")"),5571.0)</f>
        <v>5571</v>
      </c>
      <c r="G5577" s="19">
        <f>IFERROR(__xludf.DUMMYFUNCTION("""COMPUTED_VALUE"""),0.00239)</f>
        <v>0.00239</v>
      </c>
      <c r="H5577" s="19" t="str">
        <f>IFERROR(__xludf.DUMMYFUNCTION("""COMPUTED_VALUE"""),"-")</f>
        <v>-</v>
      </c>
      <c r="I5577" s="19">
        <f>IFERROR(__xludf.DUMMYFUNCTION("""COMPUTED_VALUE"""),0.00224)</f>
        <v>0.00224</v>
      </c>
      <c r="J5577" s="19">
        <f>IFERROR(__xludf.DUMMYFUNCTION("""COMPUTED_VALUE"""),0.04744)</f>
        <v>0.04744</v>
      </c>
      <c r="K5577" s="19" t="str">
        <f>IFERROR(__xludf.DUMMYFUNCTION("""COMPUTED_VALUE"""),"-")</f>
        <v>-</v>
      </c>
      <c r="L5577" s="19" t="str">
        <f>IFERROR(__xludf.DUMMYFUNCTION("""COMPUTED_VALUE"""),"-")</f>
        <v>-</v>
      </c>
      <c r="O5577" s="24">
        <f t="shared" si="4"/>
        <v>0</v>
      </c>
      <c r="P5577" s="24"/>
      <c r="Q5577" s="24">
        <f t="shared" si="6"/>
        <v>0</v>
      </c>
      <c r="R5577" s="24">
        <f t="shared" si="7"/>
        <v>0</v>
      </c>
      <c r="S5577" s="24"/>
      <c r="T5577" s="24"/>
    </row>
    <row r="5578">
      <c r="A5578" s="12" t="s">
        <v>5665</v>
      </c>
      <c r="F5578" s="19">
        <f>IFERROR(__xludf.DUMMYFUNCTION("SPLIT(A5574, "" |"")"),5572.0)</f>
        <v>5572</v>
      </c>
      <c r="G5578" s="19">
        <f>IFERROR(__xludf.DUMMYFUNCTION("""COMPUTED_VALUE"""),0.00232)</f>
        <v>0.00232</v>
      </c>
      <c r="H5578" s="19" t="str">
        <f>IFERROR(__xludf.DUMMYFUNCTION("""COMPUTED_VALUE"""),"-")</f>
        <v>-</v>
      </c>
      <c r="I5578" s="19">
        <f>IFERROR(__xludf.DUMMYFUNCTION("""COMPUTED_VALUE"""),0.00221)</f>
        <v>0.00221</v>
      </c>
      <c r="J5578" s="19">
        <f>IFERROR(__xludf.DUMMYFUNCTION("""COMPUTED_VALUE"""),0.04741)</f>
        <v>0.04741</v>
      </c>
      <c r="K5578" s="19" t="str">
        <f>IFERROR(__xludf.DUMMYFUNCTION("""COMPUTED_VALUE"""),"-")</f>
        <v>-</v>
      </c>
      <c r="L5578" s="19" t="str">
        <f>IFERROR(__xludf.DUMMYFUNCTION("""COMPUTED_VALUE"""),"-")</f>
        <v>-</v>
      </c>
      <c r="O5578" s="24">
        <f t="shared" si="4"/>
        <v>0</v>
      </c>
      <c r="P5578" s="24"/>
      <c r="Q5578" s="24">
        <f t="shared" si="6"/>
        <v>0</v>
      </c>
      <c r="R5578" s="24">
        <f t="shared" si="7"/>
        <v>0</v>
      </c>
      <c r="S5578" s="24"/>
      <c r="T5578" s="24"/>
    </row>
    <row r="5579">
      <c r="A5579" s="12" t="s">
        <v>5666</v>
      </c>
      <c r="F5579" s="19">
        <f>IFERROR(__xludf.DUMMYFUNCTION("SPLIT(A5575, "" |"")"),5573.0)</f>
        <v>5573</v>
      </c>
      <c r="G5579" s="19">
        <f>IFERROR(__xludf.DUMMYFUNCTION("""COMPUTED_VALUE"""),0.00241)</f>
        <v>0.00241</v>
      </c>
      <c r="H5579" s="19" t="str">
        <f>IFERROR(__xludf.DUMMYFUNCTION("""COMPUTED_VALUE"""),"-")</f>
        <v>-</v>
      </c>
      <c r="I5579" s="19">
        <f>IFERROR(__xludf.DUMMYFUNCTION("""COMPUTED_VALUE"""),0.00224)</f>
        <v>0.00224</v>
      </c>
      <c r="J5579" s="19">
        <f>IFERROR(__xludf.DUMMYFUNCTION("""COMPUTED_VALUE"""),0.04743)</f>
        <v>0.04743</v>
      </c>
      <c r="K5579" s="19" t="str">
        <f>IFERROR(__xludf.DUMMYFUNCTION("""COMPUTED_VALUE"""),"-")</f>
        <v>-</v>
      </c>
      <c r="L5579" s="19" t="str">
        <f>IFERROR(__xludf.DUMMYFUNCTION("""COMPUTED_VALUE"""),"-")</f>
        <v>-</v>
      </c>
      <c r="O5579" s="24">
        <f t="shared" si="4"/>
        <v>0</v>
      </c>
      <c r="P5579" s="24"/>
      <c r="Q5579" s="24">
        <f t="shared" si="6"/>
        <v>0</v>
      </c>
      <c r="R5579" s="24">
        <f t="shared" si="7"/>
        <v>0</v>
      </c>
      <c r="S5579" s="24"/>
      <c r="T5579" s="24"/>
    </row>
    <row r="5580">
      <c r="A5580" s="12" t="s">
        <v>5667</v>
      </c>
      <c r="F5580" s="19">
        <f>IFERROR(__xludf.DUMMYFUNCTION("SPLIT(A5576, "" |"")"),5574.0)</f>
        <v>5574</v>
      </c>
      <c r="G5580" s="19">
        <f>IFERROR(__xludf.DUMMYFUNCTION("""COMPUTED_VALUE"""),0.00233)</f>
        <v>0.00233</v>
      </c>
      <c r="H5580" s="19" t="str">
        <f>IFERROR(__xludf.DUMMYFUNCTION("""COMPUTED_VALUE"""),"-")</f>
        <v>-</v>
      </c>
      <c r="I5580" s="19">
        <f>IFERROR(__xludf.DUMMYFUNCTION("""COMPUTED_VALUE"""),0.00223)</f>
        <v>0.00223</v>
      </c>
      <c r="J5580" s="19">
        <f>IFERROR(__xludf.DUMMYFUNCTION("""COMPUTED_VALUE"""),0.0474)</f>
        <v>0.0474</v>
      </c>
      <c r="K5580" s="19" t="str">
        <f>IFERROR(__xludf.DUMMYFUNCTION("""COMPUTED_VALUE"""),"-")</f>
        <v>-</v>
      </c>
      <c r="L5580" s="19" t="str">
        <f>IFERROR(__xludf.DUMMYFUNCTION("""COMPUTED_VALUE"""),"-")</f>
        <v>-</v>
      </c>
      <c r="O5580" s="24">
        <f t="shared" si="4"/>
        <v>0</v>
      </c>
      <c r="P5580" s="24"/>
      <c r="Q5580" s="24">
        <f t="shared" si="6"/>
        <v>0</v>
      </c>
      <c r="R5580" s="24">
        <f t="shared" si="7"/>
        <v>0</v>
      </c>
      <c r="S5580" s="24"/>
      <c r="T5580" s="24"/>
    </row>
    <row r="5581">
      <c r="A5581" s="12" t="s">
        <v>5668</v>
      </c>
      <c r="F5581" s="19">
        <f>IFERROR(__xludf.DUMMYFUNCTION("SPLIT(A5577, "" |"")"),5575.0)</f>
        <v>5575</v>
      </c>
      <c r="G5581" s="19">
        <f>IFERROR(__xludf.DUMMYFUNCTION("""COMPUTED_VALUE"""),0.0024)</f>
        <v>0.0024</v>
      </c>
      <c r="H5581" s="19" t="str">
        <f>IFERROR(__xludf.DUMMYFUNCTION("""COMPUTED_VALUE"""),"-")</f>
        <v>-</v>
      </c>
      <c r="I5581" s="19">
        <f>IFERROR(__xludf.DUMMYFUNCTION("""COMPUTED_VALUE"""),0.00222)</f>
        <v>0.00222</v>
      </c>
      <c r="J5581" s="19">
        <f>IFERROR(__xludf.DUMMYFUNCTION("""COMPUTED_VALUE"""),0.04748)</f>
        <v>0.04748</v>
      </c>
      <c r="K5581" s="19" t="str">
        <f>IFERROR(__xludf.DUMMYFUNCTION("""COMPUTED_VALUE"""),"-")</f>
        <v>-</v>
      </c>
      <c r="L5581" s="19" t="str">
        <f>IFERROR(__xludf.DUMMYFUNCTION("""COMPUTED_VALUE"""),"-")</f>
        <v>-</v>
      </c>
      <c r="O5581" s="24">
        <f t="shared" si="4"/>
        <v>0</v>
      </c>
      <c r="P5581" s="24"/>
      <c r="Q5581" s="24">
        <f t="shared" si="6"/>
        <v>0</v>
      </c>
      <c r="R5581" s="24">
        <f t="shared" si="7"/>
        <v>0</v>
      </c>
      <c r="S5581" s="24"/>
      <c r="T5581" s="24"/>
    </row>
    <row r="5582">
      <c r="A5582" s="12" t="s">
        <v>5669</v>
      </c>
      <c r="F5582" s="19">
        <f>IFERROR(__xludf.DUMMYFUNCTION("SPLIT(A5578, "" |"")"),5576.0)</f>
        <v>5576</v>
      </c>
      <c r="G5582" s="19">
        <f>IFERROR(__xludf.DUMMYFUNCTION("""COMPUTED_VALUE"""),0.00235)</f>
        <v>0.00235</v>
      </c>
      <c r="H5582" s="19" t="str">
        <f>IFERROR(__xludf.DUMMYFUNCTION("""COMPUTED_VALUE"""),"-")</f>
        <v>-</v>
      </c>
      <c r="I5582" s="19">
        <f>IFERROR(__xludf.DUMMYFUNCTION("""COMPUTED_VALUE"""),0.00222)</f>
        <v>0.00222</v>
      </c>
      <c r="J5582" s="19">
        <f>IFERROR(__xludf.DUMMYFUNCTION("""COMPUTED_VALUE"""),0.03964)</f>
        <v>0.03964</v>
      </c>
      <c r="K5582" s="19" t="str">
        <f>IFERROR(__xludf.DUMMYFUNCTION("""COMPUTED_VALUE"""),"-")</f>
        <v>-</v>
      </c>
      <c r="L5582" s="19" t="str">
        <f>IFERROR(__xludf.DUMMYFUNCTION("""COMPUTED_VALUE"""),"-")</f>
        <v>-</v>
      </c>
      <c r="O5582" s="24">
        <f t="shared" si="4"/>
        <v>0</v>
      </c>
      <c r="P5582" s="24"/>
      <c r="Q5582" s="24">
        <f t="shared" si="6"/>
        <v>0</v>
      </c>
      <c r="R5582" s="24">
        <f t="shared" si="7"/>
        <v>1</v>
      </c>
      <c r="S5582" s="24"/>
      <c r="T5582" s="24"/>
    </row>
    <row r="5583">
      <c r="A5583" s="12" t="s">
        <v>5670</v>
      </c>
      <c r="F5583" s="19">
        <f>IFERROR(__xludf.DUMMYFUNCTION("SPLIT(A5579, "" |"")"),5577.0)</f>
        <v>5577</v>
      </c>
      <c r="G5583" s="19">
        <f>IFERROR(__xludf.DUMMYFUNCTION("""COMPUTED_VALUE"""),0.0027)</f>
        <v>0.0027</v>
      </c>
      <c r="H5583" s="19" t="str">
        <f>IFERROR(__xludf.DUMMYFUNCTION("""COMPUTED_VALUE"""),"-")</f>
        <v>-</v>
      </c>
      <c r="I5583" s="19">
        <f>IFERROR(__xludf.DUMMYFUNCTION("""COMPUTED_VALUE"""),0.00233)</f>
        <v>0.00233</v>
      </c>
      <c r="J5583" s="19">
        <f>IFERROR(__xludf.DUMMYFUNCTION("""COMPUTED_VALUE"""),0.04376)</f>
        <v>0.04376</v>
      </c>
      <c r="K5583" s="19" t="str">
        <f>IFERROR(__xludf.DUMMYFUNCTION("""COMPUTED_VALUE"""),"-")</f>
        <v>-</v>
      </c>
      <c r="L5583" s="19" t="str">
        <f>IFERROR(__xludf.DUMMYFUNCTION("""COMPUTED_VALUE"""),"-")</f>
        <v>-</v>
      </c>
      <c r="O5583" s="24">
        <f t="shared" si="4"/>
        <v>0</v>
      </c>
      <c r="P5583" s="24"/>
      <c r="Q5583" s="24">
        <f t="shared" si="6"/>
        <v>0</v>
      </c>
      <c r="R5583" s="24">
        <f t="shared" si="7"/>
        <v>1</v>
      </c>
      <c r="S5583" s="24"/>
      <c r="T5583" s="24"/>
    </row>
    <row r="5584">
      <c r="A5584" s="12" t="s">
        <v>5671</v>
      </c>
      <c r="F5584" s="19">
        <f>IFERROR(__xludf.DUMMYFUNCTION("SPLIT(A5580, "" |"")"),5578.0)</f>
        <v>5578</v>
      </c>
      <c r="G5584" s="19">
        <f>IFERROR(__xludf.DUMMYFUNCTION("""COMPUTED_VALUE"""),0.00242)</f>
        <v>0.00242</v>
      </c>
      <c r="H5584" s="19" t="str">
        <f>IFERROR(__xludf.DUMMYFUNCTION("""COMPUTED_VALUE"""),"-")</f>
        <v>-</v>
      </c>
      <c r="I5584" s="19">
        <f>IFERROR(__xludf.DUMMYFUNCTION("""COMPUTED_VALUE"""),0.00222)</f>
        <v>0.00222</v>
      </c>
      <c r="J5584" s="19">
        <f>IFERROR(__xludf.DUMMYFUNCTION("""COMPUTED_VALUE"""),0.04748)</f>
        <v>0.04748</v>
      </c>
      <c r="K5584" s="19" t="str">
        <f>IFERROR(__xludf.DUMMYFUNCTION("""COMPUTED_VALUE"""),"-")</f>
        <v>-</v>
      </c>
      <c r="L5584" s="19" t="str">
        <f>IFERROR(__xludf.DUMMYFUNCTION("""COMPUTED_VALUE"""),"-")</f>
        <v>-</v>
      </c>
      <c r="O5584" s="24">
        <f t="shared" si="4"/>
        <v>0</v>
      </c>
      <c r="P5584" s="24"/>
      <c r="Q5584" s="24">
        <f t="shared" si="6"/>
        <v>0</v>
      </c>
      <c r="R5584" s="24">
        <f t="shared" si="7"/>
        <v>0</v>
      </c>
      <c r="S5584" s="24"/>
      <c r="T5584" s="24"/>
    </row>
    <row r="5585">
      <c r="A5585" s="12" t="s">
        <v>5672</v>
      </c>
      <c r="F5585" s="19">
        <f>IFERROR(__xludf.DUMMYFUNCTION("SPLIT(A5581, "" |"")"),5579.0)</f>
        <v>5579</v>
      </c>
      <c r="G5585" s="19">
        <f>IFERROR(__xludf.DUMMYFUNCTION("""COMPUTED_VALUE"""),0.00234)</f>
        <v>0.00234</v>
      </c>
      <c r="H5585" s="19" t="str">
        <f>IFERROR(__xludf.DUMMYFUNCTION("""COMPUTED_VALUE"""),"-")</f>
        <v>-</v>
      </c>
      <c r="I5585" s="19">
        <f>IFERROR(__xludf.DUMMYFUNCTION("""COMPUTED_VALUE"""),0.00221)</f>
        <v>0.00221</v>
      </c>
      <c r="J5585" s="19">
        <f>IFERROR(__xludf.DUMMYFUNCTION("""COMPUTED_VALUE"""),0.04727)</f>
        <v>0.04727</v>
      </c>
      <c r="K5585" s="19" t="str">
        <f>IFERROR(__xludf.DUMMYFUNCTION("""COMPUTED_VALUE"""),"-")</f>
        <v>-</v>
      </c>
      <c r="L5585" s="19" t="str">
        <f>IFERROR(__xludf.DUMMYFUNCTION("""COMPUTED_VALUE"""),"-")</f>
        <v>-</v>
      </c>
      <c r="O5585" s="24">
        <f t="shared" si="4"/>
        <v>0</v>
      </c>
      <c r="P5585" s="24"/>
      <c r="Q5585" s="24">
        <f t="shared" si="6"/>
        <v>0</v>
      </c>
      <c r="R5585" s="24">
        <f t="shared" si="7"/>
        <v>0</v>
      </c>
      <c r="S5585" s="24"/>
      <c r="T5585" s="24"/>
    </row>
    <row r="5586">
      <c r="A5586" s="12" t="s">
        <v>5673</v>
      </c>
      <c r="F5586" s="19">
        <f>IFERROR(__xludf.DUMMYFUNCTION("SPLIT(A5582, "" |"")"),5580.0)</f>
        <v>5580</v>
      </c>
      <c r="G5586" s="19">
        <f>IFERROR(__xludf.DUMMYFUNCTION("""COMPUTED_VALUE"""),0.00239)</f>
        <v>0.00239</v>
      </c>
      <c r="H5586" s="19" t="str">
        <f>IFERROR(__xludf.DUMMYFUNCTION("""COMPUTED_VALUE"""),"-")</f>
        <v>-</v>
      </c>
      <c r="I5586" s="19">
        <f>IFERROR(__xludf.DUMMYFUNCTION("""COMPUTED_VALUE"""),0.00225)</f>
        <v>0.00225</v>
      </c>
      <c r="J5586" s="19">
        <f>IFERROR(__xludf.DUMMYFUNCTION("""COMPUTED_VALUE"""),0.04747)</f>
        <v>0.04747</v>
      </c>
      <c r="K5586" s="19" t="str">
        <f>IFERROR(__xludf.DUMMYFUNCTION("""COMPUTED_VALUE"""),"-")</f>
        <v>-</v>
      </c>
      <c r="L5586" s="19" t="str">
        <f>IFERROR(__xludf.DUMMYFUNCTION("""COMPUTED_VALUE"""),"-")</f>
        <v>-</v>
      </c>
      <c r="O5586" s="24">
        <f t="shared" si="4"/>
        <v>0</v>
      </c>
      <c r="P5586" s="24"/>
      <c r="Q5586" s="24">
        <f t="shared" si="6"/>
        <v>0</v>
      </c>
      <c r="R5586" s="24">
        <f t="shared" si="7"/>
        <v>0</v>
      </c>
      <c r="S5586" s="24"/>
      <c r="T5586" s="24"/>
    </row>
    <row r="5587">
      <c r="A5587" s="12" t="s">
        <v>5674</v>
      </c>
      <c r="F5587" s="19">
        <f>IFERROR(__xludf.DUMMYFUNCTION("SPLIT(A5583, "" |"")"),5581.0)</f>
        <v>5581</v>
      </c>
      <c r="G5587" s="19">
        <f>IFERROR(__xludf.DUMMYFUNCTION("""COMPUTED_VALUE"""),0.00238)</f>
        <v>0.00238</v>
      </c>
      <c r="H5587" s="19" t="str">
        <f>IFERROR(__xludf.DUMMYFUNCTION("""COMPUTED_VALUE"""),"-")</f>
        <v>-</v>
      </c>
      <c r="I5587" s="19">
        <f>IFERROR(__xludf.DUMMYFUNCTION("""COMPUTED_VALUE"""),0.00222)</f>
        <v>0.00222</v>
      </c>
      <c r="J5587" s="19">
        <f>IFERROR(__xludf.DUMMYFUNCTION("""COMPUTED_VALUE"""),0.04743)</f>
        <v>0.04743</v>
      </c>
      <c r="K5587" s="19" t="str">
        <f>IFERROR(__xludf.DUMMYFUNCTION("""COMPUTED_VALUE"""),"-")</f>
        <v>-</v>
      </c>
      <c r="L5587" s="19" t="str">
        <f>IFERROR(__xludf.DUMMYFUNCTION("""COMPUTED_VALUE"""),"-")</f>
        <v>-</v>
      </c>
      <c r="O5587" s="24">
        <f t="shared" si="4"/>
        <v>0</v>
      </c>
      <c r="P5587" s="24"/>
      <c r="Q5587" s="24">
        <f t="shared" si="6"/>
        <v>0</v>
      </c>
      <c r="R5587" s="24">
        <f t="shared" si="7"/>
        <v>0</v>
      </c>
      <c r="S5587" s="24"/>
      <c r="T5587" s="24"/>
    </row>
    <row r="5588">
      <c r="A5588" s="12" t="s">
        <v>5675</v>
      </c>
      <c r="F5588" s="19">
        <f>IFERROR(__xludf.DUMMYFUNCTION("SPLIT(A5584, "" |"")"),5582.0)</f>
        <v>5582</v>
      </c>
      <c r="G5588" s="19">
        <f>IFERROR(__xludf.DUMMYFUNCTION("""COMPUTED_VALUE"""),0.00238)</f>
        <v>0.00238</v>
      </c>
      <c r="H5588" s="19" t="str">
        <f>IFERROR(__xludf.DUMMYFUNCTION("""COMPUTED_VALUE"""),"-")</f>
        <v>-</v>
      </c>
      <c r="I5588" s="19">
        <f>IFERROR(__xludf.DUMMYFUNCTION("""COMPUTED_VALUE"""),0.00225)</f>
        <v>0.00225</v>
      </c>
      <c r="J5588" s="19">
        <f>IFERROR(__xludf.DUMMYFUNCTION("""COMPUTED_VALUE"""),0.04748)</f>
        <v>0.04748</v>
      </c>
      <c r="K5588" s="19" t="str">
        <f>IFERROR(__xludf.DUMMYFUNCTION("""COMPUTED_VALUE"""),"-")</f>
        <v>-</v>
      </c>
      <c r="L5588" s="19" t="str">
        <f>IFERROR(__xludf.DUMMYFUNCTION("""COMPUTED_VALUE"""),"-")</f>
        <v>-</v>
      </c>
      <c r="O5588" s="24">
        <f t="shared" si="4"/>
        <v>0</v>
      </c>
      <c r="P5588" s="24"/>
      <c r="Q5588" s="24">
        <f t="shared" si="6"/>
        <v>0</v>
      </c>
      <c r="R5588" s="24">
        <f t="shared" si="7"/>
        <v>0</v>
      </c>
      <c r="S5588" s="24"/>
      <c r="T5588" s="24"/>
    </row>
    <row r="5589">
      <c r="A5589" s="12" t="s">
        <v>5676</v>
      </c>
      <c r="F5589" s="19">
        <f>IFERROR(__xludf.DUMMYFUNCTION("SPLIT(A5585, "" |"")"),5583.0)</f>
        <v>5583</v>
      </c>
      <c r="G5589" s="19">
        <f>IFERROR(__xludf.DUMMYFUNCTION("""COMPUTED_VALUE"""),0.00242)</f>
        <v>0.00242</v>
      </c>
      <c r="H5589" s="19" t="str">
        <f>IFERROR(__xludf.DUMMYFUNCTION("""COMPUTED_VALUE"""),"-")</f>
        <v>-</v>
      </c>
      <c r="I5589" s="19">
        <f>IFERROR(__xludf.DUMMYFUNCTION("""COMPUTED_VALUE"""),0.00221)</f>
        <v>0.00221</v>
      </c>
      <c r="J5589" s="19">
        <f>IFERROR(__xludf.DUMMYFUNCTION("""COMPUTED_VALUE"""),0.04738)</f>
        <v>0.04738</v>
      </c>
      <c r="K5589" s="19" t="str">
        <f>IFERROR(__xludf.DUMMYFUNCTION("""COMPUTED_VALUE"""),"-")</f>
        <v>-</v>
      </c>
      <c r="L5589" s="19" t="str">
        <f>IFERROR(__xludf.DUMMYFUNCTION("""COMPUTED_VALUE"""),"-")</f>
        <v>-</v>
      </c>
      <c r="O5589" s="24">
        <f t="shared" si="4"/>
        <v>0</v>
      </c>
      <c r="P5589" s="24"/>
      <c r="Q5589" s="24">
        <f t="shared" si="6"/>
        <v>0</v>
      </c>
      <c r="R5589" s="24">
        <f t="shared" si="7"/>
        <v>0</v>
      </c>
      <c r="S5589" s="24"/>
      <c r="T5589" s="24"/>
    </row>
    <row r="5590">
      <c r="A5590" s="12" t="s">
        <v>5677</v>
      </c>
      <c r="F5590" s="19">
        <f>IFERROR(__xludf.DUMMYFUNCTION("SPLIT(A5586, "" |"")"),5584.0)</f>
        <v>5584</v>
      </c>
      <c r="G5590" s="19">
        <f>IFERROR(__xludf.DUMMYFUNCTION("""COMPUTED_VALUE"""),0.00237)</f>
        <v>0.00237</v>
      </c>
      <c r="H5590" s="19" t="str">
        <f>IFERROR(__xludf.DUMMYFUNCTION("""COMPUTED_VALUE"""),"-")</f>
        <v>-</v>
      </c>
      <c r="I5590" s="19">
        <f>IFERROR(__xludf.DUMMYFUNCTION("""COMPUTED_VALUE"""),0.00213)</f>
        <v>0.00213</v>
      </c>
      <c r="J5590" s="19">
        <f>IFERROR(__xludf.DUMMYFUNCTION("""COMPUTED_VALUE"""),0.04559)</f>
        <v>0.04559</v>
      </c>
      <c r="K5590" s="19" t="str">
        <f>IFERROR(__xludf.DUMMYFUNCTION("""COMPUTED_VALUE"""),"-")</f>
        <v>-</v>
      </c>
      <c r="L5590" s="19" t="str">
        <f>IFERROR(__xludf.DUMMYFUNCTION("""COMPUTED_VALUE"""),"-")</f>
        <v>-</v>
      </c>
      <c r="O5590" s="24">
        <f t="shared" si="4"/>
        <v>0</v>
      </c>
      <c r="P5590" s="24"/>
      <c r="Q5590" s="24">
        <f t="shared" si="6"/>
        <v>0</v>
      </c>
      <c r="R5590" s="24">
        <f t="shared" si="7"/>
        <v>0</v>
      </c>
      <c r="S5590" s="24"/>
      <c r="T5590" s="24"/>
    </row>
    <row r="5591">
      <c r="A5591" s="12" t="s">
        <v>5678</v>
      </c>
      <c r="F5591" s="19">
        <f>IFERROR(__xludf.DUMMYFUNCTION("SPLIT(A5587, "" |"")"),5585.0)</f>
        <v>5585</v>
      </c>
      <c r="G5591" s="19">
        <f>IFERROR(__xludf.DUMMYFUNCTION("""COMPUTED_VALUE"""),0.00235)</f>
        <v>0.00235</v>
      </c>
      <c r="H5591" s="19" t="str">
        <f>IFERROR(__xludf.DUMMYFUNCTION("""COMPUTED_VALUE"""),"-")</f>
        <v>-</v>
      </c>
      <c r="I5591" s="19">
        <f>IFERROR(__xludf.DUMMYFUNCTION("""COMPUTED_VALUE"""),0.00222)</f>
        <v>0.00222</v>
      </c>
      <c r="J5591" s="19">
        <f>IFERROR(__xludf.DUMMYFUNCTION("""COMPUTED_VALUE"""),0.04743)</f>
        <v>0.04743</v>
      </c>
      <c r="K5591" s="19" t="str">
        <f>IFERROR(__xludf.DUMMYFUNCTION("""COMPUTED_VALUE"""),"-")</f>
        <v>-</v>
      </c>
      <c r="L5591" s="19" t="str">
        <f>IFERROR(__xludf.DUMMYFUNCTION("""COMPUTED_VALUE"""),"-")</f>
        <v>-</v>
      </c>
      <c r="O5591" s="24">
        <f t="shared" si="4"/>
        <v>0</v>
      </c>
      <c r="P5591" s="24"/>
      <c r="Q5591" s="24">
        <f t="shared" si="6"/>
        <v>0</v>
      </c>
      <c r="R5591" s="24">
        <f t="shared" si="7"/>
        <v>0</v>
      </c>
      <c r="S5591" s="24"/>
      <c r="T5591" s="24"/>
    </row>
    <row r="5592">
      <c r="A5592" s="12" t="s">
        <v>5679</v>
      </c>
      <c r="F5592" s="19">
        <f>IFERROR(__xludf.DUMMYFUNCTION("SPLIT(A5588, "" |"")"),5586.0)</f>
        <v>5586</v>
      </c>
      <c r="G5592" s="19">
        <f>IFERROR(__xludf.DUMMYFUNCTION("""COMPUTED_VALUE"""),0.00226)</f>
        <v>0.00226</v>
      </c>
      <c r="H5592" s="19" t="str">
        <f>IFERROR(__xludf.DUMMYFUNCTION("""COMPUTED_VALUE"""),"-")</f>
        <v>-</v>
      </c>
      <c r="I5592" s="19">
        <f>IFERROR(__xludf.DUMMYFUNCTION("""COMPUTED_VALUE"""),0.00226)</f>
        <v>0.00226</v>
      </c>
      <c r="J5592" s="19">
        <f>IFERROR(__xludf.DUMMYFUNCTION("""COMPUTED_VALUE"""),0.04741)</f>
        <v>0.04741</v>
      </c>
      <c r="K5592" s="19" t="str">
        <f>IFERROR(__xludf.DUMMYFUNCTION("""COMPUTED_VALUE"""),"-")</f>
        <v>-</v>
      </c>
      <c r="L5592" s="19" t="str">
        <f>IFERROR(__xludf.DUMMYFUNCTION("""COMPUTED_VALUE"""),"-")</f>
        <v>-</v>
      </c>
      <c r="O5592" s="24">
        <f t="shared" si="4"/>
        <v>0</v>
      </c>
      <c r="P5592" s="24"/>
      <c r="Q5592" s="24">
        <f t="shared" si="6"/>
        <v>0</v>
      </c>
      <c r="R5592" s="24">
        <f t="shared" si="7"/>
        <v>0</v>
      </c>
      <c r="S5592" s="24"/>
      <c r="T5592" s="24"/>
    </row>
    <row r="5593">
      <c r="A5593" s="12" t="s">
        <v>5680</v>
      </c>
      <c r="F5593" s="19">
        <f>IFERROR(__xludf.DUMMYFUNCTION("SPLIT(A5589, "" |"")"),5587.0)</f>
        <v>5587</v>
      </c>
      <c r="G5593" s="19">
        <f>IFERROR(__xludf.DUMMYFUNCTION("""COMPUTED_VALUE"""),0.0024)</f>
        <v>0.0024</v>
      </c>
      <c r="H5593" s="19" t="str">
        <f>IFERROR(__xludf.DUMMYFUNCTION("""COMPUTED_VALUE"""),"-")</f>
        <v>-</v>
      </c>
      <c r="I5593" s="19">
        <f>IFERROR(__xludf.DUMMYFUNCTION("""COMPUTED_VALUE"""),0.00222)</f>
        <v>0.00222</v>
      </c>
      <c r="J5593" s="19">
        <f>IFERROR(__xludf.DUMMYFUNCTION("""COMPUTED_VALUE"""),0.04745)</f>
        <v>0.04745</v>
      </c>
      <c r="K5593" s="19" t="str">
        <f>IFERROR(__xludf.DUMMYFUNCTION("""COMPUTED_VALUE"""),"-")</f>
        <v>-</v>
      </c>
      <c r="L5593" s="19" t="str">
        <f>IFERROR(__xludf.DUMMYFUNCTION("""COMPUTED_VALUE"""),"-")</f>
        <v>-</v>
      </c>
      <c r="O5593" s="24">
        <f t="shared" si="4"/>
        <v>0</v>
      </c>
      <c r="P5593" s="24"/>
      <c r="Q5593" s="24">
        <f t="shared" si="6"/>
        <v>0</v>
      </c>
      <c r="R5593" s="24">
        <f t="shared" si="7"/>
        <v>0</v>
      </c>
      <c r="S5593" s="24"/>
      <c r="T5593" s="24"/>
    </row>
    <row r="5594">
      <c r="A5594" s="12" t="s">
        <v>5681</v>
      </c>
      <c r="F5594" s="19">
        <f>IFERROR(__xludf.DUMMYFUNCTION("SPLIT(A5590, "" |"")"),5588.0)</f>
        <v>5588</v>
      </c>
      <c r="G5594" s="19">
        <f>IFERROR(__xludf.DUMMYFUNCTION("""COMPUTED_VALUE"""),0.00233)</f>
        <v>0.00233</v>
      </c>
      <c r="H5594" s="19" t="str">
        <f>IFERROR(__xludf.DUMMYFUNCTION("""COMPUTED_VALUE"""),"-")</f>
        <v>-</v>
      </c>
      <c r="I5594" s="19">
        <f>IFERROR(__xludf.DUMMYFUNCTION("""COMPUTED_VALUE"""),0.00223)</f>
        <v>0.00223</v>
      </c>
      <c r="J5594" s="19">
        <f>IFERROR(__xludf.DUMMYFUNCTION("""COMPUTED_VALUE"""),0.04741)</f>
        <v>0.04741</v>
      </c>
      <c r="K5594" s="19" t="str">
        <f>IFERROR(__xludf.DUMMYFUNCTION("""COMPUTED_VALUE"""),"-")</f>
        <v>-</v>
      </c>
      <c r="L5594" s="19" t="str">
        <f>IFERROR(__xludf.DUMMYFUNCTION("""COMPUTED_VALUE"""),"-")</f>
        <v>-</v>
      </c>
      <c r="O5594" s="24">
        <f t="shared" si="4"/>
        <v>0</v>
      </c>
      <c r="P5594" s="24"/>
      <c r="Q5594" s="24">
        <f t="shared" si="6"/>
        <v>0</v>
      </c>
      <c r="R5594" s="24">
        <f t="shared" si="7"/>
        <v>0</v>
      </c>
      <c r="S5594" s="24"/>
      <c r="T5594" s="24"/>
    </row>
    <row r="5595">
      <c r="A5595" s="12" t="s">
        <v>5682</v>
      </c>
      <c r="F5595" s="19">
        <f>IFERROR(__xludf.DUMMYFUNCTION("SPLIT(A5591, "" |"")"),5589.0)</f>
        <v>5589</v>
      </c>
      <c r="G5595" s="19">
        <f>IFERROR(__xludf.DUMMYFUNCTION("""COMPUTED_VALUE"""),0.00232)</f>
        <v>0.00232</v>
      </c>
      <c r="H5595" s="19" t="str">
        <f>IFERROR(__xludf.DUMMYFUNCTION("""COMPUTED_VALUE"""),"-")</f>
        <v>-</v>
      </c>
      <c r="I5595" s="19">
        <f>IFERROR(__xludf.DUMMYFUNCTION("""COMPUTED_VALUE"""),0.00223)</f>
        <v>0.00223</v>
      </c>
      <c r="J5595" s="19">
        <f>IFERROR(__xludf.DUMMYFUNCTION("""COMPUTED_VALUE"""),0.04745)</f>
        <v>0.04745</v>
      </c>
      <c r="K5595" s="19" t="str">
        <f>IFERROR(__xludf.DUMMYFUNCTION("""COMPUTED_VALUE"""),"-")</f>
        <v>-</v>
      </c>
      <c r="L5595" s="19" t="str">
        <f>IFERROR(__xludf.DUMMYFUNCTION("""COMPUTED_VALUE"""),"-")</f>
        <v>-</v>
      </c>
      <c r="O5595" s="24">
        <f t="shared" si="4"/>
        <v>0</v>
      </c>
      <c r="P5595" s="24"/>
      <c r="Q5595" s="24">
        <f t="shared" si="6"/>
        <v>0</v>
      </c>
      <c r="R5595" s="24">
        <f t="shared" si="7"/>
        <v>0</v>
      </c>
      <c r="S5595" s="24"/>
      <c r="T5595" s="24"/>
    </row>
    <row r="5596">
      <c r="A5596" s="12" t="s">
        <v>5683</v>
      </c>
      <c r="F5596" s="19">
        <f>IFERROR(__xludf.DUMMYFUNCTION("SPLIT(A5592, "" |"")"),5590.0)</f>
        <v>5590</v>
      </c>
      <c r="G5596" s="19">
        <f>IFERROR(__xludf.DUMMYFUNCTION("""COMPUTED_VALUE"""),0.00234)</f>
        <v>0.00234</v>
      </c>
      <c r="H5596" s="19" t="str">
        <f>IFERROR(__xludf.DUMMYFUNCTION("""COMPUTED_VALUE"""),"-")</f>
        <v>-</v>
      </c>
      <c r="I5596" s="19">
        <f>IFERROR(__xludf.DUMMYFUNCTION("""COMPUTED_VALUE"""),0.00222)</f>
        <v>0.00222</v>
      </c>
      <c r="J5596" s="19">
        <f>IFERROR(__xludf.DUMMYFUNCTION("""COMPUTED_VALUE"""),0.04748)</f>
        <v>0.04748</v>
      </c>
      <c r="K5596" s="19" t="str">
        <f>IFERROR(__xludf.DUMMYFUNCTION("""COMPUTED_VALUE"""),"-")</f>
        <v>-</v>
      </c>
      <c r="L5596" s="19" t="str">
        <f>IFERROR(__xludf.DUMMYFUNCTION("""COMPUTED_VALUE"""),"-")</f>
        <v>-</v>
      </c>
      <c r="O5596" s="24">
        <f t="shared" si="4"/>
        <v>0</v>
      </c>
      <c r="P5596" s="24"/>
      <c r="Q5596" s="24">
        <f t="shared" si="6"/>
        <v>0</v>
      </c>
      <c r="R5596" s="24">
        <f t="shared" si="7"/>
        <v>0</v>
      </c>
      <c r="S5596" s="24"/>
      <c r="T5596" s="24"/>
    </row>
    <row r="5597">
      <c r="A5597" s="12" t="s">
        <v>5684</v>
      </c>
      <c r="F5597" s="19">
        <f>IFERROR(__xludf.DUMMYFUNCTION("SPLIT(A5593, "" |"")"),5591.0)</f>
        <v>5591</v>
      </c>
      <c r="G5597" s="19">
        <f>IFERROR(__xludf.DUMMYFUNCTION("""COMPUTED_VALUE"""),0.00235)</f>
        <v>0.00235</v>
      </c>
      <c r="H5597" s="19" t="str">
        <f>IFERROR(__xludf.DUMMYFUNCTION("""COMPUTED_VALUE"""),"-")</f>
        <v>-</v>
      </c>
      <c r="I5597" s="19">
        <f>IFERROR(__xludf.DUMMYFUNCTION("""COMPUTED_VALUE"""),0.0022)</f>
        <v>0.0022</v>
      </c>
      <c r="J5597" s="19">
        <f>IFERROR(__xludf.DUMMYFUNCTION("""COMPUTED_VALUE"""),0.04742)</f>
        <v>0.04742</v>
      </c>
      <c r="K5597" s="19" t="str">
        <f>IFERROR(__xludf.DUMMYFUNCTION("""COMPUTED_VALUE"""),"-")</f>
        <v>-</v>
      </c>
      <c r="L5597" s="19" t="str">
        <f>IFERROR(__xludf.DUMMYFUNCTION("""COMPUTED_VALUE"""),"-")</f>
        <v>-</v>
      </c>
      <c r="O5597" s="24">
        <f t="shared" si="4"/>
        <v>0</v>
      </c>
      <c r="P5597" s="24"/>
      <c r="Q5597" s="24">
        <f t="shared" si="6"/>
        <v>0</v>
      </c>
      <c r="R5597" s="24">
        <f t="shared" si="7"/>
        <v>0</v>
      </c>
      <c r="S5597" s="24"/>
      <c r="T5597" s="24"/>
    </row>
    <row r="5598">
      <c r="A5598" s="12" t="s">
        <v>5685</v>
      </c>
      <c r="F5598" s="19">
        <f>IFERROR(__xludf.DUMMYFUNCTION("SPLIT(A5594, "" |"")"),5592.0)</f>
        <v>5592</v>
      </c>
      <c r="G5598" s="19">
        <f>IFERROR(__xludf.DUMMYFUNCTION("""COMPUTED_VALUE"""),0.00233)</f>
        <v>0.00233</v>
      </c>
      <c r="H5598" s="19" t="str">
        <f>IFERROR(__xludf.DUMMYFUNCTION("""COMPUTED_VALUE"""),"-")</f>
        <v>-</v>
      </c>
      <c r="I5598" s="19">
        <f>IFERROR(__xludf.DUMMYFUNCTION("""COMPUTED_VALUE"""),0.00221)</f>
        <v>0.00221</v>
      </c>
      <c r="J5598" s="19">
        <f>IFERROR(__xludf.DUMMYFUNCTION("""COMPUTED_VALUE"""),0.0441)</f>
        <v>0.0441</v>
      </c>
      <c r="K5598" s="19" t="str">
        <f>IFERROR(__xludf.DUMMYFUNCTION("""COMPUTED_VALUE"""),"-")</f>
        <v>-</v>
      </c>
      <c r="L5598" s="19" t="str">
        <f>IFERROR(__xludf.DUMMYFUNCTION("""COMPUTED_VALUE"""),"-")</f>
        <v>-</v>
      </c>
      <c r="O5598" s="24">
        <f t="shared" si="4"/>
        <v>0</v>
      </c>
      <c r="P5598" s="24"/>
      <c r="Q5598" s="24">
        <f t="shared" si="6"/>
        <v>0</v>
      </c>
      <c r="R5598" s="24">
        <f t="shared" si="7"/>
        <v>1</v>
      </c>
      <c r="S5598" s="24"/>
      <c r="T5598" s="24"/>
    </row>
    <row r="5599">
      <c r="A5599" s="12" t="s">
        <v>5686</v>
      </c>
      <c r="F5599" s="19">
        <f>IFERROR(__xludf.DUMMYFUNCTION("SPLIT(A5595, "" |"")"),5593.0)</f>
        <v>5593</v>
      </c>
      <c r="G5599" s="19">
        <f>IFERROR(__xludf.DUMMYFUNCTION("""COMPUTED_VALUE"""),0.0024)</f>
        <v>0.0024</v>
      </c>
      <c r="H5599" s="19" t="str">
        <f>IFERROR(__xludf.DUMMYFUNCTION("""COMPUTED_VALUE"""),"-")</f>
        <v>-</v>
      </c>
      <c r="I5599" s="19">
        <f>IFERROR(__xludf.DUMMYFUNCTION("""COMPUTED_VALUE"""),0.00224)</f>
        <v>0.00224</v>
      </c>
      <c r="J5599" s="19">
        <f>IFERROR(__xludf.DUMMYFUNCTION("""COMPUTED_VALUE"""),0.04581)</f>
        <v>0.04581</v>
      </c>
      <c r="K5599" s="19" t="str">
        <f>IFERROR(__xludf.DUMMYFUNCTION("""COMPUTED_VALUE"""),"-")</f>
        <v>-</v>
      </c>
      <c r="L5599" s="19" t="str">
        <f>IFERROR(__xludf.DUMMYFUNCTION("""COMPUTED_VALUE"""),"-")</f>
        <v>-</v>
      </c>
      <c r="O5599" s="24">
        <f t="shared" si="4"/>
        <v>0</v>
      </c>
      <c r="P5599" s="24"/>
      <c r="Q5599" s="24">
        <f t="shared" si="6"/>
        <v>0</v>
      </c>
      <c r="R5599" s="24">
        <f t="shared" si="7"/>
        <v>0</v>
      </c>
      <c r="S5599" s="24"/>
      <c r="T5599" s="24"/>
    </row>
    <row r="5600">
      <c r="A5600" s="12" t="s">
        <v>5687</v>
      </c>
      <c r="F5600" s="19">
        <f>IFERROR(__xludf.DUMMYFUNCTION("SPLIT(A5596, "" |"")"),5594.0)</f>
        <v>5594</v>
      </c>
      <c r="G5600" s="19">
        <f>IFERROR(__xludf.DUMMYFUNCTION("""COMPUTED_VALUE"""),0.00246)</f>
        <v>0.00246</v>
      </c>
      <c r="H5600" s="19" t="str">
        <f>IFERROR(__xludf.DUMMYFUNCTION("""COMPUTED_VALUE"""),"-")</f>
        <v>-</v>
      </c>
      <c r="I5600" s="19">
        <f>IFERROR(__xludf.DUMMYFUNCTION("""COMPUTED_VALUE"""),0.00245)</f>
        <v>0.00245</v>
      </c>
      <c r="J5600" s="19">
        <f>IFERROR(__xludf.DUMMYFUNCTION("""COMPUTED_VALUE"""),0.04752)</f>
        <v>0.04752</v>
      </c>
      <c r="K5600" s="19" t="str">
        <f>IFERROR(__xludf.DUMMYFUNCTION("""COMPUTED_VALUE"""),"-")</f>
        <v>-</v>
      </c>
      <c r="L5600" s="19" t="str">
        <f>IFERROR(__xludf.DUMMYFUNCTION("""COMPUTED_VALUE"""),"-")</f>
        <v>-</v>
      </c>
      <c r="O5600" s="24">
        <f t="shared" si="4"/>
        <v>0</v>
      </c>
      <c r="P5600" s="24"/>
      <c r="Q5600" s="24">
        <f t="shared" si="6"/>
        <v>0</v>
      </c>
      <c r="R5600" s="24">
        <f t="shared" si="7"/>
        <v>0</v>
      </c>
      <c r="S5600" s="24"/>
      <c r="T5600" s="24"/>
    </row>
    <row r="5601">
      <c r="A5601" s="12" t="s">
        <v>5688</v>
      </c>
      <c r="F5601" s="19">
        <f>IFERROR(__xludf.DUMMYFUNCTION("SPLIT(A5597, "" |"")"),5595.0)</f>
        <v>5595</v>
      </c>
      <c r="G5601" s="19">
        <f>IFERROR(__xludf.DUMMYFUNCTION("""COMPUTED_VALUE"""),0.00244)</f>
        <v>0.00244</v>
      </c>
      <c r="H5601" s="19" t="str">
        <f>IFERROR(__xludf.DUMMYFUNCTION("""COMPUTED_VALUE"""),"-")</f>
        <v>-</v>
      </c>
      <c r="I5601" s="19">
        <f>IFERROR(__xludf.DUMMYFUNCTION("""COMPUTED_VALUE"""),0.00231)</f>
        <v>0.00231</v>
      </c>
      <c r="J5601" s="19">
        <f>IFERROR(__xludf.DUMMYFUNCTION("""COMPUTED_VALUE"""),0.04741)</f>
        <v>0.04741</v>
      </c>
      <c r="K5601" s="19" t="str">
        <f>IFERROR(__xludf.DUMMYFUNCTION("""COMPUTED_VALUE"""),"-")</f>
        <v>-</v>
      </c>
      <c r="L5601" s="19" t="str">
        <f>IFERROR(__xludf.DUMMYFUNCTION("""COMPUTED_VALUE"""),"-")</f>
        <v>-</v>
      </c>
      <c r="O5601" s="24">
        <f t="shared" si="4"/>
        <v>0</v>
      </c>
      <c r="P5601" s="24"/>
      <c r="Q5601" s="24">
        <f t="shared" si="6"/>
        <v>0</v>
      </c>
      <c r="R5601" s="24">
        <f t="shared" si="7"/>
        <v>0</v>
      </c>
      <c r="S5601" s="24"/>
      <c r="T5601" s="24"/>
    </row>
    <row r="5602">
      <c r="A5602" s="12" t="s">
        <v>5689</v>
      </c>
      <c r="F5602" s="19">
        <f>IFERROR(__xludf.DUMMYFUNCTION("SPLIT(A5598, "" |"")"),5596.0)</f>
        <v>5596</v>
      </c>
      <c r="G5602" s="19">
        <f>IFERROR(__xludf.DUMMYFUNCTION("""COMPUTED_VALUE"""),0.00225)</f>
        <v>0.00225</v>
      </c>
      <c r="H5602" s="19" t="str">
        <f>IFERROR(__xludf.DUMMYFUNCTION("""COMPUTED_VALUE"""),"-")</f>
        <v>-</v>
      </c>
      <c r="I5602" s="19">
        <f>IFERROR(__xludf.DUMMYFUNCTION("""COMPUTED_VALUE"""),0.00227)</f>
        <v>0.00227</v>
      </c>
      <c r="J5602" s="19">
        <f>IFERROR(__xludf.DUMMYFUNCTION("""COMPUTED_VALUE"""),0.0475)</f>
        <v>0.0475</v>
      </c>
      <c r="K5602" s="19" t="str">
        <f>IFERROR(__xludf.DUMMYFUNCTION("""COMPUTED_VALUE"""),"-")</f>
        <v>-</v>
      </c>
      <c r="L5602" s="19" t="str">
        <f>IFERROR(__xludf.DUMMYFUNCTION("""COMPUTED_VALUE"""),"-")</f>
        <v>-</v>
      </c>
      <c r="O5602" s="24">
        <f t="shared" si="4"/>
        <v>0</v>
      </c>
      <c r="P5602" s="24"/>
      <c r="Q5602" s="24">
        <f t="shared" si="6"/>
        <v>0</v>
      </c>
      <c r="R5602" s="24">
        <f t="shared" si="7"/>
        <v>0</v>
      </c>
      <c r="S5602" s="24"/>
      <c r="T5602" s="24"/>
    </row>
    <row r="5603">
      <c r="A5603" s="12" t="s">
        <v>5690</v>
      </c>
      <c r="F5603" s="19">
        <f>IFERROR(__xludf.DUMMYFUNCTION("SPLIT(A5599, "" |"")"),5597.0)</f>
        <v>5597</v>
      </c>
      <c r="G5603" s="19">
        <f>IFERROR(__xludf.DUMMYFUNCTION("""COMPUTED_VALUE"""),0.00237)</f>
        <v>0.00237</v>
      </c>
      <c r="H5603" s="19" t="str">
        <f>IFERROR(__xludf.DUMMYFUNCTION("""COMPUTED_VALUE"""),"-")</f>
        <v>-</v>
      </c>
      <c r="I5603" s="19">
        <f>IFERROR(__xludf.DUMMYFUNCTION("""COMPUTED_VALUE"""),0.00223)</f>
        <v>0.00223</v>
      </c>
      <c r="J5603" s="19">
        <f>IFERROR(__xludf.DUMMYFUNCTION("""COMPUTED_VALUE"""),0.04748)</f>
        <v>0.04748</v>
      </c>
      <c r="K5603" s="19" t="str">
        <f>IFERROR(__xludf.DUMMYFUNCTION("""COMPUTED_VALUE"""),"-")</f>
        <v>-</v>
      </c>
      <c r="L5603" s="19" t="str">
        <f>IFERROR(__xludf.DUMMYFUNCTION("""COMPUTED_VALUE"""),"-")</f>
        <v>-</v>
      </c>
      <c r="O5603" s="24">
        <f t="shared" si="4"/>
        <v>0</v>
      </c>
      <c r="P5603" s="24"/>
      <c r="Q5603" s="24">
        <f t="shared" si="6"/>
        <v>0</v>
      </c>
      <c r="R5603" s="24">
        <f t="shared" si="7"/>
        <v>0</v>
      </c>
      <c r="S5603" s="24"/>
      <c r="T5603" s="24"/>
    </row>
    <row r="5604">
      <c r="A5604" s="12" t="s">
        <v>5691</v>
      </c>
      <c r="F5604" s="19">
        <f>IFERROR(__xludf.DUMMYFUNCTION("SPLIT(A5600, "" |"")"),5598.0)</f>
        <v>5598</v>
      </c>
      <c r="G5604" s="19">
        <f>IFERROR(__xludf.DUMMYFUNCTION("""COMPUTED_VALUE"""),0.00233)</f>
        <v>0.00233</v>
      </c>
      <c r="H5604" s="19" t="str">
        <f>IFERROR(__xludf.DUMMYFUNCTION("""COMPUTED_VALUE"""),"-")</f>
        <v>-</v>
      </c>
      <c r="I5604" s="19">
        <f>IFERROR(__xludf.DUMMYFUNCTION("""COMPUTED_VALUE"""),0.00223)</f>
        <v>0.00223</v>
      </c>
      <c r="J5604" s="19">
        <f>IFERROR(__xludf.DUMMYFUNCTION("""COMPUTED_VALUE"""),0.04747)</f>
        <v>0.04747</v>
      </c>
      <c r="K5604" s="19" t="str">
        <f>IFERROR(__xludf.DUMMYFUNCTION("""COMPUTED_VALUE"""),"-")</f>
        <v>-</v>
      </c>
      <c r="L5604" s="19" t="str">
        <f>IFERROR(__xludf.DUMMYFUNCTION("""COMPUTED_VALUE"""),"-")</f>
        <v>-</v>
      </c>
      <c r="O5604" s="24">
        <f t="shared" si="4"/>
        <v>0</v>
      </c>
      <c r="P5604" s="24"/>
      <c r="Q5604" s="24">
        <f t="shared" si="6"/>
        <v>0</v>
      </c>
      <c r="R5604" s="24">
        <f t="shared" si="7"/>
        <v>0</v>
      </c>
      <c r="S5604" s="24"/>
      <c r="T5604" s="24"/>
    </row>
    <row r="5605">
      <c r="A5605" s="12" t="s">
        <v>5692</v>
      </c>
      <c r="F5605" s="19">
        <f>IFERROR(__xludf.DUMMYFUNCTION("SPLIT(A5601, "" |"")"),5599.0)</f>
        <v>5599</v>
      </c>
      <c r="G5605" s="19">
        <f>IFERROR(__xludf.DUMMYFUNCTION("""COMPUTED_VALUE"""),0.00238)</f>
        <v>0.00238</v>
      </c>
      <c r="H5605" s="19" t="str">
        <f>IFERROR(__xludf.DUMMYFUNCTION("""COMPUTED_VALUE"""),"-")</f>
        <v>-</v>
      </c>
      <c r="I5605" s="19">
        <f>IFERROR(__xludf.DUMMYFUNCTION("""COMPUTED_VALUE"""),0.00219)</f>
        <v>0.00219</v>
      </c>
      <c r="J5605" s="19">
        <f>IFERROR(__xludf.DUMMYFUNCTION("""COMPUTED_VALUE"""),0.04528)</f>
        <v>0.04528</v>
      </c>
      <c r="K5605" s="19" t="str">
        <f>IFERROR(__xludf.DUMMYFUNCTION("""COMPUTED_VALUE"""),"-")</f>
        <v>-</v>
      </c>
      <c r="L5605" s="19" t="str">
        <f>IFERROR(__xludf.DUMMYFUNCTION("""COMPUTED_VALUE"""),"-")</f>
        <v>-</v>
      </c>
      <c r="O5605" s="24">
        <f t="shared" si="4"/>
        <v>0</v>
      </c>
      <c r="P5605" s="24"/>
      <c r="Q5605" s="24">
        <f t="shared" si="6"/>
        <v>0</v>
      </c>
      <c r="R5605" s="24">
        <f t="shared" si="7"/>
        <v>0</v>
      </c>
      <c r="S5605" s="24"/>
      <c r="T5605" s="24"/>
    </row>
    <row r="5606">
      <c r="A5606" s="12" t="s">
        <v>5693</v>
      </c>
      <c r="F5606" s="19">
        <f>IFERROR(__xludf.DUMMYFUNCTION("SPLIT(A5602, "" |"")"),5600.0)</f>
        <v>5600</v>
      </c>
      <c r="G5606" s="19">
        <f>IFERROR(__xludf.DUMMYFUNCTION("""COMPUTED_VALUE"""),0.00233)</f>
        <v>0.00233</v>
      </c>
      <c r="H5606" s="19" t="str">
        <f>IFERROR(__xludf.DUMMYFUNCTION("""COMPUTED_VALUE"""),"-")</f>
        <v>-</v>
      </c>
      <c r="I5606" s="19">
        <f>IFERROR(__xludf.DUMMYFUNCTION("""COMPUTED_VALUE"""),0.0022)</f>
        <v>0.0022</v>
      </c>
      <c r="J5606" s="19">
        <f>IFERROR(__xludf.DUMMYFUNCTION("""COMPUTED_VALUE"""),0.04748)</f>
        <v>0.04748</v>
      </c>
      <c r="K5606" s="19" t="str">
        <f>IFERROR(__xludf.DUMMYFUNCTION("""COMPUTED_VALUE"""),"-")</f>
        <v>-</v>
      </c>
      <c r="L5606" s="19" t="str">
        <f>IFERROR(__xludf.DUMMYFUNCTION("""COMPUTED_VALUE"""),"-")</f>
        <v>-</v>
      </c>
      <c r="O5606" s="24">
        <f t="shared" si="4"/>
        <v>0</v>
      </c>
      <c r="P5606" s="24"/>
      <c r="Q5606" s="24">
        <f t="shared" si="6"/>
        <v>0</v>
      </c>
      <c r="R5606" s="24">
        <f t="shared" si="7"/>
        <v>0</v>
      </c>
      <c r="S5606" s="24"/>
      <c r="T5606" s="24"/>
    </row>
    <row r="5607">
      <c r="A5607" s="12" t="s">
        <v>5694</v>
      </c>
      <c r="F5607" s="19">
        <f>IFERROR(__xludf.DUMMYFUNCTION("SPLIT(A5603, "" |"")"),5601.0)</f>
        <v>5601</v>
      </c>
      <c r="G5607" s="19">
        <f>IFERROR(__xludf.DUMMYFUNCTION("""COMPUTED_VALUE"""),0.00232)</f>
        <v>0.00232</v>
      </c>
      <c r="H5607" s="19" t="str">
        <f>IFERROR(__xludf.DUMMYFUNCTION("""COMPUTED_VALUE"""),"-")</f>
        <v>-</v>
      </c>
      <c r="I5607" s="19">
        <f>IFERROR(__xludf.DUMMYFUNCTION("""COMPUTED_VALUE"""),0.00216)</f>
        <v>0.00216</v>
      </c>
      <c r="J5607" s="19">
        <f>IFERROR(__xludf.DUMMYFUNCTION("""COMPUTED_VALUE"""),0.03986)</f>
        <v>0.03986</v>
      </c>
      <c r="K5607" s="19" t="str">
        <f>IFERROR(__xludf.DUMMYFUNCTION("""COMPUTED_VALUE"""),"-")</f>
        <v>-</v>
      </c>
      <c r="L5607" s="19" t="str">
        <f>IFERROR(__xludf.DUMMYFUNCTION("""COMPUTED_VALUE"""),"-")</f>
        <v>-</v>
      </c>
      <c r="O5607" s="24">
        <f t="shared" si="4"/>
        <v>0</v>
      </c>
      <c r="P5607" s="24"/>
      <c r="Q5607" s="24">
        <f t="shared" si="6"/>
        <v>0</v>
      </c>
      <c r="R5607" s="24">
        <f t="shared" si="7"/>
        <v>1</v>
      </c>
      <c r="S5607" s="24"/>
      <c r="T5607" s="24"/>
    </row>
    <row r="5608">
      <c r="A5608" s="12" t="s">
        <v>5695</v>
      </c>
      <c r="F5608" s="19">
        <f>IFERROR(__xludf.DUMMYFUNCTION("SPLIT(A5604, "" |"")"),5602.0)</f>
        <v>5602</v>
      </c>
      <c r="G5608" s="19">
        <f>IFERROR(__xludf.DUMMYFUNCTION("""COMPUTED_VALUE"""),0.00239)</f>
        <v>0.00239</v>
      </c>
      <c r="H5608" s="19" t="str">
        <f>IFERROR(__xludf.DUMMYFUNCTION("""COMPUTED_VALUE"""),"-")</f>
        <v>-</v>
      </c>
      <c r="I5608" s="19">
        <f>IFERROR(__xludf.DUMMYFUNCTION("""COMPUTED_VALUE"""),0.00223)</f>
        <v>0.00223</v>
      </c>
      <c r="J5608" s="19">
        <f>IFERROR(__xludf.DUMMYFUNCTION("""COMPUTED_VALUE"""),0.0475)</f>
        <v>0.0475</v>
      </c>
      <c r="K5608" s="19" t="str">
        <f>IFERROR(__xludf.DUMMYFUNCTION("""COMPUTED_VALUE"""),"-")</f>
        <v>-</v>
      </c>
      <c r="L5608" s="19" t="str">
        <f>IFERROR(__xludf.DUMMYFUNCTION("""COMPUTED_VALUE"""),"-")</f>
        <v>-</v>
      </c>
      <c r="O5608" s="24">
        <f t="shared" si="4"/>
        <v>0</v>
      </c>
      <c r="P5608" s="24"/>
      <c r="Q5608" s="24">
        <f t="shared" si="6"/>
        <v>0</v>
      </c>
      <c r="R5608" s="24">
        <f t="shared" si="7"/>
        <v>0</v>
      </c>
      <c r="S5608" s="24"/>
      <c r="T5608" s="24"/>
    </row>
    <row r="5609">
      <c r="A5609" s="12" t="s">
        <v>5696</v>
      </c>
      <c r="F5609" s="19">
        <f>IFERROR(__xludf.DUMMYFUNCTION("SPLIT(A5605, "" |"")"),5603.0)</f>
        <v>5603</v>
      </c>
      <c r="G5609" s="19">
        <f>IFERROR(__xludf.DUMMYFUNCTION("""COMPUTED_VALUE"""),0.00236)</f>
        <v>0.00236</v>
      </c>
      <c r="H5609" s="19" t="str">
        <f>IFERROR(__xludf.DUMMYFUNCTION("""COMPUTED_VALUE"""),"-")</f>
        <v>-</v>
      </c>
      <c r="I5609" s="19">
        <f>IFERROR(__xludf.DUMMYFUNCTION("""COMPUTED_VALUE"""),0.00223)</f>
        <v>0.00223</v>
      </c>
      <c r="J5609" s="19">
        <f>IFERROR(__xludf.DUMMYFUNCTION("""COMPUTED_VALUE"""),0.04745)</f>
        <v>0.04745</v>
      </c>
      <c r="K5609" s="19" t="str">
        <f>IFERROR(__xludf.DUMMYFUNCTION("""COMPUTED_VALUE"""),"-")</f>
        <v>-</v>
      </c>
      <c r="L5609" s="19" t="str">
        <f>IFERROR(__xludf.DUMMYFUNCTION("""COMPUTED_VALUE"""),"-")</f>
        <v>-</v>
      </c>
      <c r="O5609" s="24">
        <f t="shared" si="4"/>
        <v>0</v>
      </c>
      <c r="P5609" s="24"/>
      <c r="Q5609" s="24">
        <f t="shared" si="6"/>
        <v>0</v>
      </c>
      <c r="R5609" s="24">
        <f t="shared" si="7"/>
        <v>0</v>
      </c>
      <c r="S5609" s="24"/>
      <c r="T5609" s="24"/>
    </row>
    <row r="5610">
      <c r="A5610" s="12" t="s">
        <v>5697</v>
      </c>
      <c r="F5610" s="19">
        <f>IFERROR(__xludf.DUMMYFUNCTION("SPLIT(A5606, "" |"")"),5604.0)</f>
        <v>5604</v>
      </c>
      <c r="G5610" s="19">
        <f>IFERROR(__xludf.DUMMYFUNCTION("""COMPUTED_VALUE"""),0.00232)</f>
        <v>0.00232</v>
      </c>
      <c r="H5610" s="19" t="str">
        <f>IFERROR(__xludf.DUMMYFUNCTION("""COMPUTED_VALUE"""),"-")</f>
        <v>-</v>
      </c>
      <c r="I5610" s="19">
        <f>IFERROR(__xludf.DUMMYFUNCTION("""COMPUTED_VALUE"""),0.00222)</f>
        <v>0.00222</v>
      </c>
      <c r="J5610" s="19">
        <f>IFERROR(__xludf.DUMMYFUNCTION("""COMPUTED_VALUE"""),0.04744)</f>
        <v>0.04744</v>
      </c>
      <c r="K5610" s="19" t="str">
        <f>IFERROR(__xludf.DUMMYFUNCTION("""COMPUTED_VALUE"""),"-")</f>
        <v>-</v>
      </c>
      <c r="L5610" s="19" t="str">
        <f>IFERROR(__xludf.DUMMYFUNCTION("""COMPUTED_VALUE"""),"-")</f>
        <v>-</v>
      </c>
      <c r="O5610" s="24">
        <f t="shared" si="4"/>
        <v>0</v>
      </c>
      <c r="P5610" s="24"/>
      <c r="Q5610" s="24">
        <f t="shared" si="6"/>
        <v>0</v>
      </c>
      <c r="R5610" s="24">
        <f t="shared" si="7"/>
        <v>0</v>
      </c>
      <c r="S5610" s="24"/>
      <c r="T5610" s="24"/>
    </row>
    <row r="5611">
      <c r="A5611" s="12" t="s">
        <v>5698</v>
      </c>
      <c r="F5611" s="19">
        <f>IFERROR(__xludf.DUMMYFUNCTION("SPLIT(A5607, "" |"")"),5605.0)</f>
        <v>5605</v>
      </c>
      <c r="G5611" s="19">
        <f>IFERROR(__xludf.DUMMYFUNCTION("""COMPUTED_VALUE"""),0.00234)</f>
        <v>0.00234</v>
      </c>
      <c r="H5611" s="19" t="str">
        <f>IFERROR(__xludf.DUMMYFUNCTION("""COMPUTED_VALUE"""),"-")</f>
        <v>-</v>
      </c>
      <c r="I5611" s="19">
        <f>IFERROR(__xludf.DUMMYFUNCTION("""COMPUTED_VALUE"""),0.00215)</f>
        <v>0.00215</v>
      </c>
      <c r="J5611" s="19">
        <f>IFERROR(__xludf.DUMMYFUNCTION("""COMPUTED_VALUE"""),0.04728)</f>
        <v>0.04728</v>
      </c>
      <c r="K5611" s="19" t="str">
        <f>IFERROR(__xludf.DUMMYFUNCTION("""COMPUTED_VALUE"""),"-")</f>
        <v>-</v>
      </c>
      <c r="L5611" s="19" t="str">
        <f>IFERROR(__xludf.DUMMYFUNCTION("""COMPUTED_VALUE"""),"-")</f>
        <v>-</v>
      </c>
      <c r="O5611" s="24">
        <f t="shared" si="4"/>
        <v>0</v>
      </c>
      <c r="P5611" s="24"/>
      <c r="Q5611" s="24">
        <f t="shared" si="6"/>
        <v>0</v>
      </c>
      <c r="R5611" s="24">
        <f t="shared" si="7"/>
        <v>0</v>
      </c>
      <c r="S5611" s="24"/>
      <c r="T5611" s="24"/>
    </row>
    <row r="5612">
      <c r="A5612" s="12" t="s">
        <v>5699</v>
      </c>
      <c r="F5612" s="19">
        <f>IFERROR(__xludf.DUMMYFUNCTION("SPLIT(A5608, "" |"")"),5606.0)</f>
        <v>5606</v>
      </c>
      <c r="G5612" s="19">
        <f>IFERROR(__xludf.DUMMYFUNCTION("""COMPUTED_VALUE"""),0.00236)</f>
        <v>0.00236</v>
      </c>
      <c r="H5612" s="19" t="str">
        <f>IFERROR(__xludf.DUMMYFUNCTION("""COMPUTED_VALUE"""),"-")</f>
        <v>-</v>
      </c>
      <c r="I5612" s="19">
        <f>IFERROR(__xludf.DUMMYFUNCTION("""COMPUTED_VALUE"""),0.00224)</f>
        <v>0.00224</v>
      </c>
      <c r="J5612" s="19">
        <f>IFERROR(__xludf.DUMMYFUNCTION("""COMPUTED_VALUE"""),0.04749)</f>
        <v>0.04749</v>
      </c>
      <c r="K5612" s="19" t="str">
        <f>IFERROR(__xludf.DUMMYFUNCTION("""COMPUTED_VALUE"""),"-")</f>
        <v>-</v>
      </c>
      <c r="L5612" s="19" t="str">
        <f>IFERROR(__xludf.DUMMYFUNCTION("""COMPUTED_VALUE"""),"-")</f>
        <v>-</v>
      </c>
      <c r="O5612" s="24">
        <f t="shared" si="4"/>
        <v>0</v>
      </c>
      <c r="P5612" s="24"/>
      <c r="Q5612" s="24">
        <f t="shared" si="6"/>
        <v>0</v>
      </c>
      <c r="R5612" s="24">
        <f t="shared" si="7"/>
        <v>0</v>
      </c>
      <c r="S5612" s="24"/>
      <c r="T5612" s="24"/>
    </row>
    <row r="5613">
      <c r="A5613" s="12" t="s">
        <v>5700</v>
      </c>
      <c r="F5613" s="19">
        <f>IFERROR(__xludf.DUMMYFUNCTION("SPLIT(A5609, "" |"")"),5607.0)</f>
        <v>5607</v>
      </c>
      <c r="G5613" s="19">
        <f>IFERROR(__xludf.DUMMYFUNCTION("""COMPUTED_VALUE"""),0.00241)</f>
        <v>0.00241</v>
      </c>
      <c r="H5613" s="19" t="str">
        <f>IFERROR(__xludf.DUMMYFUNCTION("""COMPUTED_VALUE"""),"-")</f>
        <v>-</v>
      </c>
      <c r="I5613" s="19">
        <f>IFERROR(__xludf.DUMMYFUNCTION("""COMPUTED_VALUE"""),0.00224)</f>
        <v>0.00224</v>
      </c>
      <c r="J5613" s="19">
        <f>IFERROR(__xludf.DUMMYFUNCTION("""COMPUTED_VALUE"""),0.04743)</f>
        <v>0.04743</v>
      </c>
      <c r="K5613" s="19" t="str">
        <f>IFERROR(__xludf.DUMMYFUNCTION("""COMPUTED_VALUE"""),"-")</f>
        <v>-</v>
      </c>
      <c r="L5613" s="19" t="str">
        <f>IFERROR(__xludf.DUMMYFUNCTION("""COMPUTED_VALUE"""),"-")</f>
        <v>-</v>
      </c>
      <c r="O5613" s="24">
        <f t="shared" si="4"/>
        <v>0</v>
      </c>
      <c r="P5613" s="24"/>
      <c r="Q5613" s="24">
        <f t="shared" si="6"/>
        <v>0</v>
      </c>
      <c r="R5613" s="24">
        <f t="shared" si="7"/>
        <v>0</v>
      </c>
      <c r="S5613" s="24"/>
      <c r="T5613" s="24"/>
    </row>
    <row r="5614">
      <c r="A5614" s="12" t="s">
        <v>5701</v>
      </c>
      <c r="F5614" s="19">
        <f>IFERROR(__xludf.DUMMYFUNCTION("SPLIT(A5610, "" |"")"),5608.0)</f>
        <v>5608</v>
      </c>
      <c r="G5614" s="19">
        <f>IFERROR(__xludf.DUMMYFUNCTION("""COMPUTED_VALUE"""),0.00236)</f>
        <v>0.00236</v>
      </c>
      <c r="H5614" s="19" t="str">
        <f>IFERROR(__xludf.DUMMYFUNCTION("""COMPUTED_VALUE"""),"-")</f>
        <v>-</v>
      </c>
      <c r="I5614" s="19">
        <f>IFERROR(__xludf.DUMMYFUNCTION("""COMPUTED_VALUE"""),0.00221)</f>
        <v>0.00221</v>
      </c>
      <c r="J5614" s="19">
        <f>IFERROR(__xludf.DUMMYFUNCTION("""COMPUTED_VALUE"""),0.04739)</f>
        <v>0.04739</v>
      </c>
      <c r="K5614" s="19" t="str">
        <f>IFERROR(__xludf.DUMMYFUNCTION("""COMPUTED_VALUE"""),"-")</f>
        <v>-</v>
      </c>
      <c r="L5614" s="19" t="str">
        <f>IFERROR(__xludf.DUMMYFUNCTION("""COMPUTED_VALUE"""),"-")</f>
        <v>-</v>
      </c>
      <c r="O5614" s="24">
        <f t="shared" si="4"/>
        <v>0</v>
      </c>
      <c r="P5614" s="24"/>
      <c r="Q5614" s="24">
        <f t="shared" si="6"/>
        <v>0</v>
      </c>
      <c r="R5614" s="24">
        <f t="shared" si="7"/>
        <v>0</v>
      </c>
      <c r="S5614" s="24"/>
      <c r="T5614" s="24"/>
    </row>
    <row r="5615">
      <c r="A5615" s="12" t="s">
        <v>5702</v>
      </c>
      <c r="F5615" s="19">
        <f>IFERROR(__xludf.DUMMYFUNCTION("SPLIT(A5611, "" |"")"),5609.0)</f>
        <v>5609</v>
      </c>
      <c r="G5615" s="19">
        <f>IFERROR(__xludf.DUMMYFUNCTION("""COMPUTED_VALUE"""),0.00242)</f>
        <v>0.00242</v>
      </c>
      <c r="H5615" s="19" t="str">
        <f>IFERROR(__xludf.DUMMYFUNCTION("""COMPUTED_VALUE"""),"-")</f>
        <v>-</v>
      </c>
      <c r="I5615" s="19">
        <f>IFERROR(__xludf.DUMMYFUNCTION("""COMPUTED_VALUE"""),0.00224)</f>
        <v>0.00224</v>
      </c>
      <c r="J5615" s="19">
        <f>IFERROR(__xludf.DUMMYFUNCTION("""COMPUTED_VALUE"""),0.04746)</f>
        <v>0.04746</v>
      </c>
      <c r="K5615" s="19" t="str">
        <f>IFERROR(__xludf.DUMMYFUNCTION("""COMPUTED_VALUE"""),"-")</f>
        <v>-</v>
      </c>
      <c r="L5615" s="19" t="str">
        <f>IFERROR(__xludf.DUMMYFUNCTION("""COMPUTED_VALUE"""),"-")</f>
        <v>-</v>
      </c>
      <c r="O5615" s="24">
        <f t="shared" si="4"/>
        <v>0</v>
      </c>
      <c r="P5615" s="24"/>
      <c r="Q5615" s="24">
        <f t="shared" si="6"/>
        <v>0</v>
      </c>
      <c r="R5615" s="24">
        <f t="shared" si="7"/>
        <v>0</v>
      </c>
      <c r="S5615" s="24"/>
      <c r="T5615" s="24"/>
    </row>
    <row r="5616">
      <c r="A5616" s="12" t="s">
        <v>5703</v>
      </c>
      <c r="F5616" s="19">
        <f>IFERROR(__xludf.DUMMYFUNCTION("SPLIT(A5612, "" |"")"),5610.0)</f>
        <v>5610</v>
      </c>
      <c r="G5616" s="19">
        <f>IFERROR(__xludf.DUMMYFUNCTION("""COMPUTED_VALUE"""),0.00231)</f>
        <v>0.00231</v>
      </c>
      <c r="H5616" s="19" t="str">
        <f>IFERROR(__xludf.DUMMYFUNCTION("""COMPUTED_VALUE"""),"-")</f>
        <v>-</v>
      </c>
      <c r="I5616" s="19">
        <f>IFERROR(__xludf.DUMMYFUNCTION("""COMPUTED_VALUE"""),0.00219)</f>
        <v>0.00219</v>
      </c>
      <c r="J5616" s="19">
        <f>IFERROR(__xludf.DUMMYFUNCTION("""COMPUTED_VALUE"""),0.04745)</f>
        <v>0.04745</v>
      </c>
      <c r="K5616" s="19" t="str">
        <f>IFERROR(__xludf.DUMMYFUNCTION("""COMPUTED_VALUE"""),"-")</f>
        <v>-</v>
      </c>
      <c r="L5616" s="19" t="str">
        <f>IFERROR(__xludf.DUMMYFUNCTION("""COMPUTED_VALUE"""),"-")</f>
        <v>-</v>
      </c>
      <c r="O5616" s="24">
        <f t="shared" si="4"/>
        <v>0</v>
      </c>
      <c r="P5616" s="24"/>
      <c r="Q5616" s="24">
        <f t="shared" si="6"/>
        <v>0</v>
      </c>
      <c r="R5616" s="24">
        <f t="shared" si="7"/>
        <v>0</v>
      </c>
      <c r="S5616" s="24"/>
      <c r="T5616" s="24"/>
    </row>
    <row r="5617">
      <c r="A5617" s="12" t="s">
        <v>5704</v>
      </c>
      <c r="F5617" s="19">
        <f>IFERROR(__xludf.DUMMYFUNCTION("SPLIT(A5613, "" |"")"),5611.0)</f>
        <v>5611</v>
      </c>
      <c r="G5617" s="19">
        <f>IFERROR(__xludf.DUMMYFUNCTION("""COMPUTED_VALUE"""),0.00227)</f>
        <v>0.00227</v>
      </c>
      <c r="H5617" s="19" t="str">
        <f>IFERROR(__xludf.DUMMYFUNCTION("""COMPUTED_VALUE"""),"-")</f>
        <v>-</v>
      </c>
      <c r="I5617" s="19">
        <f>IFERROR(__xludf.DUMMYFUNCTION("""COMPUTED_VALUE"""),0.00218)</f>
        <v>0.00218</v>
      </c>
      <c r="J5617" s="19">
        <f>IFERROR(__xludf.DUMMYFUNCTION("""COMPUTED_VALUE"""),0.04738)</f>
        <v>0.04738</v>
      </c>
      <c r="K5617" s="19" t="str">
        <f>IFERROR(__xludf.DUMMYFUNCTION("""COMPUTED_VALUE"""),"-")</f>
        <v>-</v>
      </c>
      <c r="L5617" s="19" t="str">
        <f>IFERROR(__xludf.DUMMYFUNCTION("""COMPUTED_VALUE"""),"-")</f>
        <v>-</v>
      </c>
      <c r="O5617" s="24">
        <f t="shared" si="4"/>
        <v>0</v>
      </c>
      <c r="P5617" s="24"/>
      <c r="Q5617" s="24">
        <f t="shared" si="6"/>
        <v>0</v>
      </c>
      <c r="R5617" s="24">
        <f t="shared" si="7"/>
        <v>0</v>
      </c>
      <c r="S5617" s="24"/>
      <c r="T5617" s="24"/>
    </row>
    <row r="5618">
      <c r="A5618" s="12" t="s">
        <v>5705</v>
      </c>
      <c r="F5618" s="19">
        <f>IFERROR(__xludf.DUMMYFUNCTION("SPLIT(A5614, "" |"")"),5612.0)</f>
        <v>5612</v>
      </c>
      <c r="G5618" s="19">
        <f>IFERROR(__xludf.DUMMYFUNCTION("""COMPUTED_VALUE"""),0.00242)</f>
        <v>0.00242</v>
      </c>
      <c r="H5618" s="19" t="str">
        <f>IFERROR(__xludf.DUMMYFUNCTION("""COMPUTED_VALUE"""),"-")</f>
        <v>-</v>
      </c>
      <c r="I5618" s="19">
        <f>IFERROR(__xludf.DUMMYFUNCTION("""COMPUTED_VALUE"""),0.00226)</f>
        <v>0.00226</v>
      </c>
      <c r="J5618" s="19">
        <f>IFERROR(__xludf.DUMMYFUNCTION("""COMPUTED_VALUE"""),0.04745)</f>
        <v>0.04745</v>
      </c>
      <c r="K5618" s="19" t="str">
        <f>IFERROR(__xludf.DUMMYFUNCTION("""COMPUTED_VALUE"""),"-")</f>
        <v>-</v>
      </c>
      <c r="L5618" s="19" t="str">
        <f>IFERROR(__xludf.DUMMYFUNCTION("""COMPUTED_VALUE"""),"-")</f>
        <v>-</v>
      </c>
      <c r="O5618" s="24">
        <f t="shared" si="4"/>
        <v>0</v>
      </c>
      <c r="P5618" s="24"/>
      <c r="Q5618" s="24">
        <f t="shared" si="6"/>
        <v>0</v>
      </c>
      <c r="R5618" s="24">
        <f t="shared" si="7"/>
        <v>0</v>
      </c>
      <c r="S5618" s="24"/>
      <c r="T5618" s="24"/>
    </row>
    <row r="5619">
      <c r="A5619" s="12" t="s">
        <v>5706</v>
      </c>
      <c r="F5619" s="19">
        <f>IFERROR(__xludf.DUMMYFUNCTION("SPLIT(A5615, "" |"")"),5613.0)</f>
        <v>5613</v>
      </c>
      <c r="G5619" s="19">
        <f>IFERROR(__xludf.DUMMYFUNCTION("""COMPUTED_VALUE"""),0.00241)</f>
        <v>0.00241</v>
      </c>
      <c r="H5619" s="19" t="str">
        <f>IFERROR(__xludf.DUMMYFUNCTION("""COMPUTED_VALUE"""),"-")</f>
        <v>-</v>
      </c>
      <c r="I5619" s="19">
        <f>IFERROR(__xludf.DUMMYFUNCTION("""COMPUTED_VALUE"""),0.00223)</f>
        <v>0.00223</v>
      </c>
      <c r="J5619" s="19">
        <f>IFERROR(__xludf.DUMMYFUNCTION("""COMPUTED_VALUE"""),0.0473)</f>
        <v>0.0473</v>
      </c>
      <c r="K5619" s="19" t="str">
        <f>IFERROR(__xludf.DUMMYFUNCTION("""COMPUTED_VALUE"""),"-")</f>
        <v>-</v>
      </c>
      <c r="L5619" s="19" t="str">
        <f>IFERROR(__xludf.DUMMYFUNCTION("""COMPUTED_VALUE"""),"-")</f>
        <v>-</v>
      </c>
      <c r="O5619" s="24">
        <f t="shared" si="4"/>
        <v>0</v>
      </c>
      <c r="P5619" s="24"/>
      <c r="Q5619" s="24">
        <f t="shared" si="6"/>
        <v>0</v>
      </c>
      <c r="R5619" s="24">
        <f t="shared" si="7"/>
        <v>0</v>
      </c>
      <c r="S5619" s="24"/>
      <c r="T5619" s="24"/>
    </row>
    <row r="5620">
      <c r="A5620" s="12" t="s">
        <v>5707</v>
      </c>
      <c r="F5620" s="19">
        <f>IFERROR(__xludf.DUMMYFUNCTION("SPLIT(A5616, "" |"")"),5614.0)</f>
        <v>5614</v>
      </c>
      <c r="G5620" s="19">
        <f>IFERROR(__xludf.DUMMYFUNCTION("""COMPUTED_VALUE"""),0.00244)</f>
        <v>0.00244</v>
      </c>
      <c r="H5620" s="19" t="str">
        <f>IFERROR(__xludf.DUMMYFUNCTION("""COMPUTED_VALUE"""),"-")</f>
        <v>-</v>
      </c>
      <c r="I5620" s="19">
        <f>IFERROR(__xludf.DUMMYFUNCTION("""COMPUTED_VALUE"""),0.00222)</f>
        <v>0.00222</v>
      </c>
      <c r="J5620" s="19">
        <f>IFERROR(__xludf.DUMMYFUNCTION("""COMPUTED_VALUE"""),0.04753)</f>
        <v>0.04753</v>
      </c>
      <c r="K5620" s="19" t="str">
        <f>IFERROR(__xludf.DUMMYFUNCTION("""COMPUTED_VALUE"""),"-")</f>
        <v>-</v>
      </c>
      <c r="L5620" s="19" t="str">
        <f>IFERROR(__xludf.DUMMYFUNCTION("""COMPUTED_VALUE"""),"-")</f>
        <v>-</v>
      </c>
      <c r="O5620" s="24">
        <f t="shared" si="4"/>
        <v>0</v>
      </c>
      <c r="P5620" s="24"/>
      <c r="Q5620" s="24">
        <f t="shared" si="6"/>
        <v>0</v>
      </c>
      <c r="R5620" s="24">
        <f t="shared" si="7"/>
        <v>0</v>
      </c>
      <c r="S5620" s="24"/>
      <c r="T5620" s="24"/>
    </row>
    <row r="5621">
      <c r="A5621" s="12" t="s">
        <v>5708</v>
      </c>
      <c r="F5621" s="19">
        <f>IFERROR(__xludf.DUMMYFUNCTION("SPLIT(A5617, "" |"")"),5615.0)</f>
        <v>5615</v>
      </c>
      <c r="G5621" s="19">
        <f>IFERROR(__xludf.DUMMYFUNCTION("""COMPUTED_VALUE"""),0.00239)</f>
        <v>0.00239</v>
      </c>
      <c r="H5621" s="19" t="str">
        <f>IFERROR(__xludf.DUMMYFUNCTION("""COMPUTED_VALUE"""),"-")</f>
        <v>-</v>
      </c>
      <c r="I5621" s="19">
        <f>IFERROR(__xludf.DUMMYFUNCTION("""COMPUTED_VALUE"""),0.00214)</f>
        <v>0.00214</v>
      </c>
      <c r="J5621" s="19">
        <f>IFERROR(__xludf.DUMMYFUNCTION("""COMPUTED_VALUE"""),0.04739)</f>
        <v>0.04739</v>
      </c>
      <c r="K5621" s="19" t="str">
        <f>IFERROR(__xludf.DUMMYFUNCTION("""COMPUTED_VALUE"""),"-")</f>
        <v>-</v>
      </c>
      <c r="L5621" s="19" t="str">
        <f>IFERROR(__xludf.DUMMYFUNCTION("""COMPUTED_VALUE"""),"-")</f>
        <v>-</v>
      </c>
      <c r="O5621" s="24">
        <f t="shared" si="4"/>
        <v>0</v>
      </c>
      <c r="P5621" s="24"/>
      <c r="Q5621" s="24">
        <f t="shared" si="6"/>
        <v>0</v>
      </c>
      <c r="R5621" s="24">
        <f t="shared" si="7"/>
        <v>0</v>
      </c>
      <c r="S5621" s="24"/>
      <c r="T5621" s="24"/>
    </row>
    <row r="5622">
      <c r="A5622" s="12" t="s">
        <v>5709</v>
      </c>
      <c r="F5622" s="19">
        <f>IFERROR(__xludf.DUMMYFUNCTION("SPLIT(A5618, "" |"")"),5616.0)</f>
        <v>5616</v>
      </c>
      <c r="G5622" s="19">
        <f>IFERROR(__xludf.DUMMYFUNCTION("""COMPUTED_VALUE"""),0.00239)</f>
        <v>0.00239</v>
      </c>
      <c r="H5622" s="19" t="str">
        <f>IFERROR(__xludf.DUMMYFUNCTION("""COMPUTED_VALUE"""),"-")</f>
        <v>-</v>
      </c>
      <c r="I5622" s="19">
        <f>IFERROR(__xludf.DUMMYFUNCTION("""COMPUTED_VALUE"""),0.00225)</f>
        <v>0.00225</v>
      </c>
      <c r="J5622" s="19">
        <f>IFERROR(__xludf.DUMMYFUNCTION("""COMPUTED_VALUE"""),0.04742)</f>
        <v>0.04742</v>
      </c>
      <c r="K5622" s="19" t="str">
        <f>IFERROR(__xludf.DUMMYFUNCTION("""COMPUTED_VALUE"""),"-")</f>
        <v>-</v>
      </c>
      <c r="L5622" s="19" t="str">
        <f>IFERROR(__xludf.DUMMYFUNCTION("""COMPUTED_VALUE"""),"-")</f>
        <v>-</v>
      </c>
      <c r="O5622" s="24">
        <f t="shared" si="4"/>
        <v>0</v>
      </c>
      <c r="P5622" s="24"/>
      <c r="Q5622" s="24">
        <f t="shared" si="6"/>
        <v>0</v>
      </c>
      <c r="R5622" s="24">
        <f t="shared" si="7"/>
        <v>0</v>
      </c>
      <c r="S5622" s="24"/>
      <c r="T5622" s="24"/>
    </row>
    <row r="5623">
      <c r="A5623" s="12" t="s">
        <v>5710</v>
      </c>
      <c r="F5623" s="19">
        <f>IFERROR(__xludf.DUMMYFUNCTION("SPLIT(A5619, "" |"")"),5617.0)</f>
        <v>5617</v>
      </c>
      <c r="G5623" s="19">
        <f>IFERROR(__xludf.DUMMYFUNCTION("""COMPUTED_VALUE"""),0.00225)</f>
        <v>0.00225</v>
      </c>
      <c r="H5623" s="19" t="str">
        <f>IFERROR(__xludf.DUMMYFUNCTION("""COMPUTED_VALUE"""),"-")</f>
        <v>-</v>
      </c>
      <c r="I5623" s="19">
        <f>IFERROR(__xludf.DUMMYFUNCTION("""COMPUTED_VALUE"""),0.00213)</f>
        <v>0.00213</v>
      </c>
      <c r="J5623" s="19">
        <f>IFERROR(__xludf.DUMMYFUNCTION("""COMPUTED_VALUE"""),0.04731)</f>
        <v>0.04731</v>
      </c>
      <c r="K5623" s="19" t="str">
        <f>IFERROR(__xludf.DUMMYFUNCTION("""COMPUTED_VALUE"""),"-")</f>
        <v>-</v>
      </c>
      <c r="L5623" s="19" t="str">
        <f>IFERROR(__xludf.DUMMYFUNCTION("""COMPUTED_VALUE"""),"-")</f>
        <v>-</v>
      </c>
      <c r="O5623" s="24">
        <f t="shared" si="4"/>
        <v>0</v>
      </c>
      <c r="P5623" s="24"/>
      <c r="Q5623" s="24">
        <f t="shared" si="6"/>
        <v>0</v>
      </c>
      <c r="R5623" s="24">
        <f t="shared" si="7"/>
        <v>0</v>
      </c>
      <c r="S5623" s="24"/>
      <c r="T5623" s="24"/>
    </row>
    <row r="5624">
      <c r="A5624" s="12" t="s">
        <v>5711</v>
      </c>
      <c r="F5624" s="19">
        <f>IFERROR(__xludf.DUMMYFUNCTION("SPLIT(A5620, "" |"")"),5618.0)</f>
        <v>5618</v>
      </c>
      <c r="G5624" s="19">
        <f>IFERROR(__xludf.DUMMYFUNCTION("""COMPUTED_VALUE"""),0.00248)</f>
        <v>0.00248</v>
      </c>
      <c r="H5624" s="19" t="str">
        <f>IFERROR(__xludf.DUMMYFUNCTION("""COMPUTED_VALUE"""),"-")</f>
        <v>-</v>
      </c>
      <c r="I5624" s="19">
        <f>IFERROR(__xludf.DUMMYFUNCTION("""COMPUTED_VALUE"""),0.00223)</f>
        <v>0.00223</v>
      </c>
      <c r="J5624" s="19">
        <f>IFERROR(__xludf.DUMMYFUNCTION("""COMPUTED_VALUE"""),0.04743)</f>
        <v>0.04743</v>
      </c>
      <c r="K5624" s="19" t="str">
        <f>IFERROR(__xludf.DUMMYFUNCTION("""COMPUTED_VALUE"""),"-")</f>
        <v>-</v>
      </c>
      <c r="L5624" s="19" t="str">
        <f>IFERROR(__xludf.DUMMYFUNCTION("""COMPUTED_VALUE"""),"-")</f>
        <v>-</v>
      </c>
      <c r="O5624" s="24">
        <f t="shared" si="4"/>
        <v>0</v>
      </c>
      <c r="P5624" s="24"/>
      <c r="Q5624" s="24">
        <f t="shared" si="6"/>
        <v>0</v>
      </c>
      <c r="R5624" s="24">
        <f t="shared" si="7"/>
        <v>0</v>
      </c>
      <c r="S5624" s="24"/>
      <c r="T5624" s="24"/>
    </row>
    <row r="5625">
      <c r="A5625" s="12" t="s">
        <v>5712</v>
      </c>
      <c r="F5625" s="19">
        <f>IFERROR(__xludf.DUMMYFUNCTION("SPLIT(A5621, "" |"")"),5619.0)</f>
        <v>5619</v>
      </c>
      <c r="G5625" s="19">
        <f>IFERROR(__xludf.DUMMYFUNCTION("""COMPUTED_VALUE"""),0.00243)</f>
        <v>0.00243</v>
      </c>
      <c r="H5625" s="19" t="str">
        <f>IFERROR(__xludf.DUMMYFUNCTION("""COMPUTED_VALUE"""),"-")</f>
        <v>-</v>
      </c>
      <c r="I5625" s="19">
        <f>IFERROR(__xludf.DUMMYFUNCTION("""COMPUTED_VALUE"""),0.00226)</f>
        <v>0.00226</v>
      </c>
      <c r="J5625" s="19">
        <f>IFERROR(__xludf.DUMMYFUNCTION("""COMPUTED_VALUE"""),0.04742)</f>
        <v>0.04742</v>
      </c>
      <c r="K5625" s="19" t="str">
        <f>IFERROR(__xludf.DUMMYFUNCTION("""COMPUTED_VALUE"""),"-")</f>
        <v>-</v>
      </c>
      <c r="L5625" s="19" t="str">
        <f>IFERROR(__xludf.DUMMYFUNCTION("""COMPUTED_VALUE"""),"-")</f>
        <v>-</v>
      </c>
      <c r="O5625" s="24">
        <f t="shared" si="4"/>
        <v>0</v>
      </c>
      <c r="P5625" s="24"/>
      <c r="Q5625" s="24">
        <f t="shared" si="6"/>
        <v>0</v>
      </c>
      <c r="R5625" s="24">
        <f t="shared" si="7"/>
        <v>0</v>
      </c>
      <c r="S5625" s="24"/>
      <c r="T5625" s="24"/>
    </row>
    <row r="5626">
      <c r="A5626" s="12" t="s">
        <v>5713</v>
      </c>
      <c r="F5626" s="19">
        <f>IFERROR(__xludf.DUMMYFUNCTION("SPLIT(A5622, "" |"")"),5620.0)</f>
        <v>5620</v>
      </c>
      <c r="G5626" s="19">
        <f>IFERROR(__xludf.DUMMYFUNCTION("""COMPUTED_VALUE"""),0.00237)</f>
        <v>0.00237</v>
      </c>
      <c r="H5626" s="19" t="str">
        <f>IFERROR(__xludf.DUMMYFUNCTION("""COMPUTED_VALUE"""),"-")</f>
        <v>-</v>
      </c>
      <c r="I5626" s="19">
        <f>IFERROR(__xludf.DUMMYFUNCTION("""COMPUTED_VALUE"""),0.00224)</f>
        <v>0.00224</v>
      </c>
      <c r="J5626" s="19">
        <f>IFERROR(__xludf.DUMMYFUNCTION("""COMPUTED_VALUE"""),0.04736)</f>
        <v>0.04736</v>
      </c>
      <c r="K5626" s="19" t="str">
        <f>IFERROR(__xludf.DUMMYFUNCTION("""COMPUTED_VALUE"""),"-")</f>
        <v>-</v>
      </c>
      <c r="L5626" s="19" t="str">
        <f>IFERROR(__xludf.DUMMYFUNCTION("""COMPUTED_VALUE"""),"-")</f>
        <v>-</v>
      </c>
      <c r="O5626" s="24">
        <f t="shared" si="4"/>
        <v>0</v>
      </c>
      <c r="P5626" s="24"/>
      <c r="Q5626" s="24">
        <f t="shared" si="6"/>
        <v>0</v>
      </c>
      <c r="R5626" s="24">
        <f t="shared" si="7"/>
        <v>0</v>
      </c>
      <c r="S5626" s="24"/>
      <c r="T5626" s="24"/>
    </row>
    <row r="5627">
      <c r="A5627" s="12" t="s">
        <v>5714</v>
      </c>
      <c r="F5627" s="19">
        <f>IFERROR(__xludf.DUMMYFUNCTION("SPLIT(A5623, "" |"")"),5621.0)</f>
        <v>5621</v>
      </c>
      <c r="G5627" s="19">
        <f>IFERROR(__xludf.DUMMYFUNCTION("""COMPUTED_VALUE"""),0.00238)</f>
        <v>0.00238</v>
      </c>
      <c r="H5627" s="19" t="str">
        <f>IFERROR(__xludf.DUMMYFUNCTION("""COMPUTED_VALUE"""),"-")</f>
        <v>-</v>
      </c>
      <c r="I5627" s="19">
        <f>IFERROR(__xludf.DUMMYFUNCTION("""COMPUTED_VALUE"""),0.00219)</f>
        <v>0.00219</v>
      </c>
      <c r="J5627" s="19">
        <f>IFERROR(__xludf.DUMMYFUNCTION("""COMPUTED_VALUE"""),0.04748)</f>
        <v>0.04748</v>
      </c>
      <c r="K5627" s="19" t="str">
        <f>IFERROR(__xludf.DUMMYFUNCTION("""COMPUTED_VALUE"""),"-")</f>
        <v>-</v>
      </c>
      <c r="L5627" s="19" t="str">
        <f>IFERROR(__xludf.DUMMYFUNCTION("""COMPUTED_VALUE"""),"-")</f>
        <v>-</v>
      </c>
      <c r="O5627" s="24">
        <f t="shared" si="4"/>
        <v>0</v>
      </c>
      <c r="P5627" s="24"/>
      <c r="Q5627" s="24">
        <f t="shared" si="6"/>
        <v>0</v>
      </c>
      <c r="R5627" s="24">
        <f t="shared" si="7"/>
        <v>0</v>
      </c>
      <c r="S5627" s="24"/>
      <c r="T5627" s="24"/>
    </row>
    <row r="5628">
      <c r="A5628" s="12" t="s">
        <v>5715</v>
      </c>
      <c r="F5628" s="19">
        <f>IFERROR(__xludf.DUMMYFUNCTION("SPLIT(A5624, "" |"")"),5622.0)</f>
        <v>5622</v>
      </c>
      <c r="G5628" s="19">
        <f>IFERROR(__xludf.DUMMYFUNCTION("""COMPUTED_VALUE"""),0.00234)</f>
        <v>0.00234</v>
      </c>
      <c r="H5628" s="19" t="str">
        <f>IFERROR(__xludf.DUMMYFUNCTION("""COMPUTED_VALUE"""),"-")</f>
        <v>-</v>
      </c>
      <c r="I5628" s="19">
        <f>IFERROR(__xludf.DUMMYFUNCTION("""COMPUTED_VALUE"""),0.00229)</f>
        <v>0.00229</v>
      </c>
      <c r="J5628" s="19">
        <f>IFERROR(__xludf.DUMMYFUNCTION("""COMPUTED_VALUE"""),0.04741)</f>
        <v>0.04741</v>
      </c>
      <c r="K5628" s="19" t="str">
        <f>IFERROR(__xludf.DUMMYFUNCTION("""COMPUTED_VALUE"""),"-")</f>
        <v>-</v>
      </c>
      <c r="L5628" s="19" t="str">
        <f>IFERROR(__xludf.DUMMYFUNCTION("""COMPUTED_VALUE"""),"-")</f>
        <v>-</v>
      </c>
      <c r="O5628" s="24">
        <f t="shared" si="4"/>
        <v>0</v>
      </c>
      <c r="P5628" s="24"/>
      <c r="Q5628" s="24">
        <f t="shared" si="6"/>
        <v>0</v>
      </c>
      <c r="R5628" s="24">
        <f t="shared" si="7"/>
        <v>0</v>
      </c>
      <c r="S5628" s="24"/>
      <c r="T5628" s="24"/>
    </row>
    <row r="5629">
      <c r="A5629" s="12" t="s">
        <v>5716</v>
      </c>
      <c r="F5629" s="19">
        <f>IFERROR(__xludf.DUMMYFUNCTION("SPLIT(A5625, "" |"")"),5623.0)</f>
        <v>5623</v>
      </c>
      <c r="G5629" s="19">
        <f>IFERROR(__xludf.DUMMYFUNCTION("""COMPUTED_VALUE"""),0.00247)</f>
        <v>0.00247</v>
      </c>
      <c r="H5629" s="19" t="str">
        <f>IFERROR(__xludf.DUMMYFUNCTION("""COMPUTED_VALUE"""),"-")</f>
        <v>-</v>
      </c>
      <c r="I5629" s="19">
        <f>IFERROR(__xludf.DUMMYFUNCTION("""COMPUTED_VALUE"""),0.00221)</f>
        <v>0.00221</v>
      </c>
      <c r="J5629" s="19">
        <f>IFERROR(__xludf.DUMMYFUNCTION("""COMPUTED_VALUE"""),0.04743)</f>
        <v>0.04743</v>
      </c>
      <c r="K5629" s="19" t="str">
        <f>IFERROR(__xludf.DUMMYFUNCTION("""COMPUTED_VALUE"""),"-")</f>
        <v>-</v>
      </c>
      <c r="L5629" s="19" t="str">
        <f>IFERROR(__xludf.DUMMYFUNCTION("""COMPUTED_VALUE"""),"-")</f>
        <v>-</v>
      </c>
      <c r="O5629" s="24">
        <f t="shared" si="4"/>
        <v>0</v>
      </c>
      <c r="P5629" s="24"/>
      <c r="Q5629" s="24">
        <f t="shared" si="6"/>
        <v>0</v>
      </c>
      <c r="R5629" s="24">
        <f t="shared" si="7"/>
        <v>0</v>
      </c>
      <c r="S5629" s="24"/>
      <c r="T5629" s="24"/>
    </row>
    <row r="5630">
      <c r="A5630" s="12" t="s">
        <v>5717</v>
      </c>
      <c r="F5630" s="19">
        <f>IFERROR(__xludf.DUMMYFUNCTION("SPLIT(A5626, "" |"")"),5624.0)</f>
        <v>5624</v>
      </c>
      <c r="G5630" s="19">
        <f>IFERROR(__xludf.DUMMYFUNCTION("""COMPUTED_VALUE"""),0.00246)</f>
        <v>0.00246</v>
      </c>
      <c r="H5630" s="19" t="str">
        <f>IFERROR(__xludf.DUMMYFUNCTION("""COMPUTED_VALUE"""),"-")</f>
        <v>-</v>
      </c>
      <c r="I5630" s="19">
        <f>IFERROR(__xludf.DUMMYFUNCTION("""COMPUTED_VALUE"""),0.00219)</f>
        <v>0.00219</v>
      </c>
      <c r="J5630" s="19">
        <f>IFERROR(__xludf.DUMMYFUNCTION("""COMPUTED_VALUE"""),0.04751)</f>
        <v>0.04751</v>
      </c>
      <c r="K5630" s="19" t="str">
        <f>IFERROR(__xludf.DUMMYFUNCTION("""COMPUTED_VALUE"""),"-")</f>
        <v>-</v>
      </c>
      <c r="L5630" s="19" t="str">
        <f>IFERROR(__xludf.DUMMYFUNCTION("""COMPUTED_VALUE"""),"-")</f>
        <v>-</v>
      </c>
      <c r="O5630" s="24">
        <f t="shared" si="4"/>
        <v>0</v>
      </c>
      <c r="P5630" s="24"/>
      <c r="Q5630" s="24">
        <f t="shared" si="6"/>
        <v>0</v>
      </c>
      <c r="R5630" s="24">
        <f t="shared" si="7"/>
        <v>0</v>
      </c>
      <c r="S5630" s="24"/>
      <c r="T5630" s="24"/>
    </row>
    <row r="5631">
      <c r="A5631" s="12" t="s">
        <v>5718</v>
      </c>
      <c r="F5631" s="19">
        <f>IFERROR(__xludf.DUMMYFUNCTION("SPLIT(A5627, "" |"")"),5625.0)</f>
        <v>5625</v>
      </c>
      <c r="G5631" s="19">
        <f>IFERROR(__xludf.DUMMYFUNCTION("""COMPUTED_VALUE"""),0.00237)</f>
        <v>0.00237</v>
      </c>
      <c r="H5631" s="19" t="str">
        <f>IFERROR(__xludf.DUMMYFUNCTION("""COMPUTED_VALUE"""),"-")</f>
        <v>-</v>
      </c>
      <c r="I5631" s="19">
        <f>IFERROR(__xludf.DUMMYFUNCTION("""COMPUTED_VALUE"""),0.00228)</f>
        <v>0.00228</v>
      </c>
      <c r="J5631" s="19">
        <f>IFERROR(__xludf.DUMMYFUNCTION("""COMPUTED_VALUE"""),0.04739)</f>
        <v>0.04739</v>
      </c>
      <c r="K5631" s="19" t="str">
        <f>IFERROR(__xludf.DUMMYFUNCTION("""COMPUTED_VALUE"""),"-")</f>
        <v>-</v>
      </c>
      <c r="L5631" s="19" t="str">
        <f>IFERROR(__xludf.DUMMYFUNCTION("""COMPUTED_VALUE"""),"-")</f>
        <v>-</v>
      </c>
      <c r="O5631" s="24">
        <f t="shared" si="4"/>
        <v>0</v>
      </c>
      <c r="P5631" s="24"/>
      <c r="Q5631" s="24">
        <f t="shared" si="6"/>
        <v>0</v>
      </c>
      <c r="R5631" s="24">
        <f t="shared" si="7"/>
        <v>0</v>
      </c>
      <c r="S5631" s="24"/>
      <c r="T5631" s="24"/>
    </row>
    <row r="5632">
      <c r="A5632" s="12" t="s">
        <v>5719</v>
      </c>
      <c r="F5632" s="19">
        <f>IFERROR(__xludf.DUMMYFUNCTION("SPLIT(A5628, "" |"")"),5626.0)</f>
        <v>5626</v>
      </c>
      <c r="G5632" s="19">
        <f>IFERROR(__xludf.DUMMYFUNCTION("""COMPUTED_VALUE"""),0.00245)</f>
        <v>0.00245</v>
      </c>
      <c r="H5632" s="19" t="str">
        <f>IFERROR(__xludf.DUMMYFUNCTION("""COMPUTED_VALUE"""),"-")</f>
        <v>-</v>
      </c>
      <c r="I5632" s="19">
        <f>IFERROR(__xludf.DUMMYFUNCTION("""COMPUTED_VALUE"""),0.00228)</f>
        <v>0.00228</v>
      </c>
      <c r="J5632" s="19">
        <f>IFERROR(__xludf.DUMMYFUNCTION("""COMPUTED_VALUE"""),0.04655)</f>
        <v>0.04655</v>
      </c>
      <c r="K5632" s="19" t="str">
        <f>IFERROR(__xludf.DUMMYFUNCTION("""COMPUTED_VALUE"""),"-")</f>
        <v>-</v>
      </c>
      <c r="L5632" s="19" t="str">
        <f>IFERROR(__xludf.DUMMYFUNCTION("""COMPUTED_VALUE"""),"-")</f>
        <v>-</v>
      </c>
      <c r="O5632" s="24">
        <f t="shared" si="4"/>
        <v>0</v>
      </c>
      <c r="P5632" s="24"/>
      <c r="Q5632" s="24">
        <f t="shared" si="6"/>
        <v>0</v>
      </c>
      <c r="R5632" s="24">
        <f t="shared" si="7"/>
        <v>0</v>
      </c>
      <c r="S5632" s="24"/>
      <c r="T5632" s="24"/>
    </row>
    <row r="5633">
      <c r="A5633" s="12" t="s">
        <v>5720</v>
      </c>
      <c r="F5633" s="19">
        <f>IFERROR(__xludf.DUMMYFUNCTION("SPLIT(A5629, "" |"")"),5627.0)</f>
        <v>5627</v>
      </c>
      <c r="G5633" s="19">
        <f>IFERROR(__xludf.DUMMYFUNCTION("""COMPUTED_VALUE"""),0.00237)</f>
        <v>0.00237</v>
      </c>
      <c r="H5633" s="19" t="str">
        <f>IFERROR(__xludf.DUMMYFUNCTION("""COMPUTED_VALUE"""),"-")</f>
        <v>-</v>
      </c>
      <c r="I5633" s="19">
        <f>IFERROR(__xludf.DUMMYFUNCTION("""COMPUTED_VALUE"""),0.00223)</f>
        <v>0.00223</v>
      </c>
      <c r="J5633" s="19">
        <f>IFERROR(__xludf.DUMMYFUNCTION("""COMPUTED_VALUE"""),0.04744)</f>
        <v>0.04744</v>
      </c>
      <c r="K5633" s="19" t="str">
        <f>IFERROR(__xludf.DUMMYFUNCTION("""COMPUTED_VALUE"""),"-")</f>
        <v>-</v>
      </c>
      <c r="L5633" s="19" t="str">
        <f>IFERROR(__xludf.DUMMYFUNCTION("""COMPUTED_VALUE"""),"-")</f>
        <v>-</v>
      </c>
      <c r="O5633" s="24">
        <f t="shared" si="4"/>
        <v>0</v>
      </c>
      <c r="P5633" s="24"/>
      <c r="Q5633" s="24">
        <f t="shared" si="6"/>
        <v>0</v>
      </c>
      <c r="R5633" s="24">
        <f t="shared" si="7"/>
        <v>0</v>
      </c>
      <c r="S5633" s="24"/>
      <c r="T5633" s="24"/>
    </row>
    <row r="5634">
      <c r="A5634" s="12" t="s">
        <v>5721</v>
      </c>
      <c r="F5634" s="19">
        <f>IFERROR(__xludf.DUMMYFUNCTION("SPLIT(A5630, "" |"")"),5628.0)</f>
        <v>5628</v>
      </c>
      <c r="G5634" s="19">
        <f>IFERROR(__xludf.DUMMYFUNCTION("""COMPUTED_VALUE"""),0.00231)</f>
        <v>0.00231</v>
      </c>
      <c r="H5634" s="19" t="str">
        <f>IFERROR(__xludf.DUMMYFUNCTION("""COMPUTED_VALUE"""),"-")</f>
        <v>-</v>
      </c>
      <c r="I5634" s="19">
        <f>IFERROR(__xludf.DUMMYFUNCTION("""COMPUTED_VALUE"""),0.00227)</f>
        <v>0.00227</v>
      </c>
      <c r="J5634" s="19">
        <f>IFERROR(__xludf.DUMMYFUNCTION("""COMPUTED_VALUE"""),0.04683)</f>
        <v>0.04683</v>
      </c>
      <c r="K5634" s="19" t="str">
        <f>IFERROR(__xludf.DUMMYFUNCTION("""COMPUTED_VALUE"""),"-")</f>
        <v>-</v>
      </c>
      <c r="L5634" s="19" t="str">
        <f>IFERROR(__xludf.DUMMYFUNCTION("""COMPUTED_VALUE"""),"-")</f>
        <v>-</v>
      </c>
      <c r="O5634" s="24">
        <f t="shared" si="4"/>
        <v>0</v>
      </c>
      <c r="P5634" s="24"/>
      <c r="Q5634" s="24">
        <f t="shared" si="6"/>
        <v>0</v>
      </c>
      <c r="R5634" s="24">
        <f t="shared" si="7"/>
        <v>0</v>
      </c>
      <c r="S5634" s="24"/>
      <c r="T5634" s="24"/>
    </row>
    <row r="5635">
      <c r="A5635" s="12" t="s">
        <v>5722</v>
      </c>
      <c r="F5635" s="19">
        <f>IFERROR(__xludf.DUMMYFUNCTION("SPLIT(A5631, "" |"")"),5629.0)</f>
        <v>5629</v>
      </c>
      <c r="G5635" s="19">
        <f>IFERROR(__xludf.DUMMYFUNCTION("""COMPUTED_VALUE"""),0.00236)</f>
        <v>0.00236</v>
      </c>
      <c r="H5635" s="19" t="str">
        <f>IFERROR(__xludf.DUMMYFUNCTION("""COMPUTED_VALUE"""),"-")</f>
        <v>-</v>
      </c>
      <c r="I5635" s="19">
        <f>IFERROR(__xludf.DUMMYFUNCTION("""COMPUTED_VALUE"""),0.00223)</f>
        <v>0.00223</v>
      </c>
      <c r="J5635" s="19">
        <f>IFERROR(__xludf.DUMMYFUNCTION("""COMPUTED_VALUE"""),0.04743)</f>
        <v>0.04743</v>
      </c>
      <c r="K5635" s="19" t="str">
        <f>IFERROR(__xludf.DUMMYFUNCTION("""COMPUTED_VALUE"""),"-")</f>
        <v>-</v>
      </c>
      <c r="L5635" s="19" t="str">
        <f>IFERROR(__xludf.DUMMYFUNCTION("""COMPUTED_VALUE"""),"-")</f>
        <v>-</v>
      </c>
      <c r="O5635" s="24">
        <f t="shared" si="4"/>
        <v>0</v>
      </c>
      <c r="P5635" s="24"/>
      <c r="Q5635" s="24">
        <f t="shared" si="6"/>
        <v>0</v>
      </c>
      <c r="R5635" s="24">
        <f t="shared" si="7"/>
        <v>0</v>
      </c>
      <c r="S5635" s="24"/>
      <c r="T5635" s="24"/>
    </row>
    <row r="5636">
      <c r="A5636" s="12" t="s">
        <v>5723</v>
      </c>
      <c r="F5636" s="19">
        <f>IFERROR(__xludf.DUMMYFUNCTION("SPLIT(A5632, "" |"")"),5630.0)</f>
        <v>5630</v>
      </c>
      <c r="G5636" s="19">
        <f>IFERROR(__xludf.DUMMYFUNCTION("""COMPUTED_VALUE"""),0.00234)</f>
        <v>0.00234</v>
      </c>
      <c r="H5636" s="19" t="str">
        <f>IFERROR(__xludf.DUMMYFUNCTION("""COMPUTED_VALUE"""),"-")</f>
        <v>-</v>
      </c>
      <c r="I5636" s="19">
        <f>IFERROR(__xludf.DUMMYFUNCTION("""COMPUTED_VALUE"""),0.00223)</f>
        <v>0.00223</v>
      </c>
      <c r="J5636" s="19">
        <f>IFERROR(__xludf.DUMMYFUNCTION("""COMPUTED_VALUE"""),0.04744)</f>
        <v>0.04744</v>
      </c>
      <c r="K5636" s="19" t="str">
        <f>IFERROR(__xludf.DUMMYFUNCTION("""COMPUTED_VALUE"""),"-")</f>
        <v>-</v>
      </c>
      <c r="L5636" s="19" t="str">
        <f>IFERROR(__xludf.DUMMYFUNCTION("""COMPUTED_VALUE"""),"-")</f>
        <v>-</v>
      </c>
      <c r="O5636" s="24">
        <f t="shared" si="4"/>
        <v>0</v>
      </c>
      <c r="P5636" s="24"/>
      <c r="Q5636" s="24">
        <f t="shared" si="6"/>
        <v>0</v>
      </c>
      <c r="R5636" s="24">
        <f t="shared" si="7"/>
        <v>0</v>
      </c>
      <c r="S5636" s="24"/>
      <c r="T5636" s="24"/>
    </row>
    <row r="5637">
      <c r="A5637" s="12" t="s">
        <v>5724</v>
      </c>
      <c r="F5637" s="19">
        <f>IFERROR(__xludf.DUMMYFUNCTION("SPLIT(A5633, "" |"")"),5631.0)</f>
        <v>5631</v>
      </c>
      <c r="G5637" s="19">
        <f>IFERROR(__xludf.DUMMYFUNCTION("""COMPUTED_VALUE"""),0.00235)</f>
        <v>0.00235</v>
      </c>
      <c r="H5637" s="19" t="str">
        <f>IFERROR(__xludf.DUMMYFUNCTION("""COMPUTED_VALUE"""),"-")</f>
        <v>-</v>
      </c>
      <c r="I5637" s="19">
        <f>IFERROR(__xludf.DUMMYFUNCTION("""COMPUTED_VALUE"""),0.00222)</f>
        <v>0.00222</v>
      </c>
      <c r="J5637" s="19">
        <f>IFERROR(__xludf.DUMMYFUNCTION("""COMPUTED_VALUE"""),0.04745)</f>
        <v>0.04745</v>
      </c>
      <c r="K5637" s="19" t="str">
        <f>IFERROR(__xludf.DUMMYFUNCTION("""COMPUTED_VALUE"""),"-")</f>
        <v>-</v>
      </c>
      <c r="L5637" s="19" t="str">
        <f>IFERROR(__xludf.DUMMYFUNCTION("""COMPUTED_VALUE"""),"-")</f>
        <v>-</v>
      </c>
      <c r="O5637" s="24">
        <f t="shared" si="4"/>
        <v>0</v>
      </c>
      <c r="P5637" s="24"/>
      <c r="Q5637" s="24">
        <f t="shared" si="6"/>
        <v>0</v>
      </c>
      <c r="R5637" s="24">
        <f t="shared" si="7"/>
        <v>0</v>
      </c>
      <c r="S5637" s="24"/>
      <c r="T5637" s="24"/>
    </row>
    <row r="5638">
      <c r="A5638" s="12" t="s">
        <v>5725</v>
      </c>
      <c r="F5638" s="19">
        <f>IFERROR(__xludf.DUMMYFUNCTION("SPLIT(A5634, "" |"")"),5632.0)</f>
        <v>5632</v>
      </c>
      <c r="G5638" s="19">
        <f>IFERROR(__xludf.DUMMYFUNCTION("""COMPUTED_VALUE"""),0.00232)</f>
        <v>0.00232</v>
      </c>
      <c r="H5638" s="19" t="str">
        <f>IFERROR(__xludf.DUMMYFUNCTION("""COMPUTED_VALUE"""),"-")</f>
        <v>-</v>
      </c>
      <c r="I5638" s="19">
        <f>IFERROR(__xludf.DUMMYFUNCTION("""COMPUTED_VALUE"""),0.00222)</f>
        <v>0.00222</v>
      </c>
      <c r="J5638" s="19">
        <f>IFERROR(__xludf.DUMMYFUNCTION("""COMPUTED_VALUE"""),0.04743)</f>
        <v>0.04743</v>
      </c>
      <c r="K5638" s="19" t="str">
        <f>IFERROR(__xludf.DUMMYFUNCTION("""COMPUTED_VALUE"""),"-")</f>
        <v>-</v>
      </c>
      <c r="L5638" s="19" t="str">
        <f>IFERROR(__xludf.DUMMYFUNCTION("""COMPUTED_VALUE"""),"-")</f>
        <v>-</v>
      </c>
      <c r="O5638" s="24">
        <f t="shared" si="4"/>
        <v>0</v>
      </c>
      <c r="P5638" s="24"/>
      <c r="Q5638" s="24">
        <f t="shared" si="6"/>
        <v>0</v>
      </c>
      <c r="R5638" s="24">
        <f t="shared" si="7"/>
        <v>0</v>
      </c>
      <c r="S5638" s="24"/>
      <c r="T5638" s="24"/>
    </row>
    <row r="5639">
      <c r="A5639" s="12" t="s">
        <v>5726</v>
      </c>
      <c r="F5639" s="19">
        <f>IFERROR(__xludf.DUMMYFUNCTION("SPLIT(A5635, "" |"")"),5633.0)</f>
        <v>5633</v>
      </c>
      <c r="G5639" s="19">
        <f>IFERROR(__xludf.DUMMYFUNCTION("""COMPUTED_VALUE"""),0.00235)</f>
        <v>0.00235</v>
      </c>
      <c r="H5639" s="19" t="str">
        <f>IFERROR(__xludf.DUMMYFUNCTION("""COMPUTED_VALUE"""),"-")</f>
        <v>-</v>
      </c>
      <c r="I5639" s="19">
        <f>IFERROR(__xludf.DUMMYFUNCTION("""COMPUTED_VALUE"""),0.00222)</f>
        <v>0.00222</v>
      </c>
      <c r="J5639" s="19">
        <f>IFERROR(__xludf.DUMMYFUNCTION("""COMPUTED_VALUE"""),0.0474)</f>
        <v>0.0474</v>
      </c>
      <c r="K5639" s="19" t="str">
        <f>IFERROR(__xludf.DUMMYFUNCTION("""COMPUTED_VALUE"""),"-")</f>
        <v>-</v>
      </c>
      <c r="L5639" s="19" t="str">
        <f>IFERROR(__xludf.DUMMYFUNCTION("""COMPUTED_VALUE"""),"-")</f>
        <v>-</v>
      </c>
      <c r="O5639" s="24">
        <f t="shared" si="4"/>
        <v>0</v>
      </c>
      <c r="P5639" s="24"/>
      <c r="Q5639" s="24">
        <f t="shared" si="6"/>
        <v>0</v>
      </c>
      <c r="R5639" s="24">
        <f t="shared" si="7"/>
        <v>0</v>
      </c>
      <c r="S5639" s="24"/>
      <c r="T5639" s="24"/>
    </row>
    <row r="5640">
      <c r="A5640" s="12" t="s">
        <v>5727</v>
      </c>
      <c r="F5640" s="19">
        <f>IFERROR(__xludf.DUMMYFUNCTION("SPLIT(A5636, "" |"")"),5634.0)</f>
        <v>5634</v>
      </c>
      <c r="G5640" s="19">
        <f>IFERROR(__xludf.DUMMYFUNCTION("""COMPUTED_VALUE"""),0.00239)</f>
        <v>0.00239</v>
      </c>
      <c r="H5640" s="19" t="str">
        <f>IFERROR(__xludf.DUMMYFUNCTION("""COMPUTED_VALUE"""),"-")</f>
        <v>-</v>
      </c>
      <c r="I5640" s="19">
        <f>IFERROR(__xludf.DUMMYFUNCTION("""COMPUTED_VALUE"""),0.00223)</f>
        <v>0.00223</v>
      </c>
      <c r="J5640" s="19">
        <f>IFERROR(__xludf.DUMMYFUNCTION("""COMPUTED_VALUE"""),0.04747)</f>
        <v>0.04747</v>
      </c>
      <c r="K5640" s="19" t="str">
        <f>IFERROR(__xludf.DUMMYFUNCTION("""COMPUTED_VALUE"""),"-")</f>
        <v>-</v>
      </c>
      <c r="L5640" s="19" t="str">
        <f>IFERROR(__xludf.DUMMYFUNCTION("""COMPUTED_VALUE"""),"-")</f>
        <v>-</v>
      </c>
      <c r="O5640" s="24">
        <f t="shared" si="4"/>
        <v>0</v>
      </c>
      <c r="P5640" s="24"/>
      <c r="Q5640" s="24">
        <f t="shared" si="6"/>
        <v>0</v>
      </c>
      <c r="R5640" s="24">
        <f t="shared" si="7"/>
        <v>0</v>
      </c>
      <c r="S5640" s="24"/>
      <c r="T5640" s="24"/>
    </row>
    <row r="5641">
      <c r="A5641" s="12" t="s">
        <v>5728</v>
      </c>
      <c r="F5641" s="19">
        <f>IFERROR(__xludf.DUMMYFUNCTION("SPLIT(A5637, "" |"")"),5635.0)</f>
        <v>5635</v>
      </c>
      <c r="G5641" s="19">
        <f>IFERROR(__xludf.DUMMYFUNCTION("""COMPUTED_VALUE"""),0.00234)</f>
        <v>0.00234</v>
      </c>
      <c r="H5641" s="19" t="str">
        <f>IFERROR(__xludf.DUMMYFUNCTION("""COMPUTED_VALUE"""),"-")</f>
        <v>-</v>
      </c>
      <c r="I5641" s="19">
        <f>IFERROR(__xludf.DUMMYFUNCTION("""COMPUTED_VALUE"""),0.0022)</f>
        <v>0.0022</v>
      </c>
      <c r="J5641" s="19">
        <f>IFERROR(__xludf.DUMMYFUNCTION("""COMPUTED_VALUE"""),0.04742)</f>
        <v>0.04742</v>
      </c>
      <c r="K5641" s="19" t="str">
        <f>IFERROR(__xludf.DUMMYFUNCTION("""COMPUTED_VALUE"""),"-")</f>
        <v>-</v>
      </c>
      <c r="L5641" s="19" t="str">
        <f>IFERROR(__xludf.DUMMYFUNCTION("""COMPUTED_VALUE"""),"-")</f>
        <v>-</v>
      </c>
      <c r="O5641" s="24">
        <f t="shared" si="4"/>
        <v>0</v>
      </c>
      <c r="P5641" s="24"/>
      <c r="Q5641" s="24">
        <f t="shared" si="6"/>
        <v>0</v>
      </c>
      <c r="R5641" s="24">
        <f t="shared" si="7"/>
        <v>0</v>
      </c>
      <c r="S5641" s="24"/>
      <c r="T5641" s="24"/>
    </row>
    <row r="5642">
      <c r="A5642" s="12" t="s">
        <v>5729</v>
      </c>
      <c r="F5642" s="19">
        <f>IFERROR(__xludf.DUMMYFUNCTION("SPLIT(A5638, "" |"")"),5636.0)</f>
        <v>5636</v>
      </c>
      <c r="G5642" s="19">
        <f>IFERROR(__xludf.DUMMYFUNCTION("""COMPUTED_VALUE"""),0.00231)</f>
        <v>0.00231</v>
      </c>
      <c r="H5642" s="19" t="str">
        <f>IFERROR(__xludf.DUMMYFUNCTION("""COMPUTED_VALUE"""),"-")</f>
        <v>-</v>
      </c>
      <c r="I5642" s="19">
        <f>IFERROR(__xludf.DUMMYFUNCTION("""COMPUTED_VALUE"""),0.00222)</f>
        <v>0.00222</v>
      </c>
      <c r="J5642" s="19">
        <f>IFERROR(__xludf.DUMMYFUNCTION("""COMPUTED_VALUE"""),0.04255)</f>
        <v>0.04255</v>
      </c>
      <c r="K5642" s="19" t="str">
        <f>IFERROR(__xludf.DUMMYFUNCTION("""COMPUTED_VALUE"""),"-")</f>
        <v>-</v>
      </c>
      <c r="L5642" s="19" t="str">
        <f>IFERROR(__xludf.DUMMYFUNCTION("""COMPUTED_VALUE"""),"-")</f>
        <v>-</v>
      </c>
      <c r="O5642" s="24">
        <f t="shared" si="4"/>
        <v>0</v>
      </c>
      <c r="P5642" s="24"/>
      <c r="Q5642" s="24">
        <f t="shared" si="6"/>
        <v>0</v>
      </c>
      <c r="R5642" s="24">
        <f t="shared" si="7"/>
        <v>1</v>
      </c>
      <c r="S5642" s="24"/>
      <c r="T5642" s="24"/>
    </row>
    <row r="5643">
      <c r="A5643" s="12" t="s">
        <v>5730</v>
      </c>
      <c r="F5643" s="19">
        <f>IFERROR(__xludf.DUMMYFUNCTION("SPLIT(A5639, "" |"")"),5637.0)</f>
        <v>5637</v>
      </c>
      <c r="G5643" s="19">
        <f>IFERROR(__xludf.DUMMYFUNCTION("""COMPUTED_VALUE"""),0.00228)</f>
        <v>0.00228</v>
      </c>
      <c r="H5643" s="19" t="str">
        <f>IFERROR(__xludf.DUMMYFUNCTION("""COMPUTED_VALUE"""),"-")</f>
        <v>-</v>
      </c>
      <c r="I5643" s="19">
        <f>IFERROR(__xludf.DUMMYFUNCTION("""COMPUTED_VALUE"""),0.00219)</f>
        <v>0.00219</v>
      </c>
      <c r="J5643" s="19">
        <f>IFERROR(__xludf.DUMMYFUNCTION("""COMPUTED_VALUE"""),0.04747)</f>
        <v>0.04747</v>
      </c>
      <c r="K5643" s="19" t="str">
        <f>IFERROR(__xludf.DUMMYFUNCTION("""COMPUTED_VALUE"""),"-")</f>
        <v>-</v>
      </c>
      <c r="L5643" s="19" t="str">
        <f>IFERROR(__xludf.DUMMYFUNCTION("""COMPUTED_VALUE"""),"-")</f>
        <v>-</v>
      </c>
      <c r="O5643" s="24">
        <f t="shared" si="4"/>
        <v>0</v>
      </c>
      <c r="P5643" s="24"/>
      <c r="Q5643" s="24">
        <f t="shared" si="6"/>
        <v>0</v>
      </c>
      <c r="R5643" s="24">
        <f t="shared" si="7"/>
        <v>0</v>
      </c>
      <c r="S5643" s="24"/>
      <c r="T5643" s="24"/>
    </row>
    <row r="5644">
      <c r="A5644" s="12" t="s">
        <v>5731</v>
      </c>
      <c r="F5644" s="19">
        <f>IFERROR(__xludf.DUMMYFUNCTION("SPLIT(A5640, "" |"")"),5638.0)</f>
        <v>5638</v>
      </c>
      <c r="G5644" s="19">
        <f>IFERROR(__xludf.DUMMYFUNCTION("""COMPUTED_VALUE"""),0.00235)</f>
        <v>0.00235</v>
      </c>
      <c r="H5644" s="19" t="str">
        <f>IFERROR(__xludf.DUMMYFUNCTION("""COMPUTED_VALUE"""),"-")</f>
        <v>-</v>
      </c>
      <c r="I5644" s="19">
        <f>IFERROR(__xludf.DUMMYFUNCTION("""COMPUTED_VALUE"""),0.00219)</f>
        <v>0.00219</v>
      </c>
      <c r="J5644" s="19">
        <f>IFERROR(__xludf.DUMMYFUNCTION("""COMPUTED_VALUE"""),0.04152)</f>
        <v>0.04152</v>
      </c>
      <c r="K5644" s="19" t="str">
        <f>IFERROR(__xludf.DUMMYFUNCTION("""COMPUTED_VALUE"""),"-")</f>
        <v>-</v>
      </c>
      <c r="L5644" s="19" t="str">
        <f>IFERROR(__xludf.DUMMYFUNCTION("""COMPUTED_VALUE"""),"-")</f>
        <v>-</v>
      </c>
      <c r="O5644" s="24">
        <f t="shared" si="4"/>
        <v>0</v>
      </c>
      <c r="P5644" s="24"/>
      <c r="Q5644" s="24">
        <f t="shared" si="6"/>
        <v>0</v>
      </c>
      <c r="R5644" s="24">
        <f t="shared" si="7"/>
        <v>1</v>
      </c>
      <c r="S5644" s="24"/>
      <c r="T5644" s="24"/>
    </row>
    <row r="5645">
      <c r="A5645" s="12" t="s">
        <v>5732</v>
      </c>
      <c r="F5645" s="19">
        <f>IFERROR(__xludf.DUMMYFUNCTION("SPLIT(A5641, "" |"")"),5639.0)</f>
        <v>5639</v>
      </c>
      <c r="G5645" s="19">
        <f>IFERROR(__xludf.DUMMYFUNCTION("""COMPUTED_VALUE"""),0.00233)</f>
        <v>0.00233</v>
      </c>
      <c r="H5645" s="19" t="str">
        <f>IFERROR(__xludf.DUMMYFUNCTION("""COMPUTED_VALUE"""),"-")</f>
        <v>-</v>
      </c>
      <c r="I5645" s="19">
        <f>IFERROR(__xludf.DUMMYFUNCTION("""COMPUTED_VALUE"""),0.00224)</f>
        <v>0.00224</v>
      </c>
      <c r="J5645" s="19">
        <f>IFERROR(__xludf.DUMMYFUNCTION("""COMPUTED_VALUE"""),0.04748)</f>
        <v>0.04748</v>
      </c>
      <c r="K5645" s="19" t="str">
        <f>IFERROR(__xludf.DUMMYFUNCTION("""COMPUTED_VALUE"""),"-")</f>
        <v>-</v>
      </c>
      <c r="L5645" s="19" t="str">
        <f>IFERROR(__xludf.DUMMYFUNCTION("""COMPUTED_VALUE"""),"-")</f>
        <v>-</v>
      </c>
      <c r="O5645" s="24">
        <f t="shared" si="4"/>
        <v>0</v>
      </c>
      <c r="P5645" s="24"/>
      <c r="Q5645" s="24">
        <f t="shared" si="6"/>
        <v>0</v>
      </c>
      <c r="R5645" s="24">
        <f t="shared" si="7"/>
        <v>0</v>
      </c>
      <c r="S5645" s="24"/>
      <c r="T5645" s="24"/>
    </row>
    <row r="5646">
      <c r="A5646" s="12" t="s">
        <v>5733</v>
      </c>
      <c r="F5646" s="19">
        <f>IFERROR(__xludf.DUMMYFUNCTION("SPLIT(A5642, "" |"")"),5640.0)</f>
        <v>5640</v>
      </c>
      <c r="G5646" s="19">
        <f>IFERROR(__xludf.DUMMYFUNCTION("""COMPUTED_VALUE"""),0.00247)</f>
        <v>0.00247</v>
      </c>
      <c r="H5646" s="19" t="str">
        <f>IFERROR(__xludf.DUMMYFUNCTION("""COMPUTED_VALUE"""),"-")</f>
        <v>-</v>
      </c>
      <c r="I5646" s="19">
        <f>IFERROR(__xludf.DUMMYFUNCTION("""COMPUTED_VALUE"""),0.0022)</f>
        <v>0.0022</v>
      </c>
      <c r="J5646" s="19">
        <f>IFERROR(__xludf.DUMMYFUNCTION("""COMPUTED_VALUE"""),0.04741)</f>
        <v>0.04741</v>
      </c>
      <c r="K5646" s="19" t="str">
        <f>IFERROR(__xludf.DUMMYFUNCTION("""COMPUTED_VALUE"""),"-")</f>
        <v>-</v>
      </c>
      <c r="L5646" s="19" t="str">
        <f>IFERROR(__xludf.DUMMYFUNCTION("""COMPUTED_VALUE"""),"-")</f>
        <v>-</v>
      </c>
      <c r="O5646" s="24">
        <f t="shared" si="4"/>
        <v>0</v>
      </c>
      <c r="P5646" s="24"/>
      <c r="Q5646" s="24">
        <f t="shared" si="6"/>
        <v>0</v>
      </c>
      <c r="R5646" s="24">
        <f t="shared" si="7"/>
        <v>0</v>
      </c>
      <c r="S5646" s="24"/>
      <c r="T5646" s="24"/>
    </row>
    <row r="5647">
      <c r="A5647" s="12" t="s">
        <v>5734</v>
      </c>
      <c r="F5647" s="19">
        <f>IFERROR(__xludf.DUMMYFUNCTION("SPLIT(A5643, "" |"")"),5641.0)</f>
        <v>5641</v>
      </c>
      <c r="G5647" s="19">
        <f>IFERROR(__xludf.DUMMYFUNCTION("""COMPUTED_VALUE"""),0.00238)</f>
        <v>0.00238</v>
      </c>
      <c r="H5647" s="19" t="str">
        <f>IFERROR(__xludf.DUMMYFUNCTION("""COMPUTED_VALUE"""),"-")</f>
        <v>-</v>
      </c>
      <c r="I5647" s="19">
        <f>IFERROR(__xludf.DUMMYFUNCTION("""COMPUTED_VALUE"""),0.00229)</f>
        <v>0.00229</v>
      </c>
      <c r="J5647" s="19">
        <f>IFERROR(__xludf.DUMMYFUNCTION("""COMPUTED_VALUE"""),0.04747)</f>
        <v>0.04747</v>
      </c>
      <c r="K5647" s="19" t="str">
        <f>IFERROR(__xludf.DUMMYFUNCTION("""COMPUTED_VALUE"""),"-")</f>
        <v>-</v>
      </c>
      <c r="L5647" s="19" t="str">
        <f>IFERROR(__xludf.DUMMYFUNCTION("""COMPUTED_VALUE"""),"-")</f>
        <v>-</v>
      </c>
      <c r="O5647" s="24">
        <f t="shared" si="4"/>
        <v>0</v>
      </c>
      <c r="P5647" s="24"/>
      <c r="Q5647" s="24">
        <f t="shared" si="6"/>
        <v>0</v>
      </c>
      <c r="R5647" s="24">
        <f t="shared" si="7"/>
        <v>0</v>
      </c>
      <c r="S5647" s="24"/>
      <c r="T5647" s="24"/>
    </row>
    <row r="5648">
      <c r="A5648" s="12" t="s">
        <v>5735</v>
      </c>
      <c r="F5648" s="19">
        <f>IFERROR(__xludf.DUMMYFUNCTION("SPLIT(A5644, "" |"")"),5642.0)</f>
        <v>5642</v>
      </c>
      <c r="G5648" s="19">
        <f>IFERROR(__xludf.DUMMYFUNCTION("""COMPUTED_VALUE"""),0.00235)</f>
        <v>0.00235</v>
      </c>
      <c r="H5648" s="19" t="str">
        <f>IFERROR(__xludf.DUMMYFUNCTION("""COMPUTED_VALUE"""),"-")</f>
        <v>-</v>
      </c>
      <c r="I5648" s="19">
        <f>IFERROR(__xludf.DUMMYFUNCTION("""COMPUTED_VALUE"""),0.00221)</f>
        <v>0.00221</v>
      </c>
      <c r="J5648" s="19">
        <f>IFERROR(__xludf.DUMMYFUNCTION("""COMPUTED_VALUE"""),0.0438)</f>
        <v>0.0438</v>
      </c>
      <c r="K5648" s="19" t="str">
        <f>IFERROR(__xludf.DUMMYFUNCTION("""COMPUTED_VALUE"""),"-")</f>
        <v>-</v>
      </c>
      <c r="L5648" s="19" t="str">
        <f>IFERROR(__xludf.DUMMYFUNCTION("""COMPUTED_VALUE"""),"-")</f>
        <v>-</v>
      </c>
      <c r="O5648" s="24">
        <f t="shared" si="4"/>
        <v>0</v>
      </c>
      <c r="P5648" s="24"/>
      <c r="Q5648" s="24">
        <f t="shared" si="6"/>
        <v>0</v>
      </c>
      <c r="R5648" s="24">
        <f t="shared" si="7"/>
        <v>1</v>
      </c>
      <c r="S5648" s="24"/>
      <c r="T5648" s="24"/>
    </row>
    <row r="5649">
      <c r="A5649" s="12" t="s">
        <v>5736</v>
      </c>
      <c r="F5649" s="19">
        <f>IFERROR(__xludf.DUMMYFUNCTION("SPLIT(A5645, "" |"")"),5643.0)</f>
        <v>5643</v>
      </c>
      <c r="G5649" s="19">
        <f>IFERROR(__xludf.DUMMYFUNCTION("""COMPUTED_VALUE"""),0.0024)</f>
        <v>0.0024</v>
      </c>
      <c r="H5649" s="19" t="str">
        <f>IFERROR(__xludf.DUMMYFUNCTION("""COMPUTED_VALUE"""),"-")</f>
        <v>-</v>
      </c>
      <c r="I5649" s="19">
        <f>IFERROR(__xludf.DUMMYFUNCTION("""COMPUTED_VALUE"""),0.00225)</f>
        <v>0.00225</v>
      </c>
      <c r="J5649" s="19">
        <f>IFERROR(__xludf.DUMMYFUNCTION("""COMPUTED_VALUE"""),0.04741)</f>
        <v>0.04741</v>
      </c>
      <c r="K5649" s="19" t="str">
        <f>IFERROR(__xludf.DUMMYFUNCTION("""COMPUTED_VALUE"""),"-")</f>
        <v>-</v>
      </c>
      <c r="L5649" s="19" t="str">
        <f>IFERROR(__xludf.DUMMYFUNCTION("""COMPUTED_VALUE"""),"-")</f>
        <v>-</v>
      </c>
      <c r="O5649" s="24">
        <f t="shared" si="4"/>
        <v>0</v>
      </c>
      <c r="P5649" s="24"/>
      <c r="Q5649" s="24">
        <f t="shared" si="6"/>
        <v>0</v>
      </c>
      <c r="R5649" s="24">
        <f t="shared" si="7"/>
        <v>0</v>
      </c>
      <c r="S5649" s="24"/>
      <c r="T5649" s="24"/>
    </row>
    <row r="5650">
      <c r="A5650" s="12" t="s">
        <v>5737</v>
      </c>
      <c r="F5650" s="19">
        <f>IFERROR(__xludf.DUMMYFUNCTION("SPLIT(A5646, "" |"")"),5644.0)</f>
        <v>5644</v>
      </c>
      <c r="G5650" s="19">
        <f>IFERROR(__xludf.DUMMYFUNCTION("""COMPUTED_VALUE"""),0.00242)</f>
        <v>0.00242</v>
      </c>
      <c r="H5650" s="19" t="str">
        <f>IFERROR(__xludf.DUMMYFUNCTION("""COMPUTED_VALUE"""),"-")</f>
        <v>-</v>
      </c>
      <c r="I5650" s="19">
        <f>IFERROR(__xludf.DUMMYFUNCTION("""COMPUTED_VALUE"""),0.00229)</f>
        <v>0.00229</v>
      </c>
      <c r="J5650" s="19">
        <f>IFERROR(__xludf.DUMMYFUNCTION("""COMPUTED_VALUE"""),0.04744)</f>
        <v>0.04744</v>
      </c>
      <c r="K5650" s="19" t="str">
        <f>IFERROR(__xludf.DUMMYFUNCTION("""COMPUTED_VALUE"""),"-")</f>
        <v>-</v>
      </c>
      <c r="L5650" s="19" t="str">
        <f>IFERROR(__xludf.DUMMYFUNCTION("""COMPUTED_VALUE"""),"-")</f>
        <v>-</v>
      </c>
      <c r="O5650" s="24">
        <f t="shared" si="4"/>
        <v>0</v>
      </c>
      <c r="P5650" s="24"/>
      <c r="Q5650" s="24">
        <f t="shared" si="6"/>
        <v>0</v>
      </c>
      <c r="R5650" s="24">
        <f t="shared" si="7"/>
        <v>0</v>
      </c>
      <c r="S5650" s="24"/>
      <c r="T5650" s="24"/>
    </row>
    <row r="5651">
      <c r="A5651" s="12" t="s">
        <v>5738</v>
      </c>
      <c r="F5651" s="19">
        <f>IFERROR(__xludf.DUMMYFUNCTION("SPLIT(A5647, "" |"")"),5645.0)</f>
        <v>5645</v>
      </c>
      <c r="G5651" s="19">
        <f>IFERROR(__xludf.DUMMYFUNCTION("""COMPUTED_VALUE"""),0.00229)</f>
        <v>0.00229</v>
      </c>
      <c r="H5651" s="19" t="str">
        <f>IFERROR(__xludf.DUMMYFUNCTION("""COMPUTED_VALUE"""),"-")</f>
        <v>-</v>
      </c>
      <c r="I5651" s="19">
        <f>IFERROR(__xludf.DUMMYFUNCTION("""COMPUTED_VALUE"""),0.00209)</f>
        <v>0.00209</v>
      </c>
      <c r="J5651" s="19">
        <f>IFERROR(__xludf.DUMMYFUNCTION("""COMPUTED_VALUE"""),0.04734)</f>
        <v>0.04734</v>
      </c>
      <c r="K5651" s="19" t="str">
        <f>IFERROR(__xludf.DUMMYFUNCTION("""COMPUTED_VALUE"""),"-")</f>
        <v>-</v>
      </c>
      <c r="L5651" s="19" t="str">
        <f>IFERROR(__xludf.DUMMYFUNCTION("""COMPUTED_VALUE"""),"-")</f>
        <v>-</v>
      </c>
      <c r="O5651" s="24">
        <f t="shared" si="4"/>
        <v>0</v>
      </c>
      <c r="P5651" s="24"/>
      <c r="Q5651" s="24">
        <f t="shared" si="6"/>
        <v>0</v>
      </c>
      <c r="R5651" s="24">
        <f t="shared" si="7"/>
        <v>0</v>
      </c>
      <c r="S5651" s="24"/>
      <c r="T5651" s="24"/>
    </row>
    <row r="5652">
      <c r="A5652" s="12" t="s">
        <v>5739</v>
      </c>
      <c r="F5652" s="19">
        <f>IFERROR(__xludf.DUMMYFUNCTION("SPLIT(A5648, "" |"")"),5646.0)</f>
        <v>5646</v>
      </c>
      <c r="G5652" s="19">
        <f>IFERROR(__xludf.DUMMYFUNCTION("""COMPUTED_VALUE"""),0.00235)</f>
        <v>0.00235</v>
      </c>
      <c r="H5652" s="19" t="str">
        <f>IFERROR(__xludf.DUMMYFUNCTION("""COMPUTED_VALUE"""),"-")</f>
        <v>-</v>
      </c>
      <c r="I5652" s="19">
        <f>IFERROR(__xludf.DUMMYFUNCTION("""COMPUTED_VALUE"""),0.00229)</f>
        <v>0.00229</v>
      </c>
      <c r="J5652" s="19">
        <f>IFERROR(__xludf.DUMMYFUNCTION("""COMPUTED_VALUE"""),0.0404)</f>
        <v>0.0404</v>
      </c>
      <c r="K5652" s="19" t="str">
        <f>IFERROR(__xludf.DUMMYFUNCTION("""COMPUTED_VALUE"""),"-")</f>
        <v>-</v>
      </c>
      <c r="L5652" s="19" t="str">
        <f>IFERROR(__xludf.DUMMYFUNCTION("""COMPUTED_VALUE"""),"-")</f>
        <v>-</v>
      </c>
      <c r="O5652" s="24">
        <f t="shared" si="4"/>
        <v>0</v>
      </c>
      <c r="P5652" s="24"/>
      <c r="Q5652" s="24">
        <f t="shared" si="6"/>
        <v>0</v>
      </c>
      <c r="R5652" s="24">
        <f t="shared" si="7"/>
        <v>1</v>
      </c>
      <c r="S5652" s="24"/>
      <c r="T5652" s="24"/>
    </row>
    <row r="5653">
      <c r="A5653" s="12" t="s">
        <v>5740</v>
      </c>
      <c r="F5653" s="19">
        <f>IFERROR(__xludf.DUMMYFUNCTION("SPLIT(A5649, "" |"")"),5647.0)</f>
        <v>5647</v>
      </c>
      <c r="G5653" s="19">
        <f>IFERROR(__xludf.DUMMYFUNCTION("""COMPUTED_VALUE"""),0.0024)</f>
        <v>0.0024</v>
      </c>
      <c r="H5653" s="19" t="str">
        <f>IFERROR(__xludf.DUMMYFUNCTION("""COMPUTED_VALUE"""),"-")</f>
        <v>-</v>
      </c>
      <c r="I5653" s="19">
        <f>IFERROR(__xludf.DUMMYFUNCTION("""COMPUTED_VALUE"""),0.00223)</f>
        <v>0.00223</v>
      </c>
      <c r="J5653" s="19">
        <f>IFERROR(__xludf.DUMMYFUNCTION("""COMPUTED_VALUE"""),0.04704)</f>
        <v>0.04704</v>
      </c>
      <c r="K5653" s="19" t="str">
        <f>IFERROR(__xludf.DUMMYFUNCTION("""COMPUTED_VALUE"""),"-")</f>
        <v>-</v>
      </c>
      <c r="L5653" s="19" t="str">
        <f>IFERROR(__xludf.DUMMYFUNCTION("""COMPUTED_VALUE"""),"-")</f>
        <v>-</v>
      </c>
      <c r="O5653" s="24">
        <f t="shared" si="4"/>
        <v>0</v>
      </c>
      <c r="P5653" s="24"/>
      <c r="Q5653" s="24">
        <f t="shared" si="6"/>
        <v>0</v>
      </c>
      <c r="R5653" s="24">
        <f t="shared" si="7"/>
        <v>0</v>
      </c>
      <c r="S5653" s="24"/>
      <c r="T5653" s="24"/>
    </row>
    <row r="5654">
      <c r="A5654" s="12" t="s">
        <v>5741</v>
      </c>
      <c r="F5654" s="19">
        <f>IFERROR(__xludf.DUMMYFUNCTION("SPLIT(A5650, "" |"")"),5648.0)</f>
        <v>5648</v>
      </c>
      <c r="G5654" s="19">
        <f>IFERROR(__xludf.DUMMYFUNCTION("""COMPUTED_VALUE"""),0.00231)</f>
        <v>0.00231</v>
      </c>
      <c r="H5654" s="19" t="str">
        <f>IFERROR(__xludf.DUMMYFUNCTION("""COMPUTED_VALUE"""),"-")</f>
        <v>-</v>
      </c>
      <c r="I5654" s="19">
        <f>IFERROR(__xludf.DUMMYFUNCTION("""COMPUTED_VALUE"""),0.00215)</f>
        <v>0.00215</v>
      </c>
      <c r="J5654" s="19">
        <f>IFERROR(__xludf.DUMMYFUNCTION("""COMPUTED_VALUE"""),0.04742)</f>
        <v>0.04742</v>
      </c>
      <c r="K5654" s="19" t="str">
        <f>IFERROR(__xludf.DUMMYFUNCTION("""COMPUTED_VALUE"""),"-")</f>
        <v>-</v>
      </c>
      <c r="L5654" s="19" t="str">
        <f>IFERROR(__xludf.DUMMYFUNCTION("""COMPUTED_VALUE"""),"-")</f>
        <v>-</v>
      </c>
      <c r="O5654" s="24">
        <f t="shared" si="4"/>
        <v>0</v>
      </c>
      <c r="P5654" s="24"/>
      <c r="Q5654" s="24">
        <f t="shared" si="6"/>
        <v>0</v>
      </c>
      <c r="R5654" s="24">
        <f t="shared" si="7"/>
        <v>0</v>
      </c>
      <c r="S5654" s="24"/>
      <c r="T5654" s="24"/>
    </row>
    <row r="5655">
      <c r="A5655" s="12" t="s">
        <v>5742</v>
      </c>
      <c r="F5655" s="19">
        <f>IFERROR(__xludf.DUMMYFUNCTION("SPLIT(A5651, "" |"")"),5649.0)</f>
        <v>5649</v>
      </c>
      <c r="G5655" s="19">
        <f>IFERROR(__xludf.DUMMYFUNCTION("""COMPUTED_VALUE"""),0.00234)</f>
        <v>0.00234</v>
      </c>
      <c r="H5655" s="19" t="str">
        <f>IFERROR(__xludf.DUMMYFUNCTION("""COMPUTED_VALUE"""),"-")</f>
        <v>-</v>
      </c>
      <c r="I5655" s="19">
        <f>IFERROR(__xludf.DUMMYFUNCTION("""COMPUTED_VALUE"""),0.00228)</f>
        <v>0.00228</v>
      </c>
      <c r="J5655" s="19">
        <f>IFERROR(__xludf.DUMMYFUNCTION("""COMPUTED_VALUE"""),0.04739)</f>
        <v>0.04739</v>
      </c>
      <c r="K5655" s="19" t="str">
        <f>IFERROR(__xludf.DUMMYFUNCTION("""COMPUTED_VALUE"""),"-")</f>
        <v>-</v>
      </c>
      <c r="L5655" s="19" t="str">
        <f>IFERROR(__xludf.DUMMYFUNCTION("""COMPUTED_VALUE"""),"-")</f>
        <v>-</v>
      </c>
      <c r="O5655" s="24">
        <f t="shared" si="4"/>
        <v>0</v>
      </c>
      <c r="P5655" s="24"/>
      <c r="Q5655" s="24">
        <f t="shared" si="6"/>
        <v>0</v>
      </c>
      <c r="R5655" s="24">
        <f t="shared" si="7"/>
        <v>0</v>
      </c>
      <c r="S5655" s="24"/>
      <c r="T5655" s="24"/>
    </row>
    <row r="5656">
      <c r="A5656" s="12" t="s">
        <v>5743</v>
      </c>
      <c r="F5656" s="19">
        <f>IFERROR(__xludf.DUMMYFUNCTION("SPLIT(A5652, "" |"")"),5650.0)</f>
        <v>5650</v>
      </c>
      <c r="G5656" s="19">
        <f>IFERROR(__xludf.DUMMYFUNCTION("""COMPUTED_VALUE"""),0.00227)</f>
        <v>0.00227</v>
      </c>
      <c r="H5656" s="19" t="str">
        <f>IFERROR(__xludf.DUMMYFUNCTION("""COMPUTED_VALUE"""),"-")</f>
        <v>-</v>
      </c>
      <c r="I5656" s="19">
        <f>IFERROR(__xludf.DUMMYFUNCTION("""COMPUTED_VALUE"""),0.00218)</f>
        <v>0.00218</v>
      </c>
      <c r="J5656" s="19">
        <f>IFERROR(__xludf.DUMMYFUNCTION("""COMPUTED_VALUE"""),0.04745)</f>
        <v>0.04745</v>
      </c>
      <c r="K5656" s="19" t="str">
        <f>IFERROR(__xludf.DUMMYFUNCTION("""COMPUTED_VALUE"""),"-")</f>
        <v>-</v>
      </c>
      <c r="L5656" s="19" t="str">
        <f>IFERROR(__xludf.DUMMYFUNCTION("""COMPUTED_VALUE"""),"-")</f>
        <v>-</v>
      </c>
      <c r="O5656" s="24">
        <f t="shared" si="4"/>
        <v>0</v>
      </c>
      <c r="P5656" s="24"/>
      <c r="Q5656" s="24">
        <f t="shared" si="6"/>
        <v>0</v>
      </c>
      <c r="R5656" s="24">
        <f t="shared" si="7"/>
        <v>0</v>
      </c>
      <c r="S5656" s="24"/>
      <c r="T5656" s="24"/>
    </row>
    <row r="5657">
      <c r="A5657" s="12" t="s">
        <v>5744</v>
      </c>
      <c r="F5657" s="19">
        <f>IFERROR(__xludf.DUMMYFUNCTION("SPLIT(A5653, "" |"")"),5651.0)</f>
        <v>5651</v>
      </c>
      <c r="G5657" s="19">
        <f>IFERROR(__xludf.DUMMYFUNCTION("""COMPUTED_VALUE"""),0.00239)</f>
        <v>0.00239</v>
      </c>
      <c r="H5657" s="19" t="str">
        <f>IFERROR(__xludf.DUMMYFUNCTION("""COMPUTED_VALUE"""),"-")</f>
        <v>-</v>
      </c>
      <c r="I5657" s="19">
        <f>IFERROR(__xludf.DUMMYFUNCTION("""COMPUTED_VALUE"""),0.00221)</f>
        <v>0.00221</v>
      </c>
      <c r="J5657" s="19">
        <f>IFERROR(__xludf.DUMMYFUNCTION("""COMPUTED_VALUE"""),0.04745)</f>
        <v>0.04745</v>
      </c>
      <c r="K5657" s="19" t="str">
        <f>IFERROR(__xludf.DUMMYFUNCTION("""COMPUTED_VALUE"""),"-")</f>
        <v>-</v>
      </c>
      <c r="L5657" s="19" t="str">
        <f>IFERROR(__xludf.DUMMYFUNCTION("""COMPUTED_VALUE"""),"-")</f>
        <v>-</v>
      </c>
      <c r="O5657" s="24">
        <f t="shared" si="4"/>
        <v>0</v>
      </c>
      <c r="P5657" s="24"/>
      <c r="Q5657" s="24">
        <f t="shared" si="6"/>
        <v>0</v>
      </c>
      <c r="R5657" s="24">
        <f t="shared" si="7"/>
        <v>0</v>
      </c>
      <c r="S5657" s="24"/>
      <c r="T5657" s="24"/>
    </row>
    <row r="5658">
      <c r="A5658" s="12" t="s">
        <v>5745</v>
      </c>
      <c r="F5658" s="19">
        <f>IFERROR(__xludf.DUMMYFUNCTION("SPLIT(A5654, "" |"")"),5652.0)</f>
        <v>5652</v>
      </c>
      <c r="G5658" s="19">
        <f>IFERROR(__xludf.DUMMYFUNCTION("""COMPUTED_VALUE"""),0.00234)</f>
        <v>0.00234</v>
      </c>
      <c r="H5658" s="19" t="str">
        <f>IFERROR(__xludf.DUMMYFUNCTION("""COMPUTED_VALUE"""),"-")</f>
        <v>-</v>
      </c>
      <c r="I5658" s="19">
        <f>IFERROR(__xludf.DUMMYFUNCTION("""COMPUTED_VALUE"""),0.00224)</f>
        <v>0.00224</v>
      </c>
      <c r="J5658" s="19">
        <f>IFERROR(__xludf.DUMMYFUNCTION("""COMPUTED_VALUE"""),0.04739)</f>
        <v>0.04739</v>
      </c>
      <c r="K5658" s="19" t="str">
        <f>IFERROR(__xludf.DUMMYFUNCTION("""COMPUTED_VALUE"""),"-")</f>
        <v>-</v>
      </c>
      <c r="L5658" s="19" t="str">
        <f>IFERROR(__xludf.DUMMYFUNCTION("""COMPUTED_VALUE"""),"-")</f>
        <v>-</v>
      </c>
      <c r="O5658" s="24">
        <f t="shared" si="4"/>
        <v>0</v>
      </c>
      <c r="P5658" s="24"/>
      <c r="Q5658" s="24">
        <f t="shared" si="6"/>
        <v>0</v>
      </c>
      <c r="R5658" s="24">
        <f t="shared" si="7"/>
        <v>0</v>
      </c>
      <c r="S5658" s="24"/>
      <c r="T5658" s="24"/>
    </row>
    <row r="5659">
      <c r="A5659" s="12" t="s">
        <v>5746</v>
      </c>
      <c r="F5659" s="19">
        <f>IFERROR(__xludf.DUMMYFUNCTION("SPLIT(A5655, "" |"")"),5653.0)</f>
        <v>5653</v>
      </c>
      <c r="G5659" s="19">
        <f>IFERROR(__xludf.DUMMYFUNCTION("""COMPUTED_VALUE"""),0.00233)</f>
        <v>0.00233</v>
      </c>
      <c r="H5659" s="19" t="str">
        <f>IFERROR(__xludf.DUMMYFUNCTION("""COMPUTED_VALUE"""),"-")</f>
        <v>-</v>
      </c>
      <c r="I5659" s="19">
        <f>IFERROR(__xludf.DUMMYFUNCTION("""COMPUTED_VALUE"""),0.00222)</f>
        <v>0.00222</v>
      </c>
      <c r="J5659" s="19">
        <f>IFERROR(__xludf.DUMMYFUNCTION("""COMPUTED_VALUE"""),0.04748)</f>
        <v>0.04748</v>
      </c>
      <c r="K5659" s="19" t="str">
        <f>IFERROR(__xludf.DUMMYFUNCTION("""COMPUTED_VALUE"""),"-")</f>
        <v>-</v>
      </c>
      <c r="L5659" s="19" t="str">
        <f>IFERROR(__xludf.DUMMYFUNCTION("""COMPUTED_VALUE"""),"-")</f>
        <v>-</v>
      </c>
      <c r="O5659" s="24">
        <f t="shared" si="4"/>
        <v>0</v>
      </c>
      <c r="P5659" s="24"/>
      <c r="Q5659" s="24">
        <f t="shared" si="6"/>
        <v>0</v>
      </c>
      <c r="R5659" s="24">
        <f t="shared" si="7"/>
        <v>0</v>
      </c>
      <c r="S5659" s="24"/>
      <c r="T5659" s="24"/>
    </row>
    <row r="5660">
      <c r="A5660" s="12" t="s">
        <v>5747</v>
      </c>
      <c r="F5660" s="19">
        <f>IFERROR(__xludf.DUMMYFUNCTION("SPLIT(A5656, "" |"")"),5654.0)</f>
        <v>5654</v>
      </c>
      <c r="G5660" s="19">
        <f>IFERROR(__xludf.DUMMYFUNCTION("""COMPUTED_VALUE"""),0.00234)</f>
        <v>0.00234</v>
      </c>
      <c r="H5660" s="19" t="str">
        <f>IFERROR(__xludf.DUMMYFUNCTION("""COMPUTED_VALUE"""),"-")</f>
        <v>-</v>
      </c>
      <c r="I5660" s="19">
        <f>IFERROR(__xludf.DUMMYFUNCTION("""COMPUTED_VALUE"""),0.00223)</f>
        <v>0.00223</v>
      </c>
      <c r="J5660" s="19">
        <f>IFERROR(__xludf.DUMMYFUNCTION("""COMPUTED_VALUE"""),0.04608)</f>
        <v>0.04608</v>
      </c>
      <c r="K5660" s="19" t="str">
        <f>IFERROR(__xludf.DUMMYFUNCTION("""COMPUTED_VALUE"""),"-")</f>
        <v>-</v>
      </c>
      <c r="L5660" s="19" t="str">
        <f>IFERROR(__xludf.DUMMYFUNCTION("""COMPUTED_VALUE"""),"-")</f>
        <v>-</v>
      </c>
      <c r="O5660" s="24">
        <f t="shared" si="4"/>
        <v>0</v>
      </c>
      <c r="P5660" s="24"/>
      <c r="Q5660" s="24">
        <f t="shared" si="6"/>
        <v>0</v>
      </c>
      <c r="R5660" s="24">
        <f t="shared" si="7"/>
        <v>0</v>
      </c>
      <c r="S5660" s="24"/>
      <c r="T5660" s="24"/>
    </row>
    <row r="5661">
      <c r="A5661" s="12" t="s">
        <v>5748</v>
      </c>
      <c r="F5661" s="19">
        <f>IFERROR(__xludf.DUMMYFUNCTION("SPLIT(A5657, "" |"")"),5655.0)</f>
        <v>5655</v>
      </c>
      <c r="G5661" s="19">
        <f>IFERROR(__xludf.DUMMYFUNCTION("""COMPUTED_VALUE"""),0.00236)</f>
        <v>0.00236</v>
      </c>
      <c r="H5661" s="19" t="str">
        <f>IFERROR(__xludf.DUMMYFUNCTION("""COMPUTED_VALUE"""),"-")</f>
        <v>-</v>
      </c>
      <c r="I5661" s="19">
        <f>IFERROR(__xludf.DUMMYFUNCTION("""COMPUTED_VALUE"""),0.00222)</f>
        <v>0.00222</v>
      </c>
      <c r="J5661" s="19">
        <f>IFERROR(__xludf.DUMMYFUNCTION("""COMPUTED_VALUE"""),0.04643)</f>
        <v>0.04643</v>
      </c>
      <c r="K5661" s="19" t="str">
        <f>IFERROR(__xludf.DUMMYFUNCTION("""COMPUTED_VALUE"""),"-")</f>
        <v>-</v>
      </c>
      <c r="L5661" s="19" t="str">
        <f>IFERROR(__xludf.DUMMYFUNCTION("""COMPUTED_VALUE"""),"-")</f>
        <v>-</v>
      </c>
      <c r="O5661" s="24">
        <f t="shared" si="4"/>
        <v>0</v>
      </c>
      <c r="P5661" s="24"/>
      <c r="Q5661" s="24">
        <f t="shared" si="6"/>
        <v>0</v>
      </c>
      <c r="R5661" s="24">
        <f t="shared" si="7"/>
        <v>0</v>
      </c>
      <c r="S5661" s="24"/>
      <c r="T5661" s="24"/>
    </row>
    <row r="5662">
      <c r="A5662" s="12" t="s">
        <v>5749</v>
      </c>
      <c r="F5662" s="19">
        <f>IFERROR(__xludf.DUMMYFUNCTION("SPLIT(A5658, "" |"")"),5656.0)</f>
        <v>5656</v>
      </c>
      <c r="G5662" s="19">
        <f>IFERROR(__xludf.DUMMYFUNCTION("""COMPUTED_VALUE"""),0.00241)</f>
        <v>0.00241</v>
      </c>
      <c r="H5662" s="19" t="str">
        <f>IFERROR(__xludf.DUMMYFUNCTION("""COMPUTED_VALUE"""),"-")</f>
        <v>-</v>
      </c>
      <c r="I5662" s="19">
        <f>IFERROR(__xludf.DUMMYFUNCTION("""COMPUTED_VALUE"""),0.0022)</f>
        <v>0.0022</v>
      </c>
      <c r="J5662" s="19">
        <f>IFERROR(__xludf.DUMMYFUNCTION("""COMPUTED_VALUE"""),0.04744)</f>
        <v>0.04744</v>
      </c>
      <c r="K5662" s="19" t="str">
        <f>IFERROR(__xludf.DUMMYFUNCTION("""COMPUTED_VALUE"""),"-")</f>
        <v>-</v>
      </c>
      <c r="L5662" s="19" t="str">
        <f>IFERROR(__xludf.DUMMYFUNCTION("""COMPUTED_VALUE"""),"-")</f>
        <v>-</v>
      </c>
      <c r="O5662" s="24">
        <f t="shared" si="4"/>
        <v>0</v>
      </c>
      <c r="P5662" s="24"/>
      <c r="Q5662" s="24">
        <f t="shared" si="6"/>
        <v>0</v>
      </c>
      <c r="R5662" s="24">
        <f t="shared" si="7"/>
        <v>0</v>
      </c>
      <c r="S5662" s="24"/>
      <c r="T5662" s="24"/>
    </row>
    <row r="5663">
      <c r="A5663" s="12" t="s">
        <v>5750</v>
      </c>
      <c r="F5663" s="19">
        <f>IFERROR(__xludf.DUMMYFUNCTION("SPLIT(A5659, "" |"")"),5657.0)</f>
        <v>5657</v>
      </c>
      <c r="G5663" s="19">
        <f>IFERROR(__xludf.DUMMYFUNCTION("""COMPUTED_VALUE"""),0.00236)</f>
        <v>0.00236</v>
      </c>
      <c r="H5663" s="19" t="str">
        <f>IFERROR(__xludf.DUMMYFUNCTION("""COMPUTED_VALUE"""),"-")</f>
        <v>-</v>
      </c>
      <c r="I5663" s="19">
        <f>IFERROR(__xludf.DUMMYFUNCTION("""COMPUTED_VALUE"""),0.00225)</f>
        <v>0.00225</v>
      </c>
      <c r="J5663" s="19">
        <f>IFERROR(__xludf.DUMMYFUNCTION("""COMPUTED_VALUE"""),0.04201)</f>
        <v>0.04201</v>
      </c>
      <c r="K5663" s="19" t="str">
        <f>IFERROR(__xludf.DUMMYFUNCTION("""COMPUTED_VALUE"""),"-")</f>
        <v>-</v>
      </c>
      <c r="L5663" s="19" t="str">
        <f>IFERROR(__xludf.DUMMYFUNCTION("""COMPUTED_VALUE"""),"-")</f>
        <v>-</v>
      </c>
      <c r="O5663" s="24">
        <f t="shared" si="4"/>
        <v>0</v>
      </c>
      <c r="P5663" s="24"/>
      <c r="Q5663" s="24">
        <f t="shared" si="6"/>
        <v>0</v>
      </c>
      <c r="R5663" s="24">
        <f t="shared" si="7"/>
        <v>1</v>
      </c>
      <c r="S5663" s="24"/>
      <c r="T5663" s="24"/>
    </row>
    <row r="5664">
      <c r="A5664" s="12" t="s">
        <v>5751</v>
      </c>
      <c r="F5664" s="19">
        <f>IFERROR(__xludf.DUMMYFUNCTION("SPLIT(A5660, "" |"")"),5658.0)</f>
        <v>5658</v>
      </c>
      <c r="G5664" s="19">
        <f>IFERROR(__xludf.DUMMYFUNCTION("""COMPUTED_VALUE"""),0.00231)</f>
        <v>0.00231</v>
      </c>
      <c r="H5664" s="19" t="str">
        <f>IFERROR(__xludf.DUMMYFUNCTION("""COMPUTED_VALUE"""),"-")</f>
        <v>-</v>
      </c>
      <c r="I5664" s="19">
        <f>IFERROR(__xludf.DUMMYFUNCTION("""COMPUTED_VALUE"""),0.00218)</f>
        <v>0.00218</v>
      </c>
      <c r="J5664" s="19">
        <f>IFERROR(__xludf.DUMMYFUNCTION("""COMPUTED_VALUE"""),0.04742)</f>
        <v>0.04742</v>
      </c>
      <c r="K5664" s="19" t="str">
        <f>IFERROR(__xludf.DUMMYFUNCTION("""COMPUTED_VALUE"""),"-")</f>
        <v>-</v>
      </c>
      <c r="L5664" s="19" t="str">
        <f>IFERROR(__xludf.DUMMYFUNCTION("""COMPUTED_VALUE"""),"-")</f>
        <v>-</v>
      </c>
      <c r="O5664" s="24">
        <f t="shared" si="4"/>
        <v>0</v>
      </c>
      <c r="P5664" s="24"/>
      <c r="Q5664" s="24">
        <f t="shared" si="6"/>
        <v>0</v>
      </c>
      <c r="R5664" s="24">
        <f t="shared" si="7"/>
        <v>0</v>
      </c>
      <c r="S5664" s="24"/>
      <c r="T5664" s="24"/>
    </row>
    <row r="5665">
      <c r="A5665" s="12" t="s">
        <v>5752</v>
      </c>
      <c r="F5665" s="19">
        <f>IFERROR(__xludf.DUMMYFUNCTION("SPLIT(A5661, "" |"")"),5659.0)</f>
        <v>5659</v>
      </c>
      <c r="G5665" s="19">
        <f>IFERROR(__xludf.DUMMYFUNCTION("""COMPUTED_VALUE"""),0.00239)</f>
        <v>0.00239</v>
      </c>
      <c r="H5665" s="19" t="str">
        <f>IFERROR(__xludf.DUMMYFUNCTION("""COMPUTED_VALUE"""),"-")</f>
        <v>-</v>
      </c>
      <c r="I5665" s="19">
        <f>IFERROR(__xludf.DUMMYFUNCTION("""COMPUTED_VALUE"""),0.00223)</f>
        <v>0.00223</v>
      </c>
      <c r="J5665" s="19">
        <f>IFERROR(__xludf.DUMMYFUNCTION("""COMPUTED_VALUE"""),0.04658)</f>
        <v>0.04658</v>
      </c>
      <c r="K5665" s="19" t="str">
        <f>IFERROR(__xludf.DUMMYFUNCTION("""COMPUTED_VALUE"""),"-")</f>
        <v>-</v>
      </c>
      <c r="L5665" s="19" t="str">
        <f>IFERROR(__xludf.DUMMYFUNCTION("""COMPUTED_VALUE"""),"-")</f>
        <v>-</v>
      </c>
      <c r="O5665" s="24">
        <f t="shared" si="4"/>
        <v>0</v>
      </c>
      <c r="P5665" s="24"/>
      <c r="Q5665" s="24">
        <f t="shared" si="6"/>
        <v>0</v>
      </c>
      <c r="R5665" s="24">
        <f t="shared" si="7"/>
        <v>0</v>
      </c>
      <c r="S5665" s="24"/>
      <c r="T5665" s="24"/>
    </row>
    <row r="5666">
      <c r="A5666" s="12" t="s">
        <v>5753</v>
      </c>
      <c r="F5666" s="19">
        <f>IFERROR(__xludf.DUMMYFUNCTION("SPLIT(A5662, "" |"")"),5660.0)</f>
        <v>5660</v>
      </c>
      <c r="G5666" s="19">
        <f>IFERROR(__xludf.DUMMYFUNCTION("""COMPUTED_VALUE"""),0.00246)</f>
        <v>0.00246</v>
      </c>
      <c r="H5666" s="19" t="str">
        <f>IFERROR(__xludf.DUMMYFUNCTION("""COMPUTED_VALUE"""),"-")</f>
        <v>-</v>
      </c>
      <c r="I5666" s="19">
        <f>IFERROR(__xludf.DUMMYFUNCTION("""COMPUTED_VALUE"""),0.00227)</f>
        <v>0.00227</v>
      </c>
      <c r="J5666" s="19">
        <f>IFERROR(__xludf.DUMMYFUNCTION("""COMPUTED_VALUE"""),0.04752)</f>
        <v>0.04752</v>
      </c>
      <c r="K5666" s="19" t="str">
        <f>IFERROR(__xludf.DUMMYFUNCTION("""COMPUTED_VALUE"""),"-")</f>
        <v>-</v>
      </c>
      <c r="L5666" s="19" t="str">
        <f>IFERROR(__xludf.DUMMYFUNCTION("""COMPUTED_VALUE"""),"-")</f>
        <v>-</v>
      </c>
      <c r="O5666" s="24">
        <f t="shared" si="4"/>
        <v>0</v>
      </c>
      <c r="P5666" s="24"/>
      <c r="Q5666" s="24">
        <f t="shared" si="6"/>
        <v>0</v>
      </c>
      <c r="R5666" s="24">
        <f t="shared" si="7"/>
        <v>0</v>
      </c>
      <c r="S5666" s="24"/>
      <c r="T5666" s="24"/>
    </row>
    <row r="5667">
      <c r="A5667" s="12" t="s">
        <v>5754</v>
      </c>
      <c r="F5667" s="19">
        <f>IFERROR(__xludf.DUMMYFUNCTION("SPLIT(A5663, "" |"")"),5661.0)</f>
        <v>5661</v>
      </c>
      <c r="G5667" s="19">
        <f>IFERROR(__xludf.DUMMYFUNCTION("""COMPUTED_VALUE"""),0.00239)</f>
        <v>0.00239</v>
      </c>
      <c r="H5667" s="19" t="str">
        <f>IFERROR(__xludf.DUMMYFUNCTION("""COMPUTED_VALUE"""),"-")</f>
        <v>-</v>
      </c>
      <c r="I5667" s="19">
        <f>IFERROR(__xludf.DUMMYFUNCTION("""COMPUTED_VALUE"""),0.00226)</f>
        <v>0.00226</v>
      </c>
      <c r="J5667" s="19">
        <f>IFERROR(__xludf.DUMMYFUNCTION("""COMPUTED_VALUE"""),0.04751)</f>
        <v>0.04751</v>
      </c>
      <c r="K5667" s="19" t="str">
        <f>IFERROR(__xludf.DUMMYFUNCTION("""COMPUTED_VALUE"""),"-")</f>
        <v>-</v>
      </c>
      <c r="L5667" s="19" t="str">
        <f>IFERROR(__xludf.DUMMYFUNCTION("""COMPUTED_VALUE"""),"-")</f>
        <v>-</v>
      </c>
      <c r="O5667" s="24">
        <f t="shared" si="4"/>
        <v>0</v>
      </c>
      <c r="P5667" s="24"/>
      <c r="Q5667" s="24">
        <f t="shared" si="6"/>
        <v>0</v>
      </c>
      <c r="R5667" s="24">
        <f t="shared" si="7"/>
        <v>0</v>
      </c>
      <c r="S5667" s="24"/>
      <c r="T5667" s="24"/>
    </row>
    <row r="5668">
      <c r="A5668" s="12" t="s">
        <v>5755</v>
      </c>
      <c r="F5668" s="19">
        <f>IFERROR(__xludf.DUMMYFUNCTION("SPLIT(A5664, "" |"")"),5662.0)</f>
        <v>5662</v>
      </c>
      <c r="G5668" s="19">
        <f>IFERROR(__xludf.DUMMYFUNCTION("""COMPUTED_VALUE"""),0.00237)</f>
        <v>0.00237</v>
      </c>
      <c r="H5668" s="19" t="str">
        <f>IFERROR(__xludf.DUMMYFUNCTION("""COMPUTED_VALUE"""),"-")</f>
        <v>-</v>
      </c>
      <c r="I5668" s="19">
        <f>IFERROR(__xludf.DUMMYFUNCTION("""COMPUTED_VALUE"""),0.00222)</f>
        <v>0.00222</v>
      </c>
      <c r="J5668" s="19">
        <f>IFERROR(__xludf.DUMMYFUNCTION("""COMPUTED_VALUE"""),0.04744)</f>
        <v>0.04744</v>
      </c>
      <c r="K5668" s="19" t="str">
        <f>IFERROR(__xludf.DUMMYFUNCTION("""COMPUTED_VALUE"""),"-")</f>
        <v>-</v>
      </c>
      <c r="L5668" s="19" t="str">
        <f>IFERROR(__xludf.DUMMYFUNCTION("""COMPUTED_VALUE"""),"-")</f>
        <v>-</v>
      </c>
      <c r="O5668" s="24">
        <f t="shared" si="4"/>
        <v>0</v>
      </c>
      <c r="P5668" s="24"/>
      <c r="Q5668" s="24">
        <f t="shared" si="6"/>
        <v>0</v>
      </c>
      <c r="R5668" s="24">
        <f t="shared" si="7"/>
        <v>0</v>
      </c>
      <c r="S5668" s="24"/>
      <c r="T5668" s="24"/>
    </row>
    <row r="5669">
      <c r="A5669" s="12" t="s">
        <v>5756</v>
      </c>
      <c r="F5669" s="19">
        <f>IFERROR(__xludf.DUMMYFUNCTION("SPLIT(A5665, "" |"")"),5663.0)</f>
        <v>5663</v>
      </c>
      <c r="G5669" s="19">
        <f>IFERROR(__xludf.DUMMYFUNCTION("""COMPUTED_VALUE"""),0.00234)</f>
        <v>0.00234</v>
      </c>
      <c r="H5669" s="19" t="str">
        <f>IFERROR(__xludf.DUMMYFUNCTION("""COMPUTED_VALUE"""),"-")</f>
        <v>-</v>
      </c>
      <c r="I5669" s="19">
        <f>IFERROR(__xludf.DUMMYFUNCTION("""COMPUTED_VALUE"""),0.00222)</f>
        <v>0.00222</v>
      </c>
      <c r="J5669" s="19">
        <f>IFERROR(__xludf.DUMMYFUNCTION("""COMPUTED_VALUE"""),0.04749)</f>
        <v>0.04749</v>
      </c>
      <c r="K5669" s="19" t="str">
        <f>IFERROR(__xludf.DUMMYFUNCTION("""COMPUTED_VALUE"""),"-")</f>
        <v>-</v>
      </c>
      <c r="L5669" s="19" t="str">
        <f>IFERROR(__xludf.DUMMYFUNCTION("""COMPUTED_VALUE"""),"-")</f>
        <v>-</v>
      </c>
      <c r="O5669" s="24">
        <f t="shared" si="4"/>
        <v>0</v>
      </c>
      <c r="P5669" s="24"/>
      <c r="Q5669" s="24">
        <f t="shared" si="6"/>
        <v>0</v>
      </c>
      <c r="R5669" s="24">
        <f t="shared" si="7"/>
        <v>0</v>
      </c>
      <c r="S5669" s="24"/>
      <c r="T5669" s="24"/>
    </row>
    <row r="5670">
      <c r="A5670" s="12" t="s">
        <v>5757</v>
      </c>
      <c r="F5670" s="19">
        <f>IFERROR(__xludf.DUMMYFUNCTION("SPLIT(A5666, "" |"")"),5664.0)</f>
        <v>5664</v>
      </c>
      <c r="G5670" s="19">
        <f>IFERROR(__xludf.DUMMYFUNCTION("""COMPUTED_VALUE"""),0.00234)</f>
        <v>0.00234</v>
      </c>
      <c r="H5670" s="19" t="str">
        <f>IFERROR(__xludf.DUMMYFUNCTION("""COMPUTED_VALUE"""),"-")</f>
        <v>-</v>
      </c>
      <c r="I5670" s="19">
        <f>IFERROR(__xludf.DUMMYFUNCTION("""COMPUTED_VALUE"""),0.00218)</f>
        <v>0.00218</v>
      </c>
      <c r="J5670" s="19">
        <f>IFERROR(__xludf.DUMMYFUNCTION("""COMPUTED_VALUE"""),0.04746)</f>
        <v>0.04746</v>
      </c>
      <c r="K5670" s="19" t="str">
        <f>IFERROR(__xludf.DUMMYFUNCTION("""COMPUTED_VALUE"""),"-")</f>
        <v>-</v>
      </c>
      <c r="L5670" s="19" t="str">
        <f>IFERROR(__xludf.DUMMYFUNCTION("""COMPUTED_VALUE"""),"-")</f>
        <v>-</v>
      </c>
      <c r="O5670" s="24">
        <f t="shared" si="4"/>
        <v>0</v>
      </c>
      <c r="P5670" s="24"/>
      <c r="Q5670" s="24">
        <f t="shared" si="6"/>
        <v>0</v>
      </c>
      <c r="R5670" s="24">
        <f t="shared" si="7"/>
        <v>0</v>
      </c>
      <c r="S5670" s="24"/>
      <c r="T5670" s="24"/>
    </row>
    <row r="5671">
      <c r="A5671" s="12" t="s">
        <v>5758</v>
      </c>
      <c r="F5671" s="19">
        <f>IFERROR(__xludf.DUMMYFUNCTION("SPLIT(A5667, "" |"")"),5665.0)</f>
        <v>5665</v>
      </c>
      <c r="G5671" s="19">
        <f>IFERROR(__xludf.DUMMYFUNCTION("""COMPUTED_VALUE"""),0.00234)</f>
        <v>0.00234</v>
      </c>
      <c r="H5671" s="19" t="str">
        <f>IFERROR(__xludf.DUMMYFUNCTION("""COMPUTED_VALUE"""),"-")</f>
        <v>-</v>
      </c>
      <c r="I5671" s="19">
        <f>IFERROR(__xludf.DUMMYFUNCTION("""COMPUTED_VALUE"""),0.00222)</f>
        <v>0.00222</v>
      </c>
      <c r="J5671" s="19">
        <f>IFERROR(__xludf.DUMMYFUNCTION("""COMPUTED_VALUE"""),0.04746)</f>
        <v>0.04746</v>
      </c>
      <c r="K5671" s="19" t="str">
        <f>IFERROR(__xludf.DUMMYFUNCTION("""COMPUTED_VALUE"""),"-")</f>
        <v>-</v>
      </c>
      <c r="L5671" s="19" t="str">
        <f>IFERROR(__xludf.DUMMYFUNCTION("""COMPUTED_VALUE"""),"-")</f>
        <v>-</v>
      </c>
      <c r="O5671" s="24">
        <f t="shared" si="4"/>
        <v>0</v>
      </c>
      <c r="P5671" s="24"/>
      <c r="Q5671" s="24">
        <f t="shared" si="6"/>
        <v>0</v>
      </c>
      <c r="R5671" s="24">
        <f t="shared" si="7"/>
        <v>0</v>
      </c>
      <c r="S5671" s="24"/>
      <c r="T5671" s="24"/>
    </row>
    <row r="5672">
      <c r="A5672" s="12" t="s">
        <v>5759</v>
      </c>
      <c r="F5672" s="19">
        <f>IFERROR(__xludf.DUMMYFUNCTION("SPLIT(A5668, "" |"")"),5666.0)</f>
        <v>5666</v>
      </c>
      <c r="G5672" s="19">
        <f>IFERROR(__xludf.DUMMYFUNCTION("""COMPUTED_VALUE"""),0.00233)</f>
        <v>0.00233</v>
      </c>
      <c r="H5672" s="19" t="str">
        <f>IFERROR(__xludf.DUMMYFUNCTION("""COMPUTED_VALUE"""),"-")</f>
        <v>-</v>
      </c>
      <c r="I5672" s="19">
        <f>IFERROR(__xludf.DUMMYFUNCTION("""COMPUTED_VALUE"""),0.00222)</f>
        <v>0.00222</v>
      </c>
      <c r="J5672" s="19">
        <f>IFERROR(__xludf.DUMMYFUNCTION("""COMPUTED_VALUE"""),0.04739)</f>
        <v>0.04739</v>
      </c>
      <c r="K5672" s="19" t="str">
        <f>IFERROR(__xludf.DUMMYFUNCTION("""COMPUTED_VALUE"""),"-")</f>
        <v>-</v>
      </c>
      <c r="L5672" s="19" t="str">
        <f>IFERROR(__xludf.DUMMYFUNCTION("""COMPUTED_VALUE"""),"-")</f>
        <v>-</v>
      </c>
      <c r="O5672" s="24">
        <f t="shared" si="4"/>
        <v>0</v>
      </c>
      <c r="P5672" s="24"/>
      <c r="Q5672" s="24">
        <f t="shared" si="6"/>
        <v>0</v>
      </c>
      <c r="R5672" s="24">
        <f t="shared" si="7"/>
        <v>0</v>
      </c>
      <c r="S5672" s="24"/>
      <c r="T5672" s="24"/>
    </row>
    <row r="5673">
      <c r="A5673" s="12" t="s">
        <v>5760</v>
      </c>
      <c r="F5673" s="19">
        <f>IFERROR(__xludf.DUMMYFUNCTION("SPLIT(A5669, "" |"")"),5667.0)</f>
        <v>5667</v>
      </c>
      <c r="G5673" s="19">
        <f>IFERROR(__xludf.DUMMYFUNCTION("""COMPUTED_VALUE"""),0.00238)</f>
        <v>0.00238</v>
      </c>
      <c r="H5673" s="19" t="str">
        <f>IFERROR(__xludf.DUMMYFUNCTION("""COMPUTED_VALUE"""),"-")</f>
        <v>-</v>
      </c>
      <c r="I5673" s="19">
        <f>IFERROR(__xludf.DUMMYFUNCTION("""COMPUTED_VALUE"""),0.00224)</f>
        <v>0.00224</v>
      </c>
      <c r="J5673" s="19">
        <f>IFERROR(__xludf.DUMMYFUNCTION("""COMPUTED_VALUE"""),0.04745)</f>
        <v>0.04745</v>
      </c>
      <c r="K5673" s="19" t="str">
        <f>IFERROR(__xludf.DUMMYFUNCTION("""COMPUTED_VALUE"""),"-")</f>
        <v>-</v>
      </c>
      <c r="L5673" s="19" t="str">
        <f>IFERROR(__xludf.DUMMYFUNCTION("""COMPUTED_VALUE"""),"-")</f>
        <v>-</v>
      </c>
      <c r="O5673" s="24">
        <f t="shared" si="4"/>
        <v>0</v>
      </c>
      <c r="P5673" s="24"/>
      <c r="Q5673" s="24">
        <f t="shared" si="6"/>
        <v>0</v>
      </c>
      <c r="R5673" s="24">
        <f t="shared" si="7"/>
        <v>0</v>
      </c>
      <c r="S5673" s="24"/>
      <c r="T5673" s="24"/>
    </row>
    <row r="5674">
      <c r="A5674" s="12" t="s">
        <v>5761</v>
      </c>
      <c r="F5674" s="19">
        <f>IFERROR(__xludf.DUMMYFUNCTION("SPLIT(A5670, "" |"")"),5668.0)</f>
        <v>5668</v>
      </c>
      <c r="G5674" s="19">
        <f>IFERROR(__xludf.DUMMYFUNCTION("""COMPUTED_VALUE"""),0.00235)</f>
        <v>0.00235</v>
      </c>
      <c r="H5674" s="19" t="str">
        <f>IFERROR(__xludf.DUMMYFUNCTION("""COMPUTED_VALUE"""),"-")</f>
        <v>-</v>
      </c>
      <c r="I5674" s="19">
        <f>IFERROR(__xludf.DUMMYFUNCTION("""COMPUTED_VALUE"""),0.00221)</f>
        <v>0.00221</v>
      </c>
      <c r="J5674" s="19">
        <f>IFERROR(__xludf.DUMMYFUNCTION("""COMPUTED_VALUE"""),0.04745)</f>
        <v>0.04745</v>
      </c>
      <c r="K5674" s="19" t="str">
        <f>IFERROR(__xludf.DUMMYFUNCTION("""COMPUTED_VALUE"""),"-")</f>
        <v>-</v>
      </c>
      <c r="L5674" s="19" t="str">
        <f>IFERROR(__xludf.DUMMYFUNCTION("""COMPUTED_VALUE"""),"-")</f>
        <v>-</v>
      </c>
      <c r="O5674" s="24">
        <f t="shared" si="4"/>
        <v>0</v>
      </c>
      <c r="P5674" s="24"/>
      <c r="Q5674" s="24">
        <f t="shared" si="6"/>
        <v>0</v>
      </c>
      <c r="R5674" s="24">
        <f t="shared" si="7"/>
        <v>0</v>
      </c>
      <c r="S5674" s="24"/>
      <c r="T5674" s="24"/>
    </row>
    <row r="5675">
      <c r="A5675" s="12" t="s">
        <v>5762</v>
      </c>
      <c r="F5675" s="19">
        <f>IFERROR(__xludf.DUMMYFUNCTION("SPLIT(A5671, "" |"")"),5669.0)</f>
        <v>5669</v>
      </c>
      <c r="G5675" s="19">
        <f>IFERROR(__xludf.DUMMYFUNCTION("""COMPUTED_VALUE"""),0.00232)</f>
        <v>0.00232</v>
      </c>
      <c r="H5675" s="19" t="str">
        <f>IFERROR(__xludf.DUMMYFUNCTION("""COMPUTED_VALUE"""),"-")</f>
        <v>-</v>
      </c>
      <c r="I5675" s="19">
        <f>IFERROR(__xludf.DUMMYFUNCTION("""COMPUTED_VALUE"""),0.00222)</f>
        <v>0.00222</v>
      </c>
      <c r="J5675" s="19">
        <f>IFERROR(__xludf.DUMMYFUNCTION("""COMPUTED_VALUE"""),0.04741)</f>
        <v>0.04741</v>
      </c>
      <c r="K5675" s="19" t="str">
        <f>IFERROR(__xludf.DUMMYFUNCTION("""COMPUTED_VALUE"""),"-")</f>
        <v>-</v>
      </c>
      <c r="L5675" s="19" t="str">
        <f>IFERROR(__xludf.DUMMYFUNCTION("""COMPUTED_VALUE"""),"-")</f>
        <v>-</v>
      </c>
      <c r="O5675" s="24">
        <f t="shared" si="4"/>
        <v>0</v>
      </c>
      <c r="P5675" s="24"/>
      <c r="Q5675" s="24">
        <f t="shared" si="6"/>
        <v>0</v>
      </c>
      <c r="R5675" s="24">
        <f t="shared" si="7"/>
        <v>0</v>
      </c>
      <c r="S5675" s="24"/>
      <c r="T5675" s="24"/>
    </row>
    <row r="5676">
      <c r="A5676" s="12" t="s">
        <v>5763</v>
      </c>
      <c r="F5676" s="19">
        <f>IFERROR(__xludf.DUMMYFUNCTION("SPLIT(A5672, "" |"")"),5670.0)</f>
        <v>5670</v>
      </c>
      <c r="G5676" s="19">
        <f>IFERROR(__xludf.DUMMYFUNCTION("""COMPUTED_VALUE"""),0.00235)</f>
        <v>0.00235</v>
      </c>
      <c r="H5676" s="19" t="str">
        <f>IFERROR(__xludf.DUMMYFUNCTION("""COMPUTED_VALUE"""),"-")</f>
        <v>-</v>
      </c>
      <c r="I5676" s="19">
        <f>IFERROR(__xludf.DUMMYFUNCTION("""COMPUTED_VALUE"""),0.00222)</f>
        <v>0.00222</v>
      </c>
      <c r="J5676" s="19">
        <f>IFERROR(__xludf.DUMMYFUNCTION("""COMPUTED_VALUE"""),0.03953)</f>
        <v>0.03953</v>
      </c>
      <c r="K5676" s="19" t="str">
        <f>IFERROR(__xludf.DUMMYFUNCTION("""COMPUTED_VALUE"""),"-")</f>
        <v>-</v>
      </c>
      <c r="L5676" s="19" t="str">
        <f>IFERROR(__xludf.DUMMYFUNCTION("""COMPUTED_VALUE"""),"-")</f>
        <v>-</v>
      </c>
      <c r="O5676" s="24">
        <f t="shared" si="4"/>
        <v>0</v>
      </c>
      <c r="P5676" s="24"/>
      <c r="Q5676" s="24">
        <f t="shared" si="6"/>
        <v>0</v>
      </c>
      <c r="R5676" s="24">
        <f t="shared" si="7"/>
        <v>1</v>
      </c>
      <c r="S5676" s="24"/>
      <c r="T5676" s="24"/>
    </row>
    <row r="5677">
      <c r="A5677" s="12" t="s">
        <v>5764</v>
      </c>
      <c r="F5677" s="19">
        <f>IFERROR(__xludf.DUMMYFUNCTION("SPLIT(A5673, "" |"")"),5671.0)</f>
        <v>5671</v>
      </c>
      <c r="G5677" s="19">
        <f>IFERROR(__xludf.DUMMYFUNCTION("""COMPUTED_VALUE"""),0.0023)</f>
        <v>0.0023</v>
      </c>
      <c r="H5677" s="19" t="str">
        <f>IFERROR(__xludf.DUMMYFUNCTION("""COMPUTED_VALUE"""),"-")</f>
        <v>-</v>
      </c>
      <c r="I5677" s="19">
        <f>IFERROR(__xludf.DUMMYFUNCTION("""COMPUTED_VALUE"""),0.0022)</f>
        <v>0.0022</v>
      </c>
      <c r="J5677" s="19">
        <f>IFERROR(__xludf.DUMMYFUNCTION("""COMPUTED_VALUE"""),0.04743)</f>
        <v>0.04743</v>
      </c>
      <c r="K5677" s="19" t="str">
        <f>IFERROR(__xludf.DUMMYFUNCTION("""COMPUTED_VALUE"""),"-")</f>
        <v>-</v>
      </c>
      <c r="L5677" s="19" t="str">
        <f>IFERROR(__xludf.DUMMYFUNCTION("""COMPUTED_VALUE"""),"-")</f>
        <v>-</v>
      </c>
      <c r="O5677" s="24">
        <f t="shared" si="4"/>
        <v>0</v>
      </c>
      <c r="P5677" s="24"/>
      <c r="Q5677" s="24">
        <f t="shared" si="6"/>
        <v>0</v>
      </c>
      <c r="R5677" s="24">
        <f t="shared" si="7"/>
        <v>0</v>
      </c>
      <c r="S5677" s="24"/>
      <c r="T5677" s="24"/>
    </row>
    <row r="5678">
      <c r="A5678" s="12" t="s">
        <v>5765</v>
      </c>
      <c r="F5678" s="19">
        <f>IFERROR(__xludf.DUMMYFUNCTION("SPLIT(A5674, "" |"")"),5672.0)</f>
        <v>5672</v>
      </c>
      <c r="G5678" s="19">
        <f>IFERROR(__xludf.DUMMYFUNCTION("""COMPUTED_VALUE"""),0.00238)</f>
        <v>0.00238</v>
      </c>
      <c r="H5678" s="19" t="str">
        <f>IFERROR(__xludf.DUMMYFUNCTION("""COMPUTED_VALUE"""),"-")</f>
        <v>-</v>
      </c>
      <c r="I5678" s="19">
        <f>IFERROR(__xludf.DUMMYFUNCTION("""COMPUTED_VALUE"""),0.00223)</f>
        <v>0.00223</v>
      </c>
      <c r="J5678" s="19">
        <f>IFERROR(__xludf.DUMMYFUNCTION("""COMPUTED_VALUE"""),0.04738)</f>
        <v>0.04738</v>
      </c>
      <c r="K5678" s="19" t="str">
        <f>IFERROR(__xludf.DUMMYFUNCTION("""COMPUTED_VALUE"""),"-")</f>
        <v>-</v>
      </c>
      <c r="L5678" s="19" t="str">
        <f>IFERROR(__xludf.DUMMYFUNCTION("""COMPUTED_VALUE"""),"-")</f>
        <v>-</v>
      </c>
      <c r="O5678" s="24">
        <f t="shared" si="4"/>
        <v>0</v>
      </c>
      <c r="P5678" s="24"/>
      <c r="Q5678" s="24">
        <f t="shared" si="6"/>
        <v>0</v>
      </c>
      <c r="R5678" s="24">
        <f t="shared" si="7"/>
        <v>0</v>
      </c>
      <c r="S5678" s="24"/>
      <c r="T5678" s="24"/>
    </row>
    <row r="5679">
      <c r="A5679" s="12" t="s">
        <v>5766</v>
      </c>
      <c r="F5679" s="19">
        <f>IFERROR(__xludf.DUMMYFUNCTION("SPLIT(A5675, "" |"")"),5673.0)</f>
        <v>5673</v>
      </c>
      <c r="G5679" s="19">
        <f>IFERROR(__xludf.DUMMYFUNCTION("""COMPUTED_VALUE"""),0.00237)</f>
        <v>0.00237</v>
      </c>
      <c r="H5679" s="19" t="str">
        <f>IFERROR(__xludf.DUMMYFUNCTION("""COMPUTED_VALUE"""),"-")</f>
        <v>-</v>
      </c>
      <c r="I5679" s="19">
        <f>IFERROR(__xludf.DUMMYFUNCTION("""COMPUTED_VALUE"""),0.00224)</f>
        <v>0.00224</v>
      </c>
      <c r="J5679" s="19">
        <f>IFERROR(__xludf.DUMMYFUNCTION("""COMPUTED_VALUE"""),0.04738)</f>
        <v>0.04738</v>
      </c>
      <c r="K5679" s="19" t="str">
        <f>IFERROR(__xludf.DUMMYFUNCTION("""COMPUTED_VALUE"""),"-")</f>
        <v>-</v>
      </c>
      <c r="L5679" s="19" t="str">
        <f>IFERROR(__xludf.DUMMYFUNCTION("""COMPUTED_VALUE"""),"-")</f>
        <v>-</v>
      </c>
      <c r="O5679" s="24">
        <f t="shared" si="4"/>
        <v>0</v>
      </c>
      <c r="P5679" s="24"/>
      <c r="Q5679" s="24">
        <f t="shared" si="6"/>
        <v>0</v>
      </c>
      <c r="R5679" s="24">
        <f t="shared" si="7"/>
        <v>0</v>
      </c>
      <c r="S5679" s="24"/>
      <c r="T5679" s="24"/>
    </row>
    <row r="5680">
      <c r="A5680" s="12" t="s">
        <v>5767</v>
      </c>
      <c r="F5680" s="19">
        <f>IFERROR(__xludf.DUMMYFUNCTION("SPLIT(A5676, "" |"")"),5674.0)</f>
        <v>5674</v>
      </c>
      <c r="G5680" s="19">
        <f>IFERROR(__xludf.DUMMYFUNCTION("""COMPUTED_VALUE"""),0.00239)</f>
        <v>0.00239</v>
      </c>
      <c r="H5680" s="19" t="str">
        <f>IFERROR(__xludf.DUMMYFUNCTION("""COMPUTED_VALUE"""),"-")</f>
        <v>-</v>
      </c>
      <c r="I5680" s="19">
        <f>IFERROR(__xludf.DUMMYFUNCTION("""COMPUTED_VALUE"""),0.00223)</f>
        <v>0.00223</v>
      </c>
      <c r="J5680" s="19">
        <f>IFERROR(__xludf.DUMMYFUNCTION("""COMPUTED_VALUE"""),0.04749)</f>
        <v>0.04749</v>
      </c>
      <c r="K5680" s="19" t="str">
        <f>IFERROR(__xludf.DUMMYFUNCTION("""COMPUTED_VALUE"""),"-")</f>
        <v>-</v>
      </c>
      <c r="L5680" s="19" t="str">
        <f>IFERROR(__xludf.DUMMYFUNCTION("""COMPUTED_VALUE"""),"-")</f>
        <v>-</v>
      </c>
      <c r="O5680" s="24">
        <f t="shared" si="4"/>
        <v>0</v>
      </c>
      <c r="P5680" s="24"/>
      <c r="Q5680" s="24">
        <f t="shared" si="6"/>
        <v>0</v>
      </c>
      <c r="R5680" s="24">
        <f t="shared" si="7"/>
        <v>0</v>
      </c>
      <c r="S5680" s="24"/>
      <c r="T5680" s="24"/>
    </row>
    <row r="5681">
      <c r="A5681" s="12" t="s">
        <v>5768</v>
      </c>
      <c r="F5681" s="19">
        <f>IFERROR(__xludf.DUMMYFUNCTION("SPLIT(A5677, "" |"")"),5675.0)</f>
        <v>5675</v>
      </c>
      <c r="G5681" s="19">
        <f>IFERROR(__xludf.DUMMYFUNCTION("""COMPUTED_VALUE"""),0.00239)</f>
        <v>0.00239</v>
      </c>
      <c r="H5681" s="19" t="str">
        <f>IFERROR(__xludf.DUMMYFUNCTION("""COMPUTED_VALUE"""),"-")</f>
        <v>-</v>
      </c>
      <c r="I5681" s="19">
        <f>IFERROR(__xludf.DUMMYFUNCTION("""COMPUTED_VALUE"""),0.00221)</f>
        <v>0.00221</v>
      </c>
      <c r="J5681" s="19">
        <f>IFERROR(__xludf.DUMMYFUNCTION("""COMPUTED_VALUE"""),0.04532)</f>
        <v>0.04532</v>
      </c>
      <c r="K5681" s="19" t="str">
        <f>IFERROR(__xludf.DUMMYFUNCTION("""COMPUTED_VALUE"""),"-")</f>
        <v>-</v>
      </c>
      <c r="L5681" s="19" t="str">
        <f>IFERROR(__xludf.DUMMYFUNCTION("""COMPUTED_VALUE"""),"-")</f>
        <v>-</v>
      </c>
      <c r="O5681" s="24">
        <f t="shared" si="4"/>
        <v>0</v>
      </c>
      <c r="P5681" s="24"/>
      <c r="Q5681" s="24">
        <f t="shared" si="6"/>
        <v>0</v>
      </c>
      <c r="R5681" s="24">
        <f t="shared" si="7"/>
        <v>0</v>
      </c>
      <c r="S5681" s="24"/>
      <c r="T5681" s="24"/>
    </row>
    <row r="5682">
      <c r="A5682" s="12" t="s">
        <v>5769</v>
      </c>
      <c r="F5682" s="19">
        <f>IFERROR(__xludf.DUMMYFUNCTION("SPLIT(A5678, "" |"")"),5676.0)</f>
        <v>5676</v>
      </c>
      <c r="G5682" s="19">
        <f>IFERROR(__xludf.DUMMYFUNCTION("""COMPUTED_VALUE"""),0.00241)</f>
        <v>0.00241</v>
      </c>
      <c r="H5682" s="19" t="str">
        <f>IFERROR(__xludf.DUMMYFUNCTION("""COMPUTED_VALUE"""),"-")</f>
        <v>-</v>
      </c>
      <c r="I5682" s="19">
        <f>IFERROR(__xludf.DUMMYFUNCTION("""COMPUTED_VALUE"""),0.00221)</f>
        <v>0.00221</v>
      </c>
      <c r="J5682" s="19">
        <f>IFERROR(__xludf.DUMMYFUNCTION("""COMPUTED_VALUE"""),0.04739)</f>
        <v>0.04739</v>
      </c>
      <c r="K5682" s="19" t="str">
        <f>IFERROR(__xludf.DUMMYFUNCTION("""COMPUTED_VALUE"""),"-")</f>
        <v>-</v>
      </c>
      <c r="L5682" s="19" t="str">
        <f>IFERROR(__xludf.DUMMYFUNCTION("""COMPUTED_VALUE"""),"-")</f>
        <v>-</v>
      </c>
      <c r="O5682" s="24">
        <f t="shared" si="4"/>
        <v>0</v>
      </c>
      <c r="P5682" s="24"/>
      <c r="Q5682" s="24">
        <f t="shared" si="6"/>
        <v>0</v>
      </c>
      <c r="R5682" s="24">
        <f t="shared" si="7"/>
        <v>0</v>
      </c>
      <c r="S5682" s="24"/>
      <c r="T5682" s="24"/>
    </row>
    <row r="5683">
      <c r="A5683" s="12" t="s">
        <v>5770</v>
      </c>
      <c r="F5683" s="19">
        <f>IFERROR(__xludf.DUMMYFUNCTION("SPLIT(A5679, "" |"")"),5677.0)</f>
        <v>5677</v>
      </c>
      <c r="G5683" s="19">
        <f>IFERROR(__xludf.DUMMYFUNCTION("""COMPUTED_VALUE"""),0.00235)</f>
        <v>0.00235</v>
      </c>
      <c r="H5683" s="19" t="str">
        <f>IFERROR(__xludf.DUMMYFUNCTION("""COMPUTED_VALUE"""),"-")</f>
        <v>-</v>
      </c>
      <c r="I5683" s="19">
        <f>IFERROR(__xludf.DUMMYFUNCTION("""COMPUTED_VALUE"""),0.00223)</f>
        <v>0.00223</v>
      </c>
      <c r="J5683" s="19">
        <f>IFERROR(__xludf.DUMMYFUNCTION("""COMPUTED_VALUE"""),0.04737)</f>
        <v>0.04737</v>
      </c>
      <c r="K5683" s="19" t="str">
        <f>IFERROR(__xludf.DUMMYFUNCTION("""COMPUTED_VALUE"""),"-")</f>
        <v>-</v>
      </c>
      <c r="L5683" s="19" t="str">
        <f>IFERROR(__xludf.DUMMYFUNCTION("""COMPUTED_VALUE"""),"-")</f>
        <v>-</v>
      </c>
      <c r="O5683" s="24">
        <f t="shared" si="4"/>
        <v>0</v>
      </c>
      <c r="P5683" s="24"/>
      <c r="Q5683" s="24">
        <f t="shared" si="6"/>
        <v>0</v>
      </c>
      <c r="R5683" s="24">
        <f t="shared" si="7"/>
        <v>0</v>
      </c>
      <c r="S5683" s="24"/>
      <c r="T5683" s="24"/>
    </row>
    <row r="5684">
      <c r="A5684" s="12" t="s">
        <v>5771</v>
      </c>
      <c r="F5684" s="19">
        <f>IFERROR(__xludf.DUMMYFUNCTION("SPLIT(A5680, "" |"")"),5678.0)</f>
        <v>5678</v>
      </c>
      <c r="G5684" s="19">
        <f>IFERROR(__xludf.DUMMYFUNCTION("""COMPUTED_VALUE"""),0.00233)</f>
        <v>0.00233</v>
      </c>
      <c r="H5684" s="19" t="str">
        <f>IFERROR(__xludf.DUMMYFUNCTION("""COMPUTED_VALUE"""),"-")</f>
        <v>-</v>
      </c>
      <c r="I5684" s="19">
        <f>IFERROR(__xludf.DUMMYFUNCTION("""COMPUTED_VALUE"""),0.00223)</f>
        <v>0.00223</v>
      </c>
      <c r="J5684" s="19">
        <f>IFERROR(__xludf.DUMMYFUNCTION("""COMPUTED_VALUE"""),0.04743)</f>
        <v>0.04743</v>
      </c>
      <c r="K5684" s="19" t="str">
        <f>IFERROR(__xludf.DUMMYFUNCTION("""COMPUTED_VALUE"""),"-")</f>
        <v>-</v>
      </c>
      <c r="L5684" s="19" t="str">
        <f>IFERROR(__xludf.DUMMYFUNCTION("""COMPUTED_VALUE"""),"-")</f>
        <v>-</v>
      </c>
      <c r="O5684" s="24">
        <f t="shared" si="4"/>
        <v>0</v>
      </c>
      <c r="P5684" s="24"/>
      <c r="Q5684" s="24">
        <f t="shared" si="6"/>
        <v>0</v>
      </c>
      <c r="R5684" s="24">
        <f t="shared" si="7"/>
        <v>0</v>
      </c>
      <c r="S5684" s="24"/>
      <c r="T5684" s="24"/>
    </row>
    <row r="5685">
      <c r="A5685" s="12" t="s">
        <v>5772</v>
      </c>
      <c r="F5685" s="19">
        <f>IFERROR(__xludf.DUMMYFUNCTION("SPLIT(A5681, "" |"")"),5679.0)</f>
        <v>5679</v>
      </c>
      <c r="G5685" s="19">
        <f>IFERROR(__xludf.DUMMYFUNCTION("""COMPUTED_VALUE"""),0.00247)</f>
        <v>0.00247</v>
      </c>
      <c r="H5685" s="19" t="str">
        <f>IFERROR(__xludf.DUMMYFUNCTION("""COMPUTED_VALUE"""),"-")</f>
        <v>-</v>
      </c>
      <c r="I5685" s="19">
        <f>IFERROR(__xludf.DUMMYFUNCTION("""COMPUTED_VALUE"""),0.00214)</f>
        <v>0.00214</v>
      </c>
      <c r="J5685" s="19">
        <f>IFERROR(__xludf.DUMMYFUNCTION("""COMPUTED_VALUE"""),0.04751)</f>
        <v>0.04751</v>
      </c>
      <c r="K5685" s="19" t="str">
        <f>IFERROR(__xludf.DUMMYFUNCTION("""COMPUTED_VALUE"""),"-")</f>
        <v>-</v>
      </c>
      <c r="L5685" s="19" t="str">
        <f>IFERROR(__xludf.DUMMYFUNCTION("""COMPUTED_VALUE"""),"-")</f>
        <v>-</v>
      </c>
      <c r="O5685" s="24">
        <f t="shared" si="4"/>
        <v>0</v>
      </c>
      <c r="P5685" s="24"/>
      <c r="Q5685" s="24">
        <f t="shared" si="6"/>
        <v>0</v>
      </c>
      <c r="R5685" s="24">
        <f t="shared" si="7"/>
        <v>0</v>
      </c>
      <c r="S5685" s="24"/>
      <c r="T5685" s="24"/>
    </row>
    <row r="5686">
      <c r="A5686" s="12" t="s">
        <v>5773</v>
      </c>
      <c r="F5686" s="19">
        <f>IFERROR(__xludf.DUMMYFUNCTION("SPLIT(A5682, "" |"")"),5680.0)</f>
        <v>5680</v>
      </c>
      <c r="G5686" s="19">
        <f>IFERROR(__xludf.DUMMYFUNCTION("""COMPUTED_VALUE"""),0.00225)</f>
        <v>0.00225</v>
      </c>
      <c r="H5686" s="19" t="str">
        <f>IFERROR(__xludf.DUMMYFUNCTION("""COMPUTED_VALUE"""),"-")</f>
        <v>-</v>
      </c>
      <c r="I5686" s="19">
        <f>IFERROR(__xludf.DUMMYFUNCTION("""COMPUTED_VALUE"""),0.00208)</f>
        <v>0.00208</v>
      </c>
      <c r="J5686" s="19">
        <f>IFERROR(__xludf.DUMMYFUNCTION("""COMPUTED_VALUE"""),0.0473)</f>
        <v>0.0473</v>
      </c>
      <c r="K5686" s="19" t="str">
        <f>IFERROR(__xludf.DUMMYFUNCTION("""COMPUTED_VALUE"""),"-")</f>
        <v>-</v>
      </c>
      <c r="L5686" s="19" t="str">
        <f>IFERROR(__xludf.DUMMYFUNCTION("""COMPUTED_VALUE"""),"-")</f>
        <v>-</v>
      </c>
      <c r="O5686" s="24">
        <f t="shared" si="4"/>
        <v>0</v>
      </c>
      <c r="P5686" s="24"/>
      <c r="Q5686" s="24">
        <f t="shared" si="6"/>
        <v>0</v>
      </c>
      <c r="R5686" s="24">
        <f t="shared" si="7"/>
        <v>0</v>
      </c>
      <c r="S5686" s="24"/>
      <c r="T5686" s="24"/>
    </row>
    <row r="5687">
      <c r="A5687" s="12" t="s">
        <v>5774</v>
      </c>
      <c r="F5687" s="19">
        <f>IFERROR(__xludf.DUMMYFUNCTION("SPLIT(A5683, "" |"")"),5681.0)</f>
        <v>5681</v>
      </c>
      <c r="G5687" s="19">
        <f>IFERROR(__xludf.DUMMYFUNCTION("""COMPUTED_VALUE"""),0.00239)</f>
        <v>0.00239</v>
      </c>
      <c r="H5687" s="19" t="str">
        <f>IFERROR(__xludf.DUMMYFUNCTION("""COMPUTED_VALUE"""),"-")</f>
        <v>-</v>
      </c>
      <c r="I5687" s="19">
        <f>IFERROR(__xludf.DUMMYFUNCTION("""COMPUTED_VALUE"""),0.00224)</f>
        <v>0.00224</v>
      </c>
      <c r="J5687" s="19">
        <f>IFERROR(__xludf.DUMMYFUNCTION("""COMPUTED_VALUE"""),0.04744)</f>
        <v>0.04744</v>
      </c>
      <c r="K5687" s="19" t="str">
        <f>IFERROR(__xludf.DUMMYFUNCTION("""COMPUTED_VALUE"""),"-")</f>
        <v>-</v>
      </c>
      <c r="L5687" s="19" t="str">
        <f>IFERROR(__xludf.DUMMYFUNCTION("""COMPUTED_VALUE"""),"-")</f>
        <v>-</v>
      </c>
      <c r="O5687" s="24">
        <f t="shared" si="4"/>
        <v>0</v>
      </c>
      <c r="P5687" s="24"/>
      <c r="Q5687" s="24">
        <f t="shared" si="6"/>
        <v>0</v>
      </c>
      <c r="R5687" s="24">
        <f t="shared" si="7"/>
        <v>0</v>
      </c>
      <c r="S5687" s="24"/>
      <c r="T5687" s="24"/>
    </row>
    <row r="5688">
      <c r="A5688" s="12" t="s">
        <v>5775</v>
      </c>
      <c r="F5688" s="19">
        <f>IFERROR(__xludf.DUMMYFUNCTION("SPLIT(A5684, "" |"")"),5682.0)</f>
        <v>5682</v>
      </c>
      <c r="G5688" s="19">
        <f>IFERROR(__xludf.DUMMYFUNCTION("""COMPUTED_VALUE"""),0.00233)</f>
        <v>0.00233</v>
      </c>
      <c r="H5688" s="19" t="str">
        <f>IFERROR(__xludf.DUMMYFUNCTION("""COMPUTED_VALUE"""),"-")</f>
        <v>-</v>
      </c>
      <c r="I5688" s="19">
        <f>IFERROR(__xludf.DUMMYFUNCTION("""COMPUTED_VALUE"""),0.00224)</f>
        <v>0.00224</v>
      </c>
      <c r="J5688" s="19">
        <f>IFERROR(__xludf.DUMMYFUNCTION("""COMPUTED_VALUE"""),0.04676)</f>
        <v>0.04676</v>
      </c>
      <c r="K5688" s="19" t="str">
        <f>IFERROR(__xludf.DUMMYFUNCTION("""COMPUTED_VALUE"""),"-")</f>
        <v>-</v>
      </c>
      <c r="L5688" s="19" t="str">
        <f>IFERROR(__xludf.DUMMYFUNCTION("""COMPUTED_VALUE"""),"-")</f>
        <v>-</v>
      </c>
      <c r="O5688" s="24">
        <f t="shared" si="4"/>
        <v>0</v>
      </c>
      <c r="P5688" s="24"/>
      <c r="Q5688" s="24">
        <f t="shared" si="6"/>
        <v>0</v>
      </c>
      <c r="R5688" s="24">
        <f t="shared" si="7"/>
        <v>0</v>
      </c>
      <c r="S5688" s="24"/>
      <c r="T5688" s="24"/>
    </row>
    <row r="5689">
      <c r="A5689" s="12" t="s">
        <v>5776</v>
      </c>
      <c r="F5689" s="19">
        <f>IFERROR(__xludf.DUMMYFUNCTION("SPLIT(A5685, "" |"")"),5683.0)</f>
        <v>5683</v>
      </c>
      <c r="G5689" s="19">
        <f>IFERROR(__xludf.DUMMYFUNCTION("""COMPUTED_VALUE"""),0.00234)</f>
        <v>0.00234</v>
      </c>
      <c r="H5689" s="19" t="str">
        <f>IFERROR(__xludf.DUMMYFUNCTION("""COMPUTED_VALUE"""),"-")</f>
        <v>-</v>
      </c>
      <c r="I5689" s="19">
        <f>IFERROR(__xludf.DUMMYFUNCTION("""COMPUTED_VALUE"""),0.00224)</f>
        <v>0.00224</v>
      </c>
      <c r="J5689" s="19">
        <f>IFERROR(__xludf.DUMMYFUNCTION("""COMPUTED_VALUE"""),0.04743)</f>
        <v>0.04743</v>
      </c>
      <c r="K5689" s="19" t="str">
        <f>IFERROR(__xludf.DUMMYFUNCTION("""COMPUTED_VALUE"""),"-")</f>
        <v>-</v>
      </c>
      <c r="L5689" s="19" t="str">
        <f>IFERROR(__xludf.DUMMYFUNCTION("""COMPUTED_VALUE"""),"-")</f>
        <v>-</v>
      </c>
      <c r="O5689" s="24">
        <f t="shared" si="4"/>
        <v>0</v>
      </c>
      <c r="P5689" s="24"/>
      <c r="Q5689" s="24">
        <f t="shared" si="6"/>
        <v>0</v>
      </c>
      <c r="R5689" s="24">
        <f t="shared" si="7"/>
        <v>0</v>
      </c>
      <c r="S5689" s="24"/>
      <c r="T5689" s="24"/>
    </row>
    <row r="5690">
      <c r="A5690" s="12" t="s">
        <v>5777</v>
      </c>
      <c r="F5690" s="19">
        <f>IFERROR(__xludf.DUMMYFUNCTION("SPLIT(A5686, "" |"")"),5684.0)</f>
        <v>5684</v>
      </c>
      <c r="G5690" s="19">
        <f>IFERROR(__xludf.DUMMYFUNCTION("""COMPUTED_VALUE"""),0.00236)</f>
        <v>0.00236</v>
      </c>
      <c r="H5690" s="19" t="str">
        <f>IFERROR(__xludf.DUMMYFUNCTION("""COMPUTED_VALUE"""),"-")</f>
        <v>-</v>
      </c>
      <c r="I5690" s="19">
        <f>IFERROR(__xludf.DUMMYFUNCTION("""COMPUTED_VALUE"""),0.00223)</f>
        <v>0.00223</v>
      </c>
      <c r="J5690" s="19">
        <f>IFERROR(__xludf.DUMMYFUNCTION("""COMPUTED_VALUE"""),0.04745)</f>
        <v>0.04745</v>
      </c>
      <c r="K5690" s="19" t="str">
        <f>IFERROR(__xludf.DUMMYFUNCTION("""COMPUTED_VALUE"""),"-")</f>
        <v>-</v>
      </c>
      <c r="L5690" s="19" t="str">
        <f>IFERROR(__xludf.DUMMYFUNCTION("""COMPUTED_VALUE"""),"-")</f>
        <v>-</v>
      </c>
      <c r="O5690" s="24">
        <f t="shared" si="4"/>
        <v>0</v>
      </c>
      <c r="P5690" s="24"/>
      <c r="Q5690" s="24">
        <f t="shared" si="6"/>
        <v>0</v>
      </c>
      <c r="R5690" s="24">
        <f t="shared" si="7"/>
        <v>0</v>
      </c>
      <c r="S5690" s="24"/>
      <c r="T5690" s="24"/>
    </row>
    <row r="5691">
      <c r="A5691" s="12" t="s">
        <v>5778</v>
      </c>
      <c r="F5691" s="19">
        <f>IFERROR(__xludf.DUMMYFUNCTION("SPLIT(A5687, "" |"")"),5685.0)</f>
        <v>5685</v>
      </c>
      <c r="G5691" s="19">
        <f>IFERROR(__xludf.DUMMYFUNCTION("""COMPUTED_VALUE"""),0.00235)</f>
        <v>0.00235</v>
      </c>
      <c r="H5691" s="19" t="str">
        <f>IFERROR(__xludf.DUMMYFUNCTION("""COMPUTED_VALUE"""),"-")</f>
        <v>-</v>
      </c>
      <c r="I5691" s="19">
        <f>IFERROR(__xludf.DUMMYFUNCTION("""COMPUTED_VALUE"""),0.00222)</f>
        <v>0.00222</v>
      </c>
      <c r="J5691" s="19">
        <f>IFERROR(__xludf.DUMMYFUNCTION("""COMPUTED_VALUE"""),0.04742)</f>
        <v>0.04742</v>
      </c>
      <c r="K5691" s="19" t="str">
        <f>IFERROR(__xludf.DUMMYFUNCTION("""COMPUTED_VALUE"""),"-")</f>
        <v>-</v>
      </c>
      <c r="L5691" s="19" t="str">
        <f>IFERROR(__xludf.DUMMYFUNCTION("""COMPUTED_VALUE"""),"-")</f>
        <v>-</v>
      </c>
      <c r="O5691" s="24">
        <f t="shared" si="4"/>
        <v>0</v>
      </c>
      <c r="P5691" s="24"/>
      <c r="Q5691" s="24">
        <f t="shared" si="6"/>
        <v>0</v>
      </c>
      <c r="R5691" s="24">
        <f t="shared" si="7"/>
        <v>0</v>
      </c>
      <c r="S5691" s="24"/>
      <c r="T5691" s="24"/>
    </row>
    <row r="5692">
      <c r="A5692" s="12" t="s">
        <v>5779</v>
      </c>
      <c r="F5692" s="19">
        <f>IFERROR(__xludf.DUMMYFUNCTION("SPLIT(A5688, "" |"")"),5686.0)</f>
        <v>5686</v>
      </c>
      <c r="G5692" s="19">
        <f>IFERROR(__xludf.DUMMYFUNCTION("""COMPUTED_VALUE"""),0.00234)</f>
        <v>0.00234</v>
      </c>
      <c r="H5692" s="19" t="str">
        <f>IFERROR(__xludf.DUMMYFUNCTION("""COMPUTED_VALUE"""),"-")</f>
        <v>-</v>
      </c>
      <c r="I5692" s="19">
        <f>IFERROR(__xludf.DUMMYFUNCTION("""COMPUTED_VALUE"""),0.00224)</f>
        <v>0.00224</v>
      </c>
      <c r="J5692" s="19">
        <f>IFERROR(__xludf.DUMMYFUNCTION("""COMPUTED_VALUE"""),0.04744)</f>
        <v>0.04744</v>
      </c>
      <c r="K5692" s="19" t="str">
        <f>IFERROR(__xludf.DUMMYFUNCTION("""COMPUTED_VALUE"""),"-")</f>
        <v>-</v>
      </c>
      <c r="L5692" s="19" t="str">
        <f>IFERROR(__xludf.DUMMYFUNCTION("""COMPUTED_VALUE"""),"-")</f>
        <v>-</v>
      </c>
      <c r="O5692" s="24">
        <f t="shared" si="4"/>
        <v>0</v>
      </c>
      <c r="P5692" s="24"/>
      <c r="Q5692" s="24">
        <f t="shared" si="6"/>
        <v>0</v>
      </c>
      <c r="R5692" s="24">
        <f t="shared" si="7"/>
        <v>0</v>
      </c>
      <c r="S5692" s="24"/>
      <c r="T5692" s="24"/>
    </row>
    <row r="5693">
      <c r="A5693" s="12" t="s">
        <v>5780</v>
      </c>
      <c r="F5693" s="19">
        <f>IFERROR(__xludf.DUMMYFUNCTION("SPLIT(A5689, "" |"")"),5687.0)</f>
        <v>5687</v>
      </c>
      <c r="G5693" s="19">
        <f>IFERROR(__xludf.DUMMYFUNCTION("""COMPUTED_VALUE"""),0.00231)</f>
        <v>0.00231</v>
      </c>
      <c r="H5693" s="19" t="str">
        <f>IFERROR(__xludf.DUMMYFUNCTION("""COMPUTED_VALUE"""),"-")</f>
        <v>-</v>
      </c>
      <c r="I5693" s="19">
        <f>IFERROR(__xludf.DUMMYFUNCTION("""COMPUTED_VALUE"""),0.00222)</f>
        <v>0.00222</v>
      </c>
      <c r="J5693" s="19">
        <f>IFERROR(__xludf.DUMMYFUNCTION("""COMPUTED_VALUE"""),0.04741)</f>
        <v>0.04741</v>
      </c>
      <c r="K5693" s="19" t="str">
        <f>IFERROR(__xludf.DUMMYFUNCTION("""COMPUTED_VALUE"""),"-")</f>
        <v>-</v>
      </c>
      <c r="L5693" s="19" t="str">
        <f>IFERROR(__xludf.DUMMYFUNCTION("""COMPUTED_VALUE"""),"-")</f>
        <v>-</v>
      </c>
      <c r="O5693" s="24">
        <f t="shared" si="4"/>
        <v>0</v>
      </c>
      <c r="P5693" s="24"/>
      <c r="Q5693" s="24">
        <f t="shared" si="6"/>
        <v>0</v>
      </c>
      <c r="R5693" s="24">
        <f t="shared" si="7"/>
        <v>0</v>
      </c>
      <c r="S5693" s="24"/>
      <c r="T5693" s="24"/>
    </row>
    <row r="5694">
      <c r="A5694" s="12" t="s">
        <v>5781</v>
      </c>
      <c r="F5694" s="19">
        <f>IFERROR(__xludf.DUMMYFUNCTION("SPLIT(A5690, "" |"")"),5688.0)</f>
        <v>5688</v>
      </c>
      <c r="G5694" s="19">
        <f>IFERROR(__xludf.DUMMYFUNCTION("""COMPUTED_VALUE"""),0.0022)</f>
        <v>0.0022</v>
      </c>
      <c r="H5694" s="19" t="str">
        <f>IFERROR(__xludf.DUMMYFUNCTION("""COMPUTED_VALUE"""),"-")</f>
        <v>-</v>
      </c>
      <c r="I5694" s="19">
        <f>IFERROR(__xludf.DUMMYFUNCTION("""COMPUTED_VALUE"""),0.00211)</f>
        <v>0.00211</v>
      </c>
      <c r="J5694" s="19">
        <f>IFERROR(__xludf.DUMMYFUNCTION("""COMPUTED_VALUE"""),0.04736)</f>
        <v>0.04736</v>
      </c>
      <c r="K5694" s="19" t="str">
        <f>IFERROR(__xludf.DUMMYFUNCTION("""COMPUTED_VALUE"""),"-")</f>
        <v>-</v>
      </c>
      <c r="L5694" s="19" t="str">
        <f>IFERROR(__xludf.DUMMYFUNCTION("""COMPUTED_VALUE"""),"-")</f>
        <v>-</v>
      </c>
      <c r="O5694" s="24">
        <f t="shared" si="4"/>
        <v>0</v>
      </c>
      <c r="P5694" s="24"/>
      <c r="Q5694" s="24">
        <f t="shared" si="6"/>
        <v>0</v>
      </c>
      <c r="R5694" s="24">
        <f t="shared" si="7"/>
        <v>0</v>
      </c>
      <c r="S5694" s="24"/>
      <c r="T5694" s="24"/>
    </row>
    <row r="5695">
      <c r="A5695" s="12" t="s">
        <v>5782</v>
      </c>
      <c r="F5695" s="19">
        <f>IFERROR(__xludf.DUMMYFUNCTION("SPLIT(A5691, "" |"")"),5689.0)</f>
        <v>5689</v>
      </c>
      <c r="G5695" s="19">
        <f>IFERROR(__xludf.DUMMYFUNCTION("""COMPUTED_VALUE"""),0.00244)</f>
        <v>0.00244</v>
      </c>
      <c r="H5695" s="19" t="str">
        <f>IFERROR(__xludf.DUMMYFUNCTION("""COMPUTED_VALUE"""),"-")</f>
        <v>-</v>
      </c>
      <c r="I5695" s="19">
        <f>IFERROR(__xludf.DUMMYFUNCTION("""COMPUTED_VALUE"""),0.00225)</f>
        <v>0.00225</v>
      </c>
      <c r="J5695" s="19">
        <f>IFERROR(__xludf.DUMMYFUNCTION("""COMPUTED_VALUE"""),0.04731)</f>
        <v>0.04731</v>
      </c>
      <c r="K5695" s="19" t="str">
        <f>IFERROR(__xludf.DUMMYFUNCTION("""COMPUTED_VALUE"""),"-")</f>
        <v>-</v>
      </c>
      <c r="L5695" s="19" t="str">
        <f>IFERROR(__xludf.DUMMYFUNCTION("""COMPUTED_VALUE"""),"-")</f>
        <v>-</v>
      </c>
      <c r="O5695" s="24">
        <f t="shared" si="4"/>
        <v>0</v>
      </c>
      <c r="P5695" s="24"/>
      <c r="Q5695" s="24">
        <f t="shared" si="6"/>
        <v>0</v>
      </c>
      <c r="R5695" s="24">
        <f t="shared" si="7"/>
        <v>0</v>
      </c>
      <c r="S5695" s="24"/>
      <c r="T5695" s="24"/>
    </row>
    <row r="5696">
      <c r="A5696" s="12" t="s">
        <v>5783</v>
      </c>
      <c r="F5696" s="19">
        <f>IFERROR(__xludf.DUMMYFUNCTION("SPLIT(A5692, "" |"")"),5690.0)</f>
        <v>5690</v>
      </c>
      <c r="G5696" s="19">
        <f>IFERROR(__xludf.DUMMYFUNCTION("""COMPUTED_VALUE"""),0.00232)</f>
        <v>0.00232</v>
      </c>
      <c r="H5696" s="19" t="str">
        <f>IFERROR(__xludf.DUMMYFUNCTION("""COMPUTED_VALUE"""),"-")</f>
        <v>-</v>
      </c>
      <c r="I5696" s="19">
        <f>IFERROR(__xludf.DUMMYFUNCTION("""COMPUTED_VALUE"""),0.00222)</f>
        <v>0.00222</v>
      </c>
      <c r="J5696" s="19">
        <f>IFERROR(__xludf.DUMMYFUNCTION("""COMPUTED_VALUE"""),0.04741)</f>
        <v>0.04741</v>
      </c>
      <c r="K5696" s="19" t="str">
        <f>IFERROR(__xludf.DUMMYFUNCTION("""COMPUTED_VALUE"""),"-")</f>
        <v>-</v>
      </c>
      <c r="L5696" s="19" t="str">
        <f>IFERROR(__xludf.DUMMYFUNCTION("""COMPUTED_VALUE"""),"-")</f>
        <v>-</v>
      </c>
      <c r="O5696" s="24">
        <f t="shared" si="4"/>
        <v>0</v>
      </c>
      <c r="P5696" s="24"/>
      <c r="Q5696" s="24">
        <f t="shared" si="6"/>
        <v>0</v>
      </c>
      <c r="R5696" s="24">
        <f t="shared" si="7"/>
        <v>0</v>
      </c>
      <c r="S5696" s="24"/>
      <c r="T5696" s="24"/>
    </row>
    <row r="5697">
      <c r="A5697" s="12" t="s">
        <v>5784</v>
      </c>
      <c r="F5697" s="19">
        <f>IFERROR(__xludf.DUMMYFUNCTION("SPLIT(A5693, "" |"")"),5691.0)</f>
        <v>5691</v>
      </c>
      <c r="G5697" s="19">
        <f>IFERROR(__xludf.DUMMYFUNCTION("""COMPUTED_VALUE"""),0.00241)</f>
        <v>0.00241</v>
      </c>
      <c r="H5697" s="19" t="str">
        <f>IFERROR(__xludf.DUMMYFUNCTION("""COMPUTED_VALUE"""),"-")</f>
        <v>-</v>
      </c>
      <c r="I5697" s="19">
        <f>IFERROR(__xludf.DUMMYFUNCTION("""COMPUTED_VALUE"""),0.00213)</f>
        <v>0.00213</v>
      </c>
      <c r="J5697" s="19">
        <f>IFERROR(__xludf.DUMMYFUNCTION("""COMPUTED_VALUE"""),0.04729)</f>
        <v>0.04729</v>
      </c>
      <c r="K5697" s="19" t="str">
        <f>IFERROR(__xludf.DUMMYFUNCTION("""COMPUTED_VALUE"""),"-")</f>
        <v>-</v>
      </c>
      <c r="L5697" s="19" t="str">
        <f>IFERROR(__xludf.DUMMYFUNCTION("""COMPUTED_VALUE"""),"-")</f>
        <v>-</v>
      </c>
      <c r="O5697" s="24">
        <f t="shared" si="4"/>
        <v>0</v>
      </c>
      <c r="P5697" s="24"/>
      <c r="Q5697" s="24">
        <f t="shared" si="6"/>
        <v>0</v>
      </c>
      <c r="R5697" s="24">
        <f t="shared" si="7"/>
        <v>0</v>
      </c>
      <c r="S5697" s="24"/>
      <c r="T5697" s="24"/>
    </row>
    <row r="5698">
      <c r="A5698" s="12" t="s">
        <v>5785</v>
      </c>
      <c r="F5698" s="19">
        <f>IFERROR(__xludf.DUMMYFUNCTION("SPLIT(A5694, "" |"")"),5692.0)</f>
        <v>5692</v>
      </c>
      <c r="G5698" s="19">
        <f>IFERROR(__xludf.DUMMYFUNCTION("""COMPUTED_VALUE"""),0.0024)</f>
        <v>0.0024</v>
      </c>
      <c r="H5698" s="19" t="str">
        <f>IFERROR(__xludf.DUMMYFUNCTION("""COMPUTED_VALUE"""),"-")</f>
        <v>-</v>
      </c>
      <c r="I5698" s="19">
        <f>IFERROR(__xludf.DUMMYFUNCTION("""COMPUTED_VALUE"""),0.00218)</f>
        <v>0.00218</v>
      </c>
      <c r="J5698" s="19">
        <f>IFERROR(__xludf.DUMMYFUNCTION("""COMPUTED_VALUE"""),0.04747)</f>
        <v>0.04747</v>
      </c>
      <c r="K5698" s="19" t="str">
        <f>IFERROR(__xludf.DUMMYFUNCTION("""COMPUTED_VALUE"""),"-")</f>
        <v>-</v>
      </c>
      <c r="L5698" s="19" t="str">
        <f>IFERROR(__xludf.DUMMYFUNCTION("""COMPUTED_VALUE"""),"-")</f>
        <v>-</v>
      </c>
      <c r="O5698" s="24">
        <f t="shared" si="4"/>
        <v>0</v>
      </c>
      <c r="P5698" s="24"/>
      <c r="Q5698" s="24">
        <f t="shared" si="6"/>
        <v>0</v>
      </c>
      <c r="R5698" s="24">
        <f t="shared" si="7"/>
        <v>0</v>
      </c>
      <c r="S5698" s="24"/>
      <c r="T5698" s="24"/>
    </row>
    <row r="5699">
      <c r="A5699" s="12" t="s">
        <v>5786</v>
      </c>
      <c r="F5699" s="19">
        <f>IFERROR(__xludf.DUMMYFUNCTION("SPLIT(A5695, "" |"")"),5693.0)</f>
        <v>5693</v>
      </c>
      <c r="G5699" s="19">
        <f>IFERROR(__xludf.DUMMYFUNCTION("""COMPUTED_VALUE"""),0.00237)</f>
        <v>0.00237</v>
      </c>
      <c r="H5699" s="19" t="str">
        <f>IFERROR(__xludf.DUMMYFUNCTION("""COMPUTED_VALUE"""),"-")</f>
        <v>-</v>
      </c>
      <c r="I5699" s="19">
        <f>IFERROR(__xludf.DUMMYFUNCTION("""COMPUTED_VALUE"""),0.00222)</f>
        <v>0.00222</v>
      </c>
      <c r="J5699" s="19">
        <f>IFERROR(__xludf.DUMMYFUNCTION("""COMPUTED_VALUE"""),0.04743)</f>
        <v>0.04743</v>
      </c>
      <c r="K5699" s="19" t="str">
        <f>IFERROR(__xludf.DUMMYFUNCTION("""COMPUTED_VALUE"""),"-")</f>
        <v>-</v>
      </c>
      <c r="L5699" s="19" t="str">
        <f>IFERROR(__xludf.DUMMYFUNCTION("""COMPUTED_VALUE"""),"-")</f>
        <v>-</v>
      </c>
      <c r="O5699" s="24">
        <f t="shared" si="4"/>
        <v>0</v>
      </c>
      <c r="P5699" s="24"/>
      <c r="Q5699" s="24">
        <f t="shared" si="6"/>
        <v>0</v>
      </c>
      <c r="R5699" s="24">
        <f t="shared" si="7"/>
        <v>0</v>
      </c>
      <c r="S5699" s="24"/>
      <c r="T5699" s="24"/>
    </row>
    <row r="5700">
      <c r="A5700" s="12" t="s">
        <v>5787</v>
      </c>
      <c r="F5700" s="19">
        <f>IFERROR(__xludf.DUMMYFUNCTION("SPLIT(A5696, "" |"")"),5694.0)</f>
        <v>5694</v>
      </c>
      <c r="G5700" s="19">
        <f>IFERROR(__xludf.DUMMYFUNCTION("""COMPUTED_VALUE"""),0.00233)</f>
        <v>0.00233</v>
      </c>
      <c r="H5700" s="19" t="str">
        <f>IFERROR(__xludf.DUMMYFUNCTION("""COMPUTED_VALUE"""),"-")</f>
        <v>-</v>
      </c>
      <c r="I5700" s="19">
        <f>IFERROR(__xludf.DUMMYFUNCTION("""COMPUTED_VALUE"""),0.00219)</f>
        <v>0.00219</v>
      </c>
      <c r="J5700" s="19">
        <f>IFERROR(__xludf.DUMMYFUNCTION("""COMPUTED_VALUE"""),0.04487)</f>
        <v>0.04487</v>
      </c>
      <c r="K5700" s="19" t="str">
        <f>IFERROR(__xludf.DUMMYFUNCTION("""COMPUTED_VALUE"""),"-")</f>
        <v>-</v>
      </c>
      <c r="L5700" s="19" t="str">
        <f>IFERROR(__xludf.DUMMYFUNCTION("""COMPUTED_VALUE"""),"-")</f>
        <v>-</v>
      </c>
      <c r="O5700" s="24">
        <f t="shared" si="4"/>
        <v>0</v>
      </c>
      <c r="P5700" s="24"/>
      <c r="Q5700" s="24">
        <f t="shared" si="6"/>
        <v>0</v>
      </c>
      <c r="R5700" s="24">
        <f t="shared" si="7"/>
        <v>1</v>
      </c>
      <c r="S5700" s="24"/>
      <c r="T5700" s="24"/>
    </row>
    <row r="5701">
      <c r="A5701" s="12" t="s">
        <v>5788</v>
      </c>
      <c r="F5701" s="19">
        <f>IFERROR(__xludf.DUMMYFUNCTION("SPLIT(A5697, "" |"")"),5695.0)</f>
        <v>5695</v>
      </c>
      <c r="G5701" s="19">
        <f>IFERROR(__xludf.DUMMYFUNCTION("""COMPUTED_VALUE"""),0.00235)</f>
        <v>0.00235</v>
      </c>
      <c r="H5701" s="19" t="str">
        <f>IFERROR(__xludf.DUMMYFUNCTION("""COMPUTED_VALUE"""),"-")</f>
        <v>-</v>
      </c>
      <c r="I5701" s="19">
        <f>IFERROR(__xludf.DUMMYFUNCTION("""COMPUTED_VALUE"""),0.00222)</f>
        <v>0.00222</v>
      </c>
      <c r="J5701" s="19">
        <f>IFERROR(__xludf.DUMMYFUNCTION("""COMPUTED_VALUE"""),0.04741)</f>
        <v>0.04741</v>
      </c>
      <c r="K5701" s="19" t="str">
        <f>IFERROR(__xludf.DUMMYFUNCTION("""COMPUTED_VALUE"""),"-")</f>
        <v>-</v>
      </c>
      <c r="L5701" s="19" t="str">
        <f>IFERROR(__xludf.DUMMYFUNCTION("""COMPUTED_VALUE"""),"-")</f>
        <v>-</v>
      </c>
      <c r="O5701" s="24">
        <f t="shared" si="4"/>
        <v>0</v>
      </c>
      <c r="P5701" s="24"/>
      <c r="Q5701" s="24">
        <f t="shared" si="6"/>
        <v>0</v>
      </c>
      <c r="R5701" s="24">
        <f t="shared" si="7"/>
        <v>0</v>
      </c>
      <c r="S5701" s="24"/>
      <c r="T5701" s="24"/>
    </row>
    <row r="5702">
      <c r="A5702" s="12" t="s">
        <v>5789</v>
      </c>
      <c r="F5702" s="19">
        <f>IFERROR(__xludf.DUMMYFUNCTION("SPLIT(A5698, "" |"")"),5696.0)</f>
        <v>5696</v>
      </c>
      <c r="G5702" s="19">
        <f>IFERROR(__xludf.DUMMYFUNCTION("""COMPUTED_VALUE"""),0.00238)</f>
        <v>0.00238</v>
      </c>
      <c r="H5702" s="19" t="str">
        <f>IFERROR(__xludf.DUMMYFUNCTION("""COMPUTED_VALUE"""),"-")</f>
        <v>-</v>
      </c>
      <c r="I5702" s="19">
        <f>IFERROR(__xludf.DUMMYFUNCTION("""COMPUTED_VALUE"""),0.00224)</f>
        <v>0.00224</v>
      </c>
      <c r="J5702" s="19">
        <f>IFERROR(__xludf.DUMMYFUNCTION("""COMPUTED_VALUE"""),0.04748)</f>
        <v>0.04748</v>
      </c>
      <c r="K5702" s="19" t="str">
        <f>IFERROR(__xludf.DUMMYFUNCTION("""COMPUTED_VALUE"""),"-")</f>
        <v>-</v>
      </c>
      <c r="L5702" s="19" t="str">
        <f>IFERROR(__xludf.DUMMYFUNCTION("""COMPUTED_VALUE"""),"-")</f>
        <v>-</v>
      </c>
      <c r="O5702" s="24">
        <f t="shared" si="4"/>
        <v>0</v>
      </c>
      <c r="P5702" s="24"/>
      <c r="Q5702" s="24">
        <f t="shared" si="6"/>
        <v>0</v>
      </c>
      <c r="R5702" s="24">
        <f t="shared" si="7"/>
        <v>0</v>
      </c>
      <c r="S5702" s="24"/>
      <c r="T5702" s="24"/>
    </row>
    <row r="5703">
      <c r="A5703" s="12" t="s">
        <v>5790</v>
      </c>
      <c r="F5703" s="19">
        <f>IFERROR(__xludf.DUMMYFUNCTION("SPLIT(A5699, "" |"")"),5697.0)</f>
        <v>5697</v>
      </c>
      <c r="G5703" s="19">
        <f>IFERROR(__xludf.DUMMYFUNCTION("""COMPUTED_VALUE"""),0.00233)</f>
        <v>0.00233</v>
      </c>
      <c r="H5703" s="19" t="str">
        <f>IFERROR(__xludf.DUMMYFUNCTION("""COMPUTED_VALUE"""),"-")</f>
        <v>-</v>
      </c>
      <c r="I5703" s="19">
        <f>IFERROR(__xludf.DUMMYFUNCTION("""COMPUTED_VALUE"""),0.00222)</f>
        <v>0.00222</v>
      </c>
      <c r="J5703" s="19">
        <f>IFERROR(__xludf.DUMMYFUNCTION("""COMPUTED_VALUE"""),0.04744)</f>
        <v>0.04744</v>
      </c>
      <c r="K5703" s="19" t="str">
        <f>IFERROR(__xludf.DUMMYFUNCTION("""COMPUTED_VALUE"""),"-")</f>
        <v>-</v>
      </c>
      <c r="L5703" s="19" t="str">
        <f>IFERROR(__xludf.DUMMYFUNCTION("""COMPUTED_VALUE"""),"-")</f>
        <v>-</v>
      </c>
      <c r="O5703" s="24">
        <f t="shared" si="4"/>
        <v>0</v>
      </c>
      <c r="P5703" s="24"/>
      <c r="Q5703" s="24">
        <f t="shared" si="6"/>
        <v>0</v>
      </c>
      <c r="R5703" s="24">
        <f t="shared" si="7"/>
        <v>0</v>
      </c>
      <c r="S5703" s="24"/>
      <c r="T5703" s="24"/>
    </row>
    <row r="5704">
      <c r="A5704" s="12" t="s">
        <v>5791</v>
      </c>
      <c r="F5704" s="19">
        <f>IFERROR(__xludf.DUMMYFUNCTION("SPLIT(A5700, "" |"")"),5698.0)</f>
        <v>5698</v>
      </c>
      <c r="G5704" s="19">
        <f>IFERROR(__xludf.DUMMYFUNCTION("""COMPUTED_VALUE"""),0.00224)</f>
        <v>0.00224</v>
      </c>
      <c r="H5704" s="19" t="str">
        <f>IFERROR(__xludf.DUMMYFUNCTION("""COMPUTED_VALUE"""),"-")</f>
        <v>-</v>
      </c>
      <c r="I5704" s="19">
        <f>IFERROR(__xludf.DUMMYFUNCTION("""COMPUTED_VALUE"""),0.00213)</f>
        <v>0.00213</v>
      </c>
      <c r="J5704" s="19">
        <f>IFERROR(__xludf.DUMMYFUNCTION("""COMPUTED_VALUE"""),0.04742)</f>
        <v>0.04742</v>
      </c>
      <c r="K5704" s="19" t="str">
        <f>IFERROR(__xludf.DUMMYFUNCTION("""COMPUTED_VALUE"""),"-")</f>
        <v>-</v>
      </c>
      <c r="L5704" s="19" t="str">
        <f>IFERROR(__xludf.DUMMYFUNCTION("""COMPUTED_VALUE"""),"-")</f>
        <v>-</v>
      </c>
      <c r="O5704" s="24">
        <f t="shared" si="4"/>
        <v>0</v>
      </c>
      <c r="P5704" s="24"/>
      <c r="Q5704" s="24">
        <f t="shared" si="6"/>
        <v>0</v>
      </c>
      <c r="R5704" s="24">
        <f t="shared" si="7"/>
        <v>0</v>
      </c>
      <c r="S5704" s="24"/>
      <c r="T5704" s="24"/>
    </row>
    <row r="5705">
      <c r="A5705" s="12" t="s">
        <v>5792</v>
      </c>
      <c r="F5705" s="19">
        <f>IFERROR(__xludf.DUMMYFUNCTION("SPLIT(A5701, "" |"")"),5699.0)</f>
        <v>5699</v>
      </c>
      <c r="G5705" s="19">
        <f>IFERROR(__xludf.DUMMYFUNCTION("""COMPUTED_VALUE"""),0.00244)</f>
        <v>0.00244</v>
      </c>
      <c r="H5705" s="19" t="str">
        <f>IFERROR(__xludf.DUMMYFUNCTION("""COMPUTED_VALUE"""),"-")</f>
        <v>-</v>
      </c>
      <c r="I5705" s="19">
        <f>IFERROR(__xludf.DUMMYFUNCTION("""COMPUTED_VALUE"""),0.00229)</f>
        <v>0.00229</v>
      </c>
      <c r="J5705" s="19">
        <f>IFERROR(__xludf.DUMMYFUNCTION("""COMPUTED_VALUE"""),0.04753)</f>
        <v>0.04753</v>
      </c>
      <c r="K5705" s="19" t="str">
        <f>IFERROR(__xludf.DUMMYFUNCTION("""COMPUTED_VALUE"""),"-")</f>
        <v>-</v>
      </c>
      <c r="L5705" s="19" t="str">
        <f>IFERROR(__xludf.DUMMYFUNCTION("""COMPUTED_VALUE"""),"-")</f>
        <v>-</v>
      </c>
      <c r="O5705" s="24">
        <f t="shared" si="4"/>
        <v>0</v>
      </c>
      <c r="P5705" s="24"/>
      <c r="Q5705" s="24">
        <f t="shared" si="6"/>
        <v>0</v>
      </c>
      <c r="R5705" s="24">
        <f t="shared" si="7"/>
        <v>0</v>
      </c>
      <c r="S5705" s="24"/>
      <c r="T5705" s="24"/>
    </row>
    <row r="5706">
      <c r="A5706" s="12" t="s">
        <v>5793</v>
      </c>
      <c r="F5706" s="19">
        <f>IFERROR(__xludf.DUMMYFUNCTION("SPLIT(A5702, "" |"")"),5700.0)</f>
        <v>5700</v>
      </c>
      <c r="G5706" s="19">
        <f>IFERROR(__xludf.DUMMYFUNCTION("""COMPUTED_VALUE"""),0.00232)</f>
        <v>0.00232</v>
      </c>
      <c r="H5706" s="19" t="str">
        <f>IFERROR(__xludf.DUMMYFUNCTION("""COMPUTED_VALUE"""),"-")</f>
        <v>-</v>
      </c>
      <c r="I5706" s="19">
        <f>IFERROR(__xludf.DUMMYFUNCTION("""COMPUTED_VALUE"""),0.00223)</f>
        <v>0.00223</v>
      </c>
      <c r="J5706" s="19">
        <f>IFERROR(__xludf.DUMMYFUNCTION("""COMPUTED_VALUE"""),0.04746)</f>
        <v>0.04746</v>
      </c>
      <c r="K5706" s="19" t="str">
        <f>IFERROR(__xludf.DUMMYFUNCTION("""COMPUTED_VALUE"""),"-")</f>
        <v>-</v>
      </c>
      <c r="L5706" s="19" t="str">
        <f>IFERROR(__xludf.DUMMYFUNCTION("""COMPUTED_VALUE"""),"-")</f>
        <v>-</v>
      </c>
      <c r="O5706" s="24">
        <f t="shared" si="4"/>
        <v>0</v>
      </c>
      <c r="P5706" s="24"/>
      <c r="Q5706" s="24">
        <f t="shared" si="6"/>
        <v>0</v>
      </c>
      <c r="R5706" s="24">
        <f t="shared" si="7"/>
        <v>0</v>
      </c>
      <c r="S5706" s="24"/>
      <c r="T5706" s="24"/>
    </row>
    <row r="5707">
      <c r="A5707" s="12" t="s">
        <v>5794</v>
      </c>
      <c r="F5707" s="19">
        <f>IFERROR(__xludf.DUMMYFUNCTION("SPLIT(A5703, "" |"")"),5701.0)</f>
        <v>5701</v>
      </c>
      <c r="G5707" s="19">
        <f>IFERROR(__xludf.DUMMYFUNCTION("""COMPUTED_VALUE"""),0.00232)</f>
        <v>0.00232</v>
      </c>
      <c r="H5707" s="19" t="str">
        <f>IFERROR(__xludf.DUMMYFUNCTION("""COMPUTED_VALUE"""),"-")</f>
        <v>-</v>
      </c>
      <c r="I5707" s="19">
        <f>IFERROR(__xludf.DUMMYFUNCTION("""COMPUTED_VALUE"""),0.0022)</f>
        <v>0.0022</v>
      </c>
      <c r="J5707" s="19">
        <f>IFERROR(__xludf.DUMMYFUNCTION("""COMPUTED_VALUE"""),0.04734)</f>
        <v>0.04734</v>
      </c>
      <c r="K5707" s="19" t="str">
        <f>IFERROR(__xludf.DUMMYFUNCTION("""COMPUTED_VALUE"""),"-")</f>
        <v>-</v>
      </c>
      <c r="L5707" s="19" t="str">
        <f>IFERROR(__xludf.DUMMYFUNCTION("""COMPUTED_VALUE"""),"-")</f>
        <v>-</v>
      </c>
      <c r="O5707" s="24">
        <f t="shared" si="4"/>
        <v>0</v>
      </c>
      <c r="P5707" s="24"/>
      <c r="Q5707" s="24">
        <f t="shared" si="6"/>
        <v>0</v>
      </c>
      <c r="R5707" s="24">
        <f t="shared" si="7"/>
        <v>0</v>
      </c>
      <c r="S5707" s="24"/>
      <c r="T5707" s="24"/>
    </row>
    <row r="5708">
      <c r="A5708" s="12" t="s">
        <v>5795</v>
      </c>
      <c r="F5708" s="19">
        <f>IFERROR(__xludf.DUMMYFUNCTION("SPLIT(A5704, "" |"")"),5702.0)</f>
        <v>5702</v>
      </c>
      <c r="G5708" s="19">
        <f>IFERROR(__xludf.DUMMYFUNCTION("""COMPUTED_VALUE"""),0.00221)</f>
        <v>0.00221</v>
      </c>
      <c r="H5708" s="19" t="str">
        <f>IFERROR(__xludf.DUMMYFUNCTION("""COMPUTED_VALUE"""),"-")</f>
        <v>-</v>
      </c>
      <c r="I5708" s="19">
        <f>IFERROR(__xludf.DUMMYFUNCTION("""COMPUTED_VALUE"""),0.00209)</f>
        <v>0.00209</v>
      </c>
      <c r="J5708" s="19">
        <f>IFERROR(__xludf.DUMMYFUNCTION("""COMPUTED_VALUE"""),0.04398)</f>
        <v>0.04398</v>
      </c>
      <c r="K5708" s="19" t="str">
        <f>IFERROR(__xludf.DUMMYFUNCTION("""COMPUTED_VALUE"""),"-")</f>
        <v>-</v>
      </c>
      <c r="L5708" s="19" t="str">
        <f>IFERROR(__xludf.DUMMYFUNCTION("""COMPUTED_VALUE"""),"-")</f>
        <v>-</v>
      </c>
      <c r="O5708" s="24">
        <f t="shared" si="4"/>
        <v>0</v>
      </c>
      <c r="P5708" s="24"/>
      <c r="Q5708" s="24">
        <f t="shared" si="6"/>
        <v>0</v>
      </c>
      <c r="R5708" s="24">
        <f t="shared" si="7"/>
        <v>1</v>
      </c>
      <c r="S5708" s="24"/>
      <c r="T5708" s="24"/>
    </row>
    <row r="5709">
      <c r="A5709" s="12" t="s">
        <v>5796</v>
      </c>
      <c r="F5709" s="19">
        <f>IFERROR(__xludf.DUMMYFUNCTION("SPLIT(A5705, "" |"")"),5703.0)</f>
        <v>5703</v>
      </c>
      <c r="G5709" s="19">
        <f>IFERROR(__xludf.DUMMYFUNCTION("""COMPUTED_VALUE"""),0.00234)</f>
        <v>0.00234</v>
      </c>
      <c r="H5709" s="19" t="str">
        <f>IFERROR(__xludf.DUMMYFUNCTION("""COMPUTED_VALUE"""),"-")</f>
        <v>-</v>
      </c>
      <c r="I5709" s="19">
        <f>IFERROR(__xludf.DUMMYFUNCTION("""COMPUTED_VALUE"""),0.00222)</f>
        <v>0.00222</v>
      </c>
      <c r="J5709" s="19">
        <f>IFERROR(__xludf.DUMMYFUNCTION("""COMPUTED_VALUE"""),0.04742)</f>
        <v>0.04742</v>
      </c>
      <c r="K5709" s="19" t="str">
        <f>IFERROR(__xludf.DUMMYFUNCTION("""COMPUTED_VALUE"""),"-")</f>
        <v>-</v>
      </c>
      <c r="L5709" s="19" t="str">
        <f>IFERROR(__xludf.DUMMYFUNCTION("""COMPUTED_VALUE"""),"-")</f>
        <v>-</v>
      </c>
      <c r="O5709" s="24">
        <f t="shared" si="4"/>
        <v>0</v>
      </c>
      <c r="P5709" s="24"/>
      <c r="Q5709" s="24">
        <f t="shared" si="6"/>
        <v>0</v>
      </c>
      <c r="R5709" s="24">
        <f t="shared" si="7"/>
        <v>0</v>
      </c>
      <c r="S5709" s="24"/>
      <c r="T5709" s="24"/>
    </row>
    <row r="5710">
      <c r="A5710" s="12" t="s">
        <v>5797</v>
      </c>
      <c r="F5710" s="19">
        <f>IFERROR(__xludf.DUMMYFUNCTION("SPLIT(A5706, "" |"")"),5704.0)</f>
        <v>5704</v>
      </c>
      <c r="G5710" s="19">
        <f>IFERROR(__xludf.DUMMYFUNCTION("""COMPUTED_VALUE"""),0.0023)</f>
        <v>0.0023</v>
      </c>
      <c r="H5710" s="19" t="str">
        <f>IFERROR(__xludf.DUMMYFUNCTION("""COMPUTED_VALUE"""),"-")</f>
        <v>-</v>
      </c>
      <c r="I5710" s="19">
        <f>IFERROR(__xludf.DUMMYFUNCTION("""COMPUTED_VALUE"""),0.00224)</f>
        <v>0.00224</v>
      </c>
      <c r="J5710" s="19">
        <f>IFERROR(__xludf.DUMMYFUNCTION("""COMPUTED_VALUE"""),0.04742)</f>
        <v>0.04742</v>
      </c>
      <c r="K5710" s="19" t="str">
        <f>IFERROR(__xludf.DUMMYFUNCTION("""COMPUTED_VALUE"""),"-")</f>
        <v>-</v>
      </c>
      <c r="L5710" s="19" t="str">
        <f>IFERROR(__xludf.DUMMYFUNCTION("""COMPUTED_VALUE"""),"-")</f>
        <v>-</v>
      </c>
      <c r="O5710" s="24">
        <f t="shared" si="4"/>
        <v>0</v>
      </c>
      <c r="P5710" s="24"/>
      <c r="Q5710" s="24">
        <f t="shared" si="6"/>
        <v>0</v>
      </c>
      <c r="R5710" s="24">
        <f t="shared" si="7"/>
        <v>0</v>
      </c>
      <c r="S5710" s="24"/>
      <c r="T5710" s="24"/>
    </row>
    <row r="5711">
      <c r="A5711" s="12" t="s">
        <v>5798</v>
      </c>
      <c r="F5711" s="19">
        <f>IFERROR(__xludf.DUMMYFUNCTION("SPLIT(A5707, "" |"")"),5705.0)</f>
        <v>5705</v>
      </c>
      <c r="G5711" s="19">
        <f>IFERROR(__xludf.DUMMYFUNCTION("""COMPUTED_VALUE"""),0.00234)</f>
        <v>0.00234</v>
      </c>
      <c r="H5711" s="19" t="str">
        <f>IFERROR(__xludf.DUMMYFUNCTION("""COMPUTED_VALUE"""),"-")</f>
        <v>-</v>
      </c>
      <c r="I5711" s="19">
        <f>IFERROR(__xludf.DUMMYFUNCTION("""COMPUTED_VALUE"""),0.00221)</f>
        <v>0.00221</v>
      </c>
      <c r="J5711" s="19">
        <f>IFERROR(__xludf.DUMMYFUNCTION("""COMPUTED_VALUE"""),0.04744)</f>
        <v>0.04744</v>
      </c>
      <c r="K5711" s="19" t="str">
        <f>IFERROR(__xludf.DUMMYFUNCTION("""COMPUTED_VALUE"""),"-")</f>
        <v>-</v>
      </c>
      <c r="L5711" s="19" t="str">
        <f>IFERROR(__xludf.DUMMYFUNCTION("""COMPUTED_VALUE"""),"-")</f>
        <v>-</v>
      </c>
      <c r="O5711" s="24">
        <f t="shared" si="4"/>
        <v>0</v>
      </c>
      <c r="P5711" s="24"/>
      <c r="Q5711" s="24">
        <f t="shared" si="6"/>
        <v>0</v>
      </c>
      <c r="R5711" s="24">
        <f t="shared" si="7"/>
        <v>0</v>
      </c>
      <c r="S5711" s="24"/>
      <c r="T5711" s="24"/>
    </row>
    <row r="5712">
      <c r="A5712" s="12" t="s">
        <v>5799</v>
      </c>
      <c r="F5712" s="19">
        <f>IFERROR(__xludf.DUMMYFUNCTION("SPLIT(A5708, "" |"")"),5706.0)</f>
        <v>5706</v>
      </c>
      <c r="G5712" s="19">
        <f>IFERROR(__xludf.DUMMYFUNCTION("""COMPUTED_VALUE"""),0.00237)</f>
        <v>0.00237</v>
      </c>
      <c r="H5712" s="19" t="str">
        <f>IFERROR(__xludf.DUMMYFUNCTION("""COMPUTED_VALUE"""),"-")</f>
        <v>-</v>
      </c>
      <c r="I5712" s="19">
        <f>IFERROR(__xludf.DUMMYFUNCTION("""COMPUTED_VALUE"""),0.00223)</f>
        <v>0.00223</v>
      </c>
      <c r="J5712" s="19">
        <f>IFERROR(__xludf.DUMMYFUNCTION("""COMPUTED_VALUE"""),0.04747)</f>
        <v>0.04747</v>
      </c>
      <c r="K5712" s="19" t="str">
        <f>IFERROR(__xludf.DUMMYFUNCTION("""COMPUTED_VALUE"""),"-")</f>
        <v>-</v>
      </c>
      <c r="L5712" s="19" t="str">
        <f>IFERROR(__xludf.DUMMYFUNCTION("""COMPUTED_VALUE"""),"-")</f>
        <v>-</v>
      </c>
      <c r="O5712" s="24">
        <f t="shared" si="4"/>
        <v>0</v>
      </c>
      <c r="P5712" s="24"/>
      <c r="Q5712" s="24">
        <f t="shared" si="6"/>
        <v>0</v>
      </c>
      <c r="R5712" s="24">
        <f t="shared" si="7"/>
        <v>0</v>
      </c>
      <c r="S5712" s="24"/>
      <c r="T5712" s="24"/>
    </row>
    <row r="5713">
      <c r="A5713" s="12" t="s">
        <v>5800</v>
      </c>
      <c r="F5713" s="19">
        <f>IFERROR(__xludf.DUMMYFUNCTION("SPLIT(A5709, "" |"")"),5707.0)</f>
        <v>5707</v>
      </c>
      <c r="G5713" s="19">
        <f>IFERROR(__xludf.DUMMYFUNCTION("""COMPUTED_VALUE"""),0.00235)</f>
        <v>0.00235</v>
      </c>
      <c r="H5713" s="19" t="str">
        <f>IFERROR(__xludf.DUMMYFUNCTION("""COMPUTED_VALUE"""),"-")</f>
        <v>-</v>
      </c>
      <c r="I5713" s="19">
        <f>IFERROR(__xludf.DUMMYFUNCTION("""COMPUTED_VALUE"""),0.00221)</f>
        <v>0.00221</v>
      </c>
      <c r="J5713" s="19">
        <f>IFERROR(__xludf.DUMMYFUNCTION("""COMPUTED_VALUE"""),0.04746)</f>
        <v>0.04746</v>
      </c>
      <c r="K5713" s="19" t="str">
        <f>IFERROR(__xludf.DUMMYFUNCTION("""COMPUTED_VALUE"""),"-")</f>
        <v>-</v>
      </c>
      <c r="L5713" s="19" t="str">
        <f>IFERROR(__xludf.DUMMYFUNCTION("""COMPUTED_VALUE"""),"-")</f>
        <v>-</v>
      </c>
      <c r="O5713" s="24">
        <f t="shared" si="4"/>
        <v>0</v>
      </c>
      <c r="P5713" s="24"/>
      <c r="Q5713" s="24">
        <f t="shared" si="6"/>
        <v>0</v>
      </c>
      <c r="R5713" s="24">
        <f t="shared" si="7"/>
        <v>0</v>
      </c>
      <c r="S5713" s="24"/>
      <c r="T5713" s="24"/>
    </row>
    <row r="5714">
      <c r="A5714" s="12" t="s">
        <v>5801</v>
      </c>
      <c r="F5714" s="19">
        <f>IFERROR(__xludf.DUMMYFUNCTION("SPLIT(A5710, "" |"")"),5708.0)</f>
        <v>5708</v>
      </c>
      <c r="G5714" s="19">
        <f>IFERROR(__xludf.DUMMYFUNCTION("""COMPUTED_VALUE"""),0.00236)</f>
        <v>0.00236</v>
      </c>
      <c r="H5714" s="19" t="str">
        <f>IFERROR(__xludf.DUMMYFUNCTION("""COMPUTED_VALUE"""),"-")</f>
        <v>-</v>
      </c>
      <c r="I5714" s="19">
        <f>IFERROR(__xludf.DUMMYFUNCTION("""COMPUTED_VALUE"""),0.00224)</f>
        <v>0.00224</v>
      </c>
      <c r="J5714" s="19">
        <f>IFERROR(__xludf.DUMMYFUNCTION("""COMPUTED_VALUE"""),0.04739)</f>
        <v>0.04739</v>
      </c>
      <c r="K5714" s="19" t="str">
        <f>IFERROR(__xludf.DUMMYFUNCTION("""COMPUTED_VALUE"""),"-")</f>
        <v>-</v>
      </c>
      <c r="L5714" s="19" t="str">
        <f>IFERROR(__xludf.DUMMYFUNCTION("""COMPUTED_VALUE"""),"-")</f>
        <v>-</v>
      </c>
      <c r="O5714" s="24">
        <f t="shared" si="4"/>
        <v>0</v>
      </c>
      <c r="P5714" s="24"/>
      <c r="Q5714" s="24">
        <f t="shared" si="6"/>
        <v>0</v>
      </c>
      <c r="R5714" s="24">
        <f t="shared" si="7"/>
        <v>0</v>
      </c>
      <c r="S5714" s="24"/>
      <c r="T5714" s="24"/>
    </row>
    <row r="5715">
      <c r="A5715" s="12" t="s">
        <v>5802</v>
      </c>
      <c r="F5715" s="19">
        <f>IFERROR(__xludf.DUMMYFUNCTION("SPLIT(A5711, "" |"")"),5709.0)</f>
        <v>5709</v>
      </c>
      <c r="G5715" s="19">
        <f>IFERROR(__xludf.DUMMYFUNCTION("""COMPUTED_VALUE"""),0.00235)</f>
        <v>0.00235</v>
      </c>
      <c r="H5715" s="19" t="str">
        <f>IFERROR(__xludf.DUMMYFUNCTION("""COMPUTED_VALUE"""),"-")</f>
        <v>-</v>
      </c>
      <c r="I5715" s="19">
        <f>IFERROR(__xludf.DUMMYFUNCTION("""COMPUTED_VALUE"""),0.00223)</f>
        <v>0.00223</v>
      </c>
      <c r="J5715" s="19">
        <f>IFERROR(__xludf.DUMMYFUNCTION("""COMPUTED_VALUE"""),0.04742)</f>
        <v>0.04742</v>
      </c>
      <c r="K5715" s="19" t="str">
        <f>IFERROR(__xludf.DUMMYFUNCTION("""COMPUTED_VALUE"""),"-")</f>
        <v>-</v>
      </c>
      <c r="L5715" s="19" t="str">
        <f>IFERROR(__xludf.DUMMYFUNCTION("""COMPUTED_VALUE"""),"-")</f>
        <v>-</v>
      </c>
      <c r="O5715" s="24">
        <f t="shared" si="4"/>
        <v>0</v>
      </c>
      <c r="P5715" s="24"/>
      <c r="Q5715" s="24">
        <f t="shared" si="6"/>
        <v>0</v>
      </c>
      <c r="R5715" s="24">
        <f t="shared" si="7"/>
        <v>0</v>
      </c>
      <c r="S5715" s="24"/>
      <c r="T5715" s="24"/>
    </row>
    <row r="5716">
      <c r="A5716" s="12" t="s">
        <v>5803</v>
      </c>
      <c r="F5716" s="19">
        <f>IFERROR(__xludf.DUMMYFUNCTION("SPLIT(A5712, "" |"")"),5710.0)</f>
        <v>5710</v>
      </c>
      <c r="G5716" s="19">
        <f>IFERROR(__xludf.DUMMYFUNCTION("""COMPUTED_VALUE"""),0.00226)</f>
        <v>0.00226</v>
      </c>
      <c r="H5716" s="19" t="str">
        <f>IFERROR(__xludf.DUMMYFUNCTION("""COMPUTED_VALUE"""),"-")</f>
        <v>-</v>
      </c>
      <c r="I5716" s="19">
        <f>IFERROR(__xludf.DUMMYFUNCTION("""COMPUTED_VALUE"""),0.0021)</f>
        <v>0.0021</v>
      </c>
      <c r="J5716" s="19">
        <f>IFERROR(__xludf.DUMMYFUNCTION("""COMPUTED_VALUE"""),0.0456)</f>
        <v>0.0456</v>
      </c>
      <c r="K5716" s="19" t="str">
        <f>IFERROR(__xludf.DUMMYFUNCTION("""COMPUTED_VALUE"""),"-")</f>
        <v>-</v>
      </c>
      <c r="L5716" s="19" t="str">
        <f>IFERROR(__xludf.DUMMYFUNCTION("""COMPUTED_VALUE"""),"-")</f>
        <v>-</v>
      </c>
      <c r="O5716" s="24">
        <f t="shared" si="4"/>
        <v>0</v>
      </c>
      <c r="P5716" s="24"/>
      <c r="Q5716" s="24">
        <f t="shared" si="6"/>
        <v>0</v>
      </c>
      <c r="R5716" s="24">
        <f t="shared" si="7"/>
        <v>0</v>
      </c>
      <c r="S5716" s="24"/>
      <c r="T5716" s="24"/>
    </row>
    <row r="5717">
      <c r="A5717" s="12" t="s">
        <v>5804</v>
      </c>
      <c r="F5717" s="19">
        <f>IFERROR(__xludf.DUMMYFUNCTION("SPLIT(A5713, "" |"")"),5711.0)</f>
        <v>5711</v>
      </c>
      <c r="G5717" s="19">
        <f>IFERROR(__xludf.DUMMYFUNCTION("""COMPUTED_VALUE"""),0.00237)</f>
        <v>0.00237</v>
      </c>
      <c r="H5717" s="19" t="str">
        <f>IFERROR(__xludf.DUMMYFUNCTION("""COMPUTED_VALUE"""),"-")</f>
        <v>-</v>
      </c>
      <c r="I5717" s="19">
        <f>IFERROR(__xludf.DUMMYFUNCTION("""COMPUTED_VALUE"""),0.00222)</f>
        <v>0.00222</v>
      </c>
      <c r="J5717" s="19">
        <f>IFERROR(__xludf.DUMMYFUNCTION("""COMPUTED_VALUE"""),0.04736)</f>
        <v>0.04736</v>
      </c>
      <c r="K5717" s="19" t="str">
        <f>IFERROR(__xludf.DUMMYFUNCTION("""COMPUTED_VALUE"""),"-")</f>
        <v>-</v>
      </c>
      <c r="L5717" s="19" t="str">
        <f>IFERROR(__xludf.DUMMYFUNCTION("""COMPUTED_VALUE"""),"-")</f>
        <v>-</v>
      </c>
      <c r="O5717" s="24">
        <f t="shared" si="4"/>
        <v>0</v>
      </c>
      <c r="P5717" s="24"/>
      <c r="Q5717" s="24">
        <f t="shared" si="6"/>
        <v>0</v>
      </c>
      <c r="R5717" s="24">
        <f t="shared" si="7"/>
        <v>0</v>
      </c>
      <c r="S5717" s="24"/>
      <c r="T5717" s="24"/>
    </row>
    <row r="5718">
      <c r="A5718" s="12" t="s">
        <v>5805</v>
      </c>
      <c r="F5718" s="19">
        <f>IFERROR(__xludf.DUMMYFUNCTION("SPLIT(A5714, "" |"")"),5712.0)</f>
        <v>5712</v>
      </c>
      <c r="G5718" s="19">
        <f>IFERROR(__xludf.DUMMYFUNCTION("""COMPUTED_VALUE"""),0.00236)</f>
        <v>0.00236</v>
      </c>
      <c r="H5718" s="19" t="str">
        <f>IFERROR(__xludf.DUMMYFUNCTION("""COMPUTED_VALUE"""),"-")</f>
        <v>-</v>
      </c>
      <c r="I5718" s="19">
        <f>IFERROR(__xludf.DUMMYFUNCTION("""COMPUTED_VALUE"""),0.00223)</f>
        <v>0.00223</v>
      </c>
      <c r="J5718" s="19">
        <f>IFERROR(__xludf.DUMMYFUNCTION("""COMPUTED_VALUE"""),0.04738)</f>
        <v>0.04738</v>
      </c>
      <c r="K5718" s="19" t="str">
        <f>IFERROR(__xludf.DUMMYFUNCTION("""COMPUTED_VALUE"""),"-")</f>
        <v>-</v>
      </c>
      <c r="L5718" s="19" t="str">
        <f>IFERROR(__xludf.DUMMYFUNCTION("""COMPUTED_VALUE"""),"-")</f>
        <v>-</v>
      </c>
      <c r="O5718" s="24">
        <f t="shared" si="4"/>
        <v>0</v>
      </c>
      <c r="P5718" s="24"/>
      <c r="Q5718" s="24">
        <f t="shared" si="6"/>
        <v>0</v>
      </c>
      <c r="R5718" s="24">
        <f t="shared" si="7"/>
        <v>0</v>
      </c>
      <c r="S5718" s="24"/>
      <c r="T5718" s="24"/>
    </row>
    <row r="5719">
      <c r="A5719" s="12" t="s">
        <v>5806</v>
      </c>
      <c r="F5719" s="19">
        <f>IFERROR(__xludf.DUMMYFUNCTION("SPLIT(A5715, "" |"")"),5713.0)</f>
        <v>5713</v>
      </c>
      <c r="G5719" s="19">
        <f>IFERROR(__xludf.DUMMYFUNCTION("""COMPUTED_VALUE"""),0.00241)</f>
        <v>0.00241</v>
      </c>
      <c r="H5719" s="19" t="str">
        <f>IFERROR(__xludf.DUMMYFUNCTION("""COMPUTED_VALUE"""),"-")</f>
        <v>-</v>
      </c>
      <c r="I5719" s="19">
        <f>IFERROR(__xludf.DUMMYFUNCTION("""COMPUTED_VALUE"""),0.00226)</f>
        <v>0.00226</v>
      </c>
      <c r="J5719" s="19">
        <f>IFERROR(__xludf.DUMMYFUNCTION("""COMPUTED_VALUE"""),0.04747)</f>
        <v>0.04747</v>
      </c>
      <c r="K5719" s="19" t="str">
        <f>IFERROR(__xludf.DUMMYFUNCTION("""COMPUTED_VALUE"""),"-")</f>
        <v>-</v>
      </c>
      <c r="L5719" s="19" t="str">
        <f>IFERROR(__xludf.DUMMYFUNCTION("""COMPUTED_VALUE"""),"-")</f>
        <v>-</v>
      </c>
      <c r="O5719" s="24">
        <f t="shared" si="4"/>
        <v>0</v>
      </c>
      <c r="P5719" s="24"/>
      <c r="Q5719" s="24">
        <f t="shared" si="6"/>
        <v>0</v>
      </c>
      <c r="R5719" s="24">
        <f t="shared" si="7"/>
        <v>0</v>
      </c>
      <c r="S5719" s="24"/>
      <c r="T5719" s="24"/>
    </row>
    <row r="5720">
      <c r="A5720" s="12" t="s">
        <v>5807</v>
      </c>
      <c r="F5720" s="19">
        <f>IFERROR(__xludf.DUMMYFUNCTION("SPLIT(A5716, "" |"")"),5714.0)</f>
        <v>5714</v>
      </c>
      <c r="G5720" s="19">
        <f>IFERROR(__xludf.DUMMYFUNCTION("""COMPUTED_VALUE"""),0.00233)</f>
        <v>0.00233</v>
      </c>
      <c r="H5720" s="19" t="str">
        <f>IFERROR(__xludf.DUMMYFUNCTION("""COMPUTED_VALUE"""),"-")</f>
        <v>-</v>
      </c>
      <c r="I5720" s="19">
        <f>IFERROR(__xludf.DUMMYFUNCTION("""COMPUTED_VALUE"""),0.00222)</f>
        <v>0.00222</v>
      </c>
      <c r="J5720" s="19">
        <f>IFERROR(__xludf.DUMMYFUNCTION("""COMPUTED_VALUE"""),0.04738)</f>
        <v>0.04738</v>
      </c>
      <c r="K5720" s="19" t="str">
        <f>IFERROR(__xludf.DUMMYFUNCTION("""COMPUTED_VALUE"""),"-")</f>
        <v>-</v>
      </c>
      <c r="L5720" s="19" t="str">
        <f>IFERROR(__xludf.DUMMYFUNCTION("""COMPUTED_VALUE"""),"-")</f>
        <v>-</v>
      </c>
      <c r="O5720" s="24">
        <f t="shared" si="4"/>
        <v>0</v>
      </c>
      <c r="P5720" s="24"/>
      <c r="Q5720" s="24">
        <f t="shared" si="6"/>
        <v>0</v>
      </c>
      <c r="R5720" s="24">
        <f t="shared" si="7"/>
        <v>0</v>
      </c>
      <c r="S5720" s="24"/>
      <c r="T5720" s="24"/>
    </row>
    <row r="5721">
      <c r="A5721" s="12" t="s">
        <v>5808</v>
      </c>
      <c r="F5721" s="19">
        <f>IFERROR(__xludf.DUMMYFUNCTION("SPLIT(A5717, "" |"")"),5715.0)</f>
        <v>5715</v>
      </c>
      <c r="G5721" s="19">
        <f>IFERROR(__xludf.DUMMYFUNCTION("""COMPUTED_VALUE"""),0.00239)</f>
        <v>0.00239</v>
      </c>
      <c r="H5721" s="19" t="str">
        <f>IFERROR(__xludf.DUMMYFUNCTION("""COMPUTED_VALUE"""),"-")</f>
        <v>-</v>
      </c>
      <c r="I5721" s="19">
        <f>IFERROR(__xludf.DUMMYFUNCTION("""COMPUTED_VALUE"""),0.00224)</f>
        <v>0.00224</v>
      </c>
      <c r="J5721" s="19">
        <f>IFERROR(__xludf.DUMMYFUNCTION("""COMPUTED_VALUE"""),0.04357)</f>
        <v>0.04357</v>
      </c>
      <c r="K5721" s="19" t="str">
        <f>IFERROR(__xludf.DUMMYFUNCTION("""COMPUTED_VALUE"""),"-")</f>
        <v>-</v>
      </c>
      <c r="L5721" s="19" t="str">
        <f>IFERROR(__xludf.DUMMYFUNCTION("""COMPUTED_VALUE"""),"-")</f>
        <v>-</v>
      </c>
      <c r="O5721" s="24">
        <f t="shared" si="4"/>
        <v>0</v>
      </c>
      <c r="P5721" s="24"/>
      <c r="Q5721" s="24">
        <f t="shared" si="6"/>
        <v>0</v>
      </c>
      <c r="R5721" s="24">
        <f t="shared" si="7"/>
        <v>1</v>
      </c>
      <c r="S5721" s="24"/>
      <c r="T5721" s="24"/>
    </row>
    <row r="5722">
      <c r="A5722" s="12" t="s">
        <v>5809</v>
      </c>
      <c r="F5722" s="19">
        <f>IFERROR(__xludf.DUMMYFUNCTION("SPLIT(A5718, "" |"")"),5716.0)</f>
        <v>5716</v>
      </c>
      <c r="G5722" s="19">
        <f>IFERROR(__xludf.DUMMYFUNCTION("""COMPUTED_VALUE"""),0.0023)</f>
        <v>0.0023</v>
      </c>
      <c r="H5722" s="19" t="str">
        <f>IFERROR(__xludf.DUMMYFUNCTION("""COMPUTED_VALUE"""),"-")</f>
        <v>-</v>
      </c>
      <c r="I5722" s="19">
        <f>IFERROR(__xludf.DUMMYFUNCTION("""COMPUTED_VALUE"""),0.00219)</f>
        <v>0.00219</v>
      </c>
      <c r="J5722" s="19">
        <f>IFERROR(__xludf.DUMMYFUNCTION("""COMPUTED_VALUE"""),0.04216)</f>
        <v>0.04216</v>
      </c>
      <c r="K5722" s="19" t="str">
        <f>IFERROR(__xludf.DUMMYFUNCTION("""COMPUTED_VALUE"""),"-")</f>
        <v>-</v>
      </c>
      <c r="L5722" s="19" t="str">
        <f>IFERROR(__xludf.DUMMYFUNCTION("""COMPUTED_VALUE"""),"-")</f>
        <v>-</v>
      </c>
      <c r="O5722" s="24">
        <f t="shared" si="4"/>
        <v>0</v>
      </c>
      <c r="P5722" s="24"/>
      <c r="Q5722" s="24">
        <f t="shared" si="6"/>
        <v>0</v>
      </c>
      <c r="R5722" s="24">
        <f t="shared" si="7"/>
        <v>1</v>
      </c>
      <c r="S5722" s="24"/>
      <c r="T5722" s="24"/>
    </row>
    <row r="5723">
      <c r="A5723" s="12" t="s">
        <v>5810</v>
      </c>
      <c r="F5723" s="19">
        <f>IFERROR(__xludf.DUMMYFUNCTION("SPLIT(A5719, "" |"")"),5717.0)</f>
        <v>5717</v>
      </c>
      <c r="G5723" s="19">
        <f>IFERROR(__xludf.DUMMYFUNCTION("""COMPUTED_VALUE"""),0.00228)</f>
        <v>0.00228</v>
      </c>
      <c r="H5723" s="19" t="str">
        <f>IFERROR(__xludf.DUMMYFUNCTION("""COMPUTED_VALUE"""),"-")</f>
        <v>-</v>
      </c>
      <c r="I5723" s="19">
        <f>IFERROR(__xludf.DUMMYFUNCTION("""COMPUTED_VALUE"""),0.0022)</f>
        <v>0.0022</v>
      </c>
      <c r="J5723" s="19">
        <f>IFERROR(__xludf.DUMMYFUNCTION("""COMPUTED_VALUE"""),0.04749)</f>
        <v>0.04749</v>
      </c>
      <c r="K5723" s="19" t="str">
        <f>IFERROR(__xludf.DUMMYFUNCTION("""COMPUTED_VALUE"""),"-")</f>
        <v>-</v>
      </c>
      <c r="L5723" s="19" t="str">
        <f>IFERROR(__xludf.DUMMYFUNCTION("""COMPUTED_VALUE"""),"-")</f>
        <v>-</v>
      </c>
      <c r="O5723" s="24">
        <f t="shared" si="4"/>
        <v>0</v>
      </c>
      <c r="P5723" s="24"/>
      <c r="Q5723" s="24">
        <f t="shared" si="6"/>
        <v>0</v>
      </c>
      <c r="R5723" s="24">
        <f t="shared" si="7"/>
        <v>0</v>
      </c>
      <c r="S5723" s="24"/>
      <c r="T5723" s="24"/>
    </row>
    <row r="5724">
      <c r="A5724" s="12" t="s">
        <v>5811</v>
      </c>
      <c r="F5724" s="19">
        <f>IFERROR(__xludf.DUMMYFUNCTION("SPLIT(A5720, "" |"")"),5718.0)</f>
        <v>5718</v>
      </c>
      <c r="G5724" s="19">
        <f>IFERROR(__xludf.DUMMYFUNCTION("""COMPUTED_VALUE"""),0.00237)</f>
        <v>0.00237</v>
      </c>
      <c r="H5724" s="19" t="str">
        <f>IFERROR(__xludf.DUMMYFUNCTION("""COMPUTED_VALUE"""),"-")</f>
        <v>-</v>
      </c>
      <c r="I5724" s="19">
        <f>IFERROR(__xludf.DUMMYFUNCTION("""COMPUTED_VALUE"""),0.00228)</f>
        <v>0.00228</v>
      </c>
      <c r="J5724" s="19">
        <f>IFERROR(__xludf.DUMMYFUNCTION("""COMPUTED_VALUE"""),0.04739)</f>
        <v>0.04739</v>
      </c>
      <c r="K5724" s="19" t="str">
        <f>IFERROR(__xludf.DUMMYFUNCTION("""COMPUTED_VALUE"""),"-")</f>
        <v>-</v>
      </c>
      <c r="L5724" s="19" t="str">
        <f>IFERROR(__xludf.DUMMYFUNCTION("""COMPUTED_VALUE"""),"-")</f>
        <v>-</v>
      </c>
      <c r="O5724" s="24">
        <f t="shared" si="4"/>
        <v>0</v>
      </c>
      <c r="P5724" s="24"/>
      <c r="Q5724" s="24">
        <f t="shared" si="6"/>
        <v>0</v>
      </c>
      <c r="R5724" s="24">
        <f t="shared" si="7"/>
        <v>0</v>
      </c>
      <c r="S5724" s="24"/>
      <c r="T5724" s="24"/>
    </row>
    <row r="5725">
      <c r="A5725" s="12" t="s">
        <v>5812</v>
      </c>
      <c r="F5725" s="19">
        <f>IFERROR(__xludf.DUMMYFUNCTION("SPLIT(A5721, "" |"")"),5719.0)</f>
        <v>5719</v>
      </c>
      <c r="G5725" s="19">
        <f>IFERROR(__xludf.DUMMYFUNCTION("""COMPUTED_VALUE"""),0.00241)</f>
        <v>0.00241</v>
      </c>
      <c r="H5725" s="19" t="str">
        <f>IFERROR(__xludf.DUMMYFUNCTION("""COMPUTED_VALUE"""),"-")</f>
        <v>-</v>
      </c>
      <c r="I5725" s="19">
        <f>IFERROR(__xludf.DUMMYFUNCTION("""COMPUTED_VALUE"""),0.00224)</f>
        <v>0.00224</v>
      </c>
      <c r="J5725" s="19">
        <f>IFERROR(__xludf.DUMMYFUNCTION("""COMPUTED_VALUE"""),0.04746)</f>
        <v>0.04746</v>
      </c>
      <c r="K5725" s="19" t="str">
        <f>IFERROR(__xludf.DUMMYFUNCTION("""COMPUTED_VALUE"""),"-")</f>
        <v>-</v>
      </c>
      <c r="L5725" s="19" t="str">
        <f>IFERROR(__xludf.DUMMYFUNCTION("""COMPUTED_VALUE"""),"-")</f>
        <v>-</v>
      </c>
      <c r="O5725" s="24">
        <f t="shared" si="4"/>
        <v>0</v>
      </c>
      <c r="P5725" s="24"/>
      <c r="Q5725" s="24">
        <f t="shared" si="6"/>
        <v>0</v>
      </c>
      <c r="R5725" s="24">
        <f t="shared" si="7"/>
        <v>0</v>
      </c>
      <c r="S5725" s="24"/>
      <c r="T5725" s="24"/>
    </row>
    <row r="5726">
      <c r="A5726" s="12" t="s">
        <v>5813</v>
      </c>
      <c r="F5726" s="19">
        <f>IFERROR(__xludf.DUMMYFUNCTION("SPLIT(A5722, "" |"")"),5720.0)</f>
        <v>5720</v>
      </c>
      <c r="G5726" s="19">
        <f>IFERROR(__xludf.DUMMYFUNCTION("""COMPUTED_VALUE"""),0.00232)</f>
        <v>0.00232</v>
      </c>
      <c r="H5726" s="19" t="str">
        <f>IFERROR(__xludf.DUMMYFUNCTION("""COMPUTED_VALUE"""),"-")</f>
        <v>-</v>
      </c>
      <c r="I5726" s="19">
        <f>IFERROR(__xludf.DUMMYFUNCTION("""COMPUTED_VALUE"""),0.00227)</f>
        <v>0.00227</v>
      </c>
      <c r="J5726" s="19">
        <f>IFERROR(__xludf.DUMMYFUNCTION("""COMPUTED_VALUE"""),0.04445)</f>
        <v>0.04445</v>
      </c>
      <c r="K5726" s="19" t="str">
        <f>IFERROR(__xludf.DUMMYFUNCTION("""COMPUTED_VALUE"""),"-")</f>
        <v>-</v>
      </c>
      <c r="L5726" s="19" t="str">
        <f>IFERROR(__xludf.DUMMYFUNCTION("""COMPUTED_VALUE"""),"-")</f>
        <v>-</v>
      </c>
      <c r="O5726" s="24">
        <f t="shared" si="4"/>
        <v>0</v>
      </c>
      <c r="P5726" s="24"/>
      <c r="Q5726" s="24">
        <f t="shared" si="6"/>
        <v>0</v>
      </c>
      <c r="R5726" s="24">
        <f t="shared" si="7"/>
        <v>1</v>
      </c>
      <c r="S5726" s="24"/>
      <c r="T5726" s="24"/>
    </row>
    <row r="5727">
      <c r="A5727" s="12" t="s">
        <v>5814</v>
      </c>
      <c r="F5727" s="19">
        <f>IFERROR(__xludf.DUMMYFUNCTION("SPLIT(A5723, "" |"")"),5721.0)</f>
        <v>5721</v>
      </c>
      <c r="G5727" s="19">
        <f>IFERROR(__xludf.DUMMYFUNCTION("""COMPUTED_VALUE"""),0.00255)</f>
        <v>0.00255</v>
      </c>
      <c r="H5727" s="19" t="str">
        <f>IFERROR(__xludf.DUMMYFUNCTION("""COMPUTED_VALUE"""),"-")</f>
        <v>-</v>
      </c>
      <c r="I5727" s="19">
        <f>IFERROR(__xludf.DUMMYFUNCTION("""COMPUTED_VALUE"""),0.00233)</f>
        <v>0.00233</v>
      </c>
      <c r="J5727" s="19">
        <f>IFERROR(__xludf.DUMMYFUNCTION("""COMPUTED_VALUE"""),0.0475)</f>
        <v>0.0475</v>
      </c>
      <c r="K5727" s="19" t="str">
        <f>IFERROR(__xludf.DUMMYFUNCTION("""COMPUTED_VALUE"""),"-")</f>
        <v>-</v>
      </c>
      <c r="L5727" s="19" t="str">
        <f>IFERROR(__xludf.DUMMYFUNCTION("""COMPUTED_VALUE"""),"-")</f>
        <v>-</v>
      </c>
      <c r="O5727" s="24">
        <f t="shared" si="4"/>
        <v>0</v>
      </c>
      <c r="P5727" s="24"/>
      <c r="Q5727" s="24">
        <f t="shared" si="6"/>
        <v>0</v>
      </c>
      <c r="R5727" s="24">
        <f t="shared" si="7"/>
        <v>0</v>
      </c>
      <c r="S5727" s="24"/>
      <c r="T5727" s="24"/>
    </row>
    <row r="5728">
      <c r="A5728" s="12" t="s">
        <v>5815</v>
      </c>
      <c r="F5728" s="19">
        <f>IFERROR(__xludf.DUMMYFUNCTION("SPLIT(A5724, "" |"")"),5722.0)</f>
        <v>5722</v>
      </c>
      <c r="G5728" s="19">
        <f>IFERROR(__xludf.DUMMYFUNCTION("""COMPUTED_VALUE"""),0.00235)</f>
        <v>0.00235</v>
      </c>
      <c r="H5728" s="19" t="str">
        <f>IFERROR(__xludf.DUMMYFUNCTION("""COMPUTED_VALUE"""),"-")</f>
        <v>-</v>
      </c>
      <c r="I5728" s="19">
        <f>IFERROR(__xludf.DUMMYFUNCTION("""COMPUTED_VALUE"""),0.00222)</f>
        <v>0.00222</v>
      </c>
      <c r="J5728" s="19">
        <f>IFERROR(__xludf.DUMMYFUNCTION("""COMPUTED_VALUE"""),0.04741)</f>
        <v>0.04741</v>
      </c>
      <c r="K5728" s="19" t="str">
        <f>IFERROR(__xludf.DUMMYFUNCTION("""COMPUTED_VALUE"""),"-")</f>
        <v>-</v>
      </c>
      <c r="L5728" s="19" t="str">
        <f>IFERROR(__xludf.DUMMYFUNCTION("""COMPUTED_VALUE"""),"-")</f>
        <v>-</v>
      </c>
      <c r="O5728" s="24">
        <f t="shared" si="4"/>
        <v>0</v>
      </c>
      <c r="P5728" s="24"/>
      <c r="Q5728" s="24">
        <f t="shared" si="6"/>
        <v>0</v>
      </c>
      <c r="R5728" s="24">
        <f t="shared" si="7"/>
        <v>0</v>
      </c>
      <c r="S5728" s="24"/>
      <c r="T5728" s="24"/>
    </row>
    <row r="5729">
      <c r="A5729" s="12" t="s">
        <v>5816</v>
      </c>
      <c r="F5729" s="19">
        <f>IFERROR(__xludf.DUMMYFUNCTION("SPLIT(A5725, "" |"")"),5723.0)</f>
        <v>5723</v>
      </c>
      <c r="G5729" s="19">
        <f>IFERROR(__xludf.DUMMYFUNCTION("""COMPUTED_VALUE"""),0.00225)</f>
        <v>0.00225</v>
      </c>
      <c r="H5729" s="19" t="str">
        <f>IFERROR(__xludf.DUMMYFUNCTION("""COMPUTED_VALUE"""),"-")</f>
        <v>-</v>
      </c>
      <c r="I5729" s="19">
        <f>IFERROR(__xludf.DUMMYFUNCTION("""COMPUTED_VALUE"""),0.00212)</f>
        <v>0.00212</v>
      </c>
      <c r="J5729" s="19">
        <f>IFERROR(__xludf.DUMMYFUNCTION("""COMPUTED_VALUE"""),0.04734)</f>
        <v>0.04734</v>
      </c>
      <c r="K5729" s="19" t="str">
        <f>IFERROR(__xludf.DUMMYFUNCTION("""COMPUTED_VALUE"""),"-")</f>
        <v>-</v>
      </c>
      <c r="L5729" s="19" t="str">
        <f>IFERROR(__xludf.DUMMYFUNCTION("""COMPUTED_VALUE"""),"-")</f>
        <v>-</v>
      </c>
      <c r="O5729" s="24">
        <f t="shared" si="4"/>
        <v>0</v>
      </c>
      <c r="P5729" s="24"/>
      <c r="Q5729" s="24">
        <f t="shared" si="6"/>
        <v>0</v>
      </c>
      <c r="R5729" s="24">
        <f t="shared" si="7"/>
        <v>0</v>
      </c>
      <c r="S5729" s="24"/>
      <c r="T5729" s="24"/>
    </row>
    <row r="5730">
      <c r="A5730" s="12" t="s">
        <v>5817</v>
      </c>
      <c r="F5730" s="19">
        <f>IFERROR(__xludf.DUMMYFUNCTION("SPLIT(A5726, "" |"")"),5724.0)</f>
        <v>5724</v>
      </c>
      <c r="G5730" s="19">
        <f>IFERROR(__xludf.DUMMYFUNCTION("""COMPUTED_VALUE"""),0.00224)</f>
        <v>0.00224</v>
      </c>
      <c r="H5730" s="19" t="str">
        <f>IFERROR(__xludf.DUMMYFUNCTION("""COMPUTED_VALUE"""),"-")</f>
        <v>-</v>
      </c>
      <c r="I5730" s="19">
        <f>IFERROR(__xludf.DUMMYFUNCTION("""COMPUTED_VALUE"""),0.00209)</f>
        <v>0.00209</v>
      </c>
      <c r="J5730" s="19">
        <f>IFERROR(__xludf.DUMMYFUNCTION("""COMPUTED_VALUE"""),0.04733)</f>
        <v>0.04733</v>
      </c>
      <c r="K5730" s="19" t="str">
        <f>IFERROR(__xludf.DUMMYFUNCTION("""COMPUTED_VALUE"""),"-")</f>
        <v>-</v>
      </c>
      <c r="L5730" s="19" t="str">
        <f>IFERROR(__xludf.DUMMYFUNCTION("""COMPUTED_VALUE"""),"-")</f>
        <v>-</v>
      </c>
      <c r="O5730" s="24">
        <f t="shared" si="4"/>
        <v>0</v>
      </c>
      <c r="P5730" s="24"/>
      <c r="Q5730" s="24">
        <f t="shared" si="6"/>
        <v>0</v>
      </c>
      <c r="R5730" s="24">
        <f t="shared" si="7"/>
        <v>0</v>
      </c>
      <c r="S5730" s="24"/>
      <c r="T5730" s="24"/>
    </row>
    <row r="5731">
      <c r="A5731" s="12" t="s">
        <v>5818</v>
      </c>
      <c r="F5731" s="19">
        <f>IFERROR(__xludf.DUMMYFUNCTION("SPLIT(A5727, "" |"")"),5725.0)</f>
        <v>5725</v>
      </c>
      <c r="G5731" s="19">
        <f>IFERROR(__xludf.DUMMYFUNCTION("""COMPUTED_VALUE"""),0.00232)</f>
        <v>0.00232</v>
      </c>
      <c r="H5731" s="19" t="str">
        <f>IFERROR(__xludf.DUMMYFUNCTION("""COMPUTED_VALUE"""),"-")</f>
        <v>-</v>
      </c>
      <c r="I5731" s="19">
        <f>IFERROR(__xludf.DUMMYFUNCTION("""COMPUTED_VALUE"""),0.00221)</f>
        <v>0.00221</v>
      </c>
      <c r="J5731" s="19">
        <f>IFERROR(__xludf.DUMMYFUNCTION("""COMPUTED_VALUE"""),0.0403)</f>
        <v>0.0403</v>
      </c>
      <c r="K5731" s="19" t="str">
        <f>IFERROR(__xludf.DUMMYFUNCTION("""COMPUTED_VALUE"""),"-")</f>
        <v>-</v>
      </c>
      <c r="L5731" s="19" t="str">
        <f>IFERROR(__xludf.DUMMYFUNCTION("""COMPUTED_VALUE"""),"-")</f>
        <v>-</v>
      </c>
      <c r="O5731" s="24">
        <f t="shared" si="4"/>
        <v>0</v>
      </c>
      <c r="P5731" s="24"/>
      <c r="Q5731" s="24">
        <f t="shared" si="6"/>
        <v>0</v>
      </c>
      <c r="R5731" s="24">
        <f t="shared" si="7"/>
        <v>1</v>
      </c>
      <c r="S5731" s="24"/>
      <c r="T5731" s="24"/>
    </row>
    <row r="5732">
      <c r="A5732" s="12" t="s">
        <v>5819</v>
      </c>
      <c r="F5732" s="19">
        <f>IFERROR(__xludf.DUMMYFUNCTION("SPLIT(A5728, "" |"")"),5726.0)</f>
        <v>5726</v>
      </c>
      <c r="G5732" s="19">
        <f>IFERROR(__xludf.DUMMYFUNCTION("""COMPUTED_VALUE"""),0.00242)</f>
        <v>0.00242</v>
      </c>
      <c r="H5732" s="19" t="str">
        <f>IFERROR(__xludf.DUMMYFUNCTION("""COMPUTED_VALUE"""),"-")</f>
        <v>-</v>
      </c>
      <c r="I5732" s="19">
        <f>IFERROR(__xludf.DUMMYFUNCTION("""COMPUTED_VALUE"""),0.00223)</f>
        <v>0.00223</v>
      </c>
      <c r="J5732" s="19">
        <f>IFERROR(__xludf.DUMMYFUNCTION("""COMPUTED_VALUE"""),0.04744)</f>
        <v>0.04744</v>
      </c>
      <c r="K5732" s="19" t="str">
        <f>IFERROR(__xludf.DUMMYFUNCTION("""COMPUTED_VALUE"""),"-")</f>
        <v>-</v>
      </c>
      <c r="L5732" s="19" t="str">
        <f>IFERROR(__xludf.DUMMYFUNCTION("""COMPUTED_VALUE"""),"-")</f>
        <v>-</v>
      </c>
      <c r="O5732" s="24">
        <f t="shared" si="4"/>
        <v>0</v>
      </c>
      <c r="P5732" s="24"/>
      <c r="Q5732" s="24">
        <f t="shared" si="6"/>
        <v>0</v>
      </c>
      <c r="R5732" s="24">
        <f t="shared" si="7"/>
        <v>0</v>
      </c>
      <c r="S5732" s="24"/>
      <c r="T5732" s="24"/>
    </row>
    <row r="5733">
      <c r="A5733" s="12" t="s">
        <v>5820</v>
      </c>
      <c r="F5733" s="19">
        <f>IFERROR(__xludf.DUMMYFUNCTION("SPLIT(A5729, "" |"")"),5727.0)</f>
        <v>5727</v>
      </c>
      <c r="G5733" s="19">
        <f>IFERROR(__xludf.DUMMYFUNCTION("""COMPUTED_VALUE"""),0.00251)</f>
        <v>0.00251</v>
      </c>
      <c r="H5733" s="19" t="str">
        <f>IFERROR(__xludf.DUMMYFUNCTION("""COMPUTED_VALUE"""),"-")</f>
        <v>-</v>
      </c>
      <c r="I5733" s="19">
        <f>IFERROR(__xludf.DUMMYFUNCTION("""COMPUTED_VALUE"""),0.00229)</f>
        <v>0.00229</v>
      </c>
      <c r="J5733" s="19">
        <f>IFERROR(__xludf.DUMMYFUNCTION("""COMPUTED_VALUE"""),0.04752)</f>
        <v>0.04752</v>
      </c>
      <c r="K5733" s="19" t="str">
        <f>IFERROR(__xludf.DUMMYFUNCTION("""COMPUTED_VALUE"""),"-")</f>
        <v>-</v>
      </c>
      <c r="L5733" s="19" t="str">
        <f>IFERROR(__xludf.DUMMYFUNCTION("""COMPUTED_VALUE"""),"-")</f>
        <v>-</v>
      </c>
      <c r="O5733" s="24">
        <f t="shared" si="4"/>
        <v>0</v>
      </c>
      <c r="P5733" s="24"/>
      <c r="Q5733" s="24">
        <f t="shared" si="6"/>
        <v>0</v>
      </c>
      <c r="R5733" s="24">
        <f t="shared" si="7"/>
        <v>0</v>
      </c>
      <c r="S5733" s="24"/>
      <c r="T5733" s="24"/>
    </row>
    <row r="5734">
      <c r="A5734" s="12" t="s">
        <v>5821</v>
      </c>
      <c r="F5734" s="19">
        <f>IFERROR(__xludf.DUMMYFUNCTION("SPLIT(A5730, "" |"")"),5728.0)</f>
        <v>5728</v>
      </c>
      <c r="G5734" s="19">
        <f>IFERROR(__xludf.DUMMYFUNCTION("""COMPUTED_VALUE"""),0.00235)</f>
        <v>0.00235</v>
      </c>
      <c r="H5734" s="19" t="str">
        <f>IFERROR(__xludf.DUMMYFUNCTION("""COMPUTED_VALUE"""),"-")</f>
        <v>-</v>
      </c>
      <c r="I5734" s="19">
        <f>IFERROR(__xludf.DUMMYFUNCTION("""COMPUTED_VALUE"""),0.00222)</f>
        <v>0.00222</v>
      </c>
      <c r="J5734" s="19">
        <f>IFERROR(__xludf.DUMMYFUNCTION("""COMPUTED_VALUE"""),0.04747)</f>
        <v>0.04747</v>
      </c>
      <c r="K5734" s="19" t="str">
        <f>IFERROR(__xludf.DUMMYFUNCTION("""COMPUTED_VALUE"""),"-")</f>
        <v>-</v>
      </c>
      <c r="L5734" s="19" t="str">
        <f>IFERROR(__xludf.DUMMYFUNCTION("""COMPUTED_VALUE"""),"-")</f>
        <v>-</v>
      </c>
      <c r="O5734" s="24">
        <f t="shared" si="4"/>
        <v>0</v>
      </c>
      <c r="P5734" s="24"/>
      <c r="Q5734" s="24">
        <f t="shared" si="6"/>
        <v>0</v>
      </c>
      <c r="R5734" s="24">
        <f t="shared" si="7"/>
        <v>0</v>
      </c>
      <c r="S5734" s="24"/>
      <c r="T5734" s="24"/>
    </row>
    <row r="5735">
      <c r="A5735" s="12" t="s">
        <v>5822</v>
      </c>
      <c r="F5735" s="19">
        <f>IFERROR(__xludf.DUMMYFUNCTION("SPLIT(A5731, "" |"")"),5729.0)</f>
        <v>5729</v>
      </c>
      <c r="G5735" s="19">
        <f>IFERROR(__xludf.DUMMYFUNCTION("""COMPUTED_VALUE"""),0.0024)</f>
        <v>0.0024</v>
      </c>
      <c r="H5735" s="19" t="str">
        <f>IFERROR(__xludf.DUMMYFUNCTION("""COMPUTED_VALUE"""),"-")</f>
        <v>-</v>
      </c>
      <c r="I5735" s="19">
        <f>IFERROR(__xludf.DUMMYFUNCTION("""COMPUTED_VALUE"""),0.00227)</f>
        <v>0.00227</v>
      </c>
      <c r="J5735" s="19">
        <f>IFERROR(__xludf.DUMMYFUNCTION("""COMPUTED_VALUE"""),0.04749)</f>
        <v>0.04749</v>
      </c>
      <c r="K5735" s="19" t="str">
        <f>IFERROR(__xludf.DUMMYFUNCTION("""COMPUTED_VALUE"""),"-")</f>
        <v>-</v>
      </c>
      <c r="L5735" s="19" t="str">
        <f>IFERROR(__xludf.DUMMYFUNCTION("""COMPUTED_VALUE"""),"-")</f>
        <v>-</v>
      </c>
      <c r="O5735" s="24">
        <f t="shared" si="4"/>
        <v>0</v>
      </c>
      <c r="P5735" s="24"/>
      <c r="Q5735" s="24">
        <f t="shared" si="6"/>
        <v>0</v>
      </c>
      <c r="R5735" s="24">
        <f t="shared" si="7"/>
        <v>0</v>
      </c>
      <c r="S5735" s="24"/>
      <c r="T5735" s="24"/>
    </row>
    <row r="5736">
      <c r="A5736" s="12" t="s">
        <v>5823</v>
      </c>
      <c r="F5736" s="19">
        <f>IFERROR(__xludf.DUMMYFUNCTION("SPLIT(A5732, "" |"")"),5730.0)</f>
        <v>5730</v>
      </c>
      <c r="G5736" s="19">
        <f>IFERROR(__xludf.DUMMYFUNCTION("""COMPUTED_VALUE"""),0.00234)</f>
        <v>0.00234</v>
      </c>
      <c r="H5736" s="19" t="str">
        <f>IFERROR(__xludf.DUMMYFUNCTION("""COMPUTED_VALUE"""),"-")</f>
        <v>-</v>
      </c>
      <c r="I5736" s="19">
        <f>IFERROR(__xludf.DUMMYFUNCTION("""COMPUTED_VALUE"""),0.00224)</f>
        <v>0.00224</v>
      </c>
      <c r="J5736" s="19">
        <f>IFERROR(__xludf.DUMMYFUNCTION("""COMPUTED_VALUE"""),0.04742)</f>
        <v>0.04742</v>
      </c>
      <c r="K5736" s="19" t="str">
        <f>IFERROR(__xludf.DUMMYFUNCTION("""COMPUTED_VALUE"""),"-")</f>
        <v>-</v>
      </c>
      <c r="L5736" s="19" t="str">
        <f>IFERROR(__xludf.DUMMYFUNCTION("""COMPUTED_VALUE"""),"-")</f>
        <v>-</v>
      </c>
      <c r="O5736" s="24">
        <f t="shared" si="4"/>
        <v>0</v>
      </c>
      <c r="P5736" s="24"/>
      <c r="Q5736" s="24">
        <f t="shared" si="6"/>
        <v>0</v>
      </c>
      <c r="R5736" s="24">
        <f t="shared" si="7"/>
        <v>0</v>
      </c>
      <c r="S5736" s="24"/>
      <c r="T5736" s="24"/>
    </row>
    <row r="5737">
      <c r="A5737" s="12" t="s">
        <v>5824</v>
      </c>
      <c r="F5737" s="19">
        <f>IFERROR(__xludf.DUMMYFUNCTION("SPLIT(A5733, "" |"")"),5731.0)</f>
        <v>5731</v>
      </c>
      <c r="G5737" s="19">
        <f>IFERROR(__xludf.DUMMYFUNCTION("""COMPUTED_VALUE"""),0.00237)</f>
        <v>0.00237</v>
      </c>
      <c r="H5737" s="19" t="str">
        <f>IFERROR(__xludf.DUMMYFUNCTION("""COMPUTED_VALUE"""),"-")</f>
        <v>-</v>
      </c>
      <c r="I5737" s="19">
        <f>IFERROR(__xludf.DUMMYFUNCTION("""COMPUTED_VALUE"""),0.00221)</f>
        <v>0.00221</v>
      </c>
      <c r="J5737" s="19">
        <f>IFERROR(__xludf.DUMMYFUNCTION("""COMPUTED_VALUE"""),0.04746)</f>
        <v>0.04746</v>
      </c>
      <c r="K5737" s="19" t="str">
        <f>IFERROR(__xludf.DUMMYFUNCTION("""COMPUTED_VALUE"""),"-")</f>
        <v>-</v>
      </c>
      <c r="L5737" s="19" t="str">
        <f>IFERROR(__xludf.DUMMYFUNCTION("""COMPUTED_VALUE"""),"-")</f>
        <v>-</v>
      </c>
      <c r="O5737" s="24">
        <f t="shared" si="4"/>
        <v>0</v>
      </c>
      <c r="P5737" s="24"/>
      <c r="Q5737" s="24">
        <f t="shared" si="6"/>
        <v>0</v>
      </c>
      <c r="R5737" s="24">
        <f t="shared" si="7"/>
        <v>0</v>
      </c>
      <c r="S5737" s="24"/>
      <c r="T5737" s="24"/>
    </row>
    <row r="5738">
      <c r="A5738" s="12" t="s">
        <v>5825</v>
      </c>
      <c r="F5738" s="19">
        <f>IFERROR(__xludf.DUMMYFUNCTION("SPLIT(A5734, "" |"")"),5732.0)</f>
        <v>5732</v>
      </c>
      <c r="G5738" s="19">
        <f>IFERROR(__xludf.DUMMYFUNCTION("""COMPUTED_VALUE"""),0.00236)</f>
        <v>0.00236</v>
      </c>
      <c r="H5738" s="19" t="str">
        <f>IFERROR(__xludf.DUMMYFUNCTION("""COMPUTED_VALUE"""),"-")</f>
        <v>-</v>
      </c>
      <c r="I5738" s="19">
        <f>IFERROR(__xludf.DUMMYFUNCTION("""COMPUTED_VALUE"""),0.00222)</f>
        <v>0.00222</v>
      </c>
      <c r="J5738" s="19">
        <f>IFERROR(__xludf.DUMMYFUNCTION("""COMPUTED_VALUE"""),0.04739)</f>
        <v>0.04739</v>
      </c>
      <c r="K5738" s="19" t="str">
        <f>IFERROR(__xludf.DUMMYFUNCTION("""COMPUTED_VALUE"""),"-")</f>
        <v>-</v>
      </c>
      <c r="L5738" s="19" t="str">
        <f>IFERROR(__xludf.DUMMYFUNCTION("""COMPUTED_VALUE"""),"-")</f>
        <v>-</v>
      </c>
      <c r="O5738" s="24">
        <f t="shared" si="4"/>
        <v>0</v>
      </c>
      <c r="P5738" s="24"/>
      <c r="Q5738" s="24">
        <f t="shared" si="6"/>
        <v>0</v>
      </c>
      <c r="R5738" s="24">
        <f t="shared" si="7"/>
        <v>0</v>
      </c>
      <c r="S5738" s="24"/>
      <c r="T5738" s="24"/>
    </row>
    <row r="5739">
      <c r="A5739" s="12" t="s">
        <v>5826</v>
      </c>
      <c r="F5739" s="19">
        <f>IFERROR(__xludf.DUMMYFUNCTION("SPLIT(A5735, "" |"")"),5733.0)</f>
        <v>5733</v>
      </c>
      <c r="G5739" s="19">
        <f>IFERROR(__xludf.DUMMYFUNCTION("""COMPUTED_VALUE"""),0.00247)</f>
        <v>0.00247</v>
      </c>
      <c r="H5739" s="19" t="str">
        <f>IFERROR(__xludf.DUMMYFUNCTION("""COMPUTED_VALUE"""),"-")</f>
        <v>-</v>
      </c>
      <c r="I5739" s="19">
        <f>IFERROR(__xludf.DUMMYFUNCTION("""COMPUTED_VALUE"""),0.0023)</f>
        <v>0.0023</v>
      </c>
      <c r="J5739" s="19">
        <f>IFERROR(__xludf.DUMMYFUNCTION("""COMPUTED_VALUE"""),0.04743)</f>
        <v>0.04743</v>
      </c>
      <c r="K5739" s="19" t="str">
        <f>IFERROR(__xludf.DUMMYFUNCTION("""COMPUTED_VALUE"""),"-")</f>
        <v>-</v>
      </c>
      <c r="L5739" s="19" t="str">
        <f>IFERROR(__xludf.DUMMYFUNCTION("""COMPUTED_VALUE"""),"-")</f>
        <v>-</v>
      </c>
      <c r="O5739" s="24">
        <f t="shared" si="4"/>
        <v>0</v>
      </c>
      <c r="P5739" s="24"/>
      <c r="Q5739" s="24">
        <f t="shared" si="6"/>
        <v>0</v>
      </c>
      <c r="R5739" s="24">
        <f t="shared" si="7"/>
        <v>0</v>
      </c>
      <c r="S5739" s="24"/>
      <c r="T5739" s="24"/>
    </row>
    <row r="5740">
      <c r="A5740" s="12" t="s">
        <v>5827</v>
      </c>
      <c r="F5740" s="19">
        <f>IFERROR(__xludf.DUMMYFUNCTION("SPLIT(A5736, "" |"")"),5734.0)</f>
        <v>5734</v>
      </c>
      <c r="G5740" s="19">
        <f>IFERROR(__xludf.DUMMYFUNCTION("""COMPUTED_VALUE"""),0.00241)</f>
        <v>0.00241</v>
      </c>
      <c r="H5740" s="19" t="str">
        <f>IFERROR(__xludf.DUMMYFUNCTION("""COMPUTED_VALUE"""),"-")</f>
        <v>-</v>
      </c>
      <c r="I5740" s="19">
        <f>IFERROR(__xludf.DUMMYFUNCTION("""COMPUTED_VALUE"""),0.00225)</f>
        <v>0.00225</v>
      </c>
      <c r="J5740" s="19">
        <f>IFERROR(__xludf.DUMMYFUNCTION("""COMPUTED_VALUE"""),0.04747)</f>
        <v>0.04747</v>
      </c>
      <c r="K5740" s="19" t="str">
        <f>IFERROR(__xludf.DUMMYFUNCTION("""COMPUTED_VALUE"""),"-")</f>
        <v>-</v>
      </c>
      <c r="L5740" s="19" t="str">
        <f>IFERROR(__xludf.DUMMYFUNCTION("""COMPUTED_VALUE"""),"-")</f>
        <v>-</v>
      </c>
      <c r="O5740" s="24">
        <f t="shared" si="4"/>
        <v>0</v>
      </c>
      <c r="P5740" s="24"/>
      <c r="Q5740" s="24">
        <f t="shared" si="6"/>
        <v>0</v>
      </c>
      <c r="R5740" s="24">
        <f t="shared" si="7"/>
        <v>0</v>
      </c>
      <c r="S5740" s="24"/>
      <c r="T5740" s="24"/>
    </row>
    <row r="5741">
      <c r="A5741" s="12" t="s">
        <v>5828</v>
      </c>
      <c r="F5741" s="19">
        <f>IFERROR(__xludf.DUMMYFUNCTION("SPLIT(A5737, "" |"")"),5735.0)</f>
        <v>5735</v>
      </c>
      <c r="G5741" s="19">
        <f>IFERROR(__xludf.DUMMYFUNCTION("""COMPUTED_VALUE"""),0.00235)</f>
        <v>0.00235</v>
      </c>
      <c r="H5741" s="19" t="str">
        <f>IFERROR(__xludf.DUMMYFUNCTION("""COMPUTED_VALUE"""),"-")</f>
        <v>-</v>
      </c>
      <c r="I5741" s="19">
        <f>IFERROR(__xludf.DUMMYFUNCTION("""COMPUTED_VALUE"""),0.00223)</f>
        <v>0.00223</v>
      </c>
      <c r="J5741" s="19">
        <f>IFERROR(__xludf.DUMMYFUNCTION("""COMPUTED_VALUE"""),0.04739)</f>
        <v>0.04739</v>
      </c>
      <c r="K5741" s="19" t="str">
        <f>IFERROR(__xludf.DUMMYFUNCTION("""COMPUTED_VALUE"""),"-")</f>
        <v>-</v>
      </c>
      <c r="L5741" s="19" t="str">
        <f>IFERROR(__xludf.DUMMYFUNCTION("""COMPUTED_VALUE"""),"-")</f>
        <v>-</v>
      </c>
      <c r="O5741" s="24">
        <f t="shared" si="4"/>
        <v>0</v>
      </c>
      <c r="P5741" s="24"/>
      <c r="Q5741" s="24">
        <f t="shared" si="6"/>
        <v>0</v>
      </c>
      <c r="R5741" s="24">
        <f t="shared" si="7"/>
        <v>0</v>
      </c>
      <c r="S5741" s="24"/>
      <c r="T5741" s="24"/>
    </row>
    <row r="5742">
      <c r="A5742" s="12" t="s">
        <v>5829</v>
      </c>
      <c r="F5742" s="19">
        <f>IFERROR(__xludf.DUMMYFUNCTION("SPLIT(A5738, "" |"")"),5736.0)</f>
        <v>5736</v>
      </c>
      <c r="G5742" s="19">
        <f>IFERROR(__xludf.DUMMYFUNCTION("""COMPUTED_VALUE"""),0.00232)</f>
        <v>0.00232</v>
      </c>
      <c r="H5742" s="19" t="str">
        <f>IFERROR(__xludf.DUMMYFUNCTION("""COMPUTED_VALUE"""),"-")</f>
        <v>-</v>
      </c>
      <c r="I5742" s="19">
        <f>IFERROR(__xludf.DUMMYFUNCTION("""COMPUTED_VALUE"""),0.00221)</f>
        <v>0.00221</v>
      </c>
      <c r="J5742" s="19">
        <f>IFERROR(__xludf.DUMMYFUNCTION("""COMPUTED_VALUE"""),0.04518)</f>
        <v>0.04518</v>
      </c>
      <c r="K5742" s="19" t="str">
        <f>IFERROR(__xludf.DUMMYFUNCTION("""COMPUTED_VALUE"""),"-")</f>
        <v>-</v>
      </c>
      <c r="L5742" s="19" t="str">
        <f>IFERROR(__xludf.DUMMYFUNCTION("""COMPUTED_VALUE"""),"-")</f>
        <v>-</v>
      </c>
      <c r="O5742" s="24">
        <f t="shared" si="4"/>
        <v>0</v>
      </c>
      <c r="P5742" s="24"/>
      <c r="Q5742" s="24">
        <f t="shared" si="6"/>
        <v>0</v>
      </c>
      <c r="R5742" s="24">
        <f t="shared" si="7"/>
        <v>0</v>
      </c>
      <c r="S5742" s="24"/>
      <c r="T5742" s="24"/>
    </row>
    <row r="5743">
      <c r="A5743" s="12" t="s">
        <v>5830</v>
      </c>
      <c r="F5743" s="19">
        <f>IFERROR(__xludf.DUMMYFUNCTION("SPLIT(A5739, "" |"")"),5737.0)</f>
        <v>5737</v>
      </c>
      <c r="G5743" s="19">
        <f>IFERROR(__xludf.DUMMYFUNCTION("""COMPUTED_VALUE"""),0.00226)</f>
        <v>0.00226</v>
      </c>
      <c r="H5743" s="19" t="str">
        <f>IFERROR(__xludf.DUMMYFUNCTION("""COMPUTED_VALUE"""),"-")</f>
        <v>-</v>
      </c>
      <c r="I5743" s="19">
        <f>IFERROR(__xludf.DUMMYFUNCTION("""COMPUTED_VALUE"""),0.00228)</f>
        <v>0.00228</v>
      </c>
      <c r="J5743" s="19">
        <f>IFERROR(__xludf.DUMMYFUNCTION("""COMPUTED_VALUE"""),0.04579)</f>
        <v>0.04579</v>
      </c>
      <c r="K5743" s="19" t="str">
        <f>IFERROR(__xludf.DUMMYFUNCTION("""COMPUTED_VALUE"""),"-")</f>
        <v>-</v>
      </c>
      <c r="L5743" s="19" t="str">
        <f>IFERROR(__xludf.DUMMYFUNCTION("""COMPUTED_VALUE"""),"-")</f>
        <v>-</v>
      </c>
      <c r="O5743" s="24">
        <f t="shared" si="4"/>
        <v>0</v>
      </c>
      <c r="P5743" s="24"/>
      <c r="Q5743" s="24">
        <f t="shared" si="6"/>
        <v>0</v>
      </c>
      <c r="R5743" s="24">
        <f t="shared" si="7"/>
        <v>0</v>
      </c>
      <c r="S5743" s="24"/>
      <c r="T5743" s="24"/>
    </row>
    <row r="5744">
      <c r="A5744" s="12" t="s">
        <v>5831</v>
      </c>
      <c r="F5744" s="19">
        <f>IFERROR(__xludf.DUMMYFUNCTION("SPLIT(A5740, "" |"")"),5738.0)</f>
        <v>5738</v>
      </c>
      <c r="G5744" s="19">
        <f>IFERROR(__xludf.DUMMYFUNCTION("""COMPUTED_VALUE"""),0.00251)</f>
        <v>0.00251</v>
      </c>
      <c r="H5744" s="19" t="str">
        <f>IFERROR(__xludf.DUMMYFUNCTION("""COMPUTED_VALUE"""),"-")</f>
        <v>-</v>
      </c>
      <c r="I5744" s="19">
        <f>IFERROR(__xludf.DUMMYFUNCTION("""COMPUTED_VALUE"""),0.00221)</f>
        <v>0.00221</v>
      </c>
      <c r="J5744" s="19">
        <f>IFERROR(__xludf.DUMMYFUNCTION("""COMPUTED_VALUE"""),0.04742)</f>
        <v>0.04742</v>
      </c>
      <c r="K5744" s="19" t="str">
        <f>IFERROR(__xludf.DUMMYFUNCTION("""COMPUTED_VALUE"""),"-")</f>
        <v>-</v>
      </c>
      <c r="L5744" s="19" t="str">
        <f>IFERROR(__xludf.DUMMYFUNCTION("""COMPUTED_VALUE"""),"-")</f>
        <v>-</v>
      </c>
      <c r="O5744" s="24">
        <f t="shared" si="4"/>
        <v>0</v>
      </c>
      <c r="P5744" s="24"/>
      <c r="Q5744" s="24">
        <f t="shared" si="6"/>
        <v>0</v>
      </c>
      <c r="R5744" s="24">
        <f t="shared" si="7"/>
        <v>0</v>
      </c>
      <c r="S5744" s="24"/>
      <c r="T5744" s="24"/>
    </row>
    <row r="5745">
      <c r="A5745" s="12" t="s">
        <v>5832</v>
      </c>
      <c r="F5745" s="19">
        <f>IFERROR(__xludf.DUMMYFUNCTION("SPLIT(A5741, "" |"")"),5739.0)</f>
        <v>5739</v>
      </c>
      <c r="G5745" s="19">
        <f>IFERROR(__xludf.DUMMYFUNCTION("""COMPUTED_VALUE"""),0.00235)</f>
        <v>0.00235</v>
      </c>
      <c r="H5745" s="19" t="str">
        <f>IFERROR(__xludf.DUMMYFUNCTION("""COMPUTED_VALUE"""),"-")</f>
        <v>-</v>
      </c>
      <c r="I5745" s="19">
        <f>IFERROR(__xludf.DUMMYFUNCTION("""COMPUTED_VALUE"""),0.0022)</f>
        <v>0.0022</v>
      </c>
      <c r="J5745" s="19">
        <f>IFERROR(__xludf.DUMMYFUNCTION("""COMPUTED_VALUE"""),0.04739)</f>
        <v>0.04739</v>
      </c>
      <c r="K5745" s="19" t="str">
        <f>IFERROR(__xludf.DUMMYFUNCTION("""COMPUTED_VALUE"""),"-")</f>
        <v>-</v>
      </c>
      <c r="L5745" s="19" t="str">
        <f>IFERROR(__xludf.DUMMYFUNCTION("""COMPUTED_VALUE"""),"-")</f>
        <v>-</v>
      </c>
      <c r="O5745" s="24">
        <f t="shared" si="4"/>
        <v>0</v>
      </c>
      <c r="P5745" s="24"/>
      <c r="Q5745" s="24">
        <f t="shared" si="6"/>
        <v>0</v>
      </c>
      <c r="R5745" s="24">
        <f t="shared" si="7"/>
        <v>0</v>
      </c>
      <c r="S5745" s="24"/>
      <c r="T5745" s="24"/>
    </row>
    <row r="5746">
      <c r="A5746" s="12" t="s">
        <v>5833</v>
      </c>
      <c r="F5746" s="19">
        <f>IFERROR(__xludf.DUMMYFUNCTION("SPLIT(A5742, "" |"")"),5740.0)</f>
        <v>5740</v>
      </c>
      <c r="G5746" s="19">
        <f>IFERROR(__xludf.DUMMYFUNCTION("""COMPUTED_VALUE"""),0.00245)</f>
        <v>0.00245</v>
      </c>
      <c r="H5746" s="19" t="str">
        <f>IFERROR(__xludf.DUMMYFUNCTION("""COMPUTED_VALUE"""),"-")</f>
        <v>-</v>
      </c>
      <c r="I5746" s="19">
        <f>IFERROR(__xludf.DUMMYFUNCTION("""COMPUTED_VALUE"""),0.00232)</f>
        <v>0.00232</v>
      </c>
      <c r="J5746" s="19">
        <f>IFERROR(__xludf.DUMMYFUNCTION("""COMPUTED_VALUE"""),0.04752)</f>
        <v>0.04752</v>
      </c>
      <c r="K5746" s="19" t="str">
        <f>IFERROR(__xludf.DUMMYFUNCTION("""COMPUTED_VALUE"""),"-")</f>
        <v>-</v>
      </c>
      <c r="L5746" s="19" t="str">
        <f>IFERROR(__xludf.DUMMYFUNCTION("""COMPUTED_VALUE"""),"-")</f>
        <v>-</v>
      </c>
      <c r="O5746" s="24">
        <f t="shared" si="4"/>
        <v>0</v>
      </c>
      <c r="P5746" s="24"/>
      <c r="Q5746" s="24">
        <f t="shared" si="6"/>
        <v>0</v>
      </c>
      <c r="R5746" s="24">
        <f t="shared" si="7"/>
        <v>0</v>
      </c>
      <c r="S5746" s="24"/>
      <c r="T5746" s="24"/>
    </row>
    <row r="5747">
      <c r="A5747" s="12" t="s">
        <v>5834</v>
      </c>
      <c r="F5747" s="19">
        <f>IFERROR(__xludf.DUMMYFUNCTION("SPLIT(A5743, "" |"")"),5741.0)</f>
        <v>5741</v>
      </c>
      <c r="G5747" s="19">
        <f>IFERROR(__xludf.DUMMYFUNCTION("""COMPUTED_VALUE"""),0.00235)</f>
        <v>0.00235</v>
      </c>
      <c r="H5747" s="19" t="str">
        <f>IFERROR(__xludf.DUMMYFUNCTION("""COMPUTED_VALUE"""),"-")</f>
        <v>-</v>
      </c>
      <c r="I5747" s="19">
        <f>IFERROR(__xludf.DUMMYFUNCTION("""COMPUTED_VALUE"""),0.00222)</f>
        <v>0.00222</v>
      </c>
      <c r="J5747" s="19">
        <f>IFERROR(__xludf.DUMMYFUNCTION("""COMPUTED_VALUE"""),0.04745)</f>
        <v>0.04745</v>
      </c>
      <c r="K5747" s="19" t="str">
        <f>IFERROR(__xludf.DUMMYFUNCTION("""COMPUTED_VALUE"""),"-")</f>
        <v>-</v>
      </c>
      <c r="L5747" s="19" t="str">
        <f>IFERROR(__xludf.DUMMYFUNCTION("""COMPUTED_VALUE"""),"-")</f>
        <v>-</v>
      </c>
      <c r="O5747" s="24">
        <f t="shared" si="4"/>
        <v>0</v>
      </c>
      <c r="P5747" s="24"/>
      <c r="Q5747" s="24">
        <f t="shared" si="6"/>
        <v>0</v>
      </c>
      <c r="R5747" s="24">
        <f t="shared" si="7"/>
        <v>0</v>
      </c>
      <c r="S5747" s="24"/>
      <c r="T5747" s="24"/>
    </row>
    <row r="5748">
      <c r="A5748" s="12" t="s">
        <v>5835</v>
      </c>
      <c r="F5748" s="19">
        <f>IFERROR(__xludf.DUMMYFUNCTION("SPLIT(A5744, "" |"")"),5742.0)</f>
        <v>5742</v>
      </c>
      <c r="G5748" s="19">
        <f>IFERROR(__xludf.DUMMYFUNCTION("""COMPUTED_VALUE"""),0.00228)</f>
        <v>0.00228</v>
      </c>
      <c r="H5748" s="19" t="str">
        <f>IFERROR(__xludf.DUMMYFUNCTION("""COMPUTED_VALUE"""),"-")</f>
        <v>-</v>
      </c>
      <c r="I5748" s="19">
        <f>IFERROR(__xludf.DUMMYFUNCTION("""COMPUTED_VALUE"""),0.0021)</f>
        <v>0.0021</v>
      </c>
      <c r="J5748" s="19">
        <f>IFERROR(__xludf.DUMMYFUNCTION("""COMPUTED_VALUE"""),0.04734)</f>
        <v>0.04734</v>
      </c>
      <c r="K5748" s="19" t="str">
        <f>IFERROR(__xludf.DUMMYFUNCTION("""COMPUTED_VALUE"""),"-")</f>
        <v>-</v>
      </c>
      <c r="L5748" s="19" t="str">
        <f>IFERROR(__xludf.DUMMYFUNCTION("""COMPUTED_VALUE"""),"-")</f>
        <v>-</v>
      </c>
      <c r="O5748" s="24">
        <f t="shared" si="4"/>
        <v>0</v>
      </c>
      <c r="P5748" s="24"/>
      <c r="Q5748" s="24">
        <f t="shared" si="6"/>
        <v>0</v>
      </c>
      <c r="R5748" s="24">
        <f t="shared" si="7"/>
        <v>0</v>
      </c>
      <c r="S5748" s="24"/>
      <c r="T5748" s="24"/>
    </row>
    <row r="5749">
      <c r="A5749" s="12" t="s">
        <v>5836</v>
      </c>
      <c r="F5749" s="19">
        <f>IFERROR(__xludf.DUMMYFUNCTION("SPLIT(A5745, "" |"")"),5743.0)</f>
        <v>5743</v>
      </c>
      <c r="G5749" s="19">
        <f>IFERROR(__xludf.DUMMYFUNCTION("""COMPUTED_VALUE"""),0.00239)</f>
        <v>0.00239</v>
      </c>
      <c r="H5749" s="19" t="str">
        <f>IFERROR(__xludf.DUMMYFUNCTION("""COMPUTED_VALUE"""),"-")</f>
        <v>-</v>
      </c>
      <c r="I5749" s="19">
        <f>IFERROR(__xludf.DUMMYFUNCTION("""COMPUTED_VALUE"""),0.0022)</f>
        <v>0.0022</v>
      </c>
      <c r="J5749" s="19">
        <f>IFERROR(__xludf.DUMMYFUNCTION("""COMPUTED_VALUE"""),0.04733)</f>
        <v>0.04733</v>
      </c>
      <c r="K5749" s="19" t="str">
        <f>IFERROR(__xludf.DUMMYFUNCTION("""COMPUTED_VALUE"""),"-")</f>
        <v>-</v>
      </c>
      <c r="L5749" s="19" t="str">
        <f>IFERROR(__xludf.DUMMYFUNCTION("""COMPUTED_VALUE"""),"-")</f>
        <v>-</v>
      </c>
      <c r="O5749" s="24">
        <f t="shared" si="4"/>
        <v>0</v>
      </c>
      <c r="P5749" s="24"/>
      <c r="Q5749" s="24">
        <f t="shared" si="6"/>
        <v>0</v>
      </c>
      <c r="R5749" s="24">
        <f t="shared" si="7"/>
        <v>0</v>
      </c>
      <c r="S5749" s="24"/>
      <c r="T5749" s="24"/>
    </row>
    <row r="5750">
      <c r="A5750" s="12" t="s">
        <v>5837</v>
      </c>
      <c r="F5750" s="19">
        <f>IFERROR(__xludf.DUMMYFUNCTION("SPLIT(A5746, "" |"")"),5744.0)</f>
        <v>5744</v>
      </c>
      <c r="G5750" s="19">
        <f>IFERROR(__xludf.DUMMYFUNCTION("""COMPUTED_VALUE"""),0.00237)</f>
        <v>0.00237</v>
      </c>
      <c r="H5750" s="19" t="str">
        <f>IFERROR(__xludf.DUMMYFUNCTION("""COMPUTED_VALUE"""),"-")</f>
        <v>-</v>
      </c>
      <c r="I5750" s="19">
        <f>IFERROR(__xludf.DUMMYFUNCTION("""COMPUTED_VALUE"""),0.00225)</f>
        <v>0.00225</v>
      </c>
      <c r="J5750" s="19">
        <f>IFERROR(__xludf.DUMMYFUNCTION("""COMPUTED_VALUE"""),0.04745)</f>
        <v>0.04745</v>
      </c>
      <c r="K5750" s="19" t="str">
        <f>IFERROR(__xludf.DUMMYFUNCTION("""COMPUTED_VALUE"""),"-")</f>
        <v>-</v>
      </c>
      <c r="L5750" s="19" t="str">
        <f>IFERROR(__xludf.DUMMYFUNCTION("""COMPUTED_VALUE"""),"-")</f>
        <v>-</v>
      </c>
      <c r="O5750" s="24">
        <f t="shared" si="4"/>
        <v>0</v>
      </c>
      <c r="P5750" s="24"/>
      <c r="Q5750" s="24">
        <f t="shared" si="6"/>
        <v>0</v>
      </c>
      <c r="R5750" s="24">
        <f t="shared" si="7"/>
        <v>0</v>
      </c>
      <c r="S5750" s="24"/>
      <c r="T5750" s="24"/>
    </row>
    <row r="5751">
      <c r="A5751" s="12" t="s">
        <v>5838</v>
      </c>
      <c r="F5751" s="19">
        <f>IFERROR(__xludf.DUMMYFUNCTION("SPLIT(A5747, "" |"")"),5745.0)</f>
        <v>5745</v>
      </c>
      <c r="G5751" s="19">
        <f>IFERROR(__xludf.DUMMYFUNCTION("""COMPUTED_VALUE"""),0.00239)</f>
        <v>0.00239</v>
      </c>
      <c r="H5751" s="19" t="str">
        <f>IFERROR(__xludf.DUMMYFUNCTION("""COMPUTED_VALUE"""),"-")</f>
        <v>-</v>
      </c>
      <c r="I5751" s="19">
        <f>IFERROR(__xludf.DUMMYFUNCTION("""COMPUTED_VALUE"""),0.00224)</f>
        <v>0.00224</v>
      </c>
      <c r="J5751" s="19">
        <f>IFERROR(__xludf.DUMMYFUNCTION("""COMPUTED_VALUE"""),0.04748)</f>
        <v>0.04748</v>
      </c>
      <c r="K5751" s="19" t="str">
        <f>IFERROR(__xludf.DUMMYFUNCTION("""COMPUTED_VALUE"""),"-")</f>
        <v>-</v>
      </c>
      <c r="L5751" s="19" t="str">
        <f>IFERROR(__xludf.DUMMYFUNCTION("""COMPUTED_VALUE"""),"-")</f>
        <v>-</v>
      </c>
      <c r="O5751" s="24">
        <f t="shared" si="4"/>
        <v>0</v>
      </c>
      <c r="P5751" s="24"/>
      <c r="Q5751" s="24">
        <f t="shared" si="6"/>
        <v>0</v>
      </c>
      <c r="R5751" s="24">
        <f t="shared" si="7"/>
        <v>0</v>
      </c>
      <c r="S5751" s="24"/>
      <c r="T5751" s="24"/>
    </row>
    <row r="5752">
      <c r="A5752" s="12" t="s">
        <v>5839</v>
      </c>
      <c r="F5752" s="19">
        <f>IFERROR(__xludf.DUMMYFUNCTION("SPLIT(A5748, "" |"")"),5746.0)</f>
        <v>5746</v>
      </c>
      <c r="G5752" s="19">
        <f>IFERROR(__xludf.DUMMYFUNCTION("""COMPUTED_VALUE"""),0.00234)</f>
        <v>0.00234</v>
      </c>
      <c r="H5752" s="19" t="str">
        <f>IFERROR(__xludf.DUMMYFUNCTION("""COMPUTED_VALUE"""),"-")</f>
        <v>-</v>
      </c>
      <c r="I5752" s="19">
        <f>IFERROR(__xludf.DUMMYFUNCTION("""COMPUTED_VALUE"""),0.0022)</f>
        <v>0.0022</v>
      </c>
      <c r="J5752" s="19">
        <f>IFERROR(__xludf.DUMMYFUNCTION("""COMPUTED_VALUE"""),0.04746)</f>
        <v>0.04746</v>
      </c>
      <c r="K5752" s="19" t="str">
        <f>IFERROR(__xludf.DUMMYFUNCTION("""COMPUTED_VALUE"""),"-")</f>
        <v>-</v>
      </c>
      <c r="L5752" s="19" t="str">
        <f>IFERROR(__xludf.DUMMYFUNCTION("""COMPUTED_VALUE"""),"-")</f>
        <v>-</v>
      </c>
      <c r="O5752" s="24">
        <f t="shared" si="4"/>
        <v>0</v>
      </c>
      <c r="P5752" s="24"/>
      <c r="Q5752" s="24">
        <f t="shared" si="6"/>
        <v>0</v>
      </c>
      <c r="R5752" s="24">
        <f t="shared" si="7"/>
        <v>0</v>
      </c>
      <c r="S5752" s="24"/>
      <c r="T5752" s="24"/>
    </row>
    <row r="5753">
      <c r="A5753" s="12" t="s">
        <v>5840</v>
      </c>
      <c r="F5753" s="19">
        <f>IFERROR(__xludf.DUMMYFUNCTION("SPLIT(A5749, "" |"")"),5747.0)</f>
        <v>5747</v>
      </c>
      <c r="G5753" s="19">
        <f>IFERROR(__xludf.DUMMYFUNCTION("""COMPUTED_VALUE"""),0.0024)</f>
        <v>0.0024</v>
      </c>
      <c r="H5753" s="19" t="str">
        <f>IFERROR(__xludf.DUMMYFUNCTION("""COMPUTED_VALUE"""),"-")</f>
        <v>-</v>
      </c>
      <c r="I5753" s="19">
        <f>IFERROR(__xludf.DUMMYFUNCTION("""COMPUTED_VALUE"""),0.00218)</f>
        <v>0.00218</v>
      </c>
      <c r="J5753" s="19">
        <f>IFERROR(__xludf.DUMMYFUNCTION("""COMPUTED_VALUE"""),0.04745)</f>
        <v>0.04745</v>
      </c>
      <c r="K5753" s="19" t="str">
        <f>IFERROR(__xludf.DUMMYFUNCTION("""COMPUTED_VALUE"""),"-")</f>
        <v>-</v>
      </c>
      <c r="L5753" s="19" t="str">
        <f>IFERROR(__xludf.DUMMYFUNCTION("""COMPUTED_VALUE"""),"-")</f>
        <v>-</v>
      </c>
      <c r="O5753" s="24">
        <f t="shared" si="4"/>
        <v>0</v>
      </c>
      <c r="P5753" s="24"/>
      <c r="Q5753" s="24">
        <f t="shared" si="6"/>
        <v>0</v>
      </c>
      <c r="R5753" s="24">
        <f t="shared" si="7"/>
        <v>0</v>
      </c>
      <c r="S5753" s="24"/>
      <c r="T5753" s="24"/>
    </row>
    <row r="5754">
      <c r="A5754" s="12" t="s">
        <v>5841</v>
      </c>
      <c r="F5754" s="19">
        <f>IFERROR(__xludf.DUMMYFUNCTION("SPLIT(A5750, "" |"")"),5748.0)</f>
        <v>5748</v>
      </c>
      <c r="G5754" s="19">
        <f>IFERROR(__xludf.DUMMYFUNCTION("""COMPUTED_VALUE"""),0.00239)</f>
        <v>0.00239</v>
      </c>
      <c r="H5754" s="19" t="str">
        <f>IFERROR(__xludf.DUMMYFUNCTION("""COMPUTED_VALUE"""),"-")</f>
        <v>-</v>
      </c>
      <c r="I5754" s="19">
        <f>IFERROR(__xludf.DUMMYFUNCTION("""COMPUTED_VALUE"""),0.00215)</f>
        <v>0.00215</v>
      </c>
      <c r="J5754" s="19">
        <f>IFERROR(__xludf.DUMMYFUNCTION("""COMPUTED_VALUE"""),0.04746)</f>
        <v>0.04746</v>
      </c>
      <c r="K5754" s="19" t="str">
        <f>IFERROR(__xludf.DUMMYFUNCTION("""COMPUTED_VALUE"""),"-")</f>
        <v>-</v>
      </c>
      <c r="L5754" s="19" t="str">
        <f>IFERROR(__xludf.DUMMYFUNCTION("""COMPUTED_VALUE"""),"-")</f>
        <v>-</v>
      </c>
      <c r="O5754" s="24">
        <f t="shared" si="4"/>
        <v>0</v>
      </c>
      <c r="P5754" s="24"/>
      <c r="Q5754" s="24">
        <f t="shared" si="6"/>
        <v>0</v>
      </c>
      <c r="R5754" s="24">
        <f t="shared" si="7"/>
        <v>0</v>
      </c>
      <c r="S5754" s="24"/>
      <c r="T5754" s="24"/>
    </row>
    <row r="5755">
      <c r="A5755" s="12" t="s">
        <v>5842</v>
      </c>
      <c r="F5755" s="19">
        <f>IFERROR(__xludf.DUMMYFUNCTION("SPLIT(A5751, "" |"")"),5749.0)</f>
        <v>5749</v>
      </c>
      <c r="G5755" s="19">
        <f>IFERROR(__xludf.DUMMYFUNCTION("""COMPUTED_VALUE"""),0.00241)</f>
        <v>0.00241</v>
      </c>
      <c r="H5755" s="19" t="str">
        <f>IFERROR(__xludf.DUMMYFUNCTION("""COMPUTED_VALUE"""),"-")</f>
        <v>-</v>
      </c>
      <c r="I5755" s="19">
        <f>IFERROR(__xludf.DUMMYFUNCTION("""COMPUTED_VALUE"""),0.00229)</f>
        <v>0.00229</v>
      </c>
      <c r="J5755" s="19">
        <f>IFERROR(__xludf.DUMMYFUNCTION("""COMPUTED_VALUE"""),0.04575)</f>
        <v>0.04575</v>
      </c>
      <c r="K5755" s="19" t="str">
        <f>IFERROR(__xludf.DUMMYFUNCTION("""COMPUTED_VALUE"""),"-")</f>
        <v>-</v>
      </c>
      <c r="L5755" s="19" t="str">
        <f>IFERROR(__xludf.DUMMYFUNCTION("""COMPUTED_VALUE"""),"-")</f>
        <v>-</v>
      </c>
      <c r="O5755" s="24">
        <f t="shared" si="4"/>
        <v>0</v>
      </c>
      <c r="P5755" s="24"/>
      <c r="Q5755" s="24">
        <f t="shared" si="6"/>
        <v>0</v>
      </c>
      <c r="R5755" s="24">
        <f t="shared" si="7"/>
        <v>0</v>
      </c>
      <c r="S5755" s="24"/>
      <c r="T5755" s="24"/>
    </row>
    <row r="5756">
      <c r="A5756" s="12" t="s">
        <v>5843</v>
      </c>
      <c r="F5756" s="19">
        <f>IFERROR(__xludf.DUMMYFUNCTION("SPLIT(A5752, "" |"")"),5750.0)</f>
        <v>5750</v>
      </c>
      <c r="G5756" s="19">
        <f>IFERROR(__xludf.DUMMYFUNCTION("""COMPUTED_VALUE"""),0.00237)</f>
        <v>0.00237</v>
      </c>
      <c r="H5756" s="19" t="str">
        <f>IFERROR(__xludf.DUMMYFUNCTION("""COMPUTED_VALUE"""),"-")</f>
        <v>-</v>
      </c>
      <c r="I5756" s="19">
        <f>IFERROR(__xludf.DUMMYFUNCTION("""COMPUTED_VALUE"""),0.00228)</f>
        <v>0.00228</v>
      </c>
      <c r="J5756" s="19">
        <f>IFERROR(__xludf.DUMMYFUNCTION("""COMPUTED_VALUE"""),0.04535)</f>
        <v>0.04535</v>
      </c>
      <c r="K5756" s="19" t="str">
        <f>IFERROR(__xludf.DUMMYFUNCTION("""COMPUTED_VALUE"""),"-")</f>
        <v>-</v>
      </c>
      <c r="L5756" s="19" t="str">
        <f>IFERROR(__xludf.DUMMYFUNCTION("""COMPUTED_VALUE"""),"-")</f>
        <v>-</v>
      </c>
      <c r="O5756" s="24">
        <f t="shared" si="4"/>
        <v>0</v>
      </c>
      <c r="P5756" s="24"/>
      <c r="Q5756" s="24">
        <f t="shared" si="6"/>
        <v>0</v>
      </c>
      <c r="R5756" s="24">
        <f t="shared" si="7"/>
        <v>0</v>
      </c>
      <c r="S5756" s="24"/>
      <c r="T5756" s="24"/>
    </row>
    <row r="5757">
      <c r="A5757" s="12" t="s">
        <v>5844</v>
      </c>
      <c r="F5757" s="19">
        <f>IFERROR(__xludf.DUMMYFUNCTION("SPLIT(A5753, "" |"")"),5751.0)</f>
        <v>5751</v>
      </c>
      <c r="G5757" s="19">
        <f>IFERROR(__xludf.DUMMYFUNCTION("""COMPUTED_VALUE"""),0.00238)</f>
        <v>0.00238</v>
      </c>
      <c r="H5757" s="19" t="str">
        <f>IFERROR(__xludf.DUMMYFUNCTION("""COMPUTED_VALUE"""),"-")</f>
        <v>-</v>
      </c>
      <c r="I5757" s="19">
        <f>IFERROR(__xludf.DUMMYFUNCTION("""COMPUTED_VALUE"""),0.00225)</f>
        <v>0.00225</v>
      </c>
      <c r="J5757" s="19">
        <f>IFERROR(__xludf.DUMMYFUNCTION("""COMPUTED_VALUE"""),0.0472)</f>
        <v>0.0472</v>
      </c>
      <c r="K5757" s="19" t="str">
        <f>IFERROR(__xludf.DUMMYFUNCTION("""COMPUTED_VALUE"""),"-")</f>
        <v>-</v>
      </c>
      <c r="L5757" s="19" t="str">
        <f>IFERROR(__xludf.DUMMYFUNCTION("""COMPUTED_VALUE"""),"-")</f>
        <v>-</v>
      </c>
      <c r="O5757" s="24">
        <f t="shared" si="4"/>
        <v>0</v>
      </c>
      <c r="P5757" s="24"/>
      <c r="Q5757" s="24">
        <f t="shared" si="6"/>
        <v>0</v>
      </c>
      <c r="R5757" s="24">
        <f t="shared" si="7"/>
        <v>0</v>
      </c>
      <c r="S5757" s="24"/>
      <c r="T5757" s="24"/>
    </row>
    <row r="5758">
      <c r="A5758" s="12" t="s">
        <v>5845</v>
      </c>
      <c r="F5758" s="19">
        <f>IFERROR(__xludf.DUMMYFUNCTION("SPLIT(A5754, "" |"")"),5752.0)</f>
        <v>5752</v>
      </c>
      <c r="G5758" s="19">
        <f>IFERROR(__xludf.DUMMYFUNCTION("""COMPUTED_VALUE"""),0.00232)</f>
        <v>0.00232</v>
      </c>
      <c r="H5758" s="19" t="str">
        <f>IFERROR(__xludf.DUMMYFUNCTION("""COMPUTED_VALUE"""),"-")</f>
        <v>-</v>
      </c>
      <c r="I5758" s="19">
        <f>IFERROR(__xludf.DUMMYFUNCTION("""COMPUTED_VALUE"""),0.00217)</f>
        <v>0.00217</v>
      </c>
      <c r="J5758" s="19">
        <f>IFERROR(__xludf.DUMMYFUNCTION("""COMPUTED_VALUE"""),0.04743)</f>
        <v>0.04743</v>
      </c>
      <c r="K5758" s="19" t="str">
        <f>IFERROR(__xludf.DUMMYFUNCTION("""COMPUTED_VALUE"""),"-")</f>
        <v>-</v>
      </c>
      <c r="L5758" s="19" t="str">
        <f>IFERROR(__xludf.DUMMYFUNCTION("""COMPUTED_VALUE"""),"-")</f>
        <v>-</v>
      </c>
      <c r="O5758" s="24">
        <f t="shared" si="4"/>
        <v>0</v>
      </c>
      <c r="P5758" s="24"/>
      <c r="Q5758" s="24">
        <f t="shared" si="6"/>
        <v>0</v>
      </c>
      <c r="R5758" s="24">
        <f t="shared" si="7"/>
        <v>0</v>
      </c>
      <c r="S5758" s="24"/>
      <c r="T5758" s="24"/>
    </row>
    <row r="5759">
      <c r="A5759" s="12" t="s">
        <v>5846</v>
      </c>
      <c r="F5759" s="19">
        <f>IFERROR(__xludf.DUMMYFUNCTION("SPLIT(A5755, "" |"")"),5753.0)</f>
        <v>5753</v>
      </c>
      <c r="G5759" s="19">
        <f>IFERROR(__xludf.DUMMYFUNCTION("""COMPUTED_VALUE"""),0.00243)</f>
        <v>0.00243</v>
      </c>
      <c r="H5759" s="19" t="str">
        <f>IFERROR(__xludf.DUMMYFUNCTION("""COMPUTED_VALUE"""),"-")</f>
        <v>-</v>
      </c>
      <c r="I5759" s="19">
        <f>IFERROR(__xludf.DUMMYFUNCTION("""COMPUTED_VALUE"""),0.00226)</f>
        <v>0.00226</v>
      </c>
      <c r="J5759" s="19">
        <f>IFERROR(__xludf.DUMMYFUNCTION("""COMPUTED_VALUE"""),0.04407)</f>
        <v>0.04407</v>
      </c>
      <c r="K5759" s="19" t="str">
        <f>IFERROR(__xludf.DUMMYFUNCTION("""COMPUTED_VALUE"""),"-")</f>
        <v>-</v>
      </c>
      <c r="L5759" s="19" t="str">
        <f>IFERROR(__xludf.DUMMYFUNCTION("""COMPUTED_VALUE"""),"-")</f>
        <v>-</v>
      </c>
      <c r="O5759" s="24">
        <f t="shared" si="4"/>
        <v>0</v>
      </c>
      <c r="P5759" s="24"/>
      <c r="Q5759" s="24">
        <f t="shared" si="6"/>
        <v>0</v>
      </c>
      <c r="R5759" s="24">
        <f t="shared" si="7"/>
        <v>1</v>
      </c>
      <c r="S5759" s="24"/>
      <c r="T5759" s="24"/>
    </row>
    <row r="5760">
      <c r="A5760" s="12" t="s">
        <v>5847</v>
      </c>
      <c r="F5760" s="19">
        <f>IFERROR(__xludf.DUMMYFUNCTION("SPLIT(A5756, "" |"")"),5754.0)</f>
        <v>5754</v>
      </c>
      <c r="G5760" s="19">
        <f>IFERROR(__xludf.DUMMYFUNCTION("""COMPUTED_VALUE"""),0.0024)</f>
        <v>0.0024</v>
      </c>
      <c r="H5760" s="19" t="str">
        <f>IFERROR(__xludf.DUMMYFUNCTION("""COMPUTED_VALUE"""),"-")</f>
        <v>-</v>
      </c>
      <c r="I5760" s="19">
        <f>IFERROR(__xludf.DUMMYFUNCTION("""COMPUTED_VALUE"""),0.00229)</f>
        <v>0.00229</v>
      </c>
      <c r="J5760" s="19">
        <f>IFERROR(__xludf.DUMMYFUNCTION("""COMPUTED_VALUE"""),0.04744)</f>
        <v>0.04744</v>
      </c>
      <c r="K5760" s="19" t="str">
        <f>IFERROR(__xludf.DUMMYFUNCTION("""COMPUTED_VALUE"""),"-")</f>
        <v>-</v>
      </c>
      <c r="L5760" s="19" t="str">
        <f>IFERROR(__xludf.DUMMYFUNCTION("""COMPUTED_VALUE"""),"-")</f>
        <v>-</v>
      </c>
      <c r="O5760" s="24">
        <f t="shared" si="4"/>
        <v>0</v>
      </c>
      <c r="P5760" s="24"/>
      <c r="Q5760" s="24">
        <f t="shared" si="6"/>
        <v>0</v>
      </c>
      <c r="R5760" s="24">
        <f t="shared" si="7"/>
        <v>0</v>
      </c>
      <c r="S5760" s="24"/>
      <c r="T5760" s="24"/>
    </row>
    <row r="5761">
      <c r="A5761" s="12" t="s">
        <v>5848</v>
      </c>
      <c r="F5761" s="19">
        <f>IFERROR(__xludf.DUMMYFUNCTION("SPLIT(A5757, "" |"")"),5755.0)</f>
        <v>5755</v>
      </c>
      <c r="G5761" s="19">
        <f>IFERROR(__xludf.DUMMYFUNCTION("""COMPUTED_VALUE"""),0.0024)</f>
        <v>0.0024</v>
      </c>
      <c r="H5761" s="19" t="str">
        <f>IFERROR(__xludf.DUMMYFUNCTION("""COMPUTED_VALUE"""),"-")</f>
        <v>-</v>
      </c>
      <c r="I5761" s="19">
        <f>IFERROR(__xludf.DUMMYFUNCTION("""COMPUTED_VALUE"""),0.00224)</f>
        <v>0.00224</v>
      </c>
      <c r="J5761" s="19">
        <f>IFERROR(__xludf.DUMMYFUNCTION("""COMPUTED_VALUE"""),0.0475)</f>
        <v>0.0475</v>
      </c>
      <c r="K5761" s="19" t="str">
        <f>IFERROR(__xludf.DUMMYFUNCTION("""COMPUTED_VALUE"""),"-")</f>
        <v>-</v>
      </c>
      <c r="L5761" s="19" t="str">
        <f>IFERROR(__xludf.DUMMYFUNCTION("""COMPUTED_VALUE"""),"-")</f>
        <v>-</v>
      </c>
      <c r="O5761" s="24">
        <f t="shared" si="4"/>
        <v>0</v>
      </c>
      <c r="P5761" s="24"/>
      <c r="Q5761" s="24">
        <f t="shared" si="6"/>
        <v>0</v>
      </c>
      <c r="R5761" s="24">
        <f t="shared" si="7"/>
        <v>0</v>
      </c>
      <c r="S5761" s="24"/>
      <c r="T5761" s="24"/>
    </row>
    <row r="5762">
      <c r="A5762" s="12" t="s">
        <v>5849</v>
      </c>
      <c r="F5762" s="19">
        <f>IFERROR(__xludf.DUMMYFUNCTION("SPLIT(A5758, "" |"")"),5756.0)</f>
        <v>5756</v>
      </c>
      <c r="G5762" s="19">
        <f>IFERROR(__xludf.DUMMYFUNCTION("""COMPUTED_VALUE"""),0.00233)</f>
        <v>0.00233</v>
      </c>
      <c r="H5762" s="19" t="str">
        <f>IFERROR(__xludf.DUMMYFUNCTION("""COMPUTED_VALUE"""),"-")</f>
        <v>-</v>
      </c>
      <c r="I5762" s="19">
        <f>IFERROR(__xludf.DUMMYFUNCTION("""COMPUTED_VALUE"""),0.00219)</f>
        <v>0.00219</v>
      </c>
      <c r="J5762" s="19">
        <f>IFERROR(__xludf.DUMMYFUNCTION("""COMPUTED_VALUE"""),0.04737)</f>
        <v>0.04737</v>
      </c>
      <c r="K5762" s="19" t="str">
        <f>IFERROR(__xludf.DUMMYFUNCTION("""COMPUTED_VALUE"""),"-")</f>
        <v>-</v>
      </c>
      <c r="L5762" s="19" t="str">
        <f>IFERROR(__xludf.DUMMYFUNCTION("""COMPUTED_VALUE"""),"-")</f>
        <v>-</v>
      </c>
      <c r="O5762" s="24">
        <f t="shared" si="4"/>
        <v>0</v>
      </c>
      <c r="P5762" s="24"/>
      <c r="Q5762" s="24">
        <f t="shared" si="6"/>
        <v>0</v>
      </c>
      <c r="R5762" s="24">
        <f t="shared" si="7"/>
        <v>0</v>
      </c>
      <c r="S5762" s="24"/>
      <c r="T5762" s="24"/>
    </row>
    <row r="5763">
      <c r="A5763" s="12" t="s">
        <v>5850</v>
      </c>
      <c r="F5763" s="19">
        <f>IFERROR(__xludf.DUMMYFUNCTION("SPLIT(A5759, "" |"")"),5757.0)</f>
        <v>5757</v>
      </c>
      <c r="G5763" s="19">
        <f>IFERROR(__xludf.DUMMYFUNCTION("""COMPUTED_VALUE"""),0.00247)</f>
        <v>0.00247</v>
      </c>
      <c r="H5763" s="19" t="str">
        <f>IFERROR(__xludf.DUMMYFUNCTION("""COMPUTED_VALUE"""),"-")</f>
        <v>-</v>
      </c>
      <c r="I5763" s="19">
        <f>IFERROR(__xludf.DUMMYFUNCTION("""COMPUTED_VALUE"""),0.00228)</f>
        <v>0.00228</v>
      </c>
      <c r="J5763" s="19">
        <f>IFERROR(__xludf.DUMMYFUNCTION("""COMPUTED_VALUE"""),0.04746)</f>
        <v>0.04746</v>
      </c>
      <c r="K5763" s="19" t="str">
        <f>IFERROR(__xludf.DUMMYFUNCTION("""COMPUTED_VALUE"""),"-")</f>
        <v>-</v>
      </c>
      <c r="L5763" s="19" t="str">
        <f>IFERROR(__xludf.DUMMYFUNCTION("""COMPUTED_VALUE"""),"-")</f>
        <v>-</v>
      </c>
      <c r="O5763" s="24">
        <f t="shared" si="4"/>
        <v>0</v>
      </c>
      <c r="P5763" s="24"/>
      <c r="Q5763" s="24">
        <f t="shared" si="6"/>
        <v>0</v>
      </c>
      <c r="R5763" s="24">
        <f t="shared" si="7"/>
        <v>0</v>
      </c>
      <c r="S5763" s="24"/>
      <c r="T5763" s="24"/>
    </row>
    <row r="5764">
      <c r="A5764" s="12" t="s">
        <v>5851</v>
      </c>
      <c r="F5764" s="19">
        <f>IFERROR(__xludf.DUMMYFUNCTION("SPLIT(A5760, "" |"")"),5758.0)</f>
        <v>5758</v>
      </c>
      <c r="G5764" s="19">
        <f>IFERROR(__xludf.DUMMYFUNCTION("""COMPUTED_VALUE"""),0.00244)</f>
        <v>0.00244</v>
      </c>
      <c r="H5764" s="19" t="str">
        <f>IFERROR(__xludf.DUMMYFUNCTION("""COMPUTED_VALUE"""),"-")</f>
        <v>-</v>
      </c>
      <c r="I5764" s="19">
        <f>IFERROR(__xludf.DUMMYFUNCTION("""COMPUTED_VALUE"""),0.00224)</f>
        <v>0.00224</v>
      </c>
      <c r="J5764" s="19">
        <f>IFERROR(__xludf.DUMMYFUNCTION("""COMPUTED_VALUE"""),0.04747)</f>
        <v>0.04747</v>
      </c>
      <c r="K5764" s="19" t="str">
        <f>IFERROR(__xludf.DUMMYFUNCTION("""COMPUTED_VALUE"""),"-")</f>
        <v>-</v>
      </c>
      <c r="L5764" s="19" t="str">
        <f>IFERROR(__xludf.DUMMYFUNCTION("""COMPUTED_VALUE"""),"-")</f>
        <v>-</v>
      </c>
      <c r="O5764" s="24">
        <f t="shared" si="4"/>
        <v>0</v>
      </c>
      <c r="P5764" s="24"/>
      <c r="Q5764" s="24">
        <f t="shared" si="6"/>
        <v>0</v>
      </c>
      <c r="R5764" s="24">
        <f t="shared" si="7"/>
        <v>0</v>
      </c>
      <c r="S5764" s="24"/>
      <c r="T5764" s="24"/>
    </row>
    <row r="5765">
      <c r="A5765" s="12" t="s">
        <v>5852</v>
      </c>
      <c r="F5765" s="19">
        <f>IFERROR(__xludf.DUMMYFUNCTION("SPLIT(A5761, "" |"")"),5759.0)</f>
        <v>5759</v>
      </c>
      <c r="G5765" s="19">
        <f>IFERROR(__xludf.DUMMYFUNCTION("""COMPUTED_VALUE"""),0.00233)</f>
        <v>0.00233</v>
      </c>
      <c r="H5765" s="19" t="str">
        <f>IFERROR(__xludf.DUMMYFUNCTION("""COMPUTED_VALUE"""),"-")</f>
        <v>-</v>
      </c>
      <c r="I5765" s="19">
        <f>IFERROR(__xludf.DUMMYFUNCTION("""COMPUTED_VALUE"""),0.00221)</f>
        <v>0.00221</v>
      </c>
      <c r="J5765" s="19">
        <f>IFERROR(__xludf.DUMMYFUNCTION("""COMPUTED_VALUE"""),0.04745)</f>
        <v>0.04745</v>
      </c>
      <c r="K5765" s="19" t="str">
        <f>IFERROR(__xludf.DUMMYFUNCTION("""COMPUTED_VALUE"""),"-")</f>
        <v>-</v>
      </c>
      <c r="L5765" s="19" t="str">
        <f>IFERROR(__xludf.DUMMYFUNCTION("""COMPUTED_VALUE"""),"-")</f>
        <v>-</v>
      </c>
      <c r="O5765" s="24">
        <f t="shared" si="4"/>
        <v>0</v>
      </c>
      <c r="P5765" s="24"/>
      <c r="Q5765" s="24">
        <f t="shared" si="6"/>
        <v>0</v>
      </c>
      <c r="R5765" s="24">
        <f t="shared" si="7"/>
        <v>0</v>
      </c>
      <c r="S5765" s="24"/>
      <c r="T5765" s="24"/>
    </row>
    <row r="5766">
      <c r="A5766" s="12" t="s">
        <v>5853</v>
      </c>
      <c r="F5766" s="19">
        <f>IFERROR(__xludf.DUMMYFUNCTION("SPLIT(A5762, "" |"")"),5760.0)</f>
        <v>5760</v>
      </c>
      <c r="G5766" s="19">
        <f>IFERROR(__xludf.DUMMYFUNCTION("""COMPUTED_VALUE"""),0.00233)</f>
        <v>0.00233</v>
      </c>
      <c r="H5766" s="19" t="str">
        <f>IFERROR(__xludf.DUMMYFUNCTION("""COMPUTED_VALUE"""),"-")</f>
        <v>-</v>
      </c>
      <c r="I5766" s="19">
        <f>IFERROR(__xludf.DUMMYFUNCTION("""COMPUTED_VALUE"""),0.00223)</f>
        <v>0.00223</v>
      </c>
      <c r="J5766" s="19">
        <f>IFERROR(__xludf.DUMMYFUNCTION("""COMPUTED_VALUE"""),0.04747)</f>
        <v>0.04747</v>
      </c>
      <c r="K5766" s="19" t="str">
        <f>IFERROR(__xludf.DUMMYFUNCTION("""COMPUTED_VALUE"""),"-")</f>
        <v>-</v>
      </c>
      <c r="L5766" s="19" t="str">
        <f>IFERROR(__xludf.DUMMYFUNCTION("""COMPUTED_VALUE"""),"-")</f>
        <v>-</v>
      </c>
      <c r="O5766" s="24">
        <f t="shared" si="4"/>
        <v>0</v>
      </c>
      <c r="P5766" s="24"/>
      <c r="Q5766" s="24">
        <f t="shared" si="6"/>
        <v>0</v>
      </c>
      <c r="R5766" s="24">
        <f t="shared" si="7"/>
        <v>0</v>
      </c>
      <c r="S5766" s="24"/>
      <c r="T5766" s="24"/>
    </row>
    <row r="5767">
      <c r="A5767" s="12" t="s">
        <v>5854</v>
      </c>
      <c r="F5767" s="19">
        <f>IFERROR(__xludf.DUMMYFUNCTION("SPLIT(A5763, "" |"")"),5761.0)</f>
        <v>5761</v>
      </c>
      <c r="G5767" s="19">
        <f>IFERROR(__xludf.DUMMYFUNCTION("""COMPUTED_VALUE"""),0.0023)</f>
        <v>0.0023</v>
      </c>
      <c r="H5767" s="19" t="str">
        <f>IFERROR(__xludf.DUMMYFUNCTION("""COMPUTED_VALUE"""),"-")</f>
        <v>-</v>
      </c>
      <c r="I5767" s="19">
        <f>IFERROR(__xludf.DUMMYFUNCTION("""COMPUTED_VALUE"""),0.00222)</f>
        <v>0.00222</v>
      </c>
      <c r="J5767" s="19">
        <f>IFERROR(__xludf.DUMMYFUNCTION("""COMPUTED_VALUE"""),0.04741)</f>
        <v>0.04741</v>
      </c>
      <c r="K5767" s="19" t="str">
        <f>IFERROR(__xludf.DUMMYFUNCTION("""COMPUTED_VALUE"""),"-")</f>
        <v>-</v>
      </c>
      <c r="L5767" s="19" t="str">
        <f>IFERROR(__xludf.DUMMYFUNCTION("""COMPUTED_VALUE"""),"-")</f>
        <v>-</v>
      </c>
      <c r="O5767" s="24">
        <f t="shared" si="4"/>
        <v>0</v>
      </c>
      <c r="P5767" s="24"/>
      <c r="Q5767" s="24">
        <f t="shared" si="6"/>
        <v>0</v>
      </c>
      <c r="R5767" s="24">
        <f t="shared" si="7"/>
        <v>0</v>
      </c>
      <c r="S5767" s="24"/>
      <c r="T5767" s="24"/>
    </row>
    <row r="5768">
      <c r="A5768" s="12" t="s">
        <v>5855</v>
      </c>
      <c r="F5768" s="19">
        <f>IFERROR(__xludf.DUMMYFUNCTION("SPLIT(A5764, "" |"")"),5762.0)</f>
        <v>5762</v>
      </c>
      <c r="G5768" s="19">
        <f>IFERROR(__xludf.DUMMYFUNCTION("""COMPUTED_VALUE"""),0.00236)</f>
        <v>0.00236</v>
      </c>
      <c r="H5768" s="19" t="str">
        <f>IFERROR(__xludf.DUMMYFUNCTION("""COMPUTED_VALUE"""),"-")</f>
        <v>-</v>
      </c>
      <c r="I5768" s="19">
        <f>IFERROR(__xludf.DUMMYFUNCTION("""COMPUTED_VALUE"""),0.0022)</f>
        <v>0.0022</v>
      </c>
      <c r="J5768" s="19">
        <f>IFERROR(__xludf.DUMMYFUNCTION("""COMPUTED_VALUE"""),0.04751)</f>
        <v>0.04751</v>
      </c>
      <c r="K5768" s="19" t="str">
        <f>IFERROR(__xludf.DUMMYFUNCTION("""COMPUTED_VALUE"""),"-")</f>
        <v>-</v>
      </c>
      <c r="L5768" s="19" t="str">
        <f>IFERROR(__xludf.DUMMYFUNCTION("""COMPUTED_VALUE"""),"-")</f>
        <v>-</v>
      </c>
      <c r="O5768" s="24">
        <f t="shared" si="4"/>
        <v>0</v>
      </c>
      <c r="P5768" s="24"/>
      <c r="Q5768" s="24">
        <f t="shared" si="6"/>
        <v>0</v>
      </c>
      <c r="R5768" s="24">
        <f t="shared" si="7"/>
        <v>0</v>
      </c>
      <c r="S5768" s="24"/>
      <c r="T5768" s="24"/>
    </row>
    <row r="5769">
      <c r="A5769" s="12" t="s">
        <v>5856</v>
      </c>
      <c r="F5769" s="19">
        <f>IFERROR(__xludf.DUMMYFUNCTION("SPLIT(A5765, "" |"")"),5763.0)</f>
        <v>5763</v>
      </c>
      <c r="G5769" s="19">
        <f>IFERROR(__xludf.DUMMYFUNCTION("""COMPUTED_VALUE"""),0.00233)</f>
        <v>0.00233</v>
      </c>
      <c r="H5769" s="19" t="str">
        <f>IFERROR(__xludf.DUMMYFUNCTION("""COMPUTED_VALUE"""),"-")</f>
        <v>-</v>
      </c>
      <c r="I5769" s="19">
        <f>IFERROR(__xludf.DUMMYFUNCTION("""COMPUTED_VALUE"""),0.00223)</f>
        <v>0.00223</v>
      </c>
      <c r="J5769" s="19">
        <f>IFERROR(__xludf.DUMMYFUNCTION("""COMPUTED_VALUE"""),0.04745)</f>
        <v>0.04745</v>
      </c>
      <c r="K5769" s="19" t="str">
        <f>IFERROR(__xludf.DUMMYFUNCTION("""COMPUTED_VALUE"""),"-")</f>
        <v>-</v>
      </c>
      <c r="L5769" s="19" t="str">
        <f>IFERROR(__xludf.DUMMYFUNCTION("""COMPUTED_VALUE"""),"-")</f>
        <v>-</v>
      </c>
      <c r="O5769" s="24">
        <f t="shared" si="4"/>
        <v>0</v>
      </c>
      <c r="P5769" s="24"/>
      <c r="Q5769" s="24">
        <f t="shared" si="6"/>
        <v>0</v>
      </c>
      <c r="R5769" s="24">
        <f t="shared" si="7"/>
        <v>0</v>
      </c>
      <c r="S5769" s="24"/>
      <c r="T5769" s="24"/>
    </row>
    <row r="5770">
      <c r="A5770" s="12" t="s">
        <v>5857</v>
      </c>
      <c r="F5770" s="19">
        <f>IFERROR(__xludf.DUMMYFUNCTION("SPLIT(A5766, "" |"")"),5764.0)</f>
        <v>5764</v>
      </c>
      <c r="G5770" s="19">
        <f>IFERROR(__xludf.DUMMYFUNCTION("""COMPUTED_VALUE"""),0.00233)</f>
        <v>0.00233</v>
      </c>
      <c r="H5770" s="19" t="str">
        <f>IFERROR(__xludf.DUMMYFUNCTION("""COMPUTED_VALUE"""),"-")</f>
        <v>-</v>
      </c>
      <c r="I5770" s="19">
        <f>IFERROR(__xludf.DUMMYFUNCTION("""COMPUTED_VALUE"""),0.00223)</f>
        <v>0.00223</v>
      </c>
      <c r="J5770" s="19">
        <f>IFERROR(__xludf.DUMMYFUNCTION("""COMPUTED_VALUE"""),0.04734)</f>
        <v>0.04734</v>
      </c>
      <c r="K5770" s="19" t="str">
        <f>IFERROR(__xludf.DUMMYFUNCTION("""COMPUTED_VALUE"""),"-")</f>
        <v>-</v>
      </c>
      <c r="L5770" s="19" t="str">
        <f>IFERROR(__xludf.DUMMYFUNCTION("""COMPUTED_VALUE"""),"-")</f>
        <v>-</v>
      </c>
      <c r="O5770" s="24">
        <f t="shared" si="4"/>
        <v>0</v>
      </c>
      <c r="P5770" s="24"/>
      <c r="Q5770" s="24">
        <f t="shared" si="6"/>
        <v>0</v>
      </c>
      <c r="R5770" s="24">
        <f t="shared" si="7"/>
        <v>0</v>
      </c>
      <c r="S5770" s="24"/>
      <c r="T5770" s="24"/>
    </row>
    <row r="5771">
      <c r="A5771" s="12" t="s">
        <v>5858</v>
      </c>
      <c r="F5771" s="19">
        <f>IFERROR(__xludf.DUMMYFUNCTION("SPLIT(A5767, "" |"")"),5765.0)</f>
        <v>5765</v>
      </c>
      <c r="G5771" s="19">
        <f>IFERROR(__xludf.DUMMYFUNCTION("""COMPUTED_VALUE"""),0.00236)</f>
        <v>0.00236</v>
      </c>
      <c r="H5771" s="19" t="str">
        <f>IFERROR(__xludf.DUMMYFUNCTION("""COMPUTED_VALUE"""),"-")</f>
        <v>-</v>
      </c>
      <c r="I5771" s="19">
        <f>IFERROR(__xludf.DUMMYFUNCTION("""COMPUTED_VALUE"""),0.00222)</f>
        <v>0.00222</v>
      </c>
      <c r="J5771" s="19">
        <f>IFERROR(__xludf.DUMMYFUNCTION("""COMPUTED_VALUE"""),0.04748)</f>
        <v>0.04748</v>
      </c>
      <c r="K5771" s="19" t="str">
        <f>IFERROR(__xludf.DUMMYFUNCTION("""COMPUTED_VALUE"""),"-")</f>
        <v>-</v>
      </c>
      <c r="L5771" s="19" t="str">
        <f>IFERROR(__xludf.DUMMYFUNCTION("""COMPUTED_VALUE"""),"-")</f>
        <v>-</v>
      </c>
      <c r="O5771" s="24">
        <f t="shared" si="4"/>
        <v>0</v>
      </c>
      <c r="P5771" s="24"/>
      <c r="Q5771" s="24">
        <f t="shared" si="6"/>
        <v>0</v>
      </c>
      <c r="R5771" s="24">
        <f t="shared" si="7"/>
        <v>0</v>
      </c>
      <c r="S5771" s="24"/>
      <c r="T5771" s="24"/>
    </row>
    <row r="5772">
      <c r="A5772" s="12" t="s">
        <v>5859</v>
      </c>
      <c r="F5772" s="19">
        <f>IFERROR(__xludf.DUMMYFUNCTION("SPLIT(A5768, "" |"")"),5766.0)</f>
        <v>5766</v>
      </c>
      <c r="G5772" s="19">
        <f>IFERROR(__xludf.DUMMYFUNCTION("""COMPUTED_VALUE"""),0.00238)</f>
        <v>0.00238</v>
      </c>
      <c r="H5772" s="19" t="str">
        <f>IFERROR(__xludf.DUMMYFUNCTION("""COMPUTED_VALUE"""),"-")</f>
        <v>-</v>
      </c>
      <c r="I5772" s="19">
        <f>IFERROR(__xludf.DUMMYFUNCTION("""COMPUTED_VALUE"""),0.00222)</f>
        <v>0.00222</v>
      </c>
      <c r="J5772" s="19">
        <f>IFERROR(__xludf.DUMMYFUNCTION("""COMPUTED_VALUE"""),0.04748)</f>
        <v>0.04748</v>
      </c>
      <c r="K5772" s="19" t="str">
        <f>IFERROR(__xludf.DUMMYFUNCTION("""COMPUTED_VALUE"""),"-")</f>
        <v>-</v>
      </c>
      <c r="L5772" s="19" t="str">
        <f>IFERROR(__xludf.DUMMYFUNCTION("""COMPUTED_VALUE"""),"-")</f>
        <v>-</v>
      </c>
      <c r="O5772" s="24">
        <f t="shared" si="4"/>
        <v>0</v>
      </c>
      <c r="P5772" s="24"/>
      <c r="Q5772" s="24">
        <f t="shared" si="6"/>
        <v>0</v>
      </c>
      <c r="R5772" s="24">
        <f t="shared" si="7"/>
        <v>0</v>
      </c>
      <c r="S5772" s="24"/>
      <c r="T5772" s="24"/>
    </row>
    <row r="5773">
      <c r="A5773" s="12" t="s">
        <v>5860</v>
      </c>
      <c r="F5773" s="19">
        <f>IFERROR(__xludf.DUMMYFUNCTION("SPLIT(A5769, "" |"")"),5767.0)</f>
        <v>5767</v>
      </c>
      <c r="G5773" s="19">
        <f>IFERROR(__xludf.DUMMYFUNCTION("""COMPUTED_VALUE"""),0.00231)</f>
        <v>0.00231</v>
      </c>
      <c r="H5773" s="19" t="str">
        <f>IFERROR(__xludf.DUMMYFUNCTION("""COMPUTED_VALUE"""),"-")</f>
        <v>-</v>
      </c>
      <c r="I5773" s="19">
        <f>IFERROR(__xludf.DUMMYFUNCTION("""COMPUTED_VALUE"""),0.00217)</f>
        <v>0.00217</v>
      </c>
      <c r="J5773" s="19">
        <f>IFERROR(__xludf.DUMMYFUNCTION("""COMPUTED_VALUE"""),0.04199)</f>
        <v>0.04199</v>
      </c>
      <c r="K5773" s="19" t="str">
        <f>IFERROR(__xludf.DUMMYFUNCTION("""COMPUTED_VALUE"""),"-")</f>
        <v>-</v>
      </c>
      <c r="L5773" s="19" t="str">
        <f>IFERROR(__xludf.DUMMYFUNCTION("""COMPUTED_VALUE"""),"-")</f>
        <v>-</v>
      </c>
      <c r="O5773" s="24">
        <f t="shared" si="4"/>
        <v>0</v>
      </c>
      <c r="P5773" s="24"/>
      <c r="Q5773" s="24">
        <f t="shared" si="6"/>
        <v>0</v>
      </c>
      <c r="R5773" s="24">
        <f t="shared" si="7"/>
        <v>1</v>
      </c>
      <c r="S5773" s="24"/>
      <c r="T5773" s="24"/>
    </row>
    <row r="5774">
      <c r="A5774" s="12" t="s">
        <v>5861</v>
      </c>
      <c r="F5774" s="19">
        <f>IFERROR(__xludf.DUMMYFUNCTION("SPLIT(A5770, "" |"")"),5768.0)</f>
        <v>5768</v>
      </c>
      <c r="G5774" s="19">
        <f>IFERROR(__xludf.DUMMYFUNCTION("""COMPUTED_VALUE"""),0.00235)</f>
        <v>0.00235</v>
      </c>
      <c r="H5774" s="19" t="str">
        <f>IFERROR(__xludf.DUMMYFUNCTION("""COMPUTED_VALUE"""),"-")</f>
        <v>-</v>
      </c>
      <c r="I5774" s="19">
        <f>IFERROR(__xludf.DUMMYFUNCTION("""COMPUTED_VALUE"""),0.00225)</f>
        <v>0.00225</v>
      </c>
      <c r="J5774" s="19">
        <f>IFERROR(__xludf.DUMMYFUNCTION("""COMPUTED_VALUE"""),0.04747)</f>
        <v>0.04747</v>
      </c>
      <c r="K5774" s="19" t="str">
        <f>IFERROR(__xludf.DUMMYFUNCTION("""COMPUTED_VALUE"""),"-")</f>
        <v>-</v>
      </c>
      <c r="L5774" s="19" t="str">
        <f>IFERROR(__xludf.DUMMYFUNCTION("""COMPUTED_VALUE"""),"-")</f>
        <v>-</v>
      </c>
      <c r="O5774" s="24">
        <f t="shared" si="4"/>
        <v>0</v>
      </c>
      <c r="P5774" s="24"/>
      <c r="Q5774" s="24">
        <f t="shared" si="6"/>
        <v>0</v>
      </c>
      <c r="R5774" s="24">
        <f t="shared" si="7"/>
        <v>0</v>
      </c>
      <c r="S5774" s="24"/>
      <c r="T5774" s="24"/>
    </row>
    <row r="5775">
      <c r="A5775" s="12" t="s">
        <v>5862</v>
      </c>
      <c r="F5775" s="19">
        <f>IFERROR(__xludf.DUMMYFUNCTION("SPLIT(A5771, "" |"")"),5769.0)</f>
        <v>5769</v>
      </c>
      <c r="G5775" s="19">
        <f>IFERROR(__xludf.DUMMYFUNCTION("""COMPUTED_VALUE"""),0.00233)</f>
        <v>0.00233</v>
      </c>
      <c r="H5775" s="19" t="str">
        <f>IFERROR(__xludf.DUMMYFUNCTION("""COMPUTED_VALUE"""),"-")</f>
        <v>-</v>
      </c>
      <c r="I5775" s="19">
        <f>IFERROR(__xludf.DUMMYFUNCTION("""COMPUTED_VALUE"""),0.0023)</f>
        <v>0.0023</v>
      </c>
      <c r="J5775" s="19">
        <f>IFERROR(__xludf.DUMMYFUNCTION("""COMPUTED_VALUE"""),0.04748)</f>
        <v>0.04748</v>
      </c>
      <c r="K5775" s="19" t="str">
        <f>IFERROR(__xludf.DUMMYFUNCTION("""COMPUTED_VALUE"""),"-")</f>
        <v>-</v>
      </c>
      <c r="L5775" s="19" t="str">
        <f>IFERROR(__xludf.DUMMYFUNCTION("""COMPUTED_VALUE"""),"-")</f>
        <v>-</v>
      </c>
      <c r="O5775" s="24">
        <f t="shared" si="4"/>
        <v>0</v>
      </c>
      <c r="P5775" s="24"/>
      <c r="Q5775" s="24">
        <f t="shared" si="6"/>
        <v>0</v>
      </c>
      <c r="R5775" s="24">
        <f t="shared" si="7"/>
        <v>0</v>
      </c>
      <c r="S5775" s="24"/>
      <c r="T5775" s="24"/>
    </row>
    <row r="5776">
      <c r="A5776" s="12" t="s">
        <v>5863</v>
      </c>
      <c r="F5776" s="19">
        <f>IFERROR(__xludf.DUMMYFUNCTION("SPLIT(A5772, "" |"")"),5770.0)</f>
        <v>5770</v>
      </c>
      <c r="G5776" s="19">
        <f>IFERROR(__xludf.DUMMYFUNCTION("""COMPUTED_VALUE"""),0.00242)</f>
        <v>0.00242</v>
      </c>
      <c r="H5776" s="19" t="str">
        <f>IFERROR(__xludf.DUMMYFUNCTION("""COMPUTED_VALUE"""),"-")</f>
        <v>-</v>
      </c>
      <c r="I5776" s="19">
        <f>IFERROR(__xludf.DUMMYFUNCTION("""COMPUTED_VALUE"""),0.00224)</f>
        <v>0.00224</v>
      </c>
      <c r="J5776" s="19">
        <f>IFERROR(__xludf.DUMMYFUNCTION("""COMPUTED_VALUE"""),0.04743)</f>
        <v>0.04743</v>
      </c>
      <c r="K5776" s="19" t="str">
        <f>IFERROR(__xludf.DUMMYFUNCTION("""COMPUTED_VALUE"""),"-")</f>
        <v>-</v>
      </c>
      <c r="L5776" s="19" t="str">
        <f>IFERROR(__xludf.DUMMYFUNCTION("""COMPUTED_VALUE"""),"-")</f>
        <v>-</v>
      </c>
      <c r="O5776" s="24">
        <f t="shared" si="4"/>
        <v>0</v>
      </c>
      <c r="P5776" s="24"/>
      <c r="Q5776" s="24">
        <f t="shared" si="6"/>
        <v>0</v>
      </c>
      <c r="R5776" s="24">
        <f t="shared" si="7"/>
        <v>0</v>
      </c>
      <c r="S5776" s="24"/>
      <c r="T5776" s="24"/>
    </row>
    <row r="5777">
      <c r="A5777" s="12" t="s">
        <v>5864</v>
      </c>
      <c r="F5777" s="19">
        <f>IFERROR(__xludf.DUMMYFUNCTION("SPLIT(A5773, "" |"")"),5771.0)</f>
        <v>5771</v>
      </c>
      <c r="G5777" s="19">
        <f>IFERROR(__xludf.DUMMYFUNCTION("""COMPUTED_VALUE"""),0.00248)</f>
        <v>0.00248</v>
      </c>
      <c r="H5777" s="19" t="str">
        <f>IFERROR(__xludf.DUMMYFUNCTION("""COMPUTED_VALUE"""),"-")</f>
        <v>-</v>
      </c>
      <c r="I5777" s="19">
        <f>IFERROR(__xludf.DUMMYFUNCTION("""COMPUTED_VALUE"""),0.00225)</f>
        <v>0.00225</v>
      </c>
      <c r="J5777" s="19">
        <f>IFERROR(__xludf.DUMMYFUNCTION("""COMPUTED_VALUE"""),0.04715)</f>
        <v>0.04715</v>
      </c>
      <c r="K5777" s="19" t="str">
        <f>IFERROR(__xludf.DUMMYFUNCTION("""COMPUTED_VALUE"""),"-")</f>
        <v>-</v>
      </c>
      <c r="L5777" s="19" t="str">
        <f>IFERROR(__xludf.DUMMYFUNCTION("""COMPUTED_VALUE"""),"-")</f>
        <v>-</v>
      </c>
      <c r="O5777" s="24">
        <f t="shared" si="4"/>
        <v>0</v>
      </c>
      <c r="P5777" s="24"/>
      <c r="Q5777" s="24">
        <f t="shared" si="6"/>
        <v>0</v>
      </c>
      <c r="R5777" s="24">
        <f t="shared" si="7"/>
        <v>0</v>
      </c>
      <c r="S5777" s="24"/>
      <c r="T5777" s="24"/>
    </row>
    <row r="5778">
      <c r="A5778" s="12" t="s">
        <v>5865</v>
      </c>
      <c r="F5778" s="19">
        <f>IFERROR(__xludf.DUMMYFUNCTION("SPLIT(A5774, "" |"")"),5772.0)</f>
        <v>5772</v>
      </c>
      <c r="G5778" s="19">
        <f>IFERROR(__xludf.DUMMYFUNCTION("""COMPUTED_VALUE"""),0.00238)</f>
        <v>0.00238</v>
      </c>
      <c r="H5778" s="19" t="str">
        <f>IFERROR(__xludf.DUMMYFUNCTION("""COMPUTED_VALUE"""),"-")</f>
        <v>-</v>
      </c>
      <c r="I5778" s="19">
        <f>IFERROR(__xludf.DUMMYFUNCTION("""COMPUTED_VALUE"""),0.00225)</f>
        <v>0.00225</v>
      </c>
      <c r="J5778" s="19">
        <f>IFERROR(__xludf.DUMMYFUNCTION("""COMPUTED_VALUE"""),0.04742)</f>
        <v>0.04742</v>
      </c>
      <c r="K5778" s="19" t="str">
        <f>IFERROR(__xludf.DUMMYFUNCTION("""COMPUTED_VALUE"""),"-")</f>
        <v>-</v>
      </c>
      <c r="L5778" s="19" t="str">
        <f>IFERROR(__xludf.DUMMYFUNCTION("""COMPUTED_VALUE"""),"-")</f>
        <v>-</v>
      </c>
      <c r="O5778" s="24">
        <f t="shared" si="4"/>
        <v>0</v>
      </c>
      <c r="P5778" s="24"/>
      <c r="Q5778" s="24">
        <f t="shared" si="6"/>
        <v>0</v>
      </c>
      <c r="R5778" s="24">
        <f t="shared" si="7"/>
        <v>0</v>
      </c>
      <c r="S5778" s="24"/>
      <c r="T5778" s="24"/>
    </row>
    <row r="5779">
      <c r="A5779" s="12" t="s">
        <v>5866</v>
      </c>
      <c r="F5779" s="19">
        <f>IFERROR(__xludf.DUMMYFUNCTION("SPLIT(A5775, "" |"")"),5773.0)</f>
        <v>5773</v>
      </c>
      <c r="G5779" s="19">
        <f>IFERROR(__xludf.DUMMYFUNCTION("""COMPUTED_VALUE"""),0.00239)</f>
        <v>0.00239</v>
      </c>
      <c r="H5779" s="19" t="str">
        <f>IFERROR(__xludf.DUMMYFUNCTION("""COMPUTED_VALUE"""),"-")</f>
        <v>-</v>
      </c>
      <c r="I5779" s="19">
        <f>IFERROR(__xludf.DUMMYFUNCTION("""COMPUTED_VALUE"""),0.00223)</f>
        <v>0.00223</v>
      </c>
      <c r="J5779" s="19">
        <f>IFERROR(__xludf.DUMMYFUNCTION("""COMPUTED_VALUE"""),0.04413)</f>
        <v>0.04413</v>
      </c>
      <c r="K5779" s="19" t="str">
        <f>IFERROR(__xludf.DUMMYFUNCTION("""COMPUTED_VALUE"""),"-")</f>
        <v>-</v>
      </c>
      <c r="L5779" s="19" t="str">
        <f>IFERROR(__xludf.DUMMYFUNCTION("""COMPUTED_VALUE"""),"-")</f>
        <v>-</v>
      </c>
      <c r="O5779" s="24">
        <f t="shared" si="4"/>
        <v>0</v>
      </c>
      <c r="P5779" s="24"/>
      <c r="Q5779" s="24">
        <f t="shared" si="6"/>
        <v>0</v>
      </c>
      <c r="R5779" s="24">
        <f t="shared" si="7"/>
        <v>1</v>
      </c>
      <c r="S5779" s="24"/>
      <c r="T5779" s="24"/>
    </row>
    <row r="5780">
      <c r="A5780" s="12" t="s">
        <v>5867</v>
      </c>
      <c r="F5780" s="19">
        <f>IFERROR(__xludf.DUMMYFUNCTION("SPLIT(A5776, "" |"")"),5774.0)</f>
        <v>5774</v>
      </c>
      <c r="G5780" s="19">
        <f>IFERROR(__xludf.DUMMYFUNCTION("""COMPUTED_VALUE"""),0.00241)</f>
        <v>0.00241</v>
      </c>
      <c r="H5780" s="19" t="str">
        <f>IFERROR(__xludf.DUMMYFUNCTION("""COMPUTED_VALUE"""),"-")</f>
        <v>-</v>
      </c>
      <c r="I5780" s="19">
        <f>IFERROR(__xludf.DUMMYFUNCTION("""COMPUTED_VALUE"""),0.00225)</f>
        <v>0.00225</v>
      </c>
      <c r="J5780" s="19">
        <f>IFERROR(__xludf.DUMMYFUNCTION("""COMPUTED_VALUE"""),0.04732)</f>
        <v>0.04732</v>
      </c>
      <c r="K5780" s="19" t="str">
        <f>IFERROR(__xludf.DUMMYFUNCTION("""COMPUTED_VALUE"""),"-")</f>
        <v>-</v>
      </c>
      <c r="L5780" s="19" t="str">
        <f>IFERROR(__xludf.DUMMYFUNCTION("""COMPUTED_VALUE"""),"-")</f>
        <v>-</v>
      </c>
      <c r="O5780" s="24">
        <f t="shared" si="4"/>
        <v>0</v>
      </c>
      <c r="P5780" s="24"/>
      <c r="Q5780" s="24">
        <f t="shared" si="6"/>
        <v>0</v>
      </c>
      <c r="R5780" s="24">
        <f t="shared" si="7"/>
        <v>0</v>
      </c>
      <c r="S5780" s="24"/>
      <c r="T5780" s="24"/>
    </row>
    <row r="5781">
      <c r="A5781" s="12" t="s">
        <v>5868</v>
      </c>
      <c r="F5781" s="19">
        <f>IFERROR(__xludf.DUMMYFUNCTION("SPLIT(A5777, "" |"")"),5775.0)</f>
        <v>5775</v>
      </c>
      <c r="G5781" s="19">
        <f>IFERROR(__xludf.DUMMYFUNCTION("""COMPUTED_VALUE"""),0.00239)</f>
        <v>0.00239</v>
      </c>
      <c r="H5781" s="19" t="str">
        <f>IFERROR(__xludf.DUMMYFUNCTION("""COMPUTED_VALUE"""),"-")</f>
        <v>-</v>
      </c>
      <c r="I5781" s="19">
        <f>IFERROR(__xludf.DUMMYFUNCTION("""COMPUTED_VALUE"""),0.00223)</f>
        <v>0.00223</v>
      </c>
      <c r="J5781" s="19">
        <f>IFERROR(__xludf.DUMMYFUNCTION("""COMPUTED_VALUE"""),0.04751)</f>
        <v>0.04751</v>
      </c>
      <c r="K5781" s="19" t="str">
        <f>IFERROR(__xludf.DUMMYFUNCTION("""COMPUTED_VALUE"""),"-")</f>
        <v>-</v>
      </c>
      <c r="L5781" s="19" t="str">
        <f>IFERROR(__xludf.DUMMYFUNCTION("""COMPUTED_VALUE"""),"-")</f>
        <v>-</v>
      </c>
      <c r="O5781" s="24">
        <f t="shared" si="4"/>
        <v>0</v>
      </c>
      <c r="P5781" s="24"/>
      <c r="Q5781" s="24">
        <f t="shared" si="6"/>
        <v>0</v>
      </c>
      <c r="R5781" s="24">
        <f t="shared" si="7"/>
        <v>0</v>
      </c>
      <c r="S5781" s="24"/>
      <c r="T5781" s="24"/>
    </row>
    <row r="5782">
      <c r="A5782" s="12" t="s">
        <v>5869</v>
      </c>
      <c r="F5782" s="19">
        <f>IFERROR(__xludf.DUMMYFUNCTION("SPLIT(A5778, "" |"")"),5776.0)</f>
        <v>5776</v>
      </c>
      <c r="G5782" s="19">
        <f>IFERROR(__xludf.DUMMYFUNCTION("""COMPUTED_VALUE"""),0.00234)</f>
        <v>0.00234</v>
      </c>
      <c r="H5782" s="19" t="str">
        <f>IFERROR(__xludf.DUMMYFUNCTION("""COMPUTED_VALUE"""),"-")</f>
        <v>-</v>
      </c>
      <c r="I5782" s="19">
        <f>IFERROR(__xludf.DUMMYFUNCTION("""COMPUTED_VALUE"""),0.00212)</f>
        <v>0.00212</v>
      </c>
      <c r="J5782" s="19">
        <f>IFERROR(__xludf.DUMMYFUNCTION("""COMPUTED_VALUE"""),0.0479)</f>
        <v>0.0479</v>
      </c>
      <c r="K5782" s="19" t="str">
        <f>IFERROR(__xludf.DUMMYFUNCTION("""COMPUTED_VALUE"""),"-")</f>
        <v>-</v>
      </c>
      <c r="L5782" s="19" t="str">
        <f>IFERROR(__xludf.DUMMYFUNCTION("""COMPUTED_VALUE"""),"-")</f>
        <v>-</v>
      </c>
      <c r="O5782" s="24">
        <f t="shared" si="4"/>
        <v>0</v>
      </c>
      <c r="P5782" s="24"/>
      <c r="Q5782" s="24">
        <f t="shared" si="6"/>
        <v>0</v>
      </c>
      <c r="R5782" s="24">
        <f t="shared" si="7"/>
        <v>0</v>
      </c>
      <c r="S5782" s="24"/>
      <c r="T5782" s="24"/>
    </row>
    <row r="5783">
      <c r="A5783" s="12" t="s">
        <v>5870</v>
      </c>
      <c r="F5783" s="19">
        <f>IFERROR(__xludf.DUMMYFUNCTION("SPLIT(A5779, "" |"")"),5777.0)</f>
        <v>5777</v>
      </c>
      <c r="G5783" s="19">
        <f>IFERROR(__xludf.DUMMYFUNCTION("""COMPUTED_VALUE"""),0.00245)</f>
        <v>0.00245</v>
      </c>
      <c r="H5783" s="19" t="str">
        <f>IFERROR(__xludf.DUMMYFUNCTION("""COMPUTED_VALUE"""),"-")</f>
        <v>-</v>
      </c>
      <c r="I5783" s="19">
        <f>IFERROR(__xludf.DUMMYFUNCTION("""COMPUTED_VALUE"""),0.00217)</f>
        <v>0.00217</v>
      </c>
      <c r="J5783" s="19">
        <f>IFERROR(__xludf.DUMMYFUNCTION("""COMPUTED_VALUE"""),0.04752)</f>
        <v>0.04752</v>
      </c>
      <c r="K5783" s="19" t="str">
        <f>IFERROR(__xludf.DUMMYFUNCTION("""COMPUTED_VALUE"""),"-")</f>
        <v>-</v>
      </c>
      <c r="L5783" s="19" t="str">
        <f>IFERROR(__xludf.DUMMYFUNCTION("""COMPUTED_VALUE"""),"-")</f>
        <v>-</v>
      </c>
      <c r="O5783" s="24">
        <f t="shared" si="4"/>
        <v>0</v>
      </c>
      <c r="P5783" s="24"/>
      <c r="Q5783" s="24">
        <f t="shared" si="6"/>
        <v>0</v>
      </c>
      <c r="R5783" s="24">
        <f t="shared" si="7"/>
        <v>0</v>
      </c>
      <c r="S5783" s="24"/>
      <c r="T5783" s="24"/>
    </row>
    <row r="5784">
      <c r="A5784" s="12" t="s">
        <v>5871</v>
      </c>
      <c r="F5784" s="19">
        <f>IFERROR(__xludf.DUMMYFUNCTION("SPLIT(A5780, "" |"")"),5778.0)</f>
        <v>5778</v>
      </c>
      <c r="G5784" s="19">
        <f>IFERROR(__xludf.DUMMYFUNCTION("""COMPUTED_VALUE"""),0.00239)</f>
        <v>0.00239</v>
      </c>
      <c r="H5784" s="19" t="str">
        <f>IFERROR(__xludf.DUMMYFUNCTION("""COMPUTED_VALUE"""),"-")</f>
        <v>-</v>
      </c>
      <c r="I5784" s="19">
        <f>IFERROR(__xludf.DUMMYFUNCTION("""COMPUTED_VALUE"""),0.00225)</f>
        <v>0.00225</v>
      </c>
      <c r="J5784" s="19">
        <f>IFERROR(__xludf.DUMMYFUNCTION("""COMPUTED_VALUE"""),0.04741)</f>
        <v>0.04741</v>
      </c>
      <c r="K5784" s="19" t="str">
        <f>IFERROR(__xludf.DUMMYFUNCTION("""COMPUTED_VALUE"""),"-")</f>
        <v>-</v>
      </c>
      <c r="L5784" s="19" t="str">
        <f>IFERROR(__xludf.DUMMYFUNCTION("""COMPUTED_VALUE"""),"-")</f>
        <v>-</v>
      </c>
      <c r="O5784" s="24">
        <f t="shared" si="4"/>
        <v>0</v>
      </c>
      <c r="P5784" s="24"/>
      <c r="Q5784" s="24">
        <f t="shared" si="6"/>
        <v>0</v>
      </c>
      <c r="R5784" s="24">
        <f t="shared" si="7"/>
        <v>0</v>
      </c>
      <c r="S5784" s="24"/>
      <c r="T5784" s="24"/>
    </row>
    <row r="5785">
      <c r="A5785" s="12" t="s">
        <v>5872</v>
      </c>
      <c r="F5785" s="19">
        <f>IFERROR(__xludf.DUMMYFUNCTION("SPLIT(A5781, "" |"")"),5779.0)</f>
        <v>5779</v>
      </c>
      <c r="G5785" s="19">
        <f>IFERROR(__xludf.DUMMYFUNCTION("""COMPUTED_VALUE"""),0.00239)</f>
        <v>0.00239</v>
      </c>
      <c r="H5785" s="19" t="str">
        <f>IFERROR(__xludf.DUMMYFUNCTION("""COMPUTED_VALUE"""),"-")</f>
        <v>-</v>
      </c>
      <c r="I5785" s="19">
        <f>IFERROR(__xludf.DUMMYFUNCTION("""COMPUTED_VALUE"""),0.00229)</f>
        <v>0.00229</v>
      </c>
      <c r="J5785" s="19">
        <f>IFERROR(__xludf.DUMMYFUNCTION("""COMPUTED_VALUE"""),0.04746)</f>
        <v>0.04746</v>
      </c>
      <c r="K5785" s="19" t="str">
        <f>IFERROR(__xludf.DUMMYFUNCTION("""COMPUTED_VALUE"""),"-")</f>
        <v>-</v>
      </c>
      <c r="L5785" s="19" t="str">
        <f>IFERROR(__xludf.DUMMYFUNCTION("""COMPUTED_VALUE"""),"-")</f>
        <v>-</v>
      </c>
      <c r="O5785" s="24">
        <f t="shared" si="4"/>
        <v>0</v>
      </c>
      <c r="P5785" s="24"/>
      <c r="Q5785" s="24">
        <f t="shared" si="6"/>
        <v>0</v>
      </c>
      <c r="R5785" s="24">
        <f t="shared" si="7"/>
        <v>0</v>
      </c>
      <c r="S5785" s="24"/>
      <c r="T5785" s="24"/>
    </row>
    <row r="5786">
      <c r="A5786" s="12" t="s">
        <v>5873</v>
      </c>
      <c r="F5786" s="19">
        <f>IFERROR(__xludf.DUMMYFUNCTION("SPLIT(A5782, "" |"")"),5780.0)</f>
        <v>5780</v>
      </c>
      <c r="G5786" s="19">
        <f>IFERROR(__xludf.DUMMYFUNCTION("""COMPUTED_VALUE"""),0.00229)</f>
        <v>0.00229</v>
      </c>
      <c r="H5786" s="19" t="str">
        <f>IFERROR(__xludf.DUMMYFUNCTION("""COMPUTED_VALUE"""),"-")</f>
        <v>-</v>
      </c>
      <c r="I5786" s="19">
        <f>IFERROR(__xludf.DUMMYFUNCTION("""COMPUTED_VALUE"""),0.00224)</f>
        <v>0.00224</v>
      </c>
      <c r="J5786" s="19">
        <f>IFERROR(__xludf.DUMMYFUNCTION("""COMPUTED_VALUE"""),0.04748)</f>
        <v>0.04748</v>
      </c>
      <c r="K5786" s="19" t="str">
        <f>IFERROR(__xludf.DUMMYFUNCTION("""COMPUTED_VALUE"""),"-")</f>
        <v>-</v>
      </c>
      <c r="L5786" s="19" t="str">
        <f>IFERROR(__xludf.DUMMYFUNCTION("""COMPUTED_VALUE"""),"-")</f>
        <v>-</v>
      </c>
      <c r="O5786" s="24">
        <f t="shared" si="4"/>
        <v>0</v>
      </c>
      <c r="P5786" s="24"/>
      <c r="Q5786" s="24">
        <f t="shared" si="6"/>
        <v>0</v>
      </c>
      <c r="R5786" s="24">
        <f t="shared" si="7"/>
        <v>0</v>
      </c>
      <c r="S5786" s="24"/>
      <c r="T5786" s="24"/>
    </row>
    <row r="5787">
      <c r="A5787" s="12" t="s">
        <v>5874</v>
      </c>
      <c r="F5787" s="19">
        <f>IFERROR(__xludf.DUMMYFUNCTION("SPLIT(A5783, "" |"")"),5781.0)</f>
        <v>5781</v>
      </c>
      <c r="G5787" s="19">
        <f>IFERROR(__xludf.DUMMYFUNCTION("""COMPUTED_VALUE"""),0.00234)</f>
        <v>0.00234</v>
      </c>
      <c r="H5787" s="19" t="str">
        <f>IFERROR(__xludf.DUMMYFUNCTION("""COMPUTED_VALUE"""),"-")</f>
        <v>-</v>
      </c>
      <c r="I5787" s="19">
        <f>IFERROR(__xludf.DUMMYFUNCTION("""COMPUTED_VALUE"""),0.00221)</f>
        <v>0.00221</v>
      </c>
      <c r="J5787" s="19">
        <f>IFERROR(__xludf.DUMMYFUNCTION("""COMPUTED_VALUE"""),0.04564)</f>
        <v>0.04564</v>
      </c>
      <c r="K5787" s="19" t="str">
        <f>IFERROR(__xludf.DUMMYFUNCTION("""COMPUTED_VALUE"""),"-")</f>
        <v>-</v>
      </c>
      <c r="L5787" s="19" t="str">
        <f>IFERROR(__xludf.DUMMYFUNCTION("""COMPUTED_VALUE"""),"-")</f>
        <v>-</v>
      </c>
      <c r="O5787" s="24">
        <f t="shared" si="4"/>
        <v>0</v>
      </c>
      <c r="P5787" s="24"/>
      <c r="Q5787" s="24">
        <f t="shared" si="6"/>
        <v>0</v>
      </c>
      <c r="R5787" s="24">
        <f t="shared" si="7"/>
        <v>0</v>
      </c>
      <c r="S5787" s="24"/>
      <c r="T5787" s="24"/>
    </row>
    <row r="5788">
      <c r="A5788" s="12" t="s">
        <v>5875</v>
      </c>
      <c r="F5788" s="19">
        <f>IFERROR(__xludf.DUMMYFUNCTION("SPLIT(A5784, "" |"")"),5782.0)</f>
        <v>5782</v>
      </c>
      <c r="G5788" s="19">
        <f>IFERROR(__xludf.DUMMYFUNCTION("""COMPUTED_VALUE"""),0.00238)</f>
        <v>0.00238</v>
      </c>
      <c r="H5788" s="19" t="str">
        <f>IFERROR(__xludf.DUMMYFUNCTION("""COMPUTED_VALUE"""),"-")</f>
        <v>-</v>
      </c>
      <c r="I5788" s="19">
        <f>IFERROR(__xludf.DUMMYFUNCTION("""COMPUTED_VALUE"""),0.0022)</f>
        <v>0.0022</v>
      </c>
      <c r="J5788" s="19">
        <f>IFERROR(__xludf.DUMMYFUNCTION("""COMPUTED_VALUE"""),0.04743)</f>
        <v>0.04743</v>
      </c>
      <c r="K5788" s="19" t="str">
        <f>IFERROR(__xludf.DUMMYFUNCTION("""COMPUTED_VALUE"""),"-")</f>
        <v>-</v>
      </c>
      <c r="L5788" s="19" t="str">
        <f>IFERROR(__xludf.DUMMYFUNCTION("""COMPUTED_VALUE"""),"-")</f>
        <v>-</v>
      </c>
      <c r="O5788" s="24">
        <f t="shared" si="4"/>
        <v>0</v>
      </c>
      <c r="P5788" s="24"/>
      <c r="Q5788" s="24">
        <f t="shared" si="6"/>
        <v>0</v>
      </c>
      <c r="R5788" s="24">
        <f t="shared" si="7"/>
        <v>0</v>
      </c>
      <c r="S5788" s="24"/>
      <c r="T5788" s="24"/>
    </row>
    <row r="5789">
      <c r="A5789" s="12" t="s">
        <v>5876</v>
      </c>
      <c r="F5789" s="19">
        <f>IFERROR(__xludf.DUMMYFUNCTION("SPLIT(A5785, "" |"")"),5783.0)</f>
        <v>5783</v>
      </c>
      <c r="G5789" s="19">
        <f>IFERROR(__xludf.DUMMYFUNCTION("""COMPUTED_VALUE"""),0.00235)</f>
        <v>0.00235</v>
      </c>
      <c r="H5789" s="19" t="str">
        <f>IFERROR(__xludf.DUMMYFUNCTION("""COMPUTED_VALUE"""),"-")</f>
        <v>-</v>
      </c>
      <c r="I5789" s="19">
        <f>IFERROR(__xludf.DUMMYFUNCTION("""COMPUTED_VALUE"""),0.00219)</f>
        <v>0.00219</v>
      </c>
      <c r="J5789" s="19">
        <f>IFERROR(__xludf.DUMMYFUNCTION("""COMPUTED_VALUE"""),0.04747)</f>
        <v>0.04747</v>
      </c>
      <c r="K5789" s="19" t="str">
        <f>IFERROR(__xludf.DUMMYFUNCTION("""COMPUTED_VALUE"""),"-")</f>
        <v>-</v>
      </c>
      <c r="L5789" s="19" t="str">
        <f>IFERROR(__xludf.DUMMYFUNCTION("""COMPUTED_VALUE"""),"-")</f>
        <v>-</v>
      </c>
      <c r="O5789" s="24">
        <f t="shared" si="4"/>
        <v>0</v>
      </c>
      <c r="P5789" s="24"/>
      <c r="Q5789" s="24">
        <f t="shared" si="6"/>
        <v>0</v>
      </c>
      <c r="R5789" s="24">
        <f t="shared" si="7"/>
        <v>0</v>
      </c>
      <c r="S5789" s="24"/>
      <c r="T5789" s="24"/>
    </row>
    <row r="5790">
      <c r="A5790" s="12" t="s">
        <v>5877</v>
      </c>
      <c r="F5790" s="19">
        <f>IFERROR(__xludf.DUMMYFUNCTION("SPLIT(A5786, "" |"")"),5784.0)</f>
        <v>5784</v>
      </c>
      <c r="G5790" s="19">
        <f>IFERROR(__xludf.DUMMYFUNCTION("""COMPUTED_VALUE"""),0.00233)</f>
        <v>0.00233</v>
      </c>
      <c r="H5790" s="19" t="str">
        <f>IFERROR(__xludf.DUMMYFUNCTION("""COMPUTED_VALUE"""),"-")</f>
        <v>-</v>
      </c>
      <c r="I5790" s="19">
        <f>IFERROR(__xludf.DUMMYFUNCTION("""COMPUTED_VALUE"""),0.00219)</f>
        <v>0.00219</v>
      </c>
      <c r="J5790" s="19">
        <f>IFERROR(__xludf.DUMMYFUNCTION("""COMPUTED_VALUE"""),0.04632)</f>
        <v>0.04632</v>
      </c>
      <c r="K5790" s="19" t="str">
        <f>IFERROR(__xludf.DUMMYFUNCTION("""COMPUTED_VALUE"""),"-")</f>
        <v>-</v>
      </c>
      <c r="L5790" s="19" t="str">
        <f>IFERROR(__xludf.DUMMYFUNCTION("""COMPUTED_VALUE"""),"-")</f>
        <v>-</v>
      </c>
      <c r="O5790" s="24">
        <f t="shared" si="4"/>
        <v>0</v>
      </c>
      <c r="P5790" s="24"/>
      <c r="Q5790" s="24">
        <f t="shared" si="6"/>
        <v>0</v>
      </c>
      <c r="R5790" s="24">
        <f t="shared" si="7"/>
        <v>0</v>
      </c>
      <c r="S5790" s="24"/>
      <c r="T5790" s="24"/>
    </row>
    <row r="5791">
      <c r="A5791" s="12" t="s">
        <v>5878</v>
      </c>
      <c r="F5791" s="19">
        <f>IFERROR(__xludf.DUMMYFUNCTION("SPLIT(A5787, "" |"")"),5785.0)</f>
        <v>5785</v>
      </c>
      <c r="G5791" s="19">
        <f>IFERROR(__xludf.DUMMYFUNCTION("""COMPUTED_VALUE"""),0.00233)</f>
        <v>0.00233</v>
      </c>
      <c r="H5791" s="19" t="str">
        <f>IFERROR(__xludf.DUMMYFUNCTION("""COMPUTED_VALUE"""),"-")</f>
        <v>-</v>
      </c>
      <c r="I5791" s="19">
        <f>IFERROR(__xludf.DUMMYFUNCTION("""COMPUTED_VALUE"""),0.00226)</f>
        <v>0.00226</v>
      </c>
      <c r="J5791" s="19">
        <f>IFERROR(__xludf.DUMMYFUNCTION("""COMPUTED_VALUE"""),0.04742)</f>
        <v>0.04742</v>
      </c>
      <c r="K5791" s="19" t="str">
        <f>IFERROR(__xludf.DUMMYFUNCTION("""COMPUTED_VALUE"""),"-")</f>
        <v>-</v>
      </c>
      <c r="L5791" s="19" t="str">
        <f>IFERROR(__xludf.DUMMYFUNCTION("""COMPUTED_VALUE"""),"-")</f>
        <v>-</v>
      </c>
      <c r="O5791" s="24">
        <f t="shared" si="4"/>
        <v>0</v>
      </c>
      <c r="P5791" s="24"/>
      <c r="Q5791" s="24">
        <f t="shared" si="6"/>
        <v>0</v>
      </c>
      <c r="R5791" s="24">
        <f t="shared" si="7"/>
        <v>0</v>
      </c>
      <c r="S5791" s="24"/>
      <c r="T5791" s="24"/>
    </row>
    <row r="5792">
      <c r="A5792" s="12" t="s">
        <v>5879</v>
      </c>
      <c r="F5792" s="19">
        <f>IFERROR(__xludf.DUMMYFUNCTION("SPLIT(A5788, "" |"")"),5786.0)</f>
        <v>5786</v>
      </c>
      <c r="G5792" s="19">
        <f>IFERROR(__xludf.DUMMYFUNCTION("""COMPUTED_VALUE"""),0.00241)</f>
        <v>0.00241</v>
      </c>
      <c r="H5792" s="19" t="str">
        <f>IFERROR(__xludf.DUMMYFUNCTION("""COMPUTED_VALUE"""),"-")</f>
        <v>-</v>
      </c>
      <c r="I5792" s="19">
        <f>IFERROR(__xludf.DUMMYFUNCTION("""COMPUTED_VALUE"""),0.0022)</f>
        <v>0.0022</v>
      </c>
      <c r="J5792" s="19">
        <f>IFERROR(__xludf.DUMMYFUNCTION("""COMPUTED_VALUE"""),0.04744)</f>
        <v>0.04744</v>
      </c>
      <c r="K5792" s="19" t="str">
        <f>IFERROR(__xludf.DUMMYFUNCTION("""COMPUTED_VALUE"""),"-")</f>
        <v>-</v>
      </c>
      <c r="L5792" s="19" t="str">
        <f>IFERROR(__xludf.DUMMYFUNCTION("""COMPUTED_VALUE"""),"-")</f>
        <v>-</v>
      </c>
      <c r="O5792" s="24">
        <f t="shared" si="4"/>
        <v>0</v>
      </c>
      <c r="P5792" s="24"/>
      <c r="Q5792" s="24">
        <f t="shared" si="6"/>
        <v>0</v>
      </c>
      <c r="R5792" s="24">
        <f t="shared" si="7"/>
        <v>0</v>
      </c>
      <c r="S5792" s="24"/>
      <c r="T5792" s="24"/>
    </row>
    <row r="5793">
      <c r="A5793" s="12" t="s">
        <v>5880</v>
      </c>
      <c r="F5793" s="19">
        <f>IFERROR(__xludf.DUMMYFUNCTION("SPLIT(A5789, "" |"")"),5787.0)</f>
        <v>5787</v>
      </c>
      <c r="G5793" s="19">
        <f>IFERROR(__xludf.DUMMYFUNCTION("""COMPUTED_VALUE"""),0.00233)</f>
        <v>0.00233</v>
      </c>
      <c r="H5793" s="19" t="str">
        <f>IFERROR(__xludf.DUMMYFUNCTION("""COMPUTED_VALUE"""),"-")</f>
        <v>-</v>
      </c>
      <c r="I5793" s="19">
        <f>IFERROR(__xludf.DUMMYFUNCTION("""COMPUTED_VALUE"""),0.00221)</f>
        <v>0.00221</v>
      </c>
      <c r="J5793" s="19">
        <f>IFERROR(__xludf.DUMMYFUNCTION("""COMPUTED_VALUE"""),0.04067)</f>
        <v>0.04067</v>
      </c>
      <c r="K5793" s="19" t="str">
        <f>IFERROR(__xludf.DUMMYFUNCTION("""COMPUTED_VALUE"""),"-")</f>
        <v>-</v>
      </c>
      <c r="L5793" s="19" t="str">
        <f>IFERROR(__xludf.DUMMYFUNCTION("""COMPUTED_VALUE"""),"-")</f>
        <v>-</v>
      </c>
      <c r="O5793" s="24">
        <f t="shared" si="4"/>
        <v>0</v>
      </c>
      <c r="P5793" s="24"/>
      <c r="Q5793" s="24">
        <f t="shared" si="6"/>
        <v>0</v>
      </c>
      <c r="R5793" s="24">
        <f t="shared" si="7"/>
        <v>1</v>
      </c>
      <c r="S5793" s="24"/>
      <c r="T5793" s="24"/>
    </row>
    <row r="5794">
      <c r="A5794" s="12" t="s">
        <v>5881</v>
      </c>
      <c r="F5794" s="19">
        <f>IFERROR(__xludf.DUMMYFUNCTION("SPLIT(A5790, "" |"")"),5788.0)</f>
        <v>5788</v>
      </c>
      <c r="G5794" s="19">
        <f>IFERROR(__xludf.DUMMYFUNCTION("""COMPUTED_VALUE"""),0.00228)</f>
        <v>0.00228</v>
      </c>
      <c r="H5794" s="19" t="str">
        <f>IFERROR(__xludf.DUMMYFUNCTION("""COMPUTED_VALUE"""),"-")</f>
        <v>-</v>
      </c>
      <c r="I5794" s="19">
        <f>IFERROR(__xludf.DUMMYFUNCTION("""COMPUTED_VALUE"""),0.0022)</f>
        <v>0.0022</v>
      </c>
      <c r="J5794" s="19">
        <f>IFERROR(__xludf.DUMMYFUNCTION("""COMPUTED_VALUE"""),0.04747)</f>
        <v>0.04747</v>
      </c>
      <c r="K5794" s="19" t="str">
        <f>IFERROR(__xludf.DUMMYFUNCTION("""COMPUTED_VALUE"""),"-")</f>
        <v>-</v>
      </c>
      <c r="L5794" s="19" t="str">
        <f>IFERROR(__xludf.DUMMYFUNCTION("""COMPUTED_VALUE"""),"-")</f>
        <v>-</v>
      </c>
      <c r="O5794" s="24">
        <f t="shared" si="4"/>
        <v>0</v>
      </c>
      <c r="P5794" s="24"/>
      <c r="Q5794" s="24">
        <f t="shared" si="6"/>
        <v>0</v>
      </c>
      <c r="R5794" s="24">
        <f t="shared" si="7"/>
        <v>0</v>
      </c>
      <c r="S5794" s="24"/>
      <c r="T5794" s="24"/>
    </row>
    <row r="5795">
      <c r="A5795" s="12" t="s">
        <v>5882</v>
      </c>
      <c r="F5795" s="19">
        <f>IFERROR(__xludf.DUMMYFUNCTION("SPLIT(A5791, "" |"")"),5789.0)</f>
        <v>5789</v>
      </c>
      <c r="G5795" s="19">
        <f>IFERROR(__xludf.DUMMYFUNCTION("""COMPUTED_VALUE"""),0.00238)</f>
        <v>0.00238</v>
      </c>
      <c r="H5795" s="19" t="str">
        <f>IFERROR(__xludf.DUMMYFUNCTION("""COMPUTED_VALUE"""),"-")</f>
        <v>-</v>
      </c>
      <c r="I5795" s="19">
        <f>IFERROR(__xludf.DUMMYFUNCTION("""COMPUTED_VALUE"""),0.00221)</f>
        <v>0.00221</v>
      </c>
      <c r="J5795" s="19">
        <f>IFERROR(__xludf.DUMMYFUNCTION("""COMPUTED_VALUE"""),0.04743)</f>
        <v>0.04743</v>
      </c>
      <c r="K5795" s="19" t="str">
        <f>IFERROR(__xludf.DUMMYFUNCTION("""COMPUTED_VALUE"""),"-")</f>
        <v>-</v>
      </c>
      <c r="L5795" s="19" t="str">
        <f>IFERROR(__xludf.DUMMYFUNCTION("""COMPUTED_VALUE"""),"-")</f>
        <v>-</v>
      </c>
      <c r="O5795" s="24">
        <f t="shared" si="4"/>
        <v>0</v>
      </c>
      <c r="P5795" s="24"/>
      <c r="Q5795" s="24">
        <f t="shared" si="6"/>
        <v>0</v>
      </c>
      <c r="R5795" s="24">
        <f t="shared" si="7"/>
        <v>0</v>
      </c>
      <c r="S5795" s="24"/>
      <c r="T5795" s="24"/>
    </row>
    <row r="5796">
      <c r="A5796" s="12" t="s">
        <v>5883</v>
      </c>
      <c r="F5796" s="19">
        <f>IFERROR(__xludf.DUMMYFUNCTION("SPLIT(A5792, "" |"")"),5790.0)</f>
        <v>5790</v>
      </c>
      <c r="G5796" s="19">
        <f>IFERROR(__xludf.DUMMYFUNCTION("""COMPUTED_VALUE"""),0.00231)</f>
        <v>0.00231</v>
      </c>
      <c r="H5796" s="19" t="str">
        <f>IFERROR(__xludf.DUMMYFUNCTION("""COMPUTED_VALUE"""),"-")</f>
        <v>-</v>
      </c>
      <c r="I5796" s="19">
        <f>IFERROR(__xludf.DUMMYFUNCTION("""COMPUTED_VALUE"""),0.00222)</f>
        <v>0.00222</v>
      </c>
      <c r="J5796" s="19">
        <f>IFERROR(__xludf.DUMMYFUNCTION("""COMPUTED_VALUE"""),0.04747)</f>
        <v>0.04747</v>
      </c>
      <c r="K5796" s="19" t="str">
        <f>IFERROR(__xludf.DUMMYFUNCTION("""COMPUTED_VALUE"""),"-")</f>
        <v>-</v>
      </c>
      <c r="L5796" s="19" t="str">
        <f>IFERROR(__xludf.DUMMYFUNCTION("""COMPUTED_VALUE"""),"-")</f>
        <v>-</v>
      </c>
      <c r="O5796" s="24">
        <f t="shared" si="4"/>
        <v>0</v>
      </c>
      <c r="P5796" s="24"/>
      <c r="Q5796" s="24">
        <f t="shared" si="6"/>
        <v>0</v>
      </c>
      <c r="R5796" s="24">
        <f t="shared" si="7"/>
        <v>0</v>
      </c>
      <c r="S5796" s="24"/>
      <c r="T5796" s="24"/>
    </row>
    <row r="5797">
      <c r="A5797" s="12" t="s">
        <v>5884</v>
      </c>
      <c r="F5797" s="19">
        <f>IFERROR(__xludf.DUMMYFUNCTION("SPLIT(A5793, "" |"")"),5791.0)</f>
        <v>5791</v>
      </c>
      <c r="G5797" s="19">
        <f>IFERROR(__xludf.DUMMYFUNCTION("""COMPUTED_VALUE"""),0.00235)</f>
        <v>0.00235</v>
      </c>
      <c r="H5797" s="19" t="str">
        <f>IFERROR(__xludf.DUMMYFUNCTION("""COMPUTED_VALUE"""),"-")</f>
        <v>-</v>
      </c>
      <c r="I5797" s="19">
        <f>IFERROR(__xludf.DUMMYFUNCTION("""COMPUTED_VALUE"""),0.00219)</f>
        <v>0.00219</v>
      </c>
      <c r="J5797" s="19">
        <f>IFERROR(__xludf.DUMMYFUNCTION("""COMPUTED_VALUE"""),0.04744)</f>
        <v>0.04744</v>
      </c>
      <c r="K5797" s="19" t="str">
        <f>IFERROR(__xludf.DUMMYFUNCTION("""COMPUTED_VALUE"""),"-")</f>
        <v>-</v>
      </c>
      <c r="L5797" s="19" t="str">
        <f>IFERROR(__xludf.DUMMYFUNCTION("""COMPUTED_VALUE"""),"-")</f>
        <v>-</v>
      </c>
      <c r="O5797" s="24">
        <f t="shared" si="4"/>
        <v>0</v>
      </c>
      <c r="P5797" s="24"/>
      <c r="Q5797" s="24">
        <f t="shared" si="6"/>
        <v>0</v>
      </c>
      <c r="R5797" s="24">
        <f t="shared" si="7"/>
        <v>0</v>
      </c>
      <c r="S5797" s="24"/>
      <c r="T5797" s="24"/>
    </row>
    <row r="5798">
      <c r="A5798" s="12" t="s">
        <v>5885</v>
      </c>
      <c r="F5798" s="19">
        <f>IFERROR(__xludf.DUMMYFUNCTION("SPLIT(A5794, "" |"")"),5792.0)</f>
        <v>5792</v>
      </c>
      <c r="G5798" s="19">
        <f>IFERROR(__xludf.DUMMYFUNCTION("""COMPUTED_VALUE"""),0.00239)</f>
        <v>0.00239</v>
      </c>
      <c r="H5798" s="19" t="str">
        <f>IFERROR(__xludf.DUMMYFUNCTION("""COMPUTED_VALUE"""),"-")</f>
        <v>-</v>
      </c>
      <c r="I5798" s="19">
        <f>IFERROR(__xludf.DUMMYFUNCTION("""COMPUTED_VALUE"""),0.0022)</f>
        <v>0.0022</v>
      </c>
      <c r="J5798" s="19">
        <f>IFERROR(__xludf.DUMMYFUNCTION("""COMPUTED_VALUE"""),0.04744)</f>
        <v>0.04744</v>
      </c>
      <c r="K5798" s="19" t="str">
        <f>IFERROR(__xludf.DUMMYFUNCTION("""COMPUTED_VALUE"""),"-")</f>
        <v>-</v>
      </c>
      <c r="L5798" s="19" t="str">
        <f>IFERROR(__xludf.DUMMYFUNCTION("""COMPUTED_VALUE"""),"-")</f>
        <v>-</v>
      </c>
      <c r="O5798" s="24">
        <f t="shared" si="4"/>
        <v>0</v>
      </c>
      <c r="P5798" s="24"/>
      <c r="Q5798" s="24">
        <f t="shared" si="6"/>
        <v>0</v>
      </c>
      <c r="R5798" s="24">
        <f t="shared" si="7"/>
        <v>0</v>
      </c>
      <c r="S5798" s="24"/>
      <c r="T5798" s="24"/>
    </row>
    <row r="5799">
      <c r="A5799" s="12" t="s">
        <v>5886</v>
      </c>
      <c r="F5799" s="19">
        <f>IFERROR(__xludf.DUMMYFUNCTION("SPLIT(A5795, "" |"")"),5793.0)</f>
        <v>5793</v>
      </c>
      <c r="G5799" s="19">
        <f>IFERROR(__xludf.DUMMYFUNCTION("""COMPUTED_VALUE"""),0.00237)</f>
        <v>0.00237</v>
      </c>
      <c r="H5799" s="19" t="str">
        <f>IFERROR(__xludf.DUMMYFUNCTION("""COMPUTED_VALUE"""),"-")</f>
        <v>-</v>
      </c>
      <c r="I5799" s="19">
        <f>IFERROR(__xludf.DUMMYFUNCTION("""COMPUTED_VALUE"""),0.00216)</f>
        <v>0.00216</v>
      </c>
      <c r="J5799" s="19">
        <f>IFERROR(__xludf.DUMMYFUNCTION("""COMPUTED_VALUE"""),0.04739)</f>
        <v>0.04739</v>
      </c>
      <c r="K5799" s="19" t="str">
        <f>IFERROR(__xludf.DUMMYFUNCTION("""COMPUTED_VALUE"""),"-")</f>
        <v>-</v>
      </c>
      <c r="L5799" s="19" t="str">
        <f>IFERROR(__xludf.DUMMYFUNCTION("""COMPUTED_VALUE"""),"-")</f>
        <v>-</v>
      </c>
      <c r="O5799" s="24">
        <f t="shared" si="4"/>
        <v>0</v>
      </c>
      <c r="P5799" s="24"/>
      <c r="Q5799" s="24">
        <f t="shared" si="6"/>
        <v>0</v>
      </c>
      <c r="R5799" s="24">
        <f t="shared" si="7"/>
        <v>0</v>
      </c>
      <c r="S5799" s="24"/>
      <c r="T5799" s="24"/>
    </row>
    <row r="5800">
      <c r="A5800" s="12" t="s">
        <v>5887</v>
      </c>
      <c r="F5800" s="19">
        <f>IFERROR(__xludf.DUMMYFUNCTION("SPLIT(A5796, "" |"")"),5794.0)</f>
        <v>5794</v>
      </c>
      <c r="G5800" s="19">
        <f>IFERROR(__xludf.DUMMYFUNCTION("""COMPUTED_VALUE"""),0.00237)</f>
        <v>0.00237</v>
      </c>
      <c r="H5800" s="19" t="str">
        <f>IFERROR(__xludf.DUMMYFUNCTION("""COMPUTED_VALUE"""),"-")</f>
        <v>-</v>
      </c>
      <c r="I5800" s="19">
        <f>IFERROR(__xludf.DUMMYFUNCTION("""COMPUTED_VALUE"""),0.00218)</f>
        <v>0.00218</v>
      </c>
      <c r="J5800" s="19">
        <f>IFERROR(__xludf.DUMMYFUNCTION("""COMPUTED_VALUE"""),0.04183)</f>
        <v>0.04183</v>
      </c>
      <c r="K5800" s="19" t="str">
        <f>IFERROR(__xludf.DUMMYFUNCTION("""COMPUTED_VALUE"""),"-")</f>
        <v>-</v>
      </c>
      <c r="L5800" s="19" t="str">
        <f>IFERROR(__xludf.DUMMYFUNCTION("""COMPUTED_VALUE"""),"-")</f>
        <v>-</v>
      </c>
      <c r="O5800" s="24">
        <f t="shared" si="4"/>
        <v>0</v>
      </c>
      <c r="P5800" s="24"/>
      <c r="Q5800" s="24">
        <f t="shared" si="6"/>
        <v>0</v>
      </c>
      <c r="R5800" s="24">
        <f t="shared" si="7"/>
        <v>1</v>
      </c>
      <c r="S5800" s="24"/>
      <c r="T5800" s="24"/>
    </row>
    <row r="5801">
      <c r="A5801" s="12" t="s">
        <v>5888</v>
      </c>
      <c r="F5801" s="19">
        <f>IFERROR(__xludf.DUMMYFUNCTION("SPLIT(A5797, "" |"")"),5795.0)</f>
        <v>5795</v>
      </c>
      <c r="G5801" s="19">
        <f>IFERROR(__xludf.DUMMYFUNCTION("""COMPUTED_VALUE"""),0.00232)</f>
        <v>0.00232</v>
      </c>
      <c r="H5801" s="19" t="str">
        <f>IFERROR(__xludf.DUMMYFUNCTION("""COMPUTED_VALUE"""),"-")</f>
        <v>-</v>
      </c>
      <c r="I5801" s="19">
        <f>IFERROR(__xludf.DUMMYFUNCTION("""COMPUTED_VALUE"""),0.0022)</f>
        <v>0.0022</v>
      </c>
      <c r="J5801" s="19">
        <f>IFERROR(__xludf.DUMMYFUNCTION("""COMPUTED_VALUE"""),0.04737)</f>
        <v>0.04737</v>
      </c>
      <c r="K5801" s="19" t="str">
        <f>IFERROR(__xludf.DUMMYFUNCTION("""COMPUTED_VALUE"""),"-")</f>
        <v>-</v>
      </c>
      <c r="L5801" s="19" t="str">
        <f>IFERROR(__xludf.DUMMYFUNCTION("""COMPUTED_VALUE"""),"-")</f>
        <v>-</v>
      </c>
      <c r="O5801" s="24">
        <f t="shared" si="4"/>
        <v>0</v>
      </c>
      <c r="P5801" s="24"/>
      <c r="Q5801" s="24">
        <f t="shared" si="6"/>
        <v>0</v>
      </c>
      <c r="R5801" s="24">
        <f t="shared" si="7"/>
        <v>0</v>
      </c>
      <c r="S5801" s="24"/>
      <c r="T5801" s="24"/>
    </row>
    <row r="5802">
      <c r="A5802" s="12" t="s">
        <v>5889</v>
      </c>
      <c r="F5802" s="19">
        <f>IFERROR(__xludf.DUMMYFUNCTION("SPLIT(A5798, "" |"")"),5796.0)</f>
        <v>5796</v>
      </c>
      <c r="G5802" s="19">
        <f>IFERROR(__xludf.DUMMYFUNCTION("""COMPUTED_VALUE"""),0.00235)</f>
        <v>0.00235</v>
      </c>
      <c r="H5802" s="19" t="str">
        <f>IFERROR(__xludf.DUMMYFUNCTION("""COMPUTED_VALUE"""),"-")</f>
        <v>-</v>
      </c>
      <c r="I5802" s="19">
        <f>IFERROR(__xludf.DUMMYFUNCTION("""COMPUTED_VALUE"""),0.00229)</f>
        <v>0.00229</v>
      </c>
      <c r="J5802" s="19">
        <f>IFERROR(__xludf.DUMMYFUNCTION("""COMPUTED_VALUE"""),0.0475)</f>
        <v>0.0475</v>
      </c>
      <c r="K5802" s="19" t="str">
        <f>IFERROR(__xludf.DUMMYFUNCTION("""COMPUTED_VALUE"""),"-")</f>
        <v>-</v>
      </c>
      <c r="L5802" s="19" t="str">
        <f>IFERROR(__xludf.DUMMYFUNCTION("""COMPUTED_VALUE"""),"-")</f>
        <v>-</v>
      </c>
      <c r="O5802" s="24">
        <f t="shared" si="4"/>
        <v>0</v>
      </c>
      <c r="P5802" s="24"/>
      <c r="Q5802" s="24">
        <f t="shared" si="6"/>
        <v>0</v>
      </c>
      <c r="R5802" s="24">
        <f t="shared" si="7"/>
        <v>0</v>
      </c>
      <c r="S5802" s="24"/>
      <c r="T5802" s="24"/>
    </row>
    <row r="5803">
      <c r="A5803" s="12" t="s">
        <v>5890</v>
      </c>
      <c r="F5803" s="19">
        <f>IFERROR(__xludf.DUMMYFUNCTION("SPLIT(A5799, "" |"")"),5797.0)</f>
        <v>5797</v>
      </c>
      <c r="G5803" s="19">
        <f>IFERROR(__xludf.DUMMYFUNCTION("""COMPUTED_VALUE"""),0.00235)</f>
        <v>0.00235</v>
      </c>
      <c r="H5803" s="19" t="str">
        <f>IFERROR(__xludf.DUMMYFUNCTION("""COMPUTED_VALUE"""),"-")</f>
        <v>-</v>
      </c>
      <c r="I5803" s="19">
        <f>IFERROR(__xludf.DUMMYFUNCTION("""COMPUTED_VALUE"""),0.00221)</f>
        <v>0.00221</v>
      </c>
      <c r="J5803" s="19">
        <f>IFERROR(__xludf.DUMMYFUNCTION("""COMPUTED_VALUE"""),0.04746)</f>
        <v>0.04746</v>
      </c>
      <c r="K5803" s="19" t="str">
        <f>IFERROR(__xludf.DUMMYFUNCTION("""COMPUTED_VALUE"""),"-")</f>
        <v>-</v>
      </c>
      <c r="L5803" s="19" t="str">
        <f>IFERROR(__xludf.DUMMYFUNCTION("""COMPUTED_VALUE"""),"-")</f>
        <v>-</v>
      </c>
      <c r="O5803" s="24">
        <f t="shared" si="4"/>
        <v>0</v>
      </c>
      <c r="P5803" s="24"/>
      <c r="Q5803" s="24">
        <f t="shared" si="6"/>
        <v>0</v>
      </c>
      <c r="R5803" s="24">
        <f t="shared" si="7"/>
        <v>0</v>
      </c>
      <c r="S5803" s="24"/>
      <c r="T5803" s="24"/>
    </row>
    <row r="5804">
      <c r="A5804" s="12" t="s">
        <v>5891</v>
      </c>
      <c r="F5804" s="19">
        <f>IFERROR(__xludf.DUMMYFUNCTION("SPLIT(A5800, "" |"")"),5798.0)</f>
        <v>5798</v>
      </c>
      <c r="G5804" s="19">
        <f>IFERROR(__xludf.DUMMYFUNCTION("""COMPUTED_VALUE"""),0.00236)</f>
        <v>0.00236</v>
      </c>
      <c r="H5804" s="19" t="str">
        <f>IFERROR(__xludf.DUMMYFUNCTION("""COMPUTED_VALUE"""),"-")</f>
        <v>-</v>
      </c>
      <c r="I5804" s="19">
        <f>IFERROR(__xludf.DUMMYFUNCTION("""COMPUTED_VALUE"""),0.00218)</f>
        <v>0.00218</v>
      </c>
      <c r="J5804" s="19">
        <f>IFERROR(__xludf.DUMMYFUNCTION("""COMPUTED_VALUE"""),0.0474)</f>
        <v>0.0474</v>
      </c>
      <c r="K5804" s="19" t="str">
        <f>IFERROR(__xludf.DUMMYFUNCTION("""COMPUTED_VALUE"""),"-")</f>
        <v>-</v>
      </c>
      <c r="L5804" s="19" t="str">
        <f>IFERROR(__xludf.DUMMYFUNCTION("""COMPUTED_VALUE"""),"-")</f>
        <v>-</v>
      </c>
      <c r="O5804" s="24">
        <f t="shared" si="4"/>
        <v>0</v>
      </c>
      <c r="P5804" s="24"/>
      <c r="Q5804" s="24">
        <f t="shared" si="6"/>
        <v>0</v>
      </c>
      <c r="R5804" s="24">
        <f t="shared" si="7"/>
        <v>0</v>
      </c>
      <c r="S5804" s="24"/>
      <c r="T5804" s="24"/>
    </row>
    <row r="5805">
      <c r="A5805" s="12" t="s">
        <v>5892</v>
      </c>
      <c r="F5805" s="19">
        <f>IFERROR(__xludf.DUMMYFUNCTION("SPLIT(A5801, "" |"")"),5799.0)</f>
        <v>5799</v>
      </c>
      <c r="G5805" s="19">
        <f>IFERROR(__xludf.DUMMYFUNCTION("""COMPUTED_VALUE"""),0.00222)</f>
        <v>0.00222</v>
      </c>
      <c r="H5805" s="19" t="str">
        <f>IFERROR(__xludf.DUMMYFUNCTION("""COMPUTED_VALUE"""),"-")</f>
        <v>-</v>
      </c>
      <c r="I5805" s="19">
        <f>IFERROR(__xludf.DUMMYFUNCTION("""COMPUTED_VALUE"""),0.00208)</f>
        <v>0.00208</v>
      </c>
      <c r="J5805" s="19">
        <f>IFERROR(__xludf.DUMMYFUNCTION("""COMPUTED_VALUE"""),0.04735)</f>
        <v>0.04735</v>
      </c>
      <c r="K5805" s="19" t="str">
        <f>IFERROR(__xludf.DUMMYFUNCTION("""COMPUTED_VALUE"""),"-")</f>
        <v>-</v>
      </c>
      <c r="L5805" s="19" t="str">
        <f>IFERROR(__xludf.DUMMYFUNCTION("""COMPUTED_VALUE"""),"-")</f>
        <v>-</v>
      </c>
      <c r="O5805" s="24">
        <f t="shared" si="4"/>
        <v>0</v>
      </c>
      <c r="P5805" s="24"/>
      <c r="Q5805" s="24">
        <f t="shared" si="6"/>
        <v>0</v>
      </c>
      <c r="R5805" s="24">
        <f t="shared" si="7"/>
        <v>0</v>
      </c>
      <c r="S5805" s="24"/>
      <c r="T5805" s="24"/>
    </row>
    <row r="5806">
      <c r="A5806" s="12" t="s">
        <v>5893</v>
      </c>
      <c r="F5806" s="19">
        <f>IFERROR(__xludf.DUMMYFUNCTION("SPLIT(A5802, "" |"")"),5800.0)</f>
        <v>5800</v>
      </c>
      <c r="G5806" s="19">
        <f>IFERROR(__xludf.DUMMYFUNCTION("""COMPUTED_VALUE"""),0.00236)</f>
        <v>0.00236</v>
      </c>
      <c r="H5806" s="19" t="str">
        <f>IFERROR(__xludf.DUMMYFUNCTION("""COMPUTED_VALUE"""),"-")</f>
        <v>-</v>
      </c>
      <c r="I5806" s="19">
        <f>IFERROR(__xludf.DUMMYFUNCTION("""COMPUTED_VALUE"""),0.0022)</f>
        <v>0.0022</v>
      </c>
      <c r="J5806" s="19">
        <f>IFERROR(__xludf.DUMMYFUNCTION("""COMPUTED_VALUE"""),0.04742)</f>
        <v>0.04742</v>
      </c>
      <c r="K5806" s="19" t="str">
        <f>IFERROR(__xludf.DUMMYFUNCTION("""COMPUTED_VALUE"""),"-")</f>
        <v>-</v>
      </c>
      <c r="L5806" s="19" t="str">
        <f>IFERROR(__xludf.DUMMYFUNCTION("""COMPUTED_VALUE"""),"-")</f>
        <v>-</v>
      </c>
      <c r="O5806" s="24">
        <f t="shared" si="4"/>
        <v>0</v>
      </c>
      <c r="P5806" s="24"/>
      <c r="Q5806" s="24">
        <f t="shared" si="6"/>
        <v>0</v>
      </c>
      <c r="R5806" s="24">
        <f t="shared" si="7"/>
        <v>0</v>
      </c>
      <c r="S5806" s="24"/>
      <c r="T5806" s="24"/>
    </row>
    <row r="5807">
      <c r="A5807" s="12" t="s">
        <v>5894</v>
      </c>
      <c r="F5807" s="19">
        <f>IFERROR(__xludf.DUMMYFUNCTION("SPLIT(A5803, "" |"")"),5801.0)</f>
        <v>5801</v>
      </c>
      <c r="G5807" s="19">
        <f>IFERROR(__xludf.DUMMYFUNCTION("""COMPUTED_VALUE"""),0.00234)</f>
        <v>0.00234</v>
      </c>
      <c r="H5807" s="19" t="str">
        <f>IFERROR(__xludf.DUMMYFUNCTION("""COMPUTED_VALUE"""),"-")</f>
        <v>-</v>
      </c>
      <c r="I5807" s="19">
        <f>IFERROR(__xludf.DUMMYFUNCTION("""COMPUTED_VALUE"""),0.00217)</f>
        <v>0.00217</v>
      </c>
      <c r="J5807" s="19">
        <f>IFERROR(__xludf.DUMMYFUNCTION("""COMPUTED_VALUE"""),0.04737)</f>
        <v>0.04737</v>
      </c>
      <c r="K5807" s="19" t="str">
        <f>IFERROR(__xludf.DUMMYFUNCTION("""COMPUTED_VALUE"""),"-")</f>
        <v>-</v>
      </c>
      <c r="L5807" s="19" t="str">
        <f>IFERROR(__xludf.DUMMYFUNCTION("""COMPUTED_VALUE"""),"-")</f>
        <v>-</v>
      </c>
      <c r="O5807" s="24">
        <f t="shared" si="4"/>
        <v>0</v>
      </c>
      <c r="P5807" s="24"/>
      <c r="Q5807" s="24">
        <f t="shared" si="6"/>
        <v>0</v>
      </c>
      <c r="R5807" s="24">
        <f t="shared" si="7"/>
        <v>0</v>
      </c>
      <c r="S5807" s="24"/>
      <c r="T5807" s="24"/>
    </row>
    <row r="5808">
      <c r="A5808" s="12" t="s">
        <v>5895</v>
      </c>
      <c r="F5808" s="19">
        <f>IFERROR(__xludf.DUMMYFUNCTION("SPLIT(A5804, "" |"")"),5802.0)</f>
        <v>5802</v>
      </c>
      <c r="G5808" s="19">
        <f>IFERROR(__xludf.DUMMYFUNCTION("""COMPUTED_VALUE"""),0.00231)</f>
        <v>0.00231</v>
      </c>
      <c r="H5808" s="19" t="str">
        <f>IFERROR(__xludf.DUMMYFUNCTION("""COMPUTED_VALUE"""),"-")</f>
        <v>-</v>
      </c>
      <c r="I5808" s="19">
        <f>IFERROR(__xludf.DUMMYFUNCTION("""COMPUTED_VALUE"""),0.00222)</f>
        <v>0.00222</v>
      </c>
      <c r="J5808" s="19">
        <f>IFERROR(__xludf.DUMMYFUNCTION("""COMPUTED_VALUE"""),0.04745)</f>
        <v>0.04745</v>
      </c>
      <c r="K5808" s="19" t="str">
        <f>IFERROR(__xludf.DUMMYFUNCTION("""COMPUTED_VALUE"""),"-")</f>
        <v>-</v>
      </c>
      <c r="L5808" s="19" t="str">
        <f>IFERROR(__xludf.DUMMYFUNCTION("""COMPUTED_VALUE"""),"-")</f>
        <v>-</v>
      </c>
      <c r="O5808" s="24">
        <f t="shared" si="4"/>
        <v>0</v>
      </c>
      <c r="P5808" s="24"/>
      <c r="Q5808" s="24">
        <f t="shared" si="6"/>
        <v>0</v>
      </c>
      <c r="R5808" s="24">
        <f t="shared" si="7"/>
        <v>0</v>
      </c>
      <c r="S5808" s="24"/>
      <c r="T5808" s="24"/>
    </row>
    <row r="5809">
      <c r="A5809" s="12" t="s">
        <v>5896</v>
      </c>
      <c r="F5809" s="19">
        <f>IFERROR(__xludf.DUMMYFUNCTION("SPLIT(A5805, "" |"")"),5803.0)</f>
        <v>5803</v>
      </c>
      <c r="G5809" s="19">
        <f>IFERROR(__xludf.DUMMYFUNCTION("""COMPUTED_VALUE"""),0.00234)</f>
        <v>0.00234</v>
      </c>
      <c r="H5809" s="19" t="str">
        <f>IFERROR(__xludf.DUMMYFUNCTION("""COMPUTED_VALUE"""),"-")</f>
        <v>-</v>
      </c>
      <c r="I5809" s="19">
        <f>IFERROR(__xludf.DUMMYFUNCTION("""COMPUTED_VALUE"""),0.00219)</f>
        <v>0.00219</v>
      </c>
      <c r="J5809" s="19">
        <f>IFERROR(__xludf.DUMMYFUNCTION("""COMPUTED_VALUE"""),0.04745)</f>
        <v>0.04745</v>
      </c>
      <c r="K5809" s="19" t="str">
        <f>IFERROR(__xludf.DUMMYFUNCTION("""COMPUTED_VALUE"""),"-")</f>
        <v>-</v>
      </c>
      <c r="L5809" s="19" t="str">
        <f>IFERROR(__xludf.DUMMYFUNCTION("""COMPUTED_VALUE"""),"-")</f>
        <v>-</v>
      </c>
      <c r="O5809" s="24">
        <f t="shared" si="4"/>
        <v>0</v>
      </c>
      <c r="P5809" s="24"/>
      <c r="Q5809" s="24">
        <f t="shared" si="6"/>
        <v>0</v>
      </c>
      <c r="R5809" s="24">
        <f t="shared" si="7"/>
        <v>0</v>
      </c>
      <c r="S5809" s="24"/>
      <c r="T5809" s="24"/>
    </row>
    <row r="5810">
      <c r="A5810" s="12" t="s">
        <v>5897</v>
      </c>
      <c r="F5810" s="19">
        <f>IFERROR(__xludf.DUMMYFUNCTION("SPLIT(A5806, "" |"")"),5804.0)</f>
        <v>5804</v>
      </c>
      <c r="G5810" s="19">
        <f>IFERROR(__xludf.DUMMYFUNCTION("""COMPUTED_VALUE"""),0.00231)</f>
        <v>0.00231</v>
      </c>
      <c r="H5810" s="19" t="str">
        <f>IFERROR(__xludf.DUMMYFUNCTION("""COMPUTED_VALUE"""),"-")</f>
        <v>-</v>
      </c>
      <c r="I5810" s="19">
        <f>IFERROR(__xludf.DUMMYFUNCTION("""COMPUTED_VALUE"""),0.00218)</f>
        <v>0.00218</v>
      </c>
      <c r="J5810" s="19">
        <f>IFERROR(__xludf.DUMMYFUNCTION("""COMPUTED_VALUE"""),0.04744)</f>
        <v>0.04744</v>
      </c>
      <c r="K5810" s="19" t="str">
        <f>IFERROR(__xludf.DUMMYFUNCTION("""COMPUTED_VALUE"""),"-")</f>
        <v>-</v>
      </c>
      <c r="L5810" s="19" t="str">
        <f>IFERROR(__xludf.DUMMYFUNCTION("""COMPUTED_VALUE"""),"-")</f>
        <v>-</v>
      </c>
      <c r="O5810" s="24">
        <f t="shared" si="4"/>
        <v>0</v>
      </c>
      <c r="P5810" s="24"/>
      <c r="Q5810" s="24">
        <f t="shared" si="6"/>
        <v>0</v>
      </c>
      <c r="R5810" s="24">
        <f t="shared" si="7"/>
        <v>0</v>
      </c>
      <c r="S5810" s="24"/>
      <c r="T5810" s="24"/>
    </row>
    <row r="5811">
      <c r="A5811" s="12" t="s">
        <v>5898</v>
      </c>
      <c r="F5811" s="19">
        <f>IFERROR(__xludf.DUMMYFUNCTION("SPLIT(A5807, "" |"")"),5805.0)</f>
        <v>5805</v>
      </c>
      <c r="G5811" s="19">
        <f>IFERROR(__xludf.DUMMYFUNCTION("""COMPUTED_VALUE"""),0.00237)</f>
        <v>0.00237</v>
      </c>
      <c r="H5811" s="19" t="str">
        <f>IFERROR(__xludf.DUMMYFUNCTION("""COMPUTED_VALUE"""),"-")</f>
        <v>-</v>
      </c>
      <c r="I5811" s="19">
        <f>IFERROR(__xludf.DUMMYFUNCTION("""COMPUTED_VALUE"""),0.00221)</f>
        <v>0.00221</v>
      </c>
      <c r="J5811" s="19">
        <f>IFERROR(__xludf.DUMMYFUNCTION("""COMPUTED_VALUE"""),0.04742)</f>
        <v>0.04742</v>
      </c>
      <c r="K5811" s="19" t="str">
        <f>IFERROR(__xludf.DUMMYFUNCTION("""COMPUTED_VALUE"""),"-")</f>
        <v>-</v>
      </c>
      <c r="L5811" s="19" t="str">
        <f>IFERROR(__xludf.DUMMYFUNCTION("""COMPUTED_VALUE"""),"-")</f>
        <v>-</v>
      </c>
      <c r="O5811" s="24">
        <f t="shared" si="4"/>
        <v>0</v>
      </c>
      <c r="P5811" s="24"/>
      <c r="Q5811" s="24">
        <f t="shared" si="6"/>
        <v>0</v>
      </c>
      <c r="R5811" s="24">
        <f t="shared" si="7"/>
        <v>0</v>
      </c>
      <c r="S5811" s="24"/>
      <c r="T5811" s="24"/>
    </row>
    <row r="5812">
      <c r="A5812" s="12" t="s">
        <v>5899</v>
      </c>
      <c r="F5812" s="19">
        <f>IFERROR(__xludf.DUMMYFUNCTION("SPLIT(A5808, "" |"")"),5806.0)</f>
        <v>5806</v>
      </c>
      <c r="G5812" s="19">
        <f>IFERROR(__xludf.DUMMYFUNCTION("""COMPUTED_VALUE"""),0.0024)</f>
        <v>0.0024</v>
      </c>
      <c r="H5812" s="19" t="str">
        <f>IFERROR(__xludf.DUMMYFUNCTION("""COMPUTED_VALUE"""),"-")</f>
        <v>-</v>
      </c>
      <c r="I5812" s="19">
        <f>IFERROR(__xludf.DUMMYFUNCTION("""COMPUTED_VALUE"""),0.00219)</f>
        <v>0.00219</v>
      </c>
      <c r="J5812" s="19">
        <f>IFERROR(__xludf.DUMMYFUNCTION("""COMPUTED_VALUE"""),0.04619)</f>
        <v>0.04619</v>
      </c>
      <c r="K5812" s="19" t="str">
        <f>IFERROR(__xludf.DUMMYFUNCTION("""COMPUTED_VALUE"""),"-")</f>
        <v>-</v>
      </c>
      <c r="L5812" s="19" t="str">
        <f>IFERROR(__xludf.DUMMYFUNCTION("""COMPUTED_VALUE"""),"-")</f>
        <v>-</v>
      </c>
      <c r="O5812" s="24">
        <f t="shared" si="4"/>
        <v>0</v>
      </c>
      <c r="P5812" s="24"/>
      <c r="Q5812" s="24">
        <f t="shared" si="6"/>
        <v>0</v>
      </c>
      <c r="R5812" s="24">
        <f t="shared" si="7"/>
        <v>0</v>
      </c>
      <c r="S5812" s="24"/>
      <c r="T5812" s="24"/>
    </row>
    <row r="5813">
      <c r="A5813" s="12" t="s">
        <v>5900</v>
      </c>
      <c r="F5813" s="19">
        <f>IFERROR(__xludf.DUMMYFUNCTION("SPLIT(A5809, "" |"")"),5807.0)</f>
        <v>5807</v>
      </c>
      <c r="G5813" s="19">
        <f>IFERROR(__xludf.DUMMYFUNCTION("""COMPUTED_VALUE"""),0.00234)</f>
        <v>0.00234</v>
      </c>
      <c r="H5813" s="19" t="str">
        <f>IFERROR(__xludf.DUMMYFUNCTION("""COMPUTED_VALUE"""),"-")</f>
        <v>-</v>
      </c>
      <c r="I5813" s="19">
        <f>IFERROR(__xludf.DUMMYFUNCTION("""COMPUTED_VALUE"""),0.00223)</f>
        <v>0.00223</v>
      </c>
      <c r="J5813" s="19">
        <f>IFERROR(__xludf.DUMMYFUNCTION("""COMPUTED_VALUE"""),0.04703)</f>
        <v>0.04703</v>
      </c>
      <c r="K5813" s="19" t="str">
        <f>IFERROR(__xludf.DUMMYFUNCTION("""COMPUTED_VALUE"""),"-")</f>
        <v>-</v>
      </c>
      <c r="L5813" s="19" t="str">
        <f>IFERROR(__xludf.DUMMYFUNCTION("""COMPUTED_VALUE"""),"-")</f>
        <v>-</v>
      </c>
      <c r="O5813" s="24">
        <f t="shared" si="4"/>
        <v>0</v>
      </c>
      <c r="P5813" s="24"/>
      <c r="Q5813" s="24">
        <f t="shared" si="6"/>
        <v>0</v>
      </c>
      <c r="R5813" s="24">
        <f t="shared" si="7"/>
        <v>0</v>
      </c>
      <c r="S5813" s="24"/>
      <c r="T5813" s="24"/>
    </row>
    <row r="5814">
      <c r="A5814" s="12" t="s">
        <v>5901</v>
      </c>
      <c r="F5814" s="19">
        <f>IFERROR(__xludf.DUMMYFUNCTION("SPLIT(A5810, "" |"")"),5808.0)</f>
        <v>5808</v>
      </c>
      <c r="G5814" s="19">
        <f>IFERROR(__xludf.DUMMYFUNCTION("""COMPUTED_VALUE"""),0.0024)</f>
        <v>0.0024</v>
      </c>
      <c r="H5814" s="19" t="str">
        <f>IFERROR(__xludf.DUMMYFUNCTION("""COMPUTED_VALUE"""),"-")</f>
        <v>-</v>
      </c>
      <c r="I5814" s="19">
        <f>IFERROR(__xludf.DUMMYFUNCTION("""COMPUTED_VALUE"""),0.00222)</f>
        <v>0.00222</v>
      </c>
      <c r="J5814" s="19">
        <f>IFERROR(__xludf.DUMMYFUNCTION("""COMPUTED_VALUE"""),0.04742)</f>
        <v>0.04742</v>
      </c>
      <c r="K5814" s="19" t="str">
        <f>IFERROR(__xludf.DUMMYFUNCTION("""COMPUTED_VALUE"""),"-")</f>
        <v>-</v>
      </c>
      <c r="L5814" s="19" t="str">
        <f>IFERROR(__xludf.DUMMYFUNCTION("""COMPUTED_VALUE"""),"-")</f>
        <v>-</v>
      </c>
      <c r="O5814" s="24">
        <f t="shared" si="4"/>
        <v>0</v>
      </c>
      <c r="P5814" s="24"/>
      <c r="Q5814" s="24">
        <f t="shared" si="6"/>
        <v>0</v>
      </c>
      <c r="R5814" s="24">
        <f t="shared" si="7"/>
        <v>0</v>
      </c>
      <c r="S5814" s="24"/>
      <c r="T5814" s="24"/>
    </row>
    <row r="5815">
      <c r="A5815" s="12" t="s">
        <v>5902</v>
      </c>
      <c r="F5815" s="19">
        <f>IFERROR(__xludf.DUMMYFUNCTION("SPLIT(A5811, "" |"")"),5809.0)</f>
        <v>5809</v>
      </c>
      <c r="G5815" s="19">
        <f>IFERROR(__xludf.DUMMYFUNCTION("""COMPUTED_VALUE"""),0.0024)</f>
        <v>0.0024</v>
      </c>
      <c r="H5815" s="19" t="str">
        <f>IFERROR(__xludf.DUMMYFUNCTION("""COMPUTED_VALUE"""),"-")</f>
        <v>-</v>
      </c>
      <c r="I5815" s="19">
        <f>IFERROR(__xludf.DUMMYFUNCTION("""COMPUTED_VALUE"""),0.0022)</f>
        <v>0.0022</v>
      </c>
      <c r="J5815" s="19">
        <f>IFERROR(__xludf.DUMMYFUNCTION("""COMPUTED_VALUE"""),0.04733)</f>
        <v>0.04733</v>
      </c>
      <c r="K5815" s="19" t="str">
        <f>IFERROR(__xludf.DUMMYFUNCTION("""COMPUTED_VALUE"""),"-")</f>
        <v>-</v>
      </c>
      <c r="L5815" s="19" t="str">
        <f>IFERROR(__xludf.DUMMYFUNCTION("""COMPUTED_VALUE"""),"-")</f>
        <v>-</v>
      </c>
      <c r="O5815" s="24">
        <f t="shared" si="4"/>
        <v>0</v>
      </c>
      <c r="P5815" s="24"/>
      <c r="Q5815" s="24">
        <f t="shared" si="6"/>
        <v>0</v>
      </c>
      <c r="R5815" s="24">
        <f t="shared" si="7"/>
        <v>0</v>
      </c>
      <c r="S5815" s="24"/>
      <c r="T5815" s="24"/>
    </row>
    <row r="5816">
      <c r="A5816" s="12" t="s">
        <v>5903</v>
      </c>
      <c r="F5816" s="19">
        <f>IFERROR(__xludf.DUMMYFUNCTION("SPLIT(A5812, "" |"")"),5810.0)</f>
        <v>5810</v>
      </c>
      <c r="G5816" s="19">
        <f>IFERROR(__xludf.DUMMYFUNCTION("""COMPUTED_VALUE"""),0.00239)</f>
        <v>0.00239</v>
      </c>
      <c r="H5816" s="19" t="str">
        <f>IFERROR(__xludf.DUMMYFUNCTION("""COMPUTED_VALUE"""),"-")</f>
        <v>-</v>
      </c>
      <c r="I5816" s="19">
        <f>IFERROR(__xludf.DUMMYFUNCTION("""COMPUTED_VALUE"""),0.00219)</f>
        <v>0.00219</v>
      </c>
      <c r="J5816" s="19">
        <f>IFERROR(__xludf.DUMMYFUNCTION("""COMPUTED_VALUE"""),0.04743)</f>
        <v>0.04743</v>
      </c>
      <c r="K5816" s="19" t="str">
        <f>IFERROR(__xludf.DUMMYFUNCTION("""COMPUTED_VALUE"""),"-")</f>
        <v>-</v>
      </c>
      <c r="L5816" s="19" t="str">
        <f>IFERROR(__xludf.DUMMYFUNCTION("""COMPUTED_VALUE"""),"-")</f>
        <v>-</v>
      </c>
      <c r="O5816" s="24">
        <f t="shared" si="4"/>
        <v>0</v>
      </c>
      <c r="P5816" s="24"/>
      <c r="Q5816" s="24">
        <f t="shared" si="6"/>
        <v>0</v>
      </c>
      <c r="R5816" s="24">
        <f t="shared" si="7"/>
        <v>0</v>
      </c>
      <c r="S5816" s="24"/>
      <c r="T5816" s="24"/>
    </row>
    <row r="5817">
      <c r="A5817" s="12" t="s">
        <v>5904</v>
      </c>
      <c r="F5817" s="19">
        <f>IFERROR(__xludf.DUMMYFUNCTION("SPLIT(A5813, "" |"")"),5811.0)</f>
        <v>5811</v>
      </c>
      <c r="G5817" s="19">
        <f>IFERROR(__xludf.DUMMYFUNCTION("""COMPUTED_VALUE"""),0.00238)</f>
        <v>0.00238</v>
      </c>
      <c r="H5817" s="19" t="str">
        <f>IFERROR(__xludf.DUMMYFUNCTION("""COMPUTED_VALUE"""),"-")</f>
        <v>-</v>
      </c>
      <c r="I5817" s="19">
        <f>IFERROR(__xludf.DUMMYFUNCTION("""COMPUTED_VALUE"""),0.00225)</f>
        <v>0.00225</v>
      </c>
      <c r="J5817" s="19">
        <f>IFERROR(__xludf.DUMMYFUNCTION("""COMPUTED_VALUE"""),0.04744)</f>
        <v>0.04744</v>
      </c>
      <c r="K5817" s="19" t="str">
        <f>IFERROR(__xludf.DUMMYFUNCTION("""COMPUTED_VALUE"""),"-")</f>
        <v>-</v>
      </c>
      <c r="L5817" s="19" t="str">
        <f>IFERROR(__xludf.DUMMYFUNCTION("""COMPUTED_VALUE"""),"-")</f>
        <v>-</v>
      </c>
      <c r="O5817" s="24">
        <f t="shared" si="4"/>
        <v>0</v>
      </c>
      <c r="P5817" s="24"/>
      <c r="Q5817" s="24">
        <f t="shared" si="6"/>
        <v>0</v>
      </c>
      <c r="R5817" s="24">
        <f t="shared" si="7"/>
        <v>0</v>
      </c>
      <c r="S5817" s="24"/>
      <c r="T5817" s="24"/>
    </row>
    <row r="5818">
      <c r="A5818" s="12" t="s">
        <v>5905</v>
      </c>
      <c r="F5818" s="19">
        <f>IFERROR(__xludf.DUMMYFUNCTION("SPLIT(A5814, "" |"")"),5812.0)</f>
        <v>5812</v>
      </c>
      <c r="G5818" s="19">
        <f>IFERROR(__xludf.DUMMYFUNCTION("""COMPUTED_VALUE"""),0.00234)</f>
        <v>0.00234</v>
      </c>
      <c r="H5818" s="19" t="str">
        <f>IFERROR(__xludf.DUMMYFUNCTION("""COMPUTED_VALUE"""),"-")</f>
        <v>-</v>
      </c>
      <c r="I5818" s="19">
        <f>IFERROR(__xludf.DUMMYFUNCTION("""COMPUTED_VALUE"""),0.0022)</f>
        <v>0.0022</v>
      </c>
      <c r="J5818" s="19">
        <f>IFERROR(__xludf.DUMMYFUNCTION("""COMPUTED_VALUE"""),0.04747)</f>
        <v>0.04747</v>
      </c>
      <c r="K5818" s="19" t="str">
        <f>IFERROR(__xludf.DUMMYFUNCTION("""COMPUTED_VALUE"""),"-")</f>
        <v>-</v>
      </c>
      <c r="L5818" s="19" t="str">
        <f>IFERROR(__xludf.DUMMYFUNCTION("""COMPUTED_VALUE"""),"-")</f>
        <v>-</v>
      </c>
      <c r="O5818" s="24">
        <f t="shared" si="4"/>
        <v>0</v>
      </c>
      <c r="P5818" s="24"/>
      <c r="Q5818" s="24">
        <f t="shared" si="6"/>
        <v>0</v>
      </c>
      <c r="R5818" s="24">
        <f t="shared" si="7"/>
        <v>0</v>
      </c>
      <c r="S5818" s="24"/>
      <c r="T5818" s="24"/>
    </row>
    <row r="5819">
      <c r="A5819" s="12" t="s">
        <v>5906</v>
      </c>
      <c r="F5819" s="19">
        <f>IFERROR(__xludf.DUMMYFUNCTION("SPLIT(A5815, "" |"")"),5813.0)</f>
        <v>5813</v>
      </c>
      <c r="G5819" s="19">
        <f>IFERROR(__xludf.DUMMYFUNCTION("""COMPUTED_VALUE"""),0.0023)</f>
        <v>0.0023</v>
      </c>
      <c r="H5819" s="19" t="str">
        <f>IFERROR(__xludf.DUMMYFUNCTION("""COMPUTED_VALUE"""),"-")</f>
        <v>-</v>
      </c>
      <c r="I5819" s="19">
        <f>IFERROR(__xludf.DUMMYFUNCTION("""COMPUTED_VALUE"""),0.0022)</f>
        <v>0.0022</v>
      </c>
      <c r="J5819" s="19">
        <f>IFERROR(__xludf.DUMMYFUNCTION("""COMPUTED_VALUE"""),0.04744)</f>
        <v>0.04744</v>
      </c>
      <c r="K5819" s="19" t="str">
        <f>IFERROR(__xludf.DUMMYFUNCTION("""COMPUTED_VALUE"""),"-")</f>
        <v>-</v>
      </c>
      <c r="L5819" s="19" t="str">
        <f>IFERROR(__xludf.DUMMYFUNCTION("""COMPUTED_VALUE"""),"-")</f>
        <v>-</v>
      </c>
      <c r="O5819" s="24">
        <f t="shared" si="4"/>
        <v>0</v>
      </c>
      <c r="P5819" s="24"/>
      <c r="Q5819" s="24">
        <f t="shared" si="6"/>
        <v>0</v>
      </c>
      <c r="R5819" s="24">
        <f t="shared" si="7"/>
        <v>0</v>
      </c>
      <c r="S5819" s="24"/>
      <c r="T5819" s="24"/>
    </row>
    <row r="5820">
      <c r="A5820" s="12" t="s">
        <v>5907</v>
      </c>
      <c r="F5820" s="19">
        <f>IFERROR(__xludf.DUMMYFUNCTION("SPLIT(A5816, "" |"")"),5814.0)</f>
        <v>5814</v>
      </c>
      <c r="G5820" s="19">
        <f>IFERROR(__xludf.DUMMYFUNCTION("""COMPUTED_VALUE"""),0.00241)</f>
        <v>0.00241</v>
      </c>
      <c r="H5820" s="19" t="str">
        <f>IFERROR(__xludf.DUMMYFUNCTION("""COMPUTED_VALUE"""),"-")</f>
        <v>-</v>
      </c>
      <c r="I5820" s="19">
        <f>IFERROR(__xludf.DUMMYFUNCTION("""COMPUTED_VALUE"""),0.0022)</f>
        <v>0.0022</v>
      </c>
      <c r="J5820" s="19">
        <f>IFERROR(__xludf.DUMMYFUNCTION("""COMPUTED_VALUE"""),0.04745)</f>
        <v>0.04745</v>
      </c>
      <c r="K5820" s="19" t="str">
        <f>IFERROR(__xludf.DUMMYFUNCTION("""COMPUTED_VALUE"""),"-")</f>
        <v>-</v>
      </c>
      <c r="L5820" s="19" t="str">
        <f>IFERROR(__xludf.DUMMYFUNCTION("""COMPUTED_VALUE"""),"-")</f>
        <v>-</v>
      </c>
      <c r="O5820" s="24">
        <f t="shared" si="4"/>
        <v>0</v>
      </c>
      <c r="P5820" s="24"/>
      <c r="Q5820" s="24">
        <f t="shared" si="6"/>
        <v>0</v>
      </c>
      <c r="R5820" s="24">
        <f t="shared" si="7"/>
        <v>0</v>
      </c>
      <c r="S5820" s="24"/>
      <c r="T5820" s="24"/>
    </row>
    <row r="5821">
      <c r="A5821" s="12" t="s">
        <v>5908</v>
      </c>
      <c r="F5821" s="19">
        <f>IFERROR(__xludf.DUMMYFUNCTION("SPLIT(A5817, "" |"")"),5815.0)</f>
        <v>5815</v>
      </c>
      <c r="G5821" s="19">
        <f>IFERROR(__xludf.DUMMYFUNCTION("""COMPUTED_VALUE"""),0.00241)</f>
        <v>0.00241</v>
      </c>
      <c r="H5821" s="19" t="str">
        <f>IFERROR(__xludf.DUMMYFUNCTION("""COMPUTED_VALUE"""),"-")</f>
        <v>-</v>
      </c>
      <c r="I5821" s="19">
        <f>IFERROR(__xludf.DUMMYFUNCTION("""COMPUTED_VALUE"""),0.00229)</f>
        <v>0.00229</v>
      </c>
      <c r="J5821" s="19">
        <f>IFERROR(__xludf.DUMMYFUNCTION("""COMPUTED_VALUE"""),0.04742)</f>
        <v>0.04742</v>
      </c>
      <c r="K5821" s="19" t="str">
        <f>IFERROR(__xludf.DUMMYFUNCTION("""COMPUTED_VALUE"""),"-")</f>
        <v>-</v>
      </c>
      <c r="L5821" s="19" t="str">
        <f>IFERROR(__xludf.DUMMYFUNCTION("""COMPUTED_VALUE"""),"-")</f>
        <v>-</v>
      </c>
      <c r="O5821" s="24">
        <f t="shared" si="4"/>
        <v>0</v>
      </c>
      <c r="P5821" s="24"/>
      <c r="Q5821" s="24">
        <f t="shared" si="6"/>
        <v>0</v>
      </c>
      <c r="R5821" s="24">
        <f t="shared" si="7"/>
        <v>0</v>
      </c>
      <c r="S5821" s="24"/>
      <c r="T5821" s="24"/>
    </row>
    <row r="5822">
      <c r="A5822" s="12" t="s">
        <v>5909</v>
      </c>
      <c r="F5822" s="19">
        <f>IFERROR(__xludf.DUMMYFUNCTION("SPLIT(A5818, "" |"")"),5816.0)</f>
        <v>5816</v>
      </c>
      <c r="G5822" s="19">
        <f>IFERROR(__xludf.DUMMYFUNCTION("""COMPUTED_VALUE"""),0.00239)</f>
        <v>0.00239</v>
      </c>
      <c r="H5822" s="19" t="str">
        <f>IFERROR(__xludf.DUMMYFUNCTION("""COMPUTED_VALUE"""),"-")</f>
        <v>-</v>
      </c>
      <c r="I5822" s="19">
        <f>IFERROR(__xludf.DUMMYFUNCTION("""COMPUTED_VALUE"""),0.00221)</f>
        <v>0.00221</v>
      </c>
      <c r="J5822" s="19">
        <f>IFERROR(__xludf.DUMMYFUNCTION("""COMPUTED_VALUE"""),0.04749)</f>
        <v>0.04749</v>
      </c>
      <c r="K5822" s="19" t="str">
        <f>IFERROR(__xludf.DUMMYFUNCTION("""COMPUTED_VALUE"""),"-")</f>
        <v>-</v>
      </c>
      <c r="L5822" s="19" t="str">
        <f>IFERROR(__xludf.DUMMYFUNCTION("""COMPUTED_VALUE"""),"-")</f>
        <v>-</v>
      </c>
      <c r="O5822" s="24">
        <f t="shared" si="4"/>
        <v>0</v>
      </c>
      <c r="P5822" s="24"/>
      <c r="Q5822" s="24">
        <f t="shared" si="6"/>
        <v>0</v>
      </c>
      <c r="R5822" s="24">
        <f t="shared" si="7"/>
        <v>0</v>
      </c>
      <c r="S5822" s="24"/>
      <c r="T5822" s="24"/>
    </row>
    <row r="5823">
      <c r="A5823" s="12" t="s">
        <v>5910</v>
      </c>
      <c r="F5823" s="19">
        <f>IFERROR(__xludf.DUMMYFUNCTION("SPLIT(A5819, "" |"")"),5817.0)</f>
        <v>5817</v>
      </c>
      <c r="G5823" s="19">
        <f>IFERROR(__xludf.DUMMYFUNCTION("""COMPUTED_VALUE"""),0.00247)</f>
        <v>0.00247</v>
      </c>
      <c r="H5823" s="19" t="str">
        <f>IFERROR(__xludf.DUMMYFUNCTION("""COMPUTED_VALUE"""),"-")</f>
        <v>-</v>
      </c>
      <c r="I5823" s="19">
        <f>IFERROR(__xludf.DUMMYFUNCTION("""COMPUTED_VALUE"""),0.00225)</f>
        <v>0.00225</v>
      </c>
      <c r="J5823" s="19">
        <f>IFERROR(__xludf.DUMMYFUNCTION("""COMPUTED_VALUE"""),0.04748)</f>
        <v>0.04748</v>
      </c>
      <c r="K5823" s="19" t="str">
        <f>IFERROR(__xludf.DUMMYFUNCTION("""COMPUTED_VALUE"""),"-")</f>
        <v>-</v>
      </c>
      <c r="L5823" s="19" t="str">
        <f>IFERROR(__xludf.DUMMYFUNCTION("""COMPUTED_VALUE"""),"-")</f>
        <v>-</v>
      </c>
      <c r="O5823" s="24">
        <f t="shared" si="4"/>
        <v>0</v>
      </c>
      <c r="P5823" s="24"/>
      <c r="Q5823" s="24">
        <f t="shared" si="6"/>
        <v>0</v>
      </c>
      <c r="R5823" s="24">
        <f t="shared" si="7"/>
        <v>0</v>
      </c>
      <c r="S5823" s="24"/>
      <c r="T5823" s="24"/>
    </row>
    <row r="5824">
      <c r="A5824" s="12" t="s">
        <v>5911</v>
      </c>
      <c r="F5824" s="19">
        <f>IFERROR(__xludf.DUMMYFUNCTION("SPLIT(A5820, "" |"")"),5818.0)</f>
        <v>5818</v>
      </c>
      <c r="G5824" s="19">
        <f>IFERROR(__xludf.DUMMYFUNCTION("""COMPUTED_VALUE"""),0.00241)</f>
        <v>0.00241</v>
      </c>
      <c r="H5824" s="19" t="str">
        <f>IFERROR(__xludf.DUMMYFUNCTION("""COMPUTED_VALUE"""),"-")</f>
        <v>-</v>
      </c>
      <c r="I5824" s="19">
        <f>IFERROR(__xludf.DUMMYFUNCTION("""COMPUTED_VALUE"""),0.00227)</f>
        <v>0.00227</v>
      </c>
      <c r="J5824" s="19">
        <f>IFERROR(__xludf.DUMMYFUNCTION("""COMPUTED_VALUE"""),0.04744)</f>
        <v>0.04744</v>
      </c>
      <c r="K5824" s="19" t="str">
        <f>IFERROR(__xludf.DUMMYFUNCTION("""COMPUTED_VALUE"""),"-")</f>
        <v>-</v>
      </c>
      <c r="L5824" s="19" t="str">
        <f>IFERROR(__xludf.DUMMYFUNCTION("""COMPUTED_VALUE"""),"-")</f>
        <v>-</v>
      </c>
      <c r="O5824" s="24">
        <f t="shared" si="4"/>
        <v>0</v>
      </c>
      <c r="P5824" s="24"/>
      <c r="Q5824" s="24">
        <f t="shared" si="6"/>
        <v>0</v>
      </c>
      <c r="R5824" s="24">
        <f t="shared" si="7"/>
        <v>0</v>
      </c>
      <c r="S5824" s="24"/>
      <c r="T5824" s="24"/>
    </row>
    <row r="5825">
      <c r="A5825" s="12" t="s">
        <v>5912</v>
      </c>
      <c r="F5825" s="19">
        <f>IFERROR(__xludf.DUMMYFUNCTION("SPLIT(A5821, "" |"")"),5819.0)</f>
        <v>5819</v>
      </c>
      <c r="G5825" s="19">
        <f>IFERROR(__xludf.DUMMYFUNCTION("""COMPUTED_VALUE"""),0.00237)</f>
        <v>0.00237</v>
      </c>
      <c r="H5825" s="19" t="str">
        <f>IFERROR(__xludf.DUMMYFUNCTION("""COMPUTED_VALUE"""),"-")</f>
        <v>-</v>
      </c>
      <c r="I5825" s="19">
        <f>IFERROR(__xludf.DUMMYFUNCTION("""COMPUTED_VALUE"""),0.00217)</f>
        <v>0.00217</v>
      </c>
      <c r="J5825" s="19">
        <f>IFERROR(__xludf.DUMMYFUNCTION("""COMPUTED_VALUE"""),0.04743)</f>
        <v>0.04743</v>
      </c>
      <c r="K5825" s="19" t="str">
        <f>IFERROR(__xludf.DUMMYFUNCTION("""COMPUTED_VALUE"""),"-")</f>
        <v>-</v>
      </c>
      <c r="L5825" s="19" t="str">
        <f>IFERROR(__xludf.DUMMYFUNCTION("""COMPUTED_VALUE"""),"-")</f>
        <v>-</v>
      </c>
      <c r="O5825" s="24">
        <f t="shared" si="4"/>
        <v>0</v>
      </c>
      <c r="P5825" s="24"/>
      <c r="Q5825" s="24">
        <f t="shared" si="6"/>
        <v>0</v>
      </c>
      <c r="R5825" s="24">
        <f t="shared" si="7"/>
        <v>0</v>
      </c>
      <c r="S5825" s="24"/>
      <c r="T5825" s="24"/>
    </row>
    <row r="5826">
      <c r="A5826" s="12" t="s">
        <v>5913</v>
      </c>
      <c r="F5826" s="19">
        <f>IFERROR(__xludf.DUMMYFUNCTION("SPLIT(A5822, "" |"")"),5820.0)</f>
        <v>5820</v>
      </c>
      <c r="G5826" s="19">
        <f>IFERROR(__xludf.DUMMYFUNCTION("""COMPUTED_VALUE"""),0.00235)</f>
        <v>0.00235</v>
      </c>
      <c r="H5826" s="19" t="str">
        <f>IFERROR(__xludf.DUMMYFUNCTION("""COMPUTED_VALUE"""),"-")</f>
        <v>-</v>
      </c>
      <c r="I5826" s="19">
        <f>IFERROR(__xludf.DUMMYFUNCTION("""COMPUTED_VALUE"""),0.00223)</f>
        <v>0.00223</v>
      </c>
      <c r="J5826" s="19">
        <f>IFERROR(__xludf.DUMMYFUNCTION("""COMPUTED_VALUE"""),0.04744)</f>
        <v>0.04744</v>
      </c>
      <c r="K5826" s="19" t="str">
        <f>IFERROR(__xludf.DUMMYFUNCTION("""COMPUTED_VALUE"""),"-")</f>
        <v>-</v>
      </c>
      <c r="L5826" s="19" t="str">
        <f>IFERROR(__xludf.DUMMYFUNCTION("""COMPUTED_VALUE"""),"-")</f>
        <v>-</v>
      </c>
      <c r="O5826" s="24">
        <f t="shared" si="4"/>
        <v>0</v>
      </c>
      <c r="P5826" s="24"/>
      <c r="Q5826" s="24">
        <f t="shared" si="6"/>
        <v>0</v>
      </c>
      <c r="R5826" s="24">
        <f t="shared" si="7"/>
        <v>0</v>
      </c>
      <c r="S5826" s="24"/>
      <c r="T5826" s="24"/>
    </row>
    <row r="5827">
      <c r="A5827" s="12" t="s">
        <v>5914</v>
      </c>
      <c r="F5827" s="19">
        <f>IFERROR(__xludf.DUMMYFUNCTION("SPLIT(A5823, "" |"")"),5821.0)</f>
        <v>5821</v>
      </c>
      <c r="G5827" s="19">
        <f>IFERROR(__xludf.DUMMYFUNCTION("""COMPUTED_VALUE"""),0.00236)</f>
        <v>0.00236</v>
      </c>
      <c r="H5827" s="19" t="str">
        <f>IFERROR(__xludf.DUMMYFUNCTION("""COMPUTED_VALUE"""),"-")</f>
        <v>-</v>
      </c>
      <c r="I5827" s="19">
        <f>IFERROR(__xludf.DUMMYFUNCTION("""COMPUTED_VALUE"""),0.00223)</f>
        <v>0.00223</v>
      </c>
      <c r="J5827" s="19">
        <f>IFERROR(__xludf.DUMMYFUNCTION("""COMPUTED_VALUE"""),0.04745)</f>
        <v>0.04745</v>
      </c>
      <c r="K5827" s="19" t="str">
        <f>IFERROR(__xludf.DUMMYFUNCTION("""COMPUTED_VALUE"""),"-")</f>
        <v>-</v>
      </c>
      <c r="L5827" s="19" t="str">
        <f>IFERROR(__xludf.DUMMYFUNCTION("""COMPUTED_VALUE"""),"-")</f>
        <v>-</v>
      </c>
      <c r="O5827" s="24">
        <f t="shared" si="4"/>
        <v>0</v>
      </c>
      <c r="P5827" s="24"/>
      <c r="Q5827" s="24">
        <f t="shared" si="6"/>
        <v>0</v>
      </c>
      <c r="R5827" s="24">
        <f t="shared" si="7"/>
        <v>0</v>
      </c>
      <c r="S5827" s="24"/>
      <c r="T5827" s="24"/>
    </row>
    <row r="5828">
      <c r="A5828" s="12" t="s">
        <v>5915</v>
      </c>
      <c r="F5828" s="19">
        <f>IFERROR(__xludf.DUMMYFUNCTION("SPLIT(A5824, "" |"")"),5822.0)</f>
        <v>5822</v>
      </c>
      <c r="G5828" s="19">
        <f>IFERROR(__xludf.DUMMYFUNCTION("""COMPUTED_VALUE"""),0.00244)</f>
        <v>0.00244</v>
      </c>
      <c r="H5828" s="19" t="str">
        <f>IFERROR(__xludf.DUMMYFUNCTION("""COMPUTED_VALUE"""),"-")</f>
        <v>-</v>
      </c>
      <c r="I5828" s="19">
        <f>IFERROR(__xludf.DUMMYFUNCTION("""COMPUTED_VALUE"""),0.00215)</f>
        <v>0.00215</v>
      </c>
      <c r="J5828" s="19">
        <f>IFERROR(__xludf.DUMMYFUNCTION("""COMPUTED_VALUE"""),0.0474)</f>
        <v>0.0474</v>
      </c>
      <c r="K5828" s="19" t="str">
        <f>IFERROR(__xludf.DUMMYFUNCTION("""COMPUTED_VALUE"""),"-")</f>
        <v>-</v>
      </c>
      <c r="L5828" s="19" t="str">
        <f>IFERROR(__xludf.DUMMYFUNCTION("""COMPUTED_VALUE"""),"-")</f>
        <v>-</v>
      </c>
      <c r="O5828" s="24">
        <f t="shared" si="4"/>
        <v>0</v>
      </c>
      <c r="P5828" s="24"/>
      <c r="Q5828" s="24">
        <f t="shared" si="6"/>
        <v>0</v>
      </c>
      <c r="R5828" s="24">
        <f t="shared" si="7"/>
        <v>0</v>
      </c>
      <c r="S5828" s="24"/>
      <c r="T5828" s="24"/>
    </row>
    <row r="5829">
      <c r="A5829" s="12" t="s">
        <v>5916</v>
      </c>
      <c r="F5829" s="19">
        <f>IFERROR(__xludf.DUMMYFUNCTION("SPLIT(A5825, "" |"")"),5823.0)</f>
        <v>5823</v>
      </c>
      <c r="G5829" s="19">
        <f>IFERROR(__xludf.DUMMYFUNCTION("""COMPUTED_VALUE"""),0.0024)</f>
        <v>0.0024</v>
      </c>
      <c r="H5829" s="19" t="str">
        <f>IFERROR(__xludf.DUMMYFUNCTION("""COMPUTED_VALUE"""),"-")</f>
        <v>-</v>
      </c>
      <c r="I5829" s="19">
        <f>IFERROR(__xludf.DUMMYFUNCTION("""COMPUTED_VALUE"""),0.0022)</f>
        <v>0.0022</v>
      </c>
      <c r="J5829" s="19">
        <f>IFERROR(__xludf.DUMMYFUNCTION("""COMPUTED_VALUE"""),0.04224)</f>
        <v>0.04224</v>
      </c>
      <c r="K5829" s="19" t="str">
        <f>IFERROR(__xludf.DUMMYFUNCTION("""COMPUTED_VALUE"""),"-")</f>
        <v>-</v>
      </c>
      <c r="L5829" s="19" t="str">
        <f>IFERROR(__xludf.DUMMYFUNCTION("""COMPUTED_VALUE"""),"-")</f>
        <v>-</v>
      </c>
      <c r="O5829" s="24">
        <f t="shared" si="4"/>
        <v>0</v>
      </c>
      <c r="P5829" s="24"/>
      <c r="Q5829" s="24">
        <f t="shared" si="6"/>
        <v>0</v>
      </c>
      <c r="R5829" s="24">
        <f t="shared" si="7"/>
        <v>1</v>
      </c>
      <c r="S5829" s="24"/>
      <c r="T5829" s="24"/>
    </row>
    <row r="5830">
      <c r="A5830" s="12" t="s">
        <v>5917</v>
      </c>
      <c r="F5830" s="19">
        <f>IFERROR(__xludf.DUMMYFUNCTION("SPLIT(A5826, "" |"")"),5824.0)</f>
        <v>5824</v>
      </c>
      <c r="G5830" s="19">
        <f>IFERROR(__xludf.DUMMYFUNCTION("""COMPUTED_VALUE"""),0.0023)</f>
        <v>0.0023</v>
      </c>
      <c r="H5830" s="19" t="str">
        <f>IFERROR(__xludf.DUMMYFUNCTION("""COMPUTED_VALUE"""),"-")</f>
        <v>-</v>
      </c>
      <c r="I5830" s="19">
        <f>IFERROR(__xludf.DUMMYFUNCTION("""COMPUTED_VALUE"""),0.00219)</f>
        <v>0.00219</v>
      </c>
      <c r="J5830" s="19">
        <f>IFERROR(__xludf.DUMMYFUNCTION("""COMPUTED_VALUE"""),0.04742)</f>
        <v>0.04742</v>
      </c>
      <c r="K5830" s="19" t="str">
        <f>IFERROR(__xludf.DUMMYFUNCTION("""COMPUTED_VALUE"""),"-")</f>
        <v>-</v>
      </c>
      <c r="L5830" s="19" t="str">
        <f>IFERROR(__xludf.DUMMYFUNCTION("""COMPUTED_VALUE"""),"-")</f>
        <v>-</v>
      </c>
      <c r="O5830" s="24">
        <f t="shared" si="4"/>
        <v>0</v>
      </c>
      <c r="P5830" s="24"/>
      <c r="Q5830" s="24">
        <f t="shared" si="6"/>
        <v>0</v>
      </c>
      <c r="R5830" s="24">
        <f t="shared" si="7"/>
        <v>0</v>
      </c>
      <c r="S5830" s="24"/>
      <c r="T5830" s="24"/>
    </row>
    <row r="5831">
      <c r="A5831" s="12" t="s">
        <v>5918</v>
      </c>
      <c r="F5831" s="19">
        <f>IFERROR(__xludf.DUMMYFUNCTION("SPLIT(A5827, "" |"")"),5825.0)</f>
        <v>5825</v>
      </c>
      <c r="G5831" s="19">
        <f>IFERROR(__xludf.DUMMYFUNCTION("""COMPUTED_VALUE"""),0.00236)</f>
        <v>0.00236</v>
      </c>
      <c r="H5831" s="19" t="str">
        <f>IFERROR(__xludf.DUMMYFUNCTION("""COMPUTED_VALUE"""),"-")</f>
        <v>-</v>
      </c>
      <c r="I5831" s="19">
        <f>IFERROR(__xludf.DUMMYFUNCTION("""COMPUTED_VALUE"""),0.00222)</f>
        <v>0.00222</v>
      </c>
      <c r="J5831" s="19">
        <f>IFERROR(__xludf.DUMMYFUNCTION("""COMPUTED_VALUE"""),0.04741)</f>
        <v>0.04741</v>
      </c>
      <c r="K5831" s="19" t="str">
        <f>IFERROR(__xludf.DUMMYFUNCTION("""COMPUTED_VALUE"""),"-")</f>
        <v>-</v>
      </c>
      <c r="L5831" s="19" t="str">
        <f>IFERROR(__xludf.DUMMYFUNCTION("""COMPUTED_VALUE"""),"-")</f>
        <v>-</v>
      </c>
      <c r="O5831" s="24">
        <f t="shared" si="4"/>
        <v>0</v>
      </c>
      <c r="P5831" s="24"/>
      <c r="Q5831" s="24">
        <f t="shared" si="6"/>
        <v>0</v>
      </c>
      <c r="R5831" s="24">
        <f t="shared" si="7"/>
        <v>0</v>
      </c>
      <c r="S5831" s="24"/>
      <c r="T5831" s="24"/>
    </row>
    <row r="5832">
      <c r="A5832" s="12" t="s">
        <v>5919</v>
      </c>
      <c r="F5832" s="19">
        <f>IFERROR(__xludf.DUMMYFUNCTION("SPLIT(A5828, "" |"")"),5826.0)</f>
        <v>5826</v>
      </c>
      <c r="G5832" s="19">
        <f>IFERROR(__xludf.DUMMYFUNCTION("""COMPUTED_VALUE"""),0.00248)</f>
        <v>0.00248</v>
      </c>
      <c r="H5832" s="19" t="str">
        <f>IFERROR(__xludf.DUMMYFUNCTION("""COMPUTED_VALUE"""),"-")</f>
        <v>-</v>
      </c>
      <c r="I5832" s="19">
        <f>IFERROR(__xludf.DUMMYFUNCTION("""COMPUTED_VALUE"""),0.00221)</f>
        <v>0.00221</v>
      </c>
      <c r="J5832" s="19">
        <f>IFERROR(__xludf.DUMMYFUNCTION("""COMPUTED_VALUE"""),0.04743)</f>
        <v>0.04743</v>
      </c>
      <c r="K5832" s="19" t="str">
        <f>IFERROR(__xludf.DUMMYFUNCTION("""COMPUTED_VALUE"""),"-")</f>
        <v>-</v>
      </c>
      <c r="L5832" s="19" t="str">
        <f>IFERROR(__xludf.DUMMYFUNCTION("""COMPUTED_VALUE"""),"-")</f>
        <v>-</v>
      </c>
      <c r="O5832" s="24">
        <f t="shared" si="4"/>
        <v>0</v>
      </c>
      <c r="P5832" s="24"/>
      <c r="Q5832" s="24">
        <f t="shared" si="6"/>
        <v>0</v>
      </c>
      <c r="R5832" s="24">
        <f t="shared" si="7"/>
        <v>0</v>
      </c>
      <c r="S5832" s="24"/>
      <c r="T5832" s="24"/>
    </row>
    <row r="5833">
      <c r="A5833" s="12" t="s">
        <v>5920</v>
      </c>
      <c r="F5833" s="19">
        <f>IFERROR(__xludf.DUMMYFUNCTION("SPLIT(A5829, "" |"")"),5827.0)</f>
        <v>5827</v>
      </c>
      <c r="G5833" s="19">
        <f>IFERROR(__xludf.DUMMYFUNCTION("""COMPUTED_VALUE"""),0.00232)</f>
        <v>0.00232</v>
      </c>
      <c r="H5833" s="19" t="str">
        <f>IFERROR(__xludf.DUMMYFUNCTION("""COMPUTED_VALUE"""),"-")</f>
        <v>-</v>
      </c>
      <c r="I5833" s="19">
        <f>IFERROR(__xludf.DUMMYFUNCTION("""COMPUTED_VALUE"""),0.00218)</f>
        <v>0.00218</v>
      </c>
      <c r="J5833" s="19">
        <f>IFERROR(__xludf.DUMMYFUNCTION("""COMPUTED_VALUE"""),0.04745)</f>
        <v>0.04745</v>
      </c>
      <c r="K5833" s="19" t="str">
        <f>IFERROR(__xludf.DUMMYFUNCTION("""COMPUTED_VALUE"""),"-")</f>
        <v>-</v>
      </c>
      <c r="L5833" s="19" t="str">
        <f>IFERROR(__xludf.DUMMYFUNCTION("""COMPUTED_VALUE"""),"-")</f>
        <v>-</v>
      </c>
      <c r="O5833" s="24">
        <f t="shared" si="4"/>
        <v>0</v>
      </c>
      <c r="P5833" s="24"/>
      <c r="Q5833" s="24">
        <f t="shared" si="6"/>
        <v>0</v>
      </c>
      <c r="R5833" s="24">
        <f t="shared" si="7"/>
        <v>0</v>
      </c>
      <c r="S5833" s="24"/>
      <c r="T5833" s="24"/>
    </row>
    <row r="5834">
      <c r="A5834" s="12" t="s">
        <v>5921</v>
      </c>
      <c r="F5834" s="19">
        <f>IFERROR(__xludf.DUMMYFUNCTION("SPLIT(A5830, "" |"")"),5828.0)</f>
        <v>5828</v>
      </c>
      <c r="G5834" s="19">
        <f>IFERROR(__xludf.DUMMYFUNCTION("""COMPUTED_VALUE"""),0.00234)</f>
        <v>0.00234</v>
      </c>
      <c r="H5834" s="19" t="str">
        <f>IFERROR(__xludf.DUMMYFUNCTION("""COMPUTED_VALUE"""),"-")</f>
        <v>-</v>
      </c>
      <c r="I5834" s="19">
        <f>IFERROR(__xludf.DUMMYFUNCTION("""COMPUTED_VALUE"""),0.00221)</f>
        <v>0.00221</v>
      </c>
      <c r="J5834" s="19">
        <f>IFERROR(__xludf.DUMMYFUNCTION("""COMPUTED_VALUE"""),0.04749)</f>
        <v>0.04749</v>
      </c>
      <c r="K5834" s="19" t="str">
        <f>IFERROR(__xludf.DUMMYFUNCTION("""COMPUTED_VALUE"""),"-")</f>
        <v>-</v>
      </c>
      <c r="L5834" s="19" t="str">
        <f>IFERROR(__xludf.DUMMYFUNCTION("""COMPUTED_VALUE"""),"-")</f>
        <v>-</v>
      </c>
      <c r="O5834" s="24">
        <f t="shared" si="4"/>
        <v>0</v>
      </c>
      <c r="P5834" s="24"/>
      <c r="Q5834" s="24">
        <f t="shared" si="6"/>
        <v>0</v>
      </c>
      <c r="R5834" s="24">
        <f t="shared" si="7"/>
        <v>0</v>
      </c>
      <c r="S5834" s="24"/>
      <c r="T5834" s="24"/>
    </row>
    <row r="5835">
      <c r="A5835" s="12" t="s">
        <v>5922</v>
      </c>
      <c r="F5835" s="19">
        <f>IFERROR(__xludf.DUMMYFUNCTION("SPLIT(A5831, "" |"")"),5829.0)</f>
        <v>5829</v>
      </c>
      <c r="G5835" s="19">
        <f>IFERROR(__xludf.DUMMYFUNCTION("""COMPUTED_VALUE"""),0.00225)</f>
        <v>0.00225</v>
      </c>
      <c r="H5835" s="19" t="str">
        <f>IFERROR(__xludf.DUMMYFUNCTION("""COMPUTED_VALUE"""),"-")</f>
        <v>-</v>
      </c>
      <c r="I5835" s="19">
        <f>IFERROR(__xludf.DUMMYFUNCTION("""COMPUTED_VALUE"""),0.00212)</f>
        <v>0.00212</v>
      </c>
      <c r="J5835" s="19">
        <f>IFERROR(__xludf.DUMMYFUNCTION("""COMPUTED_VALUE"""),0.04731)</f>
        <v>0.04731</v>
      </c>
      <c r="K5835" s="19" t="str">
        <f>IFERROR(__xludf.DUMMYFUNCTION("""COMPUTED_VALUE"""),"-")</f>
        <v>-</v>
      </c>
      <c r="L5835" s="19" t="str">
        <f>IFERROR(__xludf.DUMMYFUNCTION("""COMPUTED_VALUE"""),"-")</f>
        <v>-</v>
      </c>
      <c r="O5835" s="24">
        <f t="shared" si="4"/>
        <v>0</v>
      </c>
      <c r="P5835" s="24"/>
      <c r="Q5835" s="24">
        <f t="shared" si="6"/>
        <v>0</v>
      </c>
      <c r="R5835" s="24">
        <f t="shared" si="7"/>
        <v>0</v>
      </c>
      <c r="S5835" s="24"/>
      <c r="T5835" s="24"/>
    </row>
    <row r="5836">
      <c r="A5836" s="12" t="s">
        <v>5923</v>
      </c>
      <c r="F5836" s="19">
        <f>IFERROR(__xludf.DUMMYFUNCTION("SPLIT(A5832, "" |"")"),5830.0)</f>
        <v>5830</v>
      </c>
      <c r="G5836" s="19">
        <f>IFERROR(__xludf.DUMMYFUNCTION("""COMPUTED_VALUE"""),0.00224)</f>
        <v>0.00224</v>
      </c>
      <c r="H5836" s="19" t="str">
        <f>IFERROR(__xludf.DUMMYFUNCTION("""COMPUTED_VALUE"""),"-")</f>
        <v>-</v>
      </c>
      <c r="I5836" s="19">
        <f>IFERROR(__xludf.DUMMYFUNCTION("""COMPUTED_VALUE"""),0.00209)</f>
        <v>0.00209</v>
      </c>
      <c r="J5836" s="19">
        <f>IFERROR(__xludf.DUMMYFUNCTION("""COMPUTED_VALUE"""),0.04734)</f>
        <v>0.04734</v>
      </c>
      <c r="K5836" s="19" t="str">
        <f>IFERROR(__xludf.DUMMYFUNCTION("""COMPUTED_VALUE"""),"-")</f>
        <v>-</v>
      </c>
      <c r="L5836" s="19" t="str">
        <f>IFERROR(__xludf.DUMMYFUNCTION("""COMPUTED_VALUE"""),"-")</f>
        <v>-</v>
      </c>
      <c r="O5836" s="24">
        <f t="shared" si="4"/>
        <v>0</v>
      </c>
      <c r="P5836" s="24"/>
      <c r="Q5836" s="24">
        <f t="shared" si="6"/>
        <v>0</v>
      </c>
      <c r="R5836" s="24">
        <f t="shared" si="7"/>
        <v>0</v>
      </c>
      <c r="S5836" s="24"/>
      <c r="T5836" s="24"/>
    </row>
    <row r="5837">
      <c r="A5837" s="12" t="s">
        <v>5924</v>
      </c>
      <c r="F5837" s="19">
        <f>IFERROR(__xludf.DUMMYFUNCTION("SPLIT(A5833, "" |"")"),5831.0)</f>
        <v>5831</v>
      </c>
      <c r="G5837" s="19">
        <f>IFERROR(__xludf.DUMMYFUNCTION("""COMPUTED_VALUE"""),0.00235)</f>
        <v>0.00235</v>
      </c>
      <c r="H5837" s="19" t="str">
        <f>IFERROR(__xludf.DUMMYFUNCTION("""COMPUTED_VALUE"""),"-")</f>
        <v>-</v>
      </c>
      <c r="I5837" s="19">
        <f>IFERROR(__xludf.DUMMYFUNCTION("""COMPUTED_VALUE"""),0.00222)</f>
        <v>0.00222</v>
      </c>
      <c r="J5837" s="19">
        <f>IFERROR(__xludf.DUMMYFUNCTION("""COMPUTED_VALUE"""),0.04741)</f>
        <v>0.04741</v>
      </c>
      <c r="K5837" s="19" t="str">
        <f>IFERROR(__xludf.DUMMYFUNCTION("""COMPUTED_VALUE"""),"-")</f>
        <v>-</v>
      </c>
      <c r="L5837" s="19" t="str">
        <f>IFERROR(__xludf.DUMMYFUNCTION("""COMPUTED_VALUE"""),"-")</f>
        <v>-</v>
      </c>
      <c r="O5837" s="24">
        <f t="shared" si="4"/>
        <v>0</v>
      </c>
      <c r="P5837" s="24"/>
      <c r="Q5837" s="24">
        <f t="shared" si="6"/>
        <v>0</v>
      </c>
      <c r="R5837" s="24">
        <f t="shared" si="7"/>
        <v>0</v>
      </c>
      <c r="S5837" s="24"/>
      <c r="T5837" s="24"/>
    </row>
    <row r="5838">
      <c r="A5838" s="12" t="s">
        <v>5925</v>
      </c>
      <c r="F5838" s="19">
        <f>IFERROR(__xludf.DUMMYFUNCTION("SPLIT(A5834, "" |"")"),5832.0)</f>
        <v>5832</v>
      </c>
      <c r="G5838" s="19">
        <f>IFERROR(__xludf.DUMMYFUNCTION("""COMPUTED_VALUE"""),0.00242)</f>
        <v>0.00242</v>
      </c>
      <c r="H5838" s="19" t="str">
        <f>IFERROR(__xludf.DUMMYFUNCTION("""COMPUTED_VALUE"""),"-")</f>
        <v>-</v>
      </c>
      <c r="I5838" s="19">
        <f>IFERROR(__xludf.DUMMYFUNCTION("""COMPUTED_VALUE"""),0.00222)</f>
        <v>0.00222</v>
      </c>
      <c r="J5838" s="19">
        <f>IFERROR(__xludf.DUMMYFUNCTION("""COMPUTED_VALUE"""),0.04741)</f>
        <v>0.04741</v>
      </c>
      <c r="K5838" s="19" t="str">
        <f>IFERROR(__xludf.DUMMYFUNCTION("""COMPUTED_VALUE"""),"-")</f>
        <v>-</v>
      </c>
      <c r="L5838" s="19" t="str">
        <f>IFERROR(__xludf.DUMMYFUNCTION("""COMPUTED_VALUE"""),"-")</f>
        <v>-</v>
      </c>
      <c r="O5838" s="24">
        <f t="shared" si="4"/>
        <v>0</v>
      </c>
      <c r="P5838" s="24"/>
      <c r="Q5838" s="24">
        <f t="shared" si="6"/>
        <v>0</v>
      </c>
      <c r="R5838" s="24">
        <f t="shared" si="7"/>
        <v>0</v>
      </c>
      <c r="S5838" s="24"/>
      <c r="T5838" s="24"/>
    </row>
    <row r="5839">
      <c r="A5839" s="12" t="s">
        <v>5926</v>
      </c>
      <c r="F5839" s="19">
        <f>IFERROR(__xludf.DUMMYFUNCTION("SPLIT(A5835, "" |"")"),5833.0)</f>
        <v>5833</v>
      </c>
      <c r="G5839" s="19">
        <f>IFERROR(__xludf.DUMMYFUNCTION("""COMPUTED_VALUE"""),0.00233)</f>
        <v>0.00233</v>
      </c>
      <c r="H5839" s="19" t="str">
        <f>IFERROR(__xludf.DUMMYFUNCTION("""COMPUTED_VALUE"""),"-")</f>
        <v>-</v>
      </c>
      <c r="I5839" s="19">
        <f>IFERROR(__xludf.DUMMYFUNCTION("""COMPUTED_VALUE"""),0.00219)</f>
        <v>0.00219</v>
      </c>
      <c r="J5839" s="19">
        <f>IFERROR(__xludf.DUMMYFUNCTION("""COMPUTED_VALUE"""),0.04745)</f>
        <v>0.04745</v>
      </c>
      <c r="K5839" s="19" t="str">
        <f>IFERROR(__xludf.DUMMYFUNCTION("""COMPUTED_VALUE"""),"-")</f>
        <v>-</v>
      </c>
      <c r="L5839" s="19" t="str">
        <f>IFERROR(__xludf.DUMMYFUNCTION("""COMPUTED_VALUE"""),"-")</f>
        <v>-</v>
      </c>
      <c r="O5839" s="24">
        <f t="shared" si="4"/>
        <v>0</v>
      </c>
      <c r="P5839" s="24"/>
      <c r="Q5839" s="24">
        <f t="shared" si="6"/>
        <v>0</v>
      </c>
      <c r="R5839" s="24">
        <f t="shared" si="7"/>
        <v>0</v>
      </c>
      <c r="S5839" s="24"/>
      <c r="T5839" s="24"/>
    </row>
    <row r="5840">
      <c r="A5840" s="12" t="s">
        <v>5927</v>
      </c>
      <c r="F5840" s="19">
        <f>IFERROR(__xludf.DUMMYFUNCTION("SPLIT(A5836, "" |"")"),5834.0)</f>
        <v>5834</v>
      </c>
      <c r="G5840" s="19">
        <f>IFERROR(__xludf.DUMMYFUNCTION("""COMPUTED_VALUE"""),0.00232)</f>
        <v>0.00232</v>
      </c>
      <c r="H5840" s="19" t="str">
        <f>IFERROR(__xludf.DUMMYFUNCTION("""COMPUTED_VALUE"""),"-")</f>
        <v>-</v>
      </c>
      <c r="I5840" s="19">
        <f>IFERROR(__xludf.DUMMYFUNCTION("""COMPUTED_VALUE"""),0.00213)</f>
        <v>0.00213</v>
      </c>
      <c r="J5840" s="19">
        <f>IFERROR(__xludf.DUMMYFUNCTION("""COMPUTED_VALUE"""),0.04748)</f>
        <v>0.04748</v>
      </c>
      <c r="K5840" s="19" t="str">
        <f>IFERROR(__xludf.DUMMYFUNCTION("""COMPUTED_VALUE"""),"-")</f>
        <v>-</v>
      </c>
      <c r="L5840" s="19" t="str">
        <f>IFERROR(__xludf.DUMMYFUNCTION("""COMPUTED_VALUE"""),"-")</f>
        <v>-</v>
      </c>
      <c r="O5840" s="24">
        <f t="shared" si="4"/>
        <v>0</v>
      </c>
      <c r="P5840" s="24"/>
      <c r="Q5840" s="24">
        <f t="shared" si="6"/>
        <v>0</v>
      </c>
      <c r="R5840" s="24">
        <f t="shared" si="7"/>
        <v>0</v>
      </c>
      <c r="S5840" s="24"/>
      <c r="T5840" s="24"/>
    </row>
    <row r="5841">
      <c r="A5841" s="12" t="s">
        <v>5928</v>
      </c>
      <c r="F5841" s="19">
        <f>IFERROR(__xludf.DUMMYFUNCTION("SPLIT(A5837, "" |"")"),5835.0)</f>
        <v>5835</v>
      </c>
      <c r="G5841" s="19">
        <f>IFERROR(__xludf.DUMMYFUNCTION("""COMPUTED_VALUE"""),0.00248)</f>
        <v>0.00248</v>
      </c>
      <c r="H5841" s="19" t="str">
        <f>IFERROR(__xludf.DUMMYFUNCTION("""COMPUTED_VALUE"""),"-")</f>
        <v>-</v>
      </c>
      <c r="I5841" s="19">
        <f>IFERROR(__xludf.DUMMYFUNCTION("""COMPUTED_VALUE"""),0.00222)</f>
        <v>0.00222</v>
      </c>
      <c r="J5841" s="19">
        <f>IFERROR(__xludf.DUMMYFUNCTION("""COMPUTED_VALUE"""),0.04747)</f>
        <v>0.04747</v>
      </c>
      <c r="K5841" s="19" t="str">
        <f>IFERROR(__xludf.DUMMYFUNCTION("""COMPUTED_VALUE"""),"-")</f>
        <v>-</v>
      </c>
      <c r="L5841" s="19" t="str">
        <f>IFERROR(__xludf.DUMMYFUNCTION("""COMPUTED_VALUE"""),"-")</f>
        <v>-</v>
      </c>
      <c r="O5841" s="24">
        <f t="shared" si="4"/>
        <v>0</v>
      </c>
      <c r="P5841" s="24"/>
      <c r="Q5841" s="24">
        <f t="shared" si="6"/>
        <v>0</v>
      </c>
      <c r="R5841" s="24">
        <f t="shared" si="7"/>
        <v>0</v>
      </c>
      <c r="S5841" s="24"/>
      <c r="T5841" s="24"/>
    </row>
    <row r="5842">
      <c r="A5842" s="12" t="s">
        <v>5929</v>
      </c>
      <c r="F5842" s="19">
        <f>IFERROR(__xludf.DUMMYFUNCTION("SPLIT(A5838, "" |"")"),5836.0)</f>
        <v>5836</v>
      </c>
      <c r="G5842" s="19">
        <f>IFERROR(__xludf.DUMMYFUNCTION("""COMPUTED_VALUE"""),0.0024)</f>
        <v>0.0024</v>
      </c>
      <c r="H5842" s="19" t="str">
        <f>IFERROR(__xludf.DUMMYFUNCTION("""COMPUTED_VALUE"""),"-")</f>
        <v>-</v>
      </c>
      <c r="I5842" s="19">
        <f>IFERROR(__xludf.DUMMYFUNCTION("""COMPUTED_VALUE"""),0.00225)</f>
        <v>0.00225</v>
      </c>
      <c r="J5842" s="19">
        <f>IFERROR(__xludf.DUMMYFUNCTION("""COMPUTED_VALUE"""),0.04744)</f>
        <v>0.04744</v>
      </c>
      <c r="K5842" s="19" t="str">
        <f>IFERROR(__xludf.DUMMYFUNCTION("""COMPUTED_VALUE"""),"-")</f>
        <v>-</v>
      </c>
      <c r="L5842" s="19" t="str">
        <f>IFERROR(__xludf.DUMMYFUNCTION("""COMPUTED_VALUE"""),"-")</f>
        <v>-</v>
      </c>
      <c r="O5842" s="24">
        <f t="shared" si="4"/>
        <v>0</v>
      </c>
      <c r="P5842" s="24"/>
      <c r="Q5842" s="24">
        <f t="shared" si="6"/>
        <v>0</v>
      </c>
      <c r="R5842" s="24">
        <f t="shared" si="7"/>
        <v>0</v>
      </c>
      <c r="S5842" s="24"/>
      <c r="T5842" s="24"/>
    </row>
    <row r="5843">
      <c r="A5843" s="12" t="s">
        <v>5930</v>
      </c>
      <c r="F5843" s="19">
        <f>IFERROR(__xludf.DUMMYFUNCTION("SPLIT(A5839, "" |"")"),5837.0)</f>
        <v>5837</v>
      </c>
      <c r="G5843" s="19">
        <f>IFERROR(__xludf.DUMMYFUNCTION("""COMPUTED_VALUE"""),0.00235)</f>
        <v>0.00235</v>
      </c>
      <c r="H5843" s="19" t="str">
        <f>IFERROR(__xludf.DUMMYFUNCTION("""COMPUTED_VALUE"""),"-")</f>
        <v>-</v>
      </c>
      <c r="I5843" s="19">
        <f>IFERROR(__xludf.DUMMYFUNCTION("""COMPUTED_VALUE"""),0.00222)</f>
        <v>0.00222</v>
      </c>
      <c r="J5843" s="19">
        <f>IFERROR(__xludf.DUMMYFUNCTION("""COMPUTED_VALUE"""),0.04743)</f>
        <v>0.04743</v>
      </c>
      <c r="K5843" s="19" t="str">
        <f>IFERROR(__xludf.DUMMYFUNCTION("""COMPUTED_VALUE"""),"-")</f>
        <v>-</v>
      </c>
      <c r="L5843" s="19" t="str">
        <f>IFERROR(__xludf.DUMMYFUNCTION("""COMPUTED_VALUE"""),"-")</f>
        <v>-</v>
      </c>
      <c r="O5843" s="24">
        <f t="shared" si="4"/>
        <v>0</v>
      </c>
      <c r="P5843" s="24"/>
      <c r="Q5843" s="24">
        <f t="shared" si="6"/>
        <v>0</v>
      </c>
      <c r="R5843" s="24">
        <f t="shared" si="7"/>
        <v>0</v>
      </c>
      <c r="S5843" s="24"/>
      <c r="T5843" s="24"/>
    </row>
    <row r="5844">
      <c r="A5844" s="12" t="s">
        <v>5931</v>
      </c>
      <c r="F5844" s="19">
        <f>IFERROR(__xludf.DUMMYFUNCTION("SPLIT(A5840, "" |"")"),5838.0)</f>
        <v>5838</v>
      </c>
      <c r="G5844" s="19">
        <f>IFERROR(__xludf.DUMMYFUNCTION("""COMPUTED_VALUE"""),0.00238)</f>
        <v>0.00238</v>
      </c>
      <c r="H5844" s="19" t="str">
        <f>IFERROR(__xludf.DUMMYFUNCTION("""COMPUTED_VALUE"""),"-")</f>
        <v>-</v>
      </c>
      <c r="I5844" s="19">
        <f>IFERROR(__xludf.DUMMYFUNCTION("""COMPUTED_VALUE"""),0.00218)</f>
        <v>0.00218</v>
      </c>
      <c r="J5844" s="19">
        <f>IFERROR(__xludf.DUMMYFUNCTION("""COMPUTED_VALUE"""),0.04723)</f>
        <v>0.04723</v>
      </c>
      <c r="K5844" s="19" t="str">
        <f>IFERROR(__xludf.DUMMYFUNCTION("""COMPUTED_VALUE"""),"-")</f>
        <v>-</v>
      </c>
      <c r="L5844" s="19" t="str">
        <f>IFERROR(__xludf.DUMMYFUNCTION("""COMPUTED_VALUE"""),"-")</f>
        <v>-</v>
      </c>
      <c r="O5844" s="24">
        <f t="shared" si="4"/>
        <v>0</v>
      </c>
      <c r="P5844" s="24"/>
      <c r="Q5844" s="24">
        <f t="shared" si="6"/>
        <v>0</v>
      </c>
      <c r="R5844" s="24">
        <f t="shared" si="7"/>
        <v>0</v>
      </c>
      <c r="S5844" s="24"/>
      <c r="T5844" s="24"/>
    </row>
    <row r="5845">
      <c r="A5845" s="12" t="s">
        <v>5932</v>
      </c>
      <c r="F5845" s="19">
        <f>IFERROR(__xludf.DUMMYFUNCTION("SPLIT(A5841, "" |"")"),5839.0)</f>
        <v>5839</v>
      </c>
      <c r="G5845" s="19">
        <f>IFERROR(__xludf.DUMMYFUNCTION("""COMPUTED_VALUE"""),0.00225)</f>
        <v>0.00225</v>
      </c>
      <c r="H5845" s="19" t="str">
        <f>IFERROR(__xludf.DUMMYFUNCTION("""COMPUTED_VALUE"""),"-")</f>
        <v>-</v>
      </c>
      <c r="I5845" s="19">
        <f>IFERROR(__xludf.DUMMYFUNCTION("""COMPUTED_VALUE"""),0.00206)</f>
        <v>0.00206</v>
      </c>
      <c r="J5845" s="19">
        <f>IFERROR(__xludf.DUMMYFUNCTION("""COMPUTED_VALUE"""),0.04731)</f>
        <v>0.04731</v>
      </c>
      <c r="K5845" s="19" t="str">
        <f>IFERROR(__xludf.DUMMYFUNCTION("""COMPUTED_VALUE"""),"-")</f>
        <v>-</v>
      </c>
      <c r="L5845" s="19" t="str">
        <f>IFERROR(__xludf.DUMMYFUNCTION("""COMPUTED_VALUE"""),"-")</f>
        <v>-</v>
      </c>
      <c r="O5845" s="24">
        <f t="shared" si="4"/>
        <v>0</v>
      </c>
      <c r="P5845" s="24"/>
      <c r="Q5845" s="24">
        <f t="shared" si="6"/>
        <v>0</v>
      </c>
      <c r="R5845" s="24">
        <f t="shared" si="7"/>
        <v>0</v>
      </c>
      <c r="S5845" s="24"/>
      <c r="T5845" s="24"/>
    </row>
    <row r="5846">
      <c r="A5846" s="12" t="s">
        <v>5933</v>
      </c>
      <c r="F5846" s="19">
        <f>IFERROR(__xludf.DUMMYFUNCTION("SPLIT(A5842, "" |"")"),5840.0)</f>
        <v>5840</v>
      </c>
      <c r="G5846" s="19">
        <f>IFERROR(__xludf.DUMMYFUNCTION("""COMPUTED_VALUE"""),0.00232)</f>
        <v>0.00232</v>
      </c>
      <c r="H5846" s="19" t="str">
        <f>IFERROR(__xludf.DUMMYFUNCTION("""COMPUTED_VALUE"""),"-")</f>
        <v>-</v>
      </c>
      <c r="I5846" s="19">
        <f>IFERROR(__xludf.DUMMYFUNCTION("""COMPUTED_VALUE"""),0.00225)</f>
        <v>0.00225</v>
      </c>
      <c r="J5846" s="19">
        <f>IFERROR(__xludf.DUMMYFUNCTION("""COMPUTED_VALUE"""),0.04746)</f>
        <v>0.04746</v>
      </c>
      <c r="K5846" s="19" t="str">
        <f>IFERROR(__xludf.DUMMYFUNCTION("""COMPUTED_VALUE"""),"-")</f>
        <v>-</v>
      </c>
      <c r="L5846" s="19" t="str">
        <f>IFERROR(__xludf.DUMMYFUNCTION("""COMPUTED_VALUE"""),"-")</f>
        <v>-</v>
      </c>
      <c r="O5846" s="24">
        <f t="shared" si="4"/>
        <v>0</v>
      </c>
      <c r="P5846" s="24"/>
      <c r="Q5846" s="24">
        <f t="shared" si="6"/>
        <v>0</v>
      </c>
      <c r="R5846" s="24">
        <f t="shared" si="7"/>
        <v>0</v>
      </c>
      <c r="S5846" s="24"/>
      <c r="T5846" s="24"/>
    </row>
    <row r="5847">
      <c r="A5847" s="12" t="s">
        <v>5934</v>
      </c>
      <c r="F5847" s="19">
        <f>IFERROR(__xludf.DUMMYFUNCTION("SPLIT(A5843, "" |"")"),5841.0)</f>
        <v>5841</v>
      </c>
      <c r="G5847" s="19">
        <f>IFERROR(__xludf.DUMMYFUNCTION("""COMPUTED_VALUE"""),0.0024)</f>
        <v>0.0024</v>
      </c>
      <c r="H5847" s="19" t="str">
        <f>IFERROR(__xludf.DUMMYFUNCTION("""COMPUTED_VALUE"""),"-")</f>
        <v>-</v>
      </c>
      <c r="I5847" s="19">
        <f>IFERROR(__xludf.DUMMYFUNCTION("""COMPUTED_VALUE"""),0.00221)</f>
        <v>0.00221</v>
      </c>
      <c r="J5847" s="19">
        <f>IFERROR(__xludf.DUMMYFUNCTION("""COMPUTED_VALUE"""),0.04739)</f>
        <v>0.04739</v>
      </c>
      <c r="K5847" s="19" t="str">
        <f>IFERROR(__xludf.DUMMYFUNCTION("""COMPUTED_VALUE"""),"-")</f>
        <v>-</v>
      </c>
      <c r="L5847" s="19" t="str">
        <f>IFERROR(__xludf.DUMMYFUNCTION("""COMPUTED_VALUE"""),"-")</f>
        <v>-</v>
      </c>
      <c r="O5847" s="24">
        <f t="shared" si="4"/>
        <v>0</v>
      </c>
      <c r="P5847" s="24"/>
      <c r="Q5847" s="24">
        <f t="shared" si="6"/>
        <v>0</v>
      </c>
      <c r="R5847" s="24">
        <f t="shared" si="7"/>
        <v>0</v>
      </c>
      <c r="S5847" s="24"/>
      <c r="T5847" s="24"/>
    </row>
    <row r="5848">
      <c r="A5848" s="12" t="s">
        <v>5935</v>
      </c>
      <c r="F5848" s="19">
        <f>IFERROR(__xludf.DUMMYFUNCTION("SPLIT(A5844, "" |"")"),5842.0)</f>
        <v>5842</v>
      </c>
      <c r="G5848" s="19">
        <f>IFERROR(__xludf.DUMMYFUNCTION("""COMPUTED_VALUE"""),0.00234)</f>
        <v>0.00234</v>
      </c>
      <c r="H5848" s="19" t="str">
        <f>IFERROR(__xludf.DUMMYFUNCTION("""COMPUTED_VALUE"""),"-")</f>
        <v>-</v>
      </c>
      <c r="I5848" s="19">
        <f>IFERROR(__xludf.DUMMYFUNCTION("""COMPUTED_VALUE"""),0.0022)</f>
        <v>0.0022</v>
      </c>
      <c r="J5848" s="19">
        <f>IFERROR(__xludf.DUMMYFUNCTION("""COMPUTED_VALUE"""),0.04737)</f>
        <v>0.04737</v>
      </c>
      <c r="K5848" s="19" t="str">
        <f>IFERROR(__xludf.DUMMYFUNCTION("""COMPUTED_VALUE"""),"-")</f>
        <v>-</v>
      </c>
      <c r="L5848" s="19" t="str">
        <f>IFERROR(__xludf.DUMMYFUNCTION("""COMPUTED_VALUE"""),"-")</f>
        <v>-</v>
      </c>
      <c r="O5848" s="24">
        <f t="shared" si="4"/>
        <v>0</v>
      </c>
      <c r="P5848" s="24"/>
      <c r="Q5848" s="24">
        <f t="shared" si="6"/>
        <v>0</v>
      </c>
      <c r="R5848" s="24">
        <f t="shared" si="7"/>
        <v>0</v>
      </c>
      <c r="S5848" s="24"/>
      <c r="T5848" s="24"/>
    </row>
    <row r="5849">
      <c r="A5849" s="12" t="s">
        <v>5936</v>
      </c>
      <c r="F5849" s="19">
        <f>IFERROR(__xludf.DUMMYFUNCTION("SPLIT(A5845, "" |"")"),5843.0)</f>
        <v>5843</v>
      </c>
      <c r="G5849" s="19">
        <f>IFERROR(__xludf.DUMMYFUNCTION("""COMPUTED_VALUE"""),0.0024)</f>
        <v>0.0024</v>
      </c>
      <c r="H5849" s="19" t="str">
        <f>IFERROR(__xludf.DUMMYFUNCTION("""COMPUTED_VALUE"""),"-")</f>
        <v>-</v>
      </c>
      <c r="I5849" s="19">
        <f>IFERROR(__xludf.DUMMYFUNCTION("""COMPUTED_VALUE"""),0.00223)</f>
        <v>0.00223</v>
      </c>
      <c r="J5849" s="19">
        <f>IFERROR(__xludf.DUMMYFUNCTION("""COMPUTED_VALUE"""),0.04412)</f>
        <v>0.04412</v>
      </c>
      <c r="K5849" s="19" t="str">
        <f>IFERROR(__xludf.DUMMYFUNCTION("""COMPUTED_VALUE"""),"-")</f>
        <v>-</v>
      </c>
      <c r="L5849" s="19" t="str">
        <f>IFERROR(__xludf.DUMMYFUNCTION("""COMPUTED_VALUE"""),"-")</f>
        <v>-</v>
      </c>
      <c r="O5849" s="24">
        <f t="shared" si="4"/>
        <v>0</v>
      </c>
      <c r="P5849" s="24"/>
      <c r="Q5849" s="24">
        <f t="shared" si="6"/>
        <v>0</v>
      </c>
      <c r="R5849" s="24">
        <f t="shared" si="7"/>
        <v>1</v>
      </c>
      <c r="S5849" s="24"/>
      <c r="T5849" s="24"/>
    </row>
    <row r="5850">
      <c r="A5850" s="12" t="s">
        <v>5937</v>
      </c>
      <c r="F5850" s="19">
        <f>IFERROR(__xludf.DUMMYFUNCTION("SPLIT(A5846, "" |"")"),5844.0)</f>
        <v>5844</v>
      </c>
      <c r="G5850" s="19">
        <f>IFERROR(__xludf.DUMMYFUNCTION("""COMPUTED_VALUE"""),0.00244)</f>
        <v>0.00244</v>
      </c>
      <c r="H5850" s="19" t="str">
        <f>IFERROR(__xludf.DUMMYFUNCTION("""COMPUTED_VALUE"""),"-")</f>
        <v>-</v>
      </c>
      <c r="I5850" s="19">
        <f>IFERROR(__xludf.DUMMYFUNCTION("""COMPUTED_VALUE"""),0.00224)</f>
        <v>0.00224</v>
      </c>
      <c r="J5850" s="19">
        <f>IFERROR(__xludf.DUMMYFUNCTION("""COMPUTED_VALUE"""),0.04741)</f>
        <v>0.04741</v>
      </c>
      <c r="K5850" s="19" t="str">
        <f>IFERROR(__xludf.DUMMYFUNCTION("""COMPUTED_VALUE"""),"-")</f>
        <v>-</v>
      </c>
      <c r="L5850" s="19" t="str">
        <f>IFERROR(__xludf.DUMMYFUNCTION("""COMPUTED_VALUE"""),"-")</f>
        <v>-</v>
      </c>
      <c r="O5850" s="24">
        <f t="shared" si="4"/>
        <v>0</v>
      </c>
      <c r="P5850" s="24"/>
      <c r="Q5850" s="24">
        <f t="shared" si="6"/>
        <v>0</v>
      </c>
      <c r="R5850" s="24">
        <f t="shared" si="7"/>
        <v>0</v>
      </c>
      <c r="S5850" s="24"/>
      <c r="T5850" s="24"/>
    </row>
    <row r="5851">
      <c r="A5851" s="12" t="s">
        <v>5938</v>
      </c>
      <c r="F5851" s="19">
        <f>IFERROR(__xludf.DUMMYFUNCTION("SPLIT(A5847, "" |"")"),5845.0)</f>
        <v>5845</v>
      </c>
      <c r="G5851" s="19">
        <f>IFERROR(__xludf.DUMMYFUNCTION("""COMPUTED_VALUE"""),0.00237)</f>
        <v>0.00237</v>
      </c>
      <c r="H5851" s="19" t="str">
        <f>IFERROR(__xludf.DUMMYFUNCTION("""COMPUTED_VALUE"""),"-")</f>
        <v>-</v>
      </c>
      <c r="I5851" s="19">
        <f>IFERROR(__xludf.DUMMYFUNCTION("""COMPUTED_VALUE"""),0.00215)</f>
        <v>0.00215</v>
      </c>
      <c r="J5851" s="19">
        <f>IFERROR(__xludf.DUMMYFUNCTION("""COMPUTED_VALUE"""),0.04737)</f>
        <v>0.04737</v>
      </c>
      <c r="K5851" s="19" t="str">
        <f>IFERROR(__xludf.DUMMYFUNCTION("""COMPUTED_VALUE"""),"-")</f>
        <v>-</v>
      </c>
      <c r="L5851" s="19" t="str">
        <f>IFERROR(__xludf.DUMMYFUNCTION("""COMPUTED_VALUE"""),"-")</f>
        <v>-</v>
      </c>
      <c r="O5851" s="24">
        <f t="shared" si="4"/>
        <v>0</v>
      </c>
      <c r="P5851" s="24"/>
      <c r="Q5851" s="24">
        <f t="shared" si="6"/>
        <v>0</v>
      </c>
      <c r="R5851" s="24">
        <f t="shared" si="7"/>
        <v>0</v>
      </c>
      <c r="S5851" s="24"/>
      <c r="T5851" s="24"/>
    </row>
    <row r="5852">
      <c r="A5852" s="12" t="s">
        <v>5939</v>
      </c>
      <c r="F5852" s="19">
        <f>IFERROR(__xludf.DUMMYFUNCTION("SPLIT(A5848, "" |"")"),5846.0)</f>
        <v>5846</v>
      </c>
      <c r="G5852" s="19">
        <f>IFERROR(__xludf.DUMMYFUNCTION("""COMPUTED_VALUE"""),0.00237)</f>
        <v>0.00237</v>
      </c>
      <c r="H5852" s="19" t="str">
        <f>IFERROR(__xludf.DUMMYFUNCTION("""COMPUTED_VALUE"""),"-")</f>
        <v>-</v>
      </c>
      <c r="I5852" s="19">
        <f>IFERROR(__xludf.DUMMYFUNCTION("""COMPUTED_VALUE"""),0.00219)</f>
        <v>0.00219</v>
      </c>
      <c r="J5852" s="19">
        <f>IFERROR(__xludf.DUMMYFUNCTION("""COMPUTED_VALUE"""),0.04418)</f>
        <v>0.04418</v>
      </c>
      <c r="K5852" s="19" t="str">
        <f>IFERROR(__xludf.DUMMYFUNCTION("""COMPUTED_VALUE"""),"-")</f>
        <v>-</v>
      </c>
      <c r="L5852" s="19" t="str">
        <f>IFERROR(__xludf.DUMMYFUNCTION("""COMPUTED_VALUE"""),"-")</f>
        <v>-</v>
      </c>
      <c r="O5852" s="24">
        <f t="shared" si="4"/>
        <v>0</v>
      </c>
      <c r="P5852" s="24"/>
      <c r="Q5852" s="24">
        <f t="shared" si="6"/>
        <v>0</v>
      </c>
      <c r="R5852" s="24">
        <f t="shared" si="7"/>
        <v>1</v>
      </c>
      <c r="S5852" s="24"/>
      <c r="T5852" s="24"/>
    </row>
    <row r="5853">
      <c r="A5853" s="12" t="s">
        <v>5940</v>
      </c>
      <c r="F5853" s="19">
        <f>IFERROR(__xludf.DUMMYFUNCTION("SPLIT(A5849, "" |"")"),5847.0)</f>
        <v>5847</v>
      </c>
      <c r="G5853" s="19">
        <f>IFERROR(__xludf.DUMMYFUNCTION("""COMPUTED_VALUE"""),0.00239)</f>
        <v>0.00239</v>
      </c>
      <c r="H5853" s="19" t="str">
        <f>IFERROR(__xludf.DUMMYFUNCTION("""COMPUTED_VALUE"""),"-")</f>
        <v>-</v>
      </c>
      <c r="I5853" s="19">
        <f>IFERROR(__xludf.DUMMYFUNCTION("""COMPUTED_VALUE"""),0.00221)</f>
        <v>0.00221</v>
      </c>
      <c r="J5853" s="19">
        <f>IFERROR(__xludf.DUMMYFUNCTION("""COMPUTED_VALUE"""),0.04737)</f>
        <v>0.04737</v>
      </c>
      <c r="K5853" s="19" t="str">
        <f>IFERROR(__xludf.DUMMYFUNCTION("""COMPUTED_VALUE"""),"-")</f>
        <v>-</v>
      </c>
      <c r="L5853" s="19" t="str">
        <f>IFERROR(__xludf.DUMMYFUNCTION("""COMPUTED_VALUE"""),"-")</f>
        <v>-</v>
      </c>
      <c r="O5853" s="24">
        <f t="shared" si="4"/>
        <v>0</v>
      </c>
      <c r="P5853" s="24"/>
      <c r="Q5853" s="24">
        <f t="shared" si="6"/>
        <v>0</v>
      </c>
      <c r="R5853" s="24">
        <f t="shared" si="7"/>
        <v>0</v>
      </c>
      <c r="S5853" s="24"/>
      <c r="T5853" s="24"/>
    </row>
    <row r="5854">
      <c r="A5854" s="12" t="s">
        <v>5941</v>
      </c>
      <c r="F5854" s="19">
        <f>IFERROR(__xludf.DUMMYFUNCTION("SPLIT(A5850, "" |"")"),5848.0)</f>
        <v>5848</v>
      </c>
      <c r="G5854" s="19">
        <f>IFERROR(__xludf.DUMMYFUNCTION("""COMPUTED_VALUE"""),0.00238)</f>
        <v>0.00238</v>
      </c>
      <c r="H5854" s="19" t="str">
        <f>IFERROR(__xludf.DUMMYFUNCTION("""COMPUTED_VALUE"""),"-")</f>
        <v>-</v>
      </c>
      <c r="I5854" s="19">
        <f>IFERROR(__xludf.DUMMYFUNCTION("""COMPUTED_VALUE"""),0.00223)</f>
        <v>0.00223</v>
      </c>
      <c r="J5854" s="19">
        <f>IFERROR(__xludf.DUMMYFUNCTION("""COMPUTED_VALUE"""),0.04745)</f>
        <v>0.04745</v>
      </c>
      <c r="K5854" s="19" t="str">
        <f>IFERROR(__xludf.DUMMYFUNCTION("""COMPUTED_VALUE"""),"-")</f>
        <v>-</v>
      </c>
      <c r="L5854" s="19" t="str">
        <f>IFERROR(__xludf.DUMMYFUNCTION("""COMPUTED_VALUE"""),"-")</f>
        <v>-</v>
      </c>
      <c r="O5854" s="24">
        <f t="shared" si="4"/>
        <v>0</v>
      </c>
      <c r="P5854" s="24"/>
      <c r="Q5854" s="24">
        <f t="shared" si="6"/>
        <v>0</v>
      </c>
      <c r="R5854" s="24">
        <f t="shared" si="7"/>
        <v>0</v>
      </c>
      <c r="S5854" s="24"/>
      <c r="T5854" s="24"/>
    </row>
    <row r="5855">
      <c r="A5855" s="12" t="s">
        <v>5942</v>
      </c>
      <c r="F5855" s="19">
        <f>IFERROR(__xludf.DUMMYFUNCTION("SPLIT(A5851, "" |"")"),5849.0)</f>
        <v>5849</v>
      </c>
      <c r="G5855" s="19">
        <f>IFERROR(__xludf.DUMMYFUNCTION("""COMPUTED_VALUE"""),0.00237)</f>
        <v>0.00237</v>
      </c>
      <c r="H5855" s="19" t="str">
        <f>IFERROR(__xludf.DUMMYFUNCTION("""COMPUTED_VALUE"""),"-")</f>
        <v>-</v>
      </c>
      <c r="I5855" s="19">
        <f>IFERROR(__xludf.DUMMYFUNCTION("""COMPUTED_VALUE"""),0.0022)</f>
        <v>0.0022</v>
      </c>
      <c r="J5855" s="19">
        <f>IFERROR(__xludf.DUMMYFUNCTION("""COMPUTED_VALUE"""),0.04743)</f>
        <v>0.04743</v>
      </c>
      <c r="K5855" s="19" t="str">
        <f>IFERROR(__xludf.DUMMYFUNCTION("""COMPUTED_VALUE"""),"-")</f>
        <v>-</v>
      </c>
      <c r="L5855" s="19" t="str">
        <f>IFERROR(__xludf.DUMMYFUNCTION("""COMPUTED_VALUE"""),"-")</f>
        <v>-</v>
      </c>
      <c r="O5855" s="24">
        <f t="shared" si="4"/>
        <v>0</v>
      </c>
      <c r="P5855" s="24"/>
      <c r="Q5855" s="24">
        <f t="shared" si="6"/>
        <v>0</v>
      </c>
      <c r="R5855" s="24">
        <f t="shared" si="7"/>
        <v>0</v>
      </c>
      <c r="S5855" s="24"/>
      <c r="T5855" s="24"/>
    </row>
    <row r="5856">
      <c r="A5856" s="12" t="s">
        <v>5943</v>
      </c>
      <c r="F5856" s="19">
        <f>IFERROR(__xludf.DUMMYFUNCTION("SPLIT(A5852, "" |"")"),5850.0)</f>
        <v>5850</v>
      </c>
      <c r="G5856" s="19">
        <f>IFERROR(__xludf.DUMMYFUNCTION("""COMPUTED_VALUE"""),0.00242)</f>
        <v>0.00242</v>
      </c>
      <c r="H5856" s="19" t="str">
        <f>IFERROR(__xludf.DUMMYFUNCTION("""COMPUTED_VALUE"""),"-")</f>
        <v>-</v>
      </c>
      <c r="I5856" s="19">
        <f>IFERROR(__xludf.DUMMYFUNCTION("""COMPUTED_VALUE"""),0.0022)</f>
        <v>0.0022</v>
      </c>
      <c r="J5856" s="19">
        <f>IFERROR(__xludf.DUMMYFUNCTION("""COMPUTED_VALUE"""),0.04743)</f>
        <v>0.04743</v>
      </c>
      <c r="K5856" s="19" t="str">
        <f>IFERROR(__xludf.DUMMYFUNCTION("""COMPUTED_VALUE"""),"-")</f>
        <v>-</v>
      </c>
      <c r="L5856" s="19" t="str">
        <f>IFERROR(__xludf.DUMMYFUNCTION("""COMPUTED_VALUE"""),"-")</f>
        <v>-</v>
      </c>
      <c r="O5856" s="24">
        <f t="shared" si="4"/>
        <v>0</v>
      </c>
      <c r="P5856" s="24"/>
      <c r="Q5856" s="24">
        <f t="shared" si="6"/>
        <v>0</v>
      </c>
      <c r="R5856" s="24">
        <f t="shared" si="7"/>
        <v>0</v>
      </c>
      <c r="S5856" s="24"/>
      <c r="T5856" s="24"/>
    </row>
    <row r="5857">
      <c r="A5857" s="12" t="s">
        <v>5944</v>
      </c>
      <c r="F5857" s="19">
        <f>IFERROR(__xludf.DUMMYFUNCTION("SPLIT(A5853, "" |"")"),5851.0)</f>
        <v>5851</v>
      </c>
      <c r="G5857" s="19">
        <f>IFERROR(__xludf.DUMMYFUNCTION("""COMPUTED_VALUE"""),0.00228)</f>
        <v>0.00228</v>
      </c>
      <c r="H5857" s="19" t="str">
        <f>IFERROR(__xludf.DUMMYFUNCTION("""COMPUTED_VALUE"""),"-")</f>
        <v>-</v>
      </c>
      <c r="I5857" s="19">
        <f>IFERROR(__xludf.DUMMYFUNCTION("""COMPUTED_VALUE"""),0.00217)</f>
        <v>0.00217</v>
      </c>
      <c r="J5857" s="19">
        <f>IFERROR(__xludf.DUMMYFUNCTION("""COMPUTED_VALUE"""),0.03851)</f>
        <v>0.03851</v>
      </c>
      <c r="K5857" s="19" t="str">
        <f>IFERROR(__xludf.DUMMYFUNCTION("""COMPUTED_VALUE"""),"-")</f>
        <v>-</v>
      </c>
      <c r="L5857" s="19" t="str">
        <f>IFERROR(__xludf.DUMMYFUNCTION("""COMPUTED_VALUE"""),"-")</f>
        <v>-</v>
      </c>
      <c r="O5857" s="24">
        <f t="shared" si="4"/>
        <v>0</v>
      </c>
      <c r="P5857" s="24"/>
      <c r="Q5857" s="24">
        <f t="shared" si="6"/>
        <v>0</v>
      </c>
      <c r="R5857" s="24">
        <f t="shared" si="7"/>
        <v>1</v>
      </c>
      <c r="S5857" s="24"/>
      <c r="T5857" s="24"/>
    </row>
    <row r="5858">
      <c r="A5858" s="12" t="s">
        <v>5945</v>
      </c>
      <c r="F5858" s="19">
        <f>IFERROR(__xludf.DUMMYFUNCTION("SPLIT(A5854, "" |"")"),5852.0)</f>
        <v>5852</v>
      </c>
      <c r="G5858" s="19">
        <f>IFERROR(__xludf.DUMMYFUNCTION("""COMPUTED_VALUE"""),0.00235)</f>
        <v>0.00235</v>
      </c>
      <c r="H5858" s="19" t="str">
        <f>IFERROR(__xludf.DUMMYFUNCTION("""COMPUTED_VALUE"""),"-")</f>
        <v>-</v>
      </c>
      <c r="I5858" s="19">
        <f>IFERROR(__xludf.DUMMYFUNCTION("""COMPUTED_VALUE"""),0.0022)</f>
        <v>0.0022</v>
      </c>
      <c r="J5858" s="19">
        <f>IFERROR(__xludf.DUMMYFUNCTION("""COMPUTED_VALUE"""),0.04744)</f>
        <v>0.04744</v>
      </c>
      <c r="K5858" s="19" t="str">
        <f>IFERROR(__xludf.DUMMYFUNCTION("""COMPUTED_VALUE"""),"-")</f>
        <v>-</v>
      </c>
      <c r="L5858" s="19" t="str">
        <f>IFERROR(__xludf.DUMMYFUNCTION("""COMPUTED_VALUE"""),"-")</f>
        <v>-</v>
      </c>
      <c r="O5858" s="24">
        <f t="shared" si="4"/>
        <v>0</v>
      </c>
      <c r="P5858" s="24"/>
      <c r="Q5858" s="24">
        <f t="shared" si="6"/>
        <v>0</v>
      </c>
      <c r="R5858" s="24">
        <f t="shared" si="7"/>
        <v>0</v>
      </c>
      <c r="S5858" s="24"/>
      <c r="T5858" s="24"/>
    </row>
    <row r="5859">
      <c r="A5859" s="12" t="s">
        <v>5946</v>
      </c>
      <c r="F5859" s="19">
        <f>IFERROR(__xludf.DUMMYFUNCTION("SPLIT(A5855, "" |"")"),5853.0)</f>
        <v>5853</v>
      </c>
      <c r="G5859" s="19">
        <f>IFERROR(__xludf.DUMMYFUNCTION("""COMPUTED_VALUE"""),0.00232)</f>
        <v>0.00232</v>
      </c>
      <c r="H5859" s="19" t="str">
        <f>IFERROR(__xludf.DUMMYFUNCTION("""COMPUTED_VALUE"""),"-")</f>
        <v>-</v>
      </c>
      <c r="I5859" s="19">
        <f>IFERROR(__xludf.DUMMYFUNCTION("""COMPUTED_VALUE"""),0.00219)</f>
        <v>0.00219</v>
      </c>
      <c r="J5859" s="19">
        <f>IFERROR(__xludf.DUMMYFUNCTION("""COMPUTED_VALUE"""),0.04737)</f>
        <v>0.04737</v>
      </c>
      <c r="K5859" s="19" t="str">
        <f>IFERROR(__xludf.DUMMYFUNCTION("""COMPUTED_VALUE"""),"-")</f>
        <v>-</v>
      </c>
      <c r="L5859" s="19" t="str">
        <f>IFERROR(__xludf.DUMMYFUNCTION("""COMPUTED_VALUE"""),"-")</f>
        <v>-</v>
      </c>
      <c r="O5859" s="24">
        <f t="shared" si="4"/>
        <v>0</v>
      </c>
      <c r="P5859" s="24"/>
      <c r="Q5859" s="24">
        <f t="shared" si="6"/>
        <v>0</v>
      </c>
      <c r="R5859" s="24">
        <f t="shared" si="7"/>
        <v>0</v>
      </c>
      <c r="S5859" s="24"/>
      <c r="T5859" s="24"/>
    </row>
    <row r="5860">
      <c r="A5860" s="12" t="s">
        <v>5947</v>
      </c>
      <c r="F5860" s="19">
        <f>IFERROR(__xludf.DUMMYFUNCTION("SPLIT(A5856, "" |"")"),5854.0)</f>
        <v>5854</v>
      </c>
      <c r="G5860" s="19">
        <f>IFERROR(__xludf.DUMMYFUNCTION("""COMPUTED_VALUE"""),0.00239)</f>
        <v>0.00239</v>
      </c>
      <c r="H5860" s="19" t="str">
        <f>IFERROR(__xludf.DUMMYFUNCTION("""COMPUTED_VALUE"""),"-")</f>
        <v>-</v>
      </c>
      <c r="I5860" s="19">
        <f>IFERROR(__xludf.DUMMYFUNCTION("""COMPUTED_VALUE"""),0.00228)</f>
        <v>0.00228</v>
      </c>
      <c r="J5860" s="19">
        <f>IFERROR(__xludf.DUMMYFUNCTION("""COMPUTED_VALUE"""),0.04746)</f>
        <v>0.04746</v>
      </c>
      <c r="K5860" s="19" t="str">
        <f>IFERROR(__xludf.DUMMYFUNCTION("""COMPUTED_VALUE"""),"-")</f>
        <v>-</v>
      </c>
      <c r="L5860" s="19" t="str">
        <f>IFERROR(__xludf.DUMMYFUNCTION("""COMPUTED_VALUE"""),"-")</f>
        <v>-</v>
      </c>
      <c r="O5860" s="24">
        <f t="shared" si="4"/>
        <v>0</v>
      </c>
      <c r="P5860" s="24"/>
      <c r="Q5860" s="24">
        <f t="shared" si="6"/>
        <v>0</v>
      </c>
      <c r="R5860" s="24">
        <f t="shared" si="7"/>
        <v>0</v>
      </c>
      <c r="S5860" s="24"/>
      <c r="T5860" s="24"/>
    </row>
    <row r="5861">
      <c r="A5861" s="12" t="s">
        <v>5948</v>
      </c>
      <c r="F5861" s="19">
        <f>IFERROR(__xludf.DUMMYFUNCTION("SPLIT(A5857, "" |"")"),5855.0)</f>
        <v>5855</v>
      </c>
      <c r="G5861" s="19">
        <f>IFERROR(__xludf.DUMMYFUNCTION("""COMPUTED_VALUE"""),0.0023)</f>
        <v>0.0023</v>
      </c>
      <c r="H5861" s="19" t="str">
        <f>IFERROR(__xludf.DUMMYFUNCTION("""COMPUTED_VALUE"""),"-")</f>
        <v>-</v>
      </c>
      <c r="I5861" s="19">
        <f>IFERROR(__xludf.DUMMYFUNCTION("""COMPUTED_VALUE"""),0.00223)</f>
        <v>0.00223</v>
      </c>
      <c r="J5861" s="19">
        <f>IFERROR(__xludf.DUMMYFUNCTION("""COMPUTED_VALUE"""),0.04746)</f>
        <v>0.04746</v>
      </c>
      <c r="K5861" s="19" t="str">
        <f>IFERROR(__xludf.DUMMYFUNCTION("""COMPUTED_VALUE"""),"-")</f>
        <v>-</v>
      </c>
      <c r="L5861" s="19" t="str">
        <f>IFERROR(__xludf.DUMMYFUNCTION("""COMPUTED_VALUE"""),"-")</f>
        <v>-</v>
      </c>
      <c r="O5861" s="24">
        <f t="shared" si="4"/>
        <v>0</v>
      </c>
      <c r="P5861" s="24"/>
      <c r="Q5861" s="24">
        <f t="shared" si="6"/>
        <v>0</v>
      </c>
      <c r="R5861" s="24">
        <f t="shared" si="7"/>
        <v>0</v>
      </c>
      <c r="S5861" s="24"/>
      <c r="T5861" s="24"/>
    </row>
    <row r="5862">
      <c r="A5862" s="12" t="s">
        <v>5949</v>
      </c>
      <c r="F5862" s="19">
        <f>IFERROR(__xludf.DUMMYFUNCTION("SPLIT(A5858, "" |"")"),5856.0)</f>
        <v>5856</v>
      </c>
      <c r="G5862" s="19">
        <f>IFERROR(__xludf.DUMMYFUNCTION("""COMPUTED_VALUE"""),0.00229)</f>
        <v>0.00229</v>
      </c>
      <c r="H5862" s="19" t="str">
        <f>IFERROR(__xludf.DUMMYFUNCTION("""COMPUTED_VALUE"""),"-")</f>
        <v>-</v>
      </c>
      <c r="I5862" s="19">
        <f>IFERROR(__xludf.DUMMYFUNCTION("""COMPUTED_VALUE"""),0.00225)</f>
        <v>0.00225</v>
      </c>
      <c r="J5862" s="19">
        <f>IFERROR(__xludf.DUMMYFUNCTION("""COMPUTED_VALUE"""),0.04743)</f>
        <v>0.04743</v>
      </c>
      <c r="K5862" s="19" t="str">
        <f>IFERROR(__xludf.DUMMYFUNCTION("""COMPUTED_VALUE"""),"-")</f>
        <v>-</v>
      </c>
      <c r="L5862" s="19" t="str">
        <f>IFERROR(__xludf.DUMMYFUNCTION("""COMPUTED_VALUE"""),"-")</f>
        <v>-</v>
      </c>
      <c r="O5862" s="24">
        <f t="shared" si="4"/>
        <v>0</v>
      </c>
      <c r="P5862" s="24"/>
      <c r="Q5862" s="24">
        <f t="shared" si="6"/>
        <v>0</v>
      </c>
      <c r="R5862" s="24">
        <f t="shared" si="7"/>
        <v>0</v>
      </c>
      <c r="S5862" s="24"/>
      <c r="T5862" s="24"/>
    </row>
    <row r="5863">
      <c r="A5863" s="12" t="s">
        <v>5950</v>
      </c>
      <c r="F5863" s="19">
        <f>IFERROR(__xludf.DUMMYFUNCTION("SPLIT(A5859, "" |"")"),5857.0)</f>
        <v>5857</v>
      </c>
      <c r="G5863" s="19">
        <f>IFERROR(__xludf.DUMMYFUNCTION("""COMPUTED_VALUE"""),0.0023)</f>
        <v>0.0023</v>
      </c>
      <c r="H5863" s="19" t="str">
        <f>IFERROR(__xludf.DUMMYFUNCTION("""COMPUTED_VALUE"""),"-")</f>
        <v>-</v>
      </c>
      <c r="I5863" s="19">
        <f>IFERROR(__xludf.DUMMYFUNCTION("""COMPUTED_VALUE"""),0.00227)</f>
        <v>0.00227</v>
      </c>
      <c r="J5863" s="19">
        <f>IFERROR(__xludf.DUMMYFUNCTION("""COMPUTED_VALUE"""),0.04746)</f>
        <v>0.04746</v>
      </c>
      <c r="K5863" s="19" t="str">
        <f>IFERROR(__xludf.DUMMYFUNCTION("""COMPUTED_VALUE"""),"-")</f>
        <v>-</v>
      </c>
      <c r="L5863" s="19" t="str">
        <f>IFERROR(__xludf.DUMMYFUNCTION("""COMPUTED_VALUE"""),"-")</f>
        <v>-</v>
      </c>
      <c r="O5863" s="24">
        <f t="shared" si="4"/>
        <v>0</v>
      </c>
      <c r="P5863" s="24"/>
      <c r="Q5863" s="24">
        <f t="shared" si="6"/>
        <v>0</v>
      </c>
      <c r="R5863" s="24">
        <f t="shared" si="7"/>
        <v>0</v>
      </c>
      <c r="S5863" s="24"/>
      <c r="T5863" s="24"/>
    </row>
    <row r="5864">
      <c r="A5864" s="12" t="s">
        <v>5951</v>
      </c>
      <c r="F5864" s="19">
        <f>IFERROR(__xludf.DUMMYFUNCTION("SPLIT(A5860, "" |"")"),5858.0)</f>
        <v>5858</v>
      </c>
      <c r="G5864" s="19">
        <f>IFERROR(__xludf.DUMMYFUNCTION("""COMPUTED_VALUE"""),0.00233)</f>
        <v>0.00233</v>
      </c>
      <c r="H5864" s="19" t="str">
        <f>IFERROR(__xludf.DUMMYFUNCTION("""COMPUTED_VALUE"""),"-")</f>
        <v>-</v>
      </c>
      <c r="I5864" s="19">
        <f>IFERROR(__xludf.DUMMYFUNCTION("""COMPUTED_VALUE"""),0.00224)</f>
        <v>0.00224</v>
      </c>
      <c r="J5864" s="19">
        <f>IFERROR(__xludf.DUMMYFUNCTION("""COMPUTED_VALUE"""),0.04747)</f>
        <v>0.04747</v>
      </c>
      <c r="K5864" s="19" t="str">
        <f>IFERROR(__xludf.DUMMYFUNCTION("""COMPUTED_VALUE"""),"-")</f>
        <v>-</v>
      </c>
      <c r="L5864" s="19" t="str">
        <f>IFERROR(__xludf.DUMMYFUNCTION("""COMPUTED_VALUE"""),"-")</f>
        <v>-</v>
      </c>
      <c r="O5864" s="24">
        <f t="shared" si="4"/>
        <v>0</v>
      </c>
      <c r="P5864" s="24"/>
      <c r="Q5864" s="24">
        <f t="shared" si="6"/>
        <v>0</v>
      </c>
      <c r="R5864" s="24">
        <f t="shared" si="7"/>
        <v>0</v>
      </c>
      <c r="S5864" s="24"/>
      <c r="T5864" s="24"/>
    </row>
    <row r="5865">
      <c r="A5865" s="12" t="s">
        <v>5952</v>
      </c>
      <c r="F5865" s="19">
        <f>IFERROR(__xludf.DUMMYFUNCTION("SPLIT(A5861, "" |"")"),5859.0)</f>
        <v>5859</v>
      </c>
      <c r="G5865" s="19">
        <f>IFERROR(__xludf.DUMMYFUNCTION("""COMPUTED_VALUE"""),0.00235)</f>
        <v>0.00235</v>
      </c>
      <c r="H5865" s="19" t="str">
        <f>IFERROR(__xludf.DUMMYFUNCTION("""COMPUTED_VALUE"""),"-")</f>
        <v>-</v>
      </c>
      <c r="I5865" s="19">
        <f>IFERROR(__xludf.DUMMYFUNCTION("""COMPUTED_VALUE"""),0.00223)</f>
        <v>0.00223</v>
      </c>
      <c r="J5865" s="19">
        <f>IFERROR(__xludf.DUMMYFUNCTION("""COMPUTED_VALUE"""),0.04749)</f>
        <v>0.04749</v>
      </c>
      <c r="K5865" s="19" t="str">
        <f>IFERROR(__xludf.DUMMYFUNCTION("""COMPUTED_VALUE"""),"-")</f>
        <v>-</v>
      </c>
      <c r="L5865" s="19" t="str">
        <f>IFERROR(__xludf.DUMMYFUNCTION("""COMPUTED_VALUE"""),"-")</f>
        <v>-</v>
      </c>
      <c r="O5865" s="24">
        <f t="shared" si="4"/>
        <v>0</v>
      </c>
      <c r="P5865" s="24"/>
      <c r="Q5865" s="24">
        <f t="shared" si="6"/>
        <v>0</v>
      </c>
      <c r="R5865" s="24">
        <f t="shared" si="7"/>
        <v>0</v>
      </c>
      <c r="S5865" s="24"/>
      <c r="T5865" s="24"/>
    </row>
    <row r="5866">
      <c r="A5866" s="12" t="s">
        <v>5953</v>
      </c>
      <c r="F5866" s="19">
        <f>IFERROR(__xludf.DUMMYFUNCTION("SPLIT(A5862, "" |"")"),5860.0)</f>
        <v>5860</v>
      </c>
      <c r="G5866" s="19">
        <f>IFERROR(__xludf.DUMMYFUNCTION("""COMPUTED_VALUE"""),0.00233)</f>
        <v>0.00233</v>
      </c>
      <c r="H5866" s="19" t="str">
        <f>IFERROR(__xludf.DUMMYFUNCTION("""COMPUTED_VALUE"""),"-")</f>
        <v>-</v>
      </c>
      <c r="I5866" s="19">
        <f>IFERROR(__xludf.DUMMYFUNCTION("""COMPUTED_VALUE"""),0.00218)</f>
        <v>0.00218</v>
      </c>
      <c r="J5866" s="19">
        <f>IFERROR(__xludf.DUMMYFUNCTION("""COMPUTED_VALUE"""),0.04742)</f>
        <v>0.04742</v>
      </c>
      <c r="K5866" s="19" t="str">
        <f>IFERROR(__xludf.DUMMYFUNCTION("""COMPUTED_VALUE"""),"-")</f>
        <v>-</v>
      </c>
      <c r="L5866" s="19" t="str">
        <f>IFERROR(__xludf.DUMMYFUNCTION("""COMPUTED_VALUE"""),"-")</f>
        <v>-</v>
      </c>
      <c r="O5866" s="24">
        <f t="shared" si="4"/>
        <v>0</v>
      </c>
      <c r="P5866" s="24"/>
      <c r="Q5866" s="24">
        <f t="shared" si="6"/>
        <v>0</v>
      </c>
      <c r="R5866" s="24">
        <f t="shared" si="7"/>
        <v>0</v>
      </c>
      <c r="S5866" s="24"/>
      <c r="T5866" s="24"/>
    </row>
    <row r="5867">
      <c r="A5867" s="12" t="s">
        <v>5954</v>
      </c>
      <c r="F5867" s="19">
        <f>IFERROR(__xludf.DUMMYFUNCTION("SPLIT(A5863, "" |"")"),5861.0)</f>
        <v>5861</v>
      </c>
      <c r="G5867" s="19">
        <f>IFERROR(__xludf.DUMMYFUNCTION("""COMPUTED_VALUE"""),0.00232)</f>
        <v>0.00232</v>
      </c>
      <c r="H5867" s="19" t="str">
        <f>IFERROR(__xludf.DUMMYFUNCTION("""COMPUTED_VALUE"""),"-")</f>
        <v>-</v>
      </c>
      <c r="I5867" s="19">
        <f>IFERROR(__xludf.DUMMYFUNCTION("""COMPUTED_VALUE"""),0.00224)</f>
        <v>0.00224</v>
      </c>
      <c r="J5867" s="19">
        <f>IFERROR(__xludf.DUMMYFUNCTION("""COMPUTED_VALUE"""),0.04745)</f>
        <v>0.04745</v>
      </c>
      <c r="K5867" s="19" t="str">
        <f>IFERROR(__xludf.DUMMYFUNCTION("""COMPUTED_VALUE"""),"-")</f>
        <v>-</v>
      </c>
      <c r="L5867" s="19" t="str">
        <f>IFERROR(__xludf.DUMMYFUNCTION("""COMPUTED_VALUE"""),"-")</f>
        <v>-</v>
      </c>
      <c r="O5867" s="24">
        <f t="shared" si="4"/>
        <v>0</v>
      </c>
      <c r="P5867" s="24"/>
      <c r="Q5867" s="24">
        <f t="shared" si="6"/>
        <v>0</v>
      </c>
      <c r="R5867" s="24">
        <f t="shared" si="7"/>
        <v>0</v>
      </c>
      <c r="S5867" s="24"/>
      <c r="T5867" s="24"/>
    </row>
    <row r="5868">
      <c r="A5868" s="12" t="s">
        <v>5955</v>
      </c>
      <c r="F5868" s="19">
        <f>IFERROR(__xludf.DUMMYFUNCTION("SPLIT(A5864, "" |"")"),5862.0)</f>
        <v>5862</v>
      </c>
      <c r="G5868" s="19">
        <f>IFERROR(__xludf.DUMMYFUNCTION("""COMPUTED_VALUE"""),0.00229)</f>
        <v>0.00229</v>
      </c>
      <c r="H5868" s="19" t="str">
        <f>IFERROR(__xludf.DUMMYFUNCTION("""COMPUTED_VALUE"""),"-")</f>
        <v>-</v>
      </c>
      <c r="I5868" s="19">
        <f>IFERROR(__xludf.DUMMYFUNCTION("""COMPUTED_VALUE"""),0.00226)</f>
        <v>0.00226</v>
      </c>
      <c r="J5868" s="19">
        <f>IFERROR(__xludf.DUMMYFUNCTION("""COMPUTED_VALUE"""),0.04541)</f>
        <v>0.04541</v>
      </c>
      <c r="K5868" s="19" t="str">
        <f>IFERROR(__xludf.DUMMYFUNCTION("""COMPUTED_VALUE"""),"-")</f>
        <v>-</v>
      </c>
      <c r="L5868" s="19" t="str">
        <f>IFERROR(__xludf.DUMMYFUNCTION("""COMPUTED_VALUE"""),"-")</f>
        <v>-</v>
      </c>
      <c r="O5868" s="24">
        <f t="shared" si="4"/>
        <v>0</v>
      </c>
      <c r="P5868" s="24"/>
      <c r="Q5868" s="24">
        <f t="shared" si="6"/>
        <v>0</v>
      </c>
      <c r="R5868" s="24">
        <f t="shared" si="7"/>
        <v>0</v>
      </c>
      <c r="S5868" s="24"/>
      <c r="T5868" s="24"/>
    </row>
    <row r="5869">
      <c r="A5869" s="12" t="s">
        <v>5956</v>
      </c>
      <c r="F5869" s="19">
        <f>IFERROR(__xludf.DUMMYFUNCTION("SPLIT(A5865, "" |"")"),5863.0)</f>
        <v>5863</v>
      </c>
      <c r="G5869" s="19">
        <f>IFERROR(__xludf.DUMMYFUNCTION("""COMPUTED_VALUE"""),0.00228)</f>
        <v>0.00228</v>
      </c>
      <c r="H5869" s="19" t="str">
        <f>IFERROR(__xludf.DUMMYFUNCTION("""COMPUTED_VALUE"""),"-")</f>
        <v>-</v>
      </c>
      <c r="I5869" s="19">
        <f>IFERROR(__xludf.DUMMYFUNCTION("""COMPUTED_VALUE"""),0.00227)</f>
        <v>0.00227</v>
      </c>
      <c r="J5869" s="19">
        <f>IFERROR(__xludf.DUMMYFUNCTION("""COMPUTED_VALUE"""),0.04733)</f>
        <v>0.04733</v>
      </c>
      <c r="K5869" s="19" t="str">
        <f>IFERROR(__xludf.DUMMYFUNCTION("""COMPUTED_VALUE"""),"-")</f>
        <v>-</v>
      </c>
      <c r="L5869" s="19" t="str">
        <f>IFERROR(__xludf.DUMMYFUNCTION("""COMPUTED_VALUE"""),"-")</f>
        <v>-</v>
      </c>
      <c r="O5869" s="24">
        <f t="shared" si="4"/>
        <v>0</v>
      </c>
      <c r="P5869" s="24"/>
      <c r="Q5869" s="24">
        <f t="shared" si="6"/>
        <v>0</v>
      </c>
      <c r="R5869" s="24">
        <f t="shared" si="7"/>
        <v>0</v>
      </c>
      <c r="S5869" s="24"/>
      <c r="T5869" s="24"/>
    </row>
    <row r="5870">
      <c r="A5870" s="12" t="s">
        <v>5957</v>
      </c>
      <c r="F5870" s="19">
        <f>IFERROR(__xludf.DUMMYFUNCTION("SPLIT(A5866, "" |"")"),5864.0)</f>
        <v>5864</v>
      </c>
      <c r="G5870" s="19">
        <f>IFERROR(__xludf.DUMMYFUNCTION("""COMPUTED_VALUE"""),0.0024)</f>
        <v>0.0024</v>
      </c>
      <c r="H5870" s="19" t="str">
        <f>IFERROR(__xludf.DUMMYFUNCTION("""COMPUTED_VALUE"""),"-")</f>
        <v>-</v>
      </c>
      <c r="I5870" s="19">
        <f>IFERROR(__xludf.DUMMYFUNCTION("""COMPUTED_VALUE"""),0.00225)</f>
        <v>0.00225</v>
      </c>
      <c r="J5870" s="19">
        <f>IFERROR(__xludf.DUMMYFUNCTION("""COMPUTED_VALUE"""),0.04746)</f>
        <v>0.04746</v>
      </c>
      <c r="K5870" s="19" t="str">
        <f>IFERROR(__xludf.DUMMYFUNCTION("""COMPUTED_VALUE"""),"-")</f>
        <v>-</v>
      </c>
      <c r="L5870" s="19" t="str">
        <f>IFERROR(__xludf.DUMMYFUNCTION("""COMPUTED_VALUE"""),"-")</f>
        <v>-</v>
      </c>
      <c r="O5870" s="24">
        <f t="shared" si="4"/>
        <v>0</v>
      </c>
      <c r="P5870" s="24"/>
      <c r="Q5870" s="24">
        <f t="shared" si="6"/>
        <v>0</v>
      </c>
      <c r="R5870" s="24">
        <f t="shared" si="7"/>
        <v>0</v>
      </c>
      <c r="S5870" s="24"/>
      <c r="T5870" s="24"/>
    </row>
    <row r="5871">
      <c r="A5871" s="12" t="s">
        <v>5958</v>
      </c>
      <c r="F5871" s="19">
        <f>IFERROR(__xludf.DUMMYFUNCTION("SPLIT(A5867, "" |"")"),5865.0)</f>
        <v>5865</v>
      </c>
      <c r="G5871" s="19">
        <f>IFERROR(__xludf.DUMMYFUNCTION("""COMPUTED_VALUE"""),0.00238)</f>
        <v>0.00238</v>
      </c>
      <c r="H5871" s="19" t="str">
        <f>IFERROR(__xludf.DUMMYFUNCTION("""COMPUTED_VALUE"""),"-")</f>
        <v>-</v>
      </c>
      <c r="I5871" s="19">
        <f>IFERROR(__xludf.DUMMYFUNCTION("""COMPUTED_VALUE"""),0.00224)</f>
        <v>0.00224</v>
      </c>
      <c r="J5871" s="19">
        <f>IFERROR(__xludf.DUMMYFUNCTION("""COMPUTED_VALUE"""),0.04746)</f>
        <v>0.04746</v>
      </c>
      <c r="K5871" s="19" t="str">
        <f>IFERROR(__xludf.DUMMYFUNCTION("""COMPUTED_VALUE"""),"-")</f>
        <v>-</v>
      </c>
      <c r="L5871" s="19" t="str">
        <f>IFERROR(__xludf.DUMMYFUNCTION("""COMPUTED_VALUE"""),"-")</f>
        <v>-</v>
      </c>
      <c r="O5871" s="24">
        <f t="shared" si="4"/>
        <v>0</v>
      </c>
      <c r="P5871" s="24"/>
      <c r="Q5871" s="24">
        <f t="shared" si="6"/>
        <v>0</v>
      </c>
      <c r="R5871" s="24">
        <f t="shared" si="7"/>
        <v>0</v>
      </c>
      <c r="S5871" s="24"/>
      <c r="T5871" s="24"/>
    </row>
    <row r="5872">
      <c r="A5872" s="12" t="s">
        <v>5959</v>
      </c>
      <c r="F5872" s="19">
        <f>IFERROR(__xludf.DUMMYFUNCTION("SPLIT(A5868, "" |"")"),5866.0)</f>
        <v>5866</v>
      </c>
      <c r="G5872" s="19">
        <f>IFERROR(__xludf.DUMMYFUNCTION("""COMPUTED_VALUE"""),0.00239)</f>
        <v>0.00239</v>
      </c>
      <c r="H5872" s="19" t="str">
        <f>IFERROR(__xludf.DUMMYFUNCTION("""COMPUTED_VALUE"""),"-")</f>
        <v>-</v>
      </c>
      <c r="I5872" s="19">
        <f>IFERROR(__xludf.DUMMYFUNCTION("""COMPUTED_VALUE"""),0.00217)</f>
        <v>0.00217</v>
      </c>
      <c r="J5872" s="19">
        <f>IFERROR(__xludf.DUMMYFUNCTION("""COMPUTED_VALUE"""),0.0474)</f>
        <v>0.0474</v>
      </c>
      <c r="K5872" s="19" t="str">
        <f>IFERROR(__xludf.DUMMYFUNCTION("""COMPUTED_VALUE"""),"-")</f>
        <v>-</v>
      </c>
      <c r="L5872" s="19" t="str">
        <f>IFERROR(__xludf.DUMMYFUNCTION("""COMPUTED_VALUE"""),"-")</f>
        <v>-</v>
      </c>
      <c r="O5872" s="24">
        <f t="shared" si="4"/>
        <v>0</v>
      </c>
      <c r="P5872" s="24"/>
      <c r="Q5872" s="24">
        <f t="shared" si="6"/>
        <v>0</v>
      </c>
      <c r="R5872" s="24">
        <f t="shared" si="7"/>
        <v>0</v>
      </c>
      <c r="S5872" s="24"/>
      <c r="T5872" s="24"/>
    </row>
    <row r="5873">
      <c r="A5873" s="12" t="s">
        <v>5960</v>
      </c>
      <c r="F5873" s="19">
        <f>IFERROR(__xludf.DUMMYFUNCTION("SPLIT(A5869, "" |"")"),5867.0)</f>
        <v>5867</v>
      </c>
      <c r="G5873" s="19">
        <f>IFERROR(__xludf.DUMMYFUNCTION("""COMPUTED_VALUE"""),0.00235)</f>
        <v>0.00235</v>
      </c>
      <c r="H5873" s="19" t="str">
        <f>IFERROR(__xludf.DUMMYFUNCTION("""COMPUTED_VALUE"""),"-")</f>
        <v>-</v>
      </c>
      <c r="I5873" s="19">
        <f>IFERROR(__xludf.DUMMYFUNCTION("""COMPUTED_VALUE"""),0.00221)</f>
        <v>0.00221</v>
      </c>
      <c r="J5873" s="19">
        <f>IFERROR(__xludf.DUMMYFUNCTION("""COMPUTED_VALUE"""),0.04746)</f>
        <v>0.04746</v>
      </c>
      <c r="K5873" s="19" t="str">
        <f>IFERROR(__xludf.DUMMYFUNCTION("""COMPUTED_VALUE"""),"-")</f>
        <v>-</v>
      </c>
      <c r="L5873" s="19" t="str">
        <f>IFERROR(__xludf.DUMMYFUNCTION("""COMPUTED_VALUE"""),"-")</f>
        <v>-</v>
      </c>
      <c r="O5873" s="24">
        <f t="shared" si="4"/>
        <v>0</v>
      </c>
      <c r="P5873" s="24"/>
      <c r="Q5873" s="24">
        <f t="shared" si="6"/>
        <v>0</v>
      </c>
      <c r="R5873" s="24">
        <f t="shared" si="7"/>
        <v>0</v>
      </c>
      <c r="S5873" s="24"/>
      <c r="T5873" s="24"/>
    </row>
    <row r="5874">
      <c r="A5874" s="12" t="s">
        <v>5961</v>
      </c>
      <c r="F5874" s="19">
        <f>IFERROR(__xludf.DUMMYFUNCTION("SPLIT(A5870, "" |"")"),5868.0)</f>
        <v>5868</v>
      </c>
      <c r="G5874" s="19">
        <f>IFERROR(__xludf.DUMMYFUNCTION("""COMPUTED_VALUE"""),0.00236)</f>
        <v>0.00236</v>
      </c>
      <c r="H5874" s="19" t="str">
        <f>IFERROR(__xludf.DUMMYFUNCTION("""COMPUTED_VALUE"""),"-")</f>
        <v>-</v>
      </c>
      <c r="I5874" s="19">
        <f>IFERROR(__xludf.DUMMYFUNCTION("""COMPUTED_VALUE"""),0.00226)</f>
        <v>0.00226</v>
      </c>
      <c r="J5874" s="19">
        <f>IFERROR(__xludf.DUMMYFUNCTION("""COMPUTED_VALUE"""),0.04742)</f>
        <v>0.04742</v>
      </c>
      <c r="K5874" s="19" t="str">
        <f>IFERROR(__xludf.DUMMYFUNCTION("""COMPUTED_VALUE"""),"-")</f>
        <v>-</v>
      </c>
      <c r="L5874" s="19" t="str">
        <f>IFERROR(__xludf.DUMMYFUNCTION("""COMPUTED_VALUE"""),"-")</f>
        <v>-</v>
      </c>
      <c r="O5874" s="24">
        <f t="shared" si="4"/>
        <v>0</v>
      </c>
      <c r="P5874" s="24"/>
      <c r="Q5874" s="24">
        <f t="shared" si="6"/>
        <v>0</v>
      </c>
      <c r="R5874" s="24">
        <f t="shared" si="7"/>
        <v>0</v>
      </c>
      <c r="S5874" s="24"/>
      <c r="T5874" s="24"/>
    </row>
    <row r="5875">
      <c r="A5875" s="12" t="s">
        <v>5962</v>
      </c>
      <c r="F5875" s="19">
        <f>IFERROR(__xludf.DUMMYFUNCTION("SPLIT(A5871, "" |"")"),5869.0)</f>
        <v>5869</v>
      </c>
      <c r="G5875" s="19">
        <f>IFERROR(__xludf.DUMMYFUNCTION("""COMPUTED_VALUE"""),0.00232)</f>
        <v>0.00232</v>
      </c>
      <c r="H5875" s="19" t="str">
        <f>IFERROR(__xludf.DUMMYFUNCTION("""COMPUTED_VALUE"""),"-")</f>
        <v>-</v>
      </c>
      <c r="I5875" s="19">
        <f>IFERROR(__xludf.DUMMYFUNCTION("""COMPUTED_VALUE"""),0.00224)</f>
        <v>0.00224</v>
      </c>
      <c r="J5875" s="19">
        <f>IFERROR(__xludf.DUMMYFUNCTION("""COMPUTED_VALUE"""),0.04641)</f>
        <v>0.04641</v>
      </c>
      <c r="K5875" s="19" t="str">
        <f>IFERROR(__xludf.DUMMYFUNCTION("""COMPUTED_VALUE"""),"-")</f>
        <v>-</v>
      </c>
      <c r="L5875" s="19" t="str">
        <f>IFERROR(__xludf.DUMMYFUNCTION("""COMPUTED_VALUE"""),"-")</f>
        <v>-</v>
      </c>
      <c r="O5875" s="24">
        <f t="shared" si="4"/>
        <v>0</v>
      </c>
      <c r="P5875" s="24"/>
      <c r="Q5875" s="24">
        <f t="shared" si="6"/>
        <v>0</v>
      </c>
      <c r="R5875" s="24">
        <f t="shared" si="7"/>
        <v>0</v>
      </c>
      <c r="S5875" s="24"/>
      <c r="T5875" s="24"/>
    </row>
    <row r="5876">
      <c r="A5876" s="12" t="s">
        <v>5963</v>
      </c>
      <c r="F5876" s="19">
        <f>IFERROR(__xludf.DUMMYFUNCTION("SPLIT(A5872, "" |"")"),5870.0)</f>
        <v>5870</v>
      </c>
      <c r="G5876" s="19">
        <f>IFERROR(__xludf.DUMMYFUNCTION("""COMPUTED_VALUE"""),0.00242)</f>
        <v>0.00242</v>
      </c>
      <c r="H5876" s="19" t="str">
        <f>IFERROR(__xludf.DUMMYFUNCTION("""COMPUTED_VALUE"""),"-")</f>
        <v>-</v>
      </c>
      <c r="I5876" s="19">
        <f>IFERROR(__xludf.DUMMYFUNCTION("""COMPUTED_VALUE"""),0.00223)</f>
        <v>0.00223</v>
      </c>
      <c r="J5876" s="19">
        <f>IFERROR(__xludf.DUMMYFUNCTION("""COMPUTED_VALUE"""),0.04737)</f>
        <v>0.04737</v>
      </c>
      <c r="K5876" s="19" t="str">
        <f>IFERROR(__xludf.DUMMYFUNCTION("""COMPUTED_VALUE"""),"-")</f>
        <v>-</v>
      </c>
      <c r="L5876" s="19" t="str">
        <f>IFERROR(__xludf.DUMMYFUNCTION("""COMPUTED_VALUE"""),"-")</f>
        <v>-</v>
      </c>
      <c r="O5876" s="24">
        <f t="shared" si="4"/>
        <v>0</v>
      </c>
      <c r="P5876" s="24"/>
      <c r="Q5876" s="24">
        <f t="shared" si="6"/>
        <v>0</v>
      </c>
      <c r="R5876" s="24">
        <f t="shared" si="7"/>
        <v>0</v>
      </c>
      <c r="S5876" s="24"/>
      <c r="T5876" s="24"/>
    </row>
    <row r="5877">
      <c r="A5877" s="12" t="s">
        <v>5964</v>
      </c>
      <c r="F5877" s="19">
        <f>IFERROR(__xludf.DUMMYFUNCTION("SPLIT(A5873, "" |"")"),5871.0)</f>
        <v>5871</v>
      </c>
      <c r="G5877" s="19">
        <f>IFERROR(__xludf.DUMMYFUNCTION("""COMPUTED_VALUE"""),0.00238)</f>
        <v>0.00238</v>
      </c>
      <c r="H5877" s="19" t="str">
        <f>IFERROR(__xludf.DUMMYFUNCTION("""COMPUTED_VALUE"""),"-")</f>
        <v>-</v>
      </c>
      <c r="I5877" s="19">
        <f>IFERROR(__xludf.DUMMYFUNCTION("""COMPUTED_VALUE"""),0.00224)</f>
        <v>0.00224</v>
      </c>
      <c r="J5877" s="19">
        <f>IFERROR(__xludf.DUMMYFUNCTION("""COMPUTED_VALUE"""),0.04739)</f>
        <v>0.04739</v>
      </c>
      <c r="K5877" s="19" t="str">
        <f>IFERROR(__xludf.DUMMYFUNCTION("""COMPUTED_VALUE"""),"-")</f>
        <v>-</v>
      </c>
      <c r="L5877" s="19" t="str">
        <f>IFERROR(__xludf.DUMMYFUNCTION("""COMPUTED_VALUE"""),"-")</f>
        <v>-</v>
      </c>
      <c r="O5877" s="24">
        <f t="shared" si="4"/>
        <v>0</v>
      </c>
      <c r="P5877" s="24"/>
      <c r="Q5877" s="24">
        <f t="shared" si="6"/>
        <v>0</v>
      </c>
      <c r="R5877" s="24">
        <f t="shared" si="7"/>
        <v>0</v>
      </c>
      <c r="S5877" s="24"/>
      <c r="T5877" s="24"/>
    </row>
    <row r="5878">
      <c r="A5878" s="12" t="s">
        <v>5965</v>
      </c>
      <c r="F5878" s="19">
        <f>IFERROR(__xludf.DUMMYFUNCTION("SPLIT(A5874, "" |"")"),5872.0)</f>
        <v>5872</v>
      </c>
      <c r="G5878" s="19">
        <f>IFERROR(__xludf.DUMMYFUNCTION("""COMPUTED_VALUE"""),0.00238)</f>
        <v>0.00238</v>
      </c>
      <c r="H5878" s="19" t="str">
        <f>IFERROR(__xludf.DUMMYFUNCTION("""COMPUTED_VALUE"""),"-")</f>
        <v>-</v>
      </c>
      <c r="I5878" s="19">
        <f>IFERROR(__xludf.DUMMYFUNCTION("""COMPUTED_VALUE"""),0.00225)</f>
        <v>0.00225</v>
      </c>
      <c r="J5878" s="19">
        <f>IFERROR(__xludf.DUMMYFUNCTION("""COMPUTED_VALUE"""),0.04741)</f>
        <v>0.04741</v>
      </c>
      <c r="K5878" s="19" t="str">
        <f>IFERROR(__xludf.DUMMYFUNCTION("""COMPUTED_VALUE"""),"-")</f>
        <v>-</v>
      </c>
      <c r="L5878" s="19" t="str">
        <f>IFERROR(__xludf.DUMMYFUNCTION("""COMPUTED_VALUE"""),"-")</f>
        <v>-</v>
      </c>
      <c r="O5878" s="24">
        <f t="shared" si="4"/>
        <v>0</v>
      </c>
      <c r="P5878" s="24"/>
      <c r="Q5878" s="24">
        <f t="shared" si="6"/>
        <v>0</v>
      </c>
      <c r="R5878" s="24">
        <f t="shared" si="7"/>
        <v>0</v>
      </c>
      <c r="S5878" s="24"/>
      <c r="T5878" s="24"/>
    </row>
    <row r="5879">
      <c r="A5879" s="12" t="s">
        <v>5966</v>
      </c>
      <c r="F5879" s="19">
        <f>IFERROR(__xludf.DUMMYFUNCTION("SPLIT(A5875, "" |"")"),5873.0)</f>
        <v>5873</v>
      </c>
      <c r="G5879" s="19">
        <f>IFERROR(__xludf.DUMMYFUNCTION("""COMPUTED_VALUE"""),0.00238)</f>
        <v>0.00238</v>
      </c>
      <c r="H5879" s="19" t="str">
        <f>IFERROR(__xludf.DUMMYFUNCTION("""COMPUTED_VALUE"""),"-")</f>
        <v>-</v>
      </c>
      <c r="I5879" s="19">
        <f>IFERROR(__xludf.DUMMYFUNCTION("""COMPUTED_VALUE"""),0.00227)</f>
        <v>0.00227</v>
      </c>
      <c r="J5879" s="19">
        <f>IFERROR(__xludf.DUMMYFUNCTION("""COMPUTED_VALUE"""),0.0474)</f>
        <v>0.0474</v>
      </c>
      <c r="K5879" s="19" t="str">
        <f>IFERROR(__xludf.DUMMYFUNCTION("""COMPUTED_VALUE"""),"-")</f>
        <v>-</v>
      </c>
      <c r="L5879" s="19" t="str">
        <f>IFERROR(__xludf.DUMMYFUNCTION("""COMPUTED_VALUE"""),"-")</f>
        <v>-</v>
      </c>
      <c r="O5879" s="24">
        <f t="shared" si="4"/>
        <v>0</v>
      </c>
      <c r="P5879" s="24"/>
      <c r="Q5879" s="24">
        <f t="shared" si="6"/>
        <v>0</v>
      </c>
      <c r="R5879" s="24">
        <f t="shared" si="7"/>
        <v>0</v>
      </c>
      <c r="S5879" s="24"/>
      <c r="T5879" s="24"/>
    </row>
    <row r="5880">
      <c r="A5880" s="12" t="s">
        <v>5967</v>
      </c>
      <c r="F5880" s="19">
        <f>IFERROR(__xludf.DUMMYFUNCTION("SPLIT(A5876, "" |"")"),5874.0)</f>
        <v>5874</v>
      </c>
      <c r="G5880" s="19">
        <f>IFERROR(__xludf.DUMMYFUNCTION("""COMPUTED_VALUE"""),0.00241)</f>
        <v>0.00241</v>
      </c>
      <c r="H5880" s="19" t="str">
        <f>IFERROR(__xludf.DUMMYFUNCTION("""COMPUTED_VALUE"""),"-")</f>
        <v>-</v>
      </c>
      <c r="I5880" s="19">
        <f>IFERROR(__xludf.DUMMYFUNCTION("""COMPUTED_VALUE"""),0.00224)</f>
        <v>0.00224</v>
      </c>
      <c r="J5880" s="19">
        <f>IFERROR(__xludf.DUMMYFUNCTION("""COMPUTED_VALUE"""),0.04743)</f>
        <v>0.04743</v>
      </c>
      <c r="K5880" s="19" t="str">
        <f>IFERROR(__xludf.DUMMYFUNCTION("""COMPUTED_VALUE"""),"-")</f>
        <v>-</v>
      </c>
      <c r="L5880" s="19" t="str">
        <f>IFERROR(__xludf.DUMMYFUNCTION("""COMPUTED_VALUE"""),"-")</f>
        <v>-</v>
      </c>
      <c r="O5880" s="24">
        <f t="shared" si="4"/>
        <v>0</v>
      </c>
      <c r="P5880" s="24"/>
      <c r="Q5880" s="24">
        <f t="shared" si="6"/>
        <v>0</v>
      </c>
      <c r="R5880" s="24">
        <f t="shared" si="7"/>
        <v>0</v>
      </c>
      <c r="S5880" s="24"/>
      <c r="T5880" s="24"/>
    </row>
    <row r="5881">
      <c r="A5881" s="12" t="s">
        <v>5968</v>
      </c>
      <c r="F5881" s="19">
        <f>IFERROR(__xludf.DUMMYFUNCTION("SPLIT(A5877, "" |"")"),5875.0)</f>
        <v>5875</v>
      </c>
      <c r="G5881" s="19">
        <f>IFERROR(__xludf.DUMMYFUNCTION("""COMPUTED_VALUE"""),0.00235)</f>
        <v>0.00235</v>
      </c>
      <c r="H5881" s="19" t="str">
        <f>IFERROR(__xludf.DUMMYFUNCTION("""COMPUTED_VALUE"""),"-")</f>
        <v>-</v>
      </c>
      <c r="I5881" s="19">
        <f>IFERROR(__xludf.DUMMYFUNCTION("""COMPUTED_VALUE"""),0.00219)</f>
        <v>0.00219</v>
      </c>
      <c r="J5881" s="19">
        <f>IFERROR(__xludf.DUMMYFUNCTION("""COMPUTED_VALUE"""),0.04734)</f>
        <v>0.04734</v>
      </c>
      <c r="K5881" s="19" t="str">
        <f>IFERROR(__xludf.DUMMYFUNCTION("""COMPUTED_VALUE"""),"-")</f>
        <v>-</v>
      </c>
      <c r="L5881" s="19" t="str">
        <f>IFERROR(__xludf.DUMMYFUNCTION("""COMPUTED_VALUE"""),"-")</f>
        <v>-</v>
      </c>
      <c r="O5881" s="24">
        <f t="shared" si="4"/>
        <v>0</v>
      </c>
      <c r="P5881" s="24"/>
      <c r="Q5881" s="24">
        <f t="shared" si="6"/>
        <v>0</v>
      </c>
      <c r="R5881" s="24">
        <f t="shared" si="7"/>
        <v>0</v>
      </c>
      <c r="S5881" s="24"/>
      <c r="T5881" s="24"/>
    </row>
    <row r="5882">
      <c r="A5882" s="12" t="s">
        <v>5969</v>
      </c>
      <c r="F5882" s="19">
        <f>IFERROR(__xludf.DUMMYFUNCTION("SPLIT(A5878, "" |"")"),5876.0)</f>
        <v>5876</v>
      </c>
      <c r="G5882" s="19">
        <f>IFERROR(__xludf.DUMMYFUNCTION("""COMPUTED_VALUE"""),0.0024)</f>
        <v>0.0024</v>
      </c>
      <c r="H5882" s="19" t="str">
        <f>IFERROR(__xludf.DUMMYFUNCTION("""COMPUTED_VALUE"""),"-")</f>
        <v>-</v>
      </c>
      <c r="I5882" s="19">
        <f>IFERROR(__xludf.DUMMYFUNCTION("""COMPUTED_VALUE"""),0.00221)</f>
        <v>0.00221</v>
      </c>
      <c r="J5882" s="19">
        <f>IFERROR(__xludf.DUMMYFUNCTION("""COMPUTED_VALUE"""),0.04745)</f>
        <v>0.04745</v>
      </c>
      <c r="K5882" s="19" t="str">
        <f>IFERROR(__xludf.DUMMYFUNCTION("""COMPUTED_VALUE"""),"-")</f>
        <v>-</v>
      </c>
      <c r="L5882" s="19" t="str">
        <f>IFERROR(__xludf.DUMMYFUNCTION("""COMPUTED_VALUE"""),"-")</f>
        <v>-</v>
      </c>
      <c r="O5882" s="24">
        <f t="shared" si="4"/>
        <v>0</v>
      </c>
      <c r="P5882" s="24"/>
      <c r="Q5882" s="24">
        <f t="shared" si="6"/>
        <v>0</v>
      </c>
      <c r="R5882" s="24">
        <f t="shared" si="7"/>
        <v>0</v>
      </c>
      <c r="S5882" s="24"/>
      <c r="T5882" s="24"/>
    </row>
    <row r="5883">
      <c r="A5883" s="12" t="s">
        <v>5970</v>
      </c>
      <c r="F5883" s="19">
        <f>IFERROR(__xludf.DUMMYFUNCTION("SPLIT(A5879, "" |"")"),5877.0)</f>
        <v>5877</v>
      </c>
      <c r="G5883" s="19">
        <f>IFERROR(__xludf.DUMMYFUNCTION("""COMPUTED_VALUE"""),0.00232)</f>
        <v>0.00232</v>
      </c>
      <c r="H5883" s="19" t="str">
        <f>IFERROR(__xludf.DUMMYFUNCTION("""COMPUTED_VALUE"""),"-")</f>
        <v>-</v>
      </c>
      <c r="I5883" s="19">
        <f>IFERROR(__xludf.DUMMYFUNCTION("""COMPUTED_VALUE"""),0.0022)</f>
        <v>0.0022</v>
      </c>
      <c r="J5883" s="19">
        <f>IFERROR(__xludf.DUMMYFUNCTION("""COMPUTED_VALUE"""),0.04742)</f>
        <v>0.04742</v>
      </c>
      <c r="K5883" s="19" t="str">
        <f>IFERROR(__xludf.DUMMYFUNCTION("""COMPUTED_VALUE"""),"-")</f>
        <v>-</v>
      </c>
      <c r="L5883" s="19" t="str">
        <f>IFERROR(__xludf.DUMMYFUNCTION("""COMPUTED_VALUE"""),"-")</f>
        <v>-</v>
      </c>
      <c r="O5883" s="24">
        <f t="shared" si="4"/>
        <v>0</v>
      </c>
      <c r="P5883" s="24"/>
      <c r="Q5883" s="24">
        <f t="shared" si="6"/>
        <v>0</v>
      </c>
      <c r="R5883" s="24">
        <f t="shared" si="7"/>
        <v>0</v>
      </c>
      <c r="S5883" s="24"/>
      <c r="T5883" s="24"/>
    </row>
    <row r="5884">
      <c r="A5884" s="12" t="s">
        <v>5971</v>
      </c>
      <c r="F5884" s="19">
        <f>IFERROR(__xludf.DUMMYFUNCTION("SPLIT(A5880, "" |"")"),5878.0)</f>
        <v>5878</v>
      </c>
      <c r="G5884" s="19">
        <f>IFERROR(__xludf.DUMMYFUNCTION("""COMPUTED_VALUE"""),0.00241)</f>
        <v>0.00241</v>
      </c>
      <c r="H5884" s="19" t="str">
        <f>IFERROR(__xludf.DUMMYFUNCTION("""COMPUTED_VALUE"""),"-")</f>
        <v>-</v>
      </c>
      <c r="I5884" s="19">
        <f>IFERROR(__xludf.DUMMYFUNCTION("""COMPUTED_VALUE"""),0.00223)</f>
        <v>0.00223</v>
      </c>
      <c r="J5884" s="19">
        <f>IFERROR(__xludf.DUMMYFUNCTION("""COMPUTED_VALUE"""),0.04636)</f>
        <v>0.04636</v>
      </c>
      <c r="K5884" s="19" t="str">
        <f>IFERROR(__xludf.DUMMYFUNCTION("""COMPUTED_VALUE"""),"-")</f>
        <v>-</v>
      </c>
      <c r="L5884" s="19" t="str">
        <f>IFERROR(__xludf.DUMMYFUNCTION("""COMPUTED_VALUE"""),"-")</f>
        <v>-</v>
      </c>
      <c r="O5884" s="24">
        <f t="shared" si="4"/>
        <v>0</v>
      </c>
      <c r="P5884" s="24"/>
      <c r="Q5884" s="24">
        <f t="shared" si="6"/>
        <v>0</v>
      </c>
      <c r="R5884" s="24">
        <f t="shared" si="7"/>
        <v>0</v>
      </c>
      <c r="S5884" s="24"/>
      <c r="T5884" s="24"/>
    </row>
    <row r="5885">
      <c r="A5885" s="12" t="s">
        <v>5972</v>
      </c>
      <c r="F5885" s="19">
        <f>IFERROR(__xludf.DUMMYFUNCTION("SPLIT(A5881, "" |"")"),5879.0)</f>
        <v>5879</v>
      </c>
      <c r="G5885" s="19">
        <f>IFERROR(__xludf.DUMMYFUNCTION("""COMPUTED_VALUE"""),0.00232)</f>
        <v>0.00232</v>
      </c>
      <c r="H5885" s="19" t="str">
        <f>IFERROR(__xludf.DUMMYFUNCTION("""COMPUTED_VALUE"""),"-")</f>
        <v>-</v>
      </c>
      <c r="I5885" s="19">
        <f>IFERROR(__xludf.DUMMYFUNCTION("""COMPUTED_VALUE"""),0.00219)</f>
        <v>0.00219</v>
      </c>
      <c r="J5885" s="19">
        <f>IFERROR(__xludf.DUMMYFUNCTION("""COMPUTED_VALUE"""),0.04677)</f>
        <v>0.04677</v>
      </c>
      <c r="K5885" s="19" t="str">
        <f>IFERROR(__xludf.DUMMYFUNCTION("""COMPUTED_VALUE"""),"-")</f>
        <v>-</v>
      </c>
      <c r="L5885" s="19" t="str">
        <f>IFERROR(__xludf.DUMMYFUNCTION("""COMPUTED_VALUE"""),"-")</f>
        <v>-</v>
      </c>
      <c r="O5885" s="24">
        <f t="shared" si="4"/>
        <v>0</v>
      </c>
      <c r="P5885" s="24"/>
      <c r="Q5885" s="24">
        <f t="shared" si="6"/>
        <v>0</v>
      </c>
      <c r="R5885" s="24">
        <f t="shared" si="7"/>
        <v>0</v>
      </c>
      <c r="S5885" s="24"/>
      <c r="T5885" s="24"/>
    </row>
    <row r="5886">
      <c r="A5886" s="12" t="s">
        <v>5973</v>
      </c>
      <c r="F5886" s="19">
        <f>IFERROR(__xludf.DUMMYFUNCTION("SPLIT(A5882, "" |"")"),5880.0)</f>
        <v>5880</v>
      </c>
      <c r="G5886" s="19">
        <f>IFERROR(__xludf.DUMMYFUNCTION("""COMPUTED_VALUE"""),0.0023)</f>
        <v>0.0023</v>
      </c>
      <c r="H5886" s="19" t="str">
        <f>IFERROR(__xludf.DUMMYFUNCTION("""COMPUTED_VALUE"""),"-")</f>
        <v>-</v>
      </c>
      <c r="I5886" s="19">
        <f>IFERROR(__xludf.DUMMYFUNCTION("""COMPUTED_VALUE"""),0.00222)</f>
        <v>0.00222</v>
      </c>
      <c r="J5886" s="19">
        <f>IFERROR(__xludf.DUMMYFUNCTION("""COMPUTED_VALUE"""),0.04744)</f>
        <v>0.04744</v>
      </c>
      <c r="K5886" s="19" t="str">
        <f>IFERROR(__xludf.DUMMYFUNCTION("""COMPUTED_VALUE"""),"-")</f>
        <v>-</v>
      </c>
      <c r="L5886" s="19" t="str">
        <f>IFERROR(__xludf.DUMMYFUNCTION("""COMPUTED_VALUE"""),"-")</f>
        <v>-</v>
      </c>
      <c r="O5886" s="24">
        <f t="shared" si="4"/>
        <v>0</v>
      </c>
      <c r="P5886" s="24"/>
      <c r="Q5886" s="24">
        <f t="shared" si="6"/>
        <v>0</v>
      </c>
      <c r="R5886" s="24">
        <f t="shared" si="7"/>
        <v>0</v>
      </c>
      <c r="S5886" s="24"/>
      <c r="T5886" s="24"/>
    </row>
    <row r="5887">
      <c r="A5887" s="12" t="s">
        <v>5974</v>
      </c>
      <c r="F5887" s="19">
        <f>IFERROR(__xludf.DUMMYFUNCTION("SPLIT(A5883, "" |"")"),5881.0)</f>
        <v>5881</v>
      </c>
      <c r="G5887" s="19">
        <f>IFERROR(__xludf.DUMMYFUNCTION("""COMPUTED_VALUE"""),0.00223)</f>
        <v>0.00223</v>
      </c>
      <c r="H5887" s="19" t="str">
        <f>IFERROR(__xludf.DUMMYFUNCTION("""COMPUTED_VALUE"""),"-")</f>
        <v>-</v>
      </c>
      <c r="I5887" s="19">
        <f>IFERROR(__xludf.DUMMYFUNCTION("""COMPUTED_VALUE"""),0.00217)</f>
        <v>0.00217</v>
      </c>
      <c r="J5887" s="19">
        <f>IFERROR(__xludf.DUMMYFUNCTION("""COMPUTED_VALUE"""),0.04479)</f>
        <v>0.04479</v>
      </c>
      <c r="K5887" s="19" t="str">
        <f>IFERROR(__xludf.DUMMYFUNCTION("""COMPUTED_VALUE"""),"-")</f>
        <v>-</v>
      </c>
      <c r="L5887" s="19" t="str">
        <f>IFERROR(__xludf.DUMMYFUNCTION("""COMPUTED_VALUE"""),"-")</f>
        <v>-</v>
      </c>
      <c r="O5887" s="24">
        <f t="shared" si="4"/>
        <v>0</v>
      </c>
      <c r="P5887" s="24"/>
      <c r="Q5887" s="24">
        <f t="shared" si="6"/>
        <v>0</v>
      </c>
      <c r="R5887" s="24">
        <f t="shared" si="7"/>
        <v>1</v>
      </c>
      <c r="S5887" s="24"/>
      <c r="T5887" s="24"/>
    </row>
    <row r="5888">
      <c r="A5888" s="12" t="s">
        <v>5975</v>
      </c>
      <c r="F5888" s="19">
        <f>IFERROR(__xludf.DUMMYFUNCTION("SPLIT(A5884, "" |"")"),5882.0)</f>
        <v>5882</v>
      </c>
      <c r="G5888" s="19">
        <f>IFERROR(__xludf.DUMMYFUNCTION("""COMPUTED_VALUE"""),0.00239)</f>
        <v>0.00239</v>
      </c>
      <c r="H5888" s="19" t="str">
        <f>IFERROR(__xludf.DUMMYFUNCTION("""COMPUTED_VALUE"""),"-")</f>
        <v>-</v>
      </c>
      <c r="I5888" s="19">
        <f>IFERROR(__xludf.DUMMYFUNCTION("""COMPUTED_VALUE"""),0.00216)</f>
        <v>0.00216</v>
      </c>
      <c r="J5888" s="19">
        <f>IFERROR(__xludf.DUMMYFUNCTION("""COMPUTED_VALUE"""),0.04472)</f>
        <v>0.04472</v>
      </c>
      <c r="K5888" s="19" t="str">
        <f>IFERROR(__xludf.DUMMYFUNCTION("""COMPUTED_VALUE"""),"-")</f>
        <v>-</v>
      </c>
      <c r="L5888" s="19" t="str">
        <f>IFERROR(__xludf.DUMMYFUNCTION("""COMPUTED_VALUE"""),"-")</f>
        <v>-</v>
      </c>
      <c r="O5888" s="24">
        <f t="shared" si="4"/>
        <v>0</v>
      </c>
      <c r="P5888" s="24"/>
      <c r="Q5888" s="24">
        <f t="shared" si="6"/>
        <v>0</v>
      </c>
      <c r="R5888" s="24">
        <f t="shared" si="7"/>
        <v>1</v>
      </c>
      <c r="S5888" s="24"/>
      <c r="T5888" s="24"/>
    </row>
    <row r="5889">
      <c r="A5889" s="12" t="s">
        <v>5976</v>
      </c>
      <c r="F5889" s="19">
        <f>IFERROR(__xludf.DUMMYFUNCTION("SPLIT(A5885, "" |"")"),5883.0)</f>
        <v>5883</v>
      </c>
      <c r="G5889" s="19">
        <f>IFERROR(__xludf.DUMMYFUNCTION("""COMPUTED_VALUE"""),0.0024)</f>
        <v>0.0024</v>
      </c>
      <c r="H5889" s="19" t="str">
        <f>IFERROR(__xludf.DUMMYFUNCTION("""COMPUTED_VALUE"""),"-")</f>
        <v>-</v>
      </c>
      <c r="I5889" s="19">
        <f>IFERROR(__xludf.DUMMYFUNCTION("""COMPUTED_VALUE"""),0.00225)</f>
        <v>0.00225</v>
      </c>
      <c r="J5889" s="19">
        <f>IFERROR(__xludf.DUMMYFUNCTION("""COMPUTED_VALUE"""),0.0475)</f>
        <v>0.0475</v>
      </c>
      <c r="K5889" s="19" t="str">
        <f>IFERROR(__xludf.DUMMYFUNCTION("""COMPUTED_VALUE"""),"-")</f>
        <v>-</v>
      </c>
      <c r="L5889" s="19" t="str">
        <f>IFERROR(__xludf.DUMMYFUNCTION("""COMPUTED_VALUE"""),"-")</f>
        <v>-</v>
      </c>
      <c r="O5889" s="24">
        <f t="shared" si="4"/>
        <v>0</v>
      </c>
      <c r="P5889" s="24"/>
      <c r="Q5889" s="24">
        <f t="shared" si="6"/>
        <v>0</v>
      </c>
      <c r="R5889" s="24">
        <f t="shared" si="7"/>
        <v>0</v>
      </c>
      <c r="S5889" s="24"/>
      <c r="T5889" s="24"/>
    </row>
    <row r="5890">
      <c r="A5890" s="12" t="s">
        <v>5977</v>
      </c>
      <c r="F5890" s="19">
        <f>IFERROR(__xludf.DUMMYFUNCTION("SPLIT(A5886, "" |"")"),5884.0)</f>
        <v>5884</v>
      </c>
      <c r="G5890" s="19">
        <f>IFERROR(__xludf.DUMMYFUNCTION("""COMPUTED_VALUE"""),0.00237)</f>
        <v>0.00237</v>
      </c>
      <c r="H5890" s="19" t="str">
        <f>IFERROR(__xludf.DUMMYFUNCTION("""COMPUTED_VALUE"""),"-")</f>
        <v>-</v>
      </c>
      <c r="I5890" s="19">
        <f>IFERROR(__xludf.DUMMYFUNCTION("""COMPUTED_VALUE"""),0.00222)</f>
        <v>0.00222</v>
      </c>
      <c r="J5890" s="19">
        <f>IFERROR(__xludf.DUMMYFUNCTION("""COMPUTED_VALUE"""),0.04478)</f>
        <v>0.04478</v>
      </c>
      <c r="K5890" s="19" t="str">
        <f>IFERROR(__xludf.DUMMYFUNCTION("""COMPUTED_VALUE"""),"-")</f>
        <v>-</v>
      </c>
      <c r="L5890" s="19" t="str">
        <f>IFERROR(__xludf.DUMMYFUNCTION("""COMPUTED_VALUE"""),"-")</f>
        <v>-</v>
      </c>
      <c r="O5890" s="24">
        <f t="shared" si="4"/>
        <v>0</v>
      </c>
      <c r="P5890" s="24"/>
      <c r="Q5890" s="24">
        <f t="shared" si="6"/>
        <v>0</v>
      </c>
      <c r="R5890" s="24">
        <f t="shared" si="7"/>
        <v>1</v>
      </c>
      <c r="S5890" s="24"/>
      <c r="T5890" s="24"/>
    </row>
    <row r="5891">
      <c r="A5891" s="12" t="s">
        <v>5978</v>
      </c>
      <c r="F5891" s="19">
        <f>IFERROR(__xludf.DUMMYFUNCTION("SPLIT(A5887, "" |"")"),5885.0)</f>
        <v>5885</v>
      </c>
      <c r="G5891" s="19">
        <f>IFERROR(__xludf.DUMMYFUNCTION("""COMPUTED_VALUE"""),0.00238)</f>
        <v>0.00238</v>
      </c>
      <c r="H5891" s="19" t="str">
        <f>IFERROR(__xludf.DUMMYFUNCTION("""COMPUTED_VALUE"""),"-")</f>
        <v>-</v>
      </c>
      <c r="I5891" s="19">
        <f>IFERROR(__xludf.DUMMYFUNCTION("""COMPUTED_VALUE"""),0.0023)</f>
        <v>0.0023</v>
      </c>
      <c r="J5891" s="19">
        <f>IFERROR(__xludf.DUMMYFUNCTION("""COMPUTED_VALUE"""),0.04747)</f>
        <v>0.04747</v>
      </c>
      <c r="K5891" s="19" t="str">
        <f>IFERROR(__xludf.DUMMYFUNCTION("""COMPUTED_VALUE"""),"-")</f>
        <v>-</v>
      </c>
      <c r="L5891" s="19" t="str">
        <f>IFERROR(__xludf.DUMMYFUNCTION("""COMPUTED_VALUE"""),"-")</f>
        <v>-</v>
      </c>
      <c r="O5891" s="24">
        <f t="shared" si="4"/>
        <v>0</v>
      </c>
      <c r="P5891" s="24"/>
      <c r="Q5891" s="24">
        <f t="shared" si="6"/>
        <v>0</v>
      </c>
      <c r="R5891" s="24">
        <f t="shared" si="7"/>
        <v>0</v>
      </c>
      <c r="S5891" s="24"/>
      <c r="T5891" s="24"/>
    </row>
    <row r="5892">
      <c r="A5892" s="12" t="s">
        <v>5979</v>
      </c>
      <c r="F5892" s="19">
        <f>IFERROR(__xludf.DUMMYFUNCTION("SPLIT(A5888, "" |"")"),5886.0)</f>
        <v>5886</v>
      </c>
      <c r="G5892" s="19">
        <f>IFERROR(__xludf.DUMMYFUNCTION("""COMPUTED_VALUE"""),0.00238)</f>
        <v>0.00238</v>
      </c>
      <c r="H5892" s="19" t="str">
        <f>IFERROR(__xludf.DUMMYFUNCTION("""COMPUTED_VALUE"""),"-")</f>
        <v>-</v>
      </c>
      <c r="I5892" s="19">
        <f>IFERROR(__xludf.DUMMYFUNCTION("""COMPUTED_VALUE"""),0.00217)</f>
        <v>0.00217</v>
      </c>
      <c r="J5892" s="19">
        <f>IFERROR(__xludf.DUMMYFUNCTION("""COMPUTED_VALUE"""),0.0435)</f>
        <v>0.0435</v>
      </c>
      <c r="K5892" s="19" t="str">
        <f>IFERROR(__xludf.DUMMYFUNCTION("""COMPUTED_VALUE"""),"-")</f>
        <v>-</v>
      </c>
      <c r="L5892" s="19" t="str">
        <f>IFERROR(__xludf.DUMMYFUNCTION("""COMPUTED_VALUE"""),"-")</f>
        <v>-</v>
      </c>
      <c r="O5892" s="24">
        <f t="shared" si="4"/>
        <v>0</v>
      </c>
      <c r="P5892" s="24"/>
      <c r="Q5892" s="24">
        <f t="shared" si="6"/>
        <v>0</v>
      </c>
      <c r="R5892" s="24">
        <f t="shared" si="7"/>
        <v>1</v>
      </c>
      <c r="S5892" s="24"/>
      <c r="T5892" s="24"/>
    </row>
    <row r="5893">
      <c r="A5893" s="12" t="s">
        <v>5980</v>
      </c>
      <c r="F5893" s="19">
        <f>IFERROR(__xludf.DUMMYFUNCTION("SPLIT(A5889, "" |"")"),5887.0)</f>
        <v>5887</v>
      </c>
      <c r="G5893" s="19">
        <f>IFERROR(__xludf.DUMMYFUNCTION("""COMPUTED_VALUE"""),0.00229)</f>
        <v>0.00229</v>
      </c>
      <c r="H5893" s="19" t="str">
        <f>IFERROR(__xludf.DUMMYFUNCTION("""COMPUTED_VALUE"""),"-")</f>
        <v>-</v>
      </c>
      <c r="I5893" s="19">
        <f>IFERROR(__xludf.DUMMYFUNCTION("""COMPUTED_VALUE"""),0.00227)</f>
        <v>0.00227</v>
      </c>
      <c r="J5893" s="19">
        <f>IFERROR(__xludf.DUMMYFUNCTION("""COMPUTED_VALUE"""),0.04757)</f>
        <v>0.04757</v>
      </c>
      <c r="K5893" s="19" t="str">
        <f>IFERROR(__xludf.DUMMYFUNCTION("""COMPUTED_VALUE"""),"-")</f>
        <v>-</v>
      </c>
      <c r="L5893" s="19" t="str">
        <f>IFERROR(__xludf.DUMMYFUNCTION("""COMPUTED_VALUE"""),"-")</f>
        <v>-</v>
      </c>
      <c r="O5893" s="24">
        <f t="shared" si="4"/>
        <v>0</v>
      </c>
      <c r="P5893" s="24"/>
      <c r="Q5893" s="24">
        <f t="shared" si="6"/>
        <v>0</v>
      </c>
      <c r="R5893" s="24">
        <f t="shared" si="7"/>
        <v>0</v>
      </c>
      <c r="S5893" s="24"/>
      <c r="T5893" s="24"/>
    </row>
    <row r="5894">
      <c r="A5894" s="12" t="s">
        <v>5981</v>
      </c>
      <c r="F5894" s="19">
        <f>IFERROR(__xludf.DUMMYFUNCTION("SPLIT(A5890, "" |"")"),5888.0)</f>
        <v>5888</v>
      </c>
      <c r="G5894" s="19">
        <f>IFERROR(__xludf.DUMMYFUNCTION("""COMPUTED_VALUE"""),0.00245)</f>
        <v>0.00245</v>
      </c>
      <c r="H5894" s="19" t="str">
        <f>IFERROR(__xludf.DUMMYFUNCTION("""COMPUTED_VALUE"""),"-")</f>
        <v>-</v>
      </c>
      <c r="I5894" s="19">
        <f>IFERROR(__xludf.DUMMYFUNCTION("""COMPUTED_VALUE"""),0.00225)</f>
        <v>0.00225</v>
      </c>
      <c r="J5894" s="19">
        <f>IFERROR(__xludf.DUMMYFUNCTION("""COMPUTED_VALUE"""),0.04467)</f>
        <v>0.04467</v>
      </c>
      <c r="K5894" s="19" t="str">
        <f>IFERROR(__xludf.DUMMYFUNCTION("""COMPUTED_VALUE"""),"-")</f>
        <v>-</v>
      </c>
      <c r="L5894" s="19" t="str">
        <f>IFERROR(__xludf.DUMMYFUNCTION("""COMPUTED_VALUE"""),"-")</f>
        <v>-</v>
      </c>
      <c r="O5894" s="24">
        <f t="shared" si="4"/>
        <v>0</v>
      </c>
      <c r="P5894" s="24"/>
      <c r="Q5894" s="24">
        <f t="shared" si="6"/>
        <v>0</v>
      </c>
      <c r="R5894" s="24">
        <f t="shared" si="7"/>
        <v>1</v>
      </c>
      <c r="S5894" s="24"/>
      <c r="T5894" s="24"/>
    </row>
    <row r="5895">
      <c r="A5895" s="12" t="s">
        <v>5982</v>
      </c>
      <c r="F5895" s="19">
        <f>IFERROR(__xludf.DUMMYFUNCTION("SPLIT(A5891, "" |"")"),5889.0)</f>
        <v>5889</v>
      </c>
      <c r="G5895" s="19">
        <f>IFERROR(__xludf.DUMMYFUNCTION("""COMPUTED_VALUE"""),0.00235)</f>
        <v>0.00235</v>
      </c>
      <c r="H5895" s="19" t="str">
        <f>IFERROR(__xludf.DUMMYFUNCTION("""COMPUTED_VALUE"""),"-")</f>
        <v>-</v>
      </c>
      <c r="I5895" s="19">
        <f>IFERROR(__xludf.DUMMYFUNCTION("""COMPUTED_VALUE"""),0.00222)</f>
        <v>0.00222</v>
      </c>
      <c r="J5895" s="19">
        <f>IFERROR(__xludf.DUMMYFUNCTION("""COMPUTED_VALUE"""),0.04744)</f>
        <v>0.04744</v>
      </c>
      <c r="K5895" s="19" t="str">
        <f>IFERROR(__xludf.DUMMYFUNCTION("""COMPUTED_VALUE"""),"-")</f>
        <v>-</v>
      </c>
      <c r="L5895" s="19" t="str">
        <f>IFERROR(__xludf.DUMMYFUNCTION("""COMPUTED_VALUE"""),"-")</f>
        <v>-</v>
      </c>
      <c r="O5895" s="24">
        <f t="shared" si="4"/>
        <v>0</v>
      </c>
      <c r="P5895" s="24"/>
      <c r="Q5895" s="24">
        <f t="shared" si="6"/>
        <v>0</v>
      </c>
      <c r="R5895" s="24">
        <f t="shared" si="7"/>
        <v>0</v>
      </c>
      <c r="S5895" s="24"/>
      <c r="T5895" s="24"/>
    </row>
    <row r="5896">
      <c r="A5896" s="12" t="s">
        <v>5983</v>
      </c>
      <c r="F5896" s="19">
        <f>IFERROR(__xludf.DUMMYFUNCTION("SPLIT(A5892, "" |"")"),5890.0)</f>
        <v>5890</v>
      </c>
      <c r="G5896" s="19">
        <f>IFERROR(__xludf.DUMMYFUNCTION("""COMPUTED_VALUE"""),0.00242)</f>
        <v>0.00242</v>
      </c>
      <c r="H5896" s="19" t="str">
        <f>IFERROR(__xludf.DUMMYFUNCTION("""COMPUTED_VALUE"""),"-")</f>
        <v>-</v>
      </c>
      <c r="I5896" s="19">
        <f>IFERROR(__xludf.DUMMYFUNCTION("""COMPUTED_VALUE"""),0.00215)</f>
        <v>0.00215</v>
      </c>
      <c r="J5896" s="19">
        <f>IFERROR(__xludf.DUMMYFUNCTION("""COMPUTED_VALUE"""),0.04353)</f>
        <v>0.04353</v>
      </c>
      <c r="K5896" s="19" t="str">
        <f>IFERROR(__xludf.DUMMYFUNCTION("""COMPUTED_VALUE"""),"-")</f>
        <v>-</v>
      </c>
      <c r="L5896" s="19" t="str">
        <f>IFERROR(__xludf.DUMMYFUNCTION("""COMPUTED_VALUE"""),"-")</f>
        <v>-</v>
      </c>
      <c r="O5896" s="24">
        <f t="shared" si="4"/>
        <v>0</v>
      </c>
      <c r="P5896" s="24"/>
      <c r="Q5896" s="24">
        <f t="shared" si="6"/>
        <v>0</v>
      </c>
      <c r="R5896" s="24">
        <f t="shared" si="7"/>
        <v>1</v>
      </c>
      <c r="S5896" s="24"/>
      <c r="T5896" s="24"/>
    </row>
    <row r="5897">
      <c r="A5897" s="12" t="s">
        <v>5984</v>
      </c>
      <c r="F5897" s="19">
        <f>IFERROR(__xludf.DUMMYFUNCTION("SPLIT(A5893, "" |"")"),5891.0)</f>
        <v>5891</v>
      </c>
      <c r="G5897" s="19">
        <f>IFERROR(__xludf.DUMMYFUNCTION("""COMPUTED_VALUE"""),0.00234)</f>
        <v>0.00234</v>
      </c>
      <c r="H5897" s="19" t="str">
        <f>IFERROR(__xludf.DUMMYFUNCTION("""COMPUTED_VALUE"""),"-")</f>
        <v>-</v>
      </c>
      <c r="I5897" s="19">
        <f>IFERROR(__xludf.DUMMYFUNCTION("""COMPUTED_VALUE"""),0.00222)</f>
        <v>0.00222</v>
      </c>
      <c r="J5897" s="19">
        <f>IFERROR(__xludf.DUMMYFUNCTION("""COMPUTED_VALUE"""),0.04634)</f>
        <v>0.04634</v>
      </c>
      <c r="K5897" s="19" t="str">
        <f>IFERROR(__xludf.DUMMYFUNCTION("""COMPUTED_VALUE"""),"-")</f>
        <v>-</v>
      </c>
      <c r="L5897" s="19" t="str">
        <f>IFERROR(__xludf.DUMMYFUNCTION("""COMPUTED_VALUE"""),"-")</f>
        <v>-</v>
      </c>
      <c r="O5897" s="24">
        <f t="shared" si="4"/>
        <v>0</v>
      </c>
      <c r="P5897" s="24"/>
      <c r="Q5897" s="24">
        <f t="shared" si="6"/>
        <v>0</v>
      </c>
      <c r="R5897" s="24">
        <f t="shared" si="7"/>
        <v>0</v>
      </c>
      <c r="S5897" s="24"/>
      <c r="T5897" s="24"/>
    </row>
    <row r="5898">
      <c r="A5898" s="12" t="s">
        <v>5985</v>
      </c>
      <c r="F5898" s="19">
        <f>IFERROR(__xludf.DUMMYFUNCTION("SPLIT(A5894, "" |"")"),5892.0)</f>
        <v>5892</v>
      </c>
      <c r="G5898" s="19">
        <f>IFERROR(__xludf.DUMMYFUNCTION("""COMPUTED_VALUE"""),0.00234)</f>
        <v>0.00234</v>
      </c>
      <c r="H5898" s="19" t="str">
        <f>IFERROR(__xludf.DUMMYFUNCTION("""COMPUTED_VALUE"""),"-")</f>
        <v>-</v>
      </c>
      <c r="I5898" s="19">
        <f>IFERROR(__xludf.DUMMYFUNCTION("""COMPUTED_VALUE"""),0.00222)</f>
        <v>0.00222</v>
      </c>
      <c r="J5898" s="19">
        <f>IFERROR(__xludf.DUMMYFUNCTION("""COMPUTED_VALUE"""),0.04647)</f>
        <v>0.04647</v>
      </c>
      <c r="K5898" s="19" t="str">
        <f>IFERROR(__xludf.DUMMYFUNCTION("""COMPUTED_VALUE"""),"-")</f>
        <v>-</v>
      </c>
      <c r="L5898" s="19" t="str">
        <f>IFERROR(__xludf.DUMMYFUNCTION("""COMPUTED_VALUE"""),"-")</f>
        <v>-</v>
      </c>
      <c r="O5898" s="24">
        <f t="shared" si="4"/>
        <v>0</v>
      </c>
      <c r="P5898" s="24"/>
      <c r="Q5898" s="24">
        <f t="shared" si="6"/>
        <v>0</v>
      </c>
      <c r="R5898" s="24">
        <f t="shared" si="7"/>
        <v>0</v>
      </c>
      <c r="S5898" s="24"/>
      <c r="T5898" s="24"/>
    </row>
    <row r="5899">
      <c r="A5899" s="12" t="s">
        <v>5986</v>
      </c>
      <c r="F5899" s="19">
        <f>IFERROR(__xludf.DUMMYFUNCTION("SPLIT(A5895, "" |"")"),5893.0)</f>
        <v>5893</v>
      </c>
      <c r="G5899" s="19">
        <f>IFERROR(__xludf.DUMMYFUNCTION("""COMPUTED_VALUE"""),0.00242)</f>
        <v>0.00242</v>
      </c>
      <c r="H5899" s="19" t="str">
        <f>IFERROR(__xludf.DUMMYFUNCTION("""COMPUTED_VALUE"""),"-")</f>
        <v>-</v>
      </c>
      <c r="I5899" s="19">
        <f>IFERROR(__xludf.DUMMYFUNCTION("""COMPUTED_VALUE"""),0.00215)</f>
        <v>0.00215</v>
      </c>
      <c r="J5899" s="19">
        <f>IFERROR(__xludf.DUMMYFUNCTION("""COMPUTED_VALUE"""),0.0475)</f>
        <v>0.0475</v>
      </c>
      <c r="K5899" s="19" t="str">
        <f>IFERROR(__xludf.DUMMYFUNCTION("""COMPUTED_VALUE"""),"-")</f>
        <v>-</v>
      </c>
      <c r="L5899" s="19" t="str">
        <f>IFERROR(__xludf.DUMMYFUNCTION("""COMPUTED_VALUE"""),"-")</f>
        <v>-</v>
      </c>
      <c r="O5899" s="24">
        <f t="shared" si="4"/>
        <v>0</v>
      </c>
      <c r="P5899" s="24"/>
      <c r="Q5899" s="24">
        <f t="shared" si="6"/>
        <v>0</v>
      </c>
      <c r="R5899" s="24">
        <f t="shared" si="7"/>
        <v>0</v>
      </c>
      <c r="S5899" s="24"/>
      <c r="T5899" s="24"/>
    </row>
    <row r="5900">
      <c r="A5900" s="12" t="s">
        <v>5987</v>
      </c>
      <c r="F5900" s="19">
        <f>IFERROR(__xludf.DUMMYFUNCTION("SPLIT(A5896, "" |"")"),5894.0)</f>
        <v>5894</v>
      </c>
      <c r="G5900" s="19">
        <f>IFERROR(__xludf.DUMMYFUNCTION("""COMPUTED_VALUE"""),0.00239)</f>
        <v>0.00239</v>
      </c>
      <c r="H5900" s="19" t="str">
        <f>IFERROR(__xludf.DUMMYFUNCTION("""COMPUTED_VALUE"""),"-")</f>
        <v>-</v>
      </c>
      <c r="I5900" s="19">
        <f>IFERROR(__xludf.DUMMYFUNCTION("""COMPUTED_VALUE"""),0.00228)</f>
        <v>0.00228</v>
      </c>
      <c r="J5900" s="19">
        <f>IFERROR(__xludf.DUMMYFUNCTION("""COMPUTED_VALUE"""),0.04746)</f>
        <v>0.04746</v>
      </c>
      <c r="K5900" s="19" t="str">
        <f>IFERROR(__xludf.DUMMYFUNCTION("""COMPUTED_VALUE"""),"-")</f>
        <v>-</v>
      </c>
      <c r="L5900" s="19" t="str">
        <f>IFERROR(__xludf.DUMMYFUNCTION("""COMPUTED_VALUE"""),"-")</f>
        <v>-</v>
      </c>
      <c r="O5900" s="24">
        <f t="shared" si="4"/>
        <v>0</v>
      </c>
      <c r="P5900" s="24"/>
      <c r="Q5900" s="24">
        <f t="shared" si="6"/>
        <v>0</v>
      </c>
      <c r="R5900" s="24">
        <f t="shared" si="7"/>
        <v>0</v>
      </c>
      <c r="S5900" s="24"/>
      <c r="T5900" s="24"/>
    </row>
    <row r="5901">
      <c r="A5901" s="12" t="s">
        <v>5988</v>
      </c>
      <c r="F5901" s="19">
        <f>IFERROR(__xludf.DUMMYFUNCTION("SPLIT(A5897, "" |"")"),5895.0)</f>
        <v>5895</v>
      </c>
      <c r="G5901" s="19">
        <f>IFERROR(__xludf.DUMMYFUNCTION("""COMPUTED_VALUE"""),0.00234)</f>
        <v>0.00234</v>
      </c>
      <c r="H5901" s="19" t="str">
        <f>IFERROR(__xludf.DUMMYFUNCTION("""COMPUTED_VALUE"""),"-")</f>
        <v>-</v>
      </c>
      <c r="I5901" s="19">
        <f>IFERROR(__xludf.DUMMYFUNCTION("""COMPUTED_VALUE"""),0.00226)</f>
        <v>0.00226</v>
      </c>
      <c r="J5901" s="19">
        <f>IFERROR(__xludf.DUMMYFUNCTION("""COMPUTED_VALUE"""),0.04746)</f>
        <v>0.04746</v>
      </c>
      <c r="K5901" s="19" t="str">
        <f>IFERROR(__xludf.DUMMYFUNCTION("""COMPUTED_VALUE"""),"-")</f>
        <v>-</v>
      </c>
      <c r="L5901" s="19" t="str">
        <f>IFERROR(__xludf.DUMMYFUNCTION("""COMPUTED_VALUE"""),"-")</f>
        <v>-</v>
      </c>
      <c r="O5901" s="24">
        <f t="shared" si="4"/>
        <v>0</v>
      </c>
      <c r="P5901" s="24"/>
      <c r="Q5901" s="24">
        <f t="shared" si="6"/>
        <v>0</v>
      </c>
      <c r="R5901" s="24">
        <f t="shared" si="7"/>
        <v>0</v>
      </c>
      <c r="S5901" s="24"/>
      <c r="T5901" s="24"/>
    </row>
    <row r="5902">
      <c r="A5902" s="12" t="s">
        <v>5989</v>
      </c>
      <c r="F5902" s="19">
        <f>IFERROR(__xludf.DUMMYFUNCTION("SPLIT(A5898, "" |"")"),5896.0)</f>
        <v>5896</v>
      </c>
      <c r="G5902" s="19">
        <f>IFERROR(__xludf.DUMMYFUNCTION("""COMPUTED_VALUE"""),0.00227)</f>
        <v>0.00227</v>
      </c>
      <c r="H5902" s="19" t="str">
        <f>IFERROR(__xludf.DUMMYFUNCTION("""COMPUTED_VALUE"""),"-")</f>
        <v>-</v>
      </c>
      <c r="I5902" s="19">
        <f>IFERROR(__xludf.DUMMYFUNCTION("""COMPUTED_VALUE"""),0.00208)</f>
        <v>0.00208</v>
      </c>
      <c r="J5902" s="19">
        <f>IFERROR(__xludf.DUMMYFUNCTION("""COMPUTED_VALUE"""),0.04732)</f>
        <v>0.04732</v>
      </c>
      <c r="K5902" s="19" t="str">
        <f>IFERROR(__xludf.DUMMYFUNCTION("""COMPUTED_VALUE"""),"-")</f>
        <v>-</v>
      </c>
      <c r="L5902" s="19" t="str">
        <f>IFERROR(__xludf.DUMMYFUNCTION("""COMPUTED_VALUE"""),"-")</f>
        <v>-</v>
      </c>
      <c r="O5902" s="24">
        <f t="shared" si="4"/>
        <v>0</v>
      </c>
      <c r="P5902" s="24"/>
      <c r="Q5902" s="24">
        <f t="shared" si="6"/>
        <v>0</v>
      </c>
      <c r="R5902" s="24">
        <f t="shared" si="7"/>
        <v>0</v>
      </c>
      <c r="S5902" s="24"/>
      <c r="T5902" s="24"/>
    </row>
    <row r="5903">
      <c r="A5903" s="12" t="s">
        <v>5990</v>
      </c>
      <c r="F5903" s="19">
        <f>IFERROR(__xludf.DUMMYFUNCTION("SPLIT(A5899, "" |"")"),5897.0)</f>
        <v>5897</v>
      </c>
      <c r="G5903" s="19">
        <f>IFERROR(__xludf.DUMMYFUNCTION("""COMPUTED_VALUE"""),0.0024)</f>
        <v>0.0024</v>
      </c>
      <c r="H5903" s="19" t="str">
        <f>IFERROR(__xludf.DUMMYFUNCTION("""COMPUTED_VALUE"""),"-")</f>
        <v>-</v>
      </c>
      <c r="I5903" s="19">
        <f>IFERROR(__xludf.DUMMYFUNCTION("""COMPUTED_VALUE"""),0.00226)</f>
        <v>0.00226</v>
      </c>
      <c r="J5903" s="19">
        <f>IFERROR(__xludf.DUMMYFUNCTION("""COMPUTED_VALUE"""),0.0448)</f>
        <v>0.0448</v>
      </c>
      <c r="K5903" s="19" t="str">
        <f>IFERROR(__xludf.DUMMYFUNCTION("""COMPUTED_VALUE"""),"-")</f>
        <v>-</v>
      </c>
      <c r="L5903" s="19" t="str">
        <f>IFERROR(__xludf.DUMMYFUNCTION("""COMPUTED_VALUE"""),"-")</f>
        <v>-</v>
      </c>
      <c r="O5903" s="24">
        <f t="shared" si="4"/>
        <v>0</v>
      </c>
      <c r="P5903" s="24"/>
      <c r="Q5903" s="24">
        <f t="shared" si="6"/>
        <v>0</v>
      </c>
      <c r="R5903" s="24">
        <f t="shared" si="7"/>
        <v>1</v>
      </c>
      <c r="S5903" s="24"/>
      <c r="T5903" s="24"/>
    </row>
    <row r="5904">
      <c r="A5904" s="12" t="s">
        <v>5991</v>
      </c>
      <c r="F5904" s="19">
        <f>IFERROR(__xludf.DUMMYFUNCTION("SPLIT(A5900, "" |"")"),5898.0)</f>
        <v>5898</v>
      </c>
      <c r="G5904" s="19">
        <f>IFERROR(__xludf.DUMMYFUNCTION("""COMPUTED_VALUE"""),0.00236)</f>
        <v>0.00236</v>
      </c>
      <c r="H5904" s="19" t="str">
        <f>IFERROR(__xludf.DUMMYFUNCTION("""COMPUTED_VALUE"""),"-")</f>
        <v>-</v>
      </c>
      <c r="I5904" s="19">
        <f>IFERROR(__xludf.DUMMYFUNCTION("""COMPUTED_VALUE"""),0.00216)</f>
        <v>0.00216</v>
      </c>
      <c r="J5904" s="19">
        <f>IFERROR(__xludf.DUMMYFUNCTION("""COMPUTED_VALUE"""),0.04747)</f>
        <v>0.04747</v>
      </c>
      <c r="K5904" s="19" t="str">
        <f>IFERROR(__xludf.DUMMYFUNCTION("""COMPUTED_VALUE"""),"-")</f>
        <v>-</v>
      </c>
      <c r="L5904" s="19" t="str">
        <f>IFERROR(__xludf.DUMMYFUNCTION("""COMPUTED_VALUE"""),"-")</f>
        <v>-</v>
      </c>
      <c r="O5904" s="24">
        <f t="shared" si="4"/>
        <v>0</v>
      </c>
      <c r="P5904" s="24"/>
      <c r="Q5904" s="24">
        <f t="shared" si="6"/>
        <v>0</v>
      </c>
      <c r="R5904" s="24">
        <f t="shared" si="7"/>
        <v>0</v>
      </c>
      <c r="S5904" s="24"/>
      <c r="T5904" s="24"/>
    </row>
    <row r="5905">
      <c r="A5905" s="12" t="s">
        <v>5992</v>
      </c>
      <c r="F5905" s="19">
        <f>IFERROR(__xludf.DUMMYFUNCTION("SPLIT(A5901, "" |"")"),5899.0)</f>
        <v>5899</v>
      </c>
      <c r="G5905" s="19">
        <f>IFERROR(__xludf.DUMMYFUNCTION("""COMPUTED_VALUE"""),0.00228)</f>
        <v>0.00228</v>
      </c>
      <c r="H5905" s="19" t="str">
        <f>IFERROR(__xludf.DUMMYFUNCTION("""COMPUTED_VALUE"""),"-")</f>
        <v>-</v>
      </c>
      <c r="I5905" s="19">
        <f>IFERROR(__xludf.DUMMYFUNCTION("""COMPUTED_VALUE"""),0.00212)</f>
        <v>0.00212</v>
      </c>
      <c r="J5905" s="19">
        <f>IFERROR(__xludf.DUMMYFUNCTION("""COMPUTED_VALUE"""),0.04729)</f>
        <v>0.04729</v>
      </c>
      <c r="K5905" s="19" t="str">
        <f>IFERROR(__xludf.DUMMYFUNCTION("""COMPUTED_VALUE"""),"-")</f>
        <v>-</v>
      </c>
      <c r="L5905" s="19" t="str">
        <f>IFERROR(__xludf.DUMMYFUNCTION("""COMPUTED_VALUE"""),"-")</f>
        <v>-</v>
      </c>
      <c r="O5905" s="24">
        <f t="shared" si="4"/>
        <v>0</v>
      </c>
      <c r="P5905" s="24"/>
      <c r="Q5905" s="24">
        <f t="shared" si="6"/>
        <v>0</v>
      </c>
      <c r="R5905" s="24">
        <f t="shared" si="7"/>
        <v>0</v>
      </c>
      <c r="S5905" s="24"/>
      <c r="T5905" s="24"/>
    </row>
    <row r="5906">
      <c r="A5906" s="12" t="s">
        <v>5993</v>
      </c>
      <c r="F5906" s="19">
        <f>IFERROR(__xludf.DUMMYFUNCTION("SPLIT(A5902, "" |"")"),5900.0)</f>
        <v>5900</v>
      </c>
      <c r="G5906" s="19">
        <f>IFERROR(__xludf.DUMMYFUNCTION("""COMPUTED_VALUE"""),0.00227)</f>
        <v>0.00227</v>
      </c>
      <c r="H5906" s="19" t="str">
        <f>IFERROR(__xludf.DUMMYFUNCTION("""COMPUTED_VALUE"""),"-")</f>
        <v>-</v>
      </c>
      <c r="I5906" s="19">
        <f>IFERROR(__xludf.DUMMYFUNCTION("""COMPUTED_VALUE"""),0.0021)</f>
        <v>0.0021</v>
      </c>
      <c r="J5906" s="19">
        <f>IFERROR(__xludf.DUMMYFUNCTION("""COMPUTED_VALUE"""),0.04733)</f>
        <v>0.04733</v>
      </c>
      <c r="K5906" s="19" t="str">
        <f>IFERROR(__xludf.DUMMYFUNCTION("""COMPUTED_VALUE"""),"-")</f>
        <v>-</v>
      </c>
      <c r="L5906" s="19" t="str">
        <f>IFERROR(__xludf.DUMMYFUNCTION("""COMPUTED_VALUE"""),"-")</f>
        <v>-</v>
      </c>
      <c r="O5906" s="24">
        <f t="shared" si="4"/>
        <v>0</v>
      </c>
      <c r="P5906" s="24"/>
      <c r="Q5906" s="24">
        <f t="shared" si="6"/>
        <v>0</v>
      </c>
      <c r="R5906" s="24">
        <f t="shared" si="7"/>
        <v>0</v>
      </c>
      <c r="S5906" s="24"/>
      <c r="T5906" s="24"/>
    </row>
    <row r="5907">
      <c r="A5907" s="12" t="s">
        <v>5994</v>
      </c>
      <c r="F5907" s="19">
        <f>IFERROR(__xludf.DUMMYFUNCTION("SPLIT(A5903, "" |"")"),5901.0)</f>
        <v>5901</v>
      </c>
      <c r="G5907" s="19">
        <f>IFERROR(__xludf.DUMMYFUNCTION("""COMPUTED_VALUE"""),0.00238)</f>
        <v>0.00238</v>
      </c>
      <c r="H5907" s="19" t="str">
        <f>IFERROR(__xludf.DUMMYFUNCTION("""COMPUTED_VALUE"""),"-")</f>
        <v>-</v>
      </c>
      <c r="I5907" s="19">
        <f>IFERROR(__xludf.DUMMYFUNCTION("""COMPUTED_VALUE"""),0.00229)</f>
        <v>0.00229</v>
      </c>
      <c r="J5907" s="19">
        <f>IFERROR(__xludf.DUMMYFUNCTION("""COMPUTED_VALUE"""),0.04051)</f>
        <v>0.04051</v>
      </c>
      <c r="K5907" s="19" t="str">
        <f>IFERROR(__xludf.DUMMYFUNCTION("""COMPUTED_VALUE"""),"-")</f>
        <v>-</v>
      </c>
      <c r="L5907" s="19" t="str">
        <f>IFERROR(__xludf.DUMMYFUNCTION("""COMPUTED_VALUE"""),"-")</f>
        <v>-</v>
      </c>
      <c r="O5907" s="24">
        <f t="shared" si="4"/>
        <v>0</v>
      </c>
      <c r="P5907" s="24"/>
      <c r="Q5907" s="24">
        <f t="shared" si="6"/>
        <v>0</v>
      </c>
      <c r="R5907" s="24">
        <f t="shared" si="7"/>
        <v>1</v>
      </c>
      <c r="S5907" s="24"/>
      <c r="T5907" s="24"/>
    </row>
    <row r="5908">
      <c r="A5908" s="12" t="s">
        <v>5995</v>
      </c>
      <c r="F5908" s="19">
        <f>IFERROR(__xludf.DUMMYFUNCTION("SPLIT(A5904, "" |"")"),5902.0)</f>
        <v>5902</v>
      </c>
      <c r="G5908" s="19">
        <f>IFERROR(__xludf.DUMMYFUNCTION("""COMPUTED_VALUE"""),0.00236)</f>
        <v>0.00236</v>
      </c>
      <c r="H5908" s="19" t="str">
        <f>IFERROR(__xludf.DUMMYFUNCTION("""COMPUTED_VALUE"""),"-")</f>
        <v>-</v>
      </c>
      <c r="I5908" s="19">
        <f>IFERROR(__xludf.DUMMYFUNCTION("""COMPUTED_VALUE"""),0.00225)</f>
        <v>0.00225</v>
      </c>
      <c r="J5908" s="19">
        <f>IFERROR(__xludf.DUMMYFUNCTION("""COMPUTED_VALUE"""),0.04633)</f>
        <v>0.04633</v>
      </c>
      <c r="K5908" s="19" t="str">
        <f>IFERROR(__xludf.DUMMYFUNCTION("""COMPUTED_VALUE"""),"-")</f>
        <v>-</v>
      </c>
      <c r="L5908" s="19" t="str">
        <f>IFERROR(__xludf.DUMMYFUNCTION("""COMPUTED_VALUE"""),"-")</f>
        <v>-</v>
      </c>
      <c r="O5908" s="24">
        <f t="shared" si="4"/>
        <v>0</v>
      </c>
      <c r="P5908" s="24"/>
      <c r="Q5908" s="24">
        <f t="shared" si="6"/>
        <v>0</v>
      </c>
      <c r="R5908" s="24">
        <f t="shared" si="7"/>
        <v>0</v>
      </c>
      <c r="S5908" s="24"/>
      <c r="T5908" s="24"/>
    </row>
    <row r="5909">
      <c r="A5909" s="12" t="s">
        <v>5996</v>
      </c>
      <c r="F5909" s="19">
        <f>IFERROR(__xludf.DUMMYFUNCTION("SPLIT(A5905, "" |"")"),5903.0)</f>
        <v>5903</v>
      </c>
      <c r="G5909" s="19">
        <f>IFERROR(__xludf.DUMMYFUNCTION("""COMPUTED_VALUE"""),0.00238)</f>
        <v>0.00238</v>
      </c>
      <c r="H5909" s="19" t="str">
        <f>IFERROR(__xludf.DUMMYFUNCTION("""COMPUTED_VALUE"""),"-")</f>
        <v>-</v>
      </c>
      <c r="I5909" s="19">
        <f>IFERROR(__xludf.DUMMYFUNCTION("""COMPUTED_VALUE"""),0.0022)</f>
        <v>0.0022</v>
      </c>
      <c r="J5909" s="19">
        <f>IFERROR(__xludf.DUMMYFUNCTION("""COMPUTED_VALUE"""),0.04744)</f>
        <v>0.04744</v>
      </c>
      <c r="K5909" s="19" t="str">
        <f>IFERROR(__xludf.DUMMYFUNCTION("""COMPUTED_VALUE"""),"-")</f>
        <v>-</v>
      </c>
      <c r="L5909" s="19" t="str">
        <f>IFERROR(__xludf.DUMMYFUNCTION("""COMPUTED_VALUE"""),"-")</f>
        <v>-</v>
      </c>
      <c r="O5909" s="24">
        <f t="shared" si="4"/>
        <v>0</v>
      </c>
      <c r="P5909" s="24"/>
      <c r="Q5909" s="24">
        <f t="shared" si="6"/>
        <v>0</v>
      </c>
      <c r="R5909" s="24">
        <f t="shared" si="7"/>
        <v>0</v>
      </c>
      <c r="S5909" s="24"/>
      <c r="T5909" s="24"/>
    </row>
    <row r="5910">
      <c r="A5910" s="12" t="s">
        <v>5997</v>
      </c>
      <c r="F5910" s="19">
        <f>IFERROR(__xludf.DUMMYFUNCTION("SPLIT(A5906, "" |"")"),5904.0)</f>
        <v>5904</v>
      </c>
      <c r="G5910" s="19">
        <f>IFERROR(__xludf.DUMMYFUNCTION("""COMPUTED_VALUE"""),0.00233)</f>
        <v>0.00233</v>
      </c>
      <c r="H5910" s="19" t="str">
        <f>IFERROR(__xludf.DUMMYFUNCTION("""COMPUTED_VALUE"""),"-")</f>
        <v>-</v>
      </c>
      <c r="I5910" s="19">
        <f>IFERROR(__xludf.DUMMYFUNCTION("""COMPUTED_VALUE"""),0.00218)</f>
        <v>0.00218</v>
      </c>
      <c r="J5910" s="19">
        <f>IFERROR(__xludf.DUMMYFUNCTION("""COMPUTED_VALUE"""),0.04346)</f>
        <v>0.04346</v>
      </c>
      <c r="K5910" s="19" t="str">
        <f>IFERROR(__xludf.DUMMYFUNCTION("""COMPUTED_VALUE"""),"-")</f>
        <v>-</v>
      </c>
      <c r="L5910" s="19" t="str">
        <f>IFERROR(__xludf.DUMMYFUNCTION("""COMPUTED_VALUE"""),"-")</f>
        <v>-</v>
      </c>
      <c r="O5910" s="24">
        <f t="shared" si="4"/>
        <v>0</v>
      </c>
      <c r="P5910" s="24"/>
      <c r="Q5910" s="24">
        <f t="shared" si="6"/>
        <v>0</v>
      </c>
      <c r="R5910" s="24">
        <f t="shared" si="7"/>
        <v>1</v>
      </c>
      <c r="S5910" s="24"/>
      <c r="T5910" s="24"/>
    </row>
    <row r="5911">
      <c r="A5911" s="12" t="s">
        <v>5998</v>
      </c>
      <c r="F5911" s="19">
        <f>IFERROR(__xludf.DUMMYFUNCTION("SPLIT(A5907, "" |"")"),5905.0)</f>
        <v>5905</v>
      </c>
      <c r="G5911" s="19">
        <f>IFERROR(__xludf.DUMMYFUNCTION("""COMPUTED_VALUE"""),0.00231)</f>
        <v>0.00231</v>
      </c>
      <c r="H5911" s="19" t="str">
        <f>IFERROR(__xludf.DUMMYFUNCTION("""COMPUTED_VALUE"""),"-")</f>
        <v>-</v>
      </c>
      <c r="I5911" s="19">
        <f>IFERROR(__xludf.DUMMYFUNCTION("""COMPUTED_VALUE"""),0.00217)</f>
        <v>0.00217</v>
      </c>
      <c r="J5911" s="19">
        <f>IFERROR(__xludf.DUMMYFUNCTION("""COMPUTED_VALUE"""),0.04737)</f>
        <v>0.04737</v>
      </c>
      <c r="K5911" s="19" t="str">
        <f>IFERROR(__xludf.DUMMYFUNCTION("""COMPUTED_VALUE"""),"-")</f>
        <v>-</v>
      </c>
      <c r="L5911" s="19" t="str">
        <f>IFERROR(__xludf.DUMMYFUNCTION("""COMPUTED_VALUE"""),"-")</f>
        <v>-</v>
      </c>
      <c r="O5911" s="24">
        <f t="shared" si="4"/>
        <v>0</v>
      </c>
      <c r="P5911" s="24"/>
      <c r="Q5911" s="24">
        <f t="shared" si="6"/>
        <v>0</v>
      </c>
      <c r="R5911" s="24">
        <f t="shared" si="7"/>
        <v>0</v>
      </c>
      <c r="S5911" s="24"/>
      <c r="T5911" s="24"/>
    </row>
    <row r="5912">
      <c r="A5912" s="12" t="s">
        <v>5999</v>
      </c>
      <c r="F5912" s="19">
        <f>IFERROR(__xludf.DUMMYFUNCTION("SPLIT(A5908, "" |"")"),5906.0)</f>
        <v>5906</v>
      </c>
      <c r="G5912" s="19">
        <f>IFERROR(__xludf.DUMMYFUNCTION("""COMPUTED_VALUE"""),0.00241)</f>
        <v>0.00241</v>
      </c>
      <c r="H5912" s="19" t="str">
        <f>IFERROR(__xludf.DUMMYFUNCTION("""COMPUTED_VALUE"""),"-")</f>
        <v>-</v>
      </c>
      <c r="I5912" s="19">
        <f>IFERROR(__xludf.DUMMYFUNCTION("""COMPUTED_VALUE"""),0.00219)</f>
        <v>0.00219</v>
      </c>
      <c r="J5912" s="19">
        <f>IFERROR(__xludf.DUMMYFUNCTION("""COMPUTED_VALUE"""),0.04744)</f>
        <v>0.04744</v>
      </c>
      <c r="K5912" s="19" t="str">
        <f>IFERROR(__xludf.DUMMYFUNCTION("""COMPUTED_VALUE"""),"-")</f>
        <v>-</v>
      </c>
      <c r="L5912" s="19" t="str">
        <f>IFERROR(__xludf.DUMMYFUNCTION("""COMPUTED_VALUE"""),"-")</f>
        <v>-</v>
      </c>
      <c r="O5912" s="24">
        <f t="shared" si="4"/>
        <v>0</v>
      </c>
      <c r="P5912" s="24"/>
      <c r="Q5912" s="24">
        <f t="shared" si="6"/>
        <v>0</v>
      </c>
      <c r="R5912" s="24">
        <f t="shared" si="7"/>
        <v>0</v>
      </c>
      <c r="S5912" s="24"/>
      <c r="T5912" s="24"/>
    </row>
    <row r="5913">
      <c r="A5913" s="12" t="s">
        <v>6000</v>
      </c>
      <c r="F5913" s="19">
        <f>IFERROR(__xludf.DUMMYFUNCTION("SPLIT(A5909, "" |"")"),5907.0)</f>
        <v>5907</v>
      </c>
      <c r="G5913" s="19">
        <f>IFERROR(__xludf.DUMMYFUNCTION("""COMPUTED_VALUE"""),0.00237)</f>
        <v>0.00237</v>
      </c>
      <c r="H5913" s="19" t="str">
        <f>IFERROR(__xludf.DUMMYFUNCTION("""COMPUTED_VALUE"""),"-")</f>
        <v>-</v>
      </c>
      <c r="I5913" s="19">
        <f>IFERROR(__xludf.DUMMYFUNCTION("""COMPUTED_VALUE"""),0.00221)</f>
        <v>0.00221</v>
      </c>
      <c r="J5913" s="19">
        <f>IFERROR(__xludf.DUMMYFUNCTION("""COMPUTED_VALUE"""),0.04748)</f>
        <v>0.04748</v>
      </c>
      <c r="K5913" s="19" t="str">
        <f>IFERROR(__xludf.DUMMYFUNCTION("""COMPUTED_VALUE"""),"-")</f>
        <v>-</v>
      </c>
      <c r="L5913" s="19" t="str">
        <f>IFERROR(__xludf.DUMMYFUNCTION("""COMPUTED_VALUE"""),"-")</f>
        <v>-</v>
      </c>
      <c r="O5913" s="24">
        <f t="shared" si="4"/>
        <v>0</v>
      </c>
      <c r="P5913" s="24"/>
      <c r="Q5913" s="24">
        <f t="shared" si="6"/>
        <v>0</v>
      </c>
      <c r="R5913" s="24">
        <f t="shared" si="7"/>
        <v>0</v>
      </c>
      <c r="S5913" s="24"/>
      <c r="T5913" s="24"/>
    </row>
    <row r="5914">
      <c r="A5914" s="12" t="s">
        <v>6001</v>
      </c>
      <c r="F5914" s="19">
        <f>IFERROR(__xludf.DUMMYFUNCTION("SPLIT(A5910, "" |"")"),5908.0)</f>
        <v>5908</v>
      </c>
      <c r="G5914" s="19">
        <f>IFERROR(__xludf.DUMMYFUNCTION("""COMPUTED_VALUE"""),0.00235)</f>
        <v>0.00235</v>
      </c>
      <c r="H5914" s="19" t="str">
        <f>IFERROR(__xludf.DUMMYFUNCTION("""COMPUTED_VALUE"""),"-")</f>
        <v>-</v>
      </c>
      <c r="I5914" s="19">
        <f>IFERROR(__xludf.DUMMYFUNCTION("""COMPUTED_VALUE"""),0.00221)</f>
        <v>0.00221</v>
      </c>
      <c r="J5914" s="19">
        <f>IFERROR(__xludf.DUMMYFUNCTION("""COMPUTED_VALUE"""),0.04738)</f>
        <v>0.04738</v>
      </c>
      <c r="K5914" s="19" t="str">
        <f>IFERROR(__xludf.DUMMYFUNCTION("""COMPUTED_VALUE"""),"-")</f>
        <v>-</v>
      </c>
      <c r="L5914" s="19" t="str">
        <f>IFERROR(__xludf.DUMMYFUNCTION("""COMPUTED_VALUE"""),"-")</f>
        <v>-</v>
      </c>
      <c r="O5914" s="24">
        <f t="shared" si="4"/>
        <v>0</v>
      </c>
      <c r="P5914" s="24"/>
      <c r="Q5914" s="24">
        <f t="shared" si="6"/>
        <v>0</v>
      </c>
      <c r="R5914" s="24">
        <f t="shared" si="7"/>
        <v>0</v>
      </c>
      <c r="S5914" s="24"/>
      <c r="T5914" s="24"/>
    </row>
    <row r="5915">
      <c r="A5915" s="12" t="s">
        <v>6002</v>
      </c>
      <c r="F5915" s="19">
        <f>IFERROR(__xludf.DUMMYFUNCTION("SPLIT(A5911, "" |"")"),5909.0)</f>
        <v>5909</v>
      </c>
      <c r="G5915" s="19">
        <f>IFERROR(__xludf.DUMMYFUNCTION("""COMPUTED_VALUE"""),0.00236)</f>
        <v>0.00236</v>
      </c>
      <c r="H5915" s="19" t="str">
        <f>IFERROR(__xludf.DUMMYFUNCTION("""COMPUTED_VALUE"""),"-")</f>
        <v>-</v>
      </c>
      <c r="I5915" s="19">
        <f>IFERROR(__xludf.DUMMYFUNCTION("""COMPUTED_VALUE"""),0.00221)</f>
        <v>0.00221</v>
      </c>
      <c r="J5915" s="19">
        <f>IFERROR(__xludf.DUMMYFUNCTION("""COMPUTED_VALUE"""),0.04351)</f>
        <v>0.04351</v>
      </c>
      <c r="K5915" s="19" t="str">
        <f>IFERROR(__xludf.DUMMYFUNCTION("""COMPUTED_VALUE"""),"-")</f>
        <v>-</v>
      </c>
      <c r="L5915" s="19" t="str">
        <f>IFERROR(__xludf.DUMMYFUNCTION("""COMPUTED_VALUE"""),"-")</f>
        <v>-</v>
      </c>
      <c r="O5915" s="24">
        <f t="shared" si="4"/>
        <v>0</v>
      </c>
      <c r="P5915" s="24"/>
      <c r="Q5915" s="24">
        <f t="shared" si="6"/>
        <v>0</v>
      </c>
      <c r="R5915" s="24">
        <f t="shared" si="7"/>
        <v>1</v>
      </c>
      <c r="S5915" s="24"/>
      <c r="T5915" s="24"/>
    </row>
    <row r="5916">
      <c r="A5916" s="12" t="s">
        <v>6003</v>
      </c>
      <c r="F5916" s="19">
        <f>IFERROR(__xludf.DUMMYFUNCTION("SPLIT(A5912, "" |"")"),5910.0)</f>
        <v>5910</v>
      </c>
      <c r="G5916" s="19">
        <f>IFERROR(__xludf.DUMMYFUNCTION("""COMPUTED_VALUE"""),0.00237)</f>
        <v>0.00237</v>
      </c>
      <c r="H5916" s="19" t="str">
        <f>IFERROR(__xludf.DUMMYFUNCTION("""COMPUTED_VALUE"""),"-")</f>
        <v>-</v>
      </c>
      <c r="I5916" s="19">
        <f>IFERROR(__xludf.DUMMYFUNCTION("""COMPUTED_VALUE"""),0.00221)</f>
        <v>0.00221</v>
      </c>
      <c r="J5916" s="19">
        <f>IFERROR(__xludf.DUMMYFUNCTION("""COMPUTED_VALUE"""),0.0474)</f>
        <v>0.0474</v>
      </c>
      <c r="K5916" s="19" t="str">
        <f>IFERROR(__xludf.DUMMYFUNCTION("""COMPUTED_VALUE"""),"-")</f>
        <v>-</v>
      </c>
      <c r="L5916" s="19" t="str">
        <f>IFERROR(__xludf.DUMMYFUNCTION("""COMPUTED_VALUE"""),"-")</f>
        <v>-</v>
      </c>
      <c r="O5916" s="24">
        <f t="shared" si="4"/>
        <v>0</v>
      </c>
      <c r="P5916" s="24"/>
      <c r="Q5916" s="24">
        <f t="shared" si="6"/>
        <v>0</v>
      </c>
      <c r="R5916" s="24">
        <f t="shared" si="7"/>
        <v>0</v>
      </c>
      <c r="S5916" s="24"/>
      <c r="T5916" s="24"/>
    </row>
    <row r="5917">
      <c r="A5917" s="12" t="s">
        <v>6004</v>
      </c>
      <c r="F5917" s="19">
        <f>IFERROR(__xludf.DUMMYFUNCTION("SPLIT(A5913, "" |"")"),5911.0)</f>
        <v>5911</v>
      </c>
      <c r="G5917" s="19">
        <f>IFERROR(__xludf.DUMMYFUNCTION("""COMPUTED_VALUE"""),0.00234)</f>
        <v>0.00234</v>
      </c>
      <c r="H5917" s="19" t="str">
        <f>IFERROR(__xludf.DUMMYFUNCTION("""COMPUTED_VALUE"""),"-")</f>
        <v>-</v>
      </c>
      <c r="I5917" s="19">
        <f>IFERROR(__xludf.DUMMYFUNCTION("""COMPUTED_VALUE"""),0.00217)</f>
        <v>0.00217</v>
      </c>
      <c r="J5917" s="19">
        <f>IFERROR(__xludf.DUMMYFUNCTION("""COMPUTED_VALUE"""),0.04733)</f>
        <v>0.04733</v>
      </c>
      <c r="K5917" s="19" t="str">
        <f>IFERROR(__xludf.DUMMYFUNCTION("""COMPUTED_VALUE"""),"-")</f>
        <v>-</v>
      </c>
      <c r="L5917" s="19" t="str">
        <f>IFERROR(__xludf.DUMMYFUNCTION("""COMPUTED_VALUE"""),"-")</f>
        <v>-</v>
      </c>
      <c r="O5917" s="24">
        <f t="shared" si="4"/>
        <v>0</v>
      </c>
      <c r="P5917" s="24"/>
      <c r="Q5917" s="24">
        <f t="shared" si="6"/>
        <v>0</v>
      </c>
      <c r="R5917" s="24">
        <f t="shared" si="7"/>
        <v>0</v>
      </c>
      <c r="S5917" s="24"/>
      <c r="T5917" s="24"/>
    </row>
    <row r="5918">
      <c r="A5918" s="12" t="s">
        <v>6005</v>
      </c>
      <c r="F5918" s="19">
        <f>IFERROR(__xludf.DUMMYFUNCTION("SPLIT(A5914, "" |"")"),5912.0)</f>
        <v>5912</v>
      </c>
      <c r="G5918" s="19">
        <f>IFERROR(__xludf.DUMMYFUNCTION("""COMPUTED_VALUE"""),0.0022)</f>
        <v>0.0022</v>
      </c>
      <c r="H5918" s="19" t="str">
        <f>IFERROR(__xludf.DUMMYFUNCTION("""COMPUTED_VALUE"""),"-")</f>
        <v>-</v>
      </c>
      <c r="I5918" s="19">
        <f>IFERROR(__xludf.DUMMYFUNCTION("""COMPUTED_VALUE"""),0.00225)</f>
        <v>0.00225</v>
      </c>
      <c r="J5918" s="19">
        <f>IFERROR(__xludf.DUMMYFUNCTION("""COMPUTED_VALUE"""),0.04477)</f>
        <v>0.04477</v>
      </c>
      <c r="K5918" s="19" t="str">
        <f>IFERROR(__xludf.DUMMYFUNCTION("""COMPUTED_VALUE"""),"-")</f>
        <v>-</v>
      </c>
      <c r="L5918" s="19" t="str">
        <f>IFERROR(__xludf.DUMMYFUNCTION("""COMPUTED_VALUE"""),"-")</f>
        <v>-</v>
      </c>
      <c r="O5918" s="24">
        <f t="shared" si="4"/>
        <v>0</v>
      </c>
      <c r="P5918" s="24"/>
      <c r="Q5918" s="24">
        <f t="shared" si="6"/>
        <v>0</v>
      </c>
      <c r="R5918" s="24">
        <f t="shared" si="7"/>
        <v>1</v>
      </c>
      <c r="S5918" s="24"/>
      <c r="T5918" s="24"/>
    </row>
    <row r="5919">
      <c r="A5919" s="12" t="s">
        <v>6006</v>
      </c>
      <c r="F5919" s="19">
        <f>IFERROR(__xludf.DUMMYFUNCTION("SPLIT(A5915, "" |"")"),5913.0)</f>
        <v>5913</v>
      </c>
      <c r="G5919" s="19">
        <f>IFERROR(__xludf.DUMMYFUNCTION("""COMPUTED_VALUE"""),0.00238)</f>
        <v>0.00238</v>
      </c>
      <c r="H5919" s="19" t="str">
        <f>IFERROR(__xludf.DUMMYFUNCTION("""COMPUTED_VALUE"""),"-")</f>
        <v>-</v>
      </c>
      <c r="I5919" s="19">
        <f>IFERROR(__xludf.DUMMYFUNCTION("""COMPUTED_VALUE"""),0.00227)</f>
        <v>0.00227</v>
      </c>
      <c r="J5919" s="19">
        <f>IFERROR(__xludf.DUMMYFUNCTION("""COMPUTED_VALUE"""),0.04746)</f>
        <v>0.04746</v>
      </c>
      <c r="K5919" s="19" t="str">
        <f>IFERROR(__xludf.DUMMYFUNCTION("""COMPUTED_VALUE"""),"-")</f>
        <v>-</v>
      </c>
      <c r="L5919" s="19" t="str">
        <f>IFERROR(__xludf.DUMMYFUNCTION("""COMPUTED_VALUE"""),"-")</f>
        <v>-</v>
      </c>
      <c r="O5919" s="24">
        <f t="shared" si="4"/>
        <v>0</v>
      </c>
      <c r="P5919" s="24"/>
      <c r="Q5919" s="24">
        <f t="shared" si="6"/>
        <v>0</v>
      </c>
      <c r="R5919" s="24">
        <f t="shared" si="7"/>
        <v>0</v>
      </c>
      <c r="S5919" s="24"/>
      <c r="T5919" s="24"/>
    </row>
    <row r="5920">
      <c r="A5920" s="12" t="s">
        <v>6007</v>
      </c>
      <c r="F5920" s="19">
        <f>IFERROR(__xludf.DUMMYFUNCTION("SPLIT(A5916, "" |"")"),5914.0)</f>
        <v>5914</v>
      </c>
      <c r="G5920" s="19">
        <f>IFERROR(__xludf.DUMMYFUNCTION("""COMPUTED_VALUE"""),0.00238)</f>
        <v>0.00238</v>
      </c>
      <c r="H5920" s="19" t="str">
        <f>IFERROR(__xludf.DUMMYFUNCTION("""COMPUTED_VALUE"""),"-")</f>
        <v>-</v>
      </c>
      <c r="I5920" s="19">
        <f>IFERROR(__xludf.DUMMYFUNCTION("""COMPUTED_VALUE"""),0.00219)</f>
        <v>0.00219</v>
      </c>
      <c r="J5920" s="19">
        <f>IFERROR(__xludf.DUMMYFUNCTION("""COMPUTED_VALUE"""),0.04749)</f>
        <v>0.04749</v>
      </c>
      <c r="K5920" s="19" t="str">
        <f>IFERROR(__xludf.DUMMYFUNCTION("""COMPUTED_VALUE"""),"-")</f>
        <v>-</v>
      </c>
      <c r="L5920" s="19" t="str">
        <f>IFERROR(__xludf.DUMMYFUNCTION("""COMPUTED_VALUE"""),"-")</f>
        <v>-</v>
      </c>
      <c r="O5920" s="24">
        <f t="shared" si="4"/>
        <v>0</v>
      </c>
      <c r="P5920" s="24"/>
      <c r="Q5920" s="24">
        <f t="shared" si="6"/>
        <v>0</v>
      </c>
      <c r="R5920" s="24">
        <f t="shared" si="7"/>
        <v>0</v>
      </c>
      <c r="S5920" s="24"/>
      <c r="T5920" s="24"/>
    </row>
    <row r="5921">
      <c r="A5921" s="12" t="s">
        <v>6008</v>
      </c>
      <c r="F5921" s="19">
        <f>IFERROR(__xludf.DUMMYFUNCTION("SPLIT(A5917, "" |"")"),5915.0)</f>
        <v>5915</v>
      </c>
      <c r="G5921" s="19">
        <f>IFERROR(__xludf.DUMMYFUNCTION("""COMPUTED_VALUE"""),0.00232)</f>
        <v>0.00232</v>
      </c>
      <c r="H5921" s="19" t="str">
        <f>IFERROR(__xludf.DUMMYFUNCTION("""COMPUTED_VALUE"""),"-")</f>
        <v>-</v>
      </c>
      <c r="I5921" s="19">
        <f>IFERROR(__xludf.DUMMYFUNCTION("""COMPUTED_VALUE"""),0.00219)</f>
        <v>0.00219</v>
      </c>
      <c r="J5921" s="19">
        <f>IFERROR(__xludf.DUMMYFUNCTION("""COMPUTED_VALUE"""),0.04743)</f>
        <v>0.04743</v>
      </c>
      <c r="K5921" s="19" t="str">
        <f>IFERROR(__xludf.DUMMYFUNCTION("""COMPUTED_VALUE"""),"-")</f>
        <v>-</v>
      </c>
      <c r="L5921" s="19" t="str">
        <f>IFERROR(__xludf.DUMMYFUNCTION("""COMPUTED_VALUE"""),"-")</f>
        <v>-</v>
      </c>
      <c r="O5921" s="24">
        <f t="shared" si="4"/>
        <v>0</v>
      </c>
      <c r="P5921" s="24"/>
      <c r="Q5921" s="24">
        <f t="shared" si="6"/>
        <v>0</v>
      </c>
      <c r="R5921" s="24">
        <f t="shared" si="7"/>
        <v>0</v>
      </c>
      <c r="S5921" s="24"/>
      <c r="T5921" s="24"/>
    </row>
    <row r="5922">
      <c r="A5922" s="12" t="s">
        <v>6009</v>
      </c>
      <c r="F5922" s="19">
        <f>IFERROR(__xludf.DUMMYFUNCTION("SPLIT(A5918, "" |"")"),5916.0)</f>
        <v>5916</v>
      </c>
      <c r="G5922" s="19">
        <f>IFERROR(__xludf.DUMMYFUNCTION("""COMPUTED_VALUE"""),0.00233)</f>
        <v>0.00233</v>
      </c>
      <c r="H5922" s="19" t="str">
        <f>IFERROR(__xludf.DUMMYFUNCTION("""COMPUTED_VALUE"""),"-")</f>
        <v>-</v>
      </c>
      <c r="I5922" s="19">
        <f>IFERROR(__xludf.DUMMYFUNCTION("""COMPUTED_VALUE"""),0.00219)</f>
        <v>0.00219</v>
      </c>
      <c r="J5922" s="19">
        <f>IFERROR(__xludf.DUMMYFUNCTION("""COMPUTED_VALUE"""),0.04737)</f>
        <v>0.04737</v>
      </c>
      <c r="K5922" s="19" t="str">
        <f>IFERROR(__xludf.DUMMYFUNCTION("""COMPUTED_VALUE"""),"-")</f>
        <v>-</v>
      </c>
      <c r="L5922" s="19" t="str">
        <f>IFERROR(__xludf.DUMMYFUNCTION("""COMPUTED_VALUE"""),"-")</f>
        <v>-</v>
      </c>
      <c r="O5922" s="24">
        <f t="shared" si="4"/>
        <v>0</v>
      </c>
      <c r="P5922" s="24"/>
      <c r="Q5922" s="24">
        <f t="shared" si="6"/>
        <v>0</v>
      </c>
      <c r="R5922" s="24">
        <f t="shared" si="7"/>
        <v>0</v>
      </c>
      <c r="S5922" s="24"/>
      <c r="T5922" s="24"/>
    </row>
    <row r="5923">
      <c r="A5923" s="12" t="s">
        <v>6010</v>
      </c>
      <c r="F5923" s="19">
        <f>IFERROR(__xludf.DUMMYFUNCTION("SPLIT(A5919, "" |"")"),5917.0)</f>
        <v>5917</v>
      </c>
      <c r="G5923" s="19">
        <f>IFERROR(__xludf.DUMMYFUNCTION("""COMPUTED_VALUE"""),0.00233)</f>
        <v>0.00233</v>
      </c>
      <c r="H5923" s="19" t="str">
        <f>IFERROR(__xludf.DUMMYFUNCTION("""COMPUTED_VALUE"""),"-")</f>
        <v>-</v>
      </c>
      <c r="I5923" s="19">
        <f>IFERROR(__xludf.DUMMYFUNCTION("""COMPUTED_VALUE"""),0.00218)</f>
        <v>0.00218</v>
      </c>
      <c r="J5923" s="19">
        <f>IFERROR(__xludf.DUMMYFUNCTION("""COMPUTED_VALUE"""),0.04485)</f>
        <v>0.04485</v>
      </c>
      <c r="K5923" s="19" t="str">
        <f>IFERROR(__xludf.DUMMYFUNCTION("""COMPUTED_VALUE"""),"-")</f>
        <v>-</v>
      </c>
      <c r="L5923" s="19" t="str">
        <f>IFERROR(__xludf.DUMMYFUNCTION("""COMPUTED_VALUE"""),"-")</f>
        <v>-</v>
      </c>
      <c r="O5923" s="24">
        <f t="shared" si="4"/>
        <v>0</v>
      </c>
      <c r="P5923" s="24"/>
      <c r="Q5923" s="24">
        <f t="shared" si="6"/>
        <v>0</v>
      </c>
      <c r="R5923" s="24">
        <f t="shared" si="7"/>
        <v>1</v>
      </c>
      <c r="S5923" s="24"/>
      <c r="T5923" s="24"/>
    </row>
    <row r="5924">
      <c r="A5924" s="12" t="s">
        <v>6011</v>
      </c>
      <c r="F5924" s="19">
        <f>IFERROR(__xludf.DUMMYFUNCTION("SPLIT(A5920, "" |"")"),5918.0)</f>
        <v>5918</v>
      </c>
      <c r="G5924" s="19">
        <f>IFERROR(__xludf.DUMMYFUNCTION("""COMPUTED_VALUE"""),0.00234)</f>
        <v>0.00234</v>
      </c>
      <c r="H5924" s="19" t="str">
        <f>IFERROR(__xludf.DUMMYFUNCTION("""COMPUTED_VALUE"""),"-")</f>
        <v>-</v>
      </c>
      <c r="I5924" s="19">
        <f>IFERROR(__xludf.DUMMYFUNCTION("""COMPUTED_VALUE"""),0.00224)</f>
        <v>0.00224</v>
      </c>
      <c r="J5924" s="19">
        <f>IFERROR(__xludf.DUMMYFUNCTION("""COMPUTED_VALUE"""),0.04721)</f>
        <v>0.04721</v>
      </c>
      <c r="K5924" s="19" t="str">
        <f>IFERROR(__xludf.DUMMYFUNCTION("""COMPUTED_VALUE"""),"-")</f>
        <v>-</v>
      </c>
      <c r="L5924" s="19" t="str">
        <f>IFERROR(__xludf.DUMMYFUNCTION("""COMPUTED_VALUE"""),"-")</f>
        <v>-</v>
      </c>
      <c r="O5924" s="24">
        <f t="shared" si="4"/>
        <v>0</v>
      </c>
      <c r="P5924" s="24"/>
      <c r="Q5924" s="24">
        <f t="shared" si="6"/>
        <v>0</v>
      </c>
      <c r="R5924" s="24">
        <f t="shared" si="7"/>
        <v>0</v>
      </c>
      <c r="S5924" s="24"/>
      <c r="T5924" s="24"/>
    </row>
    <row r="5925">
      <c r="A5925" s="12" t="s">
        <v>6012</v>
      </c>
      <c r="F5925" s="19">
        <f>IFERROR(__xludf.DUMMYFUNCTION("SPLIT(A5921, "" |"")"),5919.0)</f>
        <v>5919</v>
      </c>
      <c r="G5925" s="19">
        <f>IFERROR(__xludf.DUMMYFUNCTION("""COMPUTED_VALUE"""),0.00233)</f>
        <v>0.00233</v>
      </c>
      <c r="H5925" s="19" t="str">
        <f>IFERROR(__xludf.DUMMYFUNCTION("""COMPUTED_VALUE"""),"-")</f>
        <v>-</v>
      </c>
      <c r="I5925" s="19">
        <f>IFERROR(__xludf.DUMMYFUNCTION("""COMPUTED_VALUE"""),0.00223)</f>
        <v>0.00223</v>
      </c>
      <c r="J5925" s="19">
        <f>IFERROR(__xludf.DUMMYFUNCTION("""COMPUTED_VALUE"""),0.04741)</f>
        <v>0.04741</v>
      </c>
      <c r="K5925" s="19" t="str">
        <f>IFERROR(__xludf.DUMMYFUNCTION("""COMPUTED_VALUE"""),"-")</f>
        <v>-</v>
      </c>
      <c r="L5925" s="19" t="str">
        <f>IFERROR(__xludf.DUMMYFUNCTION("""COMPUTED_VALUE"""),"-")</f>
        <v>-</v>
      </c>
      <c r="O5925" s="24">
        <f t="shared" si="4"/>
        <v>0</v>
      </c>
      <c r="P5925" s="24"/>
      <c r="Q5925" s="24">
        <f t="shared" si="6"/>
        <v>0</v>
      </c>
      <c r="R5925" s="24">
        <f t="shared" si="7"/>
        <v>0</v>
      </c>
      <c r="S5925" s="24"/>
      <c r="T5925" s="24"/>
    </row>
    <row r="5926">
      <c r="A5926" s="12" t="s">
        <v>6013</v>
      </c>
      <c r="F5926" s="19">
        <f>IFERROR(__xludf.DUMMYFUNCTION("SPLIT(A5922, "" |"")"),5920.0)</f>
        <v>5920</v>
      </c>
      <c r="G5926" s="19">
        <f>IFERROR(__xludf.DUMMYFUNCTION("""COMPUTED_VALUE"""),0.00238)</f>
        <v>0.00238</v>
      </c>
      <c r="H5926" s="19" t="str">
        <f>IFERROR(__xludf.DUMMYFUNCTION("""COMPUTED_VALUE"""),"-")</f>
        <v>-</v>
      </c>
      <c r="I5926" s="19">
        <f>IFERROR(__xludf.DUMMYFUNCTION("""COMPUTED_VALUE"""),0.00219)</f>
        <v>0.00219</v>
      </c>
      <c r="J5926" s="19">
        <f>IFERROR(__xludf.DUMMYFUNCTION("""COMPUTED_VALUE"""),0.0474)</f>
        <v>0.0474</v>
      </c>
      <c r="K5926" s="19" t="str">
        <f>IFERROR(__xludf.DUMMYFUNCTION("""COMPUTED_VALUE"""),"-")</f>
        <v>-</v>
      </c>
      <c r="L5926" s="19" t="str">
        <f>IFERROR(__xludf.DUMMYFUNCTION("""COMPUTED_VALUE"""),"-")</f>
        <v>-</v>
      </c>
      <c r="O5926" s="24">
        <f t="shared" si="4"/>
        <v>0</v>
      </c>
      <c r="P5926" s="24"/>
      <c r="Q5926" s="24">
        <f t="shared" si="6"/>
        <v>0</v>
      </c>
      <c r="R5926" s="24">
        <f t="shared" si="7"/>
        <v>0</v>
      </c>
      <c r="S5926" s="24"/>
      <c r="T5926" s="24"/>
    </row>
    <row r="5927">
      <c r="A5927" s="12" t="s">
        <v>6014</v>
      </c>
      <c r="F5927" s="19">
        <f>IFERROR(__xludf.DUMMYFUNCTION("SPLIT(A5923, "" |"")"),5921.0)</f>
        <v>5921</v>
      </c>
      <c r="G5927" s="19">
        <f>IFERROR(__xludf.DUMMYFUNCTION("""COMPUTED_VALUE"""),0.00237)</f>
        <v>0.00237</v>
      </c>
      <c r="H5927" s="19" t="str">
        <f>IFERROR(__xludf.DUMMYFUNCTION("""COMPUTED_VALUE"""),"-")</f>
        <v>-</v>
      </c>
      <c r="I5927" s="19">
        <f>IFERROR(__xludf.DUMMYFUNCTION("""COMPUTED_VALUE"""),0.00224)</f>
        <v>0.00224</v>
      </c>
      <c r="J5927" s="19">
        <f>IFERROR(__xludf.DUMMYFUNCTION("""COMPUTED_VALUE"""),0.04738)</f>
        <v>0.04738</v>
      </c>
      <c r="K5927" s="19" t="str">
        <f>IFERROR(__xludf.DUMMYFUNCTION("""COMPUTED_VALUE"""),"-")</f>
        <v>-</v>
      </c>
      <c r="L5927" s="19" t="str">
        <f>IFERROR(__xludf.DUMMYFUNCTION("""COMPUTED_VALUE"""),"-")</f>
        <v>-</v>
      </c>
      <c r="O5927" s="24">
        <f t="shared" si="4"/>
        <v>0</v>
      </c>
      <c r="P5927" s="24"/>
      <c r="Q5927" s="24">
        <f t="shared" si="6"/>
        <v>0</v>
      </c>
      <c r="R5927" s="24">
        <f t="shared" si="7"/>
        <v>0</v>
      </c>
      <c r="S5927" s="24"/>
      <c r="T5927" s="24"/>
    </row>
    <row r="5928">
      <c r="A5928" s="12" t="s">
        <v>6015</v>
      </c>
      <c r="F5928" s="19">
        <f>IFERROR(__xludf.DUMMYFUNCTION("SPLIT(A5924, "" |"")"),5922.0)</f>
        <v>5922</v>
      </c>
      <c r="G5928" s="19">
        <f>IFERROR(__xludf.DUMMYFUNCTION("""COMPUTED_VALUE"""),0.00241)</f>
        <v>0.00241</v>
      </c>
      <c r="H5928" s="19" t="str">
        <f>IFERROR(__xludf.DUMMYFUNCTION("""COMPUTED_VALUE"""),"-")</f>
        <v>-</v>
      </c>
      <c r="I5928" s="19">
        <f>IFERROR(__xludf.DUMMYFUNCTION("""COMPUTED_VALUE"""),0.00221)</f>
        <v>0.00221</v>
      </c>
      <c r="J5928" s="19">
        <f>IFERROR(__xludf.DUMMYFUNCTION("""COMPUTED_VALUE"""),0.04744)</f>
        <v>0.04744</v>
      </c>
      <c r="K5928" s="19" t="str">
        <f>IFERROR(__xludf.DUMMYFUNCTION("""COMPUTED_VALUE"""),"-")</f>
        <v>-</v>
      </c>
      <c r="L5928" s="19" t="str">
        <f>IFERROR(__xludf.DUMMYFUNCTION("""COMPUTED_VALUE"""),"-")</f>
        <v>-</v>
      </c>
      <c r="O5928" s="24">
        <f t="shared" si="4"/>
        <v>0</v>
      </c>
      <c r="P5928" s="24"/>
      <c r="Q5928" s="24">
        <f t="shared" si="6"/>
        <v>0</v>
      </c>
      <c r="R5928" s="24">
        <f t="shared" si="7"/>
        <v>0</v>
      </c>
      <c r="S5928" s="24"/>
      <c r="T5928" s="24"/>
    </row>
    <row r="5929">
      <c r="A5929" s="12" t="s">
        <v>6016</v>
      </c>
      <c r="F5929" s="19">
        <f>IFERROR(__xludf.DUMMYFUNCTION("SPLIT(A5925, "" |"")"),5923.0)</f>
        <v>5923</v>
      </c>
      <c r="G5929" s="19">
        <f>IFERROR(__xludf.DUMMYFUNCTION("""COMPUTED_VALUE"""),0.00235)</f>
        <v>0.00235</v>
      </c>
      <c r="H5929" s="19" t="str">
        <f>IFERROR(__xludf.DUMMYFUNCTION("""COMPUTED_VALUE"""),"-")</f>
        <v>-</v>
      </c>
      <c r="I5929" s="19">
        <f>IFERROR(__xludf.DUMMYFUNCTION("""COMPUTED_VALUE"""),0.00223)</f>
        <v>0.00223</v>
      </c>
      <c r="J5929" s="19">
        <f>IFERROR(__xludf.DUMMYFUNCTION("""COMPUTED_VALUE"""),0.04745)</f>
        <v>0.04745</v>
      </c>
      <c r="K5929" s="19" t="str">
        <f>IFERROR(__xludf.DUMMYFUNCTION("""COMPUTED_VALUE"""),"-")</f>
        <v>-</v>
      </c>
      <c r="L5929" s="19" t="str">
        <f>IFERROR(__xludf.DUMMYFUNCTION("""COMPUTED_VALUE"""),"-")</f>
        <v>-</v>
      </c>
      <c r="O5929" s="24">
        <f t="shared" si="4"/>
        <v>0</v>
      </c>
      <c r="P5929" s="24"/>
      <c r="Q5929" s="24">
        <f t="shared" si="6"/>
        <v>0</v>
      </c>
      <c r="R5929" s="24">
        <f t="shared" si="7"/>
        <v>0</v>
      </c>
      <c r="S5929" s="24"/>
      <c r="T5929" s="24"/>
    </row>
    <row r="5930">
      <c r="A5930" s="12" t="s">
        <v>6017</v>
      </c>
      <c r="F5930" s="19">
        <f>IFERROR(__xludf.DUMMYFUNCTION("SPLIT(A5926, "" |"")"),5924.0)</f>
        <v>5924</v>
      </c>
      <c r="G5930" s="19">
        <f>IFERROR(__xludf.DUMMYFUNCTION("""COMPUTED_VALUE"""),0.00232)</f>
        <v>0.00232</v>
      </c>
      <c r="H5930" s="19" t="str">
        <f>IFERROR(__xludf.DUMMYFUNCTION("""COMPUTED_VALUE"""),"-")</f>
        <v>-</v>
      </c>
      <c r="I5930" s="19">
        <f>IFERROR(__xludf.DUMMYFUNCTION("""COMPUTED_VALUE"""),0.00211)</f>
        <v>0.00211</v>
      </c>
      <c r="J5930" s="19">
        <f>IFERROR(__xludf.DUMMYFUNCTION("""COMPUTED_VALUE"""),0.04742)</f>
        <v>0.04742</v>
      </c>
      <c r="K5930" s="19" t="str">
        <f>IFERROR(__xludf.DUMMYFUNCTION("""COMPUTED_VALUE"""),"-")</f>
        <v>-</v>
      </c>
      <c r="L5930" s="19" t="str">
        <f>IFERROR(__xludf.DUMMYFUNCTION("""COMPUTED_VALUE"""),"-")</f>
        <v>-</v>
      </c>
      <c r="O5930" s="24">
        <f t="shared" si="4"/>
        <v>0</v>
      </c>
      <c r="P5930" s="24"/>
      <c r="Q5930" s="24">
        <f t="shared" si="6"/>
        <v>0</v>
      </c>
      <c r="R5930" s="24">
        <f t="shared" si="7"/>
        <v>0</v>
      </c>
      <c r="S5930" s="24"/>
      <c r="T5930" s="24"/>
    </row>
    <row r="5931">
      <c r="A5931" s="12" t="s">
        <v>6018</v>
      </c>
      <c r="F5931" s="19">
        <f>IFERROR(__xludf.DUMMYFUNCTION("SPLIT(A5927, "" |"")"),5925.0)</f>
        <v>5925</v>
      </c>
      <c r="G5931" s="19">
        <f>IFERROR(__xludf.DUMMYFUNCTION("""COMPUTED_VALUE"""),0.00233)</f>
        <v>0.00233</v>
      </c>
      <c r="H5931" s="19" t="str">
        <f>IFERROR(__xludf.DUMMYFUNCTION("""COMPUTED_VALUE"""),"-")</f>
        <v>-</v>
      </c>
      <c r="I5931" s="19">
        <f>IFERROR(__xludf.DUMMYFUNCTION("""COMPUTED_VALUE"""),0.00222)</f>
        <v>0.00222</v>
      </c>
      <c r="J5931" s="19">
        <f>IFERROR(__xludf.DUMMYFUNCTION("""COMPUTED_VALUE"""),0.04487)</f>
        <v>0.04487</v>
      </c>
      <c r="K5931" s="19" t="str">
        <f>IFERROR(__xludf.DUMMYFUNCTION("""COMPUTED_VALUE"""),"-")</f>
        <v>-</v>
      </c>
      <c r="L5931" s="19" t="str">
        <f>IFERROR(__xludf.DUMMYFUNCTION("""COMPUTED_VALUE"""),"-")</f>
        <v>-</v>
      </c>
      <c r="O5931" s="24">
        <f t="shared" si="4"/>
        <v>0</v>
      </c>
      <c r="P5931" s="24"/>
      <c r="Q5931" s="24">
        <f t="shared" si="6"/>
        <v>0</v>
      </c>
      <c r="R5931" s="24">
        <f t="shared" si="7"/>
        <v>1</v>
      </c>
      <c r="S5931" s="24"/>
      <c r="T5931" s="24"/>
    </row>
    <row r="5932">
      <c r="A5932" s="12" t="s">
        <v>6019</v>
      </c>
      <c r="F5932" s="19">
        <f>IFERROR(__xludf.DUMMYFUNCTION("SPLIT(A5928, "" |"")"),5926.0)</f>
        <v>5926</v>
      </c>
      <c r="G5932" s="19">
        <f>IFERROR(__xludf.DUMMYFUNCTION("""COMPUTED_VALUE"""),0.00243)</f>
        <v>0.00243</v>
      </c>
      <c r="H5932" s="19" t="str">
        <f>IFERROR(__xludf.DUMMYFUNCTION("""COMPUTED_VALUE"""),"-")</f>
        <v>-</v>
      </c>
      <c r="I5932" s="19">
        <f>IFERROR(__xludf.DUMMYFUNCTION("""COMPUTED_VALUE"""),0.00225)</f>
        <v>0.00225</v>
      </c>
      <c r="J5932" s="19">
        <f>IFERROR(__xludf.DUMMYFUNCTION("""COMPUTED_VALUE"""),0.04744)</f>
        <v>0.04744</v>
      </c>
      <c r="K5932" s="19" t="str">
        <f>IFERROR(__xludf.DUMMYFUNCTION("""COMPUTED_VALUE"""),"-")</f>
        <v>-</v>
      </c>
      <c r="L5932" s="19" t="str">
        <f>IFERROR(__xludf.DUMMYFUNCTION("""COMPUTED_VALUE"""),"-")</f>
        <v>-</v>
      </c>
      <c r="O5932" s="24">
        <f t="shared" si="4"/>
        <v>0</v>
      </c>
      <c r="P5932" s="24"/>
      <c r="Q5932" s="24">
        <f t="shared" si="6"/>
        <v>0</v>
      </c>
      <c r="R5932" s="24">
        <f t="shared" si="7"/>
        <v>0</v>
      </c>
      <c r="S5932" s="24"/>
      <c r="T5932" s="24"/>
    </row>
    <row r="5933">
      <c r="A5933" s="12" t="s">
        <v>6020</v>
      </c>
      <c r="F5933" s="19">
        <f>IFERROR(__xludf.DUMMYFUNCTION("SPLIT(A5929, "" |"")"),5927.0)</f>
        <v>5927</v>
      </c>
      <c r="G5933" s="19">
        <f>IFERROR(__xludf.DUMMYFUNCTION("""COMPUTED_VALUE"""),0.00235)</f>
        <v>0.00235</v>
      </c>
      <c r="H5933" s="19" t="str">
        <f>IFERROR(__xludf.DUMMYFUNCTION("""COMPUTED_VALUE"""),"-")</f>
        <v>-</v>
      </c>
      <c r="I5933" s="19">
        <f>IFERROR(__xludf.DUMMYFUNCTION("""COMPUTED_VALUE"""),0.00222)</f>
        <v>0.00222</v>
      </c>
      <c r="J5933" s="19">
        <f>IFERROR(__xludf.DUMMYFUNCTION("""COMPUTED_VALUE"""),0.04737)</f>
        <v>0.04737</v>
      </c>
      <c r="K5933" s="19" t="str">
        <f>IFERROR(__xludf.DUMMYFUNCTION("""COMPUTED_VALUE"""),"-")</f>
        <v>-</v>
      </c>
      <c r="L5933" s="19" t="str">
        <f>IFERROR(__xludf.DUMMYFUNCTION("""COMPUTED_VALUE"""),"-")</f>
        <v>-</v>
      </c>
      <c r="O5933" s="24">
        <f t="shared" si="4"/>
        <v>0</v>
      </c>
      <c r="P5933" s="24"/>
      <c r="Q5933" s="24">
        <f t="shared" si="6"/>
        <v>0</v>
      </c>
      <c r="R5933" s="24">
        <f t="shared" si="7"/>
        <v>0</v>
      </c>
      <c r="S5933" s="24"/>
      <c r="T5933" s="24"/>
    </row>
    <row r="5934">
      <c r="A5934" s="12" t="s">
        <v>6021</v>
      </c>
      <c r="F5934" s="19">
        <f>IFERROR(__xludf.DUMMYFUNCTION("SPLIT(A5930, "" |"")"),5928.0)</f>
        <v>5928</v>
      </c>
      <c r="G5934" s="19">
        <f>IFERROR(__xludf.DUMMYFUNCTION("""COMPUTED_VALUE"""),0.00238)</f>
        <v>0.00238</v>
      </c>
      <c r="H5934" s="19" t="str">
        <f>IFERROR(__xludf.DUMMYFUNCTION("""COMPUTED_VALUE"""),"-")</f>
        <v>-</v>
      </c>
      <c r="I5934" s="19">
        <f>IFERROR(__xludf.DUMMYFUNCTION("""COMPUTED_VALUE"""),0.00222)</f>
        <v>0.00222</v>
      </c>
      <c r="J5934" s="19">
        <f>IFERROR(__xludf.DUMMYFUNCTION("""COMPUTED_VALUE"""),0.0474)</f>
        <v>0.0474</v>
      </c>
      <c r="K5934" s="19" t="str">
        <f>IFERROR(__xludf.DUMMYFUNCTION("""COMPUTED_VALUE"""),"-")</f>
        <v>-</v>
      </c>
      <c r="L5934" s="19" t="str">
        <f>IFERROR(__xludf.DUMMYFUNCTION("""COMPUTED_VALUE"""),"-")</f>
        <v>-</v>
      </c>
      <c r="O5934" s="24">
        <f t="shared" si="4"/>
        <v>0</v>
      </c>
      <c r="P5934" s="24"/>
      <c r="Q5934" s="24">
        <f t="shared" si="6"/>
        <v>0</v>
      </c>
      <c r="R5934" s="24">
        <f t="shared" si="7"/>
        <v>0</v>
      </c>
      <c r="S5934" s="24"/>
      <c r="T5934" s="24"/>
    </row>
    <row r="5935">
      <c r="A5935" s="12" t="s">
        <v>6022</v>
      </c>
      <c r="F5935" s="19">
        <f>IFERROR(__xludf.DUMMYFUNCTION("SPLIT(A5931, "" |"")"),5929.0)</f>
        <v>5929</v>
      </c>
      <c r="G5935" s="19">
        <f>IFERROR(__xludf.DUMMYFUNCTION("""COMPUTED_VALUE"""),0.00233)</f>
        <v>0.00233</v>
      </c>
      <c r="H5935" s="19" t="str">
        <f>IFERROR(__xludf.DUMMYFUNCTION("""COMPUTED_VALUE"""),"-")</f>
        <v>-</v>
      </c>
      <c r="I5935" s="19">
        <f>IFERROR(__xludf.DUMMYFUNCTION("""COMPUTED_VALUE"""),0.00219)</f>
        <v>0.00219</v>
      </c>
      <c r="J5935" s="19">
        <f>IFERROR(__xludf.DUMMYFUNCTION("""COMPUTED_VALUE"""),0.04126)</f>
        <v>0.04126</v>
      </c>
      <c r="K5935" s="19" t="str">
        <f>IFERROR(__xludf.DUMMYFUNCTION("""COMPUTED_VALUE"""),"-")</f>
        <v>-</v>
      </c>
      <c r="L5935" s="19" t="str">
        <f>IFERROR(__xludf.DUMMYFUNCTION("""COMPUTED_VALUE"""),"-")</f>
        <v>-</v>
      </c>
      <c r="O5935" s="24">
        <f t="shared" si="4"/>
        <v>0</v>
      </c>
      <c r="P5935" s="24"/>
      <c r="Q5935" s="24">
        <f t="shared" si="6"/>
        <v>0</v>
      </c>
      <c r="R5935" s="24">
        <f t="shared" si="7"/>
        <v>1</v>
      </c>
      <c r="S5935" s="24"/>
      <c r="T5935" s="24"/>
    </row>
    <row r="5936">
      <c r="A5936" s="12" t="s">
        <v>6023</v>
      </c>
      <c r="F5936" s="19">
        <f>IFERROR(__xludf.DUMMYFUNCTION("SPLIT(A5932, "" |"")"),5930.0)</f>
        <v>5930</v>
      </c>
      <c r="G5936" s="19">
        <f>IFERROR(__xludf.DUMMYFUNCTION("""COMPUTED_VALUE"""),0.00223)</f>
        <v>0.00223</v>
      </c>
      <c r="H5936" s="19" t="str">
        <f>IFERROR(__xludf.DUMMYFUNCTION("""COMPUTED_VALUE"""),"-")</f>
        <v>-</v>
      </c>
      <c r="I5936" s="19">
        <f>IFERROR(__xludf.DUMMYFUNCTION("""COMPUTED_VALUE"""),0.00216)</f>
        <v>0.00216</v>
      </c>
      <c r="J5936" s="19">
        <f>IFERROR(__xludf.DUMMYFUNCTION("""COMPUTED_VALUE"""),0.04737)</f>
        <v>0.04737</v>
      </c>
      <c r="K5936" s="19" t="str">
        <f>IFERROR(__xludf.DUMMYFUNCTION("""COMPUTED_VALUE"""),"-")</f>
        <v>-</v>
      </c>
      <c r="L5936" s="19" t="str">
        <f>IFERROR(__xludf.DUMMYFUNCTION("""COMPUTED_VALUE"""),"-")</f>
        <v>-</v>
      </c>
      <c r="O5936" s="24">
        <f t="shared" si="4"/>
        <v>0</v>
      </c>
      <c r="P5936" s="24"/>
      <c r="Q5936" s="24">
        <f t="shared" si="6"/>
        <v>0</v>
      </c>
      <c r="R5936" s="24">
        <f t="shared" si="7"/>
        <v>0</v>
      </c>
      <c r="S5936" s="24"/>
      <c r="T5936" s="24"/>
    </row>
    <row r="5937">
      <c r="A5937" s="12" t="s">
        <v>6024</v>
      </c>
      <c r="F5937" s="19">
        <f>IFERROR(__xludf.DUMMYFUNCTION("SPLIT(A5933, "" |"")"),5931.0)</f>
        <v>5931</v>
      </c>
      <c r="G5937" s="19">
        <f>IFERROR(__xludf.DUMMYFUNCTION("""COMPUTED_VALUE"""),0.00233)</f>
        <v>0.00233</v>
      </c>
      <c r="H5937" s="19" t="str">
        <f>IFERROR(__xludf.DUMMYFUNCTION("""COMPUTED_VALUE"""),"-")</f>
        <v>-</v>
      </c>
      <c r="I5937" s="19">
        <f>IFERROR(__xludf.DUMMYFUNCTION("""COMPUTED_VALUE"""),0.00221)</f>
        <v>0.00221</v>
      </c>
      <c r="J5937" s="19">
        <f>IFERROR(__xludf.DUMMYFUNCTION("""COMPUTED_VALUE"""),0.04742)</f>
        <v>0.04742</v>
      </c>
      <c r="K5937" s="19" t="str">
        <f>IFERROR(__xludf.DUMMYFUNCTION("""COMPUTED_VALUE"""),"-")</f>
        <v>-</v>
      </c>
      <c r="L5937" s="19" t="str">
        <f>IFERROR(__xludf.DUMMYFUNCTION("""COMPUTED_VALUE"""),"-")</f>
        <v>-</v>
      </c>
      <c r="O5937" s="24">
        <f t="shared" si="4"/>
        <v>0</v>
      </c>
      <c r="P5937" s="24"/>
      <c r="Q5937" s="24">
        <f t="shared" si="6"/>
        <v>0</v>
      </c>
      <c r="R5937" s="24">
        <f t="shared" si="7"/>
        <v>0</v>
      </c>
      <c r="S5937" s="24"/>
      <c r="T5937" s="24"/>
    </row>
    <row r="5938">
      <c r="A5938" s="12" t="s">
        <v>6025</v>
      </c>
      <c r="F5938" s="19">
        <f>IFERROR(__xludf.DUMMYFUNCTION("SPLIT(A5934, "" |"")"),5932.0)</f>
        <v>5932</v>
      </c>
      <c r="G5938" s="19">
        <f>IFERROR(__xludf.DUMMYFUNCTION("""COMPUTED_VALUE"""),0.00235)</f>
        <v>0.00235</v>
      </c>
      <c r="H5938" s="19" t="str">
        <f>IFERROR(__xludf.DUMMYFUNCTION("""COMPUTED_VALUE"""),"-")</f>
        <v>-</v>
      </c>
      <c r="I5938" s="19">
        <f>IFERROR(__xludf.DUMMYFUNCTION("""COMPUTED_VALUE"""),0.00228)</f>
        <v>0.00228</v>
      </c>
      <c r="J5938" s="19">
        <f>IFERROR(__xludf.DUMMYFUNCTION("""COMPUTED_VALUE"""),0.04733)</f>
        <v>0.04733</v>
      </c>
      <c r="K5938" s="19" t="str">
        <f>IFERROR(__xludf.DUMMYFUNCTION("""COMPUTED_VALUE"""),"-")</f>
        <v>-</v>
      </c>
      <c r="L5938" s="19" t="str">
        <f>IFERROR(__xludf.DUMMYFUNCTION("""COMPUTED_VALUE"""),"-")</f>
        <v>-</v>
      </c>
      <c r="O5938" s="24">
        <f t="shared" si="4"/>
        <v>0</v>
      </c>
      <c r="P5938" s="24"/>
      <c r="Q5938" s="24">
        <f t="shared" si="6"/>
        <v>0</v>
      </c>
      <c r="R5938" s="24">
        <f t="shared" si="7"/>
        <v>0</v>
      </c>
      <c r="S5938" s="24"/>
      <c r="T5938" s="24"/>
    </row>
    <row r="5939">
      <c r="A5939" s="12" t="s">
        <v>6026</v>
      </c>
      <c r="F5939" s="19">
        <f>IFERROR(__xludf.DUMMYFUNCTION("SPLIT(A5935, "" |"")"),5933.0)</f>
        <v>5933</v>
      </c>
      <c r="G5939" s="19">
        <f>IFERROR(__xludf.DUMMYFUNCTION("""COMPUTED_VALUE"""),0.0023)</f>
        <v>0.0023</v>
      </c>
      <c r="H5939" s="19" t="str">
        <f>IFERROR(__xludf.DUMMYFUNCTION("""COMPUTED_VALUE"""),"-")</f>
        <v>-</v>
      </c>
      <c r="I5939" s="19">
        <f>IFERROR(__xludf.DUMMYFUNCTION("""COMPUTED_VALUE"""),0.00218)</f>
        <v>0.00218</v>
      </c>
      <c r="J5939" s="19">
        <f>IFERROR(__xludf.DUMMYFUNCTION("""COMPUTED_VALUE"""),0.04743)</f>
        <v>0.04743</v>
      </c>
      <c r="K5939" s="19" t="str">
        <f>IFERROR(__xludf.DUMMYFUNCTION("""COMPUTED_VALUE"""),"-")</f>
        <v>-</v>
      </c>
      <c r="L5939" s="19" t="str">
        <f>IFERROR(__xludf.DUMMYFUNCTION("""COMPUTED_VALUE"""),"-")</f>
        <v>-</v>
      </c>
      <c r="O5939" s="24">
        <f t="shared" si="4"/>
        <v>0</v>
      </c>
      <c r="P5939" s="24"/>
      <c r="Q5939" s="24">
        <f t="shared" si="6"/>
        <v>0</v>
      </c>
      <c r="R5939" s="24">
        <f t="shared" si="7"/>
        <v>0</v>
      </c>
      <c r="S5939" s="24"/>
      <c r="T5939" s="24"/>
    </row>
    <row r="5940">
      <c r="A5940" s="12" t="s">
        <v>6027</v>
      </c>
      <c r="F5940" s="19">
        <f>IFERROR(__xludf.DUMMYFUNCTION("SPLIT(A5936, "" |"")"),5934.0)</f>
        <v>5934</v>
      </c>
      <c r="G5940" s="19">
        <f>IFERROR(__xludf.DUMMYFUNCTION("""COMPUTED_VALUE"""),0.0024)</f>
        <v>0.0024</v>
      </c>
      <c r="H5940" s="19" t="str">
        <f>IFERROR(__xludf.DUMMYFUNCTION("""COMPUTED_VALUE"""),"-")</f>
        <v>-</v>
      </c>
      <c r="I5940" s="19">
        <f>IFERROR(__xludf.DUMMYFUNCTION("""COMPUTED_VALUE"""),0.0022)</f>
        <v>0.0022</v>
      </c>
      <c r="J5940" s="19">
        <f>IFERROR(__xludf.DUMMYFUNCTION("""COMPUTED_VALUE"""),0.0474)</f>
        <v>0.0474</v>
      </c>
      <c r="K5940" s="19" t="str">
        <f>IFERROR(__xludf.DUMMYFUNCTION("""COMPUTED_VALUE"""),"-")</f>
        <v>-</v>
      </c>
      <c r="L5940" s="19" t="str">
        <f>IFERROR(__xludf.DUMMYFUNCTION("""COMPUTED_VALUE"""),"-")</f>
        <v>-</v>
      </c>
      <c r="O5940" s="24">
        <f t="shared" si="4"/>
        <v>0</v>
      </c>
      <c r="P5940" s="24"/>
      <c r="Q5940" s="24">
        <f t="shared" si="6"/>
        <v>0</v>
      </c>
      <c r="R5940" s="24">
        <f t="shared" si="7"/>
        <v>0</v>
      </c>
      <c r="S5940" s="24"/>
      <c r="T5940" s="24"/>
    </row>
    <row r="5941">
      <c r="A5941" s="12" t="s">
        <v>6028</v>
      </c>
      <c r="F5941" s="19">
        <f>IFERROR(__xludf.DUMMYFUNCTION("SPLIT(A5937, "" |"")"),5935.0)</f>
        <v>5935</v>
      </c>
      <c r="G5941" s="19">
        <f>IFERROR(__xludf.DUMMYFUNCTION("""COMPUTED_VALUE"""),0.00239)</f>
        <v>0.00239</v>
      </c>
      <c r="H5941" s="19" t="str">
        <f>IFERROR(__xludf.DUMMYFUNCTION("""COMPUTED_VALUE"""),"-")</f>
        <v>-</v>
      </c>
      <c r="I5941" s="19">
        <f>IFERROR(__xludf.DUMMYFUNCTION("""COMPUTED_VALUE"""),0.00222)</f>
        <v>0.00222</v>
      </c>
      <c r="J5941" s="19">
        <f>IFERROR(__xludf.DUMMYFUNCTION("""COMPUTED_VALUE"""),0.04743)</f>
        <v>0.04743</v>
      </c>
      <c r="K5941" s="19" t="str">
        <f>IFERROR(__xludf.DUMMYFUNCTION("""COMPUTED_VALUE"""),"-")</f>
        <v>-</v>
      </c>
      <c r="L5941" s="19" t="str">
        <f>IFERROR(__xludf.DUMMYFUNCTION("""COMPUTED_VALUE"""),"-")</f>
        <v>-</v>
      </c>
      <c r="O5941" s="24">
        <f t="shared" si="4"/>
        <v>0</v>
      </c>
      <c r="P5941" s="24"/>
      <c r="Q5941" s="24">
        <f t="shared" si="6"/>
        <v>0</v>
      </c>
      <c r="R5941" s="24">
        <f t="shared" si="7"/>
        <v>0</v>
      </c>
      <c r="S5941" s="24"/>
      <c r="T5941" s="24"/>
    </row>
    <row r="5942">
      <c r="A5942" s="12" t="s">
        <v>6029</v>
      </c>
      <c r="F5942" s="19">
        <f>IFERROR(__xludf.DUMMYFUNCTION("SPLIT(A5938, "" |"")"),5936.0)</f>
        <v>5936</v>
      </c>
      <c r="G5942" s="19">
        <f>IFERROR(__xludf.DUMMYFUNCTION("""COMPUTED_VALUE"""),0.00227)</f>
        <v>0.00227</v>
      </c>
      <c r="H5942" s="19" t="str">
        <f>IFERROR(__xludf.DUMMYFUNCTION("""COMPUTED_VALUE"""),"-")</f>
        <v>-</v>
      </c>
      <c r="I5942" s="19">
        <f>IFERROR(__xludf.DUMMYFUNCTION("""COMPUTED_VALUE"""),0.0021)</f>
        <v>0.0021</v>
      </c>
      <c r="J5942" s="19">
        <f>IFERROR(__xludf.DUMMYFUNCTION("""COMPUTED_VALUE"""),0.04729)</f>
        <v>0.04729</v>
      </c>
      <c r="K5942" s="19" t="str">
        <f>IFERROR(__xludf.DUMMYFUNCTION("""COMPUTED_VALUE"""),"-")</f>
        <v>-</v>
      </c>
      <c r="L5942" s="19" t="str">
        <f>IFERROR(__xludf.DUMMYFUNCTION("""COMPUTED_VALUE"""),"-")</f>
        <v>-</v>
      </c>
      <c r="O5942" s="24">
        <f t="shared" si="4"/>
        <v>0</v>
      </c>
      <c r="P5942" s="24"/>
      <c r="Q5942" s="24">
        <f t="shared" si="6"/>
        <v>0</v>
      </c>
      <c r="R5942" s="24">
        <f t="shared" si="7"/>
        <v>0</v>
      </c>
      <c r="S5942" s="24"/>
      <c r="T5942" s="24"/>
    </row>
    <row r="5943">
      <c r="A5943" s="12" t="s">
        <v>6030</v>
      </c>
      <c r="F5943" s="19">
        <f>IFERROR(__xludf.DUMMYFUNCTION("SPLIT(A5939, "" |"")"),5937.0)</f>
        <v>5937</v>
      </c>
      <c r="G5943" s="19">
        <f>IFERROR(__xludf.DUMMYFUNCTION("""COMPUTED_VALUE"""),0.00223)</f>
        <v>0.00223</v>
      </c>
      <c r="H5943" s="19" t="str">
        <f>IFERROR(__xludf.DUMMYFUNCTION("""COMPUTED_VALUE"""),"-")</f>
        <v>-</v>
      </c>
      <c r="I5943" s="19">
        <f>IFERROR(__xludf.DUMMYFUNCTION("""COMPUTED_VALUE"""),0.00209)</f>
        <v>0.00209</v>
      </c>
      <c r="J5943" s="19">
        <f>IFERROR(__xludf.DUMMYFUNCTION("""COMPUTED_VALUE"""),0.04731)</f>
        <v>0.04731</v>
      </c>
      <c r="K5943" s="19" t="str">
        <f>IFERROR(__xludf.DUMMYFUNCTION("""COMPUTED_VALUE"""),"-")</f>
        <v>-</v>
      </c>
      <c r="L5943" s="19" t="str">
        <f>IFERROR(__xludf.DUMMYFUNCTION("""COMPUTED_VALUE"""),"-")</f>
        <v>-</v>
      </c>
      <c r="O5943" s="24">
        <f t="shared" si="4"/>
        <v>0</v>
      </c>
      <c r="P5943" s="24"/>
      <c r="Q5943" s="24">
        <f t="shared" si="6"/>
        <v>0</v>
      </c>
      <c r="R5943" s="24">
        <f t="shared" si="7"/>
        <v>0</v>
      </c>
      <c r="S5943" s="24"/>
      <c r="T5943" s="24"/>
    </row>
    <row r="5944">
      <c r="A5944" s="12" t="s">
        <v>6031</v>
      </c>
      <c r="F5944" s="19">
        <f>IFERROR(__xludf.DUMMYFUNCTION("SPLIT(A5940, "" |"")"),5938.0)</f>
        <v>5938</v>
      </c>
      <c r="G5944" s="19">
        <f>IFERROR(__xludf.DUMMYFUNCTION("""COMPUTED_VALUE"""),0.00237)</f>
        <v>0.00237</v>
      </c>
      <c r="H5944" s="19" t="str">
        <f>IFERROR(__xludf.DUMMYFUNCTION("""COMPUTED_VALUE"""),"-")</f>
        <v>-</v>
      </c>
      <c r="I5944" s="19">
        <f>IFERROR(__xludf.DUMMYFUNCTION("""COMPUTED_VALUE"""),0.00225)</f>
        <v>0.00225</v>
      </c>
      <c r="J5944" s="19">
        <f>IFERROR(__xludf.DUMMYFUNCTION("""COMPUTED_VALUE"""),0.04743)</f>
        <v>0.04743</v>
      </c>
      <c r="K5944" s="19" t="str">
        <f>IFERROR(__xludf.DUMMYFUNCTION("""COMPUTED_VALUE"""),"-")</f>
        <v>-</v>
      </c>
      <c r="L5944" s="19" t="str">
        <f>IFERROR(__xludf.DUMMYFUNCTION("""COMPUTED_VALUE"""),"-")</f>
        <v>-</v>
      </c>
      <c r="O5944" s="24">
        <f t="shared" si="4"/>
        <v>0</v>
      </c>
      <c r="P5944" s="24"/>
      <c r="Q5944" s="24">
        <f t="shared" si="6"/>
        <v>0</v>
      </c>
      <c r="R5944" s="24">
        <f t="shared" si="7"/>
        <v>0</v>
      </c>
      <c r="S5944" s="24"/>
      <c r="T5944" s="24"/>
    </row>
    <row r="5945">
      <c r="A5945" s="12" t="s">
        <v>6032</v>
      </c>
      <c r="F5945" s="19">
        <f>IFERROR(__xludf.DUMMYFUNCTION("SPLIT(A5941, "" |"")"),5939.0)</f>
        <v>5939</v>
      </c>
      <c r="G5945" s="19">
        <f>IFERROR(__xludf.DUMMYFUNCTION("""COMPUTED_VALUE"""),0.00239)</f>
        <v>0.00239</v>
      </c>
      <c r="H5945" s="19" t="str">
        <f>IFERROR(__xludf.DUMMYFUNCTION("""COMPUTED_VALUE"""),"-")</f>
        <v>-</v>
      </c>
      <c r="I5945" s="19">
        <f>IFERROR(__xludf.DUMMYFUNCTION("""COMPUTED_VALUE"""),0.00222)</f>
        <v>0.00222</v>
      </c>
      <c r="J5945" s="19">
        <f>IFERROR(__xludf.DUMMYFUNCTION("""COMPUTED_VALUE"""),0.04741)</f>
        <v>0.04741</v>
      </c>
      <c r="K5945" s="19" t="str">
        <f>IFERROR(__xludf.DUMMYFUNCTION("""COMPUTED_VALUE"""),"-")</f>
        <v>-</v>
      </c>
      <c r="L5945" s="19" t="str">
        <f>IFERROR(__xludf.DUMMYFUNCTION("""COMPUTED_VALUE"""),"-")</f>
        <v>-</v>
      </c>
      <c r="O5945" s="24">
        <f t="shared" si="4"/>
        <v>0</v>
      </c>
      <c r="P5945" s="24"/>
      <c r="Q5945" s="24">
        <f t="shared" si="6"/>
        <v>0</v>
      </c>
      <c r="R5945" s="24">
        <f t="shared" si="7"/>
        <v>0</v>
      </c>
      <c r="S5945" s="24"/>
      <c r="T5945" s="24"/>
    </row>
    <row r="5946">
      <c r="A5946" s="12" t="s">
        <v>6033</v>
      </c>
      <c r="F5946" s="19">
        <f>IFERROR(__xludf.DUMMYFUNCTION("SPLIT(A5942, "" |"")"),5940.0)</f>
        <v>5940</v>
      </c>
      <c r="G5946" s="19">
        <f>IFERROR(__xludf.DUMMYFUNCTION("""COMPUTED_VALUE"""),0.00229)</f>
        <v>0.00229</v>
      </c>
      <c r="H5946" s="19" t="str">
        <f>IFERROR(__xludf.DUMMYFUNCTION("""COMPUTED_VALUE"""),"-")</f>
        <v>-</v>
      </c>
      <c r="I5946" s="19">
        <f>IFERROR(__xludf.DUMMYFUNCTION("""COMPUTED_VALUE"""),0.00217)</f>
        <v>0.00217</v>
      </c>
      <c r="J5946" s="19">
        <f>IFERROR(__xludf.DUMMYFUNCTION("""COMPUTED_VALUE"""),0.04739)</f>
        <v>0.04739</v>
      </c>
      <c r="K5946" s="19" t="str">
        <f>IFERROR(__xludf.DUMMYFUNCTION("""COMPUTED_VALUE"""),"-")</f>
        <v>-</v>
      </c>
      <c r="L5946" s="19" t="str">
        <f>IFERROR(__xludf.DUMMYFUNCTION("""COMPUTED_VALUE"""),"-")</f>
        <v>-</v>
      </c>
      <c r="O5946" s="24">
        <f t="shared" si="4"/>
        <v>0</v>
      </c>
      <c r="P5946" s="24"/>
      <c r="Q5946" s="24">
        <f t="shared" si="6"/>
        <v>0</v>
      </c>
      <c r="R5946" s="24">
        <f t="shared" si="7"/>
        <v>0</v>
      </c>
      <c r="S5946" s="24"/>
      <c r="T5946" s="24"/>
    </row>
    <row r="5947">
      <c r="A5947" s="12" t="s">
        <v>6034</v>
      </c>
      <c r="F5947" s="19">
        <f>IFERROR(__xludf.DUMMYFUNCTION("SPLIT(A5943, "" |"")"),5941.0)</f>
        <v>5941</v>
      </c>
      <c r="G5947" s="19">
        <f>IFERROR(__xludf.DUMMYFUNCTION("""COMPUTED_VALUE"""),0.00237)</f>
        <v>0.00237</v>
      </c>
      <c r="H5947" s="19" t="str">
        <f>IFERROR(__xludf.DUMMYFUNCTION("""COMPUTED_VALUE"""),"-")</f>
        <v>-</v>
      </c>
      <c r="I5947" s="19">
        <f>IFERROR(__xludf.DUMMYFUNCTION("""COMPUTED_VALUE"""),0.00222)</f>
        <v>0.00222</v>
      </c>
      <c r="J5947" s="19">
        <f>IFERROR(__xludf.DUMMYFUNCTION("""COMPUTED_VALUE"""),0.04744)</f>
        <v>0.04744</v>
      </c>
      <c r="K5947" s="19" t="str">
        <f>IFERROR(__xludf.DUMMYFUNCTION("""COMPUTED_VALUE"""),"-")</f>
        <v>-</v>
      </c>
      <c r="L5947" s="19" t="str">
        <f>IFERROR(__xludf.DUMMYFUNCTION("""COMPUTED_VALUE"""),"-")</f>
        <v>-</v>
      </c>
      <c r="O5947" s="24">
        <f t="shared" si="4"/>
        <v>0</v>
      </c>
      <c r="P5947" s="24"/>
      <c r="Q5947" s="24">
        <f t="shared" si="6"/>
        <v>0</v>
      </c>
      <c r="R5947" s="24">
        <f t="shared" si="7"/>
        <v>0</v>
      </c>
      <c r="S5947" s="24"/>
      <c r="T5947" s="24"/>
    </row>
    <row r="5948">
      <c r="A5948" s="12" t="s">
        <v>6035</v>
      </c>
      <c r="F5948" s="19">
        <f>IFERROR(__xludf.DUMMYFUNCTION("SPLIT(A5944, "" |"")"),5942.0)</f>
        <v>5942</v>
      </c>
      <c r="G5948" s="19">
        <f>IFERROR(__xludf.DUMMYFUNCTION("""COMPUTED_VALUE"""),0.00238)</f>
        <v>0.00238</v>
      </c>
      <c r="H5948" s="19" t="str">
        <f>IFERROR(__xludf.DUMMYFUNCTION("""COMPUTED_VALUE"""),"-")</f>
        <v>-</v>
      </c>
      <c r="I5948" s="19">
        <f>IFERROR(__xludf.DUMMYFUNCTION("""COMPUTED_VALUE"""),0.0022)</f>
        <v>0.0022</v>
      </c>
      <c r="J5948" s="19">
        <f>IFERROR(__xludf.DUMMYFUNCTION("""COMPUTED_VALUE"""),0.04739)</f>
        <v>0.04739</v>
      </c>
      <c r="K5948" s="19" t="str">
        <f>IFERROR(__xludf.DUMMYFUNCTION("""COMPUTED_VALUE"""),"-")</f>
        <v>-</v>
      </c>
      <c r="L5948" s="19" t="str">
        <f>IFERROR(__xludf.DUMMYFUNCTION("""COMPUTED_VALUE"""),"-")</f>
        <v>-</v>
      </c>
      <c r="O5948" s="24">
        <f t="shared" si="4"/>
        <v>0</v>
      </c>
      <c r="P5948" s="24"/>
      <c r="Q5948" s="24">
        <f t="shared" si="6"/>
        <v>0</v>
      </c>
      <c r="R5948" s="24">
        <f t="shared" si="7"/>
        <v>0</v>
      </c>
      <c r="S5948" s="24"/>
      <c r="T5948" s="24"/>
    </row>
    <row r="5949">
      <c r="A5949" s="12" t="s">
        <v>6036</v>
      </c>
      <c r="F5949" s="19">
        <f>IFERROR(__xludf.DUMMYFUNCTION("SPLIT(A5945, "" |"")"),5943.0)</f>
        <v>5943</v>
      </c>
      <c r="G5949" s="19">
        <f>IFERROR(__xludf.DUMMYFUNCTION("""COMPUTED_VALUE"""),0.00234)</f>
        <v>0.00234</v>
      </c>
      <c r="H5949" s="19" t="str">
        <f>IFERROR(__xludf.DUMMYFUNCTION("""COMPUTED_VALUE"""),"-")</f>
        <v>-</v>
      </c>
      <c r="I5949" s="19">
        <f>IFERROR(__xludf.DUMMYFUNCTION("""COMPUTED_VALUE"""),0.00223)</f>
        <v>0.00223</v>
      </c>
      <c r="J5949" s="19">
        <f>IFERROR(__xludf.DUMMYFUNCTION("""COMPUTED_VALUE"""),0.04743)</f>
        <v>0.04743</v>
      </c>
      <c r="K5949" s="19" t="str">
        <f>IFERROR(__xludf.DUMMYFUNCTION("""COMPUTED_VALUE"""),"-")</f>
        <v>-</v>
      </c>
      <c r="L5949" s="19" t="str">
        <f>IFERROR(__xludf.DUMMYFUNCTION("""COMPUTED_VALUE"""),"-")</f>
        <v>-</v>
      </c>
      <c r="O5949" s="24">
        <f t="shared" si="4"/>
        <v>0</v>
      </c>
      <c r="P5949" s="24"/>
      <c r="Q5949" s="24">
        <f t="shared" si="6"/>
        <v>0</v>
      </c>
      <c r="R5949" s="24">
        <f t="shared" si="7"/>
        <v>0</v>
      </c>
      <c r="S5949" s="24"/>
      <c r="T5949" s="24"/>
    </row>
    <row r="5950">
      <c r="A5950" s="12" t="s">
        <v>6037</v>
      </c>
      <c r="F5950" s="19">
        <f>IFERROR(__xludf.DUMMYFUNCTION("SPLIT(A5946, "" |"")"),5944.0)</f>
        <v>5944</v>
      </c>
      <c r="G5950" s="19">
        <f>IFERROR(__xludf.DUMMYFUNCTION("""COMPUTED_VALUE"""),0.00234)</f>
        <v>0.00234</v>
      </c>
      <c r="H5950" s="19" t="str">
        <f>IFERROR(__xludf.DUMMYFUNCTION("""COMPUTED_VALUE"""),"-")</f>
        <v>-</v>
      </c>
      <c r="I5950" s="19">
        <f>IFERROR(__xludf.DUMMYFUNCTION("""COMPUTED_VALUE"""),0.00221)</f>
        <v>0.00221</v>
      </c>
      <c r="J5950" s="19">
        <f>IFERROR(__xludf.DUMMYFUNCTION("""COMPUTED_VALUE"""),0.04736)</f>
        <v>0.04736</v>
      </c>
      <c r="K5950" s="19" t="str">
        <f>IFERROR(__xludf.DUMMYFUNCTION("""COMPUTED_VALUE"""),"-")</f>
        <v>-</v>
      </c>
      <c r="L5950" s="19" t="str">
        <f>IFERROR(__xludf.DUMMYFUNCTION("""COMPUTED_VALUE"""),"-")</f>
        <v>-</v>
      </c>
      <c r="O5950" s="24">
        <f t="shared" si="4"/>
        <v>0</v>
      </c>
      <c r="P5950" s="24"/>
      <c r="Q5950" s="24">
        <f t="shared" si="6"/>
        <v>0</v>
      </c>
      <c r="R5950" s="24">
        <f t="shared" si="7"/>
        <v>0</v>
      </c>
      <c r="S5950" s="24"/>
      <c r="T5950" s="24"/>
    </row>
    <row r="5951">
      <c r="A5951" s="12" t="s">
        <v>6038</v>
      </c>
      <c r="F5951" s="19">
        <f>IFERROR(__xludf.DUMMYFUNCTION("SPLIT(A5947, "" |"")"),5945.0)</f>
        <v>5945</v>
      </c>
      <c r="G5951" s="19">
        <f>IFERROR(__xludf.DUMMYFUNCTION("""COMPUTED_VALUE"""),0.00236)</f>
        <v>0.00236</v>
      </c>
      <c r="H5951" s="19" t="str">
        <f>IFERROR(__xludf.DUMMYFUNCTION("""COMPUTED_VALUE"""),"-")</f>
        <v>-</v>
      </c>
      <c r="I5951" s="19">
        <f>IFERROR(__xludf.DUMMYFUNCTION("""COMPUTED_VALUE"""),0.00219)</f>
        <v>0.00219</v>
      </c>
      <c r="J5951" s="19">
        <f>IFERROR(__xludf.DUMMYFUNCTION("""COMPUTED_VALUE"""),0.047)</f>
        <v>0.047</v>
      </c>
      <c r="K5951" s="19" t="str">
        <f>IFERROR(__xludf.DUMMYFUNCTION("""COMPUTED_VALUE"""),"-")</f>
        <v>-</v>
      </c>
      <c r="L5951" s="19" t="str">
        <f>IFERROR(__xludf.DUMMYFUNCTION("""COMPUTED_VALUE"""),"-")</f>
        <v>-</v>
      </c>
      <c r="O5951" s="24">
        <f t="shared" si="4"/>
        <v>0</v>
      </c>
      <c r="P5951" s="24"/>
      <c r="Q5951" s="24">
        <f t="shared" si="6"/>
        <v>0</v>
      </c>
      <c r="R5951" s="24">
        <f t="shared" si="7"/>
        <v>0</v>
      </c>
      <c r="S5951" s="24"/>
      <c r="T5951" s="24"/>
    </row>
    <row r="5952">
      <c r="A5952" s="12" t="s">
        <v>6039</v>
      </c>
      <c r="F5952" s="19">
        <f>IFERROR(__xludf.DUMMYFUNCTION("SPLIT(A5948, "" |"")"),5946.0)</f>
        <v>5946</v>
      </c>
      <c r="G5952" s="19">
        <f>IFERROR(__xludf.DUMMYFUNCTION("""COMPUTED_VALUE"""),0.00245)</f>
        <v>0.00245</v>
      </c>
      <c r="H5952" s="19" t="str">
        <f>IFERROR(__xludf.DUMMYFUNCTION("""COMPUTED_VALUE"""),"-")</f>
        <v>-</v>
      </c>
      <c r="I5952" s="19">
        <f>IFERROR(__xludf.DUMMYFUNCTION("""COMPUTED_VALUE"""),0.00225)</f>
        <v>0.00225</v>
      </c>
      <c r="J5952" s="19">
        <f>IFERROR(__xludf.DUMMYFUNCTION("""COMPUTED_VALUE"""),0.04745)</f>
        <v>0.04745</v>
      </c>
      <c r="K5952" s="19" t="str">
        <f>IFERROR(__xludf.DUMMYFUNCTION("""COMPUTED_VALUE"""),"-")</f>
        <v>-</v>
      </c>
      <c r="L5952" s="19" t="str">
        <f>IFERROR(__xludf.DUMMYFUNCTION("""COMPUTED_VALUE"""),"-")</f>
        <v>-</v>
      </c>
      <c r="O5952" s="24">
        <f t="shared" si="4"/>
        <v>0</v>
      </c>
      <c r="P5952" s="24"/>
      <c r="Q5952" s="24">
        <f t="shared" si="6"/>
        <v>0</v>
      </c>
      <c r="R5952" s="24">
        <f t="shared" si="7"/>
        <v>0</v>
      </c>
      <c r="S5952" s="24"/>
      <c r="T5952" s="24"/>
    </row>
    <row r="5953">
      <c r="A5953" s="12" t="s">
        <v>6040</v>
      </c>
      <c r="F5953" s="19">
        <f>IFERROR(__xludf.DUMMYFUNCTION("SPLIT(A5949, "" |"")"),5947.0)</f>
        <v>5947</v>
      </c>
      <c r="G5953" s="19">
        <f>IFERROR(__xludf.DUMMYFUNCTION("""COMPUTED_VALUE"""),0.00235)</f>
        <v>0.00235</v>
      </c>
      <c r="H5953" s="19" t="str">
        <f>IFERROR(__xludf.DUMMYFUNCTION("""COMPUTED_VALUE"""),"-")</f>
        <v>-</v>
      </c>
      <c r="I5953" s="19">
        <f>IFERROR(__xludf.DUMMYFUNCTION("""COMPUTED_VALUE"""),0.00223)</f>
        <v>0.00223</v>
      </c>
      <c r="J5953" s="19">
        <f>IFERROR(__xludf.DUMMYFUNCTION("""COMPUTED_VALUE"""),0.0474)</f>
        <v>0.0474</v>
      </c>
      <c r="K5953" s="19" t="str">
        <f>IFERROR(__xludf.DUMMYFUNCTION("""COMPUTED_VALUE"""),"-")</f>
        <v>-</v>
      </c>
      <c r="L5953" s="19" t="str">
        <f>IFERROR(__xludf.DUMMYFUNCTION("""COMPUTED_VALUE"""),"-")</f>
        <v>-</v>
      </c>
      <c r="O5953" s="24">
        <f t="shared" si="4"/>
        <v>0</v>
      </c>
      <c r="P5953" s="24"/>
      <c r="Q5953" s="24">
        <f t="shared" si="6"/>
        <v>0</v>
      </c>
      <c r="R5953" s="24">
        <f t="shared" si="7"/>
        <v>0</v>
      </c>
      <c r="S5953" s="24"/>
      <c r="T5953" s="24"/>
    </row>
    <row r="5954">
      <c r="A5954" s="12" t="s">
        <v>6041</v>
      </c>
      <c r="F5954" s="19">
        <f>IFERROR(__xludf.DUMMYFUNCTION("SPLIT(A5950, "" |"")"),5948.0)</f>
        <v>5948</v>
      </c>
      <c r="G5954" s="19">
        <f>IFERROR(__xludf.DUMMYFUNCTION("""COMPUTED_VALUE"""),0.00238)</f>
        <v>0.00238</v>
      </c>
      <c r="H5954" s="19" t="str">
        <f>IFERROR(__xludf.DUMMYFUNCTION("""COMPUTED_VALUE"""),"-")</f>
        <v>-</v>
      </c>
      <c r="I5954" s="19">
        <f>IFERROR(__xludf.DUMMYFUNCTION("""COMPUTED_VALUE"""),0.0022)</f>
        <v>0.0022</v>
      </c>
      <c r="J5954" s="19">
        <f>IFERROR(__xludf.DUMMYFUNCTION("""COMPUTED_VALUE"""),0.04525)</f>
        <v>0.04525</v>
      </c>
      <c r="K5954" s="19" t="str">
        <f>IFERROR(__xludf.DUMMYFUNCTION("""COMPUTED_VALUE"""),"-")</f>
        <v>-</v>
      </c>
      <c r="L5954" s="19" t="str">
        <f>IFERROR(__xludf.DUMMYFUNCTION("""COMPUTED_VALUE"""),"-")</f>
        <v>-</v>
      </c>
      <c r="O5954" s="24">
        <f t="shared" si="4"/>
        <v>0</v>
      </c>
      <c r="P5954" s="24"/>
      <c r="Q5954" s="24">
        <f t="shared" si="6"/>
        <v>0</v>
      </c>
      <c r="R5954" s="24">
        <f t="shared" si="7"/>
        <v>0</v>
      </c>
      <c r="S5954" s="24"/>
      <c r="T5954" s="24"/>
    </row>
    <row r="5955">
      <c r="A5955" s="12" t="s">
        <v>6042</v>
      </c>
      <c r="F5955" s="19">
        <f>IFERROR(__xludf.DUMMYFUNCTION("SPLIT(A5951, "" |"")"),5949.0)</f>
        <v>5949</v>
      </c>
      <c r="G5955" s="19">
        <f>IFERROR(__xludf.DUMMYFUNCTION("""COMPUTED_VALUE"""),0.00232)</f>
        <v>0.00232</v>
      </c>
      <c r="H5955" s="19" t="str">
        <f>IFERROR(__xludf.DUMMYFUNCTION("""COMPUTED_VALUE"""),"-")</f>
        <v>-</v>
      </c>
      <c r="I5955" s="19">
        <f>IFERROR(__xludf.DUMMYFUNCTION("""COMPUTED_VALUE"""),0.00222)</f>
        <v>0.00222</v>
      </c>
      <c r="J5955" s="19">
        <f>IFERROR(__xludf.DUMMYFUNCTION("""COMPUTED_VALUE"""),0.04742)</f>
        <v>0.04742</v>
      </c>
      <c r="K5955" s="19" t="str">
        <f>IFERROR(__xludf.DUMMYFUNCTION("""COMPUTED_VALUE"""),"-")</f>
        <v>-</v>
      </c>
      <c r="L5955" s="19" t="str">
        <f>IFERROR(__xludf.DUMMYFUNCTION("""COMPUTED_VALUE"""),"-")</f>
        <v>-</v>
      </c>
      <c r="O5955" s="24">
        <f t="shared" si="4"/>
        <v>0</v>
      </c>
      <c r="P5955" s="24"/>
      <c r="Q5955" s="24">
        <f t="shared" si="6"/>
        <v>0</v>
      </c>
      <c r="R5955" s="24">
        <f t="shared" si="7"/>
        <v>0</v>
      </c>
      <c r="S5955" s="24"/>
      <c r="T5955" s="24"/>
    </row>
    <row r="5956">
      <c r="A5956" s="12" t="s">
        <v>6043</v>
      </c>
      <c r="F5956" s="19">
        <f>IFERROR(__xludf.DUMMYFUNCTION("SPLIT(A5952, "" |"")"),5950.0)</f>
        <v>5950</v>
      </c>
      <c r="G5956" s="19">
        <f>IFERROR(__xludf.DUMMYFUNCTION("""COMPUTED_VALUE"""),0.00241)</f>
        <v>0.00241</v>
      </c>
      <c r="H5956" s="19" t="str">
        <f>IFERROR(__xludf.DUMMYFUNCTION("""COMPUTED_VALUE"""),"-")</f>
        <v>-</v>
      </c>
      <c r="I5956" s="19">
        <f>IFERROR(__xludf.DUMMYFUNCTION("""COMPUTED_VALUE"""),0.0022)</f>
        <v>0.0022</v>
      </c>
      <c r="J5956" s="19">
        <f>IFERROR(__xludf.DUMMYFUNCTION("""COMPUTED_VALUE"""),0.04741)</f>
        <v>0.04741</v>
      </c>
      <c r="K5956" s="19" t="str">
        <f>IFERROR(__xludf.DUMMYFUNCTION("""COMPUTED_VALUE"""),"-")</f>
        <v>-</v>
      </c>
      <c r="L5956" s="19" t="str">
        <f>IFERROR(__xludf.DUMMYFUNCTION("""COMPUTED_VALUE"""),"-")</f>
        <v>-</v>
      </c>
      <c r="O5956" s="24">
        <f t="shared" si="4"/>
        <v>0</v>
      </c>
      <c r="P5956" s="24"/>
      <c r="Q5956" s="24">
        <f t="shared" si="6"/>
        <v>0</v>
      </c>
      <c r="R5956" s="24">
        <f t="shared" si="7"/>
        <v>0</v>
      </c>
      <c r="S5956" s="24"/>
      <c r="T5956" s="24"/>
    </row>
    <row r="5957">
      <c r="A5957" s="12" t="s">
        <v>6044</v>
      </c>
      <c r="F5957" s="19">
        <f>IFERROR(__xludf.DUMMYFUNCTION("SPLIT(A5953, "" |"")"),5951.0)</f>
        <v>5951</v>
      </c>
      <c r="G5957" s="19">
        <f>IFERROR(__xludf.DUMMYFUNCTION("""COMPUTED_VALUE"""),0.00241)</f>
        <v>0.00241</v>
      </c>
      <c r="H5957" s="19" t="str">
        <f>IFERROR(__xludf.DUMMYFUNCTION("""COMPUTED_VALUE"""),"-")</f>
        <v>-</v>
      </c>
      <c r="I5957" s="19">
        <f>IFERROR(__xludf.DUMMYFUNCTION("""COMPUTED_VALUE"""),0.00229)</f>
        <v>0.00229</v>
      </c>
      <c r="J5957" s="19">
        <f>IFERROR(__xludf.DUMMYFUNCTION("""COMPUTED_VALUE"""),0.04748)</f>
        <v>0.04748</v>
      </c>
      <c r="K5957" s="19" t="str">
        <f>IFERROR(__xludf.DUMMYFUNCTION("""COMPUTED_VALUE"""),"-")</f>
        <v>-</v>
      </c>
      <c r="L5957" s="19" t="str">
        <f>IFERROR(__xludf.DUMMYFUNCTION("""COMPUTED_VALUE"""),"-")</f>
        <v>-</v>
      </c>
      <c r="O5957" s="24">
        <f t="shared" si="4"/>
        <v>0</v>
      </c>
      <c r="P5957" s="24"/>
      <c r="Q5957" s="24">
        <f t="shared" si="6"/>
        <v>0</v>
      </c>
      <c r="R5957" s="24">
        <f t="shared" si="7"/>
        <v>0</v>
      </c>
      <c r="S5957" s="24"/>
      <c r="T5957" s="24"/>
    </row>
    <row r="5958">
      <c r="A5958" s="12" t="s">
        <v>6045</v>
      </c>
      <c r="F5958" s="19">
        <f>IFERROR(__xludf.DUMMYFUNCTION("SPLIT(A5954, "" |"")"),5952.0)</f>
        <v>5952</v>
      </c>
      <c r="G5958" s="19">
        <f>IFERROR(__xludf.DUMMYFUNCTION("""COMPUTED_VALUE"""),0.00243)</f>
        <v>0.00243</v>
      </c>
      <c r="H5958" s="19" t="str">
        <f>IFERROR(__xludf.DUMMYFUNCTION("""COMPUTED_VALUE"""),"-")</f>
        <v>-</v>
      </c>
      <c r="I5958" s="19">
        <f>IFERROR(__xludf.DUMMYFUNCTION("""COMPUTED_VALUE"""),0.00221)</f>
        <v>0.00221</v>
      </c>
      <c r="J5958" s="19">
        <f>IFERROR(__xludf.DUMMYFUNCTION("""COMPUTED_VALUE"""),0.04737)</f>
        <v>0.04737</v>
      </c>
      <c r="K5958" s="19" t="str">
        <f>IFERROR(__xludf.DUMMYFUNCTION("""COMPUTED_VALUE"""),"-")</f>
        <v>-</v>
      </c>
      <c r="L5958" s="19" t="str">
        <f>IFERROR(__xludf.DUMMYFUNCTION("""COMPUTED_VALUE"""),"-")</f>
        <v>-</v>
      </c>
      <c r="O5958" s="24">
        <f t="shared" si="4"/>
        <v>0</v>
      </c>
      <c r="P5958" s="24"/>
      <c r="Q5958" s="24">
        <f t="shared" si="6"/>
        <v>0</v>
      </c>
      <c r="R5958" s="24">
        <f t="shared" si="7"/>
        <v>0</v>
      </c>
      <c r="S5958" s="24"/>
      <c r="T5958" s="24"/>
    </row>
    <row r="5959">
      <c r="A5959" s="12" t="s">
        <v>6046</v>
      </c>
      <c r="F5959" s="19">
        <f>IFERROR(__xludf.DUMMYFUNCTION("SPLIT(A5955, "" |"")"),5953.0)</f>
        <v>5953</v>
      </c>
      <c r="G5959" s="19">
        <f>IFERROR(__xludf.DUMMYFUNCTION("""COMPUTED_VALUE"""),0.00235)</f>
        <v>0.00235</v>
      </c>
      <c r="H5959" s="19" t="str">
        <f>IFERROR(__xludf.DUMMYFUNCTION("""COMPUTED_VALUE"""),"-")</f>
        <v>-</v>
      </c>
      <c r="I5959" s="19">
        <f>IFERROR(__xludf.DUMMYFUNCTION("""COMPUTED_VALUE"""),0.00224)</f>
        <v>0.00224</v>
      </c>
      <c r="J5959" s="19">
        <f>IFERROR(__xludf.DUMMYFUNCTION("""COMPUTED_VALUE"""),0.04743)</f>
        <v>0.04743</v>
      </c>
      <c r="K5959" s="19" t="str">
        <f>IFERROR(__xludf.DUMMYFUNCTION("""COMPUTED_VALUE"""),"-")</f>
        <v>-</v>
      </c>
      <c r="L5959" s="19" t="str">
        <f>IFERROR(__xludf.DUMMYFUNCTION("""COMPUTED_VALUE"""),"-")</f>
        <v>-</v>
      </c>
      <c r="O5959" s="24">
        <f t="shared" si="4"/>
        <v>0</v>
      </c>
      <c r="P5959" s="24"/>
      <c r="Q5959" s="24">
        <f t="shared" si="6"/>
        <v>0</v>
      </c>
      <c r="R5959" s="24">
        <f t="shared" si="7"/>
        <v>0</v>
      </c>
      <c r="S5959" s="24"/>
      <c r="T5959" s="24"/>
    </row>
    <row r="5960">
      <c r="A5960" s="12" t="s">
        <v>6047</v>
      </c>
      <c r="F5960" s="19">
        <f>IFERROR(__xludf.DUMMYFUNCTION("SPLIT(A5956, "" |"")"),5954.0)</f>
        <v>5954</v>
      </c>
      <c r="G5960" s="19">
        <f>IFERROR(__xludf.DUMMYFUNCTION("""COMPUTED_VALUE"""),0.00238)</f>
        <v>0.00238</v>
      </c>
      <c r="H5960" s="19" t="str">
        <f>IFERROR(__xludf.DUMMYFUNCTION("""COMPUTED_VALUE"""),"-")</f>
        <v>-</v>
      </c>
      <c r="I5960" s="19">
        <f>IFERROR(__xludf.DUMMYFUNCTION("""COMPUTED_VALUE"""),0.00223)</f>
        <v>0.00223</v>
      </c>
      <c r="J5960" s="19">
        <f>IFERROR(__xludf.DUMMYFUNCTION("""COMPUTED_VALUE"""),0.04742)</f>
        <v>0.04742</v>
      </c>
      <c r="K5960" s="19" t="str">
        <f>IFERROR(__xludf.DUMMYFUNCTION("""COMPUTED_VALUE"""),"-")</f>
        <v>-</v>
      </c>
      <c r="L5960" s="19" t="str">
        <f>IFERROR(__xludf.DUMMYFUNCTION("""COMPUTED_VALUE"""),"-")</f>
        <v>-</v>
      </c>
      <c r="O5960" s="24">
        <f t="shared" si="4"/>
        <v>0</v>
      </c>
      <c r="P5960" s="24"/>
      <c r="Q5960" s="24">
        <f t="shared" si="6"/>
        <v>0</v>
      </c>
      <c r="R5960" s="24">
        <f t="shared" si="7"/>
        <v>0</v>
      </c>
      <c r="S5960" s="24"/>
      <c r="T5960" s="24"/>
    </row>
    <row r="5961">
      <c r="A5961" s="12" t="s">
        <v>6048</v>
      </c>
      <c r="F5961" s="19">
        <f>IFERROR(__xludf.DUMMYFUNCTION("SPLIT(A5957, "" |"")"),5955.0)</f>
        <v>5955</v>
      </c>
      <c r="G5961" s="19">
        <f>IFERROR(__xludf.DUMMYFUNCTION("""COMPUTED_VALUE"""),0.00235)</f>
        <v>0.00235</v>
      </c>
      <c r="H5961" s="19" t="str">
        <f>IFERROR(__xludf.DUMMYFUNCTION("""COMPUTED_VALUE"""),"-")</f>
        <v>-</v>
      </c>
      <c r="I5961" s="19">
        <f>IFERROR(__xludf.DUMMYFUNCTION("""COMPUTED_VALUE"""),0.0022)</f>
        <v>0.0022</v>
      </c>
      <c r="J5961" s="19">
        <f>IFERROR(__xludf.DUMMYFUNCTION("""COMPUTED_VALUE"""),0.04743)</f>
        <v>0.04743</v>
      </c>
      <c r="K5961" s="19" t="str">
        <f>IFERROR(__xludf.DUMMYFUNCTION("""COMPUTED_VALUE"""),"-")</f>
        <v>-</v>
      </c>
      <c r="L5961" s="19" t="str">
        <f>IFERROR(__xludf.DUMMYFUNCTION("""COMPUTED_VALUE"""),"-")</f>
        <v>-</v>
      </c>
      <c r="O5961" s="24">
        <f t="shared" si="4"/>
        <v>0</v>
      </c>
      <c r="P5961" s="24"/>
      <c r="Q5961" s="24">
        <f t="shared" si="6"/>
        <v>0</v>
      </c>
      <c r="R5961" s="24">
        <f t="shared" si="7"/>
        <v>0</v>
      </c>
      <c r="S5961" s="24"/>
      <c r="T5961" s="24"/>
    </row>
    <row r="5962">
      <c r="A5962" s="12" t="s">
        <v>6049</v>
      </c>
      <c r="F5962" s="19">
        <f>IFERROR(__xludf.DUMMYFUNCTION("SPLIT(A5958, "" |"")"),5956.0)</f>
        <v>5956</v>
      </c>
      <c r="G5962" s="19">
        <f>IFERROR(__xludf.DUMMYFUNCTION("""COMPUTED_VALUE"""),0.00234)</f>
        <v>0.00234</v>
      </c>
      <c r="H5962" s="19" t="str">
        <f>IFERROR(__xludf.DUMMYFUNCTION("""COMPUTED_VALUE"""),"-")</f>
        <v>-</v>
      </c>
      <c r="I5962" s="19">
        <f>IFERROR(__xludf.DUMMYFUNCTION("""COMPUTED_VALUE"""),0.00221)</f>
        <v>0.00221</v>
      </c>
      <c r="J5962" s="19">
        <f>IFERROR(__xludf.DUMMYFUNCTION("""COMPUTED_VALUE"""),0.04735)</f>
        <v>0.04735</v>
      </c>
      <c r="K5962" s="19" t="str">
        <f>IFERROR(__xludf.DUMMYFUNCTION("""COMPUTED_VALUE"""),"-")</f>
        <v>-</v>
      </c>
      <c r="L5962" s="19" t="str">
        <f>IFERROR(__xludf.DUMMYFUNCTION("""COMPUTED_VALUE"""),"-")</f>
        <v>-</v>
      </c>
      <c r="O5962" s="24">
        <f t="shared" si="4"/>
        <v>0</v>
      </c>
      <c r="P5962" s="24"/>
      <c r="Q5962" s="24">
        <f t="shared" si="6"/>
        <v>0</v>
      </c>
      <c r="R5962" s="24">
        <f t="shared" si="7"/>
        <v>0</v>
      </c>
      <c r="S5962" s="24"/>
      <c r="T5962" s="24"/>
    </row>
    <row r="5963">
      <c r="A5963" s="12" t="s">
        <v>6050</v>
      </c>
      <c r="F5963" s="19">
        <f>IFERROR(__xludf.DUMMYFUNCTION("SPLIT(A5959, "" |"")"),5957.0)</f>
        <v>5957</v>
      </c>
      <c r="G5963" s="19">
        <f>IFERROR(__xludf.DUMMYFUNCTION("""COMPUTED_VALUE"""),0.00234)</f>
        <v>0.00234</v>
      </c>
      <c r="H5963" s="19" t="str">
        <f>IFERROR(__xludf.DUMMYFUNCTION("""COMPUTED_VALUE"""),"-")</f>
        <v>-</v>
      </c>
      <c r="I5963" s="19">
        <f>IFERROR(__xludf.DUMMYFUNCTION("""COMPUTED_VALUE"""),0.00214)</f>
        <v>0.00214</v>
      </c>
      <c r="J5963" s="19">
        <f>IFERROR(__xludf.DUMMYFUNCTION("""COMPUTED_VALUE"""),0.04741)</f>
        <v>0.04741</v>
      </c>
      <c r="K5963" s="19" t="str">
        <f>IFERROR(__xludf.DUMMYFUNCTION("""COMPUTED_VALUE"""),"-")</f>
        <v>-</v>
      </c>
      <c r="L5963" s="19" t="str">
        <f>IFERROR(__xludf.DUMMYFUNCTION("""COMPUTED_VALUE"""),"-")</f>
        <v>-</v>
      </c>
      <c r="O5963" s="24">
        <f t="shared" si="4"/>
        <v>0</v>
      </c>
      <c r="P5963" s="24"/>
      <c r="Q5963" s="24">
        <f t="shared" si="6"/>
        <v>0</v>
      </c>
      <c r="R5963" s="24">
        <f t="shared" si="7"/>
        <v>0</v>
      </c>
      <c r="S5963" s="24"/>
      <c r="T5963" s="24"/>
    </row>
    <row r="5964">
      <c r="A5964" s="12" t="s">
        <v>6051</v>
      </c>
      <c r="F5964" s="19">
        <f>IFERROR(__xludf.DUMMYFUNCTION("SPLIT(A5960, "" |"")"),5958.0)</f>
        <v>5958</v>
      </c>
      <c r="G5964" s="19">
        <f>IFERROR(__xludf.DUMMYFUNCTION("""COMPUTED_VALUE"""),0.00239)</f>
        <v>0.00239</v>
      </c>
      <c r="H5964" s="19" t="str">
        <f>IFERROR(__xludf.DUMMYFUNCTION("""COMPUTED_VALUE"""),"-")</f>
        <v>-</v>
      </c>
      <c r="I5964" s="19">
        <f>IFERROR(__xludf.DUMMYFUNCTION("""COMPUTED_VALUE"""),0.0022)</f>
        <v>0.0022</v>
      </c>
      <c r="J5964" s="19">
        <f>IFERROR(__xludf.DUMMYFUNCTION("""COMPUTED_VALUE"""),0.04744)</f>
        <v>0.04744</v>
      </c>
      <c r="K5964" s="19" t="str">
        <f>IFERROR(__xludf.DUMMYFUNCTION("""COMPUTED_VALUE"""),"-")</f>
        <v>-</v>
      </c>
      <c r="L5964" s="19" t="str">
        <f>IFERROR(__xludf.DUMMYFUNCTION("""COMPUTED_VALUE"""),"-")</f>
        <v>-</v>
      </c>
      <c r="O5964" s="24">
        <f t="shared" si="4"/>
        <v>0</v>
      </c>
      <c r="P5964" s="24"/>
      <c r="Q5964" s="24">
        <f t="shared" si="6"/>
        <v>0</v>
      </c>
      <c r="R5964" s="24">
        <f t="shared" si="7"/>
        <v>0</v>
      </c>
      <c r="S5964" s="24"/>
      <c r="T5964" s="24"/>
    </row>
    <row r="5965">
      <c r="A5965" s="12" t="s">
        <v>6052</v>
      </c>
      <c r="F5965" s="19">
        <f>IFERROR(__xludf.DUMMYFUNCTION("SPLIT(A5961, "" |"")"),5959.0)</f>
        <v>5959</v>
      </c>
      <c r="G5965" s="19">
        <f>IFERROR(__xludf.DUMMYFUNCTION("""COMPUTED_VALUE"""),0.00234)</f>
        <v>0.00234</v>
      </c>
      <c r="H5965" s="19" t="str">
        <f>IFERROR(__xludf.DUMMYFUNCTION("""COMPUTED_VALUE"""),"-")</f>
        <v>-</v>
      </c>
      <c r="I5965" s="19">
        <f>IFERROR(__xludf.DUMMYFUNCTION("""COMPUTED_VALUE"""),0.00222)</f>
        <v>0.00222</v>
      </c>
      <c r="J5965" s="19">
        <f>IFERROR(__xludf.DUMMYFUNCTION("""COMPUTED_VALUE"""),0.04742)</f>
        <v>0.04742</v>
      </c>
      <c r="K5965" s="19" t="str">
        <f>IFERROR(__xludf.DUMMYFUNCTION("""COMPUTED_VALUE"""),"-")</f>
        <v>-</v>
      </c>
      <c r="L5965" s="19" t="str">
        <f>IFERROR(__xludf.DUMMYFUNCTION("""COMPUTED_VALUE"""),"-")</f>
        <v>-</v>
      </c>
      <c r="O5965" s="24">
        <f t="shared" si="4"/>
        <v>0</v>
      </c>
      <c r="P5965" s="24"/>
      <c r="Q5965" s="24">
        <f t="shared" si="6"/>
        <v>0</v>
      </c>
      <c r="R5965" s="24">
        <f t="shared" si="7"/>
        <v>0</v>
      </c>
      <c r="S5965" s="24"/>
      <c r="T5965" s="24"/>
    </row>
    <row r="5966">
      <c r="A5966" s="12" t="s">
        <v>6053</v>
      </c>
      <c r="F5966" s="19">
        <f>IFERROR(__xludf.DUMMYFUNCTION("SPLIT(A5962, "" |"")"),5960.0)</f>
        <v>5960</v>
      </c>
      <c r="G5966" s="19">
        <f>IFERROR(__xludf.DUMMYFUNCTION("""COMPUTED_VALUE"""),0.00234)</f>
        <v>0.00234</v>
      </c>
      <c r="H5966" s="19" t="str">
        <f>IFERROR(__xludf.DUMMYFUNCTION("""COMPUTED_VALUE"""),"-")</f>
        <v>-</v>
      </c>
      <c r="I5966" s="19">
        <f>IFERROR(__xludf.DUMMYFUNCTION("""COMPUTED_VALUE"""),0.00221)</f>
        <v>0.00221</v>
      </c>
      <c r="J5966" s="19">
        <f>IFERROR(__xludf.DUMMYFUNCTION("""COMPUTED_VALUE"""),0.04748)</f>
        <v>0.04748</v>
      </c>
      <c r="K5966" s="19" t="str">
        <f>IFERROR(__xludf.DUMMYFUNCTION("""COMPUTED_VALUE"""),"-")</f>
        <v>-</v>
      </c>
      <c r="L5966" s="19" t="str">
        <f>IFERROR(__xludf.DUMMYFUNCTION("""COMPUTED_VALUE"""),"-")</f>
        <v>-</v>
      </c>
      <c r="O5966" s="24">
        <f t="shared" si="4"/>
        <v>0</v>
      </c>
      <c r="P5966" s="24"/>
      <c r="Q5966" s="24">
        <f t="shared" si="6"/>
        <v>0</v>
      </c>
      <c r="R5966" s="24">
        <f t="shared" si="7"/>
        <v>0</v>
      </c>
      <c r="S5966" s="24"/>
      <c r="T5966" s="24"/>
    </row>
    <row r="5967">
      <c r="A5967" s="12" t="s">
        <v>6054</v>
      </c>
      <c r="F5967" s="19">
        <f>IFERROR(__xludf.DUMMYFUNCTION("SPLIT(A5963, "" |"")"),5961.0)</f>
        <v>5961</v>
      </c>
      <c r="G5967" s="19">
        <f>IFERROR(__xludf.DUMMYFUNCTION("""COMPUTED_VALUE"""),0.00234)</f>
        <v>0.00234</v>
      </c>
      <c r="H5967" s="19" t="str">
        <f>IFERROR(__xludf.DUMMYFUNCTION("""COMPUTED_VALUE"""),"-")</f>
        <v>-</v>
      </c>
      <c r="I5967" s="19">
        <f>IFERROR(__xludf.DUMMYFUNCTION("""COMPUTED_VALUE"""),0.00226)</f>
        <v>0.00226</v>
      </c>
      <c r="J5967" s="19">
        <f>IFERROR(__xludf.DUMMYFUNCTION("""COMPUTED_VALUE"""),0.04732)</f>
        <v>0.04732</v>
      </c>
      <c r="K5967" s="19" t="str">
        <f>IFERROR(__xludf.DUMMYFUNCTION("""COMPUTED_VALUE"""),"-")</f>
        <v>-</v>
      </c>
      <c r="L5967" s="19" t="str">
        <f>IFERROR(__xludf.DUMMYFUNCTION("""COMPUTED_VALUE"""),"-")</f>
        <v>-</v>
      </c>
      <c r="O5967" s="24">
        <f t="shared" si="4"/>
        <v>0</v>
      </c>
      <c r="P5967" s="24"/>
      <c r="Q5967" s="24">
        <f t="shared" si="6"/>
        <v>0</v>
      </c>
      <c r="R5967" s="24">
        <f t="shared" si="7"/>
        <v>0</v>
      </c>
      <c r="S5967" s="24"/>
      <c r="T5967" s="24"/>
    </row>
    <row r="5968">
      <c r="A5968" s="12" t="s">
        <v>6055</v>
      </c>
      <c r="F5968" s="19">
        <f>IFERROR(__xludf.DUMMYFUNCTION("SPLIT(A5964, "" |"")"),5962.0)</f>
        <v>5962</v>
      </c>
      <c r="G5968" s="19">
        <f>IFERROR(__xludf.DUMMYFUNCTION("""COMPUTED_VALUE"""),0.00244)</f>
        <v>0.00244</v>
      </c>
      <c r="H5968" s="19" t="str">
        <f>IFERROR(__xludf.DUMMYFUNCTION("""COMPUTED_VALUE"""),"-")</f>
        <v>-</v>
      </c>
      <c r="I5968" s="19">
        <f>IFERROR(__xludf.DUMMYFUNCTION("""COMPUTED_VALUE"""),0.00222)</f>
        <v>0.00222</v>
      </c>
      <c r="J5968" s="19">
        <f>IFERROR(__xludf.DUMMYFUNCTION("""COMPUTED_VALUE"""),0.04737)</f>
        <v>0.04737</v>
      </c>
      <c r="K5968" s="19" t="str">
        <f>IFERROR(__xludf.DUMMYFUNCTION("""COMPUTED_VALUE"""),"-")</f>
        <v>-</v>
      </c>
      <c r="L5968" s="19" t="str">
        <f>IFERROR(__xludf.DUMMYFUNCTION("""COMPUTED_VALUE"""),"-")</f>
        <v>-</v>
      </c>
      <c r="O5968" s="24">
        <f t="shared" si="4"/>
        <v>0</v>
      </c>
      <c r="P5968" s="24"/>
      <c r="Q5968" s="24">
        <f t="shared" si="6"/>
        <v>0</v>
      </c>
      <c r="R5968" s="24">
        <f t="shared" si="7"/>
        <v>0</v>
      </c>
      <c r="S5968" s="24"/>
      <c r="T5968" s="24"/>
    </row>
    <row r="5969">
      <c r="A5969" s="12" t="s">
        <v>6056</v>
      </c>
      <c r="F5969" s="19">
        <f>IFERROR(__xludf.DUMMYFUNCTION("SPLIT(A5965, "" |"")"),5963.0)</f>
        <v>5963</v>
      </c>
      <c r="G5969" s="19">
        <f>IFERROR(__xludf.DUMMYFUNCTION("""COMPUTED_VALUE"""),0.00236)</f>
        <v>0.00236</v>
      </c>
      <c r="H5969" s="19" t="str">
        <f>IFERROR(__xludf.DUMMYFUNCTION("""COMPUTED_VALUE"""),"-")</f>
        <v>-</v>
      </c>
      <c r="I5969" s="19">
        <f>IFERROR(__xludf.DUMMYFUNCTION("""COMPUTED_VALUE"""),0.00224)</f>
        <v>0.00224</v>
      </c>
      <c r="J5969" s="19">
        <f>IFERROR(__xludf.DUMMYFUNCTION("""COMPUTED_VALUE"""),0.04601)</f>
        <v>0.04601</v>
      </c>
      <c r="K5969" s="19" t="str">
        <f>IFERROR(__xludf.DUMMYFUNCTION("""COMPUTED_VALUE"""),"-")</f>
        <v>-</v>
      </c>
      <c r="L5969" s="19" t="str">
        <f>IFERROR(__xludf.DUMMYFUNCTION("""COMPUTED_VALUE"""),"-")</f>
        <v>-</v>
      </c>
      <c r="O5969" s="24">
        <f t="shared" si="4"/>
        <v>0</v>
      </c>
      <c r="P5969" s="24"/>
      <c r="Q5969" s="24">
        <f t="shared" si="6"/>
        <v>0</v>
      </c>
      <c r="R5969" s="24">
        <f t="shared" si="7"/>
        <v>0</v>
      </c>
      <c r="S5969" s="24"/>
      <c r="T5969" s="24"/>
    </row>
    <row r="5970">
      <c r="A5970" s="12" t="s">
        <v>6057</v>
      </c>
      <c r="F5970" s="19">
        <f>IFERROR(__xludf.DUMMYFUNCTION("SPLIT(A5966, "" |"")"),5964.0)</f>
        <v>5964</v>
      </c>
      <c r="G5970" s="19">
        <f>IFERROR(__xludf.DUMMYFUNCTION("""COMPUTED_VALUE"""),0.00231)</f>
        <v>0.00231</v>
      </c>
      <c r="H5970" s="19" t="str">
        <f>IFERROR(__xludf.DUMMYFUNCTION("""COMPUTED_VALUE"""),"-")</f>
        <v>-</v>
      </c>
      <c r="I5970" s="19">
        <f>IFERROR(__xludf.DUMMYFUNCTION("""COMPUTED_VALUE"""),0.0022)</f>
        <v>0.0022</v>
      </c>
      <c r="J5970" s="19">
        <f>IFERROR(__xludf.DUMMYFUNCTION("""COMPUTED_VALUE"""),0.0473)</f>
        <v>0.0473</v>
      </c>
      <c r="K5970" s="19" t="str">
        <f>IFERROR(__xludf.DUMMYFUNCTION("""COMPUTED_VALUE"""),"-")</f>
        <v>-</v>
      </c>
      <c r="L5970" s="19" t="str">
        <f>IFERROR(__xludf.DUMMYFUNCTION("""COMPUTED_VALUE"""),"-")</f>
        <v>-</v>
      </c>
      <c r="O5970" s="24">
        <f t="shared" si="4"/>
        <v>0</v>
      </c>
      <c r="P5970" s="24"/>
      <c r="Q5970" s="24">
        <f t="shared" si="6"/>
        <v>0</v>
      </c>
      <c r="R5970" s="24">
        <f t="shared" si="7"/>
        <v>0</v>
      </c>
      <c r="S5970" s="24"/>
      <c r="T5970" s="24"/>
    </row>
    <row r="5971">
      <c r="A5971" s="12" t="s">
        <v>6058</v>
      </c>
      <c r="F5971" s="19">
        <f>IFERROR(__xludf.DUMMYFUNCTION("SPLIT(A5967, "" |"")"),5965.0)</f>
        <v>5965</v>
      </c>
      <c r="G5971" s="19">
        <f>IFERROR(__xludf.DUMMYFUNCTION("""COMPUTED_VALUE"""),0.00244)</f>
        <v>0.00244</v>
      </c>
      <c r="H5971" s="19" t="str">
        <f>IFERROR(__xludf.DUMMYFUNCTION("""COMPUTED_VALUE"""),"-")</f>
        <v>-</v>
      </c>
      <c r="I5971" s="19">
        <f>IFERROR(__xludf.DUMMYFUNCTION("""COMPUTED_VALUE"""),0.00223)</f>
        <v>0.00223</v>
      </c>
      <c r="J5971" s="19">
        <f>IFERROR(__xludf.DUMMYFUNCTION("""COMPUTED_VALUE"""),0.04746)</f>
        <v>0.04746</v>
      </c>
      <c r="K5971" s="19" t="str">
        <f>IFERROR(__xludf.DUMMYFUNCTION("""COMPUTED_VALUE"""),"-")</f>
        <v>-</v>
      </c>
      <c r="L5971" s="19" t="str">
        <f>IFERROR(__xludf.DUMMYFUNCTION("""COMPUTED_VALUE"""),"-")</f>
        <v>-</v>
      </c>
      <c r="O5971" s="24">
        <f t="shared" si="4"/>
        <v>0</v>
      </c>
      <c r="P5971" s="24"/>
      <c r="Q5971" s="24">
        <f t="shared" si="6"/>
        <v>0</v>
      </c>
      <c r="R5971" s="24">
        <f t="shared" si="7"/>
        <v>0</v>
      </c>
      <c r="S5971" s="24"/>
      <c r="T5971" s="24"/>
    </row>
    <row r="5972">
      <c r="A5972" s="12" t="s">
        <v>6059</v>
      </c>
      <c r="F5972" s="19">
        <f>IFERROR(__xludf.DUMMYFUNCTION("SPLIT(A5968, "" |"")"),5966.0)</f>
        <v>5966</v>
      </c>
      <c r="G5972" s="19">
        <f>IFERROR(__xludf.DUMMYFUNCTION("""COMPUTED_VALUE"""),0.00239)</f>
        <v>0.00239</v>
      </c>
      <c r="H5972" s="19" t="str">
        <f>IFERROR(__xludf.DUMMYFUNCTION("""COMPUTED_VALUE"""),"-")</f>
        <v>-</v>
      </c>
      <c r="I5972" s="19">
        <f>IFERROR(__xludf.DUMMYFUNCTION("""COMPUTED_VALUE"""),0.00219)</f>
        <v>0.00219</v>
      </c>
      <c r="J5972" s="19">
        <f>IFERROR(__xludf.DUMMYFUNCTION("""COMPUTED_VALUE"""),0.04745)</f>
        <v>0.04745</v>
      </c>
      <c r="K5972" s="19" t="str">
        <f>IFERROR(__xludf.DUMMYFUNCTION("""COMPUTED_VALUE"""),"-")</f>
        <v>-</v>
      </c>
      <c r="L5972" s="19" t="str">
        <f>IFERROR(__xludf.DUMMYFUNCTION("""COMPUTED_VALUE"""),"-")</f>
        <v>-</v>
      </c>
      <c r="O5972" s="24">
        <f t="shared" si="4"/>
        <v>0</v>
      </c>
      <c r="P5972" s="24"/>
      <c r="Q5972" s="24">
        <f t="shared" si="6"/>
        <v>0</v>
      </c>
      <c r="R5972" s="24">
        <f t="shared" si="7"/>
        <v>0</v>
      </c>
      <c r="S5972" s="24"/>
      <c r="T5972" s="24"/>
    </row>
    <row r="5973">
      <c r="A5973" s="12" t="s">
        <v>6060</v>
      </c>
      <c r="F5973" s="19">
        <f>IFERROR(__xludf.DUMMYFUNCTION("SPLIT(A5969, "" |"")"),5967.0)</f>
        <v>5967</v>
      </c>
      <c r="G5973" s="19">
        <f>IFERROR(__xludf.DUMMYFUNCTION("""COMPUTED_VALUE"""),0.00235)</f>
        <v>0.00235</v>
      </c>
      <c r="H5973" s="19" t="str">
        <f>IFERROR(__xludf.DUMMYFUNCTION("""COMPUTED_VALUE"""),"-")</f>
        <v>-</v>
      </c>
      <c r="I5973" s="19">
        <f>IFERROR(__xludf.DUMMYFUNCTION("""COMPUTED_VALUE"""),0.00219)</f>
        <v>0.00219</v>
      </c>
      <c r="J5973" s="19">
        <f>IFERROR(__xludf.DUMMYFUNCTION("""COMPUTED_VALUE"""),0.04746)</f>
        <v>0.04746</v>
      </c>
      <c r="K5973" s="19" t="str">
        <f>IFERROR(__xludf.DUMMYFUNCTION("""COMPUTED_VALUE"""),"-")</f>
        <v>-</v>
      </c>
      <c r="L5973" s="19" t="str">
        <f>IFERROR(__xludf.DUMMYFUNCTION("""COMPUTED_VALUE"""),"-")</f>
        <v>-</v>
      </c>
      <c r="O5973" s="24">
        <f t="shared" si="4"/>
        <v>0</v>
      </c>
      <c r="P5973" s="24"/>
      <c r="Q5973" s="24">
        <f t="shared" si="6"/>
        <v>0</v>
      </c>
      <c r="R5973" s="24">
        <f t="shared" si="7"/>
        <v>0</v>
      </c>
      <c r="S5973" s="24"/>
      <c r="T5973" s="24"/>
    </row>
    <row r="5974">
      <c r="A5974" s="12" t="s">
        <v>6061</v>
      </c>
      <c r="F5974" s="19">
        <f>IFERROR(__xludf.DUMMYFUNCTION("SPLIT(A5970, "" |"")"),5968.0)</f>
        <v>5968</v>
      </c>
      <c r="G5974" s="19">
        <f>IFERROR(__xludf.DUMMYFUNCTION("""COMPUTED_VALUE"""),0.00232)</f>
        <v>0.00232</v>
      </c>
      <c r="H5974" s="19" t="str">
        <f>IFERROR(__xludf.DUMMYFUNCTION("""COMPUTED_VALUE"""),"-")</f>
        <v>-</v>
      </c>
      <c r="I5974" s="19">
        <f>IFERROR(__xludf.DUMMYFUNCTION("""COMPUTED_VALUE"""),0.00218)</f>
        <v>0.00218</v>
      </c>
      <c r="J5974" s="19">
        <f>IFERROR(__xludf.DUMMYFUNCTION("""COMPUTED_VALUE"""),0.04681)</f>
        <v>0.04681</v>
      </c>
      <c r="K5974" s="19" t="str">
        <f>IFERROR(__xludf.DUMMYFUNCTION("""COMPUTED_VALUE"""),"-")</f>
        <v>-</v>
      </c>
      <c r="L5974" s="19" t="str">
        <f>IFERROR(__xludf.DUMMYFUNCTION("""COMPUTED_VALUE"""),"-")</f>
        <v>-</v>
      </c>
      <c r="O5974" s="24">
        <f t="shared" si="4"/>
        <v>0</v>
      </c>
      <c r="P5974" s="24"/>
      <c r="Q5974" s="24">
        <f t="shared" si="6"/>
        <v>0</v>
      </c>
      <c r="R5974" s="24">
        <f t="shared" si="7"/>
        <v>0</v>
      </c>
      <c r="S5974" s="24"/>
      <c r="T5974" s="24"/>
    </row>
    <row r="5975">
      <c r="A5975" s="12" t="s">
        <v>6062</v>
      </c>
      <c r="F5975" s="19">
        <f>IFERROR(__xludf.DUMMYFUNCTION("SPLIT(A5971, "" |"")"),5969.0)</f>
        <v>5969</v>
      </c>
      <c r="G5975" s="19">
        <f>IFERROR(__xludf.DUMMYFUNCTION("""COMPUTED_VALUE"""),0.00229)</f>
        <v>0.00229</v>
      </c>
      <c r="H5975" s="19" t="str">
        <f>IFERROR(__xludf.DUMMYFUNCTION("""COMPUTED_VALUE"""),"-")</f>
        <v>-</v>
      </c>
      <c r="I5975" s="19">
        <f>IFERROR(__xludf.DUMMYFUNCTION("""COMPUTED_VALUE"""),0.0022)</f>
        <v>0.0022</v>
      </c>
      <c r="J5975" s="19">
        <f>IFERROR(__xludf.DUMMYFUNCTION("""COMPUTED_VALUE"""),0.04741)</f>
        <v>0.04741</v>
      </c>
      <c r="K5975" s="19" t="str">
        <f>IFERROR(__xludf.DUMMYFUNCTION("""COMPUTED_VALUE"""),"-")</f>
        <v>-</v>
      </c>
      <c r="L5975" s="19" t="str">
        <f>IFERROR(__xludf.DUMMYFUNCTION("""COMPUTED_VALUE"""),"-")</f>
        <v>-</v>
      </c>
      <c r="O5975" s="24">
        <f t="shared" si="4"/>
        <v>0</v>
      </c>
      <c r="P5975" s="24"/>
      <c r="Q5975" s="24">
        <f t="shared" si="6"/>
        <v>0</v>
      </c>
      <c r="R5975" s="24">
        <f t="shared" si="7"/>
        <v>0</v>
      </c>
      <c r="S5975" s="24"/>
      <c r="T5975" s="24"/>
    </row>
    <row r="5976">
      <c r="A5976" s="12" t="s">
        <v>6063</v>
      </c>
      <c r="F5976" s="19">
        <f>IFERROR(__xludf.DUMMYFUNCTION("SPLIT(A5972, "" |"")"),5970.0)</f>
        <v>5970</v>
      </c>
      <c r="G5976" s="19">
        <f>IFERROR(__xludf.DUMMYFUNCTION("""COMPUTED_VALUE"""),0.0022)</f>
        <v>0.0022</v>
      </c>
      <c r="H5976" s="19" t="str">
        <f>IFERROR(__xludf.DUMMYFUNCTION("""COMPUTED_VALUE"""),"-")</f>
        <v>-</v>
      </c>
      <c r="I5976" s="19">
        <f>IFERROR(__xludf.DUMMYFUNCTION("""COMPUTED_VALUE"""),0.00218)</f>
        <v>0.00218</v>
      </c>
      <c r="J5976" s="19">
        <f>IFERROR(__xludf.DUMMYFUNCTION("""COMPUTED_VALUE"""),0.04752)</f>
        <v>0.04752</v>
      </c>
      <c r="K5976" s="19" t="str">
        <f>IFERROR(__xludf.DUMMYFUNCTION("""COMPUTED_VALUE"""),"-")</f>
        <v>-</v>
      </c>
      <c r="L5976" s="19" t="str">
        <f>IFERROR(__xludf.DUMMYFUNCTION("""COMPUTED_VALUE"""),"-")</f>
        <v>-</v>
      </c>
      <c r="O5976" s="24">
        <f t="shared" si="4"/>
        <v>0</v>
      </c>
      <c r="P5976" s="24"/>
      <c r="Q5976" s="24">
        <f t="shared" si="6"/>
        <v>0</v>
      </c>
      <c r="R5976" s="24">
        <f t="shared" si="7"/>
        <v>0</v>
      </c>
      <c r="S5976" s="24"/>
      <c r="T5976" s="24"/>
    </row>
    <row r="5977">
      <c r="A5977" s="12" t="s">
        <v>6064</v>
      </c>
      <c r="F5977" s="19">
        <f>IFERROR(__xludf.DUMMYFUNCTION("SPLIT(A5973, "" |"")"),5971.0)</f>
        <v>5971</v>
      </c>
      <c r="G5977" s="19">
        <f>IFERROR(__xludf.DUMMYFUNCTION("""COMPUTED_VALUE"""),0.00243)</f>
        <v>0.00243</v>
      </c>
      <c r="H5977" s="19" t="str">
        <f>IFERROR(__xludf.DUMMYFUNCTION("""COMPUTED_VALUE"""),"-")</f>
        <v>-</v>
      </c>
      <c r="I5977" s="19">
        <f>IFERROR(__xludf.DUMMYFUNCTION("""COMPUTED_VALUE"""),0.00228)</f>
        <v>0.00228</v>
      </c>
      <c r="J5977" s="19">
        <f>IFERROR(__xludf.DUMMYFUNCTION("""COMPUTED_VALUE"""),0.04749)</f>
        <v>0.04749</v>
      </c>
      <c r="K5977" s="19" t="str">
        <f>IFERROR(__xludf.DUMMYFUNCTION("""COMPUTED_VALUE"""),"-")</f>
        <v>-</v>
      </c>
      <c r="L5977" s="19" t="str">
        <f>IFERROR(__xludf.DUMMYFUNCTION("""COMPUTED_VALUE"""),"-")</f>
        <v>-</v>
      </c>
      <c r="O5977" s="24">
        <f t="shared" si="4"/>
        <v>0</v>
      </c>
      <c r="P5977" s="24"/>
      <c r="Q5977" s="24">
        <f t="shared" si="6"/>
        <v>0</v>
      </c>
      <c r="R5977" s="24">
        <f t="shared" si="7"/>
        <v>0</v>
      </c>
      <c r="S5977" s="24"/>
      <c r="T5977" s="24"/>
    </row>
    <row r="5978">
      <c r="A5978" s="12" t="s">
        <v>6065</v>
      </c>
      <c r="F5978" s="19">
        <f>IFERROR(__xludf.DUMMYFUNCTION("SPLIT(A5974, "" |"")"),5972.0)</f>
        <v>5972</v>
      </c>
      <c r="G5978" s="19">
        <f>IFERROR(__xludf.DUMMYFUNCTION("""COMPUTED_VALUE"""),0.00233)</f>
        <v>0.00233</v>
      </c>
      <c r="H5978" s="19" t="str">
        <f>IFERROR(__xludf.DUMMYFUNCTION("""COMPUTED_VALUE"""),"-")</f>
        <v>-</v>
      </c>
      <c r="I5978" s="19">
        <f>IFERROR(__xludf.DUMMYFUNCTION("""COMPUTED_VALUE"""),0.0022)</f>
        <v>0.0022</v>
      </c>
      <c r="J5978" s="19">
        <f>IFERROR(__xludf.DUMMYFUNCTION("""COMPUTED_VALUE"""),0.04744)</f>
        <v>0.04744</v>
      </c>
      <c r="K5978" s="19" t="str">
        <f>IFERROR(__xludf.DUMMYFUNCTION("""COMPUTED_VALUE"""),"-")</f>
        <v>-</v>
      </c>
      <c r="L5978" s="19" t="str">
        <f>IFERROR(__xludf.DUMMYFUNCTION("""COMPUTED_VALUE"""),"-")</f>
        <v>-</v>
      </c>
      <c r="O5978" s="24">
        <f t="shared" si="4"/>
        <v>0</v>
      </c>
      <c r="P5978" s="24"/>
      <c r="Q5978" s="24">
        <f t="shared" si="6"/>
        <v>0</v>
      </c>
      <c r="R5978" s="24">
        <f t="shared" si="7"/>
        <v>0</v>
      </c>
      <c r="S5978" s="24"/>
      <c r="T5978" s="24"/>
    </row>
    <row r="5979">
      <c r="A5979" s="12" t="s">
        <v>6066</v>
      </c>
      <c r="F5979" s="19">
        <f>IFERROR(__xludf.DUMMYFUNCTION("SPLIT(A5975, "" |"")"),5973.0)</f>
        <v>5973</v>
      </c>
      <c r="G5979" s="19">
        <f>IFERROR(__xludf.DUMMYFUNCTION("""COMPUTED_VALUE"""),0.00233)</f>
        <v>0.00233</v>
      </c>
      <c r="H5979" s="19" t="str">
        <f>IFERROR(__xludf.DUMMYFUNCTION("""COMPUTED_VALUE"""),"-")</f>
        <v>-</v>
      </c>
      <c r="I5979" s="19">
        <f>IFERROR(__xludf.DUMMYFUNCTION("""COMPUTED_VALUE"""),0.00222)</f>
        <v>0.00222</v>
      </c>
      <c r="J5979" s="19">
        <f>IFERROR(__xludf.DUMMYFUNCTION("""COMPUTED_VALUE"""),0.04744)</f>
        <v>0.04744</v>
      </c>
      <c r="K5979" s="19" t="str">
        <f>IFERROR(__xludf.DUMMYFUNCTION("""COMPUTED_VALUE"""),"-")</f>
        <v>-</v>
      </c>
      <c r="L5979" s="19" t="str">
        <f>IFERROR(__xludf.DUMMYFUNCTION("""COMPUTED_VALUE"""),"-")</f>
        <v>-</v>
      </c>
      <c r="O5979" s="24">
        <f t="shared" si="4"/>
        <v>0</v>
      </c>
      <c r="P5979" s="24"/>
      <c r="Q5979" s="24">
        <f t="shared" si="6"/>
        <v>0</v>
      </c>
      <c r="R5979" s="24">
        <f t="shared" si="7"/>
        <v>0</v>
      </c>
      <c r="S5979" s="24"/>
      <c r="T5979" s="24"/>
    </row>
    <row r="5980">
      <c r="A5980" s="12" t="s">
        <v>6067</v>
      </c>
      <c r="F5980" s="19">
        <f>IFERROR(__xludf.DUMMYFUNCTION("SPLIT(A5976, "" |"")"),5974.0)</f>
        <v>5974</v>
      </c>
      <c r="G5980" s="19">
        <f>IFERROR(__xludf.DUMMYFUNCTION("""COMPUTED_VALUE"""),0.00241)</f>
        <v>0.00241</v>
      </c>
      <c r="H5980" s="19" t="str">
        <f>IFERROR(__xludf.DUMMYFUNCTION("""COMPUTED_VALUE"""),"-")</f>
        <v>-</v>
      </c>
      <c r="I5980" s="19">
        <f>IFERROR(__xludf.DUMMYFUNCTION("""COMPUTED_VALUE"""),0.00219)</f>
        <v>0.00219</v>
      </c>
      <c r="J5980" s="19">
        <f>IFERROR(__xludf.DUMMYFUNCTION("""COMPUTED_VALUE"""),0.04737)</f>
        <v>0.04737</v>
      </c>
      <c r="K5980" s="19" t="str">
        <f>IFERROR(__xludf.DUMMYFUNCTION("""COMPUTED_VALUE"""),"-")</f>
        <v>-</v>
      </c>
      <c r="L5980" s="19" t="str">
        <f>IFERROR(__xludf.DUMMYFUNCTION("""COMPUTED_VALUE"""),"-")</f>
        <v>-</v>
      </c>
      <c r="O5980" s="24">
        <f t="shared" si="4"/>
        <v>0</v>
      </c>
      <c r="P5980" s="24"/>
      <c r="Q5980" s="24">
        <f t="shared" si="6"/>
        <v>0</v>
      </c>
      <c r="R5980" s="24">
        <f t="shared" si="7"/>
        <v>0</v>
      </c>
      <c r="S5980" s="24"/>
      <c r="T5980" s="24"/>
    </row>
    <row r="5981">
      <c r="A5981" s="12" t="s">
        <v>6068</v>
      </c>
      <c r="F5981" s="19">
        <f>IFERROR(__xludf.DUMMYFUNCTION("SPLIT(A5977, "" |"")"),5975.0)</f>
        <v>5975</v>
      </c>
      <c r="G5981" s="19">
        <f>IFERROR(__xludf.DUMMYFUNCTION("""COMPUTED_VALUE"""),0.00238)</f>
        <v>0.00238</v>
      </c>
      <c r="H5981" s="19" t="str">
        <f>IFERROR(__xludf.DUMMYFUNCTION("""COMPUTED_VALUE"""),"-")</f>
        <v>-</v>
      </c>
      <c r="I5981" s="19">
        <f>IFERROR(__xludf.DUMMYFUNCTION("""COMPUTED_VALUE"""),0.00221)</f>
        <v>0.00221</v>
      </c>
      <c r="J5981" s="19">
        <f>IFERROR(__xludf.DUMMYFUNCTION("""COMPUTED_VALUE"""),0.04746)</f>
        <v>0.04746</v>
      </c>
      <c r="K5981" s="19" t="str">
        <f>IFERROR(__xludf.DUMMYFUNCTION("""COMPUTED_VALUE"""),"-")</f>
        <v>-</v>
      </c>
      <c r="L5981" s="19" t="str">
        <f>IFERROR(__xludf.DUMMYFUNCTION("""COMPUTED_VALUE"""),"-")</f>
        <v>-</v>
      </c>
      <c r="O5981" s="24">
        <f t="shared" si="4"/>
        <v>0</v>
      </c>
      <c r="P5981" s="24"/>
      <c r="Q5981" s="24">
        <f t="shared" si="6"/>
        <v>0</v>
      </c>
      <c r="R5981" s="24">
        <f t="shared" si="7"/>
        <v>0</v>
      </c>
      <c r="S5981" s="24"/>
      <c r="T5981" s="24"/>
    </row>
    <row r="5982">
      <c r="A5982" s="12" t="s">
        <v>6069</v>
      </c>
      <c r="F5982" s="19">
        <f>IFERROR(__xludf.DUMMYFUNCTION("SPLIT(A5978, "" |"")"),5976.0)</f>
        <v>5976</v>
      </c>
      <c r="G5982" s="19">
        <f>IFERROR(__xludf.DUMMYFUNCTION("""COMPUTED_VALUE"""),0.00235)</f>
        <v>0.00235</v>
      </c>
      <c r="H5982" s="19" t="str">
        <f>IFERROR(__xludf.DUMMYFUNCTION("""COMPUTED_VALUE"""),"-")</f>
        <v>-</v>
      </c>
      <c r="I5982" s="19">
        <f>IFERROR(__xludf.DUMMYFUNCTION("""COMPUTED_VALUE"""),0.00222)</f>
        <v>0.00222</v>
      </c>
      <c r="J5982" s="19">
        <f>IFERROR(__xludf.DUMMYFUNCTION("""COMPUTED_VALUE"""),0.04686)</f>
        <v>0.04686</v>
      </c>
      <c r="K5982" s="19" t="str">
        <f>IFERROR(__xludf.DUMMYFUNCTION("""COMPUTED_VALUE"""),"-")</f>
        <v>-</v>
      </c>
      <c r="L5982" s="19" t="str">
        <f>IFERROR(__xludf.DUMMYFUNCTION("""COMPUTED_VALUE"""),"-")</f>
        <v>-</v>
      </c>
      <c r="O5982" s="24">
        <f t="shared" si="4"/>
        <v>0</v>
      </c>
      <c r="P5982" s="24"/>
      <c r="Q5982" s="24">
        <f t="shared" si="6"/>
        <v>0</v>
      </c>
      <c r="R5982" s="24">
        <f t="shared" si="7"/>
        <v>0</v>
      </c>
      <c r="S5982" s="24"/>
      <c r="T5982" s="24"/>
    </row>
    <row r="5983">
      <c r="A5983" s="12" t="s">
        <v>6070</v>
      </c>
      <c r="F5983" s="19">
        <f>IFERROR(__xludf.DUMMYFUNCTION("SPLIT(A5979, "" |"")"),5977.0)</f>
        <v>5977</v>
      </c>
      <c r="G5983" s="19">
        <f>IFERROR(__xludf.DUMMYFUNCTION("""COMPUTED_VALUE"""),0.00234)</f>
        <v>0.00234</v>
      </c>
      <c r="H5983" s="19" t="str">
        <f>IFERROR(__xludf.DUMMYFUNCTION("""COMPUTED_VALUE"""),"-")</f>
        <v>-</v>
      </c>
      <c r="I5983" s="19">
        <f>IFERROR(__xludf.DUMMYFUNCTION("""COMPUTED_VALUE"""),0.00219)</f>
        <v>0.00219</v>
      </c>
      <c r="J5983" s="19">
        <f>IFERROR(__xludf.DUMMYFUNCTION("""COMPUTED_VALUE"""),0.04745)</f>
        <v>0.04745</v>
      </c>
      <c r="K5983" s="19" t="str">
        <f>IFERROR(__xludf.DUMMYFUNCTION("""COMPUTED_VALUE"""),"-")</f>
        <v>-</v>
      </c>
      <c r="L5983" s="19" t="str">
        <f>IFERROR(__xludf.DUMMYFUNCTION("""COMPUTED_VALUE"""),"-")</f>
        <v>-</v>
      </c>
      <c r="O5983" s="24">
        <f t="shared" si="4"/>
        <v>0</v>
      </c>
      <c r="P5983" s="24"/>
      <c r="Q5983" s="24">
        <f t="shared" si="6"/>
        <v>0</v>
      </c>
      <c r="R5983" s="24">
        <f t="shared" si="7"/>
        <v>0</v>
      </c>
      <c r="S5983" s="24"/>
      <c r="T5983" s="24"/>
    </row>
    <row r="5984">
      <c r="A5984" s="12" t="s">
        <v>6071</v>
      </c>
      <c r="F5984" s="19">
        <f>IFERROR(__xludf.DUMMYFUNCTION("SPLIT(A5980, "" |"")"),5978.0)</f>
        <v>5978</v>
      </c>
      <c r="G5984" s="19">
        <f>IFERROR(__xludf.DUMMYFUNCTION("""COMPUTED_VALUE"""),0.00237)</f>
        <v>0.00237</v>
      </c>
      <c r="H5984" s="19" t="str">
        <f>IFERROR(__xludf.DUMMYFUNCTION("""COMPUTED_VALUE"""),"-")</f>
        <v>-</v>
      </c>
      <c r="I5984" s="19">
        <f>IFERROR(__xludf.DUMMYFUNCTION("""COMPUTED_VALUE"""),0.00218)</f>
        <v>0.00218</v>
      </c>
      <c r="J5984" s="19">
        <f>IFERROR(__xludf.DUMMYFUNCTION("""COMPUTED_VALUE"""),0.04406)</f>
        <v>0.04406</v>
      </c>
      <c r="K5984" s="19" t="str">
        <f>IFERROR(__xludf.DUMMYFUNCTION("""COMPUTED_VALUE"""),"-")</f>
        <v>-</v>
      </c>
      <c r="L5984" s="19" t="str">
        <f>IFERROR(__xludf.DUMMYFUNCTION("""COMPUTED_VALUE"""),"-")</f>
        <v>-</v>
      </c>
      <c r="O5984" s="24">
        <f t="shared" si="4"/>
        <v>0</v>
      </c>
      <c r="P5984" s="24"/>
      <c r="Q5984" s="24">
        <f t="shared" si="6"/>
        <v>0</v>
      </c>
      <c r="R5984" s="24">
        <f t="shared" si="7"/>
        <v>1</v>
      </c>
      <c r="S5984" s="24"/>
      <c r="T5984" s="24"/>
    </row>
    <row r="5985">
      <c r="A5985" s="12" t="s">
        <v>6072</v>
      </c>
      <c r="F5985" s="19">
        <f>IFERROR(__xludf.DUMMYFUNCTION("SPLIT(A5981, "" |"")"),5979.0)</f>
        <v>5979</v>
      </c>
      <c r="G5985" s="19">
        <f>IFERROR(__xludf.DUMMYFUNCTION("""COMPUTED_VALUE"""),0.00231)</f>
        <v>0.00231</v>
      </c>
      <c r="H5985" s="19" t="str">
        <f>IFERROR(__xludf.DUMMYFUNCTION("""COMPUTED_VALUE"""),"-")</f>
        <v>-</v>
      </c>
      <c r="I5985" s="19">
        <f>IFERROR(__xludf.DUMMYFUNCTION("""COMPUTED_VALUE"""),0.00217)</f>
        <v>0.00217</v>
      </c>
      <c r="J5985" s="19">
        <f>IFERROR(__xludf.DUMMYFUNCTION("""COMPUTED_VALUE"""),0.04742)</f>
        <v>0.04742</v>
      </c>
      <c r="K5985" s="19" t="str">
        <f>IFERROR(__xludf.DUMMYFUNCTION("""COMPUTED_VALUE"""),"-")</f>
        <v>-</v>
      </c>
      <c r="L5985" s="19" t="str">
        <f>IFERROR(__xludf.DUMMYFUNCTION("""COMPUTED_VALUE"""),"-")</f>
        <v>-</v>
      </c>
      <c r="O5985" s="24">
        <f t="shared" si="4"/>
        <v>0</v>
      </c>
      <c r="P5985" s="24"/>
      <c r="Q5985" s="24">
        <f t="shared" si="6"/>
        <v>0</v>
      </c>
      <c r="R5985" s="24">
        <f t="shared" si="7"/>
        <v>0</v>
      </c>
      <c r="S5985" s="24"/>
      <c r="T5985" s="24"/>
    </row>
    <row r="5986">
      <c r="A5986" s="12" t="s">
        <v>6073</v>
      </c>
      <c r="F5986" s="19">
        <f>IFERROR(__xludf.DUMMYFUNCTION("SPLIT(A5982, "" |"")"),5980.0)</f>
        <v>5980</v>
      </c>
      <c r="G5986" s="19">
        <f>IFERROR(__xludf.DUMMYFUNCTION("""COMPUTED_VALUE"""),0.00232)</f>
        <v>0.00232</v>
      </c>
      <c r="H5986" s="19" t="str">
        <f>IFERROR(__xludf.DUMMYFUNCTION("""COMPUTED_VALUE"""),"-")</f>
        <v>-</v>
      </c>
      <c r="I5986" s="19">
        <f>IFERROR(__xludf.DUMMYFUNCTION("""COMPUTED_VALUE"""),0.00221)</f>
        <v>0.00221</v>
      </c>
      <c r="J5986" s="19">
        <f>IFERROR(__xludf.DUMMYFUNCTION("""COMPUTED_VALUE"""),0.04739)</f>
        <v>0.04739</v>
      </c>
      <c r="K5986" s="19" t="str">
        <f>IFERROR(__xludf.DUMMYFUNCTION("""COMPUTED_VALUE"""),"-")</f>
        <v>-</v>
      </c>
      <c r="L5986" s="19" t="str">
        <f>IFERROR(__xludf.DUMMYFUNCTION("""COMPUTED_VALUE"""),"-")</f>
        <v>-</v>
      </c>
      <c r="O5986" s="24">
        <f t="shared" si="4"/>
        <v>0</v>
      </c>
      <c r="P5986" s="24"/>
      <c r="Q5986" s="24">
        <f t="shared" si="6"/>
        <v>0</v>
      </c>
      <c r="R5986" s="24">
        <f t="shared" si="7"/>
        <v>0</v>
      </c>
      <c r="S5986" s="24"/>
      <c r="T5986" s="24"/>
    </row>
    <row r="5987">
      <c r="A5987" s="12" t="s">
        <v>6074</v>
      </c>
      <c r="F5987" s="19">
        <f>IFERROR(__xludf.DUMMYFUNCTION("SPLIT(A5983, "" |"")"),5981.0)</f>
        <v>5981</v>
      </c>
      <c r="G5987" s="19">
        <f>IFERROR(__xludf.DUMMYFUNCTION("""COMPUTED_VALUE"""),0.00241)</f>
        <v>0.00241</v>
      </c>
      <c r="H5987" s="19" t="str">
        <f>IFERROR(__xludf.DUMMYFUNCTION("""COMPUTED_VALUE"""),"-")</f>
        <v>-</v>
      </c>
      <c r="I5987" s="19">
        <f>IFERROR(__xludf.DUMMYFUNCTION("""COMPUTED_VALUE"""),0.00222)</f>
        <v>0.00222</v>
      </c>
      <c r="J5987" s="19">
        <f>IFERROR(__xludf.DUMMYFUNCTION("""COMPUTED_VALUE"""),0.04734)</f>
        <v>0.04734</v>
      </c>
      <c r="K5987" s="19" t="str">
        <f>IFERROR(__xludf.DUMMYFUNCTION("""COMPUTED_VALUE"""),"-")</f>
        <v>-</v>
      </c>
      <c r="L5987" s="19" t="str">
        <f>IFERROR(__xludf.DUMMYFUNCTION("""COMPUTED_VALUE"""),"-")</f>
        <v>-</v>
      </c>
      <c r="O5987" s="24">
        <f t="shared" si="4"/>
        <v>0</v>
      </c>
      <c r="P5987" s="24"/>
      <c r="Q5987" s="24">
        <f t="shared" si="6"/>
        <v>0</v>
      </c>
      <c r="R5987" s="24">
        <f t="shared" si="7"/>
        <v>0</v>
      </c>
      <c r="S5987" s="24"/>
      <c r="T5987" s="24"/>
    </row>
    <row r="5988">
      <c r="A5988" s="12" t="s">
        <v>6075</v>
      </c>
      <c r="F5988" s="19">
        <f>IFERROR(__xludf.DUMMYFUNCTION("SPLIT(A5984, "" |"")"),5982.0)</f>
        <v>5982</v>
      </c>
      <c r="G5988" s="19">
        <f>IFERROR(__xludf.DUMMYFUNCTION("""COMPUTED_VALUE"""),0.00238)</f>
        <v>0.00238</v>
      </c>
      <c r="H5988" s="19" t="str">
        <f>IFERROR(__xludf.DUMMYFUNCTION("""COMPUTED_VALUE"""),"-")</f>
        <v>-</v>
      </c>
      <c r="I5988" s="19">
        <f>IFERROR(__xludf.DUMMYFUNCTION("""COMPUTED_VALUE"""),0.00219)</f>
        <v>0.00219</v>
      </c>
      <c r="J5988" s="19">
        <f>IFERROR(__xludf.DUMMYFUNCTION("""COMPUTED_VALUE"""),0.0463)</f>
        <v>0.0463</v>
      </c>
      <c r="K5988" s="19" t="str">
        <f>IFERROR(__xludf.DUMMYFUNCTION("""COMPUTED_VALUE"""),"-")</f>
        <v>-</v>
      </c>
      <c r="L5988" s="19" t="str">
        <f>IFERROR(__xludf.DUMMYFUNCTION("""COMPUTED_VALUE"""),"-")</f>
        <v>-</v>
      </c>
      <c r="O5988" s="24">
        <f t="shared" si="4"/>
        <v>0</v>
      </c>
      <c r="P5988" s="24"/>
      <c r="Q5988" s="24">
        <f t="shared" si="6"/>
        <v>0</v>
      </c>
      <c r="R5988" s="24">
        <f t="shared" si="7"/>
        <v>0</v>
      </c>
      <c r="S5988" s="24"/>
      <c r="T5988" s="24"/>
    </row>
    <row r="5989">
      <c r="A5989" s="12" t="s">
        <v>6076</v>
      </c>
      <c r="F5989" s="19">
        <f>IFERROR(__xludf.DUMMYFUNCTION("SPLIT(A5985, "" |"")"),5983.0)</f>
        <v>5983</v>
      </c>
      <c r="G5989" s="19">
        <f>IFERROR(__xludf.DUMMYFUNCTION("""COMPUTED_VALUE"""),0.00235)</f>
        <v>0.00235</v>
      </c>
      <c r="H5989" s="19" t="str">
        <f>IFERROR(__xludf.DUMMYFUNCTION("""COMPUTED_VALUE"""),"-")</f>
        <v>-</v>
      </c>
      <c r="I5989" s="19">
        <f>IFERROR(__xludf.DUMMYFUNCTION("""COMPUTED_VALUE"""),0.00217)</f>
        <v>0.00217</v>
      </c>
      <c r="J5989" s="19">
        <f>IFERROR(__xludf.DUMMYFUNCTION("""COMPUTED_VALUE"""),0.0474)</f>
        <v>0.0474</v>
      </c>
      <c r="K5989" s="19" t="str">
        <f>IFERROR(__xludf.DUMMYFUNCTION("""COMPUTED_VALUE"""),"-")</f>
        <v>-</v>
      </c>
      <c r="L5989" s="19" t="str">
        <f>IFERROR(__xludf.DUMMYFUNCTION("""COMPUTED_VALUE"""),"-")</f>
        <v>-</v>
      </c>
      <c r="O5989" s="24">
        <f t="shared" si="4"/>
        <v>0</v>
      </c>
      <c r="P5989" s="24"/>
      <c r="Q5989" s="24">
        <f t="shared" si="6"/>
        <v>0</v>
      </c>
      <c r="R5989" s="24">
        <f t="shared" si="7"/>
        <v>0</v>
      </c>
      <c r="S5989" s="24"/>
      <c r="T5989" s="24"/>
    </row>
    <row r="5990">
      <c r="A5990" s="12" t="s">
        <v>6077</v>
      </c>
      <c r="F5990" s="19">
        <f>IFERROR(__xludf.DUMMYFUNCTION("SPLIT(A5986, "" |"")"),5984.0)</f>
        <v>5984</v>
      </c>
      <c r="G5990" s="19">
        <f>IFERROR(__xludf.DUMMYFUNCTION("""COMPUTED_VALUE"""),0.00231)</f>
        <v>0.00231</v>
      </c>
      <c r="H5990" s="19" t="str">
        <f>IFERROR(__xludf.DUMMYFUNCTION("""COMPUTED_VALUE"""),"-")</f>
        <v>-</v>
      </c>
      <c r="I5990" s="19">
        <f>IFERROR(__xludf.DUMMYFUNCTION("""COMPUTED_VALUE"""),0.00218)</f>
        <v>0.00218</v>
      </c>
      <c r="J5990" s="19">
        <f>IFERROR(__xludf.DUMMYFUNCTION("""COMPUTED_VALUE"""),0.0445)</f>
        <v>0.0445</v>
      </c>
      <c r="K5990" s="19" t="str">
        <f>IFERROR(__xludf.DUMMYFUNCTION("""COMPUTED_VALUE"""),"-")</f>
        <v>-</v>
      </c>
      <c r="L5990" s="19" t="str">
        <f>IFERROR(__xludf.DUMMYFUNCTION("""COMPUTED_VALUE"""),"-")</f>
        <v>-</v>
      </c>
      <c r="O5990" s="24">
        <f t="shared" si="4"/>
        <v>0</v>
      </c>
      <c r="P5990" s="24"/>
      <c r="Q5990" s="24">
        <f t="shared" si="6"/>
        <v>0</v>
      </c>
      <c r="R5990" s="24">
        <f t="shared" si="7"/>
        <v>1</v>
      </c>
      <c r="S5990" s="24"/>
      <c r="T5990" s="24"/>
    </row>
    <row r="5991">
      <c r="A5991" s="12" t="s">
        <v>6078</v>
      </c>
      <c r="F5991" s="19">
        <f>IFERROR(__xludf.DUMMYFUNCTION("SPLIT(A5987, "" |"")"),5985.0)</f>
        <v>5985</v>
      </c>
      <c r="G5991" s="19">
        <f>IFERROR(__xludf.DUMMYFUNCTION("""COMPUTED_VALUE"""),0.00236)</f>
        <v>0.00236</v>
      </c>
      <c r="H5991" s="19" t="str">
        <f>IFERROR(__xludf.DUMMYFUNCTION("""COMPUTED_VALUE"""),"-")</f>
        <v>-</v>
      </c>
      <c r="I5991" s="19">
        <f>IFERROR(__xludf.DUMMYFUNCTION("""COMPUTED_VALUE"""),0.00221)</f>
        <v>0.00221</v>
      </c>
      <c r="J5991" s="19">
        <f>IFERROR(__xludf.DUMMYFUNCTION("""COMPUTED_VALUE"""),0.04475)</f>
        <v>0.04475</v>
      </c>
      <c r="K5991" s="19" t="str">
        <f>IFERROR(__xludf.DUMMYFUNCTION("""COMPUTED_VALUE"""),"-")</f>
        <v>-</v>
      </c>
      <c r="L5991" s="19" t="str">
        <f>IFERROR(__xludf.DUMMYFUNCTION("""COMPUTED_VALUE"""),"-")</f>
        <v>-</v>
      </c>
      <c r="O5991" s="24">
        <f t="shared" si="4"/>
        <v>0</v>
      </c>
      <c r="P5991" s="24"/>
      <c r="Q5991" s="24">
        <f t="shared" si="6"/>
        <v>0</v>
      </c>
      <c r="R5991" s="24">
        <f t="shared" si="7"/>
        <v>1</v>
      </c>
      <c r="S5991" s="24"/>
      <c r="T5991" s="24"/>
    </row>
    <row r="5992">
      <c r="A5992" s="12" t="s">
        <v>6079</v>
      </c>
      <c r="F5992" s="19">
        <f>IFERROR(__xludf.DUMMYFUNCTION("SPLIT(A5988, "" |"")"),5986.0)</f>
        <v>5986</v>
      </c>
      <c r="G5992" s="19">
        <f>IFERROR(__xludf.DUMMYFUNCTION("""COMPUTED_VALUE"""),0.00226)</f>
        <v>0.00226</v>
      </c>
      <c r="H5992" s="19" t="str">
        <f>IFERROR(__xludf.DUMMYFUNCTION("""COMPUTED_VALUE"""),"-")</f>
        <v>-</v>
      </c>
      <c r="I5992" s="19">
        <f>IFERROR(__xludf.DUMMYFUNCTION("""COMPUTED_VALUE"""),0.00216)</f>
        <v>0.00216</v>
      </c>
      <c r="J5992" s="19">
        <f>IFERROR(__xludf.DUMMYFUNCTION("""COMPUTED_VALUE"""),0.04737)</f>
        <v>0.04737</v>
      </c>
      <c r="K5992" s="19" t="str">
        <f>IFERROR(__xludf.DUMMYFUNCTION("""COMPUTED_VALUE"""),"-")</f>
        <v>-</v>
      </c>
      <c r="L5992" s="19" t="str">
        <f>IFERROR(__xludf.DUMMYFUNCTION("""COMPUTED_VALUE"""),"-")</f>
        <v>-</v>
      </c>
      <c r="O5992" s="24">
        <f t="shared" si="4"/>
        <v>0</v>
      </c>
      <c r="P5992" s="24"/>
      <c r="Q5992" s="24">
        <f t="shared" si="6"/>
        <v>0</v>
      </c>
      <c r="R5992" s="24">
        <f t="shared" si="7"/>
        <v>0</v>
      </c>
      <c r="S5992" s="24"/>
      <c r="T5992" s="24"/>
    </row>
    <row r="5993">
      <c r="A5993" s="12" t="s">
        <v>6080</v>
      </c>
      <c r="F5993" s="19">
        <f>IFERROR(__xludf.DUMMYFUNCTION("SPLIT(A5989, "" |"")"),5987.0)</f>
        <v>5987</v>
      </c>
      <c r="G5993" s="19">
        <f>IFERROR(__xludf.DUMMYFUNCTION("""COMPUTED_VALUE"""),0.00232)</f>
        <v>0.00232</v>
      </c>
      <c r="H5993" s="19" t="str">
        <f>IFERROR(__xludf.DUMMYFUNCTION("""COMPUTED_VALUE"""),"-")</f>
        <v>-</v>
      </c>
      <c r="I5993" s="19">
        <f>IFERROR(__xludf.DUMMYFUNCTION("""COMPUTED_VALUE"""),0.00223)</f>
        <v>0.00223</v>
      </c>
      <c r="J5993" s="19">
        <f>IFERROR(__xludf.DUMMYFUNCTION("""COMPUTED_VALUE"""),0.04742)</f>
        <v>0.04742</v>
      </c>
      <c r="K5993" s="19" t="str">
        <f>IFERROR(__xludf.DUMMYFUNCTION("""COMPUTED_VALUE"""),"-")</f>
        <v>-</v>
      </c>
      <c r="L5993" s="19" t="str">
        <f>IFERROR(__xludf.DUMMYFUNCTION("""COMPUTED_VALUE"""),"-")</f>
        <v>-</v>
      </c>
      <c r="O5993" s="24">
        <f t="shared" si="4"/>
        <v>0</v>
      </c>
      <c r="P5993" s="24"/>
      <c r="Q5993" s="24">
        <f t="shared" si="6"/>
        <v>0</v>
      </c>
      <c r="R5993" s="24">
        <f t="shared" si="7"/>
        <v>0</v>
      </c>
      <c r="S5993" s="24"/>
      <c r="T5993" s="24"/>
    </row>
    <row r="5994">
      <c r="A5994" s="12" t="s">
        <v>6081</v>
      </c>
      <c r="F5994" s="19">
        <f>IFERROR(__xludf.DUMMYFUNCTION("SPLIT(A5990, "" |"")"),5988.0)</f>
        <v>5988</v>
      </c>
      <c r="G5994" s="19">
        <f>IFERROR(__xludf.DUMMYFUNCTION("""COMPUTED_VALUE"""),0.00234)</f>
        <v>0.00234</v>
      </c>
      <c r="H5994" s="19" t="str">
        <f>IFERROR(__xludf.DUMMYFUNCTION("""COMPUTED_VALUE"""),"-")</f>
        <v>-</v>
      </c>
      <c r="I5994" s="19">
        <f>IFERROR(__xludf.DUMMYFUNCTION("""COMPUTED_VALUE"""),0.0022)</f>
        <v>0.0022</v>
      </c>
      <c r="J5994" s="19">
        <f>IFERROR(__xludf.DUMMYFUNCTION("""COMPUTED_VALUE"""),0.04737)</f>
        <v>0.04737</v>
      </c>
      <c r="K5994" s="19" t="str">
        <f>IFERROR(__xludf.DUMMYFUNCTION("""COMPUTED_VALUE"""),"-")</f>
        <v>-</v>
      </c>
      <c r="L5994" s="19" t="str">
        <f>IFERROR(__xludf.DUMMYFUNCTION("""COMPUTED_VALUE"""),"-")</f>
        <v>-</v>
      </c>
      <c r="O5994" s="24">
        <f t="shared" si="4"/>
        <v>0</v>
      </c>
      <c r="P5994" s="24"/>
      <c r="Q5994" s="24">
        <f t="shared" si="6"/>
        <v>0</v>
      </c>
      <c r="R5994" s="24">
        <f t="shared" si="7"/>
        <v>0</v>
      </c>
      <c r="S5994" s="24"/>
      <c r="T5994" s="24"/>
    </row>
    <row r="5995">
      <c r="A5995" s="12" t="s">
        <v>6082</v>
      </c>
      <c r="F5995" s="19">
        <f>IFERROR(__xludf.DUMMYFUNCTION("SPLIT(A5991, "" |"")"),5989.0)</f>
        <v>5989</v>
      </c>
      <c r="G5995" s="19">
        <f>IFERROR(__xludf.DUMMYFUNCTION("""COMPUTED_VALUE"""),0.00234)</f>
        <v>0.00234</v>
      </c>
      <c r="H5995" s="19" t="str">
        <f>IFERROR(__xludf.DUMMYFUNCTION("""COMPUTED_VALUE"""),"-")</f>
        <v>-</v>
      </c>
      <c r="I5995" s="19">
        <f>IFERROR(__xludf.DUMMYFUNCTION("""COMPUTED_VALUE"""),0.00216)</f>
        <v>0.00216</v>
      </c>
      <c r="J5995" s="19">
        <f>IFERROR(__xludf.DUMMYFUNCTION("""COMPUTED_VALUE"""),0.04732)</f>
        <v>0.04732</v>
      </c>
      <c r="K5995" s="19" t="str">
        <f>IFERROR(__xludf.DUMMYFUNCTION("""COMPUTED_VALUE"""),"-")</f>
        <v>-</v>
      </c>
      <c r="L5995" s="19" t="str">
        <f>IFERROR(__xludf.DUMMYFUNCTION("""COMPUTED_VALUE"""),"-")</f>
        <v>-</v>
      </c>
      <c r="O5995" s="24">
        <f t="shared" si="4"/>
        <v>0</v>
      </c>
      <c r="P5995" s="24"/>
      <c r="Q5995" s="24">
        <f t="shared" si="6"/>
        <v>0</v>
      </c>
      <c r="R5995" s="24">
        <f t="shared" si="7"/>
        <v>0</v>
      </c>
      <c r="S5995" s="24"/>
      <c r="T5995" s="24"/>
    </row>
    <row r="5996">
      <c r="A5996" s="12" t="s">
        <v>6083</v>
      </c>
      <c r="F5996" s="19">
        <f>IFERROR(__xludf.DUMMYFUNCTION("SPLIT(A5992, "" |"")"),5990.0)</f>
        <v>5990</v>
      </c>
      <c r="G5996" s="19">
        <f>IFERROR(__xludf.DUMMYFUNCTION("""COMPUTED_VALUE"""),0.00236)</f>
        <v>0.00236</v>
      </c>
      <c r="H5996" s="19" t="str">
        <f>IFERROR(__xludf.DUMMYFUNCTION("""COMPUTED_VALUE"""),"-")</f>
        <v>-</v>
      </c>
      <c r="I5996" s="19">
        <f>IFERROR(__xludf.DUMMYFUNCTION("""COMPUTED_VALUE"""),0.00228)</f>
        <v>0.00228</v>
      </c>
      <c r="J5996" s="19">
        <f>IFERROR(__xludf.DUMMYFUNCTION("""COMPUTED_VALUE"""),0.04013)</f>
        <v>0.04013</v>
      </c>
      <c r="K5996" s="19" t="str">
        <f>IFERROR(__xludf.DUMMYFUNCTION("""COMPUTED_VALUE"""),"-")</f>
        <v>-</v>
      </c>
      <c r="L5996" s="19" t="str">
        <f>IFERROR(__xludf.DUMMYFUNCTION("""COMPUTED_VALUE"""),"-")</f>
        <v>-</v>
      </c>
      <c r="O5996" s="24">
        <f t="shared" si="4"/>
        <v>0</v>
      </c>
      <c r="P5996" s="24"/>
      <c r="Q5996" s="24">
        <f t="shared" si="6"/>
        <v>0</v>
      </c>
      <c r="R5996" s="24">
        <f t="shared" si="7"/>
        <v>1</v>
      </c>
      <c r="S5996" s="24"/>
      <c r="T5996" s="24"/>
    </row>
    <row r="5997">
      <c r="A5997" s="12" t="s">
        <v>6084</v>
      </c>
      <c r="F5997" s="19">
        <f>IFERROR(__xludf.DUMMYFUNCTION("SPLIT(A5993, "" |"")"),5991.0)</f>
        <v>5991</v>
      </c>
      <c r="G5997" s="19">
        <f>IFERROR(__xludf.DUMMYFUNCTION("""COMPUTED_VALUE"""),0.00234)</f>
        <v>0.00234</v>
      </c>
      <c r="H5997" s="19" t="str">
        <f>IFERROR(__xludf.DUMMYFUNCTION("""COMPUTED_VALUE"""),"-")</f>
        <v>-</v>
      </c>
      <c r="I5997" s="19">
        <f>IFERROR(__xludf.DUMMYFUNCTION("""COMPUTED_VALUE"""),0.0022)</f>
        <v>0.0022</v>
      </c>
      <c r="J5997" s="19">
        <f>IFERROR(__xludf.DUMMYFUNCTION("""COMPUTED_VALUE"""),0.04747)</f>
        <v>0.04747</v>
      </c>
      <c r="K5997" s="19" t="str">
        <f>IFERROR(__xludf.DUMMYFUNCTION("""COMPUTED_VALUE"""),"-")</f>
        <v>-</v>
      </c>
      <c r="L5997" s="19" t="str">
        <f>IFERROR(__xludf.DUMMYFUNCTION("""COMPUTED_VALUE"""),"-")</f>
        <v>-</v>
      </c>
      <c r="O5997" s="24">
        <f t="shared" si="4"/>
        <v>0</v>
      </c>
      <c r="P5997" s="24"/>
      <c r="Q5997" s="24">
        <f t="shared" si="6"/>
        <v>0</v>
      </c>
      <c r="R5997" s="24">
        <f t="shared" si="7"/>
        <v>0</v>
      </c>
      <c r="S5997" s="24"/>
      <c r="T5997" s="24"/>
    </row>
    <row r="5998">
      <c r="A5998" s="12" t="s">
        <v>6085</v>
      </c>
      <c r="F5998" s="19">
        <f>IFERROR(__xludf.DUMMYFUNCTION("SPLIT(A5994, "" |"")"),5992.0)</f>
        <v>5992</v>
      </c>
      <c r="G5998" s="19">
        <f>IFERROR(__xludf.DUMMYFUNCTION("""COMPUTED_VALUE"""),0.00236)</f>
        <v>0.00236</v>
      </c>
      <c r="H5998" s="19" t="str">
        <f>IFERROR(__xludf.DUMMYFUNCTION("""COMPUTED_VALUE"""),"-")</f>
        <v>-</v>
      </c>
      <c r="I5998" s="19">
        <f>IFERROR(__xludf.DUMMYFUNCTION("""COMPUTED_VALUE"""),0.00222)</f>
        <v>0.00222</v>
      </c>
      <c r="J5998" s="19">
        <f>IFERROR(__xludf.DUMMYFUNCTION("""COMPUTED_VALUE"""),0.04742)</f>
        <v>0.04742</v>
      </c>
      <c r="K5998" s="19" t="str">
        <f>IFERROR(__xludf.DUMMYFUNCTION("""COMPUTED_VALUE"""),"-")</f>
        <v>-</v>
      </c>
      <c r="L5998" s="19" t="str">
        <f>IFERROR(__xludf.DUMMYFUNCTION("""COMPUTED_VALUE"""),"-")</f>
        <v>-</v>
      </c>
      <c r="O5998" s="24">
        <f t="shared" si="4"/>
        <v>0</v>
      </c>
      <c r="P5998" s="24"/>
      <c r="Q5998" s="24">
        <f t="shared" si="6"/>
        <v>0</v>
      </c>
      <c r="R5998" s="24">
        <f t="shared" si="7"/>
        <v>0</v>
      </c>
      <c r="S5998" s="24"/>
      <c r="T5998" s="24"/>
    </row>
    <row r="5999">
      <c r="A5999" s="12" t="s">
        <v>6086</v>
      </c>
      <c r="F5999" s="19">
        <f>IFERROR(__xludf.DUMMYFUNCTION("SPLIT(A5995, "" |"")"),5993.0)</f>
        <v>5993</v>
      </c>
      <c r="G5999" s="19">
        <f>IFERROR(__xludf.DUMMYFUNCTION("""COMPUTED_VALUE"""),0.00221)</f>
        <v>0.00221</v>
      </c>
      <c r="H5999" s="19" t="str">
        <f>IFERROR(__xludf.DUMMYFUNCTION("""COMPUTED_VALUE"""),"-")</f>
        <v>-</v>
      </c>
      <c r="I5999" s="19">
        <f>IFERROR(__xludf.DUMMYFUNCTION("""COMPUTED_VALUE"""),0.00206)</f>
        <v>0.00206</v>
      </c>
      <c r="J5999" s="19">
        <f>IFERROR(__xludf.DUMMYFUNCTION("""COMPUTED_VALUE"""),0.04731)</f>
        <v>0.04731</v>
      </c>
      <c r="K5999" s="19" t="str">
        <f>IFERROR(__xludf.DUMMYFUNCTION("""COMPUTED_VALUE"""),"-")</f>
        <v>-</v>
      </c>
      <c r="L5999" s="19" t="str">
        <f>IFERROR(__xludf.DUMMYFUNCTION("""COMPUTED_VALUE"""),"-")</f>
        <v>-</v>
      </c>
      <c r="O5999" s="24">
        <f t="shared" si="4"/>
        <v>0</v>
      </c>
      <c r="P5999" s="24"/>
      <c r="Q5999" s="24">
        <f t="shared" si="6"/>
        <v>0</v>
      </c>
      <c r="R5999" s="24">
        <f t="shared" si="7"/>
        <v>0</v>
      </c>
      <c r="S5999" s="24"/>
      <c r="T5999" s="24"/>
    </row>
    <row r="6000">
      <c r="A6000" s="12" t="s">
        <v>6087</v>
      </c>
      <c r="F6000" s="19">
        <f>IFERROR(__xludf.DUMMYFUNCTION("SPLIT(A5996, "" |"")"),5994.0)</f>
        <v>5994</v>
      </c>
      <c r="G6000" s="19">
        <f>IFERROR(__xludf.DUMMYFUNCTION("""COMPUTED_VALUE"""),0.00241)</f>
        <v>0.00241</v>
      </c>
      <c r="H6000" s="19" t="str">
        <f>IFERROR(__xludf.DUMMYFUNCTION("""COMPUTED_VALUE"""),"-")</f>
        <v>-</v>
      </c>
      <c r="I6000" s="19">
        <f>IFERROR(__xludf.DUMMYFUNCTION("""COMPUTED_VALUE"""),0.0022)</f>
        <v>0.0022</v>
      </c>
      <c r="J6000" s="19">
        <f>IFERROR(__xludf.DUMMYFUNCTION("""COMPUTED_VALUE"""),0.04745)</f>
        <v>0.04745</v>
      </c>
      <c r="K6000" s="19" t="str">
        <f>IFERROR(__xludf.DUMMYFUNCTION("""COMPUTED_VALUE"""),"-")</f>
        <v>-</v>
      </c>
      <c r="L6000" s="19" t="str">
        <f>IFERROR(__xludf.DUMMYFUNCTION("""COMPUTED_VALUE"""),"-")</f>
        <v>-</v>
      </c>
      <c r="O6000" s="24">
        <f t="shared" si="4"/>
        <v>0</v>
      </c>
      <c r="P6000" s="24"/>
      <c r="Q6000" s="24">
        <f t="shared" si="6"/>
        <v>0</v>
      </c>
      <c r="R6000" s="24">
        <f t="shared" si="7"/>
        <v>0</v>
      </c>
      <c r="S6000" s="24"/>
      <c r="T6000" s="24"/>
    </row>
    <row r="6001">
      <c r="A6001" s="12" t="s">
        <v>6088</v>
      </c>
      <c r="F6001" s="19">
        <f>IFERROR(__xludf.DUMMYFUNCTION("SPLIT(A5997, "" |"")"),5995.0)</f>
        <v>5995</v>
      </c>
      <c r="G6001" s="19">
        <f>IFERROR(__xludf.DUMMYFUNCTION("""COMPUTED_VALUE"""),0.00232)</f>
        <v>0.00232</v>
      </c>
      <c r="H6001" s="19" t="str">
        <f>IFERROR(__xludf.DUMMYFUNCTION("""COMPUTED_VALUE"""),"-")</f>
        <v>-</v>
      </c>
      <c r="I6001" s="19">
        <f>IFERROR(__xludf.DUMMYFUNCTION("""COMPUTED_VALUE"""),0.00222)</f>
        <v>0.00222</v>
      </c>
      <c r="J6001" s="19">
        <f>IFERROR(__xludf.DUMMYFUNCTION("""COMPUTED_VALUE"""),0.04737)</f>
        <v>0.04737</v>
      </c>
      <c r="K6001" s="19" t="str">
        <f>IFERROR(__xludf.DUMMYFUNCTION("""COMPUTED_VALUE"""),"-")</f>
        <v>-</v>
      </c>
      <c r="L6001" s="19" t="str">
        <f>IFERROR(__xludf.DUMMYFUNCTION("""COMPUTED_VALUE"""),"-")</f>
        <v>-</v>
      </c>
      <c r="O6001" s="24">
        <f t="shared" si="4"/>
        <v>0</v>
      </c>
      <c r="P6001" s="24"/>
      <c r="Q6001" s="24">
        <f t="shared" si="6"/>
        <v>0</v>
      </c>
      <c r="R6001" s="24">
        <f t="shared" si="7"/>
        <v>0</v>
      </c>
      <c r="S6001" s="24"/>
      <c r="T6001" s="24"/>
    </row>
    <row r="6002">
      <c r="A6002" s="12" t="s">
        <v>6089</v>
      </c>
      <c r="F6002" s="19">
        <f>IFERROR(__xludf.DUMMYFUNCTION("SPLIT(A5998, "" |"")"),5996.0)</f>
        <v>5996</v>
      </c>
      <c r="G6002" s="19">
        <f>IFERROR(__xludf.DUMMYFUNCTION("""COMPUTED_VALUE"""),0.00236)</f>
        <v>0.00236</v>
      </c>
      <c r="H6002" s="19" t="str">
        <f>IFERROR(__xludf.DUMMYFUNCTION("""COMPUTED_VALUE"""),"-")</f>
        <v>-</v>
      </c>
      <c r="I6002" s="19">
        <f>IFERROR(__xludf.DUMMYFUNCTION("""COMPUTED_VALUE"""),0.00222)</f>
        <v>0.00222</v>
      </c>
      <c r="J6002" s="19">
        <f>IFERROR(__xludf.DUMMYFUNCTION("""COMPUTED_VALUE"""),0.04741)</f>
        <v>0.04741</v>
      </c>
      <c r="K6002" s="19" t="str">
        <f>IFERROR(__xludf.DUMMYFUNCTION("""COMPUTED_VALUE"""),"-")</f>
        <v>-</v>
      </c>
      <c r="L6002" s="19" t="str">
        <f>IFERROR(__xludf.DUMMYFUNCTION("""COMPUTED_VALUE"""),"-")</f>
        <v>-</v>
      </c>
      <c r="O6002" s="24">
        <f t="shared" si="4"/>
        <v>0</v>
      </c>
      <c r="P6002" s="24"/>
      <c r="Q6002" s="24">
        <f t="shared" si="6"/>
        <v>0</v>
      </c>
      <c r="R6002" s="24">
        <f t="shared" si="7"/>
        <v>0</v>
      </c>
      <c r="S6002" s="24"/>
      <c r="T6002" s="24"/>
    </row>
    <row r="6003">
      <c r="F6003" s="19">
        <f>IFERROR(__xludf.DUMMYFUNCTION("SPLIT(A5999, "" |"")"),5997.0)</f>
        <v>5997</v>
      </c>
      <c r="G6003" s="19">
        <f>IFERROR(__xludf.DUMMYFUNCTION("""COMPUTED_VALUE"""),0.0022)</f>
        <v>0.0022</v>
      </c>
      <c r="H6003" s="19" t="str">
        <f>IFERROR(__xludf.DUMMYFUNCTION("""COMPUTED_VALUE"""),"-")</f>
        <v>-</v>
      </c>
      <c r="I6003" s="19">
        <f>IFERROR(__xludf.DUMMYFUNCTION("""COMPUTED_VALUE"""),0.00227)</f>
        <v>0.00227</v>
      </c>
      <c r="J6003" s="19">
        <f>IFERROR(__xludf.DUMMYFUNCTION("""COMPUTED_VALUE"""),0.04744)</f>
        <v>0.04744</v>
      </c>
      <c r="K6003" s="19" t="str">
        <f>IFERROR(__xludf.DUMMYFUNCTION("""COMPUTED_VALUE"""),"-")</f>
        <v>-</v>
      </c>
      <c r="L6003" s="19" t="str">
        <f>IFERROR(__xludf.DUMMYFUNCTION("""COMPUTED_VALUE"""),"-")</f>
        <v>-</v>
      </c>
      <c r="O6003" s="24">
        <f t="shared" si="4"/>
        <v>0</v>
      </c>
      <c r="P6003" s="24"/>
      <c r="Q6003" s="24">
        <f t="shared" si="6"/>
        <v>0</v>
      </c>
      <c r="R6003" s="24">
        <f t="shared" si="7"/>
        <v>0</v>
      </c>
      <c r="S6003" s="24"/>
      <c r="T6003" s="24"/>
    </row>
    <row r="6004">
      <c r="F6004" s="19">
        <f>IFERROR(__xludf.DUMMYFUNCTION("SPLIT(A6000, "" |"")"),5998.0)</f>
        <v>5998</v>
      </c>
      <c r="G6004" s="19">
        <f>IFERROR(__xludf.DUMMYFUNCTION("""COMPUTED_VALUE"""),0.00238)</f>
        <v>0.00238</v>
      </c>
      <c r="H6004" s="19" t="str">
        <f>IFERROR(__xludf.DUMMYFUNCTION("""COMPUTED_VALUE"""),"-")</f>
        <v>-</v>
      </c>
      <c r="I6004" s="19">
        <f>IFERROR(__xludf.DUMMYFUNCTION("""COMPUTED_VALUE"""),0.00218)</f>
        <v>0.00218</v>
      </c>
      <c r="J6004" s="19">
        <f>IFERROR(__xludf.DUMMYFUNCTION("""COMPUTED_VALUE"""),0.04745)</f>
        <v>0.04745</v>
      </c>
      <c r="K6004" s="19" t="str">
        <f>IFERROR(__xludf.DUMMYFUNCTION("""COMPUTED_VALUE"""),"-")</f>
        <v>-</v>
      </c>
      <c r="L6004" s="19" t="str">
        <f>IFERROR(__xludf.DUMMYFUNCTION("""COMPUTED_VALUE"""),"-")</f>
        <v>-</v>
      </c>
      <c r="O6004" s="24">
        <f t="shared" si="4"/>
        <v>0</v>
      </c>
      <c r="P6004" s="24"/>
      <c r="Q6004" s="24">
        <f t="shared" si="6"/>
        <v>0</v>
      </c>
      <c r="R6004" s="24">
        <f t="shared" si="7"/>
        <v>0</v>
      </c>
      <c r="S6004" s="24"/>
      <c r="T6004" s="24"/>
    </row>
    <row r="6005">
      <c r="F6005" s="19">
        <f>IFERROR(__xludf.DUMMYFUNCTION("SPLIT(A6001, "" |"")"),5999.0)</f>
        <v>5999</v>
      </c>
      <c r="G6005" s="19">
        <f>IFERROR(__xludf.DUMMYFUNCTION("""COMPUTED_VALUE"""),0.00233)</f>
        <v>0.00233</v>
      </c>
      <c r="H6005" s="19" t="str">
        <f>IFERROR(__xludf.DUMMYFUNCTION("""COMPUTED_VALUE"""),"-")</f>
        <v>-</v>
      </c>
      <c r="I6005" s="19">
        <f>IFERROR(__xludf.DUMMYFUNCTION("""COMPUTED_VALUE"""),0.00221)</f>
        <v>0.00221</v>
      </c>
      <c r="J6005" s="19">
        <f>IFERROR(__xludf.DUMMYFUNCTION("""COMPUTED_VALUE"""),0.04749)</f>
        <v>0.04749</v>
      </c>
      <c r="K6005" s="19" t="str">
        <f>IFERROR(__xludf.DUMMYFUNCTION("""COMPUTED_VALUE"""),"-")</f>
        <v>-</v>
      </c>
      <c r="L6005" s="19" t="str">
        <f>IFERROR(__xludf.DUMMYFUNCTION("""COMPUTED_VALUE"""),"-")</f>
        <v>-</v>
      </c>
      <c r="O6005" s="24">
        <f t="shared" si="4"/>
        <v>0</v>
      </c>
      <c r="P6005" s="24"/>
      <c r="Q6005" s="24">
        <f t="shared" si="6"/>
        <v>0</v>
      </c>
      <c r="R6005" s="24">
        <f t="shared" si="7"/>
        <v>0</v>
      </c>
      <c r="S6005" s="24"/>
      <c r="T6005" s="24"/>
    </row>
    <row r="6006">
      <c r="F6006" s="19">
        <f>IFERROR(__xludf.DUMMYFUNCTION("SPLIT(A6002, "" |"")"),6000.0)</f>
        <v>6000</v>
      </c>
      <c r="G6006" s="19">
        <f>IFERROR(__xludf.DUMMYFUNCTION("""COMPUTED_VALUE"""),0.00234)</f>
        <v>0.00234</v>
      </c>
      <c r="H6006" s="19" t="str">
        <f>IFERROR(__xludf.DUMMYFUNCTION("""COMPUTED_VALUE"""),"-")</f>
        <v>-</v>
      </c>
      <c r="I6006" s="19">
        <f>IFERROR(__xludf.DUMMYFUNCTION("""COMPUTED_VALUE"""),0.00219)</f>
        <v>0.00219</v>
      </c>
      <c r="J6006" s="19">
        <f>IFERROR(__xludf.DUMMYFUNCTION("""COMPUTED_VALUE"""),0.04743)</f>
        <v>0.04743</v>
      </c>
      <c r="K6006" s="19" t="str">
        <f>IFERROR(__xludf.DUMMYFUNCTION("""COMPUTED_VALUE"""),"-")</f>
        <v>-</v>
      </c>
      <c r="L6006" s="19" t="str">
        <f>IFERROR(__xludf.DUMMYFUNCTION("""COMPUTED_VALUE"""),"-")</f>
        <v>-</v>
      </c>
      <c r="O6006" s="24">
        <f t="shared" si="4"/>
        <v>0</v>
      </c>
      <c r="P6006" s="24"/>
      <c r="Q6006" s="24">
        <f t="shared" si="6"/>
        <v>0</v>
      </c>
      <c r="R6006" s="24">
        <f t="shared" si="7"/>
        <v>0</v>
      </c>
      <c r="S6006" s="24"/>
      <c r="T6006" s="24"/>
    </row>
  </sheetData>
  <autoFilter ref="$G$1:$L$6006"/>
  <customSheetViews>
    <customSheetView guid="{925F4F05-2029-40AB-AA61-867C6D3DB627}" filter="1" showAutoFilter="1">
      <autoFilter ref="$G$3:$L$5"/>
    </customSheetView>
  </customSheetViews>
  <mergeCells count="2">
    <mergeCell ref="X86:Z86"/>
    <mergeCell ref="AA86:AC86"/>
  </mergeCells>
  <conditionalFormatting sqref="G1:G3 G5:G6006 X86">
    <cfRule type="cellIs" dxfId="0" priority="1" operator="notBetween">
      <formula>$W$14</formula>
      <formula>$W$15</formula>
    </cfRule>
  </conditionalFormatting>
  <conditionalFormatting sqref="H1:H3 H5:H55">
    <cfRule type="cellIs" dxfId="0" priority="2" operator="notBetween">
      <formula>$X$14</formula>
      <formula>$X$15</formula>
    </cfRule>
  </conditionalFormatting>
  <conditionalFormatting sqref="I1:I3 I5:I6006">
    <cfRule type="cellIs" dxfId="0" priority="3" operator="notBetween">
      <formula>$Y$14</formula>
      <formula>$Y$15</formula>
    </cfRule>
  </conditionalFormatting>
  <conditionalFormatting sqref="J1:J3 J5:J6006 AA86">
    <cfRule type="cellIs" dxfId="0" priority="4" operator="notBetween">
      <formula>$Z$14</formula>
      <formula>$Z$15</formula>
    </cfRule>
  </conditionalFormatting>
  <conditionalFormatting sqref="K1:K3 K5:K48">
    <cfRule type="cellIs" dxfId="0" priority="5" operator="notBetween">
      <formula>$AA$14</formula>
      <formula>$AA$15</formula>
    </cfRule>
  </conditionalFormatting>
  <conditionalFormatting sqref="L1:L3 L5:L1007 AD86">
    <cfRule type="cellIs" dxfId="0" priority="6" operator="notBetween">
      <formula>$AB$14</formula>
      <formula>$AB$15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7">
      <c r="C7" s="28" t="s">
        <v>28</v>
      </c>
    </row>
    <row r="9">
      <c r="B9" s="19">
        <v>1.0</v>
      </c>
      <c r="C9" s="19">
        <v>0.03985</v>
      </c>
    </row>
    <row r="10">
      <c r="B10" s="19">
        <v>2.0</v>
      </c>
      <c r="C10" s="19">
        <v>0.0388</v>
      </c>
    </row>
    <row r="11">
      <c r="B11" s="19">
        <v>3.0</v>
      </c>
      <c r="C11" s="19">
        <v>0.0399</v>
      </c>
    </row>
    <row r="12">
      <c r="B12" s="19">
        <v>4.0</v>
      </c>
      <c r="C12" s="19">
        <v>0.03969</v>
      </c>
    </row>
    <row r="13">
      <c r="B13" s="19">
        <v>5.0</v>
      </c>
      <c r="C13" s="19">
        <v>0.03988</v>
      </c>
    </row>
    <row r="14">
      <c r="B14" s="19">
        <v>6.0</v>
      </c>
      <c r="C14" s="19">
        <v>0.03975</v>
      </c>
    </row>
    <row r="15">
      <c r="B15" s="19">
        <v>7.0</v>
      </c>
      <c r="C15" s="19">
        <v>0.03981</v>
      </c>
    </row>
    <row r="16">
      <c r="B16" s="19">
        <v>8.0</v>
      </c>
      <c r="C16" s="19">
        <v>0.03839</v>
      </c>
    </row>
    <row r="17">
      <c r="B17" s="19">
        <v>9.0</v>
      </c>
      <c r="C17" s="19">
        <v>0.03988</v>
      </c>
    </row>
    <row r="18">
      <c r="B18" s="19">
        <v>10.0</v>
      </c>
      <c r="C18" s="19">
        <v>0.03977</v>
      </c>
    </row>
    <row r="19">
      <c r="B19" s="19">
        <v>11.0</v>
      </c>
      <c r="C19" s="19">
        <v>0.03982</v>
      </c>
    </row>
    <row r="20">
      <c r="B20" s="19">
        <v>12.0</v>
      </c>
      <c r="C20" s="19">
        <v>0.03986</v>
      </c>
    </row>
    <row r="21">
      <c r="B21" s="19">
        <v>13.0</v>
      </c>
      <c r="C21" s="19">
        <v>0.03975</v>
      </c>
    </row>
    <row r="22">
      <c r="B22" s="19">
        <v>14.0</v>
      </c>
      <c r="C22" s="19">
        <v>0.03988</v>
      </c>
    </row>
    <row r="23">
      <c r="B23" s="19">
        <v>15.0</v>
      </c>
      <c r="C23" s="19">
        <v>0.03972</v>
      </c>
    </row>
    <row r="24">
      <c r="B24" s="19">
        <v>16.0</v>
      </c>
      <c r="C24" s="19">
        <v>0.03982</v>
      </c>
    </row>
    <row r="25">
      <c r="B25" s="19">
        <v>17.0</v>
      </c>
      <c r="C25" s="19">
        <v>0.03979</v>
      </c>
    </row>
    <row r="26">
      <c r="B26" s="19">
        <v>18.0</v>
      </c>
      <c r="C26" s="19">
        <v>0.04007</v>
      </c>
    </row>
    <row r="27">
      <c r="B27" s="19">
        <v>19.0</v>
      </c>
      <c r="C27" s="19">
        <v>0.04016</v>
      </c>
    </row>
    <row r="28">
      <c r="B28" s="19">
        <v>20.0</v>
      </c>
      <c r="C28" s="19">
        <v>0.03931</v>
      </c>
    </row>
    <row r="29">
      <c r="B29" s="19">
        <v>21.0</v>
      </c>
      <c r="C29" s="19">
        <v>0.04035</v>
      </c>
    </row>
    <row r="30">
      <c r="B30" s="19">
        <v>22.0</v>
      </c>
      <c r="C30" s="19">
        <v>0.04038</v>
      </c>
    </row>
    <row r="31">
      <c r="B31" s="19">
        <v>23.0</v>
      </c>
      <c r="C31" s="19">
        <v>0.03986</v>
      </c>
    </row>
    <row r="32">
      <c r="B32" s="19">
        <v>24.0</v>
      </c>
      <c r="C32" s="19">
        <v>0.03939</v>
      </c>
    </row>
    <row r="33">
      <c r="B33" s="19">
        <v>25.0</v>
      </c>
      <c r="C33" s="19">
        <v>0.03721</v>
      </c>
    </row>
    <row r="34">
      <c r="B34" s="19">
        <v>26.0</v>
      </c>
      <c r="C34" s="19">
        <v>0.0399</v>
      </c>
    </row>
    <row r="35">
      <c r="B35" s="19">
        <v>27.0</v>
      </c>
      <c r="C35" s="19">
        <v>0.03976</v>
      </c>
    </row>
    <row r="36">
      <c r="B36" s="19">
        <v>28.0</v>
      </c>
      <c r="C36" s="19">
        <v>0.04021</v>
      </c>
    </row>
    <row r="37">
      <c r="B37" s="19">
        <v>29.0</v>
      </c>
      <c r="C37" s="19">
        <v>0.03981</v>
      </c>
    </row>
    <row r="38">
      <c r="B38" s="19">
        <v>30.0</v>
      </c>
      <c r="C38" s="19">
        <v>0.0398</v>
      </c>
    </row>
    <row r="39">
      <c r="B39" s="19">
        <v>31.0</v>
      </c>
      <c r="C39" s="19">
        <v>0.04008</v>
      </c>
    </row>
    <row r="40">
      <c r="B40" s="19">
        <v>32.0</v>
      </c>
      <c r="C40" s="19">
        <v>0.04005</v>
      </c>
    </row>
    <row r="41">
      <c r="B41" s="19">
        <v>33.0</v>
      </c>
      <c r="C41" s="19">
        <v>0.03999</v>
      </c>
    </row>
    <row r="42">
      <c r="B42" s="19">
        <v>34.0</v>
      </c>
      <c r="C42" s="19">
        <v>0.0385</v>
      </c>
    </row>
    <row r="43">
      <c r="B43" s="19">
        <v>35.0</v>
      </c>
      <c r="C43" s="19">
        <v>0.04042</v>
      </c>
    </row>
    <row r="44">
      <c r="B44" s="19">
        <v>36.0</v>
      </c>
      <c r="C44" s="19">
        <v>0.04027</v>
      </c>
    </row>
    <row r="45">
      <c r="B45" s="19">
        <v>37.0</v>
      </c>
      <c r="C45" s="19">
        <v>0.03895</v>
      </c>
    </row>
    <row r="46">
      <c r="B46" s="19">
        <v>38.0</v>
      </c>
      <c r="C46" s="19">
        <v>0.04</v>
      </c>
    </row>
    <row r="47">
      <c r="B47" s="19">
        <v>39.0</v>
      </c>
      <c r="C47" s="19">
        <v>0.03996</v>
      </c>
    </row>
    <row r="48">
      <c r="B48" s="19" t="e">
        <v>#VALUE!</v>
      </c>
    </row>
    <row r="49">
      <c r="B49" s="19">
        <v>41.0</v>
      </c>
      <c r="C49" s="19">
        <v>0.04006</v>
      </c>
    </row>
    <row r="50">
      <c r="B50" s="19">
        <v>42.0</v>
      </c>
      <c r="C50" s="19">
        <v>0.04058</v>
      </c>
    </row>
    <row r="51">
      <c r="B51" s="19">
        <v>43.0</v>
      </c>
      <c r="C51" s="19">
        <v>0.03981</v>
      </c>
    </row>
    <row r="52">
      <c r="B52" s="19">
        <v>44.0</v>
      </c>
      <c r="C52" s="19">
        <v>0.0399</v>
      </c>
    </row>
    <row r="53">
      <c r="B53" s="19">
        <v>45.0</v>
      </c>
      <c r="C53" s="19">
        <v>0.03686</v>
      </c>
    </row>
    <row r="54">
      <c r="B54" s="19">
        <v>46.0</v>
      </c>
      <c r="C54" s="19">
        <v>0.03982</v>
      </c>
    </row>
    <row r="55">
      <c r="B55" s="19">
        <v>47.0</v>
      </c>
      <c r="C55" s="19">
        <v>0.03988</v>
      </c>
    </row>
    <row r="56">
      <c r="B56" s="19" t="e">
        <v>#VALUE!</v>
      </c>
    </row>
    <row r="57">
      <c r="B57" s="19">
        <v>49.0</v>
      </c>
      <c r="C57" s="19">
        <v>0.04674</v>
      </c>
    </row>
    <row r="58">
      <c r="B58" s="19">
        <v>50.0</v>
      </c>
      <c r="C58" s="19">
        <v>0.0474</v>
      </c>
    </row>
    <row r="59">
      <c r="B59" s="19">
        <v>51.0</v>
      </c>
      <c r="C59" s="19">
        <v>0.04748</v>
      </c>
    </row>
    <row r="60">
      <c r="B60" s="19">
        <v>52.0</v>
      </c>
      <c r="C60" s="19">
        <v>0.04747</v>
      </c>
    </row>
    <row r="61">
      <c r="B61" s="19">
        <v>53.0</v>
      </c>
      <c r="C61" s="19">
        <v>0.04752</v>
      </c>
    </row>
    <row r="62">
      <c r="B62" s="19">
        <v>54.0</v>
      </c>
      <c r="C62" s="19">
        <v>0.04745</v>
      </c>
    </row>
    <row r="63">
      <c r="B63" s="19">
        <v>55.0</v>
      </c>
      <c r="C63" s="19">
        <v>0.04747</v>
      </c>
    </row>
    <row r="64">
      <c r="B64" s="19">
        <v>56.0</v>
      </c>
      <c r="C64" s="19">
        <v>0.0478</v>
      </c>
    </row>
    <row r="65">
      <c r="B65" s="19">
        <v>57.0</v>
      </c>
      <c r="C65" s="19">
        <v>0.04765</v>
      </c>
    </row>
    <row r="66">
      <c r="B66" s="19">
        <v>58.0</v>
      </c>
      <c r="C66" s="19">
        <v>0.04747</v>
      </c>
    </row>
    <row r="67">
      <c r="B67" s="19">
        <v>59.0</v>
      </c>
      <c r="C67" s="19">
        <v>0.0477</v>
      </c>
    </row>
    <row r="68">
      <c r="B68" s="19">
        <v>60.0</v>
      </c>
      <c r="C68" s="19">
        <v>0.04766</v>
      </c>
    </row>
    <row r="69">
      <c r="B69" s="19">
        <v>61.0</v>
      </c>
      <c r="C69" s="19">
        <v>0.0476</v>
      </c>
    </row>
    <row r="70">
      <c r="B70" s="19">
        <v>62.0</v>
      </c>
      <c r="C70" s="19">
        <v>0.04416</v>
      </c>
    </row>
    <row r="71">
      <c r="B71" s="19">
        <v>63.0</v>
      </c>
      <c r="C71" s="19">
        <v>0.04758</v>
      </c>
    </row>
    <row r="72">
      <c r="B72" s="19">
        <v>64.0</v>
      </c>
      <c r="C72" s="19">
        <v>0.04765</v>
      </c>
    </row>
    <row r="73">
      <c r="B73" s="19">
        <v>65.0</v>
      </c>
      <c r="C73" s="19">
        <v>0.0476</v>
      </c>
    </row>
    <row r="74">
      <c r="B74" s="19">
        <v>66.0</v>
      </c>
      <c r="C74" s="19">
        <v>0.04765</v>
      </c>
    </row>
    <row r="75">
      <c r="B75" s="19">
        <v>67.0</v>
      </c>
      <c r="C75" s="19">
        <v>0.04759</v>
      </c>
    </row>
    <row r="76">
      <c r="B76" s="19">
        <v>68.0</v>
      </c>
      <c r="C76" s="19">
        <v>0.04763</v>
      </c>
    </row>
    <row r="77">
      <c r="B77" s="19">
        <v>69.0</v>
      </c>
      <c r="C77" s="19">
        <v>0.04761</v>
      </c>
    </row>
    <row r="78">
      <c r="B78" s="19">
        <v>70.0</v>
      </c>
      <c r="C78" s="19">
        <v>0.04763</v>
      </c>
    </row>
    <row r="79">
      <c r="B79" s="19">
        <v>71.0</v>
      </c>
      <c r="C79" s="19">
        <v>0.04761</v>
      </c>
    </row>
    <row r="80">
      <c r="B80" s="19">
        <v>72.0</v>
      </c>
      <c r="C80" s="19">
        <v>0.04644</v>
      </c>
    </row>
    <row r="81">
      <c r="B81" s="19">
        <v>73.0</v>
      </c>
      <c r="C81" s="19">
        <v>0.04491</v>
      </c>
    </row>
    <row r="82">
      <c r="B82" s="19">
        <v>74.0</v>
      </c>
      <c r="C82" s="19">
        <v>0.04764</v>
      </c>
    </row>
    <row r="83">
      <c r="B83" s="19">
        <v>75.0</v>
      </c>
      <c r="C83" s="19">
        <v>0.04763</v>
      </c>
    </row>
    <row r="84">
      <c r="B84" s="19">
        <v>76.0</v>
      </c>
      <c r="C84" s="19">
        <v>0.04773</v>
      </c>
    </row>
    <row r="85">
      <c r="B85" s="19">
        <v>77.0</v>
      </c>
      <c r="C85" s="19">
        <v>0.04757</v>
      </c>
    </row>
    <row r="86">
      <c r="B86" s="19">
        <v>78.0</v>
      </c>
      <c r="C86" s="19">
        <v>0.04763</v>
      </c>
    </row>
    <row r="87">
      <c r="B87" s="19">
        <v>79.0</v>
      </c>
      <c r="C87" s="19">
        <v>0.04742</v>
      </c>
    </row>
    <row r="88">
      <c r="B88" s="19">
        <v>80.0</v>
      </c>
      <c r="C88" s="19">
        <v>0.04134</v>
      </c>
    </row>
    <row r="89">
      <c r="B89" s="19">
        <v>81.0</v>
      </c>
      <c r="C89" s="19">
        <v>0.04849</v>
      </c>
    </row>
    <row r="90">
      <c r="B90" s="19">
        <v>82.0</v>
      </c>
      <c r="C90" s="19">
        <v>0.04638</v>
      </c>
    </row>
    <row r="91">
      <c r="B91" s="19">
        <v>83.0</v>
      </c>
      <c r="C91" s="19">
        <v>0.04773</v>
      </c>
    </row>
    <row r="92">
      <c r="B92" s="19">
        <v>84.0</v>
      </c>
      <c r="C92" s="19">
        <v>0.04756</v>
      </c>
    </row>
    <row r="93">
      <c r="B93" s="19">
        <v>85.0</v>
      </c>
      <c r="C93" s="19">
        <v>0.0476</v>
      </c>
    </row>
    <row r="94">
      <c r="B94" s="19">
        <v>86.0</v>
      </c>
      <c r="C94" s="19">
        <v>0.0461</v>
      </c>
    </row>
    <row r="95">
      <c r="B95" s="19">
        <v>87.0</v>
      </c>
      <c r="C95" s="19">
        <v>0.04765</v>
      </c>
    </row>
    <row r="96">
      <c r="B96" s="19">
        <v>88.0</v>
      </c>
      <c r="C96" s="19">
        <v>0.04759</v>
      </c>
    </row>
    <row r="97">
      <c r="B97" s="19">
        <v>89.0</v>
      </c>
      <c r="C97" s="19">
        <v>0.04762</v>
      </c>
    </row>
    <row r="98">
      <c r="B98" s="19">
        <v>90.0</v>
      </c>
      <c r="C98" s="19">
        <v>0.04757</v>
      </c>
    </row>
    <row r="99">
      <c r="B99" s="19">
        <v>91.0</v>
      </c>
      <c r="C99" s="19">
        <v>0.04762</v>
      </c>
    </row>
    <row r="100">
      <c r="B100" s="19">
        <v>92.0</v>
      </c>
      <c r="C100" s="19">
        <v>0.0473</v>
      </c>
    </row>
    <row r="101">
      <c r="B101" s="19">
        <v>93.0</v>
      </c>
      <c r="C101" s="19">
        <v>0.04755</v>
      </c>
    </row>
    <row r="102">
      <c r="B102" s="19">
        <v>94.0</v>
      </c>
      <c r="C102" s="19">
        <v>0.0475</v>
      </c>
    </row>
    <row r="103">
      <c r="B103" s="19">
        <v>95.0</v>
      </c>
      <c r="C103" s="19">
        <v>0.04754</v>
      </c>
    </row>
    <row r="104">
      <c r="B104" s="19">
        <v>96.0</v>
      </c>
      <c r="C104" s="19">
        <v>0.04425</v>
      </c>
    </row>
    <row r="105">
      <c r="B105" s="19">
        <v>97.0</v>
      </c>
      <c r="C105" s="19">
        <v>0.04746</v>
      </c>
    </row>
    <row r="106">
      <c r="B106" s="19">
        <v>98.0</v>
      </c>
      <c r="C106" s="19">
        <v>0.04743</v>
      </c>
    </row>
    <row r="107">
      <c r="B107" s="19">
        <v>99.0</v>
      </c>
      <c r="C107" s="19">
        <v>0.0424</v>
      </c>
    </row>
    <row r="108">
      <c r="B108" s="19">
        <v>100.0</v>
      </c>
      <c r="C108" s="19">
        <v>0.04738</v>
      </c>
    </row>
    <row r="109">
      <c r="B109" s="19">
        <v>101.0</v>
      </c>
      <c r="C109" s="19">
        <v>0.0474</v>
      </c>
    </row>
    <row r="110">
      <c r="B110" s="19">
        <v>102.0</v>
      </c>
      <c r="C110" s="19">
        <v>0.04742</v>
      </c>
    </row>
    <row r="111">
      <c r="B111" s="19">
        <v>103.0</v>
      </c>
      <c r="C111" s="19">
        <v>0.04744</v>
      </c>
    </row>
    <row r="112">
      <c r="B112" s="19">
        <v>104.0</v>
      </c>
      <c r="C112" s="19">
        <v>0.04559</v>
      </c>
    </row>
    <row r="113">
      <c r="B113" s="19">
        <v>105.0</v>
      </c>
      <c r="C113" s="19">
        <v>0.04071</v>
      </c>
    </row>
    <row r="114">
      <c r="B114" s="19">
        <v>106.0</v>
      </c>
      <c r="C114" s="19">
        <v>0.04758</v>
      </c>
    </row>
    <row r="115">
      <c r="B115" s="19">
        <v>107.0</v>
      </c>
      <c r="C115" s="19">
        <v>0.0476</v>
      </c>
    </row>
    <row r="116">
      <c r="B116" s="19">
        <v>108.0</v>
      </c>
      <c r="C116" s="19">
        <v>0.04754</v>
      </c>
    </row>
    <row r="117">
      <c r="B117" s="19">
        <v>109.0</v>
      </c>
      <c r="C117" s="19">
        <v>0.04759</v>
      </c>
    </row>
    <row r="118">
      <c r="B118" s="19">
        <v>110.0</v>
      </c>
      <c r="C118" s="19">
        <v>0.04761</v>
      </c>
    </row>
    <row r="119">
      <c r="B119" s="19">
        <v>111.0</v>
      </c>
      <c r="C119" s="19">
        <v>0.04762</v>
      </c>
    </row>
    <row r="120">
      <c r="B120" s="19">
        <v>112.0</v>
      </c>
      <c r="C120" s="19">
        <v>0.04767</v>
      </c>
    </row>
    <row r="121">
      <c r="B121" s="19">
        <v>113.0</v>
      </c>
      <c r="C121" s="19">
        <v>0.04768</v>
      </c>
    </row>
    <row r="122">
      <c r="B122" s="19">
        <v>114.0</v>
      </c>
      <c r="C122" s="19">
        <v>0.04756</v>
      </c>
    </row>
    <row r="123">
      <c r="B123" s="19">
        <v>115.0</v>
      </c>
      <c r="C123" s="19">
        <v>0.04765</v>
      </c>
    </row>
    <row r="124">
      <c r="B124" s="19">
        <v>116.0</v>
      </c>
      <c r="C124" s="19">
        <v>0.04762</v>
      </c>
    </row>
    <row r="125">
      <c r="B125" s="19">
        <v>117.0</v>
      </c>
      <c r="C125" s="19">
        <v>0.04764</v>
      </c>
    </row>
    <row r="126">
      <c r="B126" s="19">
        <v>118.0</v>
      </c>
      <c r="C126" s="19">
        <v>0.04768</v>
      </c>
    </row>
    <row r="127">
      <c r="B127" s="19">
        <v>119.0</v>
      </c>
      <c r="C127" s="19">
        <v>0.04761</v>
      </c>
    </row>
    <row r="128">
      <c r="B128" s="19">
        <v>120.0</v>
      </c>
      <c r="C128" s="19">
        <v>0.04763</v>
      </c>
    </row>
    <row r="129">
      <c r="B129" s="19">
        <v>121.0</v>
      </c>
      <c r="C129" s="19">
        <v>0.04757</v>
      </c>
    </row>
    <row r="130">
      <c r="B130" s="19">
        <v>122.0</v>
      </c>
      <c r="C130" s="19">
        <v>0.04764</v>
      </c>
    </row>
    <row r="131">
      <c r="B131" s="19">
        <v>123.0</v>
      </c>
      <c r="C131" s="19">
        <v>0.04768</v>
      </c>
    </row>
    <row r="132">
      <c r="B132" s="19">
        <v>124.0</v>
      </c>
      <c r="C132" s="19">
        <v>0.0476</v>
      </c>
    </row>
    <row r="133">
      <c r="B133" s="19">
        <v>125.0</v>
      </c>
      <c r="C133" s="19">
        <v>0.04763</v>
      </c>
    </row>
    <row r="134">
      <c r="B134" s="19">
        <v>126.0</v>
      </c>
      <c r="C134" s="19">
        <v>0.04764</v>
      </c>
    </row>
    <row r="135">
      <c r="B135" s="19">
        <v>127.0</v>
      </c>
      <c r="C135" s="19">
        <v>0.04756</v>
      </c>
    </row>
    <row r="136">
      <c r="B136" s="19">
        <v>128.0</v>
      </c>
      <c r="C136" s="19">
        <v>0.04756</v>
      </c>
    </row>
    <row r="137">
      <c r="B137" s="19">
        <v>129.0</v>
      </c>
      <c r="C137" s="19">
        <v>0.04681</v>
      </c>
    </row>
    <row r="138">
      <c r="B138" s="19">
        <v>130.0</v>
      </c>
      <c r="C138" s="19">
        <v>0.04771</v>
      </c>
    </row>
    <row r="139">
      <c r="B139" s="19">
        <v>131.0</v>
      </c>
      <c r="C139" s="19">
        <v>0.04763</v>
      </c>
    </row>
    <row r="140">
      <c r="B140" s="19">
        <v>132.0</v>
      </c>
      <c r="C140" s="19">
        <v>0.04248</v>
      </c>
    </row>
    <row r="141">
      <c r="B141" s="19">
        <v>133.0</v>
      </c>
      <c r="C141" s="19">
        <v>0.0443</v>
      </c>
    </row>
    <row r="142">
      <c r="B142" s="19">
        <v>134.0</v>
      </c>
      <c r="C142" s="19">
        <v>0.0476</v>
      </c>
    </row>
    <row r="143">
      <c r="B143" s="19">
        <v>135.0</v>
      </c>
      <c r="C143" s="19">
        <v>0.0475</v>
      </c>
    </row>
    <row r="144">
      <c r="B144" s="19">
        <v>136.0</v>
      </c>
      <c r="C144" s="19">
        <v>0.04736</v>
      </c>
    </row>
    <row r="145">
      <c r="B145" s="19">
        <v>137.0</v>
      </c>
      <c r="C145" s="19">
        <v>0.04766</v>
      </c>
    </row>
    <row r="146">
      <c r="B146" s="19">
        <v>138.0</v>
      </c>
      <c r="C146" s="19">
        <v>0.04765</v>
      </c>
    </row>
    <row r="147">
      <c r="B147" s="19">
        <v>139.0</v>
      </c>
      <c r="C147" s="19">
        <v>0.04756</v>
      </c>
    </row>
    <row r="148">
      <c r="B148" s="19">
        <v>140.0</v>
      </c>
      <c r="C148" s="19">
        <v>0.04766</v>
      </c>
    </row>
    <row r="149">
      <c r="B149" s="19">
        <v>141.0</v>
      </c>
      <c r="C149" s="19">
        <v>0.04432</v>
      </c>
    </row>
    <row r="150">
      <c r="B150" s="19">
        <v>142.0</v>
      </c>
      <c r="C150" s="19">
        <v>0.04777</v>
      </c>
    </row>
    <row r="151">
      <c r="B151" s="19">
        <v>143.0</v>
      </c>
      <c r="C151" s="19">
        <v>0.04768</v>
      </c>
    </row>
    <row r="152">
      <c r="B152" s="19">
        <v>144.0</v>
      </c>
      <c r="C152" s="19">
        <v>0.04763</v>
      </c>
    </row>
    <row r="153">
      <c r="B153" s="19">
        <v>145.0</v>
      </c>
      <c r="C153" s="19">
        <v>0.04743</v>
      </c>
    </row>
    <row r="154">
      <c r="B154" s="19">
        <v>146.0</v>
      </c>
      <c r="C154" s="19">
        <v>0.04749</v>
      </c>
    </row>
    <row r="155">
      <c r="B155" s="19">
        <v>147.0</v>
      </c>
      <c r="C155" s="19">
        <v>0.04372</v>
      </c>
    </row>
    <row r="156">
      <c r="B156" s="19">
        <v>148.0</v>
      </c>
      <c r="C156" s="19">
        <v>0.0475</v>
      </c>
    </row>
    <row r="157">
      <c r="B157" s="19">
        <v>149.0</v>
      </c>
      <c r="C157" s="19">
        <v>0.04253</v>
      </c>
    </row>
    <row r="158">
      <c r="B158" s="19">
        <v>150.0</v>
      </c>
      <c r="C158" s="19">
        <v>0.04737</v>
      </c>
    </row>
    <row r="159">
      <c r="B159" s="19">
        <v>151.0</v>
      </c>
      <c r="C159" s="19">
        <v>0.04744</v>
      </c>
    </row>
    <row r="160">
      <c r="B160" s="19">
        <v>152.0</v>
      </c>
      <c r="C160" s="19">
        <v>0.0415</v>
      </c>
    </row>
    <row r="161">
      <c r="B161" s="19">
        <v>153.0</v>
      </c>
      <c r="C161" s="19">
        <v>0.04747</v>
      </c>
    </row>
    <row r="162">
      <c r="B162" s="19">
        <v>154.0</v>
      </c>
      <c r="C162" s="19">
        <v>0.04179</v>
      </c>
    </row>
    <row r="163">
      <c r="B163" s="19">
        <v>155.0</v>
      </c>
      <c r="C163" s="19">
        <v>0.0441</v>
      </c>
    </row>
    <row r="164">
      <c r="B164" s="19">
        <v>156.0</v>
      </c>
      <c r="C164" s="19">
        <v>0.04749</v>
      </c>
    </row>
    <row r="165">
      <c r="B165" s="19">
        <v>157.0</v>
      </c>
      <c r="C165" s="19">
        <v>0.04475</v>
      </c>
    </row>
    <row r="166">
      <c r="B166" s="19">
        <v>158.0</v>
      </c>
      <c r="C166" s="19">
        <v>0.04772</v>
      </c>
    </row>
    <row r="167">
      <c r="B167" s="19">
        <v>159.0</v>
      </c>
      <c r="C167" s="19">
        <v>0.04767</v>
      </c>
    </row>
    <row r="168">
      <c r="B168" s="19">
        <v>160.0</v>
      </c>
      <c r="C168" s="19">
        <v>0.04759</v>
      </c>
    </row>
    <row r="169">
      <c r="B169" s="19">
        <v>161.0</v>
      </c>
      <c r="C169" s="19">
        <v>0.04764</v>
      </c>
    </row>
    <row r="170">
      <c r="B170" s="19">
        <v>162.0</v>
      </c>
      <c r="C170" s="19">
        <v>0.04659</v>
      </c>
    </row>
    <row r="171">
      <c r="B171" s="19">
        <v>163.0</v>
      </c>
      <c r="C171" s="19">
        <v>0.04412</v>
      </c>
    </row>
    <row r="172">
      <c r="B172" s="19">
        <v>164.0</v>
      </c>
      <c r="C172" s="19">
        <v>0.04694</v>
      </c>
    </row>
    <row r="173">
      <c r="B173" s="19">
        <v>165.0</v>
      </c>
      <c r="C173" s="19">
        <v>0.04756</v>
      </c>
    </row>
    <row r="174">
      <c r="B174" s="19">
        <v>166.0</v>
      </c>
      <c r="C174" s="19">
        <v>0.04753</v>
      </c>
    </row>
    <row r="175">
      <c r="B175" s="19">
        <v>167.0</v>
      </c>
      <c r="C175" s="19">
        <v>0.04757</v>
      </c>
    </row>
    <row r="176">
      <c r="B176" s="19">
        <v>168.0</v>
      </c>
      <c r="C176" s="19">
        <v>0.04767</v>
      </c>
    </row>
    <row r="177">
      <c r="B177" s="19">
        <v>169.0</v>
      </c>
      <c r="C177" s="19">
        <v>0.04761</v>
      </c>
    </row>
    <row r="178">
      <c r="B178" s="19">
        <v>170.0</v>
      </c>
      <c r="C178" s="19">
        <v>0.04472</v>
      </c>
    </row>
    <row r="179">
      <c r="B179" s="19">
        <v>171.0</v>
      </c>
      <c r="C179" s="19">
        <v>0.04767</v>
      </c>
    </row>
    <row r="180">
      <c r="B180" s="19">
        <v>172.0</v>
      </c>
      <c r="C180" s="19">
        <v>0.04764</v>
      </c>
    </row>
    <row r="181">
      <c r="B181" s="19">
        <v>173.0</v>
      </c>
      <c r="C181" s="19">
        <v>0.04762</v>
      </c>
    </row>
    <row r="182">
      <c r="B182" s="19">
        <v>174.0</v>
      </c>
      <c r="C182" s="19">
        <v>0.04773</v>
      </c>
    </row>
    <row r="183">
      <c r="B183" s="19">
        <v>175.0</v>
      </c>
      <c r="C183" s="19">
        <v>0.04763</v>
      </c>
    </row>
    <row r="184">
      <c r="B184" s="19">
        <v>176.0</v>
      </c>
      <c r="C184" s="19">
        <v>0.04772</v>
      </c>
    </row>
    <row r="185">
      <c r="B185" s="19">
        <v>177.0</v>
      </c>
      <c r="C185" s="19">
        <v>0.04761</v>
      </c>
    </row>
    <row r="186">
      <c r="B186" s="19">
        <v>178.0</v>
      </c>
      <c r="C186" s="19">
        <v>0.04759</v>
      </c>
    </row>
    <row r="187">
      <c r="B187" s="19">
        <v>179.0</v>
      </c>
      <c r="C187" s="19">
        <v>0.04764</v>
      </c>
    </row>
    <row r="188">
      <c r="B188" s="19">
        <v>180.0</v>
      </c>
      <c r="C188" s="19">
        <v>0.04762</v>
      </c>
    </row>
    <row r="189">
      <c r="B189" s="19">
        <v>181.0</v>
      </c>
      <c r="C189" s="19">
        <v>0.04414</v>
      </c>
    </row>
    <row r="190">
      <c r="B190" s="19">
        <v>182.0</v>
      </c>
      <c r="C190" s="19">
        <v>0.04761</v>
      </c>
    </row>
    <row r="191">
      <c r="B191" s="19">
        <v>183.0</v>
      </c>
      <c r="C191" s="19">
        <v>0.04763</v>
      </c>
    </row>
    <row r="192">
      <c r="B192" s="19">
        <v>184.0</v>
      </c>
      <c r="C192" s="19">
        <v>0.04767</v>
      </c>
    </row>
    <row r="193">
      <c r="B193" s="19">
        <v>185.0</v>
      </c>
      <c r="C193" s="19">
        <v>0.04755</v>
      </c>
    </row>
    <row r="194">
      <c r="B194" s="19">
        <v>186.0</v>
      </c>
      <c r="C194" s="19">
        <v>0.0476</v>
      </c>
    </row>
    <row r="195">
      <c r="B195" s="19">
        <v>187.0</v>
      </c>
      <c r="C195" s="19">
        <v>0.04758</v>
      </c>
    </row>
    <row r="196">
      <c r="B196" s="19">
        <v>188.0</v>
      </c>
      <c r="C196" s="19">
        <v>0.04763</v>
      </c>
    </row>
    <row r="197">
      <c r="B197" s="19">
        <v>189.0</v>
      </c>
      <c r="C197" s="19">
        <v>0.03926</v>
      </c>
    </row>
    <row r="198">
      <c r="B198" s="19">
        <v>190.0</v>
      </c>
      <c r="C198" s="19">
        <v>0.04752</v>
      </c>
    </row>
    <row r="199">
      <c r="B199" s="19">
        <v>191.0</v>
      </c>
      <c r="C199" s="19">
        <v>0.04763</v>
      </c>
    </row>
    <row r="200">
      <c r="B200" s="19">
        <v>192.0</v>
      </c>
      <c r="C200" s="19">
        <v>0.04757</v>
      </c>
    </row>
    <row r="201">
      <c r="B201" s="19">
        <v>193.0</v>
      </c>
      <c r="C201" s="19">
        <v>0.04771</v>
      </c>
    </row>
    <row r="202">
      <c r="B202" s="19">
        <v>194.0</v>
      </c>
      <c r="C202" s="19">
        <v>0.04769</v>
      </c>
    </row>
    <row r="203">
      <c r="B203" s="19">
        <v>195.0</v>
      </c>
      <c r="C203" s="19">
        <v>0.04784</v>
      </c>
    </row>
    <row r="204">
      <c r="B204" s="19">
        <v>196.0</v>
      </c>
      <c r="C204" s="19">
        <v>0.04751</v>
      </c>
    </row>
    <row r="205">
      <c r="B205" s="19">
        <v>197.0</v>
      </c>
      <c r="C205" s="19">
        <v>0.0475</v>
      </c>
    </row>
    <row r="206">
      <c r="B206" s="19">
        <v>198.0</v>
      </c>
      <c r="C206" s="19">
        <v>0.0475</v>
      </c>
    </row>
    <row r="207">
      <c r="B207" s="19">
        <v>199.0</v>
      </c>
      <c r="C207" s="19">
        <v>0.04746</v>
      </c>
    </row>
    <row r="208">
      <c r="B208" s="19">
        <v>200.0</v>
      </c>
      <c r="C208" s="19">
        <v>0.04746</v>
      </c>
    </row>
    <row r="209">
      <c r="B209" s="19">
        <v>201.0</v>
      </c>
      <c r="C209" s="19">
        <v>0.04053</v>
      </c>
    </row>
    <row r="210">
      <c r="B210" s="19">
        <v>202.0</v>
      </c>
      <c r="C210" s="19">
        <v>0.04746</v>
      </c>
    </row>
    <row r="211">
      <c r="B211" s="19">
        <v>203.0</v>
      </c>
      <c r="C211" s="19">
        <v>0.0475</v>
      </c>
    </row>
    <row r="212">
      <c r="B212" s="19">
        <v>204.0</v>
      </c>
      <c r="C212" s="19">
        <v>0.04744</v>
      </c>
    </row>
    <row r="213">
      <c r="B213" s="19">
        <v>205.0</v>
      </c>
      <c r="C213" s="19">
        <v>0.04748</v>
      </c>
    </row>
    <row r="214">
      <c r="B214" s="19">
        <v>206.0</v>
      </c>
      <c r="C214" s="19">
        <v>0.04749</v>
      </c>
    </row>
    <row r="215">
      <c r="B215" s="19">
        <v>207.0</v>
      </c>
      <c r="C215" s="19">
        <v>0.04747</v>
      </c>
    </row>
    <row r="216">
      <c r="B216" s="19">
        <v>208.0</v>
      </c>
      <c r="C216" s="19">
        <v>0.04757</v>
      </c>
    </row>
    <row r="217">
      <c r="B217" s="19">
        <v>209.0</v>
      </c>
      <c r="C217" s="19">
        <v>0.04753</v>
      </c>
    </row>
    <row r="218">
      <c r="B218" s="19">
        <v>210.0</v>
      </c>
      <c r="C218" s="19">
        <v>0.04759</v>
      </c>
    </row>
    <row r="219">
      <c r="B219" s="19">
        <v>211.0</v>
      </c>
      <c r="C219" s="19">
        <v>0.04757</v>
      </c>
    </row>
    <row r="220">
      <c r="B220" s="19">
        <v>212.0</v>
      </c>
      <c r="C220" s="19">
        <v>0.0477</v>
      </c>
    </row>
    <row r="221">
      <c r="B221" s="19">
        <v>213.0</v>
      </c>
      <c r="C221" s="19">
        <v>0.04767</v>
      </c>
    </row>
    <row r="222">
      <c r="B222" s="19">
        <v>214.0</v>
      </c>
      <c r="C222" s="19">
        <v>0.04758</v>
      </c>
    </row>
    <row r="223">
      <c r="B223" s="19">
        <v>215.0</v>
      </c>
      <c r="C223" s="19">
        <v>0.04603</v>
      </c>
    </row>
    <row r="224">
      <c r="B224" s="19">
        <v>216.0</v>
      </c>
      <c r="C224" s="19">
        <v>0.04758</v>
      </c>
    </row>
    <row r="225">
      <c r="B225" s="19">
        <v>217.0</v>
      </c>
      <c r="C225" s="19">
        <v>0.04754</v>
      </c>
    </row>
    <row r="226">
      <c r="B226" s="19">
        <v>218.0</v>
      </c>
      <c r="C226" s="19">
        <v>0.04214</v>
      </c>
    </row>
    <row r="227">
      <c r="B227" s="19">
        <v>219.0</v>
      </c>
      <c r="C227" s="19">
        <v>0.04763</v>
      </c>
    </row>
    <row r="228">
      <c r="B228" s="19">
        <v>220.0</v>
      </c>
      <c r="C228" s="19">
        <v>0.04757</v>
      </c>
    </row>
    <row r="229">
      <c r="B229" s="19">
        <v>221.0</v>
      </c>
      <c r="C229" s="19">
        <v>0.0449</v>
      </c>
    </row>
    <row r="230">
      <c r="B230" s="19">
        <v>222.0</v>
      </c>
      <c r="C230" s="19">
        <v>0.04765</v>
      </c>
    </row>
    <row r="231">
      <c r="B231" s="19">
        <v>223.0</v>
      </c>
      <c r="C231" s="19">
        <v>0.04529</v>
      </c>
    </row>
    <row r="232">
      <c r="B232" s="19">
        <v>224.0</v>
      </c>
      <c r="C232" s="19">
        <v>0.0476</v>
      </c>
    </row>
    <row r="233">
      <c r="B233" s="19">
        <v>225.0</v>
      </c>
      <c r="C233" s="19">
        <v>0.04756</v>
      </c>
    </row>
    <row r="234">
      <c r="B234" s="19">
        <v>226.0</v>
      </c>
      <c r="C234" s="19">
        <v>0.03961</v>
      </c>
    </row>
    <row r="235">
      <c r="B235" s="19">
        <v>227.0</v>
      </c>
      <c r="C235" s="19">
        <v>0.04743</v>
      </c>
    </row>
    <row r="236">
      <c r="B236" s="19">
        <v>228.0</v>
      </c>
      <c r="C236" s="19">
        <v>0.04765</v>
      </c>
    </row>
    <row r="237">
      <c r="B237" s="19">
        <v>229.0</v>
      </c>
      <c r="C237" s="19">
        <v>0.04751</v>
      </c>
    </row>
    <row r="238">
      <c r="B238" s="19">
        <v>230.0</v>
      </c>
      <c r="C238" s="19">
        <v>0.04761</v>
      </c>
    </row>
    <row r="239">
      <c r="B239" s="19">
        <v>231.0</v>
      </c>
      <c r="C239" s="19">
        <v>0.04745</v>
      </c>
    </row>
    <row r="240">
      <c r="B240" s="19">
        <v>232.0</v>
      </c>
      <c r="C240" s="19">
        <v>0.04749</v>
      </c>
    </row>
    <row r="241">
      <c r="B241" s="19">
        <v>233.0</v>
      </c>
      <c r="C241" s="19">
        <v>0.04735</v>
      </c>
    </row>
    <row r="242">
      <c r="B242" s="19">
        <v>234.0</v>
      </c>
      <c r="C242" s="19">
        <v>0.04734</v>
      </c>
    </row>
    <row r="243">
      <c r="B243" s="19">
        <v>235.0</v>
      </c>
      <c r="C243" s="19">
        <v>0.0475</v>
      </c>
    </row>
    <row r="244">
      <c r="B244" s="19">
        <v>236.0</v>
      </c>
      <c r="C244" s="19">
        <v>0.04785</v>
      </c>
    </row>
    <row r="245">
      <c r="B245" s="19">
        <v>237.0</v>
      </c>
      <c r="C245" s="19">
        <v>0.04766</v>
      </c>
    </row>
    <row r="246">
      <c r="B246" s="19">
        <v>238.0</v>
      </c>
      <c r="C246" s="19">
        <v>0.04764</v>
      </c>
    </row>
    <row r="247">
      <c r="B247" s="19">
        <v>239.0</v>
      </c>
      <c r="C247" s="19">
        <v>0.0476</v>
      </c>
    </row>
    <row r="248">
      <c r="B248" s="19">
        <v>240.0</v>
      </c>
      <c r="C248" s="19">
        <v>0.04024</v>
      </c>
    </row>
    <row r="249">
      <c r="B249" s="19">
        <v>241.0</v>
      </c>
      <c r="C249" s="19">
        <v>0.04763</v>
      </c>
    </row>
    <row r="250">
      <c r="B250" s="19">
        <v>242.0</v>
      </c>
      <c r="C250" s="19">
        <v>0.04763</v>
      </c>
    </row>
    <row r="251">
      <c r="B251" s="19">
        <v>243.0</v>
      </c>
      <c r="C251" s="19">
        <v>0.04761</v>
      </c>
    </row>
    <row r="252">
      <c r="B252" s="19">
        <v>244.0</v>
      </c>
      <c r="C252" s="19">
        <v>0.0476</v>
      </c>
    </row>
    <row r="253">
      <c r="B253" s="19">
        <v>245.0</v>
      </c>
      <c r="C253" s="19">
        <v>0.04751</v>
      </c>
    </row>
    <row r="254">
      <c r="B254" s="19">
        <v>246.0</v>
      </c>
      <c r="C254" s="19">
        <v>0.04763</v>
      </c>
    </row>
    <row r="255">
      <c r="B255" s="19">
        <v>247.0</v>
      </c>
      <c r="C255" s="19">
        <v>0.04747</v>
      </c>
    </row>
    <row r="256">
      <c r="B256" s="19">
        <v>248.0</v>
      </c>
      <c r="C256" s="19">
        <v>0.04742</v>
      </c>
    </row>
    <row r="257">
      <c r="B257" s="19">
        <v>249.0</v>
      </c>
      <c r="C257" s="19">
        <v>0.0476</v>
      </c>
    </row>
    <row r="258">
      <c r="B258" s="19">
        <v>250.0</v>
      </c>
      <c r="C258" s="19">
        <v>0.04744</v>
      </c>
    </row>
    <row r="259">
      <c r="B259" s="19">
        <v>251.0</v>
      </c>
      <c r="C259" s="19">
        <v>0.04744</v>
      </c>
    </row>
    <row r="260">
      <c r="B260" s="19">
        <v>252.0</v>
      </c>
      <c r="C260" s="19">
        <v>0.04747</v>
      </c>
    </row>
    <row r="261">
      <c r="B261" s="19">
        <v>253.0</v>
      </c>
      <c r="C261" s="19">
        <v>0.04745</v>
      </c>
    </row>
    <row r="262">
      <c r="B262" s="19">
        <v>254.0</v>
      </c>
      <c r="C262" s="19">
        <v>0.04744</v>
      </c>
    </row>
    <row r="263">
      <c r="B263" s="19">
        <v>255.0</v>
      </c>
      <c r="C263" s="19">
        <v>0.04461</v>
      </c>
    </row>
    <row r="264">
      <c r="B264" s="19">
        <v>256.0</v>
      </c>
      <c r="C264" s="19">
        <v>0.04748</v>
      </c>
    </row>
    <row r="265">
      <c r="B265" s="19">
        <v>257.0</v>
      </c>
      <c r="C265" s="19">
        <v>0.04756</v>
      </c>
    </row>
    <row r="266">
      <c r="B266" s="19">
        <v>258.0</v>
      </c>
      <c r="C266" s="19">
        <v>0.04632</v>
      </c>
    </row>
    <row r="267">
      <c r="B267" s="19">
        <v>259.0</v>
      </c>
      <c r="C267" s="19">
        <v>0.04761</v>
      </c>
    </row>
    <row r="268">
      <c r="B268" s="19">
        <v>260.0</v>
      </c>
      <c r="C268" s="19">
        <v>0.04754</v>
      </c>
    </row>
    <row r="269">
      <c r="B269" s="19">
        <v>261.0</v>
      </c>
      <c r="C269" s="19">
        <v>0.04758</v>
      </c>
    </row>
    <row r="270">
      <c r="B270" s="19">
        <v>262.0</v>
      </c>
      <c r="C270" s="19">
        <v>0.0476</v>
      </c>
    </row>
    <row r="271">
      <c r="B271" s="19">
        <v>263.0</v>
      </c>
      <c r="C271" s="19">
        <v>0.04284</v>
      </c>
    </row>
    <row r="272">
      <c r="B272" s="19">
        <v>264.0</v>
      </c>
      <c r="C272" s="19">
        <v>0.04766</v>
      </c>
    </row>
    <row r="273">
      <c r="B273" s="19">
        <v>265.0</v>
      </c>
      <c r="C273" s="19">
        <v>0.04762</v>
      </c>
    </row>
    <row r="274">
      <c r="B274" s="19">
        <v>266.0</v>
      </c>
      <c r="C274" s="19">
        <v>0.04773</v>
      </c>
    </row>
    <row r="275">
      <c r="B275" s="19">
        <v>267.0</v>
      </c>
      <c r="C275" s="19">
        <v>0.04758</v>
      </c>
    </row>
    <row r="276">
      <c r="B276" s="19">
        <v>268.0</v>
      </c>
      <c r="C276" s="19">
        <v>0.04749</v>
      </c>
    </row>
    <row r="277">
      <c r="B277" s="19">
        <v>269.0</v>
      </c>
      <c r="C277" s="19">
        <v>0.04025</v>
      </c>
    </row>
    <row r="278">
      <c r="B278" s="19">
        <v>270.0</v>
      </c>
      <c r="C278" s="19">
        <v>0.04767</v>
      </c>
    </row>
    <row r="279">
      <c r="B279" s="19">
        <v>271.0</v>
      </c>
      <c r="C279" s="19">
        <v>0.04752</v>
      </c>
    </row>
    <row r="280">
      <c r="B280" s="19">
        <v>272.0</v>
      </c>
      <c r="C280" s="19">
        <v>0.04758</v>
      </c>
    </row>
    <row r="281">
      <c r="B281" s="19">
        <v>273.0</v>
      </c>
      <c r="C281" s="19">
        <v>0.04753</v>
      </c>
    </row>
    <row r="282">
      <c r="B282" s="19">
        <v>274.0</v>
      </c>
      <c r="C282" s="19">
        <v>0.04243</v>
      </c>
    </row>
    <row r="283">
      <c r="B283" s="19">
        <v>275.0</v>
      </c>
      <c r="C283" s="19">
        <v>0.0476</v>
      </c>
    </row>
    <row r="284">
      <c r="B284" s="19">
        <v>276.0</v>
      </c>
      <c r="C284" s="19">
        <v>0.04776</v>
      </c>
    </row>
    <row r="285">
      <c r="B285" s="19">
        <v>277.0</v>
      </c>
      <c r="C285" s="19">
        <v>0.04758</v>
      </c>
    </row>
    <row r="286">
      <c r="B286" s="19">
        <v>278.0</v>
      </c>
      <c r="C286" s="19">
        <v>0.04762</v>
      </c>
    </row>
    <row r="287">
      <c r="B287" s="19">
        <v>279.0</v>
      </c>
      <c r="C287" s="19">
        <v>0.04079</v>
      </c>
    </row>
    <row r="288">
      <c r="B288" s="19">
        <v>280.0</v>
      </c>
      <c r="C288" s="19">
        <v>0.04764</v>
      </c>
    </row>
    <row r="289">
      <c r="B289" s="19">
        <v>281.0</v>
      </c>
      <c r="C289" s="19">
        <v>0.04368</v>
      </c>
    </row>
    <row r="290">
      <c r="B290" s="19">
        <v>282.0</v>
      </c>
      <c r="C290" s="19">
        <v>0.04759</v>
      </c>
    </row>
    <row r="291">
      <c r="B291" s="19">
        <v>283.0</v>
      </c>
      <c r="C291" s="19">
        <v>0.04768</v>
      </c>
    </row>
    <row r="292">
      <c r="B292" s="19">
        <v>284.0</v>
      </c>
      <c r="C292" s="19">
        <v>0.04763</v>
      </c>
    </row>
    <row r="293">
      <c r="B293" s="19">
        <v>285.0</v>
      </c>
      <c r="C293" s="19">
        <v>0.04765</v>
      </c>
    </row>
    <row r="294">
      <c r="B294" s="19">
        <v>286.0</v>
      </c>
      <c r="C294" s="19">
        <v>0.0476</v>
      </c>
    </row>
    <row r="295">
      <c r="B295" s="19">
        <v>287.0</v>
      </c>
      <c r="C295" s="19">
        <v>0.04755</v>
      </c>
    </row>
    <row r="296">
      <c r="B296" s="19">
        <v>288.0</v>
      </c>
      <c r="C296" s="19">
        <v>0.04442</v>
      </c>
    </row>
    <row r="297">
      <c r="B297" s="19">
        <v>289.0</v>
      </c>
      <c r="C297" s="19">
        <v>0.04762</v>
      </c>
    </row>
    <row r="298">
      <c r="B298" s="19">
        <v>290.0</v>
      </c>
      <c r="C298" s="19">
        <v>0.04757</v>
      </c>
    </row>
    <row r="299">
      <c r="B299" s="19">
        <v>291.0</v>
      </c>
      <c r="C299" s="19">
        <v>0.04536</v>
      </c>
    </row>
    <row r="300">
      <c r="B300" s="19">
        <v>292.0</v>
      </c>
      <c r="C300" s="19">
        <v>0.04748</v>
      </c>
    </row>
    <row r="301">
      <c r="B301" s="19">
        <v>293.0</v>
      </c>
      <c r="C301" s="19">
        <v>0.0475</v>
      </c>
    </row>
    <row r="302">
      <c r="B302" s="19">
        <v>294.0</v>
      </c>
      <c r="C302" s="19">
        <v>0.04762</v>
      </c>
    </row>
    <row r="303">
      <c r="B303" s="19">
        <v>295.0</v>
      </c>
      <c r="C303" s="19">
        <v>0.04762</v>
      </c>
    </row>
    <row r="304">
      <c r="B304" s="19">
        <v>296.0</v>
      </c>
      <c r="C304" s="19">
        <v>0.04759</v>
      </c>
    </row>
    <row r="305">
      <c r="B305" s="19">
        <v>297.0</v>
      </c>
      <c r="C305" s="19">
        <v>0.04751</v>
      </c>
    </row>
    <row r="306">
      <c r="B306" s="19">
        <v>298.0</v>
      </c>
      <c r="C306" s="19">
        <v>0.04745</v>
      </c>
    </row>
    <row r="307">
      <c r="B307" s="19">
        <v>299.0</v>
      </c>
      <c r="C307" s="19">
        <v>0.04749</v>
      </c>
    </row>
    <row r="308">
      <c r="B308" s="19">
        <v>300.0</v>
      </c>
      <c r="C308" s="19">
        <v>0.04305</v>
      </c>
    </row>
    <row r="309">
      <c r="B309" s="19">
        <v>301.0</v>
      </c>
      <c r="C309" s="19">
        <v>0.04745</v>
      </c>
    </row>
    <row r="310">
      <c r="B310" s="19">
        <v>302.0</v>
      </c>
      <c r="C310" s="19">
        <v>0.04765</v>
      </c>
    </row>
    <row r="311">
      <c r="B311" s="19">
        <v>303.0</v>
      </c>
      <c r="C311" s="19">
        <v>0.04757</v>
      </c>
    </row>
    <row r="312">
      <c r="B312" s="19">
        <v>304.0</v>
      </c>
      <c r="C312" s="19">
        <v>0.04753</v>
      </c>
    </row>
    <row r="313">
      <c r="B313" s="19">
        <v>305.0</v>
      </c>
      <c r="C313" s="19">
        <v>0.04775</v>
      </c>
    </row>
    <row r="314">
      <c r="B314" s="19">
        <v>306.0</v>
      </c>
      <c r="C314" s="19">
        <v>0.04442</v>
      </c>
    </row>
    <row r="315">
      <c r="B315" s="19">
        <v>307.0</v>
      </c>
      <c r="C315" s="19">
        <v>0.0475</v>
      </c>
    </row>
    <row r="316">
      <c r="B316" s="19">
        <v>308.0</v>
      </c>
      <c r="C316" s="19">
        <v>0.04755</v>
      </c>
    </row>
    <row r="317">
      <c r="B317" s="19">
        <v>309.0</v>
      </c>
      <c r="C317" s="19">
        <v>0.04764</v>
      </c>
    </row>
    <row r="318">
      <c r="B318" s="19">
        <v>310.0</v>
      </c>
      <c r="C318" s="19">
        <v>0.04769</v>
      </c>
    </row>
    <row r="319">
      <c r="B319" s="19">
        <v>311.0</v>
      </c>
      <c r="C319" s="19">
        <v>0.03967</v>
      </c>
    </row>
    <row r="320">
      <c r="B320" s="19">
        <v>312.0</v>
      </c>
      <c r="C320" s="19">
        <v>0.04608</v>
      </c>
    </row>
    <row r="321">
      <c r="B321" s="19">
        <v>313.0</v>
      </c>
      <c r="C321" s="19">
        <v>0.04761</v>
      </c>
    </row>
    <row r="322">
      <c r="B322" s="19">
        <v>314.0</v>
      </c>
      <c r="C322" s="19">
        <v>0.04185</v>
      </c>
    </row>
    <row r="323">
      <c r="B323" s="19">
        <v>315.0</v>
      </c>
      <c r="C323" s="19">
        <v>0.04069</v>
      </c>
    </row>
    <row r="324">
      <c r="B324" s="19">
        <v>316.0</v>
      </c>
      <c r="C324" s="19">
        <v>0.04426</v>
      </c>
    </row>
    <row r="325">
      <c r="B325" s="19">
        <v>317.0</v>
      </c>
      <c r="C325" s="19">
        <v>0.04765</v>
      </c>
    </row>
    <row r="326">
      <c r="B326" s="19">
        <v>318.0</v>
      </c>
      <c r="C326" s="19">
        <v>0.04763</v>
      </c>
    </row>
    <row r="327">
      <c r="B327" s="19">
        <v>319.0</v>
      </c>
      <c r="C327" s="19">
        <v>0.04769</v>
      </c>
    </row>
    <row r="328">
      <c r="B328" s="19">
        <v>320.0</v>
      </c>
      <c r="C328" s="19">
        <v>0.04763</v>
      </c>
    </row>
    <row r="329">
      <c r="B329" s="19">
        <v>321.0</v>
      </c>
      <c r="C329" s="19">
        <v>0.04755</v>
      </c>
    </row>
    <row r="330">
      <c r="B330" s="19">
        <v>322.0</v>
      </c>
      <c r="C330" s="19">
        <v>0.04707</v>
      </c>
    </row>
    <row r="331">
      <c r="B331" s="19">
        <v>323.0</v>
      </c>
      <c r="C331" s="19">
        <v>0.04773</v>
      </c>
    </row>
    <row r="332">
      <c r="B332" s="19">
        <v>324.0</v>
      </c>
      <c r="C332" s="19">
        <v>0.04765</v>
      </c>
    </row>
    <row r="333">
      <c r="B333" s="19">
        <v>325.0</v>
      </c>
      <c r="C333" s="19">
        <v>0.04385</v>
      </c>
    </row>
    <row r="334">
      <c r="B334" s="19">
        <v>326.0</v>
      </c>
      <c r="C334" s="19">
        <v>0.04767</v>
      </c>
    </row>
    <row r="335">
      <c r="B335" s="19">
        <v>327.0</v>
      </c>
      <c r="C335" s="19">
        <v>0.04774</v>
      </c>
    </row>
    <row r="336">
      <c r="B336" s="19">
        <v>328.0</v>
      </c>
      <c r="C336" s="19">
        <v>0.04758</v>
      </c>
    </row>
    <row r="337">
      <c r="B337" s="19">
        <v>329.0</v>
      </c>
      <c r="C337" s="19">
        <v>0.04748</v>
      </c>
    </row>
    <row r="338">
      <c r="B338" s="19">
        <v>330.0</v>
      </c>
      <c r="C338" s="19">
        <v>0.04766</v>
      </c>
    </row>
    <row r="339">
      <c r="B339" s="19">
        <v>331.0</v>
      </c>
      <c r="C339" s="19">
        <v>0.04576</v>
      </c>
    </row>
    <row r="340">
      <c r="B340" s="19">
        <v>332.0</v>
      </c>
      <c r="C340" s="19">
        <v>0.04759</v>
      </c>
    </row>
    <row r="341">
      <c r="B341" s="19">
        <v>333.0</v>
      </c>
      <c r="C341" s="19">
        <v>0.04761</v>
      </c>
    </row>
    <row r="342">
      <c r="B342" s="19">
        <v>334.0</v>
      </c>
      <c r="C342" s="19">
        <v>0.04769</v>
      </c>
    </row>
    <row r="343">
      <c r="B343" s="19">
        <v>335.0</v>
      </c>
      <c r="C343" s="19">
        <v>0.04364</v>
      </c>
    </row>
    <row r="344">
      <c r="B344" s="19">
        <v>336.0</v>
      </c>
      <c r="C344" s="19">
        <v>0.04758</v>
      </c>
    </row>
    <row r="345">
      <c r="B345" s="19">
        <v>337.0</v>
      </c>
      <c r="C345" s="19">
        <v>0.04752</v>
      </c>
    </row>
    <row r="346">
      <c r="B346" s="19">
        <v>338.0</v>
      </c>
      <c r="C346" s="19">
        <v>0.04647</v>
      </c>
    </row>
    <row r="347">
      <c r="B347" s="19">
        <v>339.0</v>
      </c>
      <c r="C347" s="19">
        <v>0.04752</v>
      </c>
    </row>
    <row r="348">
      <c r="B348" s="19">
        <v>340.0</v>
      </c>
      <c r="C348" s="19">
        <v>0.04764</v>
      </c>
    </row>
    <row r="349">
      <c r="B349" s="19">
        <v>341.0</v>
      </c>
      <c r="C349" s="19">
        <v>0.04487</v>
      </c>
    </row>
    <row r="350">
      <c r="B350" s="19">
        <v>342.0</v>
      </c>
      <c r="C350" s="19">
        <v>0.04753</v>
      </c>
    </row>
    <row r="351">
      <c r="B351" s="19">
        <v>343.0</v>
      </c>
      <c r="C351" s="19">
        <v>0.04755</v>
      </c>
    </row>
    <row r="352">
      <c r="B352" s="19">
        <v>344.0</v>
      </c>
      <c r="C352" s="19">
        <v>0.04762</v>
      </c>
    </row>
    <row r="353">
      <c r="B353" s="19">
        <v>345.0</v>
      </c>
      <c r="C353" s="19">
        <v>0.04756</v>
      </c>
    </row>
    <row r="354">
      <c r="B354" s="19">
        <v>346.0</v>
      </c>
      <c r="C354" s="19">
        <v>0.04759</v>
      </c>
    </row>
    <row r="355">
      <c r="B355" s="19">
        <v>347.0</v>
      </c>
      <c r="C355" s="19">
        <v>0.04764</v>
      </c>
    </row>
    <row r="356">
      <c r="B356" s="19">
        <v>348.0</v>
      </c>
      <c r="C356" s="19">
        <v>0.04755</v>
      </c>
    </row>
    <row r="357">
      <c r="B357" s="19">
        <v>349.0</v>
      </c>
      <c r="C357" s="19">
        <v>0.04395</v>
      </c>
    </row>
    <row r="358">
      <c r="B358" s="19">
        <v>350.0</v>
      </c>
      <c r="C358" s="19">
        <v>0.04771</v>
      </c>
    </row>
    <row r="359">
      <c r="B359" s="19">
        <v>351.0</v>
      </c>
      <c r="C359" s="19">
        <v>0.04766</v>
      </c>
    </row>
    <row r="360">
      <c r="B360" s="19">
        <v>352.0</v>
      </c>
      <c r="C360" s="19">
        <v>0.04758</v>
      </c>
    </row>
    <row r="361">
      <c r="B361" s="19">
        <v>353.0</v>
      </c>
      <c r="C361" s="19">
        <v>0.04753</v>
      </c>
    </row>
    <row r="362">
      <c r="B362" s="19">
        <v>354.0</v>
      </c>
      <c r="C362" s="19">
        <v>0.04767</v>
      </c>
    </row>
    <row r="363">
      <c r="B363" s="19">
        <v>355.0</v>
      </c>
      <c r="C363" s="19">
        <v>0.04758</v>
      </c>
    </row>
    <row r="364">
      <c r="B364" s="19">
        <v>356.0</v>
      </c>
      <c r="C364" s="19">
        <v>0.04766</v>
      </c>
    </row>
    <row r="365">
      <c r="B365" s="19">
        <v>357.0</v>
      </c>
      <c r="C365" s="19">
        <v>0.04052</v>
      </c>
    </row>
    <row r="366">
      <c r="B366" s="19">
        <v>358.0</v>
      </c>
      <c r="C366" s="19">
        <v>0.04373</v>
      </c>
    </row>
    <row r="367">
      <c r="B367" s="19">
        <v>359.0</v>
      </c>
      <c r="C367" s="19">
        <v>0.04766</v>
      </c>
    </row>
    <row r="368">
      <c r="B368" s="19">
        <v>360.0</v>
      </c>
      <c r="C368" s="19">
        <v>0.04638</v>
      </c>
    </row>
    <row r="369">
      <c r="B369" s="19">
        <v>361.0</v>
      </c>
      <c r="C369" s="19">
        <v>0.04773</v>
      </c>
    </row>
    <row r="370">
      <c r="B370" s="19">
        <v>362.0</v>
      </c>
      <c r="C370" s="19">
        <v>0.04769</v>
      </c>
    </row>
    <row r="371">
      <c r="B371" s="19">
        <v>363.0</v>
      </c>
      <c r="C371" s="19">
        <v>0.04754</v>
      </c>
    </row>
    <row r="372">
      <c r="B372" s="19">
        <v>364.0</v>
      </c>
      <c r="C372" s="19">
        <v>0.04769</v>
      </c>
    </row>
    <row r="373">
      <c r="B373" s="19">
        <v>365.0</v>
      </c>
      <c r="C373" s="19">
        <v>0.04757</v>
      </c>
    </row>
    <row r="374">
      <c r="B374" s="19">
        <v>366.0</v>
      </c>
      <c r="C374" s="19">
        <v>0.04759</v>
      </c>
    </row>
    <row r="375">
      <c r="B375" s="19">
        <v>367.0</v>
      </c>
      <c r="C375" s="19">
        <v>0.04765</v>
      </c>
    </row>
    <row r="376">
      <c r="B376" s="19">
        <v>368.0</v>
      </c>
      <c r="C376" s="19">
        <v>0.04767</v>
      </c>
    </row>
    <row r="377">
      <c r="B377" s="19">
        <v>369.0</v>
      </c>
      <c r="C377" s="19">
        <v>0.04753</v>
      </c>
    </row>
    <row r="378">
      <c r="B378" s="19">
        <v>370.0</v>
      </c>
      <c r="C378" s="19">
        <v>0.04246</v>
      </c>
    </row>
    <row r="379">
      <c r="B379" s="19">
        <v>371.0</v>
      </c>
      <c r="C379" s="19">
        <v>0.04768</v>
      </c>
    </row>
    <row r="380">
      <c r="B380" s="19">
        <v>372.0</v>
      </c>
      <c r="C380" s="19">
        <v>0.04757</v>
      </c>
    </row>
    <row r="381">
      <c r="B381" s="19">
        <v>373.0</v>
      </c>
      <c r="C381" s="19">
        <v>0.04757</v>
      </c>
    </row>
    <row r="382">
      <c r="B382" s="19">
        <v>374.0</v>
      </c>
      <c r="C382" s="19">
        <v>0.04759</v>
      </c>
    </row>
    <row r="383">
      <c r="B383" s="19">
        <v>375.0</v>
      </c>
      <c r="C383" s="19">
        <v>0.0476</v>
      </c>
    </row>
    <row r="384">
      <c r="B384" s="19">
        <v>376.0</v>
      </c>
      <c r="C384" s="19">
        <v>0.04319</v>
      </c>
    </row>
    <row r="385">
      <c r="B385" s="19">
        <v>377.0</v>
      </c>
      <c r="C385" s="19">
        <v>0.04209</v>
      </c>
    </row>
    <row r="386">
      <c r="B386" s="19">
        <v>378.0</v>
      </c>
      <c r="C386" s="19">
        <v>0.04678</v>
      </c>
    </row>
    <row r="387">
      <c r="B387" s="19">
        <v>379.0</v>
      </c>
      <c r="C387" s="19">
        <v>0.04754</v>
      </c>
    </row>
    <row r="388">
      <c r="B388" s="19">
        <v>380.0</v>
      </c>
      <c r="C388" s="19">
        <v>0.04751</v>
      </c>
    </row>
    <row r="389">
      <c r="B389" s="19">
        <v>381.0</v>
      </c>
      <c r="C389" s="19">
        <v>0.04763</v>
      </c>
    </row>
    <row r="390">
      <c r="B390" s="19">
        <v>382.0</v>
      </c>
      <c r="C390" s="19">
        <v>0.04751</v>
      </c>
    </row>
    <row r="391">
      <c r="B391" s="19">
        <v>383.0</v>
      </c>
      <c r="C391" s="19">
        <v>0.04758</v>
      </c>
    </row>
    <row r="392">
      <c r="B392" s="19">
        <v>384.0</v>
      </c>
      <c r="C392" s="19">
        <v>0.03963</v>
      </c>
    </row>
    <row r="393">
      <c r="B393" s="19">
        <v>385.0</v>
      </c>
      <c r="C393" s="19">
        <v>0.04759</v>
      </c>
    </row>
    <row r="394">
      <c r="B394" s="19">
        <v>386.0</v>
      </c>
      <c r="C394" s="19">
        <v>0.04759</v>
      </c>
    </row>
    <row r="395">
      <c r="B395" s="19">
        <v>387.0</v>
      </c>
      <c r="C395" s="19">
        <v>0.04274</v>
      </c>
    </row>
    <row r="396">
      <c r="B396" s="19">
        <v>388.0</v>
      </c>
      <c r="C396" s="19">
        <v>0.04753</v>
      </c>
    </row>
    <row r="397">
      <c r="B397" s="19">
        <v>389.0</v>
      </c>
      <c r="C397" s="19">
        <v>0.04751</v>
      </c>
    </row>
    <row r="398">
      <c r="B398" s="19">
        <v>390.0</v>
      </c>
      <c r="C398" s="19">
        <v>0.04434</v>
      </c>
    </row>
    <row r="399">
      <c r="B399" s="19">
        <v>391.0</v>
      </c>
      <c r="C399" s="19">
        <v>0.04049</v>
      </c>
    </row>
    <row r="400">
      <c r="B400" s="19">
        <v>392.0</v>
      </c>
      <c r="C400" s="19">
        <v>0.04764</v>
      </c>
    </row>
    <row r="401">
      <c r="B401" s="19">
        <v>393.0</v>
      </c>
      <c r="C401" s="19">
        <v>0.04764</v>
      </c>
    </row>
    <row r="402">
      <c r="B402" s="19">
        <v>394.0</v>
      </c>
      <c r="C402" s="19">
        <v>0.04754</v>
      </c>
    </row>
    <row r="403">
      <c r="B403" s="19">
        <v>395.0</v>
      </c>
      <c r="C403" s="19">
        <v>0.0476</v>
      </c>
    </row>
    <row r="404">
      <c r="B404" s="19">
        <v>396.0</v>
      </c>
      <c r="C404" s="19">
        <v>0.04759</v>
      </c>
    </row>
    <row r="405">
      <c r="B405" s="19">
        <v>397.0</v>
      </c>
      <c r="C405" s="19">
        <v>0.04774</v>
      </c>
    </row>
    <row r="406">
      <c r="B406" s="19">
        <v>398.0</v>
      </c>
      <c r="C406" s="19">
        <v>0.04427</v>
      </c>
    </row>
    <row r="407">
      <c r="B407" s="19">
        <v>399.0</v>
      </c>
      <c r="C407" s="19">
        <v>0.04762</v>
      </c>
    </row>
    <row r="408">
      <c r="B408" s="19">
        <v>400.0</v>
      </c>
      <c r="C408" s="19">
        <v>0.04749</v>
      </c>
    </row>
    <row r="409">
      <c r="B409" s="19">
        <v>401.0</v>
      </c>
      <c r="C409" s="19">
        <v>0.04765</v>
      </c>
    </row>
    <row r="410">
      <c r="B410" s="19">
        <v>402.0</v>
      </c>
      <c r="C410" s="19">
        <v>0.04753</v>
      </c>
    </row>
    <row r="411">
      <c r="B411" s="19">
        <v>403.0</v>
      </c>
      <c r="C411" s="19">
        <v>0.04763</v>
      </c>
    </row>
    <row r="412">
      <c r="B412" s="19">
        <v>404.0</v>
      </c>
      <c r="C412" s="19">
        <v>0.04757</v>
      </c>
    </row>
    <row r="413">
      <c r="B413" s="19">
        <v>405.0</v>
      </c>
      <c r="C413" s="19">
        <v>0.0475</v>
      </c>
    </row>
    <row r="414">
      <c r="B414" s="19">
        <v>406.0</v>
      </c>
      <c r="C414" s="19">
        <v>0.04755</v>
      </c>
    </row>
    <row r="415">
      <c r="B415" s="19">
        <v>407.0</v>
      </c>
      <c r="C415" s="19">
        <v>0.04767</v>
      </c>
    </row>
    <row r="416">
      <c r="B416" s="19">
        <v>408.0</v>
      </c>
      <c r="C416" s="19">
        <v>0.04538</v>
      </c>
    </row>
    <row r="417">
      <c r="B417" s="19">
        <v>409.0</v>
      </c>
      <c r="C417" s="19">
        <v>0.04764</v>
      </c>
    </row>
    <row r="418">
      <c r="B418" s="19">
        <v>410.0</v>
      </c>
      <c r="C418" s="19">
        <v>0.04763</v>
      </c>
    </row>
    <row r="419">
      <c r="B419" s="19">
        <v>411.0</v>
      </c>
      <c r="C419" s="19">
        <v>0.04769</v>
      </c>
    </row>
    <row r="420">
      <c r="B420" s="19">
        <v>412.0</v>
      </c>
      <c r="C420" s="19">
        <v>0.04791</v>
      </c>
    </row>
    <row r="421">
      <c r="B421" s="19">
        <v>413.0</v>
      </c>
      <c r="C421" s="19">
        <v>0.04584</v>
      </c>
    </row>
    <row r="422">
      <c r="B422" s="19">
        <v>414.0</v>
      </c>
      <c r="C422" s="19">
        <v>0.04381</v>
      </c>
    </row>
    <row r="423">
      <c r="B423" s="19">
        <v>415.0</v>
      </c>
      <c r="C423" s="19">
        <v>0.04761</v>
      </c>
    </row>
    <row r="424">
      <c r="B424" s="19">
        <v>416.0</v>
      </c>
      <c r="C424" s="19">
        <v>0.0476</v>
      </c>
    </row>
    <row r="425">
      <c r="B425" s="19">
        <v>417.0</v>
      </c>
      <c r="C425" s="19">
        <v>0.0476</v>
      </c>
    </row>
    <row r="426">
      <c r="B426" s="19">
        <v>418.0</v>
      </c>
      <c r="C426" s="19">
        <v>0.04765</v>
      </c>
    </row>
    <row r="427">
      <c r="B427" s="19">
        <v>419.0</v>
      </c>
      <c r="C427" s="19">
        <v>0.04774</v>
      </c>
    </row>
    <row r="428">
      <c r="B428" s="19">
        <v>420.0</v>
      </c>
      <c r="C428" s="19">
        <v>0.03979</v>
      </c>
    </row>
    <row r="429">
      <c r="B429" s="19">
        <v>421.0</v>
      </c>
      <c r="C429" s="19">
        <v>0.04514</v>
      </c>
    </row>
    <row r="430">
      <c r="B430" s="19">
        <v>422.0</v>
      </c>
      <c r="C430" s="19">
        <v>0.04611</v>
      </c>
    </row>
    <row r="431">
      <c r="B431" s="19">
        <v>423.0</v>
      </c>
      <c r="C431" s="19">
        <v>0.04761</v>
      </c>
    </row>
    <row r="432">
      <c r="B432" s="19">
        <v>424.0</v>
      </c>
      <c r="C432" s="19">
        <v>0.04755</v>
      </c>
    </row>
    <row r="433">
      <c r="B433" s="19">
        <v>425.0</v>
      </c>
      <c r="C433" s="19">
        <v>0.04683</v>
      </c>
    </row>
    <row r="434">
      <c r="B434" s="19">
        <v>426.0</v>
      </c>
      <c r="C434" s="19">
        <v>0.04756</v>
      </c>
    </row>
    <row r="435">
      <c r="B435" s="19">
        <v>427.0</v>
      </c>
      <c r="C435" s="19">
        <v>0.04503</v>
      </c>
    </row>
    <row r="436">
      <c r="B436" s="19">
        <v>428.0</v>
      </c>
      <c r="C436" s="19">
        <v>0.04367</v>
      </c>
    </row>
    <row r="437">
      <c r="B437" s="19">
        <v>429.0</v>
      </c>
      <c r="C437" s="19">
        <v>0.0418</v>
      </c>
    </row>
    <row r="438">
      <c r="B438" s="19">
        <v>430.0</v>
      </c>
      <c r="C438" s="19">
        <v>0.04754</v>
      </c>
    </row>
    <row r="439">
      <c r="B439" s="19">
        <v>431.0</v>
      </c>
      <c r="C439" s="19">
        <v>0.04754</v>
      </c>
    </row>
    <row r="440">
      <c r="B440" s="19">
        <v>432.0</v>
      </c>
      <c r="C440" s="19">
        <v>0.04486</v>
      </c>
    </row>
    <row r="441">
      <c r="B441" s="19">
        <v>433.0</v>
      </c>
      <c r="C441" s="19">
        <v>0.04754</v>
      </c>
    </row>
    <row r="442">
      <c r="B442" s="19">
        <v>434.0</v>
      </c>
      <c r="C442" s="19">
        <v>0.04151</v>
      </c>
    </row>
    <row r="443">
      <c r="B443" s="19">
        <v>435.0</v>
      </c>
      <c r="C443" s="19">
        <v>0.04753</v>
      </c>
    </row>
    <row r="444">
      <c r="B444" s="19">
        <v>436.0</v>
      </c>
      <c r="C444" s="19">
        <v>0.04771</v>
      </c>
    </row>
    <row r="445">
      <c r="B445" s="19">
        <v>437.0</v>
      </c>
      <c r="C445" s="19">
        <v>0.04766</v>
      </c>
    </row>
    <row r="446">
      <c r="B446" s="19">
        <v>438.0</v>
      </c>
      <c r="C446" s="19">
        <v>0.04765</v>
      </c>
    </row>
    <row r="447">
      <c r="B447" s="19">
        <v>439.0</v>
      </c>
      <c r="C447" s="19">
        <v>0.04766</v>
      </c>
    </row>
    <row r="448">
      <c r="B448" s="19">
        <v>440.0</v>
      </c>
      <c r="C448" s="19">
        <v>0.04761</v>
      </c>
    </row>
    <row r="449">
      <c r="B449" s="19">
        <v>441.0</v>
      </c>
      <c r="C449" s="19">
        <v>0.04764</v>
      </c>
    </row>
    <row r="450">
      <c r="B450" s="19">
        <v>442.0</v>
      </c>
      <c r="C450" s="19">
        <v>0.03965</v>
      </c>
    </row>
    <row r="451">
      <c r="B451" s="19">
        <v>443.0</v>
      </c>
      <c r="C451" s="19">
        <v>0.04763</v>
      </c>
    </row>
    <row r="452">
      <c r="B452" s="19">
        <v>444.0</v>
      </c>
      <c r="C452" s="19">
        <v>0.04768</v>
      </c>
    </row>
    <row r="453">
      <c r="B453" s="19">
        <v>445.0</v>
      </c>
      <c r="C453" s="19">
        <v>0.0476</v>
      </c>
    </row>
    <row r="454">
      <c r="B454" s="19">
        <v>446.0</v>
      </c>
      <c r="C454" s="19">
        <v>0.04764</v>
      </c>
    </row>
    <row r="455">
      <c r="B455" s="19">
        <v>447.0</v>
      </c>
      <c r="C455" s="19">
        <v>0.04751</v>
      </c>
    </row>
    <row r="456">
      <c r="B456" s="19">
        <v>448.0</v>
      </c>
      <c r="C456" s="19">
        <v>0.04775</v>
      </c>
    </row>
    <row r="457">
      <c r="B457" s="19">
        <v>449.0</v>
      </c>
      <c r="C457" s="19">
        <v>0.04204</v>
      </c>
    </row>
    <row r="458">
      <c r="B458" s="19">
        <v>450.0</v>
      </c>
      <c r="C458" s="19">
        <v>0.04768</v>
      </c>
    </row>
    <row r="459">
      <c r="B459" s="19">
        <v>451.0</v>
      </c>
      <c r="C459" s="19">
        <v>0.04759</v>
      </c>
    </row>
    <row r="460">
      <c r="B460" s="19">
        <v>452.0</v>
      </c>
      <c r="C460" s="19">
        <v>0.04759</v>
      </c>
    </row>
    <row r="461">
      <c r="B461" s="19">
        <v>453.0</v>
      </c>
      <c r="C461" s="19">
        <v>0.04749</v>
      </c>
    </row>
    <row r="462">
      <c r="B462" s="19">
        <v>454.0</v>
      </c>
      <c r="C462" s="19">
        <v>0.04525</v>
      </c>
    </row>
    <row r="463">
      <c r="B463" s="19">
        <v>455.0</v>
      </c>
      <c r="C463" s="19">
        <v>0.04753</v>
      </c>
    </row>
    <row r="464">
      <c r="B464" s="19">
        <v>456.0</v>
      </c>
      <c r="C464" s="19">
        <v>0.04772</v>
      </c>
    </row>
    <row r="465">
      <c r="B465" s="19">
        <v>457.0</v>
      </c>
      <c r="C465" s="19">
        <v>0.04768</v>
      </c>
    </row>
    <row r="466">
      <c r="B466" s="19">
        <v>458.0</v>
      </c>
      <c r="C466" s="19">
        <v>0.04773</v>
      </c>
    </row>
    <row r="467">
      <c r="B467" s="19">
        <v>459.0</v>
      </c>
      <c r="C467" s="19">
        <v>0.04683</v>
      </c>
    </row>
    <row r="468">
      <c r="B468" s="19">
        <v>460.0</v>
      </c>
      <c r="C468" s="19">
        <v>0.04384</v>
      </c>
    </row>
    <row r="469">
      <c r="B469" s="19">
        <v>461.0</v>
      </c>
      <c r="C469" s="19">
        <v>0.04759</v>
      </c>
    </row>
    <row r="470">
      <c r="B470" s="19">
        <v>462.0</v>
      </c>
      <c r="C470" s="19">
        <v>0.04759</v>
      </c>
    </row>
    <row r="471">
      <c r="B471" s="19">
        <v>463.0</v>
      </c>
      <c r="C471" s="19">
        <v>0.04391</v>
      </c>
    </row>
    <row r="472">
      <c r="B472" s="19">
        <v>464.0</v>
      </c>
      <c r="C472" s="19">
        <v>0.04628</v>
      </c>
    </row>
    <row r="473">
      <c r="B473" s="19">
        <v>465.0</v>
      </c>
      <c r="C473" s="19">
        <v>0.04761</v>
      </c>
    </row>
    <row r="474">
      <c r="B474" s="19">
        <v>466.0</v>
      </c>
      <c r="C474" s="19">
        <v>0.04763</v>
      </c>
    </row>
    <row r="475">
      <c r="B475" s="19">
        <v>467.0</v>
      </c>
      <c r="C475" s="19">
        <v>0.04756</v>
      </c>
    </row>
    <row r="476">
      <c r="B476" s="19">
        <v>468.0</v>
      </c>
      <c r="C476" s="19">
        <v>0.04408</v>
      </c>
    </row>
    <row r="477">
      <c r="B477" s="19">
        <v>469.0</v>
      </c>
      <c r="C477" s="19">
        <v>0.04268</v>
      </c>
    </row>
    <row r="478">
      <c r="B478" s="19">
        <v>470.0</v>
      </c>
      <c r="C478" s="19">
        <v>0.04768</v>
      </c>
    </row>
    <row r="479">
      <c r="B479" s="19">
        <v>471.0</v>
      </c>
      <c r="C479" s="19">
        <v>0.04755</v>
      </c>
    </row>
    <row r="480">
      <c r="B480" s="19">
        <v>472.0</v>
      </c>
      <c r="C480" s="19">
        <v>0.04756</v>
      </c>
    </row>
    <row r="481">
      <c r="B481" s="19">
        <v>473.0</v>
      </c>
      <c r="C481" s="19">
        <v>0.03852</v>
      </c>
    </row>
    <row r="482">
      <c r="B482" s="19">
        <v>474.0</v>
      </c>
      <c r="C482" s="19">
        <v>0.04762</v>
      </c>
    </row>
    <row r="483">
      <c r="B483" s="19">
        <v>475.0</v>
      </c>
      <c r="C483" s="19">
        <v>0.04762</v>
      </c>
    </row>
    <row r="484">
      <c r="B484" s="19">
        <v>476.0</v>
      </c>
      <c r="C484" s="19">
        <v>0.0476</v>
      </c>
    </row>
    <row r="485">
      <c r="B485" s="19">
        <v>477.0</v>
      </c>
      <c r="C485" s="19">
        <v>0.0476</v>
      </c>
    </row>
    <row r="486">
      <c r="B486" s="19">
        <v>478.0</v>
      </c>
      <c r="C486" s="19">
        <v>0.04062</v>
      </c>
    </row>
    <row r="487">
      <c r="B487" s="19">
        <v>479.0</v>
      </c>
      <c r="C487" s="19">
        <v>0.04763</v>
      </c>
    </row>
    <row r="488">
      <c r="B488" s="19">
        <v>480.0</v>
      </c>
      <c r="C488" s="19">
        <v>0.04762</v>
      </c>
    </row>
    <row r="489">
      <c r="B489" s="19">
        <v>481.0</v>
      </c>
      <c r="C489" s="19">
        <v>0.04016</v>
      </c>
    </row>
    <row r="490">
      <c r="B490" s="19">
        <v>482.0</v>
      </c>
      <c r="C490" s="19">
        <v>0.0404</v>
      </c>
    </row>
    <row r="491">
      <c r="B491" s="19">
        <v>483.0</v>
      </c>
      <c r="C491" s="19">
        <v>0.04774</v>
      </c>
    </row>
    <row r="492">
      <c r="B492" s="19">
        <v>484.0</v>
      </c>
      <c r="C492" s="19">
        <v>0.04764</v>
      </c>
    </row>
    <row r="493">
      <c r="B493" s="19">
        <v>485.0</v>
      </c>
      <c r="C493" s="19">
        <v>0.04755</v>
      </c>
    </row>
    <row r="494">
      <c r="B494" s="19">
        <v>486.0</v>
      </c>
      <c r="C494" s="19">
        <v>0.04766</v>
      </c>
    </row>
    <row r="495">
      <c r="B495" s="19">
        <v>487.0</v>
      </c>
      <c r="C495" s="19">
        <v>0.0476</v>
      </c>
    </row>
    <row r="496">
      <c r="B496" s="19">
        <v>488.0</v>
      </c>
      <c r="C496" s="19">
        <v>0.04759</v>
      </c>
    </row>
    <row r="497">
      <c r="B497" s="19">
        <v>489.0</v>
      </c>
      <c r="C497" s="19">
        <v>0.04766</v>
      </c>
    </row>
    <row r="498">
      <c r="B498" s="19">
        <v>490.0</v>
      </c>
      <c r="C498" s="19">
        <v>0.04782</v>
      </c>
    </row>
    <row r="499">
      <c r="B499" s="19">
        <v>491.0</v>
      </c>
      <c r="C499" s="19">
        <v>0.0476</v>
      </c>
    </row>
    <row r="500">
      <c r="B500" s="19">
        <v>492.0</v>
      </c>
      <c r="C500" s="19">
        <v>0.04514</v>
      </c>
    </row>
    <row r="501">
      <c r="B501" s="19">
        <v>493.0</v>
      </c>
      <c r="C501" s="19">
        <v>0.04781</v>
      </c>
    </row>
    <row r="502">
      <c r="B502" s="19">
        <v>494.0</v>
      </c>
      <c r="C502" s="19">
        <v>0.04644</v>
      </c>
    </row>
    <row r="503">
      <c r="B503" s="19">
        <v>495.0</v>
      </c>
      <c r="C503" s="19">
        <v>0.04479</v>
      </c>
    </row>
    <row r="504">
      <c r="B504" s="19">
        <v>496.0</v>
      </c>
      <c r="C504" s="19">
        <v>0.04496</v>
      </c>
    </row>
    <row r="505">
      <c r="B505" s="19">
        <v>497.0</v>
      </c>
      <c r="C505" s="19">
        <v>0.04165</v>
      </c>
    </row>
    <row r="506">
      <c r="B506" s="19">
        <v>498.0</v>
      </c>
      <c r="C506" s="19">
        <v>0.04557</v>
      </c>
    </row>
    <row r="507">
      <c r="B507" s="19">
        <v>499.0</v>
      </c>
      <c r="C507" s="19">
        <v>0.0439</v>
      </c>
    </row>
    <row r="508">
      <c r="B508" s="19">
        <v>500.0</v>
      </c>
      <c r="C508" s="19">
        <v>0.0444</v>
      </c>
    </row>
    <row r="509">
      <c r="B509" s="19">
        <v>501.0</v>
      </c>
      <c r="C509" s="19">
        <v>0.04697</v>
      </c>
    </row>
    <row r="510">
      <c r="B510" s="19">
        <v>502.0</v>
      </c>
      <c r="C510" s="19">
        <v>0.04774</v>
      </c>
    </row>
    <row r="511">
      <c r="B511" s="19">
        <v>503.0</v>
      </c>
      <c r="C511" s="19">
        <v>0.0476</v>
      </c>
    </row>
    <row r="512">
      <c r="B512" s="19">
        <v>504.0</v>
      </c>
      <c r="C512" s="19">
        <v>0.04765</v>
      </c>
    </row>
    <row r="513">
      <c r="B513" s="19">
        <v>505.0</v>
      </c>
      <c r="C513" s="19">
        <v>0.04766</v>
      </c>
    </row>
    <row r="514">
      <c r="B514" s="19">
        <v>506.0</v>
      </c>
      <c r="C514" s="19">
        <v>0.04756</v>
      </c>
    </row>
    <row r="515">
      <c r="B515" s="19">
        <v>507.0</v>
      </c>
      <c r="C515" s="19">
        <v>0.04772</v>
      </c>
    </row>
    <row r="516">
      <c r="B516" s="19">
        <v>508.0</v>
      </c>
      <c r="C516" s="19">
        <v>0.04771</v>
      </c>
    </row>
    <row r="517">
      <c r="B517" s="19">
        <v>509.0</v>
      </c>
      <c r="C517" s="19">
        <v>0.04752</v>
      </c>
    </row>
    <row r="518">
      <c r="B518" s="19">
        <v>510.0</v>
      </c>
      <c r="C518" s="19">
        <v>0.04698</v>
      </c>
    </row>
    <row r="519">
      <c r="B519" s="19">
        <v>511.0</v>
      </c>
      <c r="C519" s="19">
        <v>0.04761</v>
      </c>
    </row>
    <row r="520">
      <c r="B520" s="19">
        <v>512.0</v>
      </c>
      <c r="C520" s="19">
        <v>0.04575</v>
      </c>
    </row>
    <row r="521">
      <c r="B521" s="19">
        <v>513.0</v>
      </c>
      <c r="C521" s="19">
        <v>0.04754</v>
      </c>
    </row>
    <row r="522">
      <c r="B522" s="19">
        <v>514.0</v>
      </c>
      <c r="C522" s="19">
        <v>0.0462</v>
      </c>
    </row>
    <row r="523">
      <c r="B523" s="19">
        <v>515.0</v>
      </c>
      <c r="C523" s="19">
        <v>0.0476</v>
      </c>
    </row>
    <row r="524">
      <c r="B524" s="19">
        <v>516.0</v>
      </c>
      <c r="C524" s="19">
        <v>0.04771</v>
      </c>
    </row>
    <row r="525">
      <c r="B525" s="19">
        <v>517.0</v>
      </c>
      <c r="C525" s="19">
        <v>0.04488</v>
      </c>
    </row>
    <row r="526">
      <c r="B526" s="19">
        <v>518.0</v>
      </c>
      <c r="C526" s="19">
        <v>0.04755</v>
      </c>
    </row>
    <row r="527">
      <c r="B527" s="19">
        <v>519.0</v>
      </c>
      <c r="C527" s="19">
        <v>0.04714</v>
      </c>
    </row>
    <row r="528">
      <c r="B528" s="19">
        <v>520.0</v>
      </c>
      <c r="C528" s="19">
        <v>0.0476</v>
      </c>
    </row>
    <row r="529">
      <c r="B529" s="19">
        <v>521.0</v>
      </c>
      <c r="C529" s="19">
        <v>0.04639</v>
      </c>
    </row>
    <row r="530">
      <c r="B530" s="19">
        <v>522.0</v>
      </c>
      <c r="C530" s="19">
        <v>0.04754</v>
      </c>
    </row>
    <row r="531">
      <c r="B531" s="19">
        <v>523.0</v>
      </c>
      <c r="C531" s="19">
        <v>0.04756</v>
      </c>
    </row>
    <row r="532">
      <c r="B532" s="19">
        <v>524.0</v>
      </c>
      <c r="C532" s="19">
        <v>0.04214</v>
      </c>
    </row>
    <row r="533">
      <c r="B533" s="19">
        <v>525.0</v>
      </c>
      <c r="C533" s="19">
        <v>0.04748</v>
      </c>
    </row>
    <row r="534">
      <c r="B534" s="19">
        <v>526.0</v>
      </c>
      <c r="C534" s="19">
        <v>0.04761</v>
      </c>
    </row>
    <row r="535">
      <c r="B535" s="19">
        <v>527.0</v>
      </c>
      <c r="C535" s="19">
        <v>0.04762</v>
      </c>
    </row>
    <row r="536">
      <c r="B536" s="19">
        <v>528.0</v>
      </c>
      <c r="C536" s="19">
        <v>0.04756</v>
      </c>
    </row>
    <row r="537">
      <c r="B537" s="19">
        <v>529.0</v>
      </c>
      <c r="C537" s="19">
        <v>0.04274</v>
      </c>
    </row>
    <row r="538">
      <c r="B538" s="19">
        <v>530.0</v>
      </c>
      <c r="C538" s="19">
        <v>0.0476</v>
      </c>
    </row>
    <row r="539">
      <c r="B539" s="19">
        <v>531.0</v>
      </c>
      <c r="C539" s="19">
        <v>0.04756</v>
      </c>
    </row>
    <row r="540">
      <c r="B540" s="19">
        <v>532.0</v>
      </c>
      <c r="C540" s="19">
        <v>0.04395</v>
      </c>
    </row>
    <row r="541">
      <c r="B541" s="19">
        <v>533.0</v>
      </c>
      <c r="C541" s="19">
        <v>0.04762</v>
      </c>
    </row>
    <row r="542">
      <c r="B542" s="19">
        <v>534.0</v>
      </c>
      <c r="C542" s="19">
        <v>0.04469</v>
      </c>
    </row>
    <row r="543">
      <c r="B543" s="19">
        <v>535.0</v>
      </c>
      <c r="C543" s="19">
        <v>0.04116</v>
      </c>
    </row>
    <row r="544">
      <c r="B544" s="19">
        <v>536.0</v>
      </c>
      <c r="C544" s="19">
        <v>0.04766</v>
      </c>
    </row>
    <row r="545">
      <c r="B545" s="19">
        <v>537.0</v>
      </c>
      <c r="C545" s="19">
        <v>0.04754</v>
      </c>
    </row>
    <row r="546">
      <c r="B546" s="19">
        <v>538.0</v>
      </c>
      <c r="C546" s="19">
        <v>0.04758</v>
      </c>
    </row>
    <row r="547">
      <c r="B547" s="19">
        <v>539.0</v>
      </c>
      <c r="C547" s="19">
        <v>0.0477</v>
      </c>
    </row>
    <row r="548">
      <c r="B548" s="19">
        <v>540.0</v>
      </c>
      <c r="C548" s="19">
        <v>0.04414</v>
      </c>
    </row>
    <row r="549">
      <c r="B549" s="19">
        <v>541.0</v>
      </c>
      <c r="C549" s="19">
        <v>0.04754</v>
      </c>
    </row>
    <row r="550">
      <c r="B550" s="19">
        <v>542.0</v>
      </c>
      <c r="C550" s="19">
        <v>0.04568</v>
      </c>
    </row>
    <row r="551">
      <c r="B551" s="19">
        <v>543.0</v>
      </c>
      <c r="C551" s="19">
        <v>0.04572</v>
      </c>
    </row>
    <row r="552">
      <c r="B552" s="19">
        <v>544.0</v>
      </c>
      <c r="C552" s="19">
        <v>0.04757</v>
      </c>
    </row>
    <row r="553">
      <c r="B553" s="19">
        <v>545.0</v>
      </c>
      <c r="C553" s="19">
        <v>0.04768</v>
      </c>
    </row>
    <row r="554">
      <c r="B554" s="19">
        <v>546.0</v>
      </c>
      <c r="C554" s="19">
        <v>0.04753</v>
      </c>
    </row>
    <row r="555">
      <c r="B555" s="19">
        <v>547.0</v>
      </c>
      <c r="C555" s="19">
        <v>0.04766</v>
      </c>
    </row>
    <row r="556">
      <c r="B556" s="19">
        <v>548.0</v>
      </c>
      <c r="C556" s="19">
        <v>0.04465</v>
      </c>
    </row>
    <row r="557">
      <c r="B557" s="19">
        <v>549.0</v>
      </c>
      <c r="C557" s="19">
        <v>0.04745</v>
      </c>
    </row>
    <row r="558">
      <c r="B558" s="19">
        <v>550.0</v>
      </c>
      <c r="C558" s="19">
        <v>0.04765</v>
      </c>
    </row>
    <row r="559">
      <c r="B559" s="19">
        <v>551.0</v>
      </c>
      <c r="C559" s="19">
        <v>0.0476</v>
      </c>
    </row>
    <row r="560">
      <c r="B560" s="19">
        <v>552.0</v>
      </c>
      <c r="C560" s="19">
        <v>0.04762</v>
      </c>
    </row>
    <row r="561">
      <c r="B561" s="19">
        <v>553.0</v>
      </c>
      <c r="C561" s="19">
        <v>0.04748</v>
      </c>
    </row>
    <row r="562">
      <c r="B562" s="19">
        <v>554.0</v>
      </c>
      <c r="C562" s="19">
        <v>0.0475</v>
      </c>
    </row>
    <row r="563">
      <c r="B563" s="19">
        <v>555.0</v>
      </c>
      <c r="C563" s="19">
        <v>0.04381</v>
      </c>
    </row>
    <row r="564">
      <c r="B564" s="19">
        <v>556.0</v>
      </c>
      <c r="C564" s="19">
        <v>0.04756</v>
      </c>
    </row>
    <row r="565">
      <c r="B565" s="19">
        <v>557.0</v>
      </c>
      <c r="C565" s="19">
        <v>0.0476</v>
      </c>
    </row>
    <row r="566">
      <c r="B566" s="19">
        <v>558.0</v>
      </c>
      <c r="C566" s="19">
        <v>0.04755</v>
      </c>
    </row>
    <row r="567">
      <c r="B567" s="19">
        <v>559.0</v>
      </c>
      <c r="C567" s="19">
        <v>0.04761</v>
      </c>
    </row>
    <row r="568">
      <c r="B568" s="19">
        <v>560.0</v>
      </c>
      <c r="C568" s="19">
        <v>0.0463</v>
      </c>
    </row>
    <row r="569">
      <c r="B569" s="19">
        <v>561.0</v>
      </c>
      <c r="C569" s="19">
        <v>0.04764</v>
      </c>
    </row>
    <row r="570">
      <c r="B570" s="19">
        <v>562.0</v>
      </c>
      <c r="C570" s="19">
        <v>0.04756</v>
      </c>
    </row>
    <row r="571">
      <c r="B571" s="19">
        <v>563.0</v>
      </c>
      <c r="C571" s="19">
        <v>0.04753</v>
      </c>
    </row>
    <row r="572">
      <c r="B572" s="19">
        <v>564.0</v>
      </c>
      <c r="C572" s="19">
        <v>0.04557</v>
      </c>
    </row>
    <row r="573">
      <c r="B573" s="19">
        <v>565.0</v>
      </c>
      <c r="C573" s="19">
        <v>0.04382</v>
      </c>
    </row>
    <row r="574">
      <c r="B574" s="19">
        <v>566.0</v>
      </c>
      <c r="C574" s="19">
        <v>0.0476</v>
      </c>
    </row>
    <row r="575">
      <c r="B575" s="19">
        <v>567.0</v>
      </c>
      <c r="C575" s="19">
        <v>0.04762</v>
      </c>
    </row>
    <row r="576">
      <c r="B576" s="19">
        <v>568.0</v>
      </c>
      <c r="C576" s="19">
        <v>0.04758</v>
      </c>
    </row>
    <row r="577">
      <c r="B577" s="19">
        <v>569.0</v>
      </c>
      <c r="C577" s="19">
        <v>0.04761</v>
      </c>
    </row>
    <row r="578">
      <c r="B578" s="19">
        <v>570.0</v>
      </c>
      <c r="C578" s="19">
        <v>0.04758</v>
      </c>
    </row>
    <row r="579">
      <c r="B579" s="19">
        <v>571.0</v>
      </c>
      <c r="C579" s="19">
        <v>0.04761</v>
      </c>
    </row>
    <row r="580">
      <c r="B580" s="19">
        <v>572.0</v>
      </c>
      <c r="C580" s="19">
        <v>0.04762</v>
      </c>
    </row>
    <row r="581">
      <c r="B581" s="19">
        <v>573.0</v>
      </c>
      <c r="C581" s="19">
        <v>0.0475</v>
      </c>
    </row>
    <row r="582">
      <c r="B582" s="19">
        <v>574.0</v>
      </c>
      <c r="C582" s="19">
        <v>0.04122</v>
      </c>
    </row>
    <row r="583">
      <c r="B583" s="19">
        <v>575.0</v>
      </c>
      <c r="C583" s="19">
        <v>0.04763</v>
      </c>
    </row>
    <row r="584">
      <c r="B584" s="19">
        <v>576.0</v>
      </c>
      <c r="C584" s="19">
        <v>0.04773</v>
      </c>
    </row>
    <row r="585">
      <c r="B585" s="19">
        <v>577.0</v>
      </c>
      <c r="C585" s="19">
        <v>0.04761</v>
      </c>
    </row>
    <row r="586">
      <c r="B586" s="19">
        <v>578.0</v>
      </c>
      <c r="C586" s="19">
        <v>0.04761</v>
      </c>
    </row>
    <row r="587">
      <c r="B587" s="19">
        <v>579.0</v>
      </c>
      <c r="C587" s="19">
        <v>0.04765</v>
      </c>
    </row>
    <row r="588">
      <c r="B588" s="19">
        <v>580.0</v>
      </c>
      <c r="C588" s="19">
        <v>0.04729</v>
      </c>
    </row>
    <row r="589">
      <c r="B589" s="19">
        <v>581.0</v>
      </c>
      <c r="C589" s="19">
        <v>0.04511</v>
      </c>
    </row>
    <row r="590">
      <c r="B590" s="19">
        <v>582.0</v>
      </c>
      <c r="C590" s="19">
        <v>0.04745</v>
      </c>
    </row>
    <row r="591">
      <c r="B591" s="19">
        <v>583.0</v>
      </c>
      <c r="C591" s="19">
        <v>0.04757</v>
      </c>
    </row>
    <row r="592">
      <c r="B592" s="19">
        <v>584.0</v>
      </c>
      <c r="C592" s="19">
        <v>0.04701</v>
      </c>
    </row>
    <row r="593">
      <c r="B593" s="19">
        <v>585.0</v>
      </c>
      <c r="C593" s="19">
        <v>0.04757</v>
      </c>
    </row>
    <row r="594">
      <c r="B594" s="19">
        <v>586.0</v>
      </c>
      <c r="C594" s="19">
        <v>0.04762</v>
      </c>
    </row>
    <row r="595">
      <c r="B595" s="19">
        <v>587.0</v>
      </c>
      <c r="C595" s="19">
        <v>0.04484</v>
      </c>
    </row>
    <row r="596">
      <c r="B596" s="19">
        <v>588.0</v>
      </c>
      <c r="C596" s="19">
        <v>0.04759</v>
      </c>
    </row>
    <row r="597">
      <c r="B597" s="19">
        <v>589.0</v>
      </c>
      <c r="C597" s="19">
        <v>0.04759</v>
      </c>
    </row>
    <row r="598">
      <c r="B598" s="19">
        <v>590.0</v>
      </c>
      <c r="C598" s="19">
        <v>0.04761</v>
      </c>
    </row>
    <row r="599">
      <c r="B599" s="19">
        <v>591.0</v>
      </c>
      <c r="C599" s="19">
        <v>0.04747</v>
      </c>
    </row>
    <row r="600">
      <c r="B600" s="19">
        <v>592.0</v>
      </c>
      <c r="C600" s="19">
        <v>0.04759</v>
      </c>
    </row>
    <row r="601">
      <c r="B601" s="19">
        <v>593.0</v>
      </c>
      <c r="C601" s="19">
        <v>0.0477</v>
      </c>
    </row>
    <row r="602">
      <c r="B602" s="19">
        <v>594.0</v>
      </c>
      <c r="C602" s="19">
        <v>0.04755</v>
      </c>
    </row>
    <row r="603">
      <c r="B603" s="19">
        <v>595.0</v>
      </c>
      <c r="C603" s="19">
        <v>0.04438</v>
      </c>
    </row>
    <row r="604">
      <c r="B604" s="19">
        <v>596.0</v>
      </c>
      <c r="C604" s="19">
        <v>0.04583</v>
      </c>
    </row>
    <row r="605">
      <c r="B605" s="19">
        <v>597.0</v>
      </c>
      <c r="C605" s="19">
        <v>0.04759</v>
      </c>
    </row>
    <row r="606">
      <c r="B606" s="19">
        <v>598.0</v>
      </c>
      <c r="C606" s="19">
        <v>0.04765</v>
      </c>
    </row>
    <row r="607">
      <c r="B607" s="19">
        <v>599.0</v>
      </c>
      <c r="C607" s="19">
        <v>0.04758</v>
      </c>
    </row>
    <row r="608">
      <c r="B608" s="19">
        <v>600.0</v>
      </c>
      <c r="C608" s="19">
        <v>0.04753</v>
      </c>
    </row>
    <row r="609">
      <c r="B609" s="19">
        <v>601.0</v>
      </c>
      <c r="C609" s="19">
        <v>0.04765</v>
      </c>
    </row>
    <row r="610">
      <c r="B610" s="19">
        <v>602.0</v>
      </c>
      <c r="C610" s="19">
        <v>0.04763</v>
      </c>
    </row>
    <row r="611">
      <c r="B611" s="19">
        <v>603.0</v>
      </c>
      <c r="C611" s="19">
        <v>0.04755</v>
      </c>
    </row>
    <row r="612">
      <c r="B612" s="19">
        <v>604.0</v>
      </c>
      <c r="C612" s="19">
        <v>0.04142</v>
      </c>
    </row>
    <row r="613">
      <c r="B613" s="19">
        <v>605.0</v>
      </c>
      <c r="C613" s="19">
        <v>0.04761</v>
      </c>
    </row>
    <row r="614">
      <c r="B614" s="19">
        <v>606.0</v>
      </c>
      <c r="C614" s="19">
        <v>0.04759</v>
      </c>
    </row>
    <row r="615">
      <c r="B615" s="19">
        <v>607.0</v>
      </c>
      <c r="C615" s="19">
        <v>0.04755</v>
      </c>
    </row>
    <row r="616">
      <c r="B616" s="19">
        <v>608.0</v>
      </c>
      <c r="C616" s="19">
        <v>0.04756</v>
      </c>
    </row>
    <row r="617">
      <c r="B617" s="19">
        <v>609.0</v>
      </c>
      <c r="C617" s="19">
        <v>0.04756</v>
      </c>
    </row>
    <row r="618">
      <c r="B618" s="19">
        <v>610.0</v>
      </c>
      <c r="C618" s="19">
        <v>0.04714</v>
      </c>
    </row>
    <row r="619">
      <c r="B619" s="19">
        <v>611.0</v>
      </c>
      <c r="C619" s="19">
        <v>0.04664</v>
      </c>
    </row>
    <row r="620">
      <c r="B620" s="19">
        <v>612.0</v>
      </c>
      <c r="C620" s="19">
        <v>0.0476</v>
      </c>
    </row>
    <row r="621">
      <c r="B621" s="19">
        <v>613.0</v>
      </c>
      <c r="C621" s="19">
        <v>0.04751</v>
      </c>
    </row>
    <row r="622">
      <c r="B622" s="19">
        <v>614.0</v>
      </c>
      <c r="C622" s="19">
        <v>0.04502</v>
      </c>
    </row>
    <row r="623">
      <c r="B623" s="19">
        <v>615.0</v>
      </c>
      <c r="C623" s="19">
        <v>0.04751</v>
      </c>
    </row>
    <row r="624">
      <c r="B624" s="19">
        <v>616.0</v>
      </c>
      <c r="C624" s="19">
        <v>0.04448</v>
      </c>
    </row>
    <row r="625">
      <c r="B625" s="19">
        <v>617.0</v>
      </c>
      <c r="C625" s="19">
        <v>0.04768</v>
      </c>
    </row>
    <row r="626">
      <c r="B626" s="19">
        <v>618.0</v>
      </c>
      <c r="C626" s="19">
        <v>0.04028</v>
      </c>
    </row>
    <row r="627">
      <c r="B627" s="19">
        <v>619.0</v>
      </c>
      <c r="C627" s="19">
        <v>0.04765</v>
      </c>
    </row>
    <row r="628">
      <c r="B628" s="19">
        <v>620.0</v>
      </c>
      <c r="C628" s="19">
        <v>0.04753</v>
      </c>
    </row>
    <row r="629">
      <c r="B629" s="19">
        <v>621.0</v>
      </c>
      <c r="C629" s="19">
        <v>0.03822</v>
      </c>
    </row>
    <row r="630">
      <c r="B630" s="19">
        <v>622.0</v>
      </c>
      <c r="C630" s="19">
        <v>0.04766</v>
      </c>
    </row>
    <row r="631">
      <c r="B631" s="19">
        <v>623.0</v>
      </c>
      <c r="C631" s="19">
        <v>0.04762</v>
      </c>
    </row>
    <row r="632">
      <c r="B632" s="19">
        <v>624.0</v>
      </c>
      <c r="C632" s="19">
        <v>0.04762</v>
      </c>
    </row>
    <row r="633">
      <c r="B633" s="19">
        <v>625.0</v>
      </c>
      <c r="C633" s="19">
        <v>0.04732</v>
      </c>
    </row>
    <row r="634">
      <c r="B634" s="19">
        <v>626.0</v>
      </c>
      <c r="C634" s="19">
        <v>0.04257</v>
      </c>
    </row>
    <row r="635">
      <c r="B635" s="19">
        <v>627.0</v>
      </c>
      <c r="C635" s="19">
        <v>0.04769</v>
      </c>
    </row>
    <row r="636">
      <c r="B636" s="19">
        <v>628.0</v>
      </c>
      <c r="C636" s="19">
        <v>0.04761</v>
      </c>
    </row>
    <row r="637">
      <c r="B637" s="19">
        <v>629.0</v>
      </c>
      <c r="C637" s="19">
        <v>0.04761</v>
      </c>
    </row>
    <row r="638">
      <c r="B638" s="19">
        <v>630.0</v>
      </c>
      <c r="C638" s="19">
        <v>0.04758</v>
      </c>
    </row>
    <row r="639">
      <c r="B639" s="19">
        <v>631.0</v>
      </c>
      <c r="C639" s="19">
        <v>0.04757</v>
      </c>
    </row>
    <row r="640">
      <c r="B640" s="19">
        <v>632.0</v>
      </c>
      <c r="C640" s="19">
        <v>0.0476</v>
      </c>
    </row>
    <row r="641">
      <c r="B641" s="19">
        <v>633.0</v>
      </c>
      <c r="C641" s="19">
        <v>0.04763</v>
      </c>
    </row>
    <row r="642">
      <c r="B642" s="19">
        <v>634.0</v>
      </c>
      <c r="C642" s="19">
        <v>0.04179</v>
      </c>
    </row>
    <row r="643">
      <c r="B643" s="19">
        <v>635.0</v>
      </c>
      <c r="C643" s="19">
        <v>0.04754</v>
      </c>
    </row>
    <row r="644">
      <c r="B644" s="19">
        <v>636.0</v>
      </c>
      <c r="C644" s="19">
        <v>0.04759</v>
      </c>
    </row>
    <row r="645">
      <c r="B645" s="19">
        <v>637.0</v>
      </c>
      <c r="C645" s="19">
        <v>0.04752</v>
      </c>
    </row>
    <row r="646">
      <c r="B646" s="19">
        <v>638.0</v>
      </c>
      <c r="C646" s="19">
        <v>0.04756</v>
      </c>
    </row>
    <row r="647">
      <c r="B647" s="19">
        <v>639.0</v>
      </c>
      <c r="C647" s="19">
        <v>0.04764</v>
      </c>
    </row>
    <row r="648">
      <c r="B648" s="19">
        <v>640.0</v>
      </c>
      <c r="C648" s="19">
        <v>0.04765</v>
      </c>
    </row>
    <row r="649">
      <c r="B649" s="19">
        <v>641.0</v>
      </c>
      <c r="C649" s="19">
        <v>0.04767</v>
      </c>
    </row>
    <row r="650">
      <c r="B650" s="19">
        <v>642.0</v>
      </c>
      <c r="C650" s="19">
        <v>0.04764</v>
      </c>
    </row>
    <row r="651">
      <c r="B651" s="19">
        <v>643.0</v>
      </c>
      <c r="C651" s="19">
        <v>0.04767</v>
      </c>
    </row>
    <row r="652">
      <c r="B652" s="19">
        <v>644.0</v>
      </c>
      <c r="C652" s="19">
        <v>0.04755</v>
      </c>
    </row>
    <row r="653">
      <c r="B653" s="19">
        <v>645.0</v>
      </c>
      <c r="C653" s="19">
        <v>0.04565</v>
      </c>
    </row>
    <row r="654">
      <c r="B654" s="19">
        <v>646.0</v>
      </c>
      <c r="C654" s="19">
        <v>0.04766</v>
      </c>
    </row>
    <row r="655">
      <c r="B655" s="19">
        <v>647.0</v>
      </c>
      <c r="C655" s="19">
        <v>0.04767</v>
      </c>
    </row>
    <row r="656">
      <c r="B656" s="19">
        <v>648.0</v>
      </c>
      <c r="C656" s="19">
        <v>0.04737</v>
      </c>
    </row>
    <row r="657">
      <c r="B657" s="19">
        <v>649.0</v>
      </c>
      <c r="C657" s="19">
        <v>0.04762</v>
      </c>
    </row>
    <row r="658">
      <c r="B658" s="19">
        <v>650.0</v>
      </c>
      <c r="C658" s="19">
        <v>0.04757</v>
      </c>
    </row>
    <row r="659">
      <c r="B659" s="19">
        <v>651.0</v>
      </c>
      <c r="C659" s="19">
        <v>0.04757</v>
      </c>
    </row>
    <row r="660">
      <c r="B660" s="19">
        <v>652.0</v>
      </c>
      <c r="C660" s="19">
        <v>0.04043</v>
      </c>
    </row>
    <row r="661">
      <c r="B661" s="19">
        <v>653.0</v>
      </c>
      <c r="C661" s="19">
        <v>0.04671</v>
      </c>
    </row>
    <row r="662">
      <c r="B662" s="19">
        <v>654.0</v>
      </c>
      <c r="C662" s="19">
        <v>0.04759</v>
      </c>
    </row>
    <row r="663">
      <c r="B663" s="19">
        <v>655.0</v>
      </c>
      <c r="C663" s="19">
        <v>0.04747</v>
      </c>
    </row>
    <row r="664">
      <c r="B664" s="19">
        <v>656.0</v>
      </c>
      <c r="C664" s="19">
        <v>0.04761</v>
      </c>
    </row>
    <row r="665">
      <c r="B665" s="19">
        <v>657.0</v>
      </c>
      <c r="C665" s="19">
        <v>0.04656</v>
      </c>
    </row>
    <row r="666">
      <c r="B666" s="19">
        <v>658.0</v>
      </c>
      <c r="C666" s="19">
        <v>0.04765</v>
      </c>
    </row>
    <row r="667">
      <c r="B667" s="19">
        <v>659.0</v>
      </c>
      <c r="C667" s="19">
        <v>0.04759</v>
      </c>
    </row>
    <row r="668">
      <c r="B668" s="19">
        <v>660.0</v>
      </c>
      <c r="C668" s="19">
        <v>0.04762</v>
      </c>
    </row>
    <row r="669">
      <c r="B669" s="19">
        <v>661.0</v>
      </c>
      <c r="C669" s="19">
        <v>0.04771</v>
      </c>
    </row>
    <row r="670">
      <c r="B670" s="19">
        <v>662.0</v>
      </c>
      <c r="C670" s="19">
        <v>0.04616</v>
      </c>
    </row>
    <row r="671">
      <c r="B671" s="19">
        <v>663.0</v>
      </c>
      <c r="C671" s="19">
        <v>0.04766</v>
      </c>
    </row>
    <row r="672">
      <c r="B672" s="19">
        <v>664.0</v>
      </c>
      <c r="C672" s="19">
        <v>0.04761</v>
      </c>
    </row>
    <row r="673">
      <c r="B673" s="19">
        <v>665.0</v>
      </c>
      <c r="C673" s="19">
        <v>0.04843</v>
      </c>
    </row>
    <row r="674">
      <c r="B674" s="19">
        <v>666.0</v>
      </c>
      <c r="C674" s="19">
        <v>0.04337</v>
      </c>
    </row>
    <row r="675">
      <c r="B675" s="19">
        <v>667.0</v>
      </c>
      <c r="C675" s="19">
        <v>0.04547</v>
      </c>
    </row>
    <row r="676">
      <c r="B676" s="19">
        <v>668.0</v>
      </c>
      <c r="C676" s="19">
        <v>0.04441</v>
      </c>
    </row>
    <row r="677">
      <c r="B677" s="19">
        <v>669.0</v>
      </c>
      <c r="C677" s="19">
        <v>0.03636</v>
      </c>
    </row>
    <row r="678">
      <c r="B678" s="19">
        <v>670.0</v>
      </c>
      <c r="C678" s="19">
        <v>0.04054</v>
      </c>
    </row>
    <row r="679">
      <c r="B679" s="19">
        <v>671.0</v>
      </c>
      <c r="C679" s="19">
        <v>0.0446</v>
      </c>
    </row>
    <row r="680">
      <c r="B680" s="19">
        <v>672.0</v>
      </c>
      <c r="C680" s="19">
        <v>0.04828</v>
      </c>
    </row>
    <row r="681">
      <c r="B681" s="19">
        <v>673.0</v>
      </c>
      <c r="C681" s="19">
        <v>0.04768</v>
      </c>
    </row>
    <row r="682">
      <c r="B682" s="19">
        <v>674.0</v>
      </c>
      <c r="C682" s="19">
        <v>0.04764</v>
      </c>
    </row>
    <row r="683">
      <c r="B683" s="19">
        <v>675.0</v>
      </c>
      <c r="C683" s="19">
        <v>0.04775</v>
      </c>
    </row>
    <row r="684">
      <c r="B684" s="19">
        <v>676.0</v>
      </c>
      <c r="C684" s="19">
        <v>0.04763</v>
      </c>
    </row>
    <row r="685">
      <c r="B685" s="19">
        <v>677.0</v>
      </c>
      <c r="C685" s="19">
        <v>0.04754</v>
      </c>
    </row>
    <row r="686">
      <c r="B686" s="19">
        <v>678.0</v>
      </c>
      <c r="C686" s="19">
        <v>0.04758</v>
      </c>
    </row>
    <row r="687">
      <c r="B687" s="19">
        <v>679.0</v>
      </c>
      <c r="C687" s="19">
        <v>0.04755</v>
      </c>
    </row>
    <row r="688">
      <c r="B688" s="19">
        <v>680.0</v>
      </c>
      <c r="C688" s="19">
        <v>0.0476</v>
      </c>
    </row>
    <row r="689">
      <c r="B689" s="19">
        <v>681.0</v>
      </c>
      <c r="C689" s="19">
        <v>0.0476</v>
      </c>
    </row>
    <row r="690">
      <c r="B690" s="19">
        <v>682.0</v>
      </c>
      <c r="C690" s="19">
        <v>0.04762</v>
      </c>
    </row>
    <row r="691">
      <c r="B691" s="19">
        <v>683.0</v>
      </c>
      <c r="C691" s="19">
        <v>0.04637</v>
      </c>
    </row>
    <row r="692">
      <c r="B692" s="19">
        <v>684.0</v>
      </c>
      <c r="C692" s="19">
        <v>0.04763</v>
      </c>
    </row>
    <row r="693">
      <c r="B693" s="19">
        <v>685.0</v>
      </c>
      <c r="C693" s="19">
        <v>0.04768</v>
      </c>
    </row>
    <row r="694">
      <c r="B694" s="19">
        <v>686.0</v>
      </c>
      <c r="C694" s="19">
        <v>0.04757</v>
      </c>
    </row>
    <row r="695">
      <c r="B695" s="19">
        <v>687.0</v>
      </c>
      <c r="C695" s="19">
        <v>0.04756</v>
      </c>
    </row>
    <row r="696">
      <c r="B696" s="19">
        <v>688.0</v>
      </c>
      <c r="C696" s="19">
        <v>0.04771</v>
      </c>
    </row>
    <row r="697">
      <c r="B697" s="19">
        <v>689.0</v>
      </c>
      <c r="C697" s="19">
        <v>0.04771</v>
      </c>
    </row>
    <row r="698">
      <c r="B698" s="19">
        <v>690.0</v>
      </c>
      <c r="C698" s="19">
        <v>0.04639</v>
      </c>
    </row>
    <row r="699">
      <c r="B699" s="19">
        <v>691.0</v>
      </c>
      <c r="C699" s="19">
        <v>0.04753</v>
      </c>
    </row>
    <row r="700">
      <c r="B700" s="19">
        <v>692.0</v>
      </c>
      <c r="C700" s="19">
        <v>0.0475</v>
      </c>
    </row>
    <row r="701">
      <c r="B701" s="19">
        <v>693.0</v>
      </c>
      <c r="C701" s="19">
        <v>0.04667</v>
      </c>
    </row>
    <row r="702">
      <c r="B702" s="19">
        <v>694.0</v>
      </c>
      <c r="C702" s="19">
        <v>0.04766</v>
      </c>
    </row>
    <row r="703">
      <c r="B703" s="19">
        <v>695.0</v>
      </c>
      <c r="C703" s="19">
        <v>0.04758</v>
      </c>
    </row>
    <row r="704">
      <c r="B704" s="19">
        <v>696.0</v>
      </c>
      <c r="C704" s="19">
        <v>0.04762</v>
      </c>
    </row>
    <row r="705">
      <c r="B705" s="19">
        <v>697.0</v>
      </c>
      <c r="C705" s="19">
        <v>0.04758</v>
      </c>
    </row>
    <row r="706">
      <c r="B706" s="19">
        <v>698.0</v>
      </c>
      <c r="C706" s="19">
        <v>0.03972</v>
      </c>
    </row>
    <row r="707">
      <c r="B707" s="19">
        <v>699.0</v>
      </c>
      <c r="C707" s="19">
        <v>0.0451</v>
      </c>
    </row>
    <row r="708">
      <c r="B708" s="19">
        <v>700.0</v>
      </c>
      <c r="C708" s="19">
        <v>0.0447</v>
      </c>
    </row>
    <row r="709">
      <c r="B709" s="19">
        <v>701.0</v>
      </c>
      <c r="C709" s="19">
        <v>0.04763</v>
      </c>
    </row>
    <row r="710">
      <c r="B710" s="19">
        <v>702.0</v>
      </c>
      <c r="C710" s="19">
        <v>0.04759</v>
      </c>
    </row>
    <row r="711">
      <c r="B711" s="19">
        <v>703.0</v>
      </c>
      <c r="C711" s="19">
        <v>0.04467</v>
      </c>
    </row>
    <row r="712">
      <c r="B712" s="19">
        <v>704.0</v>
      </c>
      <c r="C712" s="19">
        <v>0.0476</v>
      </c>
    </row>
    <row r="713">
      <c r="B713" s="19">
        <v>705.0</v>
      </c>
      <c r="C713" s="19">
        <v>0.03992</v>
      </c>
    </row>
    <row r="714">
      <c r="B714" s="19">
        <v>706.0</v>
      </c>
      <c r="C714" s="19">
        <v>0.04762</v>
      </c>
    </row>
    <row r="715">
      <c r="B715" s="19">
        <v>707.0</v>
      </c>
      <c r="C715" s="19">
        <v>0.04761</v>
      </c>
    </row>
    <row r="716">
      <c r="B716" s="19">
        <v>708.0</v>
      </c>
      <c r="C716" s="19">
        <v>0.0475</v>
      </c>
    </row>
    <row r="717">
      <c r="B717" s="19">
        <v>709.0</v>
      </c>
      <c r="C717" s="19">
        <v>0.04509</v>
      </c>
    </row>
    <row r="718">
      <c r="B718" s="19">
        <v>710.0</v>
      </c>
      <c r="C718" s="19">
        <v>0.04759</v>
      </c>
    </row>
    <row r="719">
      <c r="B719" s="19">
        <v>711.0</v>
      </c>
      <c r="C719" s="19">
        <v>0.04763</v>
      </c>
    </row>
    <row r="720">
      <c r="B720" s="19">
        <v>712.0</v>
      </c>
      <c r="C720" s="19">
        <v>0.04753</v>
      </c>
    </row>
    <row r="721">
      <c r="B721" s="19">
        <v>713.0</v>
      </c>
      <c r="C721" s="19">
        <v>0.03883</v>
      </c>
    </row>
    <row r="722">
      <c r="B722" s="19">
        <v>714.0</v>
      </c>
      <c r="C722" s="19">
        <v>0.04697</v>
      </c>
    </row>
    <row r="723">
      <c r="B723" s="19">
        <v>715.0</v>
      </c>
      <c r="C723" s="19">
        <v>0.04645</v>
      </c>
    </row>
    <row r="724">
      <c r="B724" s="19">
        <v>716.0</v>
      </c>
      <c r="C724" s="19">
        <v>0.04762</v>
      </c>
    </row>
    <row r="725">
      <c r="B725" s="19">
        <v>717.0</v>
      </c>
      <c r="C725" s="19">
        <v>0.04762</v>
      </c>
    </row>
    <row r="726">
      <c r="B726" s="19">
        <v>718.0</v>
      </c>
      <c r="C726" s="19">
        <v>0.04289</v>
      </c>
    </row>
    <row r="727">
      <c r="B727" s="19">
        <v>719.0</v>
      </c>
      <c r="C727" s="19">
        <v>0.04752</v>
      </c>
    </row>
    <row r="728">
      <c r="B728" s="19">
        <v>720.0</v>
      </c>
      <c r="C728" s="19">
        <v>0.04763</v>
      </c>
    </row>
    <row r="729">
      <c r="B729" s="19">
        <v>721.0</v>
      </c>
      <c r="C729" s="19">
        <v>0.04756</v>
      </c>
    </row>
    <row r="730">
      <c r="B730" s="19">
        <v>722.0</v>
      </c>
      <c r="C730" s="19">
        <v>0.04758</v>
      </c>
    </row>
    <row r="731">
      <c r="B731" s="19">
        <v>723.0</v>
      </c>
      <c r="C731" s="19">
        <v>0.04136</v>
      </c>
    </row>
    <row r="732">
      <c r="B732" s="19">
        <v>724.0</v>
      </c>
      <c r="C732" s="19">
        <v>0.04664</v>
      </c>
    </row>
    <row r="733">
      <c r="B733" s="19">
        <v>725.0</v>
      </c>
      <c r="C733" s="19">
        <v>0.04762</v>
      </c>
    </row>
    <row r="734">
      <c r="B734" s="19">
        <v>726.0</v>
      </c>
      <c r="C734" s="19">
        <v>0.04704</v>
      </c>
    </row>
    <row r="735">
      <c r="B735" s="19">
        <v>727.0</v>
      </c>
      <c r="C735" s="19">
        <v>0.04732</v>
      </c>
    </row>
    <row r="736">
      <c r="B736" s="19">
        <v>728.0</v>
      </c>
      <c r="C736" s="19">
        <v>0.04749</v>
      </c>
    </row>
    <row r="737">
      <c r="B737" s="19">
        <v>729.0</v>
      </c>
      <c r="C737" s="19">
        <v>0.04571</v>
      </c>
    </row>
    <row r="738">
      <c r="B738" s="19">
        <v>730.0</v>
      </c>
      <c r="C738" s="19">
        <v>0.04763</v>
      </c>
    </row>
    <row r="739">
      <c r="B739" s="19">
        <v>731.0</v>
      </c>
      <c r="C739" s="19">
        <v>0.04752</v>
      </c>
    </row>
    <row r="740">
      <c r="B740" s="19">
        <v>732.0</v>
      </c>
      <c r="C740" s="19">
        <v>0.04766</v>
      </c>
    </row>
    <row r="741">
      <c r="B741" s="19">
        <v>733.0</v>
      </c>
      <c r="C741" s="19">
        <v>0.04768</v>
      </c>
    </row>
    <row r="742">
      <c r="B742" s="19">
        <v>734.0</v>
      </c>
      <c r="C742" s="19">
        <v>0.0476</v>
      </c>
    </row>
    <row r="743">
      <c r="B743" s="19">
        <v>735.0</v>
      </c>
      <c r="C743" s="19">
        <v>0.04763</v>
      </c>
    </row>
    <row r="744">
      <c r="B744" s="19">
        <v>736.0</v>
      </c>
      <c r="C744" s="19">
        <v>0.04756</v>
      </c>
    </row>
    <row r="745">
      <c r="B745" s="19">
        <v>737.0</v>
      </c>
      <c r="C745" s="19">
        <v>0.0476</v>
      </c>
    </row>
    <row r="746">
      <c r="B746" s="19">
        <v>738.0</v>
      </c>
      <c r="C746" s="19">
        <v>0.04759</v>
      </c>
    </row>
    <row r="747">
      <c r="B747" s="19">
        <v>739.0</v>
      </c>
      <c r="C747" s="19">
        <v>0.04767</v>
      </c>
    </row>
    <row r="748">
      <c r="B748" s="19">
        <v>740.0</v>
      </c>
      <c r="C748" s="19">
        <v>0.04685</v>
      </c>
    </row>
    <row r="749">
      <c r="B749" s="19">
        <v>741.0</v>
      </c>
      <c r="C749" s="19">
        <v>0.0477</v>
      </c>
    </row>
    <row r="750">
      <c r="B750" s="19">
        <v>742.0</v>
      </c>
      <c r="C750" s="19">
        <v>0.04766</v>
      </c>
    </row>
    <row r="751">
      <c r="B751" s="19">
        <v>743.0</v>
      </c>
      <c r="C751" s="19">
        <v>0.04761</v>
      </c>
    </row>
    <row r="752">
      <c r="B752" s="19">
        <v>744.0</v>
      </c>
      <c r="C752" s="19">
        <v>0.04678</v>
      </c>
    </row>
    <row r="753">
      <c r="B753" s="19">
        <v>745.0</v>
      </c>
      <c r="C753" s="19">
        <v>0.04771</v>
      </c>
    </row>
    <row r="754">
      <c r="B754" s="19">
        <v>746.0</v>
      </c>
      <c r="C754" s="19">
        <v>0.04763</v>
      </c>
    </row>
    <row r="755">
      <c r="B755" s="19">
        <v>747.0</v>
      </c>
      <c r="C755" s="19">
        <v>0.04765</v>
      </c>
    </row>
    <row r="756">
      <c r="B756" s="19">
        <v>748.0</v>
      </c>
      <c r="C756" s="19">
        <v>0.04752</v>
      </c>
    </row>
    <row r="757">
      <c r="B757" s="19">
        <v>749.0</v>
      </c>
      <c r="C757" s="19">
        <v>0.03962</v>
      </c>
    </row>
    <row r="758">
      <c r="B758" s="19">
        <v>750.0</v>
      </c>
      <c r="C758" s="19">
        <v>0.04755</v>
      </c>
    </row>
    <row r="759">
      <c r="B759" s="19">
        <v>751.0</v>
      </c>
      <c r="C759" s="19">
        <v>0.04757</v>
      </c>
    </row>
    <row r="760">
      <c r="B760" s="19">
        <v>752.0</v>
      </c>
      <c r="C760" s="19">
        <v>0.04751</v>
      </c>
    </row>
    <row r="761">
      <c r="B761" s="19">
        <v>753.0</v>
      </c>
      <c r="C761" s="19">
        <v>0.04754</v>
      </c>
    </row>
    <row r="762">
      <c r="B762" s="19">
        <v>754.0</v>
      </c>
      <c r="C762" s="19">
        <v>0.04138</v>
      </c>
    </row>
    <row r="763">
      <c r="B763" s="19">
        <v>755.0</v>
      </c>
      <c r="C763" s="19">
        <v>0.04592</v>
      </c>
    </row>
    <row r="764">
      <c r="B764" s="19">
        <v>756.0</v>
      </c>
      <c r="C764" s="19">
        <v>0.04585</v>
      </c>
    </row>
    <row r="765">
      <c r="B765" s="19">
        <v>757.0</v>
      </c>
      <c r="C765" s="19">
        <v>0.04742</v>
      </c>
    </row>
    <row r="766">
      <c r="B766" s="19">
        <v>758.0</v>
      </c>
      <c r="C766" s="19">
        <v>0.04746</v>
      </c>
    </row>
    <row r="767">
      <c r="B767" s="19">
        <v>759.0</v>
      </c>
      <c r="C767" s="19">
        <v>0.04767</v>
      </c>
    </row>
    <row r="768">
      <c r="B768" s="19">
        <v>760.0</v>
      </c>
      <c r="C768" s="19">
        <v>0.04089</v>
      </c>
    </row>
    <row r="769">
      <c r="B769" s="19">
        <v>761.0</v>
      </c>
      <c r="C769" s="19">
        <v>0.0461</v>
      </c>
    </row>
    <row r="770">
      <c r="B770" s="19">
        <v>762.0</v>
      </c>
      <c r="C770" s="19">
        <v>0.04416</v>
      </c>
    </row>
    <row r="771">
      <c r="B771" s="19">
        <v>763.0</v>
      </c>
      <c r="C771" s="19">
        <v>0.0462</v>
      </c>
    </row>
    <row r="772">
      <c r="B772" s="19">
        <v>764.0</v>
      </c>
      <c r="C772" s="19">
        <v>0.04683</v>
      </c>
    </row>
    <row r="773">
      <c r="B773" s="19">
        <v>765.0</v>
      </c>
      <c r="C773" s="19">
        <v>0.04759</v>
      </c>
    </row>
    <row r="774">
      <c r="B774" s="19">
        <v>766.0</v>
      </c>
      <c r="C774" s="19">
        <v>0.04196</v>
      </c>
    </row>
    <row r="775">
      <c r="B775" s="19">
        <v>767.0</v>
      </c>
      <c r="C775" s="19">
        <v>0.04641</v>
      </c>
    </row>
    <row r="776">
      <c r="B776" s="19">
        <v>768.0</v>
      </c>
      <c r="C776" s="19">
        <v>0.04756</v>
      </c>
    </row>
    <row r="777">
      <c r="B777" s="19">
        <v>769.0</v>
      </c>
      <c r="C777" s="19">
        <v>0.04027</v>
      </c>
    </row>
    <row r="778">
      <c r="B778" s="19">
        <v>770.0</v>
      </c>
      <c r="C778" s="19">
        <v>0.04761</v>
      </c>
    </row>
    <row r="779">
      <c r="B779" s="19">
        <v>771.0</v>
      </c>
      <c r="C779" s="19">
        <v>0.04766</v>
      </c>
    </row>
    <row r="780">
      <c r="B780" s="19">
        <v>772.0</v>
      </c>
      <c r="C780" s="19">
        <v>0.04015</v>
      </c>
    </row>
    <row r="781">
      <c r="B781" s="19">
        <v>773.0</v>
      </c>
      <c r="C781" s="19">
        <v>0.04761</v>
      </c>
    </row>
    <row r="782">
      <c r="B782" s="19">
        <v>774.0</v>
      </c>
      <c r="C782" s="19">
        <v>0.04194</v>
      </c>
    </row>
    <row r="783">
      <c r="B783" s="19">
        <v>775.0</v>
      </c>
      <c r="C783" s="19">
        <v>0.04763</v>
      </c>
    </row>
    <row r="784">
      <c r="B784" s="19">
        <v>776.0</v>
      </c>
      <c r="C784" s="19">
        <v>0.04764</v>
      </c>
    </row>
    <row r="785">
      <c r="B785" s="19">
        <v>777.0</v>
      </c>
      <c r="C785" s="19">
        <v>0.04763</v>
      </c>
    </row>
    <row r="786">
      <c r="B786" s="19">
        <v>778.0</v>
      </c>
      <c r="C786" s="19">
        <v>0.04771</v>
      </c>
    </row>
    <row r="787">
      <c r="B787" s="19">
        <v>779.0</v>
      </c>
      <c r="C787" s="19">
        <v>0.03999</v>
      </c>
    </row>
    <row r="788">
      <c r="B788" s="19">
        <v>780.0</v>
      </c>
      <c r="C788" s="19">
        <v>0.04755</v>
      </c>
    </row>
    <row r="789">
      <c r="B789" s="19">
        <v>781.0</v>
      </c>
      <c r="C789" s="19">
        <v>0.04766</v>
      </c>
    </row>
    <row r="790">
      <c r="B790" s="19">
        <v>782.0</v>
      </c>
      <c r="C790" s="19">
        <v>0.04762</v>
      </c>
    </row>
    <row r="791">
      <c r="B791" s="19">
        <v>783.0</v>
      </c>
      <c r="C791" s="19">
        <v>0.04595</v>
      </c>
    </row>
    <row r="792">
      <c r="B792" s="19">
        <v>784.0</v>
      </c>
      <c r="C792" s="19">
        <v>0.04761</v>
      </c>
    </row>
    <row r="793">
      <c r="B793" s="19">
        <v>785.0</v>
      </c>
      <c r="C793" s="19">
        <v>0.04639</v>
      </c>
    </row>
    <row r="794">
      <c r="B794" s="19">
        <v>786.0</v>
      </c>
      <c r="C794" s="19">
        <v>0.04754</v>
      </c>
    </row>
    <row r="795">
      <c r="B795" s="19">
        <v>787.0</v>
      </c>
      <c r="C795" s="19">
        <v>0.04763</v>
      </c>
    </row>
    <row r="796">
      <c r="B796" s="19">
        <v>788.0</v>
      </c>
      <c r="C796" s="19">
        <v>0.04756</v>
      </c>
    </row>
    <row r="797">
      <c r="B797" s="19">
        <v>789.0</v>
      </c>
      <c r="C797" s="19">
        <v>0.0476</v>
      </c>
    </row>
    <row r="798">
      <c r="B798" s="19">
        <v>790.0</v>
      </c>
      <c r="C798" s="19">
        <v>0.04748</v>
      </c>
    </row>
    <row r="799">
      <c r="B799" s="19">
        <v>791.0</v>
      </c>
      <c r="C799" s="19">
        <v>0.04026</v>
      </c>
    </row>
    <row r="800">
      <c r="B800" s="19">
        <v>792.0</v>
      </c>
      <c r="C800" s="19">
        <v>0.04763</v>
      </c>
    </row>
    <row r="801">
      <c r="B801" s="19">
        <v>793.0</v>
      </c>
      <c r="C801" s="19">
        <v>0.04764</v>
      </c>
    </row>
    <row r="802">
      <c r="B802" s="19">
        <v>794.0</v>
      </c>
      <c r="C802" s="19">
        <v>0.04766</v>
      </c>
    </row>
    <row r="803">
      <c r="B803" s="19">
        <v>795.0</v>
      </c>
      <c r="C803" s="19">
        <v>0.04772</v>
      </c>
    </row>
    <row r="804">
      <c r="B804" s="19">
        <v>796.0</v>
      </c>
      <c r="C804" s="19">
        <v>0.04765</v>
      </c>
    </row>
    <row r="805">
      <c r="B805" s="19">
        <v>797.0</v>
      </c>
      <c r="C805" s="19">
        <v>0.04763</v>
      </c>
    </row>
    <row r="806">
      <c r="B806" s="19">
        <v>798.0</v>
      </c>
      <c r="C806" s="19">
        <v>0.04763</v>
      </c>
    </row>
    <row r="807">
      <c r="B807" s="19">
        <v>799.0</v>
      </c>
      <c r="C807" s="19">
        <v>0.04762</v>
      </c>
    </row>
    <row r="808">
      <c r="B808" s="19">
        <v>800.0</v>
      </c>
      <c r="C808" s="19">
        <v>0.04363</v>
      </c>
    </row>
    <row r="809">
      <c r="B809" s="19">
        <v>801.0</v>
      </c>
      <c r="C809" s="19">
        <v>0.04759</v>
      </c>
    </row>
    <row r="810">
      <c r="B810" s="19">
        <v>802.0</v>
      </c>
      <c r="C810" s="19">
        <v>0.04758</v>
      </c>
    </row>
    <row r="811">
      <c r="B811" s="19">
        <v>803.0</v>
      </c>
      <c r="C811" s="19">
        <v>0.04777</v>
      </c>
    </row>
    <row r="812">
      <c r="B812" s="19">
        <v>804.0</v>
      </c>
      <c r="C812" s="19">
        <v>0.04756</v>
      </c>
    </row>
    <row r="813">
      <c r="B813" s="19">
        <v>805.0</v>
      </c>
      <c r="C813" s="19">
        <v>0.04756</v>
      </c>
    </row>
    <row r="814">
      <c r="B814" s="19">
        <v>806.0</v>
      </c>
      <c r="C814" s="19">
        <v>0.04765</v>
      </c>
    </row>
    <row r="815">
      <c r="B815" s="19">
        <v>807.0</v>
      </c>
      <c r="C815" s="19">
        <v>0.04755</v>
      </c>
    </row>
    <row r="816">
      <c r="B816" s="19">
        <v>808.0</v>
      </c>
      <c r="C816" s="19">
        <v>0.04752</v>
      </c>
    </row>
    <row r="817">
      <c r="B817" s="19">
        <v>809.0</v>
      </c>
      <c r="C817" s="19">
        <v>0.04455</v>
      </c>
    </row>
    <row r="818">
      <c r="B818" s="19">
        <v>810.0</v>
      </c>
      <c r="C818" s="19">
        <v>0.04663</v>
      </c>
    </row>
    <row r="819">
      <c r="B819" s="19">
        <v>811.0</v>
      </c>
      <c r="C819" s="19">
        <v>0.04765</v>
      </c>
    </row>
    <row r="820">
      <c r="B820" s="19">
        <v>812.0</v>
      </c>
      <c r="C820" s="19">
        <v>0.04764</v>
      </c>
    </row>
    <row r="821">
      <c r="B821" s="19">
        <v>813.0</v>
      </c>
      <c r="C821" s="19">
        <v>0.04686</v>
      </c>
    </row>
    <row r="822">
      <c r="B822" s="19">
        <v>814.0</v>
      </c>
      <c r="C822" s="19">
        <v>0.04756</v>
      </c>
    </row>
    <row r="823">
      <c r="B823" s="19">
        <v>815.0</v>
      </c>
      <c r="C823" s="19">
        <v>0.04755</v>
      </c>
    </row>
    <row r="824">
      <c r="B824" s="19">
        <v>816.0</v>
      </c>
      <c r="C824" s="19">
        <v>0.04761</v>
      </c>
    </row>
    <row r="825">
      <c r="B825" s="19">
        <v>817.0</v>
      </c>
      <c r="C825" s="19">
        <v>0.04769</v>
      </c>
    </row>
    <row r="826">
      <c r="B826" s="19">
        <v>818.0</v>
      </c>
      <c r="C826" s="19">
        <v>0.04759</v>
      </c>
    </row>
    <row r="827">
      <c r="B827" s="19">
        <v>819.0</v>
      </c>
      <c r="C827" s="19">
        <v>0.04766</v>
      </c>
    </row>
    <row r="828">
      <c r="B828" s="19">
        <v>820.0</v>
      </c>
      <c r="C828" s="19">
        <v>0.04767</v>
      </c>
    </row>
    <row r="829">
      <c r="B829" s="19">
        <v>821.0</v>
      </c>
      <c r="C829" s="19">
        <v>0.04765</v>
      </c>
    </row>
    <row r="830">
      <c r="B830" s="19">
        <v>822.0</v>
      </c>
      <c r="C830" s="19">
        <v>0.04763</v>
      </c>
    </row>
    <row r="831">
      <c r="B831" s="19">
        <v>823.0</v>
      </c>
      <c r="C831" s="19">
        <v>0.04758</v>
      </c>
    </row>
    <row r="832">
      <c r="B832" s="19">
        <v>824.0</v>
      </c>
      <c r="C832" s="19">
        <v>0.04762</v>
      </c>
    </row>
    <row r="833">
      <c r="B833" s="19">
        <v>825.0</v>
      </c>
      <c r="C833" s="19">
        <v>0.04531</v>
      </c>
    </row>
    <row r="834">
      <c r="B834" s="19">
        <v>826.0</v>
      </c>
      <c r="C834" s="19">
        <v>0.04759</v>
      </c>
    </row>
    <row r="835">
      <c r="B835" s="19">
        <v>827.0</v>
      </c>
      <c r="C835" s="19">
        <v>0.04759</v>
      </c>
    </row>
    <row r="836">
      <c r="B836" s="19">
        <v>828.0</v>
      </c>
      <c r="C836" s="19">
        <v>0.04782</v>
      </c>
    </row>
    <row r="837">
      <c r="B837" s="19">
        <v>829.0</v>
      </c>
      <c r="C837" s="19">
        <v>0.04756</v>
      </c>
    </row>
    <row r="838">
      <c r="B838" s="19">
        <v>830.0</v>
      </c>
      <c r="C838" s="19">
        <v>0.04761</v>
      </c>
    </row>
    <row r="839">
      <c r="B839" s="19">
        <v>831.0</v>
      </c>
      <c r="C839" s="19">
        <v>0.03664</v>
      </c>
    </row>
    <row r="840">
      <c r="B840" s="19">
        <v>832.0</v>
      </c>
      <c r="C840" s="19">
        <v>0.04764</v>
      </c>
    </row>
    <row r="841">
      <c r="B841" s="19">
        <v>833.0</v>
      </c>
      <c r="C841" s="19">
        <v>0.04766</v>
      </c>
    </row>
    <row r="842">
      <c r="B842" s="19">
        <v>834.0</v>
      </c>
      <c r="C842" s="19">
        <v>0.04759</v>
      </c>
    </row>
    <row r="843">
      <c r="B843" s="19">
        <v>835.0</v>
      </c>
      <c r="C843" s="19">
        <v>0.04758</v>
      </c>
    </row>
    <row r="844">
      <c r="B844" s="19">
        <v>836.0</v>
      </c>
      <c r="C844" s="19">
        <v>0.04713</v>
      </c>
    </row>
    <row r="845">
      <c r="B845" s="19">
        <v>837.0</v>
      </c>
      <c r="C845" s="19">
        <v>0.04769</v>
      </c>
    </row>
    <row r="846">
      <c r="B846" s="19">
        <v>838.0</v>
      </c>
      <c r="C846" s="19">
        <v>0.04761</v>
      </c>
    </row>
    <row r="847">
      <c r="B847" s="19">
        <v>839.0</v>
      </c>
      <c r="C847" s="19">
        <v>0.0475</v>
      </c>
    </row>
    <row r="848">
      <c r="B848" s="19">
        <v>840.0</v>
      </c>
      <c r="C848" s="19">
        <v>0.041</v>
      </c>
    </row>
    <row r="849">
      <c r="B849" s="19">
        <v>841.0</v>
      </c>
      <c r="C849" s="19">
        <v>0.04442</v>
      </c>
    </row>
    <row r="850">
      <c r="B850" s="19">
        <v>842.0</v>
      </c>
      <c r="C850" s="19">
        <v>0.04774</v>
      </c>
    </row>
    <row r="851">
      <c r="B851" s="19">
        <v>843.0</v>
      </c>
      <c r="C851" s="19">
        <v>0.04757</v>
      </c>
    </row>
    <row r="852">
      <c r="B852" s="19">
        <v>844.0</v>
      </c>
      <c r="C852" s="19">
        <v>0.04759</v>
      </c>
    </row>
    <row r="853">
      <c r="B853" s="19">
        <v>845.0</v>
      </c>
      <c r="C853" s="19">
        <v>0.04761</v>
      </c>
    </row>
    <row r="854">
      <c r="B854" s="19">
        <v>846.0</v>
      </c>
      <c r="C854" s="19">
        <v>0.04776</v>
      </c>
    </row>
    <row r="855">
      <c r="B855" s="19">
        <v>847.0</v>
      </c>
      <c r="C855" s="19">
        <v>0.04762</v>
      </c>
    </row>
    <row r="856">
      <c r="B856" s="19">
        <v>848.0</v>
      </c>
      <c r="C856" s="19">
        <v>0.04751</v>
      </c>
    </row>
    <row r="857">
      <c r="B857" s="19">
        <v>849.0</v>
      </c>
      <c r="C857" s="19">
        <v>0.04761</v>
      </c>
    </row>
    <row r="858">
      <c r="B858" s="19">
        <v>850.0</v>
      </c>
      <c r="C858" s="19">
        <v>0.0475</v>
      </c>
    </row>
    <row r="859">
      <c r="B859" s="19">
        <v>851.0</v>
      </c>
      <c r="C859" s="19">
        <v>0.04747</v>
      </c>
    </row>
    <row r="860">
      <c r="B860" s="19">
        <v>852.0</v>
      </c>
      <c r="C860" s="19">
        <v>0.04579</v>
      </c>
    </row>
    <row r="861">
      <c r="B861" s="19">
        <v>853.0</v>
      </c>
      <c r="C861" s="19">
        <v>0.04765</v>
      </c>
    </row>
    <row r="862">
      <c r="B862" s="19">
        <v>854.0</v>
      </c>
      <c r="C862" s="19">
        <v>0.04761</v>
      </c>
    </row>
    <row r="863">
      <c r="B863" s="19">
        <v>855.0</v>
      </c>
      <c r="C863" s="19">
        <v>0.04759</v>
      </c>
    </row>
    <row r="864">
      <c r="B864" s="19">
        <v>856.0</v>
      </c>
      <c r="C864" s="19">
        <v>0.04768</v>
      </c>
    </row>
    <row r="865">
      <c r="B865" s="19">
        <v>857.0</v>
      </c>
      <c r="C865" s="19">
        <v>0.04758</v>
      </c>
    </row>
    <row r="866">
      <c r="B866" s="19">
        <v>858.0</v>
      </c>
      <c r="C866" s="19">
        <v>0.04768</v>
      </c>
    </row>
    <row r="867">
      <c r="B867" s="19">
        <v>859.0</v>
      </c>
      <c r="C867" s="19">
        <v>0.04611</v>
      </c>
    </row>
    <row r="868">
      <c r="B868" s="19">
        <v>860.0</v>
      </c>
      <c r="C868" s="19">
        <v>0.04746</v>
      </c>
    </row>
    <row r="869">
      <c r="B869" s="19">
        <v>861.0</v>
      </c>
      <c r="C869" s="19">
        <v>0.04753</v>
      </c>
    </row>
    <row r="870">
      <c r="B870" s="19">
        <v>862.0</v>
      </c>
      <c r="C870" s="19">
        <v>0.04763</v>
      </c>
    </row>
    <row r="871">
      <c r="B871" s="19">
        <v>863.0</v>
      </c>
      <c r="C871" s="19">
        <v>0.0476</v>
      </c>
    </row>
    <row r="872">
      <c r="B872" s="19">
        <v>864.0</v>
      </c>
      <c r="C872" s="19">
        <v>0.04758</v>
      </c>
    </row>
    <row r="873">
      <c r="B873" s="19">
        <v>865.0</v>
      </c>
      <c r="C873" s="19">
        <v>0.04774</v>
      </c>
    </row>
    <row r="874">
      <c r="B874" s="19">
        <v>866.0</v>
      </c>
      <c r="C874" s="19">
        <v>0.0432</v>
      </c>
    </row>
    <row r="875">
      <c r="B875" s="19">
        <v>867.0</v>
      </c>
      <c r="C875" s="19">
        <v>0.04761</v>
      </c>
    </row>
    <row r="876">
      <c r="B876" s="19">
        <v>868.0</v>
      </c>
      <c r="C876" s="19">
        <v>0.04751</v>
      </c>
    </row>
    <row r="877">
      <c r="B877" s="19">
        <v>869.0</v>
      </c>
      <c r="C877" s="19">
        <v>0.04782</v>
      </c>
    </row>
    <row r="878">
      <c r="B878" s="19">
        <v>870.0</v>
      </c>
      <c r="C878" s="19">
        <v>0.04775</v>
      </c>
    </row>
    <row r="879">
      <c r="B879" s="19">
        <v>871.0</v>
      </c>
      <c r="C879" s="19">
        <v>0.04771</v>
      </c>
    </row>
    <row r="880">
      <c r="B880" s="19">
        <v>872.0</v>
      </c>
      <c r="C880" s="19">
        <v>0.04766</v>
      </c>
    </row>
    <row r="881">
      <c r="B881" s="19">
        <v>873.0</v>
      </c>
      <c r="C881" s="19">
        <v>0.04758</v>
      </c>
    </row>
    <row r="882">
      <c r="B882" s="19">
        <v>874.0</v>
      </c>
      <c r="C882" s="19">
        <v>0.04755</v>
      </c>
    </row>
    <row r="883">
      <c r="B883" s="19">
        <v>875.0</v>
      </c>
      <c r="C883" s="19">
        <v>0.04775</v>
      </c>
    </row>
    <row r="884">
      <c r="B884" s="19">
        <v>876.0</v>
      </c>
      <c r="C884" s="19">
        <v>0.04767</v>
      </c>
    </row>
    <row r="885">
      <c r="B885" s="19">
        <v>877.0</v>
      </c>
      <c r="C885" s="19">
        <v>0.042</v>
      </c>
    </row>
    <row r="886">
      <c r="B886" s="19">
        <v>878.0</v>
      </c>
      <c r="C886" s="19">
        <v>0.0477</v>
      </c>
    </row>
    <row r="887">
      <c r="B887" s="19">
        <v>879.0</v>
      </c>
      <c r="C887" s="19">
        <v>0.04465</v>
      </c>
    </row>
    <row r="888">
      <c r="B888" s="19">
        <v>880.0</v>
      </c>
      <c r="C888" s="19">
        <v>0.04754</v>
      </c>
    </row>
    <row r="889">
      <c r="B889" s="19">
        <v>881.0</v>
      </c>
      <c r="C889" s="19">
        <v>0.04726</v>
      </c>
    </row>
    <row r="890">
      <c r="B890" s="19">
        <v>882.0</v>
      </c>
      <c r="C890" s="19">
        <v>0.04747</v>
      </c>
    </row>
    <row r="891">
      <c r="B891" s="19">
        <v>883.0</v>
      </c>
      <c r="C891" s="19">
        <v>0.04752</v>
      </c>
    </row>
    <row r="892">
      <c r="B892" s="19">
        <v>884.0</v>
      </c>
      <c r="C892" s="19">
        <v>0.0471</v>
      </c>
    </row>
    <row r="893">
      <c r="B893" s="19">
        <v>885.0</v>
      </c>
      <c r="C893" s="19">
        <v>0.04657</v>
      </c>
    </row>
    <row r="894">
      <c r="B894" s="19">
        <v>886.0</v>
      </c>
      <c r="C894" s="19">
        <v>0.0477</v>
      </c>
    </row>
    <row r="895">
      <c r="B895" s="19">
        <v>887.0</v>
      </c>
      <c r="C895" s="19">
        <v>0.04765</v>
      </c>
    </row>
    <row r="896">
      <c r="B896" s="19">
        <v>888.0</v>
      </c>
      <c r="C896" s="19">
        <v>0.04761</v>
      </c>
    </row>
    <row r="897">
      <c r="B897" s="19">
        <v>889.0</v>
      </c>
      <c r="C897" s="19">
        <v>0.04764</v>
      </c>
    </row>
    <row r="898">
      <c r="B898" s="19">
        <v>890.0</v>
      </c>
      <c r="C898" s="19">
        <v>0.04756</v>
      </c>
    </row>
    <row r="899">
      <c r="B899" s="19">
        <v>891.0</v>
      </c>
      <c r="C899" s="19">
        <v>0.04757</v>
      </c>
    </row>
    <row r="900">
      <c r="B900" s="19">
        <v>892.0</v>
      </c>
      <c r="C900" s="19">
        <v>0.04461</v>
      </c>
    </row>
    <row r="901">
      <c r="B901" s="19">
        <v>893.0</v>
      </c>
      <c r="C901" s="19">
        <v>0.04775</v>
      </c>
    </row>
    <row r="902">
      <c r="B902" s="19">
        <v>894.0</v>
      </c>
      <c r="C902" s="19">
        <v>0.04762</v>
      </c>
    </row>
    <row r="903">
      <c r="B903" s="19">
        <v>895.0</v>
      </c>
      <c r="C903" s="19">
        <v>0.04747</v>
      </c>
    </row>
    <row r="904">
      <c r="B904" s="19">
        <v>896.0</v>
      </c>
      <c r="C904" s="19">
        <v>0.04748</v>
      </c>
    </row>
    <row r="905">
      <c r="B905" s="19">
        <v>897.0</v>
      </c>
      <c r="C905" s="19">
        <v>0.04627</v>
      </c>
    </row>
    <row r="906">
      <c r="B906" s="19">
        <v>898.0</v>
      </c>
      <c r="C906" s="19">
        <v>0.04753</v>
      </c>
    </row>
    <row r="907">
      <c r="B907" s="19">
        <v>899.0</v>
      </c>
      <c r="C907" s="19">
        <v>0.04749</v>
      </c>
    </row>
    <row r="908">
      <c r="B908" s="19">
        <v>900.0</v>
      </c>
      <c r="C908" s="19">
        <v>0.04444</v>
      </c>
    </row>
    <row r="909">
      <c r="B909" s="19">
        <v>901.0</v>
      </c>
      <c r="C909" s="19">
        <v>0.04745</v>
      </c>
    </row>
    <row r="910">
      <c r="B910" s="19">
        <v>902.0</v>
      </c>
      <c r="C910" s="19">
        <v>0.04768</v>
      </c>
    </row>
    <row r="911">
      <c r="B911" s="19">
        <v>903.0</v>
      </c>
      <c r="C911" s="19">
        <v>0.04775</v>
      </c>
    </row>
    <row r="912">
      <c r="B912" s="19">
        <v>904.0</v>
      </c>
      <c r="C912" s="19">
        <v>0.04763</v>
      </c>
    </row>
    <row r="913">
      <c r="B913" s="19">
        <v>905.0</v>
      </c>
      <c r="C913" s="19">
        <v>0.04665</v>
      </c>
    </row>
    <row r="914">
      <c r="B914" s="19">
        <v>906.0</v>
      </c>
      <c r="C914" s="19">
        <v>0.04762</v>
      </c>
    </row>
    <row r="915">
      <c r="B915" s="19">
        <v>907.0</v>
      </c>
      <c r="C915" s="19">
        <v>0.04766</v>
      </c>
    </row>
    <row r="916">
      <c r="B916" s="19">
        <v>908.0</v>
      </c>
      <c r="C916" s="19">
        <v>0.04752</v>
      </c>
    </row>
    <row r="917">
      <c r="B917" s="19">
        <v>909.0</v>
      </c>
      <c r="C917" s="19">
        <v>0.04751</v>
      </c>
    </row>
    <row r="918">
      <c r="B918" s="19">
        <v>910.0</v>
      </c>
      <c r="C918" s="19">
        <v>0.04747</v>
      </c>
    </row>
    <row r="919">
      <c r="B919" s="19">
        <v>911.0</v>
      </c>
      <c r="C919" s="19">
        <v>0.04748</v>
      </c>
    </row>
    <row r="920">
      <c r="B920" s="19">
        <v>912.0</v>
      </c>
      <c r="C920" s="19">
        <v>0.04762</v>
      </c>
    </row>
    <row r="921">
      <c r="B921" s="19">
        <v>913.0</v>
      </c>
      <c r="C921" s="19">
        <v>0.04765</v>
      </c>
    </row>
    <row r="922">
      <c r="B922" s="19">
        <v>914.0</v>
      </c>
      <c r="C922" s="19">
        <v>0.04766</v>
      </c>
    </row>
    <row r="923">
      <c r="B923" s="19">
        <v>915.0</v>
      </c>
      <c r="C923" s="19">
        <v>0.04137</v>
      </c>
    </row>
    <row r="924">
      <c r="B924" s="19">
        <v>916.0</v>
      </c>
      <c r="C924" s="19">
        <v>0.04552</v>
      </c>
    </row>
    <row r="925">
      <c r="B925" s="19">
        <v>917.0</v>
      </c>
      <c r="C925" s="19">
        <v>0.04762</v>
      </c>
    </row>
    <row r="926">
      <c r="B926" s="19">
        <v>918.0</v>
      </c>
      <c r="C926" s="19">
        <v>0.04766</v>
      </c>
    </row>
    <row r="927">
      <c r="B927" s="19">
        <v>919.0</v>
      </c>
      <c r="C927" s="19">
        <v>0.04761</v>
      </c>
    </row>
    <row r="928">
      <c r="B928" s="19">
        <v>920.0</v>
      </c>
      <c r="C928" s="19">
        <v>0.04767</v>
      </c>
    </row>
    <row r="929">
      <c r="B929" s="19">
        <v>921.0</v>
      </c>
      <c r="C929" s="19">
        <v>0.04759</v>
      </c>
    </row>
    <row r="930">
      <c r="B930" s="19">
        <v>922.0</v>
      </c>
      <c r="C930" s="19">
        <v>0.04041</v>
      </c>
    </row>
    <row r="931">
      <c r="B931" s="19">
        <v>923.0</v>
      </c>
      <c r="C931" s="19">
        <v>0.04768</v>
      </c>
    </row>
    <row r="932">
      <c r="B932" s="19">
        <v>924.0</v>
      </c>
      <c r="C932" s="19">
        <v>0.04781</v>
      </c>
    </row>
    <row r="933">
      <c r="B933" s="19">
        <v>925.0</v>
      </c>
      <c r="C933" s="19">
        <v>0.04758</v>
      </c>
    </row>
    <row r="934">
      <c r="B934" s="19">
        <v>926.0</v>
      </c>
      <c r="C934" s="19">
        <v>0.04772</v>
      </c>
    </row>
    <row r="935">
      <c r="B935" s="19">
        <v>927.0</v>
      </c>
      <c r="C935" s="19">
        <v>0.04527</v>
      </c>
    </row>
    <row r="936">
      <c r="B936" s="19">
        <v>928.0</v>
      </c>
      <c r="C936" s="19">
        <v>0.04759</v>
      </c>
    </row>
    <row r="937">
      <c r="B937" s="19">
        <v>929.0</v>
      </c>
      <c r="C937" s="19">
        <v>0.04397</v>
      </c>
    </row>
    <row r="938">
      <c r="B938" s="19">
        <v>930.0</v>
      </c>
      <c r="C938" s="19">
        <v>0.04804</v>
      </c>
    </row>
    <row r="939">
      <c r="B939" s="19">
        <v>931.0</v>
      </c>
      <c r="C939" s="19">
        <v>0.0476</v>
      </c>
    </row>
    <row r="940">
      <c r="B940" s="19">
        <v>932.0</v>
      </c>
      <c r="C940" s="19">
        <v>0.04766</v>
      </c>
    </row>
    <row r="941">
      <c r="B941" s="19">
        <v>933.0</v>
      </c>
      <c r="C941" s="19">
        <v>0.04384</v>
      </c>
    </row>
    <row r="942">
      <c r="B942" s="19">
        <v>934.0</v>
      </c>
      <c r="C942" s="19">
        <v>0.04767</v>
      </c>
    </row>
    <row r="943">
      <c r="B943" s="19">
        <v>935.0</v>
      </c>
      <c r="C943" s="19">
        <v>0.04762</v>
      </c>
    </row>
    <row r="944">
      <c r="B944" s="19">
        <v>936.0</v>
      </c>
      <c r="C944" s="19">
        <v>0.0476</v>
      </c>
    </row>
    <row r="945">
      <c r="B945" s="19">
        <v>937.0</v>
      </c>
      <c r="C945" s="19">
        <v>0.04751</v>
      </c>
    </row>
    <row r="946">
      <c r="B946" s="19">
        <v>938.0</v>
      </c>
      <c r="C946" s="19">
        <v>0.04429</v>
      </c>
    </row>
    <row r="947">
      <c r="B947" s="19">
        <v>939.0</v>
      </c>
      <c r="C947" s="19">
        <v>0.04769</v>
      </c>
    </row>
    <row r="948">
      <c r="B948" s="19">
        <v>940.0</v>
      </c>
      <c r="C948" s="19">
        <v>0.04762</v>
      </c>
    </row>
    <row r="949">
      <c r="B949" s="19">
        <v>941.0</v>
      </c>
      <c r="C949" s="19">
        <v>0.04757</v>
      </c>
    </row>
    <row r="950">
      <c r="B950" s="19">
        <v>942.0</v>
      </c>
      <c r="C950" s="19">
        <v>0.04759</v>
      </c>
    </row>
    <row r="951">
      <c r="B951" s="19">
        <v>943.0</v>
      </c>
      <c r="C951" s="19">
        <v>0.04773</v>
      </c>
    </row>
    <row r="952">
      <c r="B952" s="19">
        <v>944.0</v>
      </c>
      <c r="C952" s="19">
        <v>0.04212</v>
      </c>
    </row>
    <row r="953">
      <c r="B953" s="19">
        <v>945.0</v>
      </c>
      <c r="C953" s="19">
        <v>0.04297</v>
      </c>
    </row>
    <row r="954">
      <c r="B954" s="19">
        <v>946.0</v>
      </c>
      <c r="C954" s="19">
        <v>0.04765</v>
      </c>
    </row>
    <row r="955">
      <c r="B955" s="19">
        <v>947.0</v>
      </c>
      <c r="C955" s="19">
        <v>0.04761</v>
      </c>
    </row>
    <row r="956">
      <c r="B956" s="19">
        <v>948.0</v>
      </c>
      <c r="C956" s="19">
        <v>0.04293</v>
      </c>
    </row>
    <row r="957">
      <c r="B957" s="19">
        <v>949.0</v>
      </c>
      <c r="C957" s="19">
        <v>0.0477</v>
      </c>
    </row>
    <row r="958">
      <c r="B958" s="19">
        <v>950.0</v>
      </c>
      <c r="C958" s="19">
        <v>0.04754</v>
      </c>
    </row>
    <row r="959">
      <c r="B959" s="19">
        <v>951.0</v>
      </c>
      <c r="C959" s="19">
        <v>0.04762</v>
      </c>
    </row>
    <row r="960">
      <c r="B960" s="19">
        <v>952.0</v>
      </c>
      <c r="C960" s="19">
        <v>0.04758</v>
      </c>
    </row>
    <row r="961">
      <c r="B961" s="19">
        <v>953.0</v>
      </c>
      <c r="C961" s="19">
        <v>0.04778</v>
      </c>
    </row>
    <row r="962">
      <c r="B962" s="19">
        <v>954.0</v>
      </c>
      <c r="C962" s="19">
        <v>0.04759</v>
      </c>
    </row>
    <row r="963">
      <c r="B963" s="19">
        <v>955.0</v>
      </c>
      <c r="C963" s="19">
        <v>0.04377</v>
      </c>
    </row>
    <row r="964">
      <c r="B964" s="19">
        <v>956.0</v>
      </c>
      <c r="C964" s="19">
        <v>0.04511</v>
      </c>
    </row>
    <row r="965">
      <c r="B965" s="19">
        <v>957.0</v>
      </c>
      <c r="C965" s="19">
        <v>0.04753</v>
      </c>
    </row>
    <row r="966">
      <c r="B966" s="19">
        <v>958.0</v>
      </c>
      <c r="C966" s="19">
        <v>0.04124</v>
      </c>
    </row>
    <row r="967">
      <c r="B967" s="19">
        <v>959.0</v>
      </c>
      <c r="C967" s="19">
        <v>0.0413</v>
      </c>
    </row>
    <row r="968">
      <c r="B968" s="19">
        <v>960.0</v>
      </c>
      <c r="C968" s="19">
        <v>0.04767</v>
      </c>
    </row>
    <row r="969">
      <c r="B969" s="19">
        <v>961.0</v>
      </c>
      <c r="C969" s="19">
        <v>0.04763</v>
      </c>
    </row>
    <row r="970">
      <c r="B970" s="19">
        <v>962.0</v>
      </c>
      <c r="C970" s="19">
        <v>0.04769</v>
      </c>
    </row>
    <row r="971">
      <c r="B971" s="19">
        <v>963.0</v>
      </c>
      <c r="C971" s="19">
        <v>0.04336</v>
      </c>
    </row>
    <row r="972">
      <c r="B972" s="19">
        <v>964.0</v>
      </c>
      <c r="C972" s="19">
        <v>0.04761</v>
      </c>
    </row>
    <row r="973">
      <c r="B973" s="19">
        <v>965.0</v>
      </c>
      <c r="C973" s="19">
        <v>0.04217</v>
      </c>
    </row>
    <row r="974">
      <c r="B974" s="19">
        <v>966.0</v>
      </c>
      <c r="C974" s="19">
        <v>0.04747</v>
      </c>
    </row>
    <row r="975">
      <c r="B975" s="19">
        <v>967.0</v>
      </c>
      <c r="C975" s="19">
        <v>0.04767</v>
      </c>
    </row>
    <row r="976">
      <c r="B976" s="19">
        <v>968.0</v>
      </c>
      <c r="C976" s="19">
        <v>0.04249</v>
      </c>
    </row>
    <row r="977">
      <c r="B977" s="19">
        <v>969.0</v>
      </c>
      <c r="C977" s="19">
        <v>0.04749</v>
      </c>
    </row>
    <row r="978">
      <c r="B978" s="19">
        <v>970.0</v>
      </c>
      <c r="C978" s="19">
        <v>0.04764</v>
      </c>
    </row>
    <row r="979">
      <c r="B979" s="19">
        <v>971.0</v>
      </c>
      <c r="C979" s="19">
        <v>0.04756</v>
      </c>
    </row>
    <row r="980">
      <c r="B980" s="19">
        <v>972.0</v>
      </c>
      <c r="C980" s="19">
        <v>0.04745</v>
      </c>
    </row>
    <row r="981">
      <c r="B981" s="19">
        <v>973.0</v>
      </c>
      <c r="C981" s="19">
        <v>0.04757</v>
      </c>
    </row>
    <row r="982">
      <c r="B982" s="19">
        <v>974.0</v>
      </c>
      <c r="C982" s="19">
        <v>0.04768</v>
      </c>
    </row>
    <row r="983">
      <c r="B983" s="19">
        <v>975.0</v>
      </c>
      <c r="C983" s="19">
        <v>0.04769</v>
      </c>
    </row>
    <row r="984">
      <c r="B984" s="19">
        <v>976.0</v>
      </c>
      <c r="C984" s="19">
        <v>0.04768</v>
      </c>
    </row>
    <row r="985">
      <c r="B985" s="19">
        <v>977.0</v>
      </c>
      <c r="C985" s="19">
        <v>0.04768</v>
      </c>
    </row>
    <row r="986">
      <c r="B986" s="19">
        <v>978.0</v>
      </c>
      <c r="C986" s="19">
        <v>0.04763</v>
      </c>
    </row>
    <row r="987">
      <c r="B987" s="19">
        <v>979.0</v>
      </c>
      <c r="C987" s="19">
        <v>0.04768</v>
      </c>
    </row>
    <row r="988">
      <c r="B988" s="19">
        <v>980.0</v>
      </c>
      <c r="C988" s="19">
        <v>0.04769</v>
      </c>
    </row>
    <row r="989">
      <c r="B989" s="19">
        <v>981.0</v>
      </c>
      <c r="C989" s="19">
        <v>0.04166</v>
      </c>
    </row>
    <row r="990">
      <c r="B990" s="19">
        <v>982.0</v>
      </c>
      <c r="C990" s="19">
        <v>0.0476</v>
      </c>
    </row>
    <row r="991">
      <c r="B991" s="19">
        <v>983.0</v>
      </c>
      <c r="C991" s="19">
        <v>0.04756</v>
      </c>
    </row>
    <row r="992">
      <c r="B992" s="19">
        <v>984.0</v>
      </c>
      <c r="C992" s="19">
        <v>0.04762</v>
      </c>
    </row>
    <row r="993">
      <c r="B993" s="19">
        <v>985.0</v>
      </c>
      <c r="C993" s="19">
        <v>0.04767</v>
      </c>
    </row>
    <row r="994">
      <c r="B994" s="19">
        <v>986.0</v>
      </c>
      <c r="C994" s="19">
        <v>0.0476</v>
      </c>
    </row>
    <row r="995">
      <c r="B995" s="19">
        <v>987.0</v>
      </c>
      <c r="C995" s="19">
        <v>0.04753</v>
      </c>
    </row>
    <row r="996">
      <c r="B996" s="19">
        <v>988.0</v>
      </c>
      <c r="C996" s="19">
        <v>0.04763</v>
      </c>
    </row>
    <row r="997">
      <c r="B997" s="19">
        <v>989.0</v>
      </c>
      <c r="C997" s="19">
        <v>0.04764</v>
      </c>
    </row>
    <row r="998">
      <c r="B998" s="19">
        <v>990.0</v>
      </c>
      <c r="C998" s="19">
        <v>0.04768</v>
      </c>
    </row>
    <row r="999">
      <c r="B999" s="19">
        <v>991.0</v>
      </c>
      <c r="C999" s="19">
        <v>0.0476</v>
      </c>
    </row>
    <row r="1000">
      <c r="B1000" s="19">
        <v>992.0</v>
      </c>
      <c r="C1000" s="19">
        <v>0.04287</v>
      </c>
    </row>
    <row r="1001">
      <c r="B1001" s="19">
        <v>993.0</v>
      </c>
      <c r="C1001" s="19">
        <v>0.04771</v>
      </c>
    </row>
    <row r="1002">
      <c r="B1002" s="19">
        <v>994.0</v>
      </c>
      <c r="C1002" s="19">
        <v>0.04764</v>
      </c>
    </row>
    <row r="1003">
      <c r="B1003" s="19">
        <v>995.0</v>
      </c>
      <c r="C1003" s="19">
        <v>0.04769</v>
      </c>
    </row>
    <row r="1004">
      <c r="B1004" s="19">
        <v>996.0</v>
      </c>
      <c r="C1004" s="19">
        <v>0.04471</v>
      </c>
    </row>
    <row r="1005">
      <c r="B1005" s="19">
        <v>997.0</v>
      </c>
      <c r="C1005" s="19">
        <v>0.04769</v>
      </c>
    </row>
    <row r="1006">
      <c r="B1006" s="19">
        <v>998.0</v>
      </c>
      <c r="C1006" s="19">
        <v>0.0476</v>
      </c>
    </row>
    <row r="1007">
      <c r="B1007" s="19">
        <v>999.0</v>
      </c>
      <c r="C1007" s="19">
        <v>0.04469</v>
      </c>
    </row>
    <row r="1008">
      <c r="B1008" s="19">
        <v>1000.0</v>
      </c>
      <c r="C1008" s="19">
        <v>0.04771</v>
      </c>
    </row>
    <row r="1009">
      <c r="B1009" s="19">
        <v>1001.0</v>
      </c>
      <c r="C1009" s="19" t="s">
        <v>6090</v>
      </c>
    </row>
    <row r="1010">
      <c r="B1010" s="19" t="e">
        <v>#VALUE!</v>
      </c>
    </row>
    <row r="1011">
      <c r="B1011" s="19">
        <v>1003.0</v>
      </c>
      <c r="C1011" s="19" t="s">
        <v>6090</v>
      </c>
    </row>
    <row r="1012">
      <c r="B1012" s="19">
        <v>1004.0</v>
      </c>
      <c r="C1012" s="19" t="s">
        <v>6090</v>
      </c>
    </row>
    <row r="1013">
      <c r="B1013" s="19">
        <v>1005.0</v>
      </c>
      <c r="C1013" s="19" t="s">
        <v>6090</v>
      </c>
    </row>
    <row r="1014">
      <c r="B1014" s="19">
        <v>1006.0</v>
      </c>
      <c r="C1014" s="19" t="s">
        <v>6090</v>
      </c>
    </row>
    <row r="1015">
      <c r="B1015" s="19">
        <v>1007.0</v>
      </c>
      <c r="C1015" s="19" t="s">
        <v>6090</v>
      </c>
    </row>
    <row r="1016">
      <c r="B1016" s="19">
        <v>1008.0</v>
      </c>
      <c r="C1016" s="19" t="s">
        <v>6090</v>
      </c>
    </row>
    <row r="1017">
      <c r="B1017" s="19">
        <v>1009.0</v>
      </c>
      <c r="C1017" s="19" t="s">
        <v>6090</v>
      </c>
    </row>
    <row r="1018">
      <c r="B1018" s="19">
        <v>1010.0</v>
      </c>
      <c r="C1018" s="19" t="s">
        <v>6090</v>
      </c>
    </row>
    <row r="1019">
      <c r="B1019" s="19">
        <v>1011.0</v>
      </c>
      <c r="C1019" s="19" t="s">
        <v>6090</v>
      </c>
    </row>
    <row r="1020">
      <c r="B1020" s="19">
        <v>1012.0</v>
      </c>
      <c r="C1020" s="19" t="s">
        <v>6090</v>
      </c>
    </row>
    <row r="1021">
      <c r="B1021" s="19">
        <v>1013.0</v>
      </c>
      <c r="C1021" s="19" t="s">
        <v>6090</v>
      </c>
    </row>
    <row r="1022">
      <c r="B1022" s="19">
        <v>1014.0</v>
      </c>
      <c r="C1022" s="19" t="s">
        <v>6090</v>
      </c>
    </row>
    <row r="1023">
      <c r="B1023" s="19">
        <v>1015.0</v>
      </c>
      <c r="C1023" s="19" t="s">
        <v>6090</v>
      </c>
    </row>
    <row r="1024">
      <c r="B1024" s="19">
        <v>1016.0</v>
      </c>
      <c r="C1024" s="19" t="s">
        <v>6090</v>
      </c>
    </row>
    <row r="1025">
      <c r="B1025" s="19">
        <v>1017.0</v>
      </c>
      <c r="C1025" s="19" t="s">
        <v>6090</v>
      </c>
    </row>
    <row r="1026">
      <c r="B1026" s="19">
        <v>1018.0</v>
      </c>
      <c r="C1026" s="19" t="s">
        <v>6090</v>
      </c>
    </row>
    <row r="1027">
      <c r="B1027" s="19">
        <v>1019.0</v>
      </c>
      <c r="C1027" s="19" t="s">
        <v>6090</v>
      </c>
    </row>
    <row r="1028">
      <c r="B1028" s="19">
        <v>1020.0</v>
      </c>
      <c r="C1028" s="19" t="s">
        <v>6090</v>
      </c>
    </row>
    <row r="1029">
      <c r="B1029" s="19">
        <v>1021.0</v>
      </c>
      <c r="C1029" s="19" t="s">
        <v>6090</v>
      </c>
    </row>
    <row r="1030">
      <c r="B1030" s="19">
        <v>1022.0</v>
      </c>
      <c r="C1030" s="19" t="s">
        <v>6090</v>
      </c>
    </row>
    <row r="1031">
      <c r="B1031" s="19">
        <v>1023.0</v>
      </c>
      <c r="C1031" s="19" t="s">
        <v>6090</v>
      </c>
    </row>
    <row r="1032">
      <c r="B1032" s="19">
        <v>1024.0</v>
      </c>
      <c r="C1032" s="19" t="s">
        <v>6090</v>
      </c>
    </row>
    <row r="1033">
      <c r="B1033" s="19">
        <v>1025.0</v>
      </c>
      <c r="C1033" s="19" t="s">
        <v>6090</v>
      </c>
    </row>
    <row r="1034">
      <c r="B1034" s="19">
        <v>1026.0</v>
      </c>
      <c r="C1034" s="19" t="s">
        <v>6090</v>
      </c>
    </row>
    <row r="1035">
      <c r="B1035" s="19">
        <v>1027.0</v>
      </c>
      <c r="C1035" s="19" t="s">
        <v>6090</v>
      </c>
    </row>
    <row r="1036">
      <c r="B1036" s="19">
        <v>1028.0</v>
      </c>
      <c r="C1036" s="19" t="s">
        <v>6090</v>
      </c>
    </row>
    <row r="1037">
      <c r="B1037" s="19">
        <v>1029.0</v>
      </c>
      <c r="C1037" s="19" t="s">
        <v>6090</v>
      </c>
    </row>
    <row r="1038">
      <c r="B1038" s="19">
        <v>1030.0</v>
      </c>
      <c r="C1038" s="19" t="s">
        <v>6090</v>
      </c>
    </row>
    <row r="1039">
      <c r="B1039" s="19">
        <v>1031.0</v>
      </c>
      <c r="C1039" s="19" t="s">
        <v>6090</v>
      </c>
    </row>
    <row r="1040">
      <c r="B1040" s="19">
        <v>1032.0</v>
      </c>
      <c r="C1040" s="19" t="s">
        <v>6090</v>
      </c>
    </row>
    <row r="1041">
      <c r="B1041" s="19">
        <v>1033.0</v>
      </c>
      <c r="C1041" s="19" t="s">
        <v>6090</v>
      </c>
    </row>
    <row r="1042">
      <c r="B1042" s="19">
        <v>1034.0</v>
      </c>
      <c r="C1042" s="19" t="s">
        <v>6090</v>
      </c>
    </row>
    <row r="1043">
      <c r="B1043" s="19">
        <v>1035.0</v>
      </c>
      <c r="C1043" s="19" t="s">
        <v>6090</v>
      </c>
    </row>
    <row r="1044">
      <c r="B1044" s="19">
        <v>1036.0</v>
      </c>
      <c r="C1044" s="19" t="s">
        <v>6090</v>
      </c>
    </row>
    <row r="1045">
      <c r="B1045" s="19">
        <v>1037.0</v>
      </c>
      <c r="C1045" s="19" t="s">
        <v>6090</v>
      </c>
    </row>
    <row r="1046">
      <c r="B1046" s="19">
        <v>1038.0</v>
      </c>
      <c r="C1046" s="19" t="s">
        <v>6090</v>
      </c>
    </row>
    <row r="1047">
      <c r="B1047" s="19">
        <v>1039.0</v>
      </c>
      <c r="C1047" s="19" t="s">
        <v>6090</v>
      </c>
    </row>
    <row r="1048">
      <c r="B1048" s="19">
        <v>1040.0</v>
      </c>
      <c r="C1048" s="19" t="s">
        <v>6090</v>
      </c>
    </row>
    <row r="1049">
      <c r="B1049" s="19">
        <v>1041.0</v>
      </c>
      <c r="C1049" s="19" t="s">
        <v>6090</v>
      </c>
    </row>
    <row r="1050">
      <c r="B1050" s="19">
        <v>1042.0</v>
      </c>
      <c r="C1050" s="19" t="s">
        <v>6090</v>
      </c>
    </row>
    <row r="1051">
      <c r="B1051" s="19">
        <v>1043.0</v>
      </c>
      <c r="C1051" s="19" t="s">
        <v>6090</v>
      </c>
    </row>
    <row r="1052">
      <c r="B1052" s="19">
        <v>1044.0</v>
      </c>
      <c r="C1052" s="19" t="s">
        <v>6090</v>
      </c>
    </row>
    <row r="1053">
      <c r="B1053" s="19">
        <v>1045.0</v>
      </c>
      <c r="C1053" s="19" t="s">
        <v>6090</v>
      </c>
    </row>
    <row r="1054">
      <c r="B1054" s="19">
        <v>1046.0</v>
      </c>
      <c r="C1054" s="19" t="s">
        <v>6090</v>
      </c>
    </row>
    <row r="1055">
      <c r="B1055" s="19">
        <v>1047.0</v>
      </c>
      <c r="C1055" s="19" t="s">
        <v>6090</v>
      </c>
    </row>
    <row r="1056">
      <c r="B1056" s="19">
        <v>1048.0</v>
      </c>
      <c r="C1056" s="19" t="s">
        <v>6090</v>
      </c>
    </row>
    <row r="1057">
      <c r="B1057" s="19">
        <v>1049.0</v>
      </c>
      <c r="C1057" s="19" t="s">
        <v>6090</v>
      </c>
    </row>
    <row r="1058">
      <c r="B1058" s="19">
        <v>1050.0</v>
      </c>
      <c r="C1058" s="19" t="s">
        <v>6090</v>
      </c>
    </row>
    <row r="1059">
      <c r="B1059" s="19">
        <v>1051.0</v>
      </c>
      <c r="C1059" s="19" t="s">
        <v>6090</v>
      </c>
    </row>
    <row r="1060">
      <c r="B1060" s="19">
        <v>1052.0</v>
      </c>
      <c r="C1060" s="19" t="s">
        <v>6090</v>
      </c>
    </row>
    <row r="1061">
      <c r="B1061" s="19">
        <v>1053.0</v>
      </c>
      <c r="C1061" s="19" t="s">
        <v>6090</v>
      </c>
    </row>
    <row r="1062">
      <c r="B1062" s="19">
        <v>1054.0</v>
      </c>
      <c r="C1062" s="19" t="s">
        <v>6090</v>
      </c>
    </row>
    <row r="1063">
      <c r="B1063" s="19">
        <v>1055.0</v>
      </c>
      <c r="C1063" s="19" t="s">
        <v>6090</v>
      </c>
    </row>
    <row r="1064">
      <c r="B1064" s="19">
        <v>1056.0</v>
      </c>
      <c r="C1064" s="19" t="s">
        <v>6090</v>
      </c>
    </row>
    <row r="1065">
      <c r="B1065" s="19">
        <v>1057.0</v>
      </c>
      <c r="C1065" s="19" t="s">
        <v>6090</v>
      </c>
    </row>
    <row r="1066">
      <c r="B1066" s="19">
        <v>1058.0</v>
      </c>
      <c r="C1066" s="19" t="s">
        <v>6090</v>
      </c>
    </row>
    <row r="1067">
      <c r="B1067" s="19">
        <v>1059.0</v>
      </c>
      <c r="C1067" s="19" t="s">
        <v>6090</v>
      </c>
    </row>
    <row r="1068">
      <c r="B1068" s="19">
        <v>1060.0</v>
      </c>
      <c r="C1068" s="19" t="s">
        <v>6090</v>
      </c>
    </row>
    <row r="1069">
      <c r="B1069" s="19">
        <v>1061.0</v>
      </c>
      <c r="C1069" s="19" t="s">
        <v>6090</v>
      </c>
    </row>
    <row r="1070">
      <c r="B1070" s="19">
        <v>1062.0</v>
      </c>
      <c r="C1070" s="19" t="s">
        <v>6090</v>
      </c>
    </row>
    <row r="1071">
      <c r="B1071" s="19">
        <v>1063.0</v>
      </c>
      <c r="C1071" s="19" t="s">
        <v>6090</v>
      </c>
    </row>
    <row r="1072">
      <c r="B1072" s="19">
        <v>1064.0</v>
      </c>
      <c r="C1072" s="19" t="s">
        <v>6090</v>
      </c>
    </row>
    <row r="1073">
      <c r="B1073" s="19">
        <v>1065.0</v>
      </c>
      <c r="C1073" s="19" t="s">
        <v>6090</v>
      </c>
    </row>
    <row r="1074">
      <c r="B1074" s="19">
        <v>1066.0</v>
      </c>
      <c r="C1074" s="19" t="s">
        <v>6090</v>
      </c>
    </row>
    <row r="1075">
      <c r="B1075" s="19">
        <v>1067.0</v>
      </c>
      <c r="C1075" s="19" t="s">
        <v>6090</v>
      </c>
    </row>
    <row r="1076">
      <c r="B1076" s="19">
        <v>1068.0</v>
      </c>
      <c r="C1076" s="19" t="s">
        <v>6090</v>
      </c>
    </row>
    <row r="1077">
      <c r="B1077" s="19">
        <v>1069.0</v>
      </c>
      <c r="C1077" s="19" t="s">
        <v>6090</v>
      </c>
    </row>
    <row r="1078">
      <c r="B1078" s="19">
        <v>1070.0</v>
      </c>
      <c r="C1078" s="19" t="s">
        <v>6090</v>
      </c>
    </row>
    <row r="1079">
      <c r="B1079" s="19">
        <v>1071.0</v>
      </c>
      <c r="C1079" s="19" t="s">
        <v>6090</v>
      </c>
    </row>
    <row r="1080">
      <c r="B1080" s="19">
        <v>1072.0</v>
      </c>
      <c r="C1080" s="19" t="s">
        <v>6090</v>
      </c>
    </row>
    <row r="1081">
      <c r="B1081" s="19">
        <v>1073.0</v>
      </c>
      <c r="C1081" s="19" t="s">
        <v>6090</v>
      </c>
    </row>
    <row r="1082">
      <c r="B1082" s="19">
        <v>1074.0</v>
      </c>
      <c r="C1082" s="19" t="s">
        <v>6090</v>
      </c>
    </row>
    <row r="1083">
      <c r="B1083" s="19">
        <v>1075.0</v>
      </c>
      <c r="C1083" s="19" t="s">
        <v>6090</v>
      </c>
    </row>
    <row r="1084">
      <c r="B1084" s="19">
        <v>1076.0</v>
      </c>
      <c r="C1084" s="19" t="s">
        <v>6090</v>
      </c>
    </row>
    <row r="1085">
      <c r="B1085" s="19">
        <v>1077.0</v>
      </c>
      <c r="C1085" s="19" t="s">
        <v>6090</v>
      </c>
    </row>
    <row r="1086">
      <c r="B1086" s="19">
        <v>1078.0</v>
      </c>
      <c r="C1086" s="19" t="s">
        <v>6090</v>
      </c>
    </row>
    <row r="1087">
      <c r="B1087" s="19">
        <v>1079.0</v>
      </c>
      <c r="C1087" s="19" t="s">
        <v>6090</v>
      </c>
    </row>
    <row r="1088">
      <c r="B1088" s="19">
        <v>1080.0</v>
      </c>
      <c r="C1088" s="19" t="s">
        <v>6090</v>
      </c>
    </row>
    <row r="1089">
      <c r="B1089" s="19">
        <v>1081.0</v>
      </c>
      <c r="C1089" s="19" t="s">
        <v>6090</v>
      </c>
    </row>
    <row r="1090">
      <c r="B1090" s="19">
        <v>1082.0</v>
      </c>
      <c r="C1090" s="19" t="s">
        <v>6090</v>
      </c>
    </row>
    <row r="1091">
      <c r="B1091" s="19">
        <v>1083.0</v>
      </c>
      <c r="C1091" s="19" t="s">
        <v>6090</v>
      </c>
    </row>
    <row r="1092">
      <c r="B1092" s="19">
        <v>1084.0</v>
      </c>
      <c r="C1092" s="19" t="s">
        <v>6090</v>
      </c>
    </row>
    <row r="1093">
      <c r="B1093" s="19">
        <v>1085.0</v>
      </c>
      <c r="C1093" s="19" t="s">
        <v>6090</v>
      </c>
    </row>
    <row r="1094">
      <c r="B1094" s="19">
        <v>1086.0</v>
      </c>
      <c r="C1094" s="19" t="s">
        <v>6090</v>
      </c>
    </row>
    <row r="1095">
      <c r="B1095" s="19">
        <v>1087.0</v>
      </c>
      <c r="C1095" s="19" t="s">
        <v>6090</v>
      </c>
    </row>
    <row r="1096">
      <c r="B1096" s="19">
        <v>1088.0</v>
      </c>
      <c r="C1096" s="19" t="s">
        <v>6090</v>
      </c>
    </row>
    <row r="1097">
      <c r="B1097" s="19">
        <v>1089.0</v>
      </c>
      <c r="C1097" s="19" t="s">
        <v>6090</v>
      </c>
    </row>
    <row r="1098">
      <c r="B1098" s="19">
        <v>1090.0</v>
      </c>
      <c r="C1098" s="19" t="s">
        <v>6090</v>
      </c>
    </row>
    <row r="1099">
      <c r="B1099" s="19">
        <v>1091.0</v>
      </c>
      <c r="C1099" s="19" t="s">
        <v>6090</v>
      </c>
    </row>
    <row r="1100">
      <c r="B1100" s="19">
        <v>1092.0</v>
      </c>
      <c r="C1100" s="19" t="s">
        <v>6090</v>
      </c>
    </row>
    <row r="1101">
      <c r="B1101" s="19">
        <v>1093.0</v>
      </c>
      <c r="C1101" s="19" t="s">
        <v>6090</v>
      </c>
    </row>
    <row r="1102">
      <c r="B1102" s="19">
        <v>1094.0</v>
      </c>
      <c r="C1102" s="19" t="s">
        <v>6090</v>
      </c>
    </row>
    <row r="1103">
      <c r="B1103" s="19">
        <v>1095.0</v>
      </c>
      <c r="C1103" s="19" t="s">
        <v>6090</v>
      </c>
    </row>
    <row r="1104">
      <c r="B1104" s="19">
        <v>1096.0</v>
      </c>
      <c r="C1104" s="19" t="s">
        <v>6090</v>
      </c>
    </row>
    <row r="1105">
      <c r="B1105" s="19">
        <v>1097.0</v>
      </c>
      <c r="C1105" s="19" t="s">
        <v>6090</v>
      </c>
    </row>
    <row r="1106">
      <c r="B1106" s="19">
        <v>1098.0</v>
      </c>
      <c r="C1106" s="19" t="s">
        <v>6090</v>
      </c>
    </row>
    <row r="1107">
      <c r="B1107" s="19">
        <v>1099.0</v>
      </c>
      <c r="C1107" s="19" t="s">
        <v>6090</v>
      </c>
    </row>
    <row r="1108">
      <c r="B1108" s="19">
        <v>1100.0</v>
      </c>
      <c r="C1108" s="19" t="s">
        <v>6090</v>
      </c>
    </row>
    <row r="1109">
      <c r="B1109" s="19">
        <v>1101.0</v>
      </c>
      <c r="C1109" s="19" t="s">
        <v>6090</v>
      </c>
    </row>
    <row r="1110">
      <c r="B1110" s="19">
        <v>1102.0</v>
      </c>
      <c r="C1110" s="19" t="s">
        <v>6090</v>
      </c>
    </row>
    <row r="1111">
      <c r="B1111" s="19">
        <v>1103.0</v>
      </c>
      <c r="C1111" s="19" t="s">
        <v>6090</v>
      </c>
    </row>
    <row r="1112">
      <c r="B1112" s="19">
        <v>1104.0</v>
      </c>
      <c r="C1112" s="19" t="s">
        <v>6090</v>
      </c>
    </row>
    <row r="1113">
      <c r="B1113" s="19">
        <v>1105.0</v>
      </c>
      <c r="C1113" s="19" t="s">
        <v>6090</v>
      </c>
    </row>
    <row r="1114">
      <c r="B1114" s="19">
        <v>1106.0</v>
      </c>
      <c r="C1114" s="19" t="s">
        <v>6090</v>
      </c>
    </row>
    <row r="1115">
      <c r="B1115" s="19">
        <v>1107.0</v>
      </c>
      <c r="C1115" s="19" t="s">
        <v>6090</v>
      </c>
    </row>
    <row r="1116">
      <c r="B1116" s="19">
        <v>1108.0</v>
      </c>
      <c r="C1116" s="19" t="s">
        <v>6090</v>
      </c>
    </row>
    <row r="1117">
      <c r="B1117" s="19">
        <v>1109.0</v>
      </c>
      <c r="C1117" s="19" t="s">
        <v>6090</v>
      </c>
    </row>
    <row r="1118">
      <c r="B1118" s="19">
        <v>1110.0</v>
      </c>
      <c r="C1118" s="19" t="s">
        <v>6090</v>
      </c>
    </row>
    <row r="1119">
      <c r="B1119" s="19">
        <v>1111.0</v>
      </c>
      <c r="C1119" s="19" t="s">
        <v>6090</v>
      </c>
    </row>
    <row r="1120">
      <c r="B1120" s="19">
        <v>1112.0</v>
      </c>
      <c r="C1120" s="19" t="s">
        <v>6090</v>
      </c>
    </row>
    <row r="1121">
      <c r="B1121" s="19">
        <v>1113.0</v>
      </c>
      <c r="C1121" s="19" t="s">
        <v>6090</v>
      </c>
    </row>
    <row r="1122">
      <c r="B1122" s="19">
        <v>1114.0</v>
      </c>
      <c r="C1122" s="19" t="s">
        <v>6090</v>
      </c>
    </row>
    <row r="1123">
      <c r="B1123" s="19">
        <v>1115.0</v>
      </c>
      <c r="C1123" s="19" t="s">
        <v>6090</v>
      </c>
    </row>
    <row r="1124">
      <c r="B1124" s="19">
        <v>1116.0</v>
      </c>
      <c r="C1124" s="19" t="s">
        <v>6090</v>
      </c>
    </row>
    <row r="1125">
      <c r="B1125" s="19">
        <v>1117.0</v>
      </c>
      <c r="C1125" s="19" t="s">
        <v>6090</v>
      </c>
    </row>
    <row r="1126">
      <c r="B1126" s="19">
        <v>1118.0</v>
      </c>
      <c r="C1126" s="19" t="s">
        <v>6090</v>
      </c>
    </row>
    <row r="1127">
      <c r="B1127" s="19">
        <v>1119.0</v>
      </c>
      <c r="C1127" s="19" t="s">
        <v>6090</v>
      </c>
    </row>
    <row r="1128">
      <c r="B1128" s="19">
        <v>1120.0</v>
      </c>
      <c r="C1128" s="19" t="s">
        <v>6090</v>
      </c>
    </row>
    <row r="1129">
      <c r="B1129" s="19">
        <v>1121.0</v>
      </c>
      <c r="C1129" s="19" t="s">
        <v>6090</v>
      </c>
    </row>
    <row r="1130">
      <c r="B1130" s="19">
        <v>1122.0</v>
      </c>
      <c r="C1130" s="19" t="s">
        <v>6090</v>
      </c>
    </row>
    <row r="1131">
      <c r="B1131" s="19">
        <v>1123.0</v>
      </c>
      <c r="C1131" s="19" t="s">
        <v>6090</v>
      </c>
    </row>
    <row r="1132">
      <c r="B1132" s="19">
        <v>1124.0</v>
      </c>
      <c r="C1132" s="19" t="s">
        <v>6090</v>
      </c>
    </row>
    <row r="1133">
      <c r="B1133" s="19">
        <v>1125.0</v>
      </c>
      <c r="C1133" s="19" t="s">
        <v>6090</v>
      </c>
    </row>
    <row r="1134">
      <c r="B1134" s="19">
        <v>1126.0</v>
      </c>
      <c r="C1134" s="19" t="s">
        <v>6090</v>
      </c>
    </row>
    <row r="1135">
      <c r="B1135" s="19">
        <v>1127.0</v>
      </c>
      <c r="C1135" s="19" t="s">
        <v>6090</v>
      </c>
    </row>
    <row r="1136">
      <c r="B1136" s="19">
        <v>1128.0</v>
      </c>
      <c r="C1136" s="19" t="s">
        <v>6090</v>
      </c>
    </row>
    <row r="1137">
      <c r="B1137" s="19">
        <v>1129.0</v>
      </c>
      <c r="C1137" s="19" t="s">
        <v>6090</v>
      </c>
    </row>
    <row r="1138">
      <c r="B1138" s="19">
        <v>1130.0</v>
      </c>
      <c r="C1138" s="19" t="s">
        <v>6090</v>
      </c>
    </row>
    <row r="1139">
      <c r="B1139" s="19">
        <v>1131.0</v>
      </c>
      <c r="C1139" s="19" t="s">
        <v>6090</v>
      </c>
    </row>
    <row r="1140">
      <c r="B1140" s="19">
        <v>1132.0</v>
      </c>
      <c r="C1140" s="19" t="s">
        <v>6090</v>
      </c>
    </row>
    <row r="1141">
      <c r="B1141" s="19">
        <v>1133.0</v>
      </c>
      <c r="C1141" s="19" t="s">
        <v>6090</v>
      </c>
    </row>
    <row r="1142">
      <c r="B1142" s="19">
        <v>1134.0</v>
      </c>
      <c r="C1142" s="19" t="s">
        <v>6090</v>
      </c>
    </row>
    <row r="1143">
      <c r="B1143" s="19">
        <v>1135.0</v>
      </c>
      <c r="C1143" s="19" t="s">
        <v>6090</v>
      </c>
    </row>
    <row r="1144">
      <c r="B1144" s="19">
        <v>1136.0</v>
      </c>
      <c r="C1144" s="19" t="s">
        <v>6090</v>
      </c>
    </row>
    <row r="1145">
      <c r="B1145" s="19">
        <v>1137.0</v>
      </c>
      <c r="C1145" s="19" t="s">
        <v>6090</v>
      </c>
    </row>
    <row r="1146">
      <c r="B1146" s="19">
        <v>1138.0</v>
      </c>
      <c r="C1146" s="19" t="s">
        <v>6090</v>
      </c>
    </row>
    <row r="1147">
      <c r="B1147" s="19">
        <v>1139.0</v>
      </c>
      <c r="C1147" s="19" t="s">
        <v>6090</v>
      </c>
    </row>
    <row r="1148">
      <c r="B1148" s="19">
        <v>1140.0</v>
      </c>
      <c r="C1148" s="19" t="s">
        <v>6090</v>
      </c>
    </row>
    <row r="1149">
      <c r="B1149" s="19">
        <v>1141.0</v>
      </c>
      <c r="C1149" s="19" t="s">
        <v>6090</v>
      </c>
    </row>
    <row r="1150">
      <c r="B1150" s="19">
        <v>1142.0</v>
      </c>
      <c r="C1150" s="19" t="s">
        <v>6090</v>
      </c>
    </row>
    <row r="1151">
      <c r="B1151" s="19">
        <v>1143.0</v>
      </c>
      <c r="C1151" s="19" t="s">
        <v>6090</v>
      </c>
    </row>
    <row r="1152">
      <c r="B1152" s="19">
        <v>1144.0</v>
      </c>
      <c r="C1152" s="19" t="s">
        <v>6090</v>
      </c>
    </row>
    <row r="1153">
      <c r="B1153" s="19">
        <v>1145.0</v>
      </c>
      <c r="C1153" s="19" t="s">
        <v>6090</v>
      </c>
    </row>
    <row r="1154">
      <c r="B1154" s="19">
        <v>1146.0</v>
      </c>
      <c r="C1154" s="19" t="s">
        <v>6090</v>
      </c>
    </row>
    <row r="1155">
      <c r="B1155" s="19">
        <v>1147.0</v>
      </c>
      <c r="C1155" s="19" t="s">
        <v>6090</v>
      </c>
    </row>
    <row r="1156">
      <c r="B1156" s="19">
        <v>1148.0</v>
      </c>
      <c r="C1156" s="19" t="s">
        <v>6090</v>
      </c>
    </row>
    <row r="1157">
      <c r="B1157" s="19">
        <v>1149.0</v>
      </c>
      <c r="C1157" s="19" t="s">
        <v>6090</v>
      </c>
    </row>
    <row r="1158">
      <c r="B1158" s="19">
        <v>1150.0</v>
      </c>
      <c r="C1158" s="19" t="s">
        <v>6090</v>
      </c>
    </row>
    <row r="1159">
      <c r="B1159" s="19">
        <v>1151.0</v>
      </c>
      <c r="C1159" s="19" t="s">
        <v>6090</v>
      </c>
    </row>
    <row r="1160">
      <c r="B1160" s="19">
        <v>1152.0</v>
      </c>
      <c r="C1160" s="19" t="s">
        <v>6090</v>
      </c>
    </row>
    <row r="1161">
      <c r="B1161" s="19">
        <v>1153.0</v>
      </c>
      <c r="C1161" s="19" t="s">
        <v>6090</v>
      </c>
    </row>
    <row r="1162">
      <c r="B1162" s="19">
        <v>1154.0</v>
      </c>
      <c r="C1162" s="19" t="s">
        <v>6090</v>
      </c>
    </row>
    <row r="1163">
      <c r="B1163" s="19">
        <v>1155.0</v>
      </c>
      <c r="C1163" s="19" t="s">
        <v>6090</v>
      </c>
    </row>
    <row r="1164">
      <c r="B1164" s="19">
        <v>1156.0</v>
      </c>
      <c r="C1164" s="19" t="s">
        <v>6090</v>
      </c>
    </row>
    <row r="1165">
      <c r="B1165" s="19">
        <v>1157.0</v>
      </c>
      <c r="C1165" s="19" t="s">
        <v>6090</v>
      </c>
    </row>
    <row r="1166">
      <c r="B1166" s="19">
        <v>1158.0</v>
      </c>
      <c r="C1166" s="19" t="s">
        <v>6090</v>
      </c>
    </row>
    <row r="1167">
      <c r="B1167" s="19">
        <v>1159.0</v>
      </c>
      <c r="C1167" s="19" t="s">
        <v>6090</v>
      </c>
    </row>
    <row r="1168">
      <c r="B1168" s="19">
        <v>1160.0</v>
      </c>
      <c r="C1168" s="19" t="s">
        <v>6090</v>
      </c>
    </row>
    <row r="1169">
      <c r="B1169" s="19">
        <v>1161.0</v>
      </c>
      <c r="C1169" s="19" t="s">
        <v>6090</v>
      </c>
    </row>
    <row r="1170">
      <c r="B1170" s="19">
        <v>1162.0</v>
      </c>
      <c r="C1170" s="19" t="s">
        <v>6090</v>
      </c>
    </row>
    <row r="1171">
      <c r="B1171" s="19">
        <v>1163.0</v>
      </c>
      <c r="C1171" s="19" t="s">
        <v>6090</v>
      </c>
    </row>
    <row r="1172">
      <c r="B1172" s="19">
        <v>1164.0</v>
      </c>
      <c r="C1172" s="19" t="s">
        <v>6090</v>
      </c>
    </row>
    <row r="1173">
      <c r="B1173" s="19">
        <v>1165.0</v>
      </c>
      <c r="C1173" s="19" t="s">
        <v>6090</v>
      </c>
    </row>
    <row r="1174">
      <c r="B1174" s="19">
        <v>1166.0</v>
      </c>
      <c r="C1174" s="19" t="s">
        <v>6090</v>
      </c>
    </row>
    <row r="1175">
      <c r="B1175" s="19">
        <v>1167.0</v>
      </c>
      <c r="C1175" s="19" t="s">
        <v>6090</v>
      </c>
    </row>
    <row r="1176">
      <c r="B1176" s="19">
        <v>1168.0</v>
      </c>
      <c r="C1176" s="19" t="s">
        <v>6090</v>
      </c>
    </row>
    <row r="1177">
      <c r="B1177" s="19">
        <v>1169.0</v>
      </c>
      <c r="C1177" s="19" t="s">
        <v>6090</v>
      </c>
    </row>
    <row r="1178">
      <c r="B1178" s="19">
        <v>1170.0</v>
      </c>
      <c r="C1178" s="19" t="s">
        <v>6090</v>
      </c>
    </row>
    <row r="1179">
      <c r="B1179" s="19">
        <v>1171.0</v>
      </c>
      <c r="C1179" s="19" t="s">
        <v>6090</v>
      </c>
    </row>
    <row r="1180">
      <c r="B1180" s="19">
        <v>1172.0</v>
      </c>
      <c r="C1180" s="19" t="s">
        <v>6090</v>
      </c>
    </row>
    <row r="1181">
      <c r="B1181" s="19">
        <v>1173.0</v>
      </c>
      <c r="C1181" s="19" t="s">
        <v>6090</v>
      </c>
    </row>
    <row r="1182">
      <c r="B1182" s="19">
        <v>1174.0</v>
      </c>
      <c r="C1182" s="19" t="s">
        <v>6090</v>
      </c>
    </row>
    <row r="1183">
      <c r="B1183" s="19">
        <v>1175.0</v>
      </c>
      <c r="C1183" s="19" t="s">
        <v>6090</v>
      </c>
    </row>
    <row r="1184">
      <c r="B1184" s="19">
        <v>1176.0</v>
      </c>
      <c r="C1184" s="19" t="s">
        <v>6090</v>
      </c>
    </row>
    <row r="1185">
      <c r="B1185" s="19">
        <v>1177.0</v>
      </c>
      <c r="C1185" s="19" t="s">
        <v>6090</v>
      </c>
    </row>
    <row r="1186">
      <c r="B1186" s="19">
        <v>1178.0</v>
      </c>
      <c r="C1186" s="19" t="s">
        <v>6090</v>
      </c>
    </row>
    <row r="1187">
      <c r="B1187" s="19">
        <v>1179.0</v>
      </c>
      <c r="C1187" s="19" t="s">
        <v>6090</v>
      </c>
    </row>
    <row r="1188">
      <c r="B1188" s="19">
        <v>1180.0</v>
      </c>
      <c r="C1188" s="19" t="s">
        <v>6090</v>
      </c>
    </row>
    <row r="1189">
      <c r="B1189" s="19">
        <v>1181.0</v>
      </c>
      <c r="C1189" s="19" t="s">
        <v>6090</v>
      </c>
    </row>
    <row r="1190">
      <c r="B1190" s="19">
        <v>1182.0</v>
      </c>
      <c r="C1190" s="19" t="s">
        <v>6090</v>
      </c>
    </row>
    <row r="1191">
      <c r="B1191" s="19">
        <v>1183.0</v>
      </c>
      <c r="C1191" s="19" t="s">
        <v>6090</v>
      </c>
    </row>
    <row r="1192">
      <c r="B1192" s="19">
        <v>1184.0</v>
      </c>
      <c r="C1192" s="19" t="s">
        <v>6090</v>
      </c>
    </row>
    <row r="1193">
      <c r="B1193" s="19">
        <v>1185.0</v>
      </c>
      <c r="C1193" s="19" t="s">
        <v>6090</v>
      </c>
    </row>
    <row r="1194">
      <c r="B1194" s="19">
        <v>1186.0</v>
      </c>
      <c r="C1194" s="19" t="s">
        <v>6090</v>
      </c>
    </row>
    <row r="1195">
      <c r="B1195" s="19">
        <v>1187.0</v>
      </c>
      <c r="C1195" s="19" t="s">
        <v>6090</v>
      </c>
    </row>
    <row r="1196">
      <c r="B1196" s="19">
        <v>1188.0</v>
      </c>
      <c r="C1196" s="19" t="s">
        <v>6090</v>
      </c>
    </row>
    <row r="1197">
      <c r="B1197" s="19">
        <v>1189.0</v>
      </c>
      <c r="C1197" s="19" t="s">
        <v>6090</v>
      </c>
    </row>
    <row r="1198">
      <c r="B1198" s="19">
        <v>1190.0</v>
      </c>
      <c r="C1198" s="19" t="s">
        <v>6090</v>
      </c>
    </row>
    <row r="1199">
      <c r="B1199" s="19">
        <v>1191.0</v>
      </c>
      <c r="C1199" s="19" t="s">
        <v>6090</v>
      </c>
    </row>
    <row r="1200">
      <c r="B1200" s="19">
        <v>1192.0</v>
      </c>
      <c r="C1200" s="19" t="s">
        <v>6090</v>
      </c>
    </row>
    <row r="1201">
      <c r="B1201" s="19">
        <v>1193.0</v>
      </c>
      <c r="C1201" s="19" t="s">
        <v>6090</v>
      </c>
    </row>
    <row r="1202">
      <c r="B1202" s="19">
        <v>1194.0</v>
      </c>
      <c r="C1202" s="19" t="s">
        <v>6090</v>
      </c>
    </row>
    <row r="1203">
      <c r="B1203" s="19">
        <v>1195.0</v>
      </c>
      <c r="C1203" s="19" t="s">
        <v>6090</v>
      </c>
    </row>
    <row r="1204">
      <c r="B1204" s="19">
        <v>1196.0</v>
      </c>
      <c r="C1204" s="19" t="s">
        <v>6090</v>
      </c>
    </row>
    <row r="1205">
      <c r="B1205" s="19">
        <v>1197.0</v>
      </c>
      <c r="C1205" s="19" t="s">
        <v>6090</v>
      </c>
    </row>
    <row r="1206">
      <c r="B1206" s="19">
        <v>1198.0</v>
      </c>
      <c r="C1206" s="19" t="s">
        <v>6090</v>
      </c>
    </row>
    <row r="1207">
      <c r="B1207" s="19">
        <v>1199.0</v>
      </c>
      <c r="C1207" s="19" t="s">
        <v>6090</v>
      </c>
    </row>
    <row r="1208">
      <c r="B1208" s="19">
        <v>1200.0</v>
      </c>
      <c r="C1208" s="19" t="s">
        <v>6090</v>
      </c>
    </row>
    <row r="1209">
      <c r="B1209" s="19">
        <v>1201.0</v>
      </c>
      <c r="C1209" s="19" t="s">
        <v>6090</v>
      </c>
    </row>
    <row r="1210">
      <c r="B1210" s="19">
        <v>1202.0</v>
      </c>
      <c r="C1210" s="19" t="s">
        <v>6090</v>
      </c>
    </row>
    <row r="1211">
      <c r="B1211" s="19">
        <v>1203.0</v>
      </c>
      <c r="C1211" s="19" t="s">
        <v>6090</v>
      </c>
    </row>
    <row r="1212">
      <c r="B1212" s="19">
        <v>1204.0</v>
      </c>
      <c r="C1212" s="19" t="s">
        <v>6090</v>
      </c>
    </row>
    <row r="1213">
      <c r="B1213" s="19">
        <v>1205.0</v>
      </c>
      <c r="C1213" s="19" t="s">
        <v>6090</v>
      </c>
    </row>
    <row r="1214">
      <c r="B1214" s="19">
        <v>1206.0</v>
      </c>
      <c r="C1214" s="19" t="s">
        <v>6090</v>
      </c>
    </row>
    <row r="1215">
      <c r="B1215" s="19">
        <v>1207.0</v>
      </c>
      <c r="C1215" s="19" t="s">
        <v>6090</v>
      </c>
    </row>
    <row r="1216">
      <c r="B1216" s="19">
        <v>1208.0</v>
      </c>
      <c r="C1216" s="19" t="s">
        <v>6090</v>
      </c>
    </row>
    <row r="1217">
      <c r="B1217" s="19">
        <v>1209.0</v>
      </c>
      <c r="C1217" s="19" t="s">
        <v>6090</v>
      </c>
    </row>
    <row r="1218">
      <c r="B1218" s="19">
        <v>1210.0</v>
      </c>
      <c r="C1218" s="19" t="s">
        <v>6090</v>
      </c>
    </row>
    <row r="1219">
      <c r="B1219" s="19">
        <v>1211.0</v>
      </c>
      <c r="C1219" s="19" t="s">
        <v>6090</v>
      </c>
    </row>
    <row r="1220">
      <c r="B1220" s="19">
        <v>1212.0</v>
      </c>
      <c r="C1220" s="19" t="s">
        <v>6090</v>
      </c>
    </row>
    <row r="1221">
      <c r="B1221" s="19">
        <v>1213.0</v>
      </c>
      <c r="C1221" s="19" t="s">
        <v>6090</v>
      </c>
    </row>
    <row r="1222">
      <c r="B1222" s="19">
        <v>1214.0</v>
      </c>
      <c r="C1222" s="19" t="s">
        <v>6090</v>
      </c>
    </row>
    <row r="1223">
      <c r="B1223" s="19">
        <v>1215.0</v>
      </c>
      <c r="C1223" s="19" t="s">
        <v>6090</v>
      </c>
    </row>
    <row r="1224">
      <c r="B1224" s="19">
        <v>1216.0</v>
      </c>
      <c r="C1224" s="19" t="s">
        <v>6090</v>
      </c>
    </row>
    <row r="1225">
      <c r="B1225" s="19">
        <v>1217.0</v>
      </c>
      <c r="C1225" s="19" t="s">
        <v>6090</v>
      </c>
    </row>
    <row r="1226">
      <c r="B1226" s="19">
        <v>1218.0</v>
      </c>
      <c r="C1226" s="19" t="s">
        <v>6090</v>
      </c>
    </row>
    <row r="1227">
      <c r="B1227" s="19">
        <v>1219.0</v>
      </c>
      <c r="C1227" s="19" t="s">
        <v>6090</v>
      </c>
    </row>
    <row r="1228">
      <c r="B1228" s="19">
        <v>1220.0</v>
      </c>
      <c r="C1228" s="19" t="s">
        <v>6090</v>
      </c>
    </row>
    <row r="1229">
      <c r="B1229" s="19">
        <v>1221.0</v>
      </c>
      <c r="C1229" s="19" t="s">
        <v>6090</v>
      </c>
    </row>
    <row r="1230">
      <c r="B1230" s="19">
        <v>1222.0</v>
      </c>
      <c r="C1230" s="19" t="s">
        <v>6090</v>
      </c>
    </row>
    <row r="1231">
      <c r="B1231" s="19">
        <v>1223.0</v>
      </c>
      <c r="C1231" s="19" t="s">
        <v>6090</v>
      </c>
    </row>
    <row r="1232">
      <c r="B1232" s="19">
        <v>1224.0</v>
      </c>
      <c r="C1232" s="19" t="s">
        <v>6090</v>
      </c>
    </row>
    <row r="1233">
      <c r="B1233" s="19">
        <v>1225.0</v>
      </c>
      <c r="C1233" s="19" t="s">
        <v>6090</v>
      </c>
    </row>
    <row r="1234">
      <c r="B1234" s="19">
        <v>1226.0</v>
      </c>
      <c r="C1234" s="19" t="s">
        <v>6090</v>
      </c>
    </row>
    <row r="1235">
      <c r="B1235" s="19">
        <v>1227.0</v>
      </c>
      <c r="C1235" s="19" t="s">
        <v>6090</v>
      </c>
    </row>
    <row r="1236">
      <c r="B1236" s="19">
        <v>1228.0</v>
      </c>
      <c r="C1236" s="19" t="s">
        <v>6090</v>
      </c>
    </row>
    <row r="1237">
      <c r="B1237" s="19">
        <v>1229.0</v>
      </c>
      <c r="C1237" s="19" t="s">
        <v>6090</v>
      </c>
    </row>
    <row r="1238">
      <c r="B1238" s="19">
        <v>1230.0</v>
      </c>
      <c r="C1238" s="19" t="s">
        <v>6090</v>
      </c>
    </row>
    <row r="1239">
      <c r="B1239" s="19">
        <v>1231.0</v>
      </c>
      <c r="C1239" s="19" t="s">
        <v>6090</v>
      </c>
    </row>
    <row r="1240">
      <c r="B1240" s="19">
        <v>1232.0</v>
      </c>
      <c r="C1240" s="19" t="s">
        <v>6090</v>
      </c>
    </row>
    <row r="1241">
      <c r="B1241" s="19">
        <v>1233.0</v>
      </c>
      <c r="C1241" s="19" t="s">
        <v>6090</v>
      </c>
    </row>
    <row r="1242">
      <c r="B1242" s="19">
        <v>1234.0</v>
      </c>
      <c r="C1242" s="19" t="s">
        <v>6090</v>
      </c>
    </row>
    <row r="1243">
      <c r="B1243" s="19">
        <v>1235.0</v>
      </c>
      <c r="C1243" s="19" t="s">
        <v>6090</v>
      </c>
    </row>
    <row r="1244">
      <c r="B1244" s="19">
        <v>1236.0</v>
      </c>
      <c r="C1244" s="19" t="s">
        <v>6090</v>
      </c>
    </row>
    <row r="1245">
      <c r="B1245" s="19">
        <v>1237.0</v>
      </c>
      <c r="C1245" s="19" t="s">
        <v>6090</v>
      </c>
    </row>
    <row r="1246">
      <c r="B1246" s="19">
        <v>1238.0</v>
      </c>
      <c r="C1246" s="19" t="s">
        <v>6090</v>
      </c>
    </row>
    <row r="1247">
      <c r="B1247" s="19">
        <v>1239.0</v>
      </c>
      <c r="C1247" s="19" t="s">
        <v>6090</v>
      </c>
    </row>
    <row r="1248">
      <c r="B1248" s="19">
        <v>1240.0</v>
      </c>
      <c r="C1248" s="19" t="s">
        <v>6090</v>
      </c>
    </row>
    <row r="1249">
      <c r="B1249" s="19">
        <v>1241.0</v>
      </c>
      <c r="C1249" s="19" t="s">
        <v>6090</v>
      </c>
    </row>
    <row r="1250">
      <c r="B1250" s="19">
        <v>1242.0</v>
      </c>
      <c r="C1250" s="19" t="s">
        <v>6090</v>
      </c>
    </row>
    <row r="1251">
      <c r="B1251" s="19">
        <v>1243.0</v>
      </c>
      <c r="C1251" s="19" t="s">
        <v>6090</v>
      </c>
    </row>
    <row r="1252">
      <c r="B1252" s="19">
        <v>1244.0</v>
      </c>
      <c r="C1252" s="19" t="s">
        <v>6090</v>
      </c>
    </row>
    <row r="1253">
      <c r="B1253" s="19">
        <v>1245.0</v>
      </c>
      <c r="C1253" s="19" t="s">
        <v>6090</v>
      </c>
    </row>
    <row r="1254">
      <c r="B1254" s="19">
        <v>1246.0</v>
      </c>
      <c r="C1254" s="19" t="s">
        <v>6090</v>
      </c>
    </row>
    <row r="1255">
      <c r="B1255" s="19">
        <v>1247.0</v>
      </c>
      <c r="C1255" s="19" t="s">
        <v>6090</v>
      </c>
    </row>
    <row r="1256">
      <c r="B1256" s="19">
        <v>1248.0</v>
      </c>
      <c r="C1256" s="19" t="s">
        <v>6090</v>
      </c>
    </row>
    <row r="1257">
      <c r="B1257" s="19">
        <v>1249.0</v>
      </c>
      <c r="C1257" s="19" t="s">
        <v>6090</v>
      </c>
    </row>
    <row r="1258">
      <c r="B1258" s="19">
        <v>1250.0</v>
      </c>
      <c r="C1258" s="19" t="s">
        <v>6090</v>
      </c>
    </row>
    <row r="1259">
      <c r="B1259" s="19">
        <v>1251.0</v>
      </c>
      <c r="C1259" s="19" t="s">
        <v>6090</v>
      </c>
    </row>
    <row r="1260">
      <c r="B1260" s="19">
        <v>1252.0</v>
      </c>
      <c r="C1260" s="19" t="s">
        <v>6090</v>
      </c>
    </row>
    <row r="1261">
      <c r="B1261" s="19">
        <v>1253.0</v>
      </c>
      <c r="C1261" s="19" t="s">
        <v>6090</v>
      </c>
    </row>
    <row r="1262">
      <c r="B1262" s="19">
        <v>1254.0</v>
      </c>
      <c r="C1262" s="19" t="s">
        <v>6090</v>
      </c>
    </row>
    <row r="1263">
      <c r="B1263" s="19">
        <v>1255.0</v>
      </c>
      <c r="C1263" s="19" t="s">
        <v>6090</v>
      </c>
    </row>
    <row r="1264">
      <c r="B1264" s="19">
        <v>1256.0</v>
      </c>
      <c r="C1264" s="19" t="s">
        <v>6090</v>
      </c>
    </row>
    <row r="1265">
      <c r="B1265" s="19">
        <v>1257.0</v>
      </c>
      <c r="C1265" s="19" t="s">
        <v>6090</v>
      </c>
    </row>
    <row r="1266">
      <c r="B1266" s="19">
        <v>1258.0</v>
      </c>
      <c r="C1266" s="19" t="s">
        <v>6090</v>
      </c>
    </row>
    <row r="1267">
      <c r="B1267" s="19">
        <v>1259.0</v>
      </c>
      <c r="C1267" s="19" t="s">
        <v>6090</v>
      </c>
    </row>
    <row r="1268">
      <c r="B1268" s="19">
        <v>1260.0</v>
      </c>
      <c r="C1268" s="19" t="s">
        <v>6090</v>
      </c>
    </row>
    <row r="1269">
      <c r="B1269" s="19">
        <v>1261.0</v>
      </c>
      <c r="C1269" s="19" t="s">
        <v>6090</v>
      </c>
    </row>
    <row r="1270">
      <c r="B1270" s="19">
        <v>1262.0</v>
      </c>
      <c r="C1270" s="19" t="s">
        <v>6090</v>
      </c>
    </row>
    <row r="1271">
      <c r="B1271" s="19">
        <v>1263.0</v>
      </c>
      <c r="C1271" s="19" t="s">
        <v>6090</v>
      </c>
    </row>
    <row r="1272">
      <c r="B1272" s="19">
        <v>1264.0</v>
      </c>
      <c r="C1272" s="19" t="s">
        <v>6090</v>
      </c>
    </row>
    <row r="1273">
      <c r="B1273" s="19">
        <v>1265.0</v>
      </c>
      <c r="C1273" s="19" t="s">
        <v>6090</v>
      </c>
    </row>
    <row r="1274">
      <c r="B1274" s="19">
        <v>1266.0</v>
      </c>
      <c r="C1274" s="19" t="s">
        <v>6090</v>
      </c>
    </row>
    <row r="1275">
      <c r="B1275" s="19">
        <v>1267.0</v>
      </c>
      <c r="C1275" s="19" t="s">
        <v>6090</v>
      </c>
    </row>
    <row r="1276">
      <c r="B1276" s="19">
        <v>1268.0</v>
      </c>
      <c r="C1276" s="19" t="s">
        <v>6090</v>
      </c>
    </row>
    <row r="1277">
      <c r="B1277" s="19">
        <v>1269.0</v>
      </c>
      <c r="C1277" s="19" t="s">
        <v>6090</v>
      </c>
    </row>
    <row r="1278">
      <c r="B1278" s="19">
        <v>1270.0</v>
      </c>
      <c r="C1278" s="19" t="s">
        <v>6090</v>
      </c>
    </row>
    <row r="1279">
      <c r="B1279" s="19">
        <v>1271.0</v>
      </c>
      <c r="C1279" s="19" t="s">
        <v>6090</v>
      </c>
    </row>
    <row r="1280">
      <c r="B1280" s="19">
        <v>1272.0</v>
      </c>
      <c r="C1280" s="19" t="s">
        <v>6090</v>
      </c>
    </row>
    <row r="1281">
      <c r="B1281" s="19">
        <v>1273.0</v>
      </c>
      <c r="C1281" s="19" t="s">
        <v>6090</v>
      </c>
    </row>
    <row r="1282">
      <c r="B1282" s="19">
        <v>1274.0</v>
      </c>
      <c r="C1282" s="19" t="s">
        <v>6090</v>
      </c>
    </row>
    <row r="1283">
      <c r="B1283" s="19">
        <v>1275.0</v>
      </c>
      <c r="C1283" s="19" t="s">
        <v>6090</v>
      </c>
    </row>
    <row r="1284">
      <c r="B1284" s="19">
        <v>1276.0</v>
      </c>
      <c r="C1284" s="19" t="s">
        <v>6090</v>
      </c>
    </row>
    <row r="1285">
      <c r="B1285" s="19">
        <v>1277.0</v>
      </c>
      <c r="C1285" s="19" t="s">
        <v>6090</v>
      </c>
    </row>
    <row r="1286">
      <c r="B1286" s="19">
        <v>1278.0</v>
      </c>
      <c r="C1286" s="19" t="s">
        <v>6090</v>
      </c>
    </row>
    <row r="1287">
      <c r="B1287" s="19">
        <v>1279.0</v>
      </c>
      <c r="C1287" s="19" t="s">
        <v>6090</v>
      </c>
    </row>
    <row r="1288">
      <c r="B1288" s="19">
        <v>1280.0</v>
      </c>
      <c r="C1288" s="19" t="s">
        <v>6090</v>
      </c>
    </row>
    <row r="1289">
      <c r="B1289" s="19">
        <v>1281.0</v>
      </c>
      <c r="C1289" s="19" t="s">
        <v>6090</v>
      </c>
    </row>
    <row r="1290">
      <c r="B1290" s="19">
        <v>1282.0</v>
      </c>
      <c r="C1290" s="19" t="s">
        <v>6090</v>
      </c>
    </row>
    <row r="1291">
      <c r="B1291" s="19">
        <v>1283.0</v>
      </c>
      <c r="C1291" s="19" t="s">
        <v>6090</v>
      </c>
    </row>
    <row r="1292">
      <c r="B1292" s="19">
        <v>1284.0</v>
      </c>
      <c r="C1292" s="19" t="s">
        <v>6090</v>
      </c>
    </row>
    <row r="1293">
      <c r="B1293" s="19">
        <v>1285.0</v>
      </c>
      <c r="C1293" s="19" t="s">
        <v>6090</v>
      </c>
    </row>
    <row r="1294">
      <c r="B1294" s="19">
        <v>1286.0</v>
      </c>
      <c r="C1294" s="19" t="s">
        <v>6090</v>
      </c>
    </row>
    <row r="1295">
      <c r="B1295" s="19">
        <v>1287.0</v>
      </c>
      <c r="C1295" s="19" t="s">
        <v>6090</v>
      </c>
    </row>
    <row r="1296">
      <c r="B1296" s="19">
        <v>1288.0</v>
      </c>
      <c r="C1296" s="19" t="s">
        <v>6090</v>
      </c>
    </row>
    <row r="1297">
      <c r="B1297" s="19">
        <v>1289.0</v>
      </c>
      <c r="C1297" s="19" t="s">
        <v>6090</v>
      </c>
    </row>
    <row r="1298">
      <c r="B1298" s="19">
        <v>1290.0</v>
      </c>
      <c r="C1298" s="19" t="s">
        <v>6090</v>
      </c>
    </row>
    <row r="1299">
      <c r="B1299" s="19">
        <v>1291.0</v>
      </c>
      <c r="C1299" s="19" t="s">
        <v>6090</v>
      </c>
    </row>
    <row r="1300">
      <c r="B1300" s="19">
        <v>1292.0</v>
      </c>
      <c r="C1300" s="19" t="s">
        <v>6090</v>
      </c>
    </row>
    <row r="1301">
      <c r="B1301" s="19">
        <v>1293.0</v>
      </c>
      <c r="C1301" s="19" t="s">
        <v>6090</v>
      </c>
    </row>
    <row r="1302">
      <c r="B1302" s="19">
        <v>1294.0</v>
      </c>
      <c r="C1302" s="19" t="s">
        <v>6090</v>
      </c>
    </row>
    <row r="1303">
      <c r="B1303" s="19">
        <v>1295.0</v>
      </c>
      <c r="C1303" s="19" t="s">
        <v>6090</v>
      </c>
    </row>
    <row r="1304">
      <c r="B1304" s="19">
        <v>1296.0</v>
      </c>
      <c r="C1304" s="19" t="s">
        <v>6090</v>
      </c>
    </row>
    <row r="1305">
      <c r="B1305" s="19">
        <v>1297.0</v>
      </c>
      <c r="C1305" s="19" t="s">
        <v>6090</v>
      </c>
    </row>
    <row r="1306">
      <c r="B1306" s="19">
        <v>1298.0</v>
      </c>
      <c r="C1306" s="19" t="s">
        <v>6090</v>
      </c>
    </row>
    <row r="1307">
      <c r="B1307" s="19">
        <v>1299.0</v>
      </c>
      <c r="C1307" s="19" t="s">
        <v>6090</v>
      </c>
    </row>
    <row r="1308">
      <c r="B1308" s="19">
        <v>1300.0</v>
      </c>
      <c r="C1308" s="19" t="s">
        <v>6090</v>
      </c>
    </row>
    <row r="1309">
      <c r="B1309" s="19">
        <v>1301.0</v>
      </c>
      <c r="C1309" s="19" t="s">
        <v>6090</v>
      </c>
    </row>
    <row r="1310">
      <c r="B1310" s="19">
        <v>1302.0</v>
      </c>
      <c r="C1310" s="19" t="s">
        <v>6090</v>
      </c>
    </row>
    <row r="1311">
      <c r="B1311" s="19">
        <v>1303.0</v>
      </c>
      <c r="C1311" s="19" t="s">
        <v>6090</v>
      </c>
    </row>
    <row r="1312">
      <c r="B1312" s="19">
        <v>1304.0</v>
      </c>
      <c r="C1312" s="19" t="s">
        <v>6090</v>
      </c>
    </row>
    <row r="1313">
      <c r="B1313" s="19">
        <v>1305.0</v>
      </c>
      <c r="C1313" s="19" t="s">
        <v>6090</v>
      </c>
    </row>
    <row r="1314">
      <c r="B1314" s="19">
        <v>1306.0</v>
      </c>
      <c r="C1314" s="19" t="s">
        <v>6090</v>
      </c>
    </row>
    <row r="1315">
      <c r="B1315" s="19">
        <v>1307.0</v>
      </c>
      <c r="C1315" s="19" t="s">
        <v>6090</v>
      </c>
    </row>
    <row r="1316">
      <c r="B1316" s="19">
        <v>1308.0</v>
      </c>
      <c r="C1316" s="19" t="s">
        <v>6090</v>
      </c>
    </row>
    <row r="1317">
      <c r="B1317" s="19">
        <v>1309.0</v>
      </c>
      <c r="C1317" s="19" t="s">
        <v>6090</v>
      </c>
    </row>
    <row r="1318">
      <c r="B1318" s="19">
        <v>1310.0</v>
      </c>
      <c r="C1318" s="19" t="s">
        <v>6090</v>
      </c>
    </row>
    <row r="1319">
      <c r="B1319" s="19">
        <v>1311.0</v>
      </c>
      <c r="C1319" s="19" t="s">
        <v>6090</v>
      </c>
    </row>
    <row r="1320">
      <c r="B1320" s="19">
        <v>1312.0</v>
      </c>
      <c r="C1320" s="19" t="s">
        <v>6090</v>
      </c>
    </row>
    <row r="1321">
      <c r="B1321" s="19">
        <v>1313.0</v>
      </c>
      <c r="C1321" s="19" t="s">
        <v>6090</v>
      </c>
    </row>
    <row r="1322">
      <c r="B1322" s="19">
        <v>1314.0</v>
      </c>
      <c r="C1322" s="19" t="s">
        <v>6090</v>
      </c>
    </row>
    <row r="1323">
      <c r="B1323" s="19">
        <v>1315.0</v>
      </c>
      <c r="C1323" s="19" t="s">
        <v>6090</v>
      </c>
    </row>
    <row r="1324">
      <c r="B1324" s="19">
        <v>1316.0</v>
      </c>
      <c r="C1324" s="19" t="s">
        <v>6090</v>
      </c>
    </row>
    <row r="1325">
      <c r="B1325" s="19">
        <v>1317.0</v>
      </c>
      <c r="C1325" s="19" t="s">
        <v>6090</v>
      </c>
    </row>
    <row r="1326">
      <c r="B1326" s="19">
        <v>1318.0</v>
      </c>
      <c r="C1326" s="19" t="s">
        <v>6090</v>
      </c>
    </row>
    <row r="1327">
      <c r="B1327" s="19">
        <v>1319.0</v>
      </c>
      <c r="C1327" s="19" t="s">
        <v>6090</v>
      </c>
    </row>
    <row r="1328">
      <c r="B1328" s="19">
        <v>1320.0</v>
      </c>
      <c r="C1328" s="19" t="s">
        <v>6090</v>
      </c>
    </row>
    <row r="1329">
      <c r="B1329" s="19">
        <v>1321.0</v>
      </c>
      <c r="C1329" s="19" t="s">
        <v>6090</v>
      </c>
    </row>
    <row r="1330">
      <c r="B1330" s="19">
        <v>1322.0</v>
      </c>
      <c r="C1330" s="19" t="s">
        <v>6090</v>
      </c>
    </row>
    <row r="1331">
      <c r="B1331" s="19">
        <v>1323.0</v>
      </c>
      <c r="C1331" s="19" t="s">
        <v>6090</v>
      </c>
    </row>
    <row r="1332">
      <c r="B1332" s="19">
        <v>1324.0</v>
      </c>
      <c r="C1332" s="19" t="s">
        <v>6090</v>
      </c>
    </row>
    <row r="1333">
      <c r="B1333" s="19">
        <v>1325.0</v>
      </c>
      <c r="C1333" s="19" t="s">
        <v>6090</v>
      </c>
    </row>
    <row r="1334">
      <c r="B1334" s="19">
        <v>1326.0</v>
      </c>
      <c r="C1334" s="19" t="s">
        <v>6090</v>
      </c>
    </row>
    <row r="1335">
      <c r="B1335" s="19">
        <v>1327.0</v>
      </c>
      <c r="C1335" s="19" t="s">
        <v>6090</v>
      </c>
    </row>
    <row r="1336">
      <c r="B1336" s="19">
        <v>1328.0</v>
      </c>
      <c r="C1336" s="19" t="s">
        <v>6090</v>
      </c>
    </row>
    <row r="1337">
      <c r="B1337" s="19">
        <v>1329.0</v>
      </c>
      <c r="C1337" s="19" t="s">
        <v>6090</v>
      </c>
    </row>
    <row r="1338">
      <c r="B1338" s="19">
        <v>1330.0</v>
      </c>
      <c r="C1338" s="19" t="s">
        <v>6090</v>
      </c>
    </row>
    <row r="1339">
      <c r="B1339" s="19">
        <v>1331.0</v>
      </c>
      <c r="C1339" s="19" t="s">
        <v>6090</v>
      </c>
    </row>
    <row r="1340">
      <c r="B1340" s="19">
        <v>1332.0</v>
      </c>
      <c r="C1340" s="19" t="s">
        <v>6090</v>
      </c>
    </row>
    <row r="1341">
      <c r="B1341" s="19">
        <v>1333.0</v>
      </c>
      <c r="C1341" s="19" t="s">
        <v>6090</v>
      </c>
    </row>
    <row r="1342">
      <c r="B1342" s="19">
        <v>1334.0</v>
      </c>
      <c r="C1342" s="19" t="s">
        <v>6090</v>
      </c>
    </row>
    <row r="1343">
      <c r="B1343" s="19">
        <v>1335.0</v>
      </c>
      <c r="C1343" s="19" t="s">
        <v>6090</v>
      </c>
    </row>
    <row r="1344">
      <c r="B1344" s="19">
        <v>1336.0</v>
      </c>
      <c r="C1344" s="19" t="s">
        <v>6090</v>
      </c>
    </row>
    <row r="1345">
      <c r="B1345" s="19">
        <v>1337.0</v>
      </c>
      <c r="C1345" s="19" t="s">
        <v>6090</v>
      </c>
    </row>
    <row r="1346">
      <c r="B1346" s="19">
        <v>1338.0</v>
      </c>
      <c r="C1346" s="19" t="s">
        <v>6090</v>
      </c>
    </row>
    <row r="1347">
      <c r="B1347" s="19">
        <v>1339.0</v>
      </c>
      <c r="C1347" s="19" t="s">
        <v>6090</v>
      </c>
    </row>
    <row r="1348">
      <c r="B1348" s="19">
        <v>1340.0</v>
      </c>
      <c r="C1348" s="19" t="s">
        <v>6090</v>
      </c>
    </row>
    <row r="1349">
      <c r="B1349" s="19">
        <v>1341.0</v>
      </c>
      <c r="C1349" s="19" t="s">
        <v>6090</v>
      </c>
    </row>
    <row r="1350">
      <c r="B1350" s="19">
        <v>1342.0</v>
      </c>
      <c r="C1350" s="19" t="s">
        <v>6090</v>
      </c>
    </row>
    <row r="1351">
      <c r="B1351" s="19">
        <v>1343.0</v>
      </c>
      <c r="C1351" s="19" t="s">
        <v>6090</v>
      </c>
    </row>
    <row r="1352">
      <c r="B1352" s="19">
        <v>1344.0</v>
      </c>
      <c r="C1352" s="19" t="s">
        <v>6090</v>
      </c>
    </row>
    <row r="1353">
      <c r="B1353" s="19">
        <v>1345.0</v>
      </c>
      <c r="C1353" s="19" t="s">
        <v>6090</v>
      </c>
    </row>
    <row r="1354">
      <c r="B1354" s="19">
        <v>1346.0</v>
      </c>
      <c r="C1354" s="19" t="s">
        <v>6090</v>
      </c>
    </row>
    <row r="1355">
      <c r="B1355" s="19">
        <v>1347.0</v>
      </c>
      <c r="C1355" s="19" t="s">
        <v>6090</v>
      </c>
    </row>
    <row r="1356">
      <c r="B1356" s="19">
        <v>1348.0</v>
      </c>
      <c r="C1356" s="19" t="s">
        <v>6090</v>
      </c>
    </row>
    <row r="1357">
      <c r="B1357" s="19">
        <v>1349.0</v>
      </c>
      <c r="C1357" s="19" t="s">
        <v>6090</v>
      </c>
    </row>
    <row r="1358">
      <c r="B1358" s="19">
        <v>1350.0</v>
      </c>
      <c r="C1358" s="19" t="s">
        <v>6090</v>
      </c>
    </row>
    <row r="1359">
      <c r="B1359" s="19">
        <v>1351.0</v>
      </c>
      <c r="C1359" s="19" t="s">
        <v>6090</v>
      </c>
    </row>
    <row r="1360">
      <c r="B1360" s="19">
        <v>1352.0</v>
      </c>
      <c r="C1360" s="19" t="s">
        <v>6090</v>
      </c>
    </row>
    <row r="1361">
      <c r="B1361" s="19">
        <v>1353.0</v>
      </c>
      <c r="C1361" s="19" t="s">
        <v>6090</v>
      </c>
    </row>
    <row r="1362">
      <c r="B1362" s="19">
        <v>1354.0</v>
      </c>
      <c r="C1362" s="19" t="s">
        <v>6090</v>
      </c>
    </row>
    <row r="1363">
      <c r="B1363" s="19">
        <v>1355.0</v>
      </c>
      <c r="C1363" s="19" t="s">
        <v>6090</v>
      </c>
    </row>
    <row r="1364">
      <c r="B1364" s="19">
        <v>1356.0</v>
      </c>
      <c r="C1364" s="19" t="s">
        <v>6090</v>
      </c>
    </row>
    <row r="1365">
      <c r="B1365" s="19">
        <v>1357.0</v>
      </c>
      <c r="C1365" s="19" t="s">
        <v>6090</v>
      </c>
    </row>
    <row r="1366">
      <c r="B1366" s="19">
        <v>1358.0</v>
      </c>
      <c r="C1366" s="19" t="s">
        <v>6090</v>
      </c>
    </row>
    <row r="1367">
      <c r="B1367" s="19">
        <v>1359.0</v>
      </c>
      <c r="C1367" s="19" t="s">
        <v>6090</v>
      </c>
    </row>
    <row r="1368">
      <c r="B1368" s="19">
        <v>1360.0</v>
      </c>
      <c r="C1368" s="19" t="s">
        <v>6090</v>
      </c>
    </row>
    <row r="1369">
      <c r="B1369" s="19">
        <v>1361.0</v>
      </c>
      <c r="C1369" s="19" t="s">
        <v>6090</v>
      </c>
    </row>
    <row r="1370">
      <c r="B1370" s="19">
        <v>1362.0</v>
      </c>
      <c r="C1370" s="19" t="s">
        <v>6090</v>
      </c>
    </row>
    <row r="1371">
      <c r="B1371" s="19">
        <v>1363.0</v>
      </c>
      <c r="C1371" s="19" t="s">
        <v>6090</v>
      </c>
    </row>
    <row r="1372">
      <c r="B1372" s="19">
        <v>1364.0</v>
      </c>
      <c r="C1372" s="19" t="s">
        <v>6090</v>
      </c>
    </row>
    <row r="1373">
      <c r="B1373" s="19">
        <v>1365.0</v>
      </c>
      <c r="C1373" s="19" t="s">
        <v>6090</v>
      </c>
    </row>
    <row r="1374">
      <c r="B1374" s="19">
        <v>1366.0</v>
      </c>
      <c r="C1374" s="19" t="s">
        <v>6090</v>
      </c>
    </row>
    <row r="1375">
      <c r="B1375" s="19">
        <v>1367.0</v>
      </c>
      <c r="C1375" s="19" t="s">
        <v>6090</v>
      </c>
    </row>
    <row r="1376">
      <c r="B1376" s="19">
        <v>1368.0</v>
      </c>
      <c r="C1376" s="19" t="s">
        <v>6090</v>
      </c>
    </row>
    <row r="1377">
      <c r="B1377" s="19">
        <v>1369.0</v>
      </c>
      <c r="C1377" s="19" t="s">
        <v>6090</v>
      </c>
    </row>
    <row r="1378">
      <c r="B1378" s="19">
        <v>1370.0</v>
      </c>
      <c r="C1378" s="19" t="s">
        <v>6090</v>
      </c>
    </row>
    <row r="1379">
      <c r="B1379" s="19">
        <v>1371.0</v>
      </c>
      <c r="C1379" s="19" t="s">
        <v>6090</v>
      </c>
    </row>
    <row r="1380">
      <c r="B1380" s="19">
        <v>1372.0</v>
      </c>
      <c r="C1380" s="19" t="s">
        <v>6090</v>
      </c>
    </row>
    <row r="1381">
      <c r="B1381" s="19">
        <v>1373.0</v>
      </c>
      <c r="C1381" s="19" t="s">
        <v>6090</v>
      </c>
    </row>
    <row r="1382">
      <c r="B1382" s="19">
        <v>1374.0</v>
      </c>
      <c r="C1382" s="19" t="s">
        <v>6090</v>
      </c>
    </row>
    <row r="1383">
      <c r="B1383" s="19">
        <v>1375.0</v>
      </c>
      <c r="C1383" s="19" t="s">
        <v>6090</v>
      </c>
    </row>
    <row r="1384">
      <c r="B1384" s="19">
        <v>1376.0</v>
      </c>
      <c r="C1384" s="19" t="s">
        <v>6090</v>
      </c>
    </row>
    <row r="1385">
      <c r="B1385" s="19">
        <v>1377.0</v>
      </c>
      <c r="C1385" s="19" t="s">
        <v>6090</v>
      </c>
    </row>
    <row r="1386">
      <c r="B1386" s="19">
        <v>1378.0</v>
      </c>
      <c r="C1386" s="19" t="s">
        <v>6090</v>
      </c>
    </row>
    <row r="1387">
      <c r="B1387" s="19">
        <v>1379.0</v>
      </c>
      <c r="C1387" s="19" t="s">
        <v>6090</v>
      </c>
    </row>
    <row r="1388">
      <c r="B1388" s="19">
        <v>1380.0</v>
      </c>
      <c r="C1388" s="19" t="s">
        <v>6090</v>
      </c>
    </row>
    <row r="1389">
      <c r="B1389" s="19">
        <v>1381.0</v>
      </c>
      <c r="C1389" s="19" t="s">
        <v>6090</v>
      </c>
    </row>
    <row r="1390">
      <c r="B1390" s="19">
        <v>1382.0</v>
      </c>
      <c r="C1390" s="19" t="s">
        <v>6090</v>
      </c>
    </row>
    <row r="1391">
      <c r="B1391" s="19">
        <v>1383.0</v>
      </c>
      <c r="C1391" s="19" t="s">
        <v>6090</v>
      </c>
    </row>
    <row r="1392">
      <c r="B1392" s="19">
        <v>1384.0</v>
      </c>
      <c r="C1392" s="19" t="s">
        <v>6090</v>
      </c>
    </row>
    <row r="1393">
      <c r="B1393" s="19">
        <v>1385.0</v>
      </c>
      <c r="C1393" s="19" t="s">
        <v>6090</v>
      </c>
    </row>
    <row r="1394">
      <c r="B1394" s="19">
        <v>1386.0</v>
      </c>
      <c r="C1394" s="19" t="s">
        <v>6090</v>
      </c>
    </row>
    <row r="1395">
      <c r="B1395" s="19">
        <v>1387.0</v>
      </c>
      <c r="C1395" s="19" t="s">
        <v>6090</v>
      </c>
    </row>
    <row r="1396">
      <c r="B1396" s="19">
        <v>1388.0</v>
      </c>
      <c r="C1396" s="19" t="s">
        <v>6090</v>
      </c>
    </row>
    <row r="1397">
      <c r="B1397" s="19">
        <v>1389.0</v>
      </c>
      <c r="C1397" s="19" t="s">
        <v>6090</v>
      </c>
    </row>
    <row r="1398">
      <c r="B1398" s="19">
        <v>1390.0</v>
      </c>
      <c r="C1398" s="19" t="s">
        <v>6090</v>
      </c>
    </row>
    <row r="1399">
      <c r="B1399" s="19">
        <v>1391.0</v>
      </c>
      <c r="C1399" s="19" t="s">
        <v>6090</v>
      </c>
    </row>
    <row r="1400">
      <c r="B1400" s="19">
        <v>1392.0</v>
      </c>
      <c r="C1400" s="19" t="s">
        <v>6090</v>
      </c>
    </row>
    <row r="1401">
      <c r="B1401" s="19">
        <v>1393.0</v>
      </c>
      <c r="C1401" s="19" t="s">
        <v>6090</v>
      </c>
    </row>
    <row r="1402">
      <c r="B1402" s="19">
        <v>1394.0</v>
      </c>
      <c r="C1402" s="19" t="s">
        <v>6090</v>
      </c>
    </row>
    <row r="1403">
      <c r="B1403" s="19">
        <v>1395.0</v>
      </c>
      <c r="C1403" s="19" t="s">
        <v>6090</v>
      </c>
    </row>
    <row r="1404">
      <c r="B1404" s="19">
        <v>1396.0</v>
      </c>
      <c r="C1404" s="19" t="s">
        <v>6090</v>
      </c>
    </row>
    <row r="1405">
      <c r="B1405" s="19">
        <v>1397.0</v>
      </c>
      <c r="C1405" s="19" t="s">
        <v>6090</v>
      </c>
    </row>
    <row r="1406">
      <c r="B1406" s="19">
        <v>1398.0</v>
      </c>
      <c r="C1406" s="19" t="s">
        <v>6090</v>
      </c>
    </row>
    <row r="1407">
      <c r="B1407" s="19">
        <v>1399.0</v>
      </c>
      <c r="C1407" s="19" t="s">
        <v>6090</v>
      </c>
    </row>
    <row r="1408">
      <c r="B1408" s="19">
        <v>1400.0</v>
      </c>
      <c r="C1408" s="19" t="s">
        <v>6090</v>
      </c>
    </row>
    <row r="1409">
      <c r="B1409" s="19">
        <v>1401.0</v>
      </c>
      <c r="C1409" s="19" t="s">
        <v>6090</v>
      </c>
    </row>
    <row r="1410">
      <c r="B1410" s="19">
        <v>1402.0</v>
      </c>
      <c r="C1410" s="19" t="s">
        <v>6090</v>
      </c>
    </row>
    <row r="1411">
      <c r="B1411" s="19">
        <v>1403.0</v>
      </c>
      <c r="C1411" s="19" t="s">
        <v>6090</v>
      </c>
    </row>
    <row r="1412">
      <c r="B1412" s="19">
        <v>1404.0</v>
      </c>
      <c r="C1412" s="19" t="s">
        <v>6090</v>
      </c>
    </row>
    <row r="1413">
      <c r="B1413" s="19">
        <v>1405.0</v>
      </c>
      <c r="C1413" s="19" t="s">
        <v>6090</v>
      </c>
    </row>
    <row r="1414">
      <c r="B1414" s="19">
        <v>1406.0</v>
      </c>
      <c r="C1414" s="19" t="s">
        <v>6090</v>
      </c>
    </row>
    <row r="1415">
      <c r="B1415" s="19">
        <v>1407.0</v>
      </c>
      <c r="C1415" s="19" t="s">
        <v>6090</v>
      </c>
    </row>
    <row r="1416">
      <c r="B1416" s="19">
        <v>1408.0</v>
      </c>
      <c r="C1416" s="19" t="s">
        <v>6090</v>
      </c>
    </row>
    <row r="1417">
      <c r="B1417" s="19">
        <v>1409.0</v>
      </c>
      <c r="C1417" s="19" t="s">
        <v>6090</v>
      </c>
    </row>
    <row r="1418">
      <c r="B1418" s="19">
        <v>1410.0</v>
      </c>
      <c r="C1418" s="19" t="s">
        <v>6090</v>
      </c>
    </row>
    <row r="1419">
      <c r="B1419" s="19">
        <v>1411.0</v>
      </c>
      <c r="C1419" s="19" t="s">
        <v>6090</v>
      </c>
    </row>
    <row r="1420">
      <c r="B1420" s="19">
        <v>1412.0</v>
      </c>
      <c r="C1420" s="19" t="s">
        <v>6090</v>
      </c>
    </row>
    <row r="1421">
      <c r="B1421" s="19">
        <v>1413.0</v>
      </c>
      <c r="C1421" s="19" t="s">
        <v>6090</v>
      </c>
    </row>
    <row r="1422">
      <c r="B1422" s="19">
        <v>1414.0</v>
      </c>
      <c r="C1422" s="19" t="s">
        <v>6090</v>
      </c>
    </row>
    <row r="1423">
      <c r="B1423" s="19">
        <v>1415.0</v>
      </c>
      <c r="C1423" s="19" t="s">
        <v>6090</v>
      </c>
    </row>
    <row r="1424">
      <c r="B1424" s="19">
        <v>1416.0</v>
      </c>
      <c r="C1424" s="19" t="s">
        <v>6090</v>
      </c>
    </row>
    <row r="1425">
      <c r="B1425" s="19">
        <v>1417.0</v>
      </c>
      <c r="C1425" s="19" t="s">
        <v>6090</v>
      </c>
    </row>
    <row r="1426">
      <c r="B1426" s="19">
        <v>1418.0</v>
      </c>
      <c r="C1426" s="19" t="s">
        <v>6090</v>
      </c>
    </row>
    <row r="1427">
      <c r="B1427" s="19">
        <v>1419.0</v>
      </c>
      <c r="C1427" s="19" t="s">
        <v>6090</v>
      </c>
    </row>
    <row r="1428">
      <c r="B1428" s="19">
        <v>1420.0</v>
      </c>
      <c r="C1428" s="19" t="s">
        <v>6090</v>
      </c>
    </row>
    <row r="1429">
      <c r="B1429" s="19">
        <v>1421.0</v>
      </c>
      <c r="C1429" s="19" t="s">
        <v>6090</v>
      </c>
    </row>
    <row r="1430">
      <c r="B1430" s="19">
        <v>1422.0</v>
      </c>
      <c r="C1430" s="19" t="s">
        <v>6090</v>
      </c>
    </row>
    <row r="1431">
      <c r="B1431" s="19">
        <v>1423.0</v>
      </c>
      <c r="C1431" s="19" t="s">
        <v>6090</v>
      </c>
    </row>
    <row r="1432">
      <c r="B1432" s="19">
        <v>1424.0</v>
      </c>
      <c r="C1432" s="19" t="s">
        <v>6090</v>
      </c>
    </row>
    <row r="1433">
      <c r="B1433" s="19">
        <v>1425.0</v>
      </c>
      <c r="C1433" s="19" t="s">
        <v>6090</v>
      </c>
    </row>
    <row r="1434">
      <c r="B1434" s="19">
        <v>1426.0</v>
      </c>
      <c r="C1434" s="19" t="s">
        <v>6090</v>
      </c>
    </row>
    <row r="1435">
      <c r="B1435" s="19">
        <v>1427.0</v>
      </c>
      <c r="C1435" s="19" t="s">
        <v>6090</v>
      </c>
    </row>
    <row r="1436">
      <c r="B1436" s="19">
        <v>1428.0</v>
      </c>
      <c r="C1436" s="19" t="s">
        <v>6090</v>
      </c>
    </row>
    <row r="1437">
      <c r="B1437" s="19">
        <v>1429.0</v>
      </c>
      <c r="C1437" s="19" t="s">
        <v>6090</v>
      </c>
    </row>
    <row r="1438">
      <c r="B1438" s="19">
        <v>1430.0</v>
      </c>
      <c r="C1438" s="19" t="s">
        <v>6090</v>
      </c>
    </row>
    <row r="1439">
      <c r="B1439" s="19">
        <v>1431.0</v>
      </c>
      <c r="C1439" s="19" t="s">
        <v>6090</v>
      </c>
    </row>
    <row r="1440">
      <c r="B1440" s="19">
        <v>1432.0</v>
      </c>
      <c r="C1440" s="19" t="s">
        <v>6090</v>
      </c>
    </row>
    <row r="1441">
      <c r="B1441" s="19">
        <v>1433.0</v>
      </c>
      <c r="C1441" s="19" t="s">
        <v>6090</v>
      </c>
    </row>
    <row r="1442">
      <c r="B1442" s="19">
        <v>1434.0</v>
      </c>
      <c r="C1442" s="19" t="s">
        <v>6090</v>
      </c>
    </row>
    <row r="1443">
      <c r="B1443" s="19">
        <v>1435.0</v>
      </c>
      <c r="C1443" s="19" t="s">
        <v>6090</v>
      </c>
    </row>
    <row r="1444">
      <c r="B1444" s="19">
        <v>1436.0</v>
      </c>
      <c r="C1444" s="19" t="s">
        <v>6090</v>
      </c>
    </row>
    <row r="1445">
      <c r="B1445" s="19">
        <v>1437.0</v>
      </c>
      <c r="C1445" s="19" t="s">
        <v>6090</v>
      </c>
    </row>
    <row r="1446">
      <c r="B1446" s="19">
        <v>1438.0</v>
      </c>
      <c r="C1446" s="19" t="s">
        <v>6090</v>
      </c>
    </row>
    <row r="1447">
      <c r="B1447" s="19">
        <v>1439.0</v>
      </c>
      <c r="C1447" s="19" t="s">
        <v>6090</v>
      </c>
    </row>
    <row r="1448">
      <c r="B1448" s="19">
        <v>1440.0</v>
      </c>
      <c r="C1448" s="19" t="s">
        <v>6090</v>
      </c>
    </row>
    <row r="1449">
      <c r="B1449" s="19">
        <v>1441.0</v>
      </c>
      <c r="C1449" s="19" t="s">
        <v>6090</v>
      </c>
    </row>
    <row r="1450">
      <c r="B1450" s="19">
        <v>1442.0</v>
      </c>
      <c r="C1450" s="19" t="s">
        <v>6090</v>
      </c>
    </row>
    <row r="1451">
      <c r="B1451" s="19">
        <v>1443.0</v>
      </c>
      <c r="C1451" s="19" t="s">
        <v>6090</v>
      </c>
    </row>
    <row r="1452">
      <c r="B1452" s="19">
        <v>1444.0</v>
      </c>
      <c r="C1452" s="19" t="s">
        <v>6090</v>
      </c>
    </row>
    <row r="1453">
      <c r="B1453" s="19">
        <v>1445.0</v>
      </c>
      <c r="C1453" s="19" t="s">
        <v>6090</v>
      </c>
    </row>
    <row r="1454">
      <c r="B1454" s="19">
        <v>1446.0</v>
      </c>
      <c r="C1454" s="19" t="s">
        <v>6090</v>
      </c>
    </row>
    <row r="1455">
      <c r="B1455" s="19">
        <v>1447.0</v>
      </c>
      <c r="C1455" s="19" t="s">
        <v>6090</v>
      </c>
    </row>
    <row r="1456">
      <c r="B1456" s="19">
        <v>1448.0</v>
      </c>
      <c r="C1456" s="19" t="s">
        <v>6090</v>
      </c>
    </row>
    <row r="1457">
      <c r="B1457" s="19">
        <v>1449.0</v>
      </c>
      <c r="C1457" s="19" t="s">
        <v>6090</v>
      </c>
    </row>
    <row r="1458">
      <c r="B1458" s="19">
        <v>1450.0</v>
      </c>
      <c r="C1458" s="19" t="s">
        <v>6090</v>
      </c>
    </row>
    <row r="1459">
      <c r="B1459" s="19">
        <v>1451.0</v>
      </c>
      <c r="C1459" s="19" t="s">
        <v>6090</v>
      </c>
    </row>
    <row r="1460">
      <c r="B1460" s="19">
        <v>1452.0</v>
      </c>
      <c r="C1460" s="19" t="s">
        <v>6090</v>
      </c>
    </row>
    <row r="1461">
      <c r="B1461" s="19">
        <v>1453.0</v>
      </c>
      <c r="C1461" s="19" t="s">
        <v>6090</v>
      </c>
    </row>
    <row r="1462">
      <c r="B1462" s="19">
        <v>1454.0</v>
      </c>
      <c r="C1462" s="19" t="s">
        <v>6090</v>
      </c>
    </row>
    <row r="1463">
      <c r="B1463" s="19">
        <v>1455.0</v>
      </c>
      <c r="C1463" s="19" t="s">
        <v>6090</v>
      </c>
    </row>
    <row r="1464">
      <c r="B1464" s="19">
        <v>1456.0</v>
      </c>
      <c r="C1464" s="19" t="s">
        <v>6090</v>
      </c>
    </row>
    <row r="1465">
      <c r="B1465" s="19">
        <v>1457.0</v>
      </c>
      <c r="C1465" s="19" t="s">
        <v>6090</v>
      </c>
    </row>
    <row r="1466">
      <c r="B1466" s="19">
        <v>1458.0</v>
      </c>
      <c r="C1466" s="19" t="s">
        <v>6090</v>
      </c>
    </row>
    <row r="1467">
      <c r="B1467" s="19">
        <v>1459.0</v>
      </c>
      <c r="C1467" s="19" t="s">
        <v>6090</v>
      </c>
    </row>
    <row r="1468">
      <c r="B1468" s="19">
        <v>1460.0</v>
      </c>
      <c r="C1468" s="19" t="s">
        <v>6090</v>
      </c>
    </row>
    <row r="1469">
      <c r="B1469" s="19">
        <v>1461.0</v>
      </c>
      <c r="C1469" s="19" t="s">
        <v>6090</v>
      </c>
    </row>
    <row r="1470">
      <c r="B1470" s="19">
        <v>1462.0</v>
      </c>
      <c r="C1470" s="19" t="s">
        <v>6090</v>
      </c>
    </row>
    <row r="1471">
      <c r="B1471" s="19">
        <v>1463.0</v>
      </c>
      <c r="C1471" s="19" t="s">
        <v>6090</v>
      </c>
    </row>
    <row r="1472">
      <c r="B1472" s="19">
        <v>1464.0</v>
      </c>
      <c r="C1472" s="19" t="s">
        <v>6090</v>
      </c>
    </row>
    <row r="1473">
      <c r="B1473" s="19">
        <v>1465.0</v>
      </c>
      <c r="C1473" s="19" t="s">
        <v>6090</v>
      </c>
    </row>
    <row r="1474">
      <c r="B1474" s="19">
        <v>1466.0</v>
      </c>
      <c r="C1474" s="19" t="s">
        <v>6090</v>
      </c>
    </row>
    <row r="1475">
      <c r="B1475" s="19">
        <v>1467.0</v>
      </c>
      <c r="C1475" s="19" t="s">
        <v>6090</v>
      </c>
    </row>
    <row r="1476">
      <c r="B1476" s="19">
        <v>1468.0</v>
      </c>
      <c r="C1476" s="19" t="s">
        <v>6090</v>
      </c>
    </row>
    <row r="1477">
      <c r="B1477" s="19">
        <v>1469.0</v>
      </c>
      <c r="C1477" s="19" t="s">
        <v>6090</v>
      </c>
    </row>
    <row r="1478">
      <c r="B1478" s="19">
        <v>1470.0</v>
      </c>
      <c r="C1478" s="19" t="s">
        <v>6090</v>
      </c>
    </row>
    <row r="1479">
      <c r="B1479" s="19">
        <v>1471.0</v>
      </c>
      <c r="C1479" s="19" t="s">
        <v>6090</v>
      </c>
    </row>
    <row r="1480">
      <c r="B1480" s="19">
        <v>1472.0</v>
      </c>
      <c r="C1480" s="19" t="s">
        <v>6090</v>
      </c>
    </row>
    <row r="1481">
      <c r="B1481" s="19">
        <v>1473.0</v>
      </c>
      <c r="C1481" s="19" t="s">
        <v>6090</v>
      </c>
    </row>
    <row r="1482">
      <c r="B1482" s="19">
        <v>1474.0</v>
      </c>
      <c r="C1482" s="19" t="s">
        <v>6090</v>
      </c>
    </row>
    <row r="1483">
      <c r="B1483" s="19">
        <v>1475.0</v>
      </c>
      <c r="C1483" s="19" t="s">
        <v>6090</v>
      </c>
    </row>
    <row r="1484">
      <c r="B1484" s="19">
        <v>1476.0</v>
      </c>
      <c r="C1484" s="19" t="s">
        <v>6090</v>
      </c>
    </row>
    <row r="1485">
      <c r="B1485" s="19">
        <v>1477.0</v>
      </c>
      <c r="C1485" s="19" t="s">
        <v>6090</v>
      </c>
    </row>
    <row r="1486">
      <c r="B1486" s="19">
        <v>1478.0</v>
      </c>
      <c r="C1486" s="19" t="s">
        <v>6090</v>
      </c>
    </row>
    <row r="1487">
      <c r="B1487" s="19">
        <v>1479.0</v>
      </c>
      <c r="C1487" s="19" t="s">
        <v>6090</v>
      </c>
    </row>
    <row r="1488">
      <c r="B1488" s="19">
        <v>1480.0</v>
      </c>
      <c r="C1488" s="19" t="s">
        <v>6090</v>
      </c>
    </row>
    <row r="1489">
      <c r="B1489" s="19">
        <v>1481.0</v>
      </c>
      <c r="C1489" s="19" t="s">
        <v>6090</v>
      </c>
    </row>
    <row r="1490">
      <c r="B1490" s="19">
        <v>1482.0</v>
      </c>
      <c r="C1490" s="19" t="s">
        <v>6090</v>
      </c>
    </row>
    <row r="1491">
      <c r="B1491" s="19">
        <v>1483.0</v>
      </c>
      <c r="C1491" s="19" t="s">
        <v>6090</v>
      </c>
    </row>
    <row r="1492">
      <c r="B1492" s="19">
        <v>1484.0</v>
      </c>
      <c r="C1492" s="19" t="s">
        <v>6090</v>
      </c>
    </row>
    <row r="1493">
      <c r="B1493" s="19">
        <v>1485.0</v>
      </c>
      <c r="C1493" s="19" t="s">
        <v>6090</v>
      </c>
    </row>
    <row r="1494">
      <c r="B1494" s="19">
        <v>1486.0</v>
      </c>
      <c r="C1494" s="19" t="s">
        <v>6090</v>
      </c>
    </row>
    <row r="1495">
      <c r="B1495" s="19">
        <v>1487.0</v>
      </c>
      <c r="C1495" s="19" t="s">
        <v>6090</v>
      </c>
    </row>
    <row r="1496">
      <c r="B1496" s="19">
        <v>1488.0</v>
      </c>
      <c r="C1496" s="19" t="s">
        <v>6090</v>
      </c>
    </row>
    <row r="1497">
      <c r="B1497" s="19">
        <v>1489.0</v>
      </c>
      <c r="C1497" s="19" t="s">
        <v>6090</v>
      </c>
    </row>
    <row r="1498">
      <c r="B1498" s="19">
        <v>1490.0</v>
      </c>
      <c r="C1498" s="19" t="s">
        <v>6090</v>
      </c>
    </row>
    <row r="1499">
      <c r="B1499" s="19">
        <v>1491.0</v>
      </c>
      <c r="C1499" s="19" t="s">
        <v>6090</v>
      </c>
    </row>
    <row r="1500">
      <c r="B1500" s="19">
        <v>1492.0</v>
      </c>
      <c r="C1500" s="19" t="s">
        <v>6090</v>
      </c>
    </row>
    <row r="1501">
      <c r="B1501" s="19">
        <v>1493.0</v>
      </c>
      <c r="C1501" s="19" t="s">
        <v>6090</v>
      </c>
    </row>
    <row r="1502">
      <c r="B1502" s="19">
        <v>1494.0</v>
      </c>
      <c r="C1502" s="19" t="s">
        <v>6090</v>
      </c>
    </row>
    <row r="1503">
      <c r="B1503" s="19">
        <v>1495.0</v>
      </c>
      <c r="C1503" s="19" t="s">
        <v>6090</v>
      </c>
    </row>
    <row r="1504">
      <c r="B1504" s="19">
        <v>1496.0</v>
      </c>
      <c r="C1504" s="19" t="s">
        <v>6090</v>
      </c>
    </row>
    <row r="1505">
      <c r="B1505" s="19">
        <v>1497.0</v>
      </c>
      <c r="C1505" s="19" t="s">
        <v>6090</v>
      </c>
    </row>
    <row r="1506">
      <c r="B1506" s="19">
        <v>1498.0</v>
      </c>
      <c r="C1506" s="19" t="s">
        <v>6090</v>
      </c>
    </row>
    <row r="1507">
      <c r="B1507" s="19">
        <v>1499.0</v>
      </c>
      <c r="C1507" s="19" t="s">
        <v>6090</v>
      </c>
    </row>
    <row r="1508">
      <c r="B1508" s="19">
        <v>1500.0</v>
      </c>
      <c r="C1508" s="19" t="s">
        <v>6090</v>
      </c>
    </row>
    <row r="1509">
      <c r="B1509" s="19">
        <v>1501.0</v>
      </c>
      <c r="C1509" s="19" t="s">
        <v>6090</v>
      </c>
    </row>
    <row r="1510">
      <c r="B1510" s="19">
        <v>1502.0</v>
      </c>
      <c r="C1510" s="19" t="s">
        <v>6090</v>
      </c>
    </row>
    <row r="1511">
      <c r="B1511" s="19">
        <v>1503.0</v>
      </c>
      <c r="C1511" s="19" t="s">
        <v>6090</v>
      </c>
    </row>
    <row r="1512">
      <c r="B1512" s="19">
        <v>1504.0</v>
      </c>
      <c r="C1512" s="19" t="s">
        <v>6090</v>
      </c>
    </row>
    <row r="1513">
      <c r="B1513" s="19">
        <v>1505.0</v>
      </c>
      <c r="C1513" s="19" t="s">
        <v>6090</v>
      </c>
    </row>
    <row r="1514">
      <c r="B1514" s="19">
        <v>1506.0</v>
      </c>
      <c r="C1514" s="19" t="s">
        <v>6090</v>
      </c>
    </row>
    <row r="1515">
      <c r="B1515" s="19">
        <v>1507.0</v>
      </c>
      <c r="C1515" s="19" t="s">
        <v>6090</v>
      </c>
    </row>
    <row r="1516">
      <c r="B1516" s="19">
        <v>1508.0</v>
      </c>
      <c r="C1516" s="19" t="s">
        <v>6090</v>
      </c>
    </row>
    <row r="1517">
      <c r="B1517" s="19">
        <v>1509.0</v>
      </c>
      <c r="C1517" s="19" t="s">
        <v>6090</v>
      </c>
    </row>
    <row r="1518">
      <c r="B1518" s="19">
        <v>1510.0</v>
      </c>
      <c r="C1518" s="19" t="s">
        <v>6090</v>
      </c>
    </row>
    <row r="1519">
      <c r="B1519" s="19">
        <v>1511.0</v>
      </c>
      <c r="C1519" s="19" t="s">
        <v>6090</v>
      </c>
    </row>
    <row r="1520">
      <c r="B1520" s="19">
        <v>1512.0</v>
      </c>
      <c r="C1520" s="19" t="s">
        <v>6090</v>
      </c>
    </row>
    <row r="1521">
      <c r="B1521" s="19">
        <v>1513.0</v>
      </c>
      <c r="C1521" s="19" t="s">
        <v>6090</v>
      </c>
    </row>
    <row r="1522">
      <c r="B1522" s="19">
        <v>1514.0</v>
      </c>
      <c r="C1522" s="19" t="s">
        <v>6090</v>
      </c>
    </row>
    <row r="1523">
      <c r="B1523" s="19">
        <v>1515.0</v>
      </c>
      <c r="C1523" s="19" t="s">
        <v>6090</v>
      </c>
    </row>
    <row r="1524">
      <c r="B1524" s="19">
        <v>1516.0</v>
      </c>
      <c r="C1524" s="19" t="s">
        <v>6090</v>
      </c>
    </row>
    <row r="1525">
      <c r="B1525" s="19">
        <v>1517.0</v>
      </c>
      <c r="C1525" s="19" t="s">
        <v>6090</v>
      </c>
    </row>
    <row r="1526">
      <c r="B1526" s="19">
        <v>1518.0</v>
      </c>
      <c r="C1526" s="19" t="s">
        <v>6090</v>
      </c>
    </row>
    <row r="1527">
      <c r="B1527" s="19">
        <v>1519.0</v>
      </c>
      <c r="C1527" s="19" t="s">
        <v>6090</v>
      </c>
    </row>
    <row r="1528">
      <c r="B1528" s="19">
        <v>1520.0</v>
      </c>
      <c r="C1528" s="19" t="s">
        <v>6090</v>
      </c>
    </row>
    <row r="1529">
      <c r="B1529" s="19">
        <v>1521.0</v>
      </c>
      <c r="C1529" s="19" t="s">
        <v>6090</v>
      </c>
    </row>
    <row r="1530">
      <c r="B1530" s="19">
        <v>1522.0</v>
      </c>
      <c r="C1530" s="19" t="s">
        <v>6090</v>
      </c>
    </row>
    <row r="1531">
      <c r="B1531" s="19">
        <v>1523.0</v>
      </c>
      <c r="C1531" s="19" t="s">
        <v>6090</v>
      </c>
    </row>
    <row r="1532">
      <c r="B1532" s="19">
        <v>1524.0</v>
      </c>
      <c r="C1532" s="19" t="s">
        <v>6090</v>
      </c>
    </row>
    <row r="1533">
      <c r="B1533" s="19">
        <v>1525.0</v>
      </c>
      <c r="C1533" s="19" t="s">
        <v>6090</v>
      </c>
    </row>
    <row r="1534">
      <c r="B1534" s="19">
        <v>1526.0</v>
      </c>
      <c r="C1534" s="19" t="s">
        <v>6090</v>
      </c>
    </row>
    <row r="1535">
      <c r="B1535" s="19">
        <v>1527.0</v>
      </c>
      <c r="C1535" s="19" t="s">
        <v>6090</v>
      </c>
    </row>
    <row r="1536">
      <c r="B1536" s="19">
        <v>1528.0</v>
      </c>
      <c r="C1536" s="19" t="s">
        <v>6090</v>
      </c>
    </row>
    <row r="1537">
      <c r="B1537" s="19">
        <v>1529.0</v>
      </c>
      <c r="C1537" s="19" t="s">
        <v>6090</v>
      </c>
    </row>
    <row r="1538">
      <c r="B1538" s="19">
        <v>1530.0</v>
      </c>
      <c r="C1538" s="19" t="s">
        <v>6090</v>
      </c>
    </row>
    <row r="1539">
      <c r="B1539" s="19">
        <v>1531.0</v>
      </c>
      <c r="C1539" s="19" t="s">
        <v>6090</v>
      </c>
    </row>
    <row r="1540">
      <c r="B1540" s="19">
        <v>1532.0</v>
      </c>
      <c r="C1540" s="19" t="s">
        <v>6090</v>
      </c>
    </row>
    <row r="1541">
      <c r="B1541" s="19">
        <v>1533.0</v>
      </c>
      <c r="C1541" s="19" t="s">
        <v>6090</v>
      </c>
    </row>
    <row r="1542">
      <c r="B1542" s="19">
        <v>1534.0</v>
      </c>
      <c r="C1542" s="19" t="s">
        <v>6090</v>
      </c>
    </row>
    <row r="1543">
      <c r="B1543" s="19">
        <v>1535.0</v>
      </c>
      <c r="C1543" s="19" t="s">
        <v>6090</v>
      </c>
    </row>
    <row r="1544">
      <c r="B1544" s="19">
        <v>1536.0</v>
      </c>
      <c r="C1544" s="19" t="s">
        <v>6090</v>
      </c>
    </row>
    <row r="1545">
      <c r="B1545" s="19">
        <v>1537.0</v>
      </c>
      <c r="C1545" s="19" t="s">
        <v>6090</v>
      </c>
    </row>
    <row r="1546">
      <c r="B1546" s="19">
        <v>1538.0</v>
      </c>
      <c r="C1546" s="19" t="s">
        <v>6090</v>
      </c>
    </row>
    <row r="1547">
      <c r="B1547" s="19">
        <v>1539.0</v>
      </c>
      <c r="C1547" s="19" t="s">
        <v>6090</v>
      </c>
    </row>
    <row r="1548">
      <c r="B1548" s="19">
        <v>1540.0</v>
      </c>
      <c r="C1548" s="19" t="s">
        <v>6090</v>
      </c>
    </row>
    <row r="1549">
      <c r="B1549" s="19">
        <v>1541.0</v>
      </c>
      <c r="C1549" s="19" t="s">
        <v>6090</v>
      </c>
    </row>
    <row r="1550">
      <c r="B1550" s="19">
        <v>1542.0</v>
      </c>
      <c r="C1550" s="19" t="s">
        <v>6090</v>
      </c>
    </row>
    <row r="1551">
      <c r="B1551" s="19">
        <v>1543.0</v>
      </c>
      <c r="C1551" s="19" t="s">
        <v>6090</v>
      </c>
    </row>
    <row r="1552">
      <c r="B1552" s="19">
        <v>1544.0</v>
      </c>
      <c r="C1552" s="19" t="s">
        <v>6090</v>
      </c>
    </row>
    <row r="1553">
      <c r="B1553" s="19">
        <v>1545.0</v>
      </c>
      <c r="C1553" s="19" t="s">
        <v>6090</v>
      </c>
    </row>
    <row r="1554">
      <c r="B1554" s="19">
        <v>1546.0</v>
      </c>
      <c r="C1554" s="19" t="s">
        <v>6090</v>
      </c>
    </row>
    <row r="1555">
      <c r="B1555" s="19">
        <v>1547.0</v>
      </c>
      <c r="C1555" s="19" t="s">
        <v>6090</v>
      </c>
    </row>
    <row r="1556">
      <c r="B1556" s="19">
        <v>1548.0</v>
      </c>
      <c r="C1556" s="19" t="s">
        <v>6090</v>
      </c>
    </row>
    <row r="1557">
      <c r="B1557" s="19">
        <v>1549.0</v>
      </c>
      <c r="C1557" s="19" t="s">
        <v>6090</v>
      </c>
    </row>
    <row r="1558">
      <c r="B1558" s="19">
        <v>1550.0</v>
      </c>
      <c r="C1558" s="19" t="s">
        <v>6090</v>
      </c>
    </row>
    <row r="1559">
      <c r="B1559" s="19">
        <v>1551.0</v>
      </c>
      <c r="C1559" s="19" t="s">
        <v>6090</v>
      </c>
    </row>
    <row r="1560">
      <c r="B1560" s="19">
        <v>1552.0</v>
      </c>
      <c r="C1560" s="19" t="s">
        <v>6090</v>
      </c>
    </row>
    <row r="1561">
      <c r="B1561" s="19">
        <v>1553.0</v>
      </c>
      <c r="C1561" s="19" t="s">
        <v>6090</v>
      </c>
    </row>
    <row r="1562">
      <c r="B1562" s="19">
        <v>1554.0</v>
      </c>
      <c r="C1562" s="19" t="s">
        <v>6090</v>
      </c>
    </row>
    <row r="1563">
      <c r="B1563" s="19">
        <v>1555.0</v>
      </c>
      <c r="C1563" s="19" t="s">
        <v>6090</v>
      </c>
    </row>
    <row r="1564">
      <c r="B1564" s="19">
        <v>1556.0</v>
      </c>
      <c r="C1564" s="19" t="s">
        <v>6090</v>
      </c>
    </row>
    <row r="1565">
      <c r="B1565" s="19">
        <v>1557.0</v>
      </c>
      <c r="C1565" s="19" t="s">
        <v>6090</v>
      </c>
    </row>
    <row r="1566">
      <c r="B1566" s="19">
        <v>1558.0</v>
      </c>
      <c r="C1566" s="19" t="s">
        <v>6090</v>
      </c>
    </row>
    <row r="1567">
      <c r="B1567" s="19">
        <v>1559.0</v>
      </c>
      <c r="C1567" s="19" t="s">
        <v>6090</v>
      </c>
    </row>
    <row r="1568">
      <c r="B1568" s="19">
        <v>1560.0</v>
      </c>
      <c r="C1568" s="19" t="s">
        <v>6090</v>
      </c>
    </row>
    <row r="1569">
      <c r="B1569" s="19">
        <v>1561.0</v>
      </c>
      <c r="C1569" s="19" t="s">
        <v>6090</v>
      </c>
    </row>
    <row r="1570">
      <c r="B1570" s="19">
        <v>1562.0</v>
      </c>
      <c r="C1570" s="19" t="s">
        <v>6090</v>
      </c>
    </row>
    <row r="1571">
      <c r="B1571" s="19">
        <v>1563.0</v>
      </c>
      <c r="C1571" s="19" t="s">
        <v>6090</v>
      </c>
    </row>
    <row r="1572">
      <c r="B1572" s="19">
        <v>1564.0</v>
      </c>
      <c r="C1572" s="19" t="s">
        <v>6090</v>
      </c>
    </row>
    <row r="1573">
      <c r="B1573" s="19">
        <v>1565.0</v>
      </c>
      <c r="C1573" s="19" t="s">
        <v>6090</v>
      </c>
    </row>
    <row r="1574">
      <c r="B1574" s="19">
        <v>1566.0</v>
      </c>
      <c r="C1574" s="19" t="s">
        <v>6090</v>
      </c>
    </row>
    <row r="1575">
      <c r="B1575" s="19">
        <v>1567.0</v>
      </c>
      <c r="C1575" s="19" t="s">
        <v>6090</v>
      </c>
    </row>
    <row r="1576">
      <c r="B1576" s="19">
        <v>1568.0</v>
      </c>
      <c r="C1576" s="19" t="s">
        <v>6090</v>
      </c>
    </row>
    <row r="1577">
      <c r="B1577" s="19">
        <v>1569.0</v>
      </c>
      <c r="C1577" s="19" t="s">
        <v>6090</v>
      </c>
    </row>
    <row r="1578">
      <c r="B1578" s="19">
        <v>1570.0</v>
      </c>
      <c r="C1578" s="19" t="s">
        <v>6090</v>
      </c>
    </row>
    <row r="1579">
      <c r="B1579" s="19">
        <v>1571.0</v>
      </c>
      <c r="C1579" s="19" t="s">
        <v>6090</v>
      </c>
    </row>
    <row r="1580">
      <c r="B1580" s="19">
        <v>1572.0</v>
      </c>
      <c r="C1580" s="19" t="s">
        <v>6090</v>
      </c>
    </row>
    <row r="1581">
      <c r="B1581" s="19">
        <v>1573.0</v>
      </c>
      <c r="C1581" s="19" t="s">
        <v>6090</v>
      </c>
    </row>
    <row r="1582">
      <c r="B1582" s="19">
        <v>1574.0</v>
      </c>
      <c r="C1582" s="19" t="s">
        <v>6090</v>
      </c>
    </row>
    <row r="1583">
      <c r="B1583" s="19">
        <v>1575.0</v>
      </c>
      <c r="C1583" s="19" t="s">
        <v>6090</v>
      </c>
    </row>
    <row r="1584">
      <c r="B1584" s="19">
        <v>1576.0</v>
      </c>
      <c r="C1584" s="19" t="s">
        <v>6090</v>
      </c>
    </row>
    <row r="1585">
      <c r="B1585" s="19">
        <v>1577.0</v>
      </c>
      <c r="C1585" s="19" t="s">
        <v>6090</v>
      </c>
    </row>
    <row r="1586">
      <c r="B1586" s="19">
        <v>1578.0</v>
      </c>
      <c r="C1586" s="19" t="s">
        <v>6090</v>
      </c>
    </row>
    <row r="1587">
      <c r="B1587" s="19">
        <v>1579.0</v>
      </c>
      <c r="C1587" s="19" t="s">
        <v>6090</v>
      </c>
    </row>
    <row r="1588">
      <c r="B1588" s="19">
        <v>1580.0</v>
      </c>
      <c r="C1588" s="19" t="s">
        <v>6090</v>
      </c>
    </row>
    <row r="1589">
      <c r="B1589" s="19">
        <v>1581.0</v>
      </c>
      <c r="C1589" s="19" t="s">
        <v>6090</v>
      </c>
    </row>
    <row r="1590">
      <c r="B1590" s="19">
        <v>1582.0</v>
      </c>
      <c r="C1590" s="19" t="s">
        <v>6090</v>
      </c>
    </row>
    <row r="1591">
      <c r="B1591" s="19">
        <v>1583.0</v>
      </c>
      <c r="C1591" s="19" t="s">
        <v>6090</v>
      </c>
    </row>
    <row r="1592">
      <c r="B1592" s="19">
        <v>1584.0</v>
      </c>
      <c r="C1592" s="19" t="s">
        <v>6090</v>
      </c>
    </row>
    <row r="1593">
      <c r="B1593" s="19">
        <v>1585.0</v>
      </c>
      <c r="C1593" s="19" t="s">
        <v>6090</v>
      </c>
    </row>
    <row r="1594">
      <c r="B1594" s="19">
        <v>1586.0</v>
      </c>
      <c r="C1594" s="19" t="s">
        <v>6090</v>
      </c>
    </row>
    <row r="1595">
      <c r="B1595" s="19">
        <v>1587.0</v>
      </c>
      <c r="C1595" s="19" t="s">
        <v>6090</v>
      </c>
    </row>
    <row r="1596">
      <c r="B1596" s="19">
        <v>1588.0</v>
      </c>
      <c r="C1596" s="19" t="s">
        <v>6090</v>
      </c>
    </row>
    <row r="1597">
      <c r="B1597" s="19">
        <v>1589.0</v>
      </c>
      <c r="C1597" s="19" t="s">
        <v>6090</v>
      </c>
    </row>
    <row r="1598">
      <c r="B1598" s="19">
        <v>1590.0</v>
      </c>
      <c r="C1598" s="19" t="s">
        <v>6090</v>
      </c>
    </row>
    <row r="1599">
      <c r="B1599" s="19">
        <v>1591.0</v>
      </c>
      <c r="C1599" s="19" t="s">
        <v>6090</v>
      </c>
    </row>
    <row r="1600">
      <c r="B1600" s="19">
        <v>1592.0</v>
      </c>
      <c r="C1600" s="19" t="s">
        <v>6090</v>
      </c>
    </row>
    <row r="1601">
      <c r="B1601" s="19">
        <v>1593.0</v>
      </c>
      <c r="C1601" s="19" t="s">
        <v>6090</v>
      </c>
    </row>
    <row r="1602">
      <c r="B1602" s="19">
        <v>1594.0</v>
      </c>
      <c r="C1602" s="19" t="s">
        <v>6090</v>
      </c>
    </row>
    <row r="1603">
      <c r="B1603" s="19">
        <v>1595.0</v>
      </c>
      <c r="C1603" s="19" t="s">
        <v>6090</v>
      </c>
    </row>
    <row r="1604">
      <c r="B1604" s="19">
        <v>1596.0</v>
      </c>
      <c r="C1604" s="19" t="s">
        <v>6090</v>
      </c>
    </row>
    <row r="1605">
      <c r="B1605" s="19">
        <v>1597.0</v>
      </c>
      <c r="C1605" s="19" t="s">
        <v>6090</v>
      </c>
    </row>
    <row r="1606">
      <c r="B1606" s="19">
        <v>1598.0</v>
      </c>
      <c r="C1606" s="19" t="s">
        <v>6090</v>
      </c>
    </row>
    <row r="1607">
      <c r="B1607" s="19">
        <v>1599.0</v>
      </c>
      <c r="C1607" s="19" t="s">
        <v>6090</v>
      </c>
    </row>
    <row r="1608">
      <c r="B1608" s="19">
        <v>1600.0</v>
      </c>
      <c r="C1608" s="19" t="s">
        <v>6090</v>
      </c>
    </row>
    <row r="1609">
      <c r="B1609" s="19">
        <v>1601.0</v>
      </c>
      <c r="C1609" s="19" t="s">
        <v>6090</v>
      </c>
    </row>
    <row r="1610">
      <c r="B1610" s="19">
        <v>1602.0</v>
      </c>
      <c r="C1610" s="19" t="s">
        <v>6090</v>
      </c>
    </row>
    <row r="1611">
      <c r="B1611" s="19">
        <v>1603.0</v>
      </c>
      <c r="C1611" s="19" t="s">
        <v>6090</v>
      </c>
    </row>
    <row r="1612">
      <c r="B1612" s="19">
        <v>1604.0</v>
      </c>
      <c r="C1612" s="19" t="s">
        <v>6090</v>
      </c>
    </row>
    <row r="1613">
      <c r="B1613" s="19">
        <v>1605.0</v>
      </c>
      <c r="C1613" s="19" t="s">
        <v>6090</v>
      </c>
    </row>
    <row r="1614">
      <c r="B1614" s="19">
        <v>1606.0</v>
      </c>
      <c r="C1614" s="19" t="s">
        <v>6090</v>
      </c>
    </row>
    <row r="1615">
      <c r="B1615" s="19">
        <v>1607.0</v>
      </c>
      <c r="C1615" s="19" t="s">
        <v>6090</v>
      </c>
    </row>
    <row r="1616">
      <c r="B1616" s="19">
        <v>1608.0</v>
      </c>
      <c r="C1616" s="19" t="s">
        <v>6090</v>
      </c>
    </row>
    <row r="1617">
      <c r="B1617" s="19">
        <v>1609.0</v>
      </c>
      <c r="C1617" s="19" t="s">
        <v>6090</v>
      </c>
    </row>
    <row r="1618">
      <c r="B1618" s="19">
        <v>1610.0</v>
      </c>
      <c r="C1618" s="19" t="s">
        <v>6090</v>
      </c>
    </row>
    <row r="1619">
      <c r="B1619" s="19">
        <v>1611.0</v>
      </c>
      <c r="C1619" s="19" t="s">
        <v>6090</v>
      </c>
    </row>
    <row r="1620">
      <c r="B1620" s="19">
        <v>1612.0</v>
      </c>
      <c r="C1620" s="19" t="s">
        <v>6090</v>
      </c>
    </row>
    <row r="1621">
      <c r="B1621" s="19">
        <v>1613.0</v>
      </c>
      <c r="C1621" s="19" t="s">
        <v>6090</v>
      </c>
    </row>
    <row r="1622">
      <c r="B1622" s="19">
        <v>1614.0</v>
      </c>
      <c r="C1622" s="19" t="s">
        <v>6090</v>
      </c>
    </row>
    <row r="1623">
      <c r="B1623" s="19">
        <v>1615.0</v>
      </c>
      <c r="C1623" s="19" t="s">
        <v>6090</v>
      </c>
    </row>
    <row r="1624">
      <c r="B1624" s="19">
        <v>1616.0</v>
      </c>
      <c r="C1624" s="19" t="s">
        <v>6090</v>
      </c>
    </row>
    <row r="1625">
      <c r="B1625" s="19">
        <v>1617.0</v>
      </c>
      <c r="C1625" s="19" t="s">
        <v>6090</v>
      </c>
    </row>
    <row r="1626">
      <c r="B1626" s="19">
        <v>1618.0</v>
      </c>
      <c r="C1626" s="19" t="s">
        <v>6090</v>
      </c>
    </row>
    <row r="1627">
      <c r="B1627" s="19">
        <v>1619.0</v>
      </c>
      <c r="C1627" s="19" t="s">
        <v>6090</v>
      </c>
    </row>
    <row r="1628">
      <c r="B1628" s="19">
        <v>1620.0</v>
      </c>
      <c r="C1628" s="19" t="s">
        <v>6090</v>
      </c>
    </row>
    <row r="1629">
      <c r="B1629" s="19">
        <v>1621.0</v>
      </c>
      <c r="C1629" s="19" t="s">
        <v>6090</v>
      </c>
    </row>
    <row r="1630">
      <c r="B1630" s="19">
        <v>1622.0</v>
      </c>
      <c r="C1630" s="19" t="s">
        <v>6090</v>
      </c>
    </row>
    <row r="1631">
      <c r="B1631" s="19">
        <v>1623.0</v>
      </c>
      <c r="C1631" s="19" t="s">
        <v>6090</v>
      </c>
    </row>
    <row r="1632">
      <c r="B1632" s="19">
        <v>1624.0</v>
      </c>
      <c r="C1632" s="19" t="s">
        <v>6090</v>
      </c>
    </row>
    <row r="1633">
      <c r="B1633" s="19">
        <v>1625.0</v>
      </c>
      <c r="C1633" s="19" t="s">
        <v>6090</v>
      </c>
    </row>
    <row r="1634">
      <c r="B1634" s="19">
        <v>1626.0</v>
      </c>
      <c r="C1634" s="19" t="s">
        <v>6090</v>
      </c>
    </row>
    <row r="1635">
      <c r="B1635" s="19">
        <v>1627.0</v>
      </c>
      <c r="C1635" s="19" t="s">
        <v>6090</v>
      </c>
    </row>
    <row r="1636">
      <c r="B1636" s="19">
        <v>1628.0</v>
      </c>
      <c r="C1636" s="19" t="s">
        <v>6090</v>
      </c>
    </row>
    <row r="1637">
      <c r="B1637" s="19">
        <v>1629.0</v>
      </c>
      <c r="C1637" s="19" t="s">
        <v>6090</v>
      </c>
    </row>
    <row r="1638">
      <c r="B1638" s="19">
        <v>1630.0</v>
      </c>
      <c r="C1638" s="19" t="s">
        <v>6090</v>
      </c>
    </row>
    <row r="1639">
      <c r="B1639" s="19">
        <v>1631.0</v>
      </c>
      <c r="C1639" s="19" t="s">
        <v>6090</v>
      </c>
    </row>
    <row r="1640">
      <c r="B1640" s="19">
        <v>1632.0</v>
      </c>
      <c r="C1640" s="19" t="s">
        <v>6090</v>
      </c>
    </row>
    <row r="1641">
      <c r="B1641" s="19">
        <v>1633.0</v>
      </c>
      <c r="C1641" s="19" t="s">
        <v>6090</v>
      </c>
    </row>
    <row r="1642">
      <c r="B1642" s="19">
        <v>1634.0</v>
      </c>
      <c r="C1642" s="19" t="s">
        <v>6090</v>
      </c>
    </row>
    <row r="1643">
      <c r="B1643" s="19">
        <v>1635.0</v>
      </c>
      <c r="C1643" s="19" t="s">
        <v>6090</v>
      </c>
    </row>
    <row r="1644">
      <c r="B1644" s="19">
        <v>1636.0</v>
      </c>
      <c r="C1644" s="19" t="s">
        <v>6090</v>
      </c>
    </row>
    <row r="1645">
      <c r="B1645" s="19">
        <v>1637.0</v>
      </c>
      <c r="C1645" s="19" t="s">
        <v>6090</v>
      </c>
    </row>
    <row r="1646">
      <c r="B1646" s="19">
        <v>1638.0</v>
      </c>
      <c r="C1646" s="19" t="s">
        <v>6090</v>
      </c>
    </row>
    <row r="1647">
      <c r="B1647" s="19">
        <v>1639.0</v>
      </c>
      <c r="C1647" s="19" t="s">
        <v>6090</v>
      </c>
    </row>
    <row r="1648">
      <c r="B1648" s="19">
        <v>1640.0</v>
      </c>
      <c r="C1648" s="19" t="s">
        <v>6090</v>
      </c>
    </row>
    <row r="1649">
      <c r="B1649" s="19">
        <v>1641.0</v>
      </c>
      <c r="C1649" s="19" t="s">
        <v>6090</v>
      </c>
    </row>
    <row r="1650">
      <c r="B1650" s="19">
        <v>1642.0</v>
      </c>
      <c r="C1650" s="19" t="s">
        <v>6090</v>
      </c>
    </row>
    <row r="1651">
      <c r="B1651" s="19">
        <v>1643.0</v>
      </c>
      <c r="C1651" s="19" t="s">
        <v>6090</v>
      </c>
    </row>
    <row r="1652">
      <c r="B1652" s="19">
        <v>1644.0</v>
      </c>
      <c r="C1652" s="19" t="s">
        <v>6090</v>
      </c>
    </row>
    <row r="1653">
      <c r="B1653" s="19">
        <v>1645.0</v>
      </c>
      <c r="C1653" s="19" t="s">
        <v>6090</v>
      </c>
    </row>
    <row r="1654">
      <c r="B1654" s="19">
        <v>1646.0</v>
      </c>
      <c r="C1654" s="19" t="s">
        <v>6090</v>
      </c>
    </row>
    <row r="1655">
      <c r="B1655" s="19">
        <v>1647.0</v>
      </c>
      <c r="C1655" s="19" t="s">
        <v>6090</v>
      </c>
    </row>
    <row r="1656">
      <c r="B1656" s="19">
        <v>1648.0</v>
      </c>
      <c r="C1656" s="19" t="s">
        <v>6090</v>
      </c>
    </row>
    <row r="1657">
      <c r="B1657" s="19">
        <v>1649.0</v>
      </c>
      <c r="C1657" s="19" t="s">
        <v>6090</v>
      </c>
    </row>
    <row r="1658">
      <c r="B1658" s="19">
        <v>1650.0</v>
      </c>
      <c r="C1658" s="19" t="s">
        <v>6090</v>
      </c>
    </row>
    <row r="1659">
      <c r="B1659" s="19">
        <v>1651.0</v>
      </c>
      <c r="C1659" s="19" t="s">
        <v>6090</v>
      </c>
    </row>
    <row r="1660">
      <c r="B1660" s="19">
        <v>1652.0</v>
      </c>
      <c r="C1660" s="19" t="s">
        <v>6090</v>
      </c>
    </row>
    <row r="1661">
      <c r="B1661" s="19">
        <v>1653.0</v>
      </c>
      <c r="C1661" s="19" t="s">
        <v>6090</v>
      </c>
    </row>
    <row r="1662">
      <c r="B1662" s="19">
        <v>1654.0</v>
      </c>
      <c r="C1662" s="19" t="s">
        <v>6090</v>
      </c>
    </row>
    <row r="1663">
      <c r="B1663" s="19">
        <v>1655.0</v>
      </c>
      <c r="C1663" s="19" t="s">
        <v>6090</v>
      </c>
    </row>
    <row r="1664">
      <c r="B1664" s="19">
        <v>1656.0</v>
      </c>
      <c r="C1664" s="19" t="s">
        <v>6090</v>
      </c>
    </row>
    <row r="1665">
      <c r="B1665" s="19">
        <v>1657.0</v>
      </c>
      <c r="C1665" s="19" t="s">
        <v>6090</v>
      </c>
    </row>
    <row r="1666">
      <c r="B1666" s="19">
        <v>1658.0</v>
      </c>
      <c r="C1666" s="19" t="s">
        <v>6090</v>
      </c>
    </row>
    <row r="1667">
      <c r="B1667" s="19">
        <v>1659.0</v>
      </c>
      <c r="C1667" s="19" t="s">
        <v>6090</v>
      </c>
    </row>
    <row r="1668">
      <c r="B1668" s="19">
        <v>1660.0</v>
      </c>
      <c r="C1668" s="19" t="s">
        <v>6090</v>
      </c>
    </row>
    <row r="1669">
      <c r="B1669" s="19">
        <v>1661.0</v>
      </c>
      <c r="C1669" s="19" t="s">
        <v>6090</v>
      </c>
    </row>
    <row r="1670">
      <c r="B1670" s="19">
        <v>1662.0</v>
      </c>
      <c r="C1670" s="19" t="s">
        <v>6090</v>
      </c>
    </row>
    <row r="1671">
      <c r="B1671" s="19">
        <v>1663.0</v>
      </c>
      <c r="C1671" s="19" t="s">
        <v>6090</v>
      </c>
    </row>
    <row r="1672">
      <c r="B1672" s="19">
        <v>1664.0</v>
      </c>
      <c r="C1672" s="19" t="s">
        <v>6090</v>
      </c>
    </row>
    <row r="1673">
      <c r="B1673" s="19">
        <v>1665.0</v>
      </c>
      <c r="C1673" s="19" t="s">
        <v>6090</v>
      </c>
    </row>
    <row r="1674">
      <c r="B1674" s="19">
        <v>1666.0</v>
      </c>
      <c r="C1674" s="19" t="s">
        <v>6090</v>
      </c>
    </row>
    <row r="1675">
      <c r="B1675" s="19">
        <v>1667.0</v>
      </c>
      <c r="C1675" s="19" t="s">
        <v>6090</v>
      </c>
    </row>
    <row r="1676">
      <c r="B1676" s="19">
        <v>1668.0</v>
      </c>
      <c r="C1676" s="19" t="s">
        <v>6090</v>
      </c>
    </row>
    <row r="1677">
      <c r="B1677" s="19">
        <v>1669.0</v>
      </c>
      <c r="C1677" s="19" t="s">
        <v>6090</v>
      </c>
    </row>
    <row r="1678">
      <c r="B1678" s="19">
        <v>1670.0</v>
      </c>
      <c r="C1678" s="19" t="s">
        <v>6090</v>
      </c>
    </row>
    <row r="1679">
      <c r="B1679" s="19">
        <v>1671.0</v>
      </c>
      <c r="C1679" s="19" t="s">
        <v>6090</v>
      </c>
    </row>
    <row r="1680">
      <c r="B1680" s="19">
        <v>1672.0</v>
      </c>
      <c r="C1680" s="19" t="s">
        <v>6090</v>
      </c>
    </row>
    <row r="1681">
      <c r="B1681" s="19">
        <v>1673.0</v>
      </c>
      <c r="C1681" s="19" t="s">
        <v>6090</v>
      </c>
    </row>
    <row r="1682">
      <c r="B1682" s="19">
        <v>1674.0</v>
      </c>
      <c r="C1682" s="19" t="s">
        <v>6090</v>
      </c>
    </row>
    <row r="1683">
      <c r="B1683" s="19">
        <v>1675.0</v>
      </c>
      <c r="C1683" s="19" t="s">
        <v>6090</v>
      </c>
    </row>
    <row r="1684">
      <c r="B1684" s="19">
        <v>1676.0</v>
      </c>
      <c r="C1684" s="19" t="s">
        <v>6090</v>
      </c>
    </row>
    <row r="1685">
      <c r="B1685" s="19">
        <v>1677.0</v>
      </c>
      <c r="C1685" s="19" t="s">
        <v>6090</v>
      </c>
    </row>
    <row r="1686">
      <c r="B1686" s="19">
        <v>1678.0</v>
      </c>
      <c r="C1686" s="19" t="s">
        <v>6090</v>
      </c>
    </row>
    <row r="1687">
      <c r="B1687" s="19">
        <v>1679.0</v>
      </c>
      <c r="C1687" s="19" t="s">
        <v>6090</v>
      </c>
    </row>
    <row r="1688">
      <c r="B1688" s="19">
        <v>1680.0</v>
      </c>
      <c r="C1688" s="19" t="s">
        <v>6090</v>
      </c>
    </row>
    <row r="1689">
      <c r="B1689" s="19">
        <v>1681.0</v>
      </c>
      <c r="C1689" s="19" t="s">
        <v>6090</v>
      </c>
    </row>
    <row r="1690">
      <c r="B1690" s="19">
        <v>1682.0</v>
      </c>
      <c r="C1690" s="19" t="s">
        <v>6090</v>
      </c>
    </row>
    <row r="1691">
      <c r="B1691" s="19">
        <v>1683.0</v>
      </c>
      <c r="C1691" s="19" t="s">
        <v>6090</v>
      </c>
    </row>
    <row r="1692">
      <c r="B1692" s="19">
        <v>1684.0</v>
      </c>
      <c r="C1692" s="19" t="s">
        <v>6090</v>
      </c>
    </row>
    <row r="1693">
      <c r="B1693" s="19">
        <v>1685.0</v>
      </c>
      <c r="C1693" s="19" t="s">
        <v>6090</v>
      </c>
    </row>
    <row r="1694">
      <c r="B1694" s="19">
        <v>1686.0</v>
      </c>
      <c r="C1694" s="19" t="s">
        <v>6090</v>
      </c>
    </row>
    <row r="1695">
      <c r="B1695" s="19">
        <v>1687.0</v>
      </c>
      <c r="C1695" s="19" t="s">
        <v>6090</v>
      </c>
    </row>
    <row r="1696">
      <c r="B1696" s="19">
        <v>1688.0</v>
      </c>
      <c r="C1696" s="19" t="s">
        <v>6090</v>
      </c>
    </row>
    <row r="1697">
      <c r="B1697" s="19">
        <v>1689.0</v>
      </c>
      <c r="C1697" s="19" t="s">
        <v>6090</v>
      </c>
    </row>
    <row r="1698">
      <c r="B1698" s="19">
        <v>1690.0</v>
      </c>
      <c r="C1698" s="19" t="s">
        <v>6090</v>
      </c>
    </row>
    <row r="1699">
      <c r="B1699" s="19">
        <v>1691.0</v>
      </c>
      <c r="C1699" s="19" t="s">
        <v>6090</v>
      </c>
    </row>
    <row r="1700">
      <c r="B1700" s="19">
        <v>1692.0</v>
      </c>
      <c r="C1700" s="19" t="s">
        <v>6090</v>
      </c>
    </row>
    <row r="1701">
      <c r="B1701" s="19">
        <v>1693.0</v>
      </c>
      <c r="C1701" s="19" t="s">
        <v>6090</v>
      </c>
    </row>
    <row r="1702">
      <c r="B1702" s="19">
        <v>1694.0</v>
      </c>
      <c r="C1702" s="19" t="s">
        <v>6090</v>
      </c>
    </row>
    <row r="1703">
      <c r="B1703" s="19">
        <v>1695.0</v>
      </c>
      <c r="C1703" s="19" t="s">
        <v>6090</v>
      </c>
    </row>
    <row r="1704">
      <c r="B1704" s="19">
        <v>1696.0</v>
      </c>
      <c r="C1704" s="19" t="s">
        <v>6090</v>
      </c>
    </row>
    <row r="1705">
      <c r="B1705" s="19">
        <v>1697.0</v>
      </c>
      <c r="C1705" s="19" t="s">
        <v>6090</v>
      </c>
    </row>
    <row r="1706">
      <c r="B1706" s="19">
        <v>1698.0</v>
      </c>
      <c r="C1706" s="19" t="s">
        <v>6090</v>
      </c>
    </row>
    <row r="1707">
      <c r="B1707" s="19">
        <v>1699.0</v>
      </c>
      <c r="C1707" s="19" t="s">
        <v>6090</v>
      </c>
    </row>
    <row r="1708">
      <c r="B1708" s="19">
        <v>1700.0</v>
      </c>
      <c r="C1708" s="19" t="s">
        <v>6090</v>
      </c>
    </row>
    <row r="1709">
      <c r="B1709" s="19">
        <v>1701.0</v>
      </c>
      <c r="C1709" s="19" t="s">
        <v>6090</v>
      </c>
    </row>
    <row r="1710">
      <c r="B1710" s="19">
        <v>1702.0</v>
      </c>
      <c r="C1710" s="19" t="s">
        <v>6090</v>
      </c>
    </row>
    <row r="1711">
      <c r="B1711" s="19">
        <v>1703.0</v>
      </c>
      <c r="C1711" s="19" t="s">
        <v>6090</v>
      </c>
    </row>
    <row r="1712">
      <c r="B1712" s="19">
        <v>1704.0</v>
      </c>
      <c r="C1712" s="19" t="s">
        <v>6090</v>
      </c>
    </row>
    <row r="1713">
      <c r="B1713" s="19">
        <v>1705.0</v>
      </c>
      <c r="C1713" s="19" t="s">
        <v>6090</v>
      </c>
    </row>
    <row r="1714">
      <c r="B1714" s="19">
        <v>1706.0</v>
      </c>
      <c r="C1714" s="19" t="s">
        <v>6090</v>
      </c>
    </row>
    <row r="1715">
      <c r="B1715" s="19">
        <v>1707.0</v>
      </c>
      <c r="C1715" s="19" t="s">
        <v>6090</v>
      </c>
    </row>
    <row r="1716">
      <c r="B1716" s="19">
        <v>1708.0</v>
      </c>
      <c r="C1716" s="19" t="s">
        <v>6090</v>
      </c>
    </row>
    <row r="1717">
      <c r="B1717" s="19">
        <v>1709.0</v>
      </c>
      <c r="C1717" s="19" t="s">
        <v>6090</v>
      </c>
    </row>
    <row r="1718">
      <c r="B1718" s="19">
        <v>1710.0</v>
      </c>
      <c r="C1718" s="19" t="s">
        <v>6090</v>
      </c>
    </row>
    <row r="1719">
      <c r="B1719" s="19">
        <v>1711.0</v>
      </c>
      <c r="C1719" s="19" t="s">
        <v>6090</v>
      </c>
    </row>
    <row r="1720">
      <c r="B1720" s="19">
        <v>1712.0</v>
      </c>
      <c r="C1720" s="19" t="s">
        <v>6090</v>
      </c>
    </row>
    <row r="1721">
      <c r="B1721" s="19">
        <v>1713.0</v>
      </c>
      <c r="C1721" s="19" t="s">
        <v>6090</v>
      </c>
    </row>
    <row r="1722">
      <c r="B1722" s="19">
        <v>1714.0</v>
      </c>
      <c r="C1722" s="19" t="s">
        <v>6090</v>
      </c>
    </row>
    <row r="1723">
      <c r="B1723" s="19">
        <v>1715.0</v>
      </c>
      <c r="C1723" s="19" t="s">
        <v>6090</v>
      </c>
    </row>
    <row r="1724">
      <c r="B1724" s="19">
        <v>1716.0</v>
      </c>
      <c r="C1724" s="19" t="s">
        <v>6090</v>
      </c>
    </row>
    <row r="1725">
      <c r="B1725" s="19">
        <v>1717.0</v>
      </c>
      <c r="C1725" s="19" t="s">
        <v>6090</v>
      </c>
    </row>
    <row r="1726">
      <c r="B1726" s="19">
        <v>1718.0</v>
      </c>
      <c r="C1726" s="19" t="s">
        <v>6090</v>
      </c>
    </row>
    <row r="1727">
      <c r="B1727" s="19">
        <v>1719.0</v>
      </c>
      <c r="C1727" s="19" t="s">
        <v>6090</v>
      </c>
    </row>
    <row r="1728">
      <c r="B1728" s="19">
        <v>1720.0</v>
      </c>
      <c r="C1728" s="19" t="s">
        <v>6090</v>
      </c>
    </row>
    <row r="1729">
      <c r="B1729" s="19">
        <v>1721.0</v>
      </c>
      <c r="C1729" s="19" t="s">
        <v>6090</v>
      </c>
    </row>
    <row r="1730">
      <c r="B1730" s="19">
        <v>1722.0</v>
      </c>
      <c r="C1730" s="19" t="s">
        <v>6090</v>
      </c>
    </row>
    <row r="1731">
      <c r="B1731" s="19">
        <v>1723.0</v>
      </c>
      <c r="C1731" s="19" t="s">
        <v>6090</v>
      </c>
    </row>
    <row r="1732">
      <c r="B1732" s="19">
        <v>1724.0</v>
      </c>
      <c r="C1732" s="19" t="s">
        <v>6090</v>
      </c>
    </row>
    <row r="1733">
      <c r="B1733" s="19">
        <v>1725.0</v>
      </c>
      <c r="C1733" s="19" t="s">
        <v>6090</v>
      </c>
    </row>
    <row r="1734">
      <c r="B1734" s="19">
        <v>1726.0</v>
      </c>
      <c r="C1734" s="19" t="s">
        <v>6090</v>
      </c>
    </row>
    <row r="1735">
      <c r="B1735" s="19">
        <v>1727.0</v>
      </c>
      <c r="C1735" s="19" t="s">
        <v>6090</v>
      </c>
    </row>
    <row r="1736">
      <c r="B1736" s="19">
        <v>1728.0</v>
      </c>
      <c r="C1736" s="19" t="s">
        <v>6090</v>
      </c>
    </row>
    <row r="1737">
      <c r="B1737" s="19">
        <v>1729.0</v>
      </c>
      <c r="C1737" s="19" t="s">
        <v>6090</v>
      </c>
    </row>
    <row r="1738">
      <c r="B1738" s="19">
        <v>1730.0</v>
      </c>
      <c r="C1738" s="19" t="s">
        <v>6090</v>
      </c>
    </row>
    <row r="1739">
      <c r="B1739" s="19">
        <v>1731.0</v>
      </c>
      <c r="C1739" s="19" t="s">
        <v>6090</v>
      </c>
    </row>
    <row r="1740">
      <c r="B1740" s="19">
        <v>1732.0</v>
      </c>
      <c r="C1740" s="19" t="s">
        <v>6090</v>
      </c>
    </row>
    <row r="1741">
      <c r="B1741" s="19">
        <v>1733.0</v>
      </c>
      <c r="C1741" s="19" t="s">
        <v>6090</v>
      </c>
    </row>
    <row r="1742">
      <c r="B1742" s="19">
        <v>1734.0</v>
      </c>
      <c r="C1742" s="19" t="s">
        <v>6090</v>
      </c>
    </row>
    <row r="1743">
      <c r="B1743" s="19">
        <v>1735.0</v>
      </c>
      <c r="C1743" s="19" t="s">
        <v>6090</v>
      </c>
    </row>
    <row r="1744">
      <c r="B1744" s="19">
        <v>1736.0</v>
      </c>
      <c r="C1744" s="19" t="s">
        <v>6090</v>
      </c>
    </row>
    <row r="1745">
      <c r="B1745" s="19">
        <v>1737.0</v>
      </c>
      <c r="C1745" s="19" t="s">
        <v>6090</v>
      </c>
    </row>
    <row r="1746">
      <c r="B1746" s="19">
        <v>1738.0</v>
      </c>
      <c r="C1746" s="19" t="s">
        <v>6090</v>
      </c>
    </row>
    <row r="1747">
      <c r="B1747" s="19">
        <v>1739.0</v>
      </c>
      <c r="C1747" s="19" t="s">
        <v>6090</v>
      </c>
    </row>
    <row r="1748">
      <c r="B1748" s="19">
        <v>1740.0</v>
      </c>
      <c r="C1748" s="19" t="s">
        <v>6090</v>
      </c>
    </row>
    <row r="1749">
      <c r="B1749" s="19">
        <v>1741.0</v>
      </c>
      <c r="C1749" s="19" t="s">
        <v>6090</v>
      </c>
    </row>
    <row r="1750">
      <c r="B1750" s="19">
        <v>1742.0</v>
      </c>
      <c r="C1750" s="19" t="s">
        <v>6090</v>
      </c>
    </row>
    <row r="1751">
      <c r="B1751" s="19">
        <v>1743.0</v>
      </c>
      <c r="C1751" s="19" t="s">
        <v>6090</v>
      </c>
    </row>
    <row r="1752">
      <c r="B1752" s="19">
        <v>1744.0</v>
      </c>
      <c r="C1752" s="19" t="s">
        <v>6090</v>
      </c>
    </row>
    <row r="1753">
      <c r="B1753" s="19">
        <v>1745.0</v>
      </c>
      <c r="C1753" s="19" t="s">
        <v>6090</v>
      </c>
    </row>
    <row r="1754">
      <c r="B1754" s="19">
        <v>1746.0</v>
      </c>
      <c r="C1754" s="19" t="s">
        <v>6090</v>
      </c>
    </row>
    <row r="1755">
      <c r="B1755" s="19">
        <v>1747.0</v>
      </c>
      <c r="C1755" s="19" t="s">
        <v>6090</v>
      </c>
    </row>
    <row r="1756">
      <c r="B1756" s="19">
        <v>1748.0</v>
      </c>
      <c r="C1756" s="19" t="s">
        <v>6090</v>
      </c>
    </row>
    <row r="1757">
      <c r="B1757" s="19">
        <v>1749.0</v>
      </c>
      <c r="C1757" s="19" t="s">
        <v>6090</v>
      </c>
    </row>
    <row r="1758">
      <c r="B1758" s="19">
        <v>1750.0</v>
      </c>
      <c r="C1758" s="19" t="s">
        <v>6090</v>
      </c>
    </row>
    <row r="1759">
      <c r="B1759" s="19">
        <v>1751.0</v>
      </c>
      <c r="C1759" s="19" t="s">
        <v>6090</v>
      </c>
    </row>
    <row r="1760">
      <c r="B1760" s="19">
        <v>1752.0</v>
      </c>
      <c r="C1760" s="19" t="s">
        <v>6090</v>
      </c>
    </row>
    <row r="1761">
      <c r="B1761" s="19">
        <v>1753.0</v>
      </c>
      <c r="C1761" s="19" t="s">
        <v>6090</v>
      </c>
    </row>
    <row r="1762">
      <c r="B1762" s="19">
        <v>1754.0</v>
      </c>
      <c r="C1762" s="19" t="s">
        <v>6090</v>
      </c>
    </row>
    <row r="1763">
      <c r="B1763" s="19">
        <v>1755.0</v>
      </c>
      <c r="C1763" s="19" t="s">
        <v>6090</v>
      </c>
    </row>
    <row r="1764">
      <c r="B1764" s="19">
        <v>1756.0</v>
      </c>
      <c r="C1764" s="19" t="s">
        <v>6090</v>
      </c>
    </row>
    <row r="1765">
      <c r="B1765" s="19">
        <v>1757.0</v>
      </c>
      <c r="C1765" s="19" t="s">
        <v>6090</v>
      </c>
    </row>
    <row r="1766">
      <c r="B1766" s="19">
        <v>1758.0</v>
      </c>
      <c r="C1766" s="19" t="s">
        <v>6090</v>
      </c>
    </row>
    <row r="1767">
      <c r="B1767" s="19">
        <v>1759.0</v>
      </c>
      <c r="C1767" s="19" t="s">
        <v>6090</v>
      </c>
    </row>
    <row r="1768">
      <c r="B1768" s="19">
        <v>1760.0</v>
      </c>
      <c r="C1768" s="19" t="s">
        <v>6090</v>
      </c>
    </row>
    <row r="1769">
      <c r="B1769" s="19">
        <v>1761.0</v>
      </c>
      <c r="C1769" s="19" t="s">
        <v>6090</v>
      </c>
    </row>
    <row r="1770">
      <c r="B1770" s="19">
        <v>1762.0</v>
      </c>
      <c r="C1770" s="19" t="s">
        <v>6090</v>
      </c>
    </row>
    <row r="1771">
      <c r="B1771" s="19">
        <v>1763.0</v>
      </c>
      <c r="C1771" s="19" t="s">
        <v>6090</v>
      </c>
    </row>
    <row r="1772">
      <c r="B1772" s="19">
        <v>1764.0</v>
      </c>
      <c r="C1772" s="19" t="s">
        <v>6090</v>
      </c>
    </row>
    <row r="1773">
      <c r="B1773" s="19">
        <v>1765.0</v>
      </c>
      <c r="C1773" s="19" t="s">
        <v>6090</v>
      </c>
    </row>
    <row r="1774">
      <c r="B1774" s="19">
        <v>1766.0</v>
      </c>
      <c r="C1774" s="19" t="s">
        <v>6090</v>
      </c>
    </row>
    <row r="1775">
      <c r="B1775" s="19">
        <v>1767.0</v>
      </c>
      <c r="C1775" s="19" t="s">
        <v>6090</v>
      </c>
    </row>
    <row r="1776">
      <c r="B1776" s="19">
        <v>1768.0</v>
      </c>
      <c r="C1776" s="19" t="s">
        <v>6090</v>
      </c>
    </row>
    <row r="1777">
      <c r="B1777" s="19">
        <v>1769.0</v>
      </c>
      <c r="C1777" s="19" t="s">
        <v>6090</v>
      </c>
    </row>
    <row r="1778">
      <c r="B1778" s="19">
        <v>1770.0</v>
      </c>
      <c r="C1778" s="19" t="s">
        <v>6090</v>
      </c>
    </row>
    <row r="1779">
      <c r="B1779" s="19">
        <v>1771.0</v>
      </c>
      <c r="C1779" s="19" t="s">
        <v>6090</v>
      </c>
    </row>
    <row r="1780">
      <c r="B1780" s="19">
        <v>1772.0</v>
      </c>
      <c r="C1780" s="19" t="s">
        <v>6090</v>
      </c>
    </row>
    <row r="1781">
      <c r="B1781" s="19">
        <v>1773.0</v>
      </c>
      <c r="C1781" s="19" t="s">
        <v>6090</v>
      </c>
    </row>
    <row r="1782">
      <c r="B1782" s="19">
        <v>1774.0</v>
      </c>
      <c r="C1782" s="19" t="s">
        <v>6090</v>
      </c>
    </row>
    <row r="1783">
      <c r="B1783" s="19">
        <v>1775.0</v>
      </c>
      <c r="C1783" s="19" t="s">
        <v>6090</v>
      </c>
    </row>
    <row r="1784">
      <c r="B1784" s="19">
        <v>1776.0</v>
      </c>
      <c r="C1784" s="19" t="s">
        <v>6090</v>
      </c>
    </row>
    <row r="1785">
      <c r="B1785" s="19">
        <v>1777.0</v>
      </c>
      <c r="C1785" s="19" t="s">
        <v>6090</v>
      </c>
    </row>
    <row r="1786">
      <c r="B1786" s="19">
        <v>1778.0</v>
      </c>
      <c r="C1786" s="19" t="s">
        <v>6090</v>
      </c>
    </row>
    <row r="1787">
      <c r="B1787" s="19">
        <v>1779.0</v>
      </c>
      <c r="C1787" s="19" t="s">
        <v>6090</v>
      </c>
    </row>
    <row r="1788">
      <c r="B1788" s="19">
        <v>1780.0</v>
      </c>
      <c r="C1788" s="19" t="s">
        <v>6090</v>
      </c>
    </row>
    <row r="1789">
      <c r="B1789" s="19">
        <v>1781.0</v>
      </c>
      <c r="C1789" s="19" t="s">
        <v>6090</v>
      </c>
    </row>
    <row r="1790">
      <c r="B1790" s="19">
        <v>1782.0</v>
      </c>
      <c r="C1790" s="19" t="s">
        <v>6090</v>
      </c>
    </row>
    <row r="1791">
      <c r="B1791" s="19">
        <v>1783.0</v>
      </c>
      <c r="C1791" s="19" t="s">
        <v>6090</v>
      </c>
    </row>
    <row r="1792">
      <c r="B1792" s="19">
        <v>1784.0</v>
      </c>
      <c r="C1792" s="19" t="s">
        <v>6090</v>
      </c>
    </row>
    <row r="1793">
      <c r="B1793" s="19">
        <v>1785.0</v>
      </c>
      <c r="C1793" s="19" t="s">
        <v>6090</v>
      </c>
    </row>
    <row r="1794">
      <c r="B1794" s="19">
        <v>1786.0</v>
      </c>
      <c r="C1794" s="19" t="s">
        <v>6090</v>
      </c>
    </row>
    <row r="1795">
      <c r="B1795" s="19">
        <v>1787.0</v>
      </c>
      <c r="C1795" s="19" t="s">
        <v>6090</v>
      </c>
    </row>
    <row r="1796">
      <c r="B1796" s="19">
        <v>1788.0</v>
      </c>
      <c r="C1796" s="19" t="s">
        <v>6090</v>
      </c>
    </row>
    <row r="1797">
      <c r="B1797" s="19">
        <v>1789.0</v>
      </c>
      <c r="C1797" s="19" t="s">
        <v>6090</v>
      </c>
    </row>
    <row r="1798">
      <c r="B1798" s="19">
        <v>1790.0</v>
      </c>
      <c r="C1798" s="19" t="s">
        <v>6090</v>
      </c>
    </row>
    <row r="1799">
      <c r="B1799" s="19">
        <v>1791.0</v>
      </c>
      <c r="C1799" s="19" t="s">
        <v>6090</v>
      </c>
    </row>
    <row r="1800">
      <c r="B1800" s="19">
        <v>1792.0</v>
      </c>
      <c r="C1800" s="19" t="s">
        <v>6090</v>
      </c>
    </row>
    <row r="1801">
      <c r="B1801" s="19">
        <v>1793.0</v>
      </c>
      <c r="C1801" s="19" t="s">
        <v>6090</v>
      </c>
    </row>
    <row r="1802">
      <c r="B1802" s="19">
        <v>1794.0</v>
      </c>
      <c r="C1802" s="19" t="s">
        <v>6090</v>
      </c>
    </row>
    <row r="1803">
      <c r="B1803" s="19">
        <v>1795.0</v>
      </c>
      <c r="C1803" s="19" t="s">
        <v>6090</v>
      </c>
    </row>
    <row r="1804">
      <c r="B1804" s="19">
        <v>1796.0</v>
      </c>
      <c r="C1804" s="19" t="s">
        <v>6090</v>
      </c>
    </row>
    <row r="1805">
      <c r="B1805" s="19">
        <v>1797.0</v>
      </c>
      <c r="C1805" s="19" t="s">
        <v>6090</v>
      </c>
    </row>
    <row r="1806">
      <c r="B1806" s="19">
        <v>1798.0</v>
      </c>
      <c r="C1806" s="19" t="s">
        <v>6090</v>
      </c>
    </row>
    <row r="1807">
      <c r="B1807" s="19">
        <v>1799.0</v>
      </c>
      <c r="C1807" s="19" t="s">
        <v>6090</v>
      </c>
    </row>
    <row r="1808">
      <c r="B1808" s="19">
        <v>1800.0</v>
      </c>
      <c r="C1808" s="19" t="s">
        <v>6090</v>
      </c>
    </row>
    <row r="1809">
      <c r="B1809" s="19">
        <v>1801.0</v>
      </c>
      <c r="C1809" s="19" t="s">
        <v>6090</v>
      </c>
    </row>
    <row r="1810">
      <c r="B1810" s="19">
        <v>1802.0</v>
      </c>
      <c r="C1810" s="19" t="s">
        <v>6090</v>
      </c>
    </row>
    <row r="1811">
      <c r="B1811" s="19">
        <v>1803.0</v>
      </c>
      <c r="C1811" s="19" t="s">
        <v>6090</v>
      </c>
    </row>
    <row r="1812">
      <c r="B1812" s="19">
        <v>1804.0</v>
      </c>
      <c r="C1812" s="19" t="s">
        <v>6090</v>
      </c>
    </row>
    <row r="1813">
      <c r="B1813" s="19">
        <v>1805.0</v>
      </c>
      <c r="C1813" s="19" t="s">
        <v>6090</v>
      </c>
    </row>
    <row r="1814">
      <c r="B1814" s="19">
        <v>1806.0</v>
      </c>
      <c r="C1814" s="19" t="s">
        <v>6090</v>
      </c>
    </row>
    <row r="1815">
      <c r="B1815" s="19">
        <v>1807.0</v>
      </c>
      <c r="C1815" s="19" t="s">
        <v>6090</v>
      </c>
    </row>
    <row r="1816">
      <c r="B1816" s="19">
        <v>1808.0</v>
      </c>
      <c r="C1816" s="19" t="s">
        <v>6090</v>
      </c>
    </row>
    <row r="1817">
      <c r="B1817" s="19">
        <v>1809.0</v>
      </c>
      <c r="C1817" s="19" t="s">
        <v>6090</v>
      </c>
    </row>
    <row r="1818">
      <c r="B1818" s="19">
        <v>1810.0</v>
      </c>
      <c r="C1818" s="19" t="s">
        <v>6090</v>
      </c>
    </row>
    <row r="1819">
      <c r="B1819" s="19">
        <v>1811.0</v>
      </c>
      <c r="C1819" s="19" t="s">
        <v>6090</v>
      </c>
    </row>
    <row r="1820">
      <c r="B1820" s="19">
        <v>1812.0</v>
      </c>
      <c r="C1820" s="19" t="s">
        <v>6090</v>
      </c>
    </row>
    <row r="1821">
      <c r="B1821" s="19">
        <v>1813.0</v>
      </c>
      <c r="C1821" s="19" t="s">
        <v>6090</v>
      </c>
    </row>
    <row r="1822">
      <c r="B1822" s="19">
        <v>1814.0</v>
      </c>
      <c r="C1822" s="19" t="s">
        <v>6090</v>
      </c>
    </row>
    <row r="1823">
      <c r="B1823" s="19">
        <v>1815.0</v>
      </c>
      <c r="C1823" s="19" t="s">
        <v>6090</v>
      </c>
    </row>
    <row r="1824">
      <c r="B1824" s="19">
        <v>1816.0</v>
      </c>
      <c r="C1824" s="19" t="s">
        <v>6090</v>
      </c>
    </row>
    <row r="1825">
      <c r="B1825" s="19">
        <v>1817.0</v>
      </c>
      <c r="C1825" s="19" t="s">
        <v>6090</v>
      </c>
    </row>
    <row r="1826">
      <c r="B1826" s="19">
        <v>1818.0</v>
      </c>
      <c r="C1826" s="19" t="s">
        <v>6090</v>
      </c>
    </row>
    <row r="1827">
      <c r="B1827" s="19">
        <v>1819.0</v>
      </c>
      <c r="C1827" s="19" t="s">
        <v>6090</v>
      </c>
    </row>
    <row r="1828">
      <c r="B1828" s="19">
        <v>1820.0</v>
      </c>
      <c r="C1828" s="19" t="s">
        <v>6090</v>
      </c>
    </row>
    <row r="1829">
      <c r="B1829" s="19">
        <v>1821.0</v>
      </c>
      <c r="C1829" s="19" t="s">
        <v>6090</v>
      </c>
    </row>
    <row r="1830">
      <c r="B1830" s="19">
        <v>1822.0</v>
      </c>
      <c r="C1830" s="19" t="s">
        <v>6090</v>
      </c>
    </row>
    <row r="1831">
      <c r="B1831" s="19">
        <v>1823.0</v>
      </c>
      <c r="C1831" s="19" t="s">
        <v>6090</v>
      </c>
    </row>
    <row r="1832">
      <c r="B1832" s="19">
        <v>1824.0</v>
      </c>
      <c r="C1832" s="19" t="s">
        <v>6090</v>
      </c>
    </row>
    <row r="1833">
      <c r="B1833" s="19">
        <v>1825.0</v>
      </c>
      <c r="C1833" s="19" t="s">
        <v>6090</v>
      </c>
    </row>
    <row r="1834">
      <c r="B1834" s="19">
        <v>1826.0</v>
      </c>
      <c r="C1834" s="19" t="s">
        <v>6090</v>
      </c>
    </row>
    <row r="1835">
      <c r="B1835" s="19">
        <v>1827.0</v>
      </c>
      <c r="C1835" s="19" t="s">
        <v>6090</v>
      </c>
    </row>
    <row r="1836">
      <c r="B1836" s="19">
        <v>1828.0</v>
      </c>
      <c r="C1836" s="19" t="s">
        <v>6090</v>
      </c>
    </row>
    <row r="1837">
      <c r="B1837" s="19">
        <v>1829.0</v>
      </c>
      <c r="C1837" s="19" t="s">
        <v>6090</v>
      </c>
    </row>
    <row r="1838">
      <c r="B1838" s="19">
        <v>1830.0</v>
      </c>
      <c r="C1838" s="19" t="s">
        <v>6090</v>
      </c>
    </row>
    <row r="1839">
      <c r="B1839" s="19">
        <v>1831.0</v>
      </c>
      <c r="C1839" s="19" t="s">
        <v>6090</v>
      </c>
    </row>
    <row r="1840">
      <c r="B1840" s="19">
        <v>1832.0</v>
      </c>
      <c r="C1840" s="19" t="s">
        <v>6090</v>
      </c>
    </row>
    <row r="1841">
      <c r="B1841" s="19">
        <v>1833.0</v>
      </c>
      <c r="C1841" s="19" t="s">
        <v>6090</v>
      </c>
    </row>
    <row r="1842">
      <c r="B1842" s="19">
        <v>1834.0</v>
      </c>
      <c r="C1842" s="19" t="s">
        <v>6090</v>
      </c>
    </row>
    <row r="1843">
      <c r="B1843" s="19">
        <v>1835.0</v>
      </c>
      <c r="C1843" s="19" t="s">
        <v>6090</v>
      </c>
    </row>
    <row r="1844">
      <c r="B1844" s="19">
        <v>1836.0</v>
      </c>
      <c r="C1844" s="19" t="s">
        <v>6090</v>
      </c>
    </row>
    <row r="1845">
      <c r="B1845" s="19">
        <v>1837.0</v>
      </c>
      <c r="C1845" s="19" t="s">
        <v>6090</v>
      </c>
    </row>
    <row r="1846">
      <c r="B1846" s="19">
        <v>1838.0</v>
      </c>
      <c r="C1846" s="19" t="s">
        <v>6090</v>
      </c>
    </row>
    <row r="1847">
      <c r="B1847" s="19">
        <v>1839.0</v>
      </c>
      <c r="C1847" s="19" t="s">
        <v>6090</v>
      </c>
    </row>
    <row r="1848">
      <c r="B1848" s="19">
        <v>1840.0</v>
      </c>
      <c r="C1848" s="19" t="s">
        <v>6090</v>
      </c>
    </row>
    <row r="1849">
      <c r="B1849" s="19">
        <v>1841.0</v>
      </c>
      <c r="C1849" s="19" t="s">
        <v>6090</v>
      </c>
    </row>
    <row r="1850">
      <c r="B1850" s="19">
        <v>1842.0</v>
      </c>
      <c r="C1850" s="19" t="s">
        <v>6090</v>
      </c>
    </row>
    <row r="1851">
      <c r="B1851" s="19">
        <v>1843.0</v>
      </c>
      <c r="C1851" s="19" t="s">
        <v>6090</v>
      </c>
    </row>
    <row r="1852">
      <c r="B1852" s="19">
        <v>1844.0</v>
      </c>
      <c r="C1852" s="19" t="s">
        <v>6090</v>
      </c>
    </row>
    <row r="1853">
      <c r="B1853" s="19">
        <v>1845.0</v>
      </c>
      <c r="C1853" s="19" t="s">
        <v>6090</v>
      </c>
    </row>
    <row r="1854">
      <c r="B1854" s="19">
        <v>1846.0</v>
      </c>
      <c r="C1854" s="19" t="s">
        <v>6090</v>
      </c>
    </row>
    <row r="1855">
      <c r="B1855" s="19">
        <v>1847.0</v>
      </c>
      <c r="C1855" s="19" t="s">
        <v>6090</v>
      </c>
    </row>
    <row r="1856">
      <c r="B1856" s="19">
        <v>1848.0</v>
      </c>
      <c r="C1856" s="19" t="s">
        <v>6090</v>
      </c>
    </row>
    <row r="1857">
      <c r="B1857" s="19">
        <v>1849.0</v>
      </c>
      <c r="C1857" s="19" t="s">
        <v>6090</v>
      </c>
    </row>
    <row r="1858">
      <c r="B1858" s="19">
        <v>1850.0</v>
      </c>
      <c r="C1858" s="19" t="s">
        <v>6090</v>
      </c>
    </row>
    <row r="1859">
      <c r="B1859" s="19">
        <v>1851.0</v>
      </c>
      <c r="C1859" s="19" t="s">
        <v>6090</v>
      </c>
    </row>
    <row r="1860">
      <c r="B1860" s="19">
        <v>1852.0</v>
      </c>
      <c r="C1860" s="19" t="s">
        <v>6090</v>
      </c>
    </row>
    <row r="1861">
      <c r="B1861" s="19">
        <v>1853.0</v>
      </c>
      <c r="C1861" s="19" t="s">
        <v>6090</v>
      </c>
    </row>
    <row r="1862">
      <c r="B1862" s="19">
        <v>1854.0</v>
      </c>
      <c r="C1862" s="19" t="s">
        <v>6090</v>
      </c>
    </row>
    <row r="1863">
      <c r="B1863" s="19">
        <v>1855.0</v>
      </c>
      <c r="C1863" s="19" t="s">
        <v>6090</v>
      </c>
    </row>
    <row r="1864">
      <c r="B1864" s="19">
        <v>1856.0</v>
      </c>
      <c r="C1864" s="19" t="s">
        <v>6090</v>
      </c>
    </row>
    <row r="1865">
      <c r="B1865" s="19">
        <v>1857.0</v>
      </c>
      <c r="C1865" s="19" t="s">
        <v>6090</v>
      </c>
    </row>
    <row r="1866">
      <c r="B1866" s="19">
        <v>1858.0</v>
      </c>
      <c r="C1866" s="19" t="s">
        <v>6090</v>
      </c>
    </row>
    <row r="1867">
      <c r="B1867" s="19">
        <v>1859.0</v>
      </c>
      <c r="C1867" s="19" t="s">
        <v>6090</v>
      </c>
    </row>
    <row r="1868">
      <c r="B1868" s="19">
        <v>1860.0</v>
      </c>
      <c r="C1868" s="19" t="s">
        <v>6090</v>
      </c>
    </row>
    <row r="1869">
      <c r="B1869" s="19">
        <v>1861.0</v>
      </c>
      <c r="C1869" s="19" t="s">
        <v>6090</v>
      </c>
    </row>
    <row r="1870">
      <c r="B1870" s="19">
        <v>1862.0</v>
      </c>
      <c r="C1870" s="19" t="s">
        <v>6090</v>
      </c>
    </row>
    <row r="1871">
      <c r="B1871" s="19">
        <v>1863.0</v>
      </c>
      <c r="C1871" s="19" t="s">
        <v>6090</v>
      </c>
    </row>
    <row r="1872">
      <c r="B1872" s="19">
        <v>1864.0</v>
      </c>
      <c r="C1872" s="19" t="s">
        <v>6090</v>
      </c>
    </row>
    <row r="1873">
      <c r="B1873" s="19">
        <v>1865.0</v>
      </c>
      <c r="C1873" s="19" t="s">
        <v>6090</v>
      </c>
    </row>
    <row r="1874">
      <c r="B1874" s="19">
        <v>1866.0</v>
      </c>
      <c r="C1874" s="19" t="s">
        <v>6090</v>
      </c>
    </row>
    <row r="1875">
      <c r="B1875" s="19">
        <v>1867.0</v>
      </c>
      <c r="C1875" s="19" t="s">
        <v>6090</v>
      </c>
    </row>
    <row r="1876">
      <c r="B1876" s="19">
        <v>1868.0</v>
      </c>
      <c r="C1876" s="19" t="s">
        <v>6090</v>
      </c>
    </row>
    <row r="1877">
      <c r="B1877" s="19">
        <v>1869.0</v>
      </c>
      <c r="C1877" s="19" t="s">
        <v>6090</v>
      </c>
    </row>
    <row r="1878">
      <c r="B1878" s="19">
        <v>1870.0</v>
      </c>
      <c r="C1878" s="19" t="s">
        <v>6090</v>
      </c>
    </row>
    <row r="1879">
      <c r="B1879" s="19">
        <v>1871.0</v>
      </c>
      <c r="C1879" s="19" t="s">
        <v>6090</v>
      </c>
    </row>
    <row r="1880">
      <c r="B1880" s="19">
        <v>1872.0</v>
      </c>
      <c r="C1880" s="19" t="s">
        <v>6090</v>
      </c>
    </row>
    <row r="1881">
      <c r="B1881" s="19">
        <v>1873.0</v>
      </c>
      <c r="C1881" s="19" t="s">
        <v>6090</v>
      </c>
    </row>
    <row r="1882">
      <c r="B1882" s="19">
        <v>1874.0</v>
      </c>
      <c r="C1882" s="19" t="s">
        <v>6090</v>
      </c>
    </row>
    <row r="1883">
      <c r="B1883" s="19">
        <v>1875.0</v>
      </c>
      <c r="C1883" s="19" t="s">
        <v>6090</v>
      </c>
    </row>
    <row r="1884">
      <c r="B1884" s="19">
        <v>1876.0</v>
      </c>
      <c r="C1884" s="19" t="s">
        <v>6090</v>
      </c>
    </row>
    <row r="1885">
      <c r="B1885" s="19">
        <v>1877.0</v>
      </c>
      <c r="C1885" s="19" t="s">
        <v>6090</v>
      </c>
    </row>
    <row r="1886">
      <c r="B1886" s="19">
        <v>1878.0</v>
      </c>
      <c r="C1886" s="19" t="s">
        <v>6090</v>
      </c>
    </row>
    <row r="1887">
      <c r="B1887" s="19">
        <v>1879.0</v>
      </c>
      <c r="C1887" s="19" t="s">
        <v>6090</v>
      </c>
    </row>
    <row r="1888">
      <c r="B1888" s="19">
        <v>1880.0</v>
      </c>
      <c r="C1888" s="19" t="s">
        <v>6090</v>
      </c>
    </row>
    <row r="1889">
      <c r="B1889" s="19">
        <v>1881.0</v>
      </c>
      <c r="C1889" s="19" t="s">
        <v>6090</v>
      </c>
    </row>
    <row r="1890">
      <c r="B1890" s="19">
        <v>1882.0</v>
      </c>
      <c r="C1890" s="19" t="s">
        <v>6090</v>
      </c>
    </row>
    <row r="1891">
      <c r="B1891" s="19">
        <v>1883.0</v>
      </c>
      <c r="C1891" s="19" t="s">
        <v>6090</v>
      </c>
    </row>
    <row r="1892">
      <c r="B1892" s="19">
        <v>1884.0</v>
      </c>
      <c r="C1892" s="19" t="s">
        <v>6090</v>
      </c>
    </row>
    <row r="1893">
      <c r="B1893" s="19">
        <v>1885.0</v>
      </c>
      <c r="C1893" s="19" t="s">
        <v>6090</v>
      </c>
    </row>
    <row r="1894">
      <c r="B1894" s="19">
        <v>1886.0</v>
      </c>
      <c r="C1894" s="19" t="s">
        <v>6090</v>
      </c>
    </row>
    <row r="1895">
      <c r="B1895" s="19">
        <v>1887.0</v>
      </c>
      <c r="C1895" s="19" t="s">
        <v>6090</v>
      </c>
    </row>
    <row r="1896">
      <c r="B1896" s="19">
        <v>1888.0</v>
      </c>
      <c r="C1896" s="19" t="s">
        <v>6090</v>
      </c>
    </row>
    <row r="1897">
      <c r="B1897" s="19">
        <v>1889.0</v>
      </c>
      <c r="C1897" s="19" t="s">
        <v>6090</v>
      </c>
    </row>
    <row r="1898">
      <c r="B1898" s="19">
        <v>1890.0</v>
      </c>
      <c r="C1898" s="19" t="s">
        <v>6090</v>
      </c>
    </row>
    <row r="1899">
      <c r="B1899" s="19">
        <v>1891.0</v>
      </c>
      <c r="C1899" s="19" t="s">
        <v>6090</v>
      </c>
    </row>
    <row r="1900">
      <c r="B1900" s="19">
        <v>1892.0</v>
      </c>
      <c r="C1900" s="19" t="s">
        <v>6090</v>
      </c>
    </row>
    <row r="1901">
      <c r="B1901" s="19">
        <v>1893.0</v>
      </c>
      <c r="C1901" s="19" t="s">
        <v>6090</v>
      </c>
    </row>
    <row r="1902">
      <c r="B1902" s="19">
        <v>1894.0</v>
      </c>
      <c r="C1902" s="19" t="s">
        <v>6090</v>
      </c>
    </row>
    <row r="1903">
      <c r="B1903" s="19">
        <v>1895.0</v>
      </c>
      <c r="C1903" s="19" t="s">
        <v>6090</v>
      </c>
    </row>
    <row r="1904">
      <c r="B1904" s="19">
        <v>1896.0</v>
      </c>
      <c r="C1904" s="19" t="s">
        <v>6090</v>
      </c>
    </row>
    <row r="1905">
      <c r="B1905" s="19">
        <v>1897.0</v>
      </c>
      <c r="C1905" s="19" t="s">
        <v>6090</v>
      </c>
    </row>
    <row r="1906">
      <c r="B1906" s="19">
        <v>1898.0</v>
      </c>
      <c r="C1906" s="19" t="s">
        <v>6090</v>
      </c>
    </row>
    <row r="1907">
      <c r="B1907" s="19">
        <v>1899.0</v>
      </c>
      <c r="C1907" s="19" t="s">
        <v>6090</v>
      </c>
    </row>
    <row r="1908">
      <c r="B1908" s="19">
        <v>1900.0</v>
      </c>
      <c r="C1908" s="19" t="s">
        <v>6090</v>
      </c>
    </row>
    <row r="1909">
      <c r="B1909" s="19">
        <v>1901.0</v>
      </c>
      <c r="C1909" s="19" t="s">
        <v>6090</v>
      </c>
    </row>
    <row r="1910">
      <c r="B1910" s="19">
        <v>1902.0</v>
      </c>
      <c r="C1910" s="19" t="s">
        <v>6090</v>
      </c>
    </row>
    <row r="1911">
      <c r="B1911" s="19">
        <v>1903.0</v>
      </c>
      <c r="C1911" s="19" t="s">
        <v>6090</v>
      </c>
    </row>
    <row r="1912">
      <c r="B1912" s="19">
        <v>1904.0</v>
      </c>
      <c r="C1912" s="19" t="s">
        <v>6090</v>
      </c>
    </row>
    <row r="1913">
      <c r="B1913" s="19">
        <v>1905.0</v>
      </c>
      <c r="C1913" s="19" t="s">
        <v>6090</v>
      </c>
    </row>
    <row r="1914">
      <c r="B1914" s="19">
        <v>1906.0</v>
      </c>
      <c r="C1914" s="19" t="s">
        <v>6090</v>
      </c>
    </row>
    <row r="1915">
      <c r="B1915" s="19">
        <v>1907.0</v>
      </c>
      <c r="C1915" s="19" t="s">
        <v>6090</v>
      </c>
    </row>
    <row r="1916">
      <c r="B1916" s="19">
        <v>1908.0</v>
      </c>
      <c r="C1916" s="19" t="s">
        <v>6090</v>
      </c>
    </row>
    <row r="1917">
      <c r="B1917" s="19">
        <v>1909.0</v>
      </c>
      <c r="C1917" s="19" t="s">
        <v>6090</v>
      </c>
    </row>
    <row r="1918">
      <c r="B1918" s="19">
        <v>1910.0</v>
      </c>
      <c r="C1918" s="19" t="s">
        <v>6090</v>
      </c>
    </row>
    <row r="1919">
      <c r="B1919" s="19">
        <v>1911.0</v>
      </c>
      <c r="C1919" s="19" t="s">
        <v>6090</v>
      </c>
    </row>
    <row r="1920">
      <c r="B1920" s="19">
        <v>1912.0</v>
      </c>
      <c r="C1920" s="19" t="s">
        <v>6090</v>
      </c>
    </row>
    <row r="1921">
      <c r="B1921" s="19">
        <v>1913.0</v>
      </c>
      <c r="C1921" s="19" t="s">
        <v>6090</v>
      </c>
    </row>
    <row r="1922">
      <c r="B1922" s="19">
        <v>1914.0</v>
      </c>
      <c r="C1922" s="19" t="s">
        <v>6090</v>
      </c>
    </row>
    <row r="1923">
      <c r="B1923" s="19">
        <v>1915.0</v>
      </c>
      <c r="C1923" s="19" t="s">
        <v>6090</v>
      </c>
    </row>
    <row r="1924">
      <c r="B1924" s="19">
        <v>1916.0</v>
      </c>
      <c r="C1924" s="19" t="s">
        <v>6090</v>
      </c>
    </row>
    <row r="1925">
      <c r="B1925" s="19">
        <v>1917.0</v>
      </c>
      <c r="C1925" s="19" t="s">
        <v>6090</v>
      </c>
    </row>
    <row r="1926">
      <c r="B1926" s="19">
        <v>1918.0</v>
      </c>
      <c r="C1926" s="19" t="s">
        <v>6090</v>
      </c>
    </row>
    <row r="1927">
      <c r="B1927" s="19">
        <v>1919.0</v>
      </c>
      <c r="C1927" s="19" t="s">
        <v>6090</v>
      </c>
    </row>
    <row r="1928">
      <c r="B1928" s="19">
        <v>1920.0</v>
      </c>
      <c r="C1928" s="19" t="s">
        <v>6090</v>
      </c>
    </row>
    <row r="1929">
      <c r="B1929" s="19">
        <v>1921.0</v>
      </c>
      <c r="C1929" s="19" t="s">
        <v>6090</v>
      </c>
    </row>
    <row r="1930">
      <c r="B1930" s="19">
        <v>1922.0</v>
      </c>
      <c r="C1930" s="19" t="s">
        <v>6090</v>
      </c>
    </row>
    <row r="1931">
      <c r="B1931" s="19">
        <v>1923.0</v>
      </c>
      <c r="C1931" s="19" t="s">
        <v>6090</v>
      </c>
    </row>
    <row r="1932">
      <c r="B1932" s="19">
        <v>1924.0</v>
      </c>
      <c r="C1932" s="19" t="s">
        <v>6090</v>
      </c>
    </row>
    <row r="1933">
      <c r="B1933" s="19">
        <v>1925.0</v>
      </c>
      <c r="C1933" s="19" t="s">
        <v>6090</v>
      </c>
    </row>
    <row r="1934">
      <c r="B1934" s="19">
        <v>1926.0</v>
      </c>
      <c r="C1934" s="19" t="s">
        <v>6090</v>
      </c>
    </row>
    <row r="1935">
      <c r="B1935" s="19">
        <v>1927.0</v>
      </c>
      <c r="C1935" s="19" t="s">
        <v>6090</v>
      </c>
    </row>
    <row r="1936">
      <c r="B1936" s="19">
        <v>1928.0</v>
      </c>
      <c r="C1936" s="19" t="s">
        <v>6090</v>
      </c>
    </row>
    <row r="1937">
      <c r="B1937" s="19">
        <v>1929.0</v>
      </c>
      <c r="C1937" s="19" t="s">
        <v>6090</v>
      </c>
    </row>
    <row r="1938">
      <c r="B1938" s="19">
        <v>1930.0</v>
      </c>
      <c r="C1938" s="19" t="s">
        <v>6090</v>
      </c>
    </row>
    <row r="1939">
      <c r="B1939" s="19">
        <v>1931.0</v>
      </c>
      <c r="C1939" s="19" t="s">
        <v>6090</v>
      </c>
    </row>
    <row r="1940">
      <c r="B1940" s="19">
        <v>1932.0</v>
      </c>
      <c r="C1940" s="19" t="s">
        <v>6090</v>
      </c>
    </row>
    <row r="1941">
      <c r="B1941" s="19">
        <v>1933.0</v>
      </c>
      <c r="C1941" s="19" t="s">
        <v>6090</v>
      </c>
    </row>
    <row r="1942">
      <c r="B1942" s="19">
        <v>1934.0</v>
      </c>
      <c r="C1942" s="19" t="s">
        <v>6090</v>
      </c>
    </row>
    <row r="1943">
      <c r="B1943" s="19">
        <v>1935.0</v>
      </c>
      <c r="C1943" s="19" t="s">
        <v>6090</v>
      </c>
    </row>
    <row r="1944">
      <c r="B1944" s="19">
        <v>1936.0</v>
      </c>
      <c r="C1944" s="19" t="s">
        <v>6090</v>
      </c>
    </row>
    <row r="1945">
      <c r="B1945" s="19">
        <v>1937.0</v>
      </c>
      <c r="C1945" s="19" t="s">
        <v>6090</v>
      </c>
    </row>
    <row r="1946">
      <c r="B1946" s="19">
        <v>1938.0</v>
      </c>
      <c r="C1946" s="19" t="s">
        <v>6090</v>
      </c>
    </row>
    <row r="1947">
      <c r="B1947" s="19">
        <v>1939.0</v>
      </c>
      <c r="C1947" s="19" t="s">
        <v>6090</v>
      </c>
    </row>
    <row r="1948">
      <c r="B1948" s="19">
        <v>1940.0</v>
      </c>
      <c r="C1948" s="19" t="s">
        <v>6090</v>
      </c>
    </row>
    <row r="1949">
      <c r="B1949" s="19">
        <v>1941.0</v>
      </c>
      <c r="C1949" s="19" t="s">
        <v>6090</v>
      </c>
    </row>
    <row r="1950">
      <c r="B1950" s="19">
        <v>1942.0</v>
      </c>
      <c r="C1950" s="19" t="s">
        <v>6090</v>
      </c>
    </row>
    <row r="1951">
      <c r="B1951" s="19">
        <v>1943.0</v>
      </c>
      <c r="C1951" s="19" t="s">
        <v>6090</v>
      </c>
    </row>
    <row r="1952">
      <c r="B1952" s="19">
        <v>1944.0</v>
      </c>
      <c r="C1952" s="19" t="s">
        <v>6090</v>
      </c>
    </row>
    <row r="1953">
      <c r="B1953" s="19">
        <v>1945.0</v>
      </c>
      <c r="C1953" s="19" t="s">
        <v>6090</v>
      </c>
    </row>
    <row r="1954">
      <c r="B1954" s="19">
        <v>1946.0</v>
      </c>
      <c r="C1954" s="19" t="s">
        <v>6090</v>
      </c>
    </row>
    <row r="1955">
      <c r="B1955" s="19">
        <v>1947.0</v>
      </c>
      <c r="C1955" s="19" t="s">
        <v>6090</v>
      </c>
    </row>
    <row r="1956">
      <c r="B1956" s="19">
        <v>1948.0</v>
      </c>
      <c r="C1956" s="19" t="s">
        <v>6090</v>
      </c>
    </row>
    <row r="1957">
      <c r="B1957" s="19">
        <v>1949.0</v>
      </c>
      <c r="C1957" s="19" t="s">
        <v>6090</v>
      </c>
    </row>
    <row r="1958">
      <c r="B1958" s="19">
        <v>1950.0</v>
      </c>
      <c r="C1958" s="19" t="s">
        <v>6090</v>
      </c>
    </row>
    <row r="1959">
      <c r="B1959" s="19">
        <v>1951.0</v>
      </c>
      <c r="C1959" s="19" t="s">
        <v>6090</v>
      </c>
    </row>
    <row r="1960">
      <c r="B1960" s="19">
        <v>1952.0</v>
      </c>
      <c r="C1960" s="19" t="s">
        <v>6090</v>
      </c>
    </row>
    <row r="1961">
      <c r="B1961" s="19">
        <v>1953.0</v>
      </c>
      <c r="C1961" s="19" t="s">
        <v>6090</v>
      </c>
    </row>
    <row r="1962">
      <c r="B1962" s="19">
        <v>1954.0</v>
      </c>
      <c r="C1962" s="19" t="s">
        <v>6090</v>
      </c>
    </row>
    <row r="1963">
      <c r="B1963" s="19">
        <v>1955.0</v>
      </c>
      <c r="C1963" s="19" t="s">
        <v>6090</v>
      </c>
    </row>
    <row r="1964">
      <c r="B1964" s="19">
        <v>1956.0</v>
      </c>
      <c r="C1964" s="19" t="s">
        <v>6090</v>
      </c>
    </row>
    <row r="1965">
      <c r="B1965" s="19">
        <v>1957.0</v>
      </c>
      <c r="C1965" s="19" t="s">
        <v>6090</v>
      </c>
    </row>
    <row r="1966">
      <c r="B1966" s="19">
        <v>1958.0</v>
      </c>
      <c r="C1966" s="19" t="s">
        <v>6090</v>
      </c>
    </row>
    <row r="1967">
      <c r="B1967" s="19">
        <v>1959.0</v>
      </c>
      <c r="C1967" s="19" t="s">
        <v>6090</v>
      </c>
    </row>
    <row r="1968">
      <c r="B1968" s="19">
        <v>1960.0</v>
      </c>
      <c r="C1968" s="19" t="s">
        <v>6090</v>
      </c>
    </row>
    <row r="1969">
      <c r="B1969" s="19">
        <v>1961.0</v>
      </c>
      <c r="C1969" s="19" t="s">
        <v>6090</v>
      </c>
    </row>
    <row r="1970">
      <c r="B1970" s="19">
        <v>1962.0</v>
      </c>
      <c r="C1970" s="19" t="s">
        <v>6090</v>
      </c>
    </row>
    <row r="1971">
      <c r="B1971" s="19">
        <v>1963.0</v>
      </c>
      <c r="C1971" s="19" t="s">
        <v>6090</v>
      </c>
    </row>
    <row r="1972">
      <c r="B1972" s="19">
        <v>1964.0</v>
      </c>
      <c r="C1972" s="19" t="s">
        <v>6090</v>
      </c>
    </row>
    <row r="1973">
      <c r="B1973" s="19">
        <v>1965.0</v>
      </c>
      <c r="C1973" s="19" t="s">
        <v>6090</v>
      </c>
    </row>
    <row r="1974">
      <c r="B1974" s="19">
        <v>1966.0</v>
      </c>
      <c r="C1974" s="19" t="s">
        <v>6090</v>
      </c>
    </row>
    <row r="1975">
      <c r="B1975" s="19">
        <v>1967.0</v>
      </c>
      <c r="C1975" s="19" t="s">
        <v>6090</v>
      </c>
    </row>
    <row r="1976">
      <c r="B1976" s="19">
        <v>1968.0</v>
      </c>
      <c r="C1976" s="19" t="s">
        <v>6090</v>
      </c>
    </row>
    <row r="1977">
      <c r="B1977" s="19">
        <v>1969.0</v>
      </c>
      <c r="C1977" s="19" t="s">
        <v>6090</v>
      </c>
    </row>
    <row r="1978">
      <c r="B1978" s="19">
        <v>1970.0</v>
      </c>
      <c r="C1978" s="19" t="s">
        <v>6090</v>
      </c>
    </row>
    <row r="1979">
      <c r="B1979" s="19">
        <v>1971.0</v>
      </c>
      <c r="C1979" s="19" t="s">
        <v>6090</v>
      </c>
    </row>
    <row r="1980">
      <c r="B1980" s="19">
        <v>1972.0</v>
      </c>
      <c r="C1980" s="19" t="s">
        <v>6090</v>
      </c>
    </row>
    <row r="1981">
      <c r="B1981" s="19">
        <v>1973.0</v>
      </c>
      <c r="C1981" s="19" t="s">
        <v>6090</v>
      </c>
    </row>
    <row r="1982">
      <c r="B1982" s="19">
        <v>1974.0</v>
      </c>
      <c r="C1982" s="19" t="s">
        <v>6090</v>
      </c>
    </row>
    <row r="1983">
      <c r="B1983" s="19">
        <v>1975.0</v>
      </c>
      <c r="C1983" s="19" t="s">
        <v>6090</v>
      </c>
    </row>
    <row r="1984">
      <c r="B1984" s="19">
        <v>1976.0</v>
      </c>
      <c r="C1984" s="19" t="s">
        <v>6090</v>
      </c>
    </row>
    <row r="1985">
      <c r="B1985" s="19">
        <v>1977.0</v>
      </c>
      <c r="C1985" s="19" t="s">
        <v>6090</v>
      </c>
    </row>
    <row r="1986">
      <c r="B1986" s="19">
        <v>1978.0</v>
      </c>
      <c r="C1986" s="19" t="s">
        <v>6090</v>
      </c>
    </row>
    <row r="1987">
      <c r="B1987" s="19">
        <v>1979.0</v>
      </c>
      <c r="C1987" s="19" t="s">
        <v>6090</v>
      </c>
    </row>
    <row r="1988">
      <c r="B1988" s="19">
        <v>1980.0</v>
      </c>
      <c r="C1988" s="19" t="s">
        <v>6090</v>
      </c>
    </row>
    <row r="1989">
      <c r="B1989" s="19">
        <v>1981.0</v>
      </c>
      <c r="C1989" s="19" t="s">
        <v>6090</v>
      </c>
    </row>
    <row r="1990">
      <c r="B1990" s="19">
        <v>1982.0</v>
      </c>
      <c r="C1990" s="19" t="s">
        <v>6090</v>
      </c>
    </row>
    <row r="1991">
      <c r="B1991" s="19">
        <v>1983.0</v>
      </c>
      <c r="C1991" s="19" t="s">
        <v>6090</v>
      </c>
    </row>
    <row r="1992">
      <c r="B1992" s="19">
        <v>1984.0</v>
      </c>
      <c r="C1992" s="19" t="s">
        <v>6090</v>
      </c>
    </row>
    <row r="1993">
      <c r="B1993" s="19">
        <v>1985.0</v>
      </c>
      <c r="C1993" s="19" t="s">
        <v>6090</v>
      </c>
    </row>
    <row r="1994">
      <c r="B1994" s="19">
        <v>1986.0</v>
      </c>
      <c r="C1994" s="19" t="s">
        <v>6090</v>
      </c>
    </row>
    <row r="1995">
      <c r="B1995" s="19">
        <v>1987.0</v>
      </c>
      <c r="C1995" s="19" t="s">
        <v>6090</v>
      </c>
    </row>
    <row r="1996">
      <c r="B1996" s="19">
        <v>1988.0</v>
      </c>
      <c r="C1996" s="19" t="s">
        <v>6090</v>
      </c>
    </row>
    <row r="1997">
      <c r="B1997" s="19">
        <v>1989.0</v>
      </c>
      <c r="C1997" s="19" t="s">
        <v>6090</v>
      </c>
    </row>
    <row r="1998">
      <c r="B1998" s="19">
        <v>1990.0</v>
      </c>
      <c r="C1998" s="19" t="s">
        <v>6090</v>
      </c>
    </row>
    <row r="1999">
      <c r="B1999" s="19">
        <v>1991.0</v>
      </c>
      <c r="C1999" s="19" t="s">
        <v>6090</v>
      </c>
    </row>
    <row r="2000">
      <c r="B2000" s="19">
        <v>1992.0</v>
      </c>
      <c r="C2000" s="19" t="s">
        <v>6090</v>
      </c>
    </row>
    <row r="2001">
      <c r="B2001" s="19">
        <v>1993.0</v>
      </c>
      <c r="C2001" s="19" t="s">
        <v>6090</v>
      </c>
    </row>
    <row r="2002">
      <c r="B2002" s="19">
        <v>1994.0</v>
      </c>
      <c r="C2002" s="19" t="s">
        <v>6090</v>
      </c>
    </row>
    <row r="2003">
      <c r="B2003" s="19">
        <v>1995.0</v>
      </c>
      <c r="C2003" s="19" t="s">
        <v>6090</v>
      </c>
    </row>
    <row r="2004">
      <c r="B2004" s="19">
        <v>1996.0</v>
      </c>
      <c r="C2004" s="19" t="s">
        <v>6090</v>
      </c>
    </row>
    <row r="2005">
      <c r="B2005" s="19">
        <v>1997.0</v>
      </c>
      <c r="C2005" s="19" t="s">
        <v>6090</v>
      </c>
    </row>
    <row r="2006">
      <c r="B2006" s="19">
        <v>1998.0</v>
      </c>
      <c r="C2006" s="19" t="s">
        <v>6090</v>
      </c>
    </row>
    <row r="2007">
      <c r="B2007" s="19">
        <v>1999.0</v>
      </c>
      <c r="C2007" s="19" t="s">
        <v>6090</v>
      </c>
    </row>
    <row r="2008">
      <c r="B2008" s="19">
        <v>2000.0</v>
      </c>
      <c r="C2008" s="19" t="s">
        <v>6090</v>
      </c>
    </row>
    <row r="2009">
      <c r="B2009" s="19">
        <v>2001.0</v>
      </c>
      <c r="C2009" s="19" t="s">
        <v>6090</v>
      </c>
    </row>
    <row r="2010">
      <c r="B2010" s="19">
        <v>2002.0</v>
      </c>
      <c r="C2010" s="19" t="s">
        <v>6090</v>
      </c>
    </row>
    <row r="2011">
      <c r="B2011" s="19">
        <v>2003.0</v>
      </c>
      <c r="C2011" s="19" t="s">
        <v>6090</v>
      </c>
    </row>
    <row r="2012">
      <c r="B2012" s="19">
        <v>2004.0</v>
      </c>
      <c r="C2012" s="19" t="s">
        <v>6090</v>
      </c>
    </row>
    <row r="2013">
      <c r="B2013" s="19">
        <v>2005.0</v>
      </c>
      <c r="C2013" s="19" t="s">
        <v>6090</v>
      </c>
    </row>
    <row r="2014">
      <c r="B2014" s="19">
        <v>2006.0</v>
      </c>
      <c r="C2014" s="19" t="s">
        <v>6090</v>
      </c>
    </row>
    <row r="2015">
      <c r="B2015" s="19">
        <v>2007.0</v>
      </c>
      <c r="C2015" s="19" t="s">
        <v>6090</v>
      </c>
    </row>
    <row r="2016">
      <c r="B2016" s="19">
        <v>2008.0</v>
      </c>
      <c r="C2016" s="19" t="s">
        <v>6090</v>
      </c>
    </row>
    <row r="2017">
      <c r="B2017" s="19">
        <v>2009.0</v>
      </c>
      <c r="C2017" s="19" t="s">
        <v>6090</v>
      </c>
    </row>
    <row r="2018">
      <c r="B2018" s="19">
        <v>2010.0</v>
      </c>
      <c r="C2018" s="19" t="s">
        <v>6090</v>
      </c>
    </row>
    <row r="2019">
      <c r="B2019" s="19">
        <v>2011.0</v>
      </c>
      <c r="C2019" s="19" t="s">
        <v>6090</v>
      </c>
    </row>
    <row r="2020">
      <c r="B2020" s="19">
        <v>2012.0</v>
      </c>
      <c r="C2020" s="19" t="s">
        <v>6090</v>
      </c>
    </row>
    <row r="2021">
      <c r="B2021" s="19">
        <v>2013.0</v>
      </c>
      <c r="C2021" s="19" t="s">
        <v>6090</v>
      </c>
    </row>
    <row r="2022">
      <c r="B2022" s="19">
        <v>2014.0</v>
      </c>
      <c r="C2022" s="19" t="s">
        <v>6090</v>
      </c>
    </row>
    <row r="2023">
      <c r="B2023" s="19">
        <v>2015.0</v>
      </c>
      <c r="C2023" s="19" t="s">
        <v>6090</v>
      </c>
    </row>
    <row r="2024">
      <c r="B2024" s="19">
        <v>2016.0</v>
      </c>
      <c r="C2024" s="19" t="s">
        <v>6090</v>
      </c>
    </row>
    <row r="2025">
      <c r="B2025" s="19">
        <v>2017.0</v>
      </c>
      <c r="C2025" s="19" t="s">
        <v>6090</v>
      </c>
    </row>
    <row r="2026">
      <c r="B2026" s="19">
        <v>2018.0</v>
      </c>
      <c r="C2026" s="19" t="s">
        <v>6090</v>
      </c>
    </row>
    <row r="2027">
      <c r="B2027" s="19">
        <v>2019.0</v>
      </c>
      <c r="C2027" s="19" t="s">
        <v>6090</v>
      </c>
    </row>
    <row r="2028">
      <c r="B2028" s="19">
        <v>2020.0</v>
      </c>
      <c r="C2028" s="19" t="s">
        <v>6090</v>
      </c>
    </row>
    <row r="2029">
      <c r="B2029" s="19">
        <v>2021.0</v>
      </c>
      <c r="C2029" s="19" t="s">
        <v>6090</v>
      </c>
    </row>
    <row r="2030">
      <c r="B2030" s="19">
        <v>2022.0</v>
      </c>
      <c r="C2030" s="19" t="s">
        <v>6090</v>
      </c>
    </row>
    <row r="2031">
      <c r="B2031" s="19">
        <v>2023.0</v>
      </c>
      <c r="C2031" s="19" t="s">
        <v>6090</v>
      </c>
    </row>
    <row r="2032">
      <c r="B2032" s="19">
        <v>2024.0</v>
      </c>
      <c r="C2032" s="19" t="s">
        <v>6090</v>
      </c>
    </row>
    <row r="2033">
      <c r="B2033" s="19">
        <v>2025.0</v>
      </c>
      <c r="C2033" s="19" t="s">
        <v>6090</v>
      </c>
    </row>
    <row r="2034">
      <c r="B2034" s="19">
        <v>2026.0</v>
      </c>
      <c r="C2034" s="19" t="s">
        <v>6090</v>
      </c>
    </row>
    <row r="2035">
      <c r="B2035" s="19">
        <v>2027.0</v>
      </c>
      <c r="C2035" s="19" t="s">
        <v>6090</v>
      </c>
    </row>
    <row r="2036">
      <c r="B2036" s="19">
        <v>2028.0</v>
      </c>
      <c r="C2036" s="19" t="s">
        <v>6090</v>
      </c>
    </row>
    <row r="2037">
      <c r="B2037" s="19">
        <v>2029.0</v>
      </c>
      <c r="C2037" s="19" t="s">
        <v>6090</v>
      </c>
    </row>
    <row r="2038">
      <c r="B2038" s="19">
        <v>2030.0</v>
      </c>
      <c r="C2038" s="19" t="s">
        <v>6090</v>
      </c>
    </row>
    <row r="2039">
      <c r="B2039" s="19">
        <v>2031.0</v>
      </c>
      <c r="C2039" s="19" t="s">
        <v>6090</v>
      </c>
    </row>
    <row r="2040">
      <c r="B2040" s="19">
        <v>2032.0</v>
      </c>
      <c r="C2040" s="19" t="s">
        <v>6090</v>
      </c>
    </row>
    <row r="2041">
      <c r="B2041" s="19">
        <v>2033.0</v>
      </c>
      <c r="C2041" s="19" t="s">
        <v>6090</v>
      </c>
    </row>
    <row r="2042">
      <c r="B2042" s="19">
        <v>2034.0</v>
      </c>
      <c r="C2042" s="19" t="s">
        <v>6090</v>
      </c>
    </row>
    <row r="2043">
      <c r="B2043" s="19">
        <v>2035.0</v>
      </c>
      <c r="C2043" s="19" t="s">
        <v>6090</v>
      </c>
    </row>
    <row r="2044">
      <c r="B2044" s="19">
        <v>2036.0</v>
      </c>
      <c r="C2044" s="19" t="s">
        <v>6090</v>
      </c>
    </row>
    <row r="2045">
      <c r="B2045" s="19">
        <v>2037.0</v>
      </c>
      <c r="C2045" s="19" t="s">
        <v>6090</v>
      </c>
    </row>
    <row r="2046">
      <c r="B2046" s="19">
        <v>2038.0</v>
      </c>
      <c r="C2046" s="19" t="s">
        <v>6090</v>
      </c>
    </row>
    <row r="2047">
      <c r="B2047" s="19">
        <v>2039.0</v>
      </c>
      <c r="C2047" s="19" t="s">
        <v>6090</v>
      </c>
    </row>
    <row r="2048">
      <c r="B2048" s="19">
        <v>2040.0</v>
      </c>
      <c r="C2048" s="19" t="s">
        <v>6090</v>
      </c>
    </row>
    <row r="2049">
      <c r="B2049" s="19">
        <v>2041.0</v>
      </c>
      <c r="C2049" s="19" t="s">
        <v>6090</v>
      </c>
    </row>
    <row r="2050">
      <c r="B2050" s="19">
        <v>2042.0</v>
      </c>
      <c r="C2050" s="19" t="s">
        <v>6090</v>
      </c>
    </row>
    <row r="2051">
      <c r="B2051" s="19">
        <v>2043.0</v>
      </c>
      <c r="C2051" s="19" t="s">
        <v>6090</v>
      </c>
    </row>
    <row r="2052">
      <c r="B2052" s="19">
        <v>2044.0</v>
      </c>
      <c r="C2052" s="19" t="s">
        <v>6090</v>
      </c>
    </row>
    <row r="2053">
      <c r="B2053" s="19">
        <v>2045.0</v>
      </c>
      <c r="C2053" s="19" t="s">
        <v>6090</v>
      </c>
    </row>
    <row r="2054">
      <c r="B2054" s="19">
        <v>2046.0</v>
      </c>
      <c r="C2054" s="19" t="s">
        <v>6090</v>
      </c>
    </row>
    <row r="2055">
      <c r="B2055" s="19">
        <v>2047.0</v>
      </c>
      <c r="C2055" s="19" t="s">
        <v>6090</v>
      </c>
    </row>
    <row r="2056">
      <c r="B2056" s="19">
        <v>2048.0</v>
      </c>
      <c r="C2056" s="19" t="s">
        <v>6090</v>
      </c>
    </row>
    <row r="2057">
      <c r="B2057" s="19">
        <v>2049.0</v>
      </c>
      <c r="C2057" s="19" t="s">
        <v>6090</v>
      </c>
    </row>
    <row r="2058">
      <c r="B2058" s="19">
        <v>2050.0</v>
      </c>
      <c r="C2058" s="19" t="s">
        <v>6090</v>
      </c>
    </row>
    <row r="2059">
      <c r="B2059" s="19">
        <v>2051.0</v>
      </c>
      <c r="C2059" s="19" t="s">
        <v>6090</v>
      </c>
    </row>
    <row r="2060">
      <c r="B2060" s="19">
        <v>2052.0</v>
      </c>
      <c r="C2060" s="19" t="s">
        <v>6090</v>
      </c>
    </row>
    <row r="2061">
      <c r="B2061" s="19">
        <v>2053.0</v>
      </c>
      <c r="C2061" s="19" t="s">
        <v>6090</v>
      </c>
    </row>
    <row r="2062">
      <c r="B2062" s="19">
        <v>2054.0</v>
      </c>
      <c r="C2062" s="19" t="s">
        <v>6090</v>
      </c>
    </row>
    <row r="2063">
      <c r="B2063" s="19">
        <v>2055.0</v>
      </c>
      <c r="C2063" s="19" t="s">
        <v>6090</v>
      </c>
    </row>
    <row r="2064">
      <c r="B2064" s="19">
        <v>2056.0</v>
      </c>
      <c r="C2064" s="19" t="s">
        <v>6090</v>
      </c>
    </row>
    <row r="2065">
      <c r="B2065" s="19">
        <v>2057.0</v>
      </c>
      <c r="C2065" s="19" t="s">
        <v>6090</v>
      </c>
    </row>
    <row r="2066">
      <c r="B2066" s="19">
        <v>2058.0</v>
      </c>
      <c r="C2066" s="19" t="s">
        <v>6090</v>
      </c>
    </row>
    <row r="2067">
      <c r="B2067" s="19">
        <v>2059.0</v>
      </c>
      <c r="C2067" s="19" t="s">
        <v>6090</v>
      </c>
    </row>
    <row r="2068">
      <c r="B2068" s="19">
        <v>2060.0</v>
      </c>
      <c r="C2068" s="19" t="s">
        <v>6090</v>
      </c>
    </row>
    <row r="2069">
      <c r="B2069" s="19">
        <v>2061.0</v>
      </c>
      <c r="C2069" s="19" t="s">
        <v>6090</v>
      </c>
    </row>
    <row r="2070">
      <c r="B2070" s="19">
        <v>2062.0</v>
      </c>
      <c r="C2070" s="19" t="s">
        <v>6090</v>
      </c>
    </row>
    <row r="2071">
      <c r="B2071" s="19">
        <v>2063.0</v>
      </c>
      <c r="C2071" s="19" t="s">
        <v>6090</v>
      </c>
    </row>
    <row r="2072">
      <c r="B2072" s="19">
        <v>2064.0</v>
      </c>
      <c r="C2072" s="19" t="s">
        <v>6090</v>
      </c>
    </row>
    <row r="2073">
      <c r="B2073" s="19">
        <v>2065.0</v>
      </c>
      <c r="C2073" s="19" t="s">
        <v>6090</v>
      </c>
    </row>
    <row r="2074">
      <c r="B2074" s="19">
        <v>2066.0</v>
      </c>
      <c r="C2074" s="19" t="s">
        <v>6090</v>
      </c>
    </row>
    <row r="2075">
      <c r="B2075" s="19">
        <v>2067.0</v>
      </c>
      <c r="C2075" s="19" t="s">
        <v>6090</v>
      </c>
    </row>
    <row r="2076">
      <c r="B2076" s="19">
        <v>2068.0</v>
      </c>
      <c r="C2076" s="19" t="s">
        <v>6090</v>
      </c>
    </row>
    <row r="2077">
      <c r="B2077" s="19">
        <v>2069.0</v>
      </c>
      <c r="C2077" s="19" t="s">
        <v>6090</v>
      </c>
    </row>
    <row r="2078">
      <c r="B2078" s="19">
        <v>2070.0</v>
      </c>
      <c r="C2078" s="19" t="s">
        <v>6090</v>
      </c>
    </row>
    <row r="2079">
      <c r="B2079" s="19">
        <v>2071.0</v>
      </c>
      <c r="C2079" s="19" t="s">
        <v>6090</v>
      </c>
    </row>
    <row r="2080">
      <c r="B2080" s="19">
        <v>2072.0</v>
      </c>
      <c r="C2080" s="19" t="s">
        <v>6090</v>
      </c>
    </row>
    <row r="2081">
      <c r="B2081" s="19">
        <v>2073.0</v>
      </c>
      <c r="C2081" s="19" t="s">
        <v>6090</v>
      </c>
    </row>
    <row r="2082">
      <c r="B2082" s="19">
        <v>2074.0</v>
      </c>
      <c r="C2082" s="19" t="s">
        <v>6090</v>
      </c>
    </row>
    <row r="2083">
      <c r="B2083" s="19">
        <v>2075.0</v>
      </c>
      <c r="C2083" s="19" t="s">
        <v>6090</v>
      </c>
    </row>
    <row r="2084">
      <c r="B2084" s="19">
        <v>2076.0</v>
      </c>
      <c r="C2084" s="19" t="s">
        <v>6090</v>
      </c>
    </row>
    <row r="2085">
      <c r="B2085" s="19">
        <v>2077.0</v>
      </c>
      <c r="C2085" s="19" t="s">
        <v>6090</v>
      </c>
    </row>
    <row r="2086">
      <c r="B2086" s="19">
        <v>2078.0</v>
      </c>
      <c r="C2086" s="19" t="s">
        <v>6090</v>
      </c>
    </row>
    <row r="2087">
      <c r="B2087" s="19">
        <v>2079.0</v>
      </c>
      <c r="C2087" s="19" t="s">
        <v>6090</v>
      </c>
    </row>
    <row r="2088">
      <c r="B2088" s="19">
        <v>2080.0</v>
      </c>
      <c r="C2088" s="19" t="s">
        <v>6090</v>
      </c>
    </row>
    <row r="2089">
      <c r="B2089" s="19">
        <v>2081.0</v>
      </c>
      <c r="C2089" s="19" t="s">
        <v>6090</v>
      </c>
    </row>
    <row r="2090">
      <c r="B2090" s="19">
        <v>2082.0</v>
      </c>
      <c r="C2090" s="19" t="s">
        <v>6090</v>
      </c>
    </row>
    <row r="2091">
      <c r="B2091" s="19">
        <v>2083.0</v>
      </c>
      <c r="C2091" s="19" t="s">
        <v>6090</v>
      </c>
    </row>
    <row r="2092">
      <c r="B2092" s="19">
        <v>2084.0</v>
      </c>
      <c r="C2092" s="19" t="s">
        <v>6090</v>
      </c>
    </row>
    <row r="2093">
      <c r="B2093" s="19">
        <v>2085.0</v>
      </c>
      <c r="C2093" s="19" t="s">
        <v>6090</v>
      </c>
    </row>
    <row r="2094">
      <c r="B2094" s="19">
        <v>2086.0</v>
      </c>
      <c r="C2094" s="19" t="s">
        <v>6090</v>
      </c>
    </row>
    <row r="2095">
      <c r="B2095" s="19">
        <v>2087.0</v>
      </c>
      <c r="C2095" s="19" t="s">
        <v>6090</v>
      </c>
    </row>
    <row r="2096">
      <c r="B2096" s="19">
        <v>2088.0</v>
      </c>
      <c r="C2096" s="19" t="s">
        <v>6090</v>
      </c>
    </row>
    <row r="2097">
      <c r="B2097" s="19">
        <v>2089.0</v>
      </c>
      <c r="C2097" s="19" t="s">
        <v>6090</v>
      </c>
    </row>
    <row r="2098">
      <c r="B2098" s="19">
        <v>2090.0</v>
      </c>
      <c r="C2098" s="19" t="s">
        <v>6090</v>
      </c>
    </row>
    <row r="2099">
      <c r="B2099" s="19">
        <v>2091.0</v>
      </c>
      <c r="C2099" s="19" t="s">
        <v>6090</v>
      </c>
    </row>
    <row r="2100">
      <c r="B2100" s="19">
        <v>2092.0</v>
      </c>
      <c r="C2100" s="19" t="s">
        <v>6090</v>
      </c>
    </row>
    <row r="2101">
      <c r="B2101" s="19">
        <v>2093.0</v>
      </c>
      <c r="C2101" s="19" t="s">
        <v>6090</v>
      </c>
    </row>
    <row r="2102">
      <c r="B2102" s="19">
        <v>2094.0</v>
      </c>
      <c r="C2102" s="19" t="s">
        <v>6090</v>
      </c>
    </row>
    <row r="2103">
      <c r="B2103" s="19">
        <v>2095.0</v>
      </c>
      <c r="C2103" s="19" t="s">
        <v>6090</v>
      </c>
    </row>
    <row r="2104">
      <c r="B2104" s="19">
        <v>2096.0</v>
      </c>
      <c r="C2104" s="19" t="s">
        <v>6090</v>
      </c>
    </row>
    <row r="2105">
      <c r="B2105" s="19">
        <v>2097.0</v>
      </c>
      <c r="C2105" s="19" t="s">
        <v>6090</v>
      </c>
    </row>
    <row r="2106">
      <c r="B2106" s="19">
        <v>2098.0</v>
      </c>
      <c r="C2106" s="19" t="s">
        <v>6090</v>
      </c>
    </row>
    <row r="2107">
      <c r="B2107" s="19">
        <v>2099.0</v>
      </c>
      <c r="C2107" s="19" t="s">
        <v>6090</v>
      </c>
    </row>
    <row r="2108">
      <c r="B2108" s="19">
        <v>2100.0</v>
      </c>
      <c r="C2108" s="19" t="s">
        <v>6090</v>
      </c>
    </row>
    <row r="2109">
      <c r="B2109" s="19">
        <v>2101.0</v>
      </c>
      <c r="C2109" s="19" t="s">
        <v>6090</v>
      </c>
    </row>
    <row r="2110">
      <c r="B2110" s="19">
        <v>2102.0</v>
      </c>
      <c r="C2110" s="19" t="s">
        <v>6090</v>
      </c>
    </row>
    <row r="2111">
      <c r="B2111" s="19">
        <v>2103.0</v>
      </c>
      <c r="C2111" s="19" t="s">
        <v>6090</v>
      </c>
    </row>
    <row r="2112">
      <c r="B2112" s="19">
        <v>2104.0</v>
      </c>
      <c r="C2112" s="19" t="s">
        <v>6090</v>
      </c>
    </row>
    <row r="2113">
      <c r="B2113" s="19">
        <v>2105.0</v>
      </c>
      <c r="C2113" s="19" t="s">
        <v>6090</v>
      </c>
    </row>
    <row r="2114">
      <c r="B2114" s="19">
        <v>2106.0</v>
      </c>
      <c r="C2114" s="19" t="s">
        <v>6090</v>
      </c>
    </row>
    <row r="2115">
      <c r="B2115" s="19">
        <v>2107.0</v>
      </c>
      <c r="C2115" s="19" t="s">
        <v>6090</v>
      </c>
    </row>
    <row r="2116">
      <c r="B2116" s="19">
        <v>2108.0</v>
      </c>
      <c r="C2116" s="19" t="s">
        <v>6090</v>
      </c>
    </row>
    <row r="2117">
      <c r="B2117" s="19">
        <v>2109.0</v>
      </c>
      <c r="C2117" s="19" t="s">
        <v>6090</v>
      </c>
    </row>
    <row r="2118">
      <c r="B2118" s="19">
        <v>2110.0</v>
      </c>
      <c r="C2118" s="19" t="s">
        <v>6090</v>
      </c>
    </row>
    <row r="2119">
      <c r="B2119" s="19">
        <v>2111.0</v>
      </c>
      <c r="C2119" s="19" t="s">
        <v>6090</v>
      </c>
    </row>
    <row r="2120">
      <c r="B2120" s="19">
        <v>2112.0</v>
      </c>
      <c r="C2120" s="19" t="s">
        <v>6090</v>
      </c>
    </row>
    <row r="2121">
      <c r="B2121" s="19">
        <v>2113.0</v>
      </c>
      <c r="C2121" s="19" t="s">
        <v>6090</v>
      </c>
    </row>
    <row r="2122">
      <c r="B2122" s="19">
        <v>2114.0</v>
      </c>
      <c r="C2122" s="19" t="s">
        <v>6090</v>
      </c>
    </row>
    <row r="2123">
      <c r="B2123" s="19">
        <v>2115.0</v>
      </c>
      <c r="C2123" s="19" t="s">
        <v>6090</v>
      </c>
    </row>
    <row r="2124">
      <c r="B2124" s="19">
        <v>2116.0</v>
      </c>
      <c r="C2124" s="19" t="s">
        <v>6090</v>
      </c>
    </row>
    <row r="2125">
      <c r="B2125" s="19">
        <v>2117.0</v>
      </c>
      <c r="C2125" s="19" t="s">
        <v>6090</v>
      </c>
    </row>
    <row r="2126">
      <c r="B2126" s="19">
        <v>2118.0</v>
      </c>
      <c r="C2126" s="19" t="s">
        <v>6090</v>
      </c>
    </row>
    <row r="2127">
      <c r="B2127" s="19">
        <v>2119.0</v>
      </c>
      <c r="C2127" s="19" t="s">
        <v>6090</v>
      </c>
    </row>
    <row r="2128">
      <c r="B2128" s="19">
        <v>2120.0</v>
      </c>
      <c r="C2128" s="19" t="s">
        <v>6090</v>
      </c>
    </row>
    <row r="2129">
      <c r="B2129" s="19">
        <v>2121.0</v>
      </c>
      <c r="C2129" s="19" t="s">
        <v>6090</v>
      </c>
    </row>
    <row r="2130">
      <c r="B2130" s="19">
        <v>2122.0</v>
      </c>
      <c r="C2130" s="19" t="s">
        <v>6090</v>
      </c>
    </row>
    <row r="2131">
      <c r="B2131" s="19">
        <v>2123.0</v>
      </c>
      <c r="C2131" s="19" t="s">
        <v>6090</v>
      </c>
    </row>
    <row r="2132">
      <c r="B2132" s="19">
        <v>2124.0</v>
      </c>
      <c r="C2132" s="19" t="s">
        <v>6090</v>
      </c>
    </row>
    <row r="2133">
      <c r="B2133" s="19">
        <v>2125.0</v>
      </c>
      <c r="C2133" s="19" t="s">
        <v>6090</v>
      </c>
    </row>
    <row r="2134">
      <c r="B2134" s="19">
        <v>2126.0</v>
      </c>
      <c r="C2134" s="19" t="s">
        <v>6090</v>
      </c>
    </row>
    <row r="2135">
      <c r="B2135" s="19">
        <v>2127.0</v>
      </c>
      <c r="C2135" s="19" t="s">
        <v>6090</v>
      </c>
    </row>
    <row r="2136">
      <c r="B2136" s="19">
        <v>2128.0</v>
      </c>
      <c r="C2136" s="19" t="s">
        <v>6090</v>
      </c>
    </row>
    <row r="2137">
      <c r="B2137" s="19">
        <v>2129.0</v>
      </c>
      <c r="C2137" s="19" t="s">
        <v>6090</v>
      </c>
    </row>
    <row r="2138">
      <c r="B2138" s="19">
        <v>2130.0</v>
      </c>
      <c r="C2138" s="19" t="s">
        <v>6090</v>
      </c>
    </row>
    <row r="2139">
      <c r="B2139" s="19">
        <v>2131.0</v>
      </c>
      <c r="C2139" s="19" t="s">
        <v>6090</v>
      </c>
    </row>
    <row r="2140">
      <c r="B2140" s="19">
        <v>2132.0</v>
      </c>
      <c r="C2140" s="19" t="s">
        <v>6090</v>
      </c>
    </row>
    <row r="2141">
      <c r="B2141" s="19">
        <v>2133.0</v>
      </c>
      <c r="C2141" s="19" t="s">
        <v>6090</v>
      </c>
    </row>
    <row r="2142">
      <c r="B2142" s="19">
        <v>2134.0</v>
      </c>
      <c r="C2142" s="19" t="s">
        <v>6090</v>
      </c>
    </row>
    <row r="2143">
      <c r="B2143" s="19">
        <v>2135.0</v>
      </c>
      <c r="C2143" s="19" t="s">
        <v>6090</v>
      </c>
    </row>
    <row r="2144">
      <c r="B2144" s="19">
        <v>2136.0</v>
      </c>
      <c r="C2144" s="19" t="s">
        <v>6090</v>
      </c>
    </row>
    <row r="2145">
      <c r="B2145" s="19">
        <v>2137.0</v>
      </c>
      <c r="C2145" s="19" t="s">
        <v>6090</v>
      </c>
    </row>
    <row r="2146">
      <c r="B2146" s="19">
        <v>2138.0</v>
      </c>
      <c r="C2146" s="19" t="s">
        <v>6090</v>
      </c>
    </row>
    <row r="2147">
      <c r="B2147" s="19">
        <v>2139.0</v>
      </c>
      <c r="C2147" s="19" t="s">
        <v>6090</v>
      </c>
    </row>
    <row r="2148">
      <c r="B2148" s="19">
        <v>2140.0</v>
      </c>
      <c r="C2148" s="19" t="s">
        <v>6090</v>
      </c>
    </row>
    <row r="2149">
      <c r="B2149" s="19">
        <v>2141.0</v>
      </c>
      <c r="C2149" s="19" t="s">
        <v>6090</v>
      </c>
    </row>
    <row r="2150">
      <c r="B2150" s="19">
        <v>2142.0</v>
      </c>
      <c r="C2150" s="19" t="s">
        <v>6090</v>
      </c>
    </row>
    <row r="2151">
      <c r="B2151" s="19">
        <v>2143.0</v>
      </c>
      <c r="C2151" s="19" t="s">
        <v>6090</v>
      </c>
    </row>
    <row r="2152">
      <c r="B2152" s="19">
        <v>2144.0</v>
      </c>
      <c r="C2152" s="19" t="s">
        <v>6090</v>
      </c>
    </row>
    <row r="2153">
      <c r="B2153" s="19">
        <v>2145.0</v>
      </c>
      <c r="C2153" s="19" t="s">
        <v>6090</v>
      </c>
    </row>
    <row r="2154">
      <c r="B2154" s="19">
        <v>2146.0</v>
      </c>
      <c r="C2154" s="19" t="s">
        <v>6090</v>
      </c>
    </row>
    <row r="2155">
      <c r="B2155" s="19">
        <v>2147.0</v>
      </c>
      <c r="C2155" s="19" t="s">
        <v>6090</v>
      </c>
    </row>
    <row r="2156">
      <c r="B2156" s="19">
        <v>2148.0</v>
      </c>
      <c r="C2156" s="19" t="s">
        <v>6090</v>
      </c>
    </row>
    <row r="2157">
      <c r="B2157" s="19">
        <v>2149.0</v>
      </c>
      <c r="C2157" s="19" t="s">
        <v>6090</v>
      </c>
    </row>
    <row r="2158">
      <c r="B2158" s="19">
        <v>2150.0</v>
      </c>
      <c r="C2158" s="19" t="s">
        <v>6090</v>
      </c>
    </row>
    <row r="2159">
      <c r="B2159" s="19">
        <v>2151.0</v>
      </c>
      <c r="C2159" s="19" t="s">
        <v>6090</v>
      </c>
    </row>
    <row r="2160">
      <c r="B2160" s="19">
        <v>2152.0</v>
      </c>
      <c r="C2160" s="19" t="s">
        <v>6090</v>
      </c>
    </row>
    <row r="2161">
      <c r="B2161" s="19">
        <v>2153.0</v>
      </c>
      <c r="C2161" s="19" t="s">
        <v>6090</v>
      </c>
    </row>
    <row r="2162">
      <c r="B2162" s="19">
        <v>2154.0</v>
      </c>
      <c r="C2162" s="19" t="s">
        <v>6090</v>
      </c>
    </row>
    <row r="2163">
      <c r="B2163" s="19">
        <v>2155.0</v>
      </c>
      <c r="C2163" s="19" t="s">
        <v>6090</v>
      </c>
    </row>
    <row r="2164">
      <c r="B2164" s="19">
        <v>2156.0</v>
      </c>
      <c r="C2164" s="19" t="s">
        <v>6090</v>
      </c>
    </row>
    <row r="2165">
      <c r="B2165" s="19">
        <v>2157.0</v>
      </c>
      <c r="C2165" s="19" t="s">
        <v>6090</v>
      </c>
    </row>
    <row r="2166">
      <c r="B2166" s="19">
        <v>2158.0</v>
      </c>
      <c r="C2166" s="19" t="s">
        <v>6090</v>
      </c>
    </row>
    <row r="2167">
      <c r="B2167" s="19">
        <v>2159.0</v>
      </c>
      <c r="C2167" s="19" t="s">
        <v>6090</v>
      </c>
    </row>
    <row r="2168">
      <c r="B2168" s="19">
        <v>2160.0</v>
      </c>
      <c r="C2168" s="19" t="s">
        <v>6090</v>
      </c>
    </row>
    <row r="2169">
      <c r="B2169" s="19">
        <v>2161.0</v>
      </c>
      <c r="C2169" s="19" t="s">
        <v>6090</v>
      </c>
    </row>
    <row r="2170">
      <c r="B2170" s="19">
        <v>2162.0</v>
      </c>
      <c r="C2170" s="19" t="s">
        <v>6090</v>
      </c>
    </row>
    <row r="2171">
      <c r="B2171" s="19">
        <v>2163.0</v>
      </c>
      <c r="C2171" s="19" t="s">
        <v>6090</v>
      </c>
    </row>
    <row r="2172">
      <c r="B2172" s="19">
        <v>2164.0</v>
      </c>
      <c r="C2172" s="19" t="s">
        <v>6090</v>
      </c>
    </row>
    <row r="2173">
      <c r="B2173" s="19">
        <v>2165.0</v>
      </c>
      <c r="C2173" s="19" t="s">
        <v>6090</v>
      </c>
    </row>
    <row r="2174">
      <c r="B2174" s="19">
        <v>2166.0</v>
      </c>
      <c r="C2174" s="19" t="s">
        <v>6090</v>
      </c>
    </row>
    <row r="2175">
      <c r="B2175" s="19">
        <v>2167.0</v>
      </c>
      <c r="C2175" s="19" t="s">
        <v>6090</v>
      </c>
    </row>
    <row r="2176">
      <c r="B2176" s="19">
        <v>2168.0</v>
      </c>
      <c r="C2176" s="19" t="s">
        <v>6090</v>
      </c>
    </row>
    <row r="2177">
      <c r="B2177" s="19">
        <v>2169.0</v>
      </c>
      <c r="C2177" s="19" t="s">
        <v>6090</v>
      </c>
    </row>
    <row r="2178">
      <c r="B2178" s="19">
        <v>2170.0</v>
      </c>
      <c r="C2178" s="19" t="s">
        <v>6090</v>
      </c>
    </row>
    <row r="2179">
      <c r="B2179" s="19">
        <v>2171.0</v>
      </c>
      <c r="C2179" s="19" t="s">
        <v>6090</v>
      </c>
    </row>
    <row r="2180">
      <c r="B2180" s="19">
        <v>2172.0</v>
      </c>
      <c r="C2180" s="19" t="s">
        <v>6090</v>
      </c>
    </row>
    <row r="2181">
      <c r="B2181" s="19">
        <v>2173.0</v>
      </c>
      <c r="C2181" s="19" t="s">
        <v>6090</v>
      </c>
    </row>
    <row r="2182">
      <c r="B2182" s="19">
        <v>2174.0</v>
      </c>
      <c r="C2182" s="19" t="s">
        <v>6090</v>
      </c>
    </row>
    <row r="2183">
      <c r="B2183" s="19">
        <v>2175.0</v>
      </c>
      <c r="C2183" s="19" t="s">
        <v>6090</v>
      </c>
    </row>
    <row r="2184">
      <c r="B2184" s="19">
        <v>2176.0</v>
      </c>
      <c r="C2184" s="19" t="s">
        <v>6090</v>
      </c>
    </row>
    <row r="2185">
      <c r="B2185" s="19">
        <v>2177.0</v>
      </c>
      <c r="C2185" s="19" t="s">
        <v>6090</v>
      </c>
    </row>
    <row r="2186">
      <c r="B2186" s="19">
        <v>2178.0</v>
      </c>
      <c r="C2186" s="19" t="s">
        <v>6090</v>
      </c>
    </row>
    <row r="2187">
      <c r="B2187" s="19">
        <v>2179.0</v>
      </c>
      <c r="C2187" s="19" t="s">
        <v>6090</v>
      </c>
    </row>
    <row r="2188">
      <c r="B2188" s="19">
        <v>2180.0</v>
      </c>
      <c r="C2188" s="19" t="s">
        <v>6090</v>
      </c>
    </row>
    <row r="2189">
      <c r="B2189" s="19">
        <v>2181.0</v>
      </c>
      <c r="C2189" s="19" t="s">
        <v>6090</v>
      </c>
    </row>
    <row r="2190">
      <c r="B2190" s="19">
        <v>2182.0</v>
      </c>
      <c r="C2190" s="19" t="s">
        <v>6090</v>
      </c>
    </row>
    <row r="2191">
      <c r="B2191" s="19">
        <v>2183.0</v>
      </c>
      <c r="C2191" s="19" t="s">
        <v>6090</v>
      </c>
    </row>
    <row r="2192">
      <c r="B2192" s="19">
        <v>2184.0</v>
      </c>
      <c r="C2192" s="19" t="s">
        <v>6090</v>
      </c>
    </row>
    <row r="2193">
      <c r="B2193" s="19">
        <v>2185.0</v>
      </c>
      <c r="C2193" s="19" t="s">
        <v>6090</v>
      </c>
    </row>
    <row r="2194">
      <c r="B2194" s="19">
        <v>2186.0</v>
      </c>
      <c r="C2194" s="19" t="s">
        <v>6090</v>
      </c>
    </row>
    <row r="2195">
      <c r="B2195" s="19">
        <v>2187.0</v>
      </c>
      <c r="C2195" s="19" t="s">
        <v>6090</v>
      </c>
    </row>
    <row r="2196">
      <c r="B2196" s="19">
        <v>2188.0</v>
      </c>
      <c r="C2196" s="19" t="s">
        <v>6090</v>
      </c>
    </row>
    <row r="2197">
      <c r="B2197" s="19">
        <v>2189.0</v>
      </c>
      <c r="C2197" s="19" t="s">
        <v>6090</v>
      </c>
    </row>
    <row r="2198">
      <c r="B2198" s="19">
        <v>2190.0</v>
      </c>
      <c r="C2198" s="19" t="s">
        <v>6090</v>
      </c>
    </row>
    <row r="2199">
      <c r="B2199" s="19">
        <v>2191.0</v>
      </c>
      <c r="C2199" s="19" t="s">
        <v>6090</v>
      </c>
    </row>
    <row r="2200">
      <c r="B2200" s="19">
        <v>2192.0</v>
      </c>
      <c r="C2200" s="19" t="s">
        <v>6090</v>
      </c>
    </row>
    <row r="2201">
      <c r="B2201" s="19">
        <v>2193.0</v>
      </c>
      <c r="C2201" s="19" t="s">
        <v>6090</v>
      </c>
    </row>
    <row r="2202">
      <c r="B2202" s="19">
        <v>2194.0</v>
      </c>
      <c r="C2202" s="19" t="s">
        <v>6090</v>
      </c>
    </row>
    <row r="2203">
      <c r="B2203" s="19">
        <v>2195.0</v>
      </c>
      <c r="C2203" s="19" t="s">
        <v>6090</v>
      </c>
    </row>
    <row r="2204">
      <c r="B2204" s="19">
        <v>2196.0</v>
      </c>
      <c r="C2204" s="19" t="s">
        <v>6090</v>
      </c>
    </row>
    <row r="2205">
      <c r="B2205" s="19">
        <v>2197.0</v>
      </c>
      <c r="C2205" s="19" t="s">
        <v>6090</v>
      </c>
    </row>
    <row r="2206">
      <c r="B2206" s="19">
        <v>2198.0</v>
      </c>
      <c r="C2206" s="19" t="s">
        <v>6090</v>
      </c>
    </row>
    <row r="2207">
      <c r="B2207" s="19">
        <v>2199.0</v>
      </c>
      <c r="C2207" s="19" t="s">
        <v>6090</v>
      </c>
    </row>
    <row r="2208">
      <c r="B2208" s="19">
        <v>2200.0</v>
      </c>
      <c r="C2208" s="19" t="s">
        <v>6090</v>
      </c>
    </row>
    <row r="2209">
      <c r="B2209" s="19">
        <v>2201.0</v>
      </c>
      <c r="C2209" s="19" t="s">
        <v>6090</v>
      </c>
    </row>
    <row r="2210">
      <c r="B2210" s="19">
        <v>2202.0</v>
      </c>
      <c r="C2210" s="19" t="s">
        <v>6090</v>
      </c>
    </row>
    <row r="2211">
      <c r="B2211" s="19">
        <v>2203.0</v>
      </c>
      <c r="C2211" s="19" t="s">
        <v>6090</v>
      </c>
    </row>
    <row r="2212">
      <c r="B2212" s="19">
        <v>2204.0</v>
      </c>
      <c r="C2212" s="19" t="s">
        <v>6090</v>
      </c>
    </row>
    <row r="2213">
      <c r="B2213" s="19">
        <v>2205.0</v>
      </c>
      <c r="C2213" s="19" t="s">
        <v>6090</v>
      </c>
    </row>
    <row r="2214">
      <c r="B2214" s="19">
        <v>2206.0</v>
      </c>
      <c r="C2214" s="19" t="s">
        <v>6090</v>
      </c>
    </row>
    <row r="2215">
      <c r="B2215" s="19">
        <v>2207.0</v>
      </c>
      <c r="C2215" s="19" t="s">
        <v>6090</v>
      </c>
    </row>
    <row r="2216">
      <c r="B2216" s="19">
        <v>2208.0</v>
      </c>
      <c r="C2216" s="19" t="s">
        <v>6090</v>
      </c>
    </row>
    <row r="2217">
      <c r="B2217" s="19">
        <v>2209.0</v>
      </c>
      <c r="C2217" s="19" t="s">
        <v>6090</v>
      </c>
    </row>
    <row r="2218">
      <c r="B2218" s="19">
        <v>2210.0</v>
      </c>
      <c r="C2218" s="19" t="s">
        <v>6090</v>
      </c>
    </row>
    <row r="2219">
      <c r="B2219" s="19">
        <v>2211.0</v>
      </c>
      <c r="C2219" s="19" t="s">
        <v>6090</v>
      </c>
    </row>
    <row r="2220">
      <c r="B2220" s="19">
        <v>2212.0</v>
      </c>
      <c r="C2220" s="19" t="s">
        <v>6090</v>
      </c>
    </row>
    <row r="2221">
      <c r="B2221" s="19">
        <v>2213.0</v>
      </c>
      <c r="C2221" s="19" t="s">
        <v>6090</v>
      </c>
    </row>
    <row r="2222">
      <c r="B2222" s="19">
        <v>2214.0</v>
      </c>
      <c r="C2222" s="19" t="s">
        <v>6090</v>
      </c>
    </row>
    <row r="2223">
      <c r="B2223" s="19">
        <v>2215.0</v>
      </c>
      <c r="C2223" s="19" t="s">
        <v>6090</v>
      </c>
    </row>
    <row r="2224">
      <c r="B2224" s="19">
        <v>2216.0</v>
      </c>
      <c r="C2224" s="19" t="s">
        <v>6090</v>
      </c>
    </row>
    <row r="2225">
      <c r="B2225" s="19">
        <v>2217.0</v>
      </c>
      <c r="C2225" s="19" t="s">
        <v>6090</v>
      </c>
    </row>
    <row r="2226">
      <c r="B2226" s="19">
        <v>2218.0</v>
      </c>
      <c r="C2226" s="19" t="s">
        <v>6090</v>
      </c>
    </row>
    <row r="2227">
      <c r="B2227" s="19">
        <v>2219.0</v>
      </c>
      <c r="C2227" s="19" t="s">
        <v>6090</v>
      </c>
    </row>
    <row r="2228">
      <c r="B2228" s="19">
        <v>2220.0</v>
      </c>
      <c r="C2228" s="19" t="s">
        <v>6090</v>
      </c>
    </row>
    <row r="2229">
      <c r="B2229" s="19">
        <v>2221.0</v>
      </c>
      <c r="C2229" s="19" t="s">
        <v>6090</v>
      </c>
    </row>
    <row r="2230">
      <c r="B2230" s="19">
        <v>2222.0</v>
      </c>
      <c r="C2230" s="19" t="s">
        <v>6090</v>
      </c>
    </row>
    <row r="2231">
      <c r="B2231" s="19">
        <v>2223.0</v>
      </c>
      <c r="C2231" s="19" t="s">
        <v>6090</v>
      </c>
    </row>
    <row r="2232">
      <c r="B2232" s="19">
        <v>2224.0</v>
      </c>
      <c r="C2232" s="19" t="s">
        <v>6090</v>
      </c>
    </row>
    <row r="2233">
      <c r="B2233" s="19">
        <v>2225.0</v>
      </c>
      <c r="C2233" s="19" t="s">
        <v>6090</v>
      </c>
    </row>
    <row r="2234">
      <c r="B2234" s="19">
        <v>2226.0</v>
      </c>
      <c r="C2234" s="19" t="s">
        <v>6090</v>
      </c>
    </row>
    <row r="2235">
      <c r="B2235" s="19">
        <v>2227.0</v>
      </c>
      <c r="C2235" s="19" t="s">
        <v>6090</v>
      </c>
    </row>
    <row r="2236">
      <c r="B2236" s="19">
        <v>2228.0</v>
      </c>
      <c r="C2236" s="19" t="s">
        <v>6090</v>
      </c>
    </row>
    <row r="2237">
      <c r="B2237" s="19">
        <v>2229.0</v>
      </c>
      <c r="C2237" s="19" t="s">
        <v>6090</v>
      </c>
    </row>
    <row r="2238">
      <c r="B2238" s="19">
        <v>2230.0</v>
      </c>
      <c r="C2238" s="19" t="s">
        <v>6090</v>
      </c>
    </row>
    <row r="2239">
      <c r="B2239" s="19">
        <v>2231.0</v>
      </c>
      <c r="C2239" s="19" t="s">
        <v>6090</v>
      </c>
    </row>
    <row r="2240">
      <c r="B2240" s="19">
        <v>2232.0</v>
      </c>
      <c r="C2240" s="19" t="s">
        <v>6090</v>
      </c>
    </row>
    <row r="2241">
      <c r="B2241" s="19">
        <v>2233.0</v>
      </c>
      <c r="C2241" s="19" t="s">
        <v>6090</v>
      </c>
    </row>
    <row r="2242">
      <c r="B2242" s="19">
        <v>2234.0</v>
      </c>
      <c r="C2242" s="19" t="s">
        <v>6090</v>
      </c>
    </row>
    <row r="2243">
      <c r="B2243" s="19">
        <v>2235.0</v>
      </c>
      <c r="C2243" s="19" t="s">
        <v>6090</v>
      </c>
    </row>
    <row r="2244">
      <c r="B2244" s="19">
        <v>2236.0</v>
      </c>
      <c r="C2244" s="19" t="s">
        <v>6090</v>
      </c>
    </row>
    <row r="2245">
      <c r="B2245" s="19">
        <v>2237.0</v>
      </c>
      <c r="C2245" s="19" t="s">
        <v>6090</v>
      </c>
    </row>
    <row r="2246">
      <c r="B2246" s="19">
        <v>2238.0</v>
      </c>
      <c r="C2246" s="19" t="s">
        <v>6090</v>
      </c>
    </row>
    <row r="2247">
      <c r="B2247" s="19">
        <v>2239.0</v>
      </c>
      <c r="C2247" s="19" t="s">
        <v>6090</v>
      </c>
    </row>
    <row r="2248">
      <c r="B2248" s="19">
        <v>2240.0</v>
      </c>
      <c r="C2248" s="19" t="s">
        <v>6090</v>
      </c>
    </row>
    <row r="2249">
      <c r="B2249" s="19">
        <v>2241.0</v>
      </c>
      <c r="C2249" s="19" t="s">
        <v>6090</v>
      </c>
    </row>
    <row r="2250">
      <c r="B2250" s="19">
        <v>2242.0</v>
      </c>
      <c r="C2250" s="19" t="s">
        <v>6090</v>
      </c>
    </row>
    <row r="2251">
      <c r="B2251" s="19">
        <v>2243.0</v>
      </c>
      <c r="C2251" s="19" t="s">
        <v>6090</v>
      </c>
    </row>
    <row r="2252">
      <c r="B2252" s="19">
        <v>2244.0</v>
      </c>
      <c r="C2252" s="19" t="s">
        <v>6090</v>
      </c>
    </row>
    <row r="2253">
      <c r="B2253" s="19">
        <v>2245.0</v>
      </c>
      <c r="C2253" s="19" t="s">
        <v>6090</v>
      </c>
    </row>
    <row r="2254">
      <c r="B2254" s="19">
        <v>2246.0</v>
      </c>
      <c r="C2254" s="19" t="s">
        <v>6090</v>
      </c>
    </row>
    <row r="2255">
      <c r="B2255" s="19">
        <v>2247.0</v>
      </c>
      <c r="C2255" s="19" t="s">
        <v>6090</v>
      </c>
    </row>
    <row r="2256">
      <c r="B2256" s="19">
        <v>2248.0</v>
      </c>
      <c r="C2256" s="19" t="s">
        <v>6090</v>
      </c>
    </row>
    <row r="2257">
      <c r="B2257" s="19">
        <v>2249.0</v>
      </c>
      <c r="C2257" s="19" t="s">
        <v>6090</v>
      </c>
    </row>
    <row r="2258">
      <c r="B2258" s="19">
        <v>2250.0</v>
      </c>
      <c r="C2258" s="19" t="s">
        <v>6090</v>
      </c>
    </row>
    <row r="2259">
      <c r="B2259" s="19">
        <v>2251.0</v>
      </c>
      <c r="C2259" s="19" t="s">
        <v>6090</v>
      </c>
    </row>
    <row r="2260">
      <c r="B2260" s="19">
        <v>2252.0</v>
      </c>
      <c r="C2260" s="19" t="s">
        <v>6090</v>
      </c>
    </row>
    <row r="2261">
      <c r="B2261" s="19">
        <v>2253.0</v>
      </c>
      <c r="C2261" s="19" t="s">
        <v>6090</v>
      </c>
    </row>
    <row r="2262">
      <c r="B2262" s="19">
        <v>2254.0</v>
      </c>
      <c r="C2262" s="19" t="s">
        <v>6090</v>
      </c>
    </row>
    <row r="2263">
      <c r="B2263" s="19">
        <v>2255.0</v>
      </c>
      <c r="C2263" s="19" t="s">
        <v>6090</v>
      </c>
    </row>
    <row r="2264">
      <c r="B2264" s="19">
        <v>2256.0</v>
      </c>
      <c r="C2264" s="19" t="s">
        <v>6090</v>
      </c>
    </row>
    <row r="2265">
      <c r="B2265" s="19">
        <v>2257.0</v>
      </c>
      <c r="C2265" s="19" t="s">
        <v>6090</v>
      </c>
    </row>
    <row r="2266">
      <c r="B2266" s="19">
        <v>2258.0</v>
      </c>
      <c r="C2266" s="19" t="s">
        <v>6090</v>
      </c>
    </row>
    <row r="2267">
      <c r="B2267" s="19">
        <v>2259.0</v>
      </c>
      <c r="C2267" s="19" t="s">
        <v>6090</v>
      </c>
    </row>
    <row r="2268">
      <c r="B2268" s="19">
        <v>2260.0</v>
      </c>
      <c r="C2268" s="19" t="s">
        <v>6090</v>
      </c>
    </row>
    <row r="2269">
      <c r="B2269" s="19">
        <v>2261.0</v>
      </c>
      <c r="C2269" s="19" t="s">
        <v>6090</v>
      </c>
    </row>
    <row r="2270">
      <c r="B2270" s="19">
        <v>2262.0</v>
      </c>
      <c r="C2270" s="19" t="s">
        <v>6090</v>
      </c>
    </row>
    <row r="2271">
      <c r="B2271" s="19">
        <v>2263.0</v>
      </c>
      <c r="C2271" s="19" t="s">
        <v>6090</v>
      </c>
    </row>
    <row r="2272">
      <c r="B2272" s="19">
        <v>2264.0</v>
      </c>
      <c r="C2272" s="19" t="s">
        <v>6090</v>
      </c>
    </row>
    <row r="2273">
      <c r="B2273" s="19">
        <v>2265.0</v>
      </c>
      <c r="C2273" s="19" t="s">
        <v>6090</v>
      </c>
    </row>
    <row r="2274">
      <c r="B2274" s="19">
        <v>2266.0</v>
      </c>
      <c r="C2274" s="19" t="s">
        <v>6090</v>
      </c>
    </row>
    <row r="2275">
      <c r="B2275" s="19">
        <v>2267.0</v>
      </c>
      <c r="C2275" s="19" t="s">
        <v>6090</v>
      </c>
    </row>
    <row r="2276">
      <c r="B2276" s="19">
        <v>2268.0</v>
      </c>
      <c r="C2276" s="19" t="s">
        <v>6090</v>
      </c>
    </row>
    <row r="2277">
      <c r="B2277" s="19">
        <v>2269.0</v>
      </c>
      <c r="C2277" s="19" t="s">
        <v>6090</v>
      </c>
    </row>
    <row r="2278">
      <c r="B2278" s="19">
        <v>2270.0</v>
      </c>
      <c r="C2278" s="19" t="s">
        <v>6090</v>
      </c>
    </row>
    <row r="2279">
      <c r="B2279" s="19">
        <v>2271.0</v>
      </c>
      <c r="C2279" s="19" t="s">
        <v>6090</v>
      </c>
    </row>
    <row r="2280">
      <c r="B2280" s="19">
        <v>2272.0</v>
      </c>
      <c r="C2280" s="19" t="s">
        <v>6090</v>
      </c>
    </row>
    <row r="2281">
      <c r="B2281" s="19">
        <v>2273.0</v>
      </c>
      <c r="C2281" s="19" t="s">
        <v>6090</v>
      </c>
    </row>
    <row r="2282">
      <c r="B2282" s="19">
        <v>2274.0</v>
      </c>
      <c r="C2282" s="19" t="s">
        <v>6090</v>
      </c>
    </row>
    <row r="2283">
      <c r="B2283" s="19">
        <v>2275.0</v>
      </c>
      <c r="C2283" s="19" t="s">
        <v>6090</v>
      </c>
    </row>
    <row r="2284">
      <c r="B2284" s="19">
        <v>2276.0</v>
      </c>
      <c r="C2284" s="19" t="s">
        <v>6090</v>
      </c>
    </row>
    <row r="2285">
      <c r="B2285" s="19">
        <v>2277.0</v>
      </c>
      <c r="C2285" s="19" t="s">
        <v>6090</v>
      </c>
    </row>
    <row r="2286">
      <c r="B2286" s="19">
        <v>2278.0</v>
      </c>
      <c r="C2286" s="19" t="s">
        <v>6090</v>
      </c>
    </row>
    <row r="2287">
      <c r="B2287" s="19">
        <v>2279.0</v>
      </c>
      <c r="C2287" s="19" t="s">
        <v>6090</v>
      </c>
    </row>
    <row r="2288">
      <c r="B2288" s="19">
        <v>2280.0</v>
      </c>
      <c r="C2288" s="19" t="s">
        <v>6090</v>
      </c>
    </row>
    <row r="2289">
      <c r="B2289" s="19">
        <v>2281.0</v>
      </c>
      <c r="C2289" s="19" t="s">
        <v>6090</v>
      </c>
    </row>
    <row r="2290">
      <c r="B2290" s="19">
        <v>2282.0</v>
      </c>
      <c r="C2290" s="19" t="s">
        <v>6090</v>
      </c>
    </row>
    <row r="2291">
      <c r="B2291" s="19">
        <v>2283.0</v>
      </c>
      <c r="C2291" s="19" t="s">
        <v>6090</v>
      </c>
    </row>
    <row r="2292">
      <c r="B2292" s="19">
        <v>2284.0</v>
      </c>
      <c r="C2292" s="19" t="s">
        <v>6090</v>
      </c>
    </row>
    <row r="2293">
      <c r="B2293" s="19">
        <v>2285.0</v>
      </c>
      <c r="C2293" s="19" t="s">
        <v>6090</v>
      </c>
    </row>
    <row r="2294">
      <c r="B2294" s="19">
        <v>2286.0</v>
      </c>
      <c r="C2294" s="19" t="s">
        <v>6090</v>
      </c>
    </row>
    <row r="2295">
      <c r="B2295" s="19">
        <v>2287.0</v>
      </c>
      <c r="C2295" s="19" t="s">
        <v>6090</v>
      </c>
    </row>
    <row r="2296">
      <c r="B2296" s="19">
        <v>2288.0</v>
      </c>
      <c r="C2296" s="19" t="s">
        <v>6090</v>
      </c>
    </row>
    <row r="2297">
      <c r="B2297" s="19">
        <v>2289.0</v>
      </c>
      <c r="C2297" s="19" t="s">
        <v>6090</v>
      </c>
    </row>
    <row r="2298">
      <c r="B2298" s="19">
        <v>2290.0</v>
      </c>
      <c r="C2298" s="19" t="s">
        <v>6090</v>
      </c>
    </row>
    <row r="2299">
      <c r="B2299" s="19">
        <v>2291.0</v>
      </c>
      <c r="C2299" s="19" t="s">
        <v>6090</v>
      </c>
    </row>
    <row r="2300">
      <c r="B2300" s="19">
        <v>2292.0</v>
      </c>
      <c r="C2300" s="19" t="s">
        <v>6090</v>
      </c>
    </row>
    <row r="2301">
      <c r="B2301" s="19">
        <v>2293.0</v>
      </c>
      <c r="C2301" s="19" t="s">
        <v>6090</v>
      </c>
    </row>
    <row r="2302">
      <c r="B2302" s="19">
        <v>2294.0</v>
      </c>
      <c r="C2302" s="19" t="s">
        <v>6090</v>
      </c>
    </row>
    <row r="2303">
      <c r="B2303" s="19">
        <v>2295.0</v>
      </c>
      <c r="C2303" s="19" t="s">
        <v>6090</v>
      </c>
    </row>
    <row r="2304">
      <c r="B2304" s="19">
        <v>2296.0</v>
      </c>
      <c r="C2304" s="19" t="s">
        <v>6090</v>
      </c>
    </row>
    <row r="2305">
      <c r="B2305" s="19">
        <v>2297.0</v>
      </c>
      <c r="C2305" s="19" t="s">
        <v>6090</v>
      </c>
    </row>
    <row r="2306">
      <c r="B2306" s="19">
        <v>2298.0</v>
      </c>
      <c r="C2306" s="19" t="s">
        <v>6090</v>
      </c>
    </row>
    <row r="2307">
      <c r="B2307" s="19">
        <v>2299.0</v>
      </c>
      <c r="C2307" s="19" t="s">
        <v>6090</v>
      </c>
    </row>
    <row r="2308">
      <c r="B2308" s="19">
        <v>2300.0</v>
      </c>
      <c r="C2308" s="19" t="s">
        <v>6090</v>
      </c>
    </row>
    <row r="2309">
      <c r="B2309" s="19">
        <v>2301.0</v>
      </c>
      <c r="C2309" s="19" t="s">
        <v>6090</v>
      </c>
    </row>
    <row r="2310">
      <c r="B2310" s="19">
        <v>2302.0</v>
      </c>
      <c r="C2310" s="19" t="s">
        <v>6090</v>
      </c>
    </row>
    <row r="2311">
      <c r="B2311" s="19">
        <v>2303.0</v>
      </c>
      <c r="C2311" s="19" t="s">
        <v>6090</v>
      </c>
    </row>
    <row r="2312">
      <c r="B2312" s="19">
        <v>2304.0</v>
      </c>
      <c r="C2312" s="19" t="s">
        <v>6090</v>
      </c>
    </row>
    <row r="2313">
      <c r="B2313" s="19">
        <v>2305.0</v>
      </c>
      <c r="C2313" s="19" t="s">
        <v>6090</v>
      </c>
    </row>
    <row r="2314">
      <c r="B2314" s="19">
        <v>2306.0</v>
      </c>
      <c r="C2314" s="19" t="s">
        <v>6090</v>
      </c>
    </row>
    <row r="2315">
      <c r="B2315" s="19">
        <v>2307.0</v>
      </c>
      <c r="C2315" s="19" t="s">
        <v>6090</v>
      </c>
    </row>
    <row r="2316">
      <c r="B2316" s="19">
        <v>2308.0</v>
      </c>
      <c r="C2316" s="19" t="s">
        <v>6090</v>
      </c>
    </row>
    <row r="2317">
      <c r="B2317" s="19">
        <v>2309.0</v>
      </c>
      <c r="C2317" s="19" t="s">
        <v>6090</v>
      </c>
    </row>
    <row r="2318">
      <c r="B2318" s="19">
        <v>2310.0</v>
      </c>
      <c r="C2318" s="19" t="s">
        <v>6090</v>
      </c>
    </row>
    <row r="2319">
      <c r="B2319" s="19">
        <v>2311.0</v>
      </c>
      <c r="C2319" s="19" t="s">
        <v>6090</v>
      </c>
    </row>
    <row r="2320">
      <c r="B2320" s="19">
        <v>2312.0</v>
      </c>
      <c r="C2320" s="19" t="s">
        <v>6090</v>
      </c>
    </row>
    <row r="2321">
      <c r="B2321" s="19">
        <v>2313.0</v>
      </c>
      <c r="C2321" s="19" t="s">
        <v>6090</v>
      </c>
    </row>
    <row r="2322">
      <c r="B2322" s="19">
        <v>2314.0</v>
      </c>
      <c r="C2322" s="19" t="s">
        <v>6090</v>
      </c>
    </row>
    <row r="2323">
      <c r="B2323" s="19">
        <v>2315.0</v>
      </c>
      <c r="C2323" s="19" t="s">
        <v>6090</v>
      </c>
    </row>
    <row r="2324">
      <c r="B2324" s="19">
        <v>2316.0</v>
      </c>
      <c r="C2324" s="19" t="s">
        <v>6090</v>
      </c>
    </row>
    <row r="2325">
      <c r="B2325" s="19">
        <v>2317.0</v>
      </c>
      <c r="C2325" s="19" t="s">
        <v>6090</v>
      </c>
    </row>
    <row r="2326">
      <c r="B2326" s="19">
        <v>2318.0</v>
      </c>
      <c r="C2326" s="19" t="s">
        <v>6090</v>
      </c>
    </row>
    <row r="2327">
      <c r="B2327" s="19">
        <v>2319.0</v>
      </c>
      <c r="C2327" s="19" t="s">
        <v>6090</v>
      </c>
    </row>
    <row r="2328">
      <c r="B2328" s="19">
        <v>2320.0</v>
      </c>
      <c r="C2328" s="19" t="s">
        <v>6090</v>
      </c>
    </row>
    <row r="2329">
      <c r="B2329" s="19">
        <v>2321.0</v>
      </c>
      <c r="C2329" s="19" t="s">
        <v>6090</v>
      </c>
    </row>
    <row r="2330">
      <c r="B2330" s="19">
        <v>2322.0</v>
      </c>
      <c r="C2330" s="19" t="s">
        <v>6090</v>
      </c>
    </row>
    <row r="2331">
      <c r="B2331" s="19">
        <v>2323.0</v>
      </c>
      <c r="C2331" s="19" t="s">
        <v>6090</v>
      </c>
    </row>
    <row r="2332">
      <c r="B2332" s="19">
        <v>2324.0</v>
      </c>
      <c r="C2332" s="19" t="s">
        <v>6090</v>
      </c>
    </row>
    <row r="2333">
      <c r="B2333" s="19">
        <v>2325.0</v>
      </c>
      <c r="C2333" s="19" t="s">
        <v>6090</v>
      </c>
    </row>
    <row r="2334">
      <c r="B2334" s="19">
        <v>2326.0</v>
      </c>
      <c r="C2334" s="19" t="s">
        <v>6090</v>
      </c>
    </row>
    <row r="2335">
      <c r="B2335" s="19">
        <v>2327.0</v>
      </c>
      <c r="C2335" s="19" t="s">
        <v>6090</v>
      </c>
    </row>
    <row r="2336">
      <c r="B2336" s="19">
        <v>2328.0</v>
      </c>
      <c r="C2336" s="19" t="s">
        <v>6090</v>
      </c>
    </row>
    <row r="2337">
      <c r="B2337" s="19">
        <v>2329.0</v>
      </c>
      <c r="C2337" s="19" t="s">
        <v>6090</v>
      </c>
    </row>
    <row r="2338">
      <c r="B2338" s="19">
        <v>2330.0</v>
      </c>
      <c r="C2338" s="19" t="s">
        <v>6090</v>
      </c>
    </row>
    <row r="2339">
      <c r="B2339" s="19">
        <v>2331.0</v>
      </c>
      <c r="C2339" s="19" t="s">
        <v>6090</v>
      </c>
    </row>
    <row r="2340">
      <c r="B2340" s="19">
        <v>2332.0</v>
      </c>
      <c r="C2340" s="19" t="s">
        <v>6090</v>
      </c>
    </row>
    <row r="2341">
      <c r="B2341" s="19">
        <v>2333.0</v>
      </c>
      <c r="C2341" s="19" t="s">
        <v>6090</v>
      </c>
    </row>
    <row r="2342">
      <c r="B2342" s="19">
        <v>2334.0</v>
      </c>
      <c r="C2342" s="19" t="s">
        <v>6090</v>
      </c>
    </row>
    <row r="2343">
      <c r="B2343" s="19">
        <v>2335.0</v>
      </c>
      <c r="C2343" s="19" t="s">
        <v>6090</v>
      </c>
    </row>
    <row r="2344">
      <c r="B2344" s="19">
        <v>2336.0</v>
      </c>
      <c r="C2344" s="19" t="s">
        <v>6090</v>
      </c>
    </row>
    <row r="2345">
      <c r="B2345" s="19">
        <v>2337.0</v>
      </c>
      <c r="C2345" s="19" t="s">
        <v>6090</v>
      </c>
    </row>
    <row r="2346">
      <c r="B2346" s="19">
        <v>2338.0</v>
      </c>
      <c r="C2346" s="19" t="s">
        <v>6090</v>
      </c>
    </row>
    <row r="2347">
      <c r="B2347" s="19">
        <v>2339.0</v>
      </c>
      <c r="C2347" s="19" t="s">
        <v>6090</v>
      </c>
    </row>
    <row r="2348">
      <c r="B2348" s="19">
        <v>2340.0</v>
      </c>
      <c r="C2348" s="19" t="s">
        <v>6090</v>
      </c>
    </row>
    <row r="2349">
      <c r="B2349" s="19">
        <v>2341.0</v>
      </c>
      <c r="C2349" s="19" t="s">
        <v>6090</v>
      </c>
    </row>
    <row r="2350">
      <c r="B2350" s="19">
        <v>2342.0</v>
      </c>
      <c r="C2350" s="19" t="s">
        <v>6090</v>
      </c>
    </row>
    <row r="2351">
      <c r="B2351" s="19">
        <v>2343.0</v>
      </c>
      <c r="C2351" s="19" t="s">
        <v>6090</v>
      </c>
    </row>
    <row r="2352">
      <c r="B2352" s="19">
        <v>2344.0</v>
      </c>
      <c r="C2352" s="19" t="s">
        <v>6090</v>
      </c>
    </row>
    <row r="2353">
      <c r="B2353" s="19">
        <v>2345.0</v>
      </c>
      <c r="C2353" s="19" t="s">
        <v>6090</v>
      </c>
    </row>
    <row r="2354">
      <c r="B2354" s="19">
        <v>2346.0</v>
      </c>
      <c r="C2354" s="19" t="s">
        <v>6090</v>
      </c>
    </row>
    <row r="2355">
      <c r="B2355" s="19">
        <v>2347.0</v>
      </c>
      <c r="C2355" s="19" t="s">
        <v>6090</v>
      </c>
    </row>
    <row r="2356">
      <c r="B2356" s="19">
        <v>2348.0</v>
      </c>
      <c r="C2356" s="19" t="s">
        <v>6090</v>
      </c>
    </row>
    <row r="2357">
      <c r="B2357" s="19">
        <v>2349.0</v>
      </c>
      <c r="C2357" s="19" t="s">
        <v>6090</v>
      </c>
    </row>
    <row r="2358">
      <c r="B2358" s="19">
        <v>2350.0</v>
      </c>
      <c r="C2358" s="19" t="s">
        <v>6090</v>
      </c>
    </row>
    <row r="2359">
      <c r="B2359" s="19">
        <v>2351.0</v>
      </c>
      <c r="C2359" s="19" t="s">
        <v>6090</v>
      </c>
    </row>
    <row r="2360">
      <c r="B2360" s="19">
        <v>2352.0</v>
      </c>
      <c r="C2360" s="19" t="s">
        <v>6090</v>
      </c>
    </row>
    <row r="2361">
      <c r="B2361" s="19">
        <v>2353.0</v>
      </c>
      <c r="C2361" s="19" t="s">
        <v>6090</v>
      </c>
    </row>
    <row r="2362">
      <c r="B2362" s="19">
        <v>2354.0</v>
      </c>
      <c r="C2362" s="19" t="s">
        <v>6090</v>
      </c>
    </row>
    <row r="2363">
      <c r="B2363" s="19">
        <v>2355.0</v>
      </c>
      <c r="C2363" s="19" t="s">
        <v>6090</v>
      </c>
    </row>
    <row r="2364">
      <c r="B2364" s="19">
        <v>2356.0</v>
      </c>
      <c r="C2364" s="19" t="s">
        <v>6090</v>
      </c>
    </row>
    <row r="2365">
      <c r="B2365" s="19">
        <v>2357.0</v>
      </c>
      <c r="C2365" s="19" t="s">
        <v>6090</v>
      </c>
    </row>
    <row r="2366">
      <c r="B2366" s="19">
        <v>2358.0</v>
      </c>
      <c r="C2366" s="19" t="s">
        <v>6090</v>
      </c>
    </row>
    <row r="2367">
      <c r="B2367" s="19">
        <v>2359.0</v>
      </c>
      <c r="C2367" s="19" t="s">
        <v>6090</v>
      </c>
    </row>
    <row r="2368">
      <c r="B2368" s="19">
        <v>2360.0</v>
      </c>
      <c r="C2368" s="19" t="s">
        <v>6090</v>
      </c>
    </row>
    <row r="2369">
      <c r="B2369" s="19">
        <v>2361.0</v>
      </c>
      <c r="C2369" s="19" t="s">
        <v>6090</v>
      </c>
    </row>
    <row r="2370">
      <c r="B2370" s="19">
        <v>2362.0</v>
      </c>
      <c r="C2370" s="19" t="s">
        <v>6090</v>
      </c>
    </row>
    <row r="2371">
      <c r="B2371" s="19">
        <v>2363.0</v>
      </c>
      <c r="C2371" s="19" t="s">
        <v>6090</v>
      </c>
    </row>
    <row r="2372">
      <c r="B2372" s="19">
        <v>2364.0</v>
      </c>
      <c r="C2372" s="19" t="s">
        <v>6090</v>
      </c>
    </row>
    <row r="2373">
      <c r="B2373" s="19">
        <v>2365.0</v>
      </c>
      <c r="C2373" s="19" t="s">
        <v>6090</v>
      </c>
    </row>
    <row r="2374">
      <c r="B2374" s="19">
        <v>2366.0</v>
      </c>
      <c r="C2374" s="19" t="s">
        <v>6090</v>
      </c>
    </row>
    <row r="2375">
      <c r="B2375" s="19">
        <v>2367.0</v>
      </c>
      <c r="C2375" s="19" t="s">
        <v>6090</v>
      </c>
    </row>
    <row r="2376">
      <c r="B2376" s="19">
        <v>2368.0</v>
      </c>
      <c r="C2376" s="19" t="s">
        <v>6090</v>
      </c>
    </row>
    <row r="2377">
      <c r="B2377" s="19">
        <v>2369.0</v>
      </c>
      <c r="C2377" s="19" t="s">
        <v>6090</v>
      </c>
    </row>
    <row r="2378">
      <c r="B2378" s="19">
        <v>2370.0</v>
      </c>
      <c r="C2378" s="19" t="s">
        <v>6090</v>
      </c>
    </row>
    <row r="2379">
      <c r="B2379" s="19">
        <v>2371.0</v>
      </c>
      <c r="C2379" s="19" t="s">
        <v>6090</v>
      </c>
    </row>
    <row r="2380">
      <c r="B2380" s="19">
        <v>2372.0</v>
      </c>
      <c r="C2380" s="19" t="s">
        <v>6090</v>
      </c>
    </row>
    <row r="2381">
      <c r="B2381" s="19">
        <v>2373.0</v>
      </c>
      <c r="C2381" s="19" t="s">
        <v>6090</v>
      </c>
    </row>
    <row r="2382">
      <c r="B2382" s="19">
        <v>2374.0</v>
      </c>
      <c r="C2382" s="19" t="s">
        <v>6090</v>
      </c>
    </row>
    <row r="2383">
      <c r="B2383" s="19">
        <v>2375.0</v>
      </c>
      <c r="C2383" s="19" t="s">
        <v>6090</v>
      </c>
    </row>
    <row r="2384">
      <c r="B2384" s="19">
        <v>2376.0</v>
      </c>
      <c r="C2384" s="19" t="s">
        <v>6090</v>
      </c>
    </row>
    <row r="2385">
      <c r="B2385" s="19">
        <v>2377.0</v>
      </c>
      <c r="C2385" s="19" t="s">
        <v>6090</v>
      </c>
    </row>
    <row r="2386">
      <c r="B2386" s="19">
        <v>2378.0</v>
      </c>
      <c r="C2386" s="19" t="s">
        <v>6090</v>
      </c>
    </row>
    <row r="2387">
      <c r="B2387" s="19">
        <v>2379.0</v>
      </c>
      <c r="C2387" s="19" t="s">
        <v>6090</v>
      </c>
    </row>
    <row r="2388">
      <c r="B2388" s="19">
        <v>2380.0</v>
      </c>
      <c r="C2388" s="19" t="s">
        <v>6090</v>
      </c>
    </row>
    <row r="2389">
      <c r="B2389" s="19">
        <v>2381.0</v>
      </c>
      <c r="C2389" s="19" t="s">
        <v>6090</v>
      </c>
    </row>
    <row r="2390">
      <c r="B2390" s="19">
        <v>2382.0</v>
      </c>
      <c r="C2390" s="19" t="s">
        <v>6090</v>
      </c>
    </row>
    <row r="2391">
      <c r="B2391" s="19">
        <v>2383.0</v>
      </c>
      <c r="C2391" s="19" t="s">
        <v>6090</v>
      </c>
    </row>
    <row r="2392">
      <c r="B2392" s="19">
        <v>2384.0</v>
      </c>
      <c r="C2392" s="19" t="s">
        <v>6090</v>
      </c>
    </row>
    <row r="2393">
      <c r="B2393" s="19">
        <v>2385.0</v>
      </c>
      <c r="C2393" s="19" t="s">
        <v>6090</v>
      </c>
    </row>
    <row r="2394">
      <c r="B2394" s="19">
        <v>2386.0</v>
      </c>
      <c r="C2394" s="19" t="s">
        <v>6090</v>
      </c>
    </row>
    <row r="2395">
      <c r="B2395" s="19">
        <v>2387.0</v>
      </c>
      <c r="C2395" s="19" t="s">
        <v>6090</v>
      </c>
    </row>
    <row r="2396">
      <c r="B2396" s="19">
        <v>2388.0</v>
      </c>
      <c r="C2396" s="19" t="s">
        <v>6090</v>
      </c>
    </row>
    <row r="2397">
      <c r="B2397" s="19">
        <v>2389.0</v>
      </c>
      <c r="C2397" s="19" t="s">
        <v>6090</v>
      </c>
    </row>
    <row r="2398">
      <c r="B2398" s="19">
        <v>2390.0</v>
      </c>
      <c r="C2398" s="19" t="s">
        <v>6090</v>
      </c>
    </row>
    <row r="2399">
      <c r="B2399" s="19">
        <v>2391.0</v>
      </c>
      <c r="C2399" s="19" t="s">
        <v>6090</v>
      </c>
    </row>
    <row r="2400">
      <c r="B2400" s="19">
        <v>2392.0</v>
      </c>
      <c r="C2400" s="19" t="s">
        <v>6090</v>
      </c>
    </row>
    <row r="2401">
      <c r="B2401" s="19">
        <v>2393.0</v>
      </c>
      <c r="C2401" s="19" t="s">
        <v>6090</v>
      </c>
    </row>
    <row r="2402">
      <c r="B2402" s="19">
        <v>2394.0</v>
      </c>
      <c r="C2402" s="19" t="s">
        <v>6090</v>
      </c>
    </row>
    <row r="2403">
      <c r="B2403" s="19">
        <v>2395.0</v>
      </c>
      <c r="C2403" s="19" t="s">
        <v>6090</v>
      </c>
    </row>
    <row r="2404">
      <c r="B2404" s="19">
        <v>2396.0</v>
      </c>
      <c r="C2404" s="19" t="s">
        <v>6090</v>
      </c>
    </row>
    <row r="2405">
      <c r="B2405" s="19">
        <v>2397.0</v>
      </c>
      <c r="C2405" s="19" t="s">
        <v>6090</v>
      </c>
    </row>
    <row r="2406">
      <c r="B2406" s="19">
        <v>2398.0</v>
      </c>
      <c r="C2406" s="19" t="s">
        <v>6090</v>
      </c>
    </row>
    <row r="2407">
      <c r="B2407" s="19">
        <v>2399.0</v>
      </c>
      <c r="C2407" s="19" t="s">
        <v>6090</v>
      </c>
    </row>
    <row r="2408">
      <c r="B2408" s="19">
        <v>2400.0</v>
      </c>
      <c r="C2408" s="19" t="s">
        <v>6090</v>
      </c>
    </row>
    <row r="2409">
      <c r="B2409" s="19">
        <v>2401.0</v>
      </c>
      <c r="C2409" s="19" t="s">
        <v>6090</v>
      </c>
    </row>
    <row r="2410">
      <c r="B2410" s="19">
        <v>2402.0</v>
      </c>
      <c r="C2410" s="19" t="s">
        <v>6090</v>
      </c>
    </row>
    <row r="2411">
      <c r="B2411" s="19">
        <v>2403.0</v>
      </c>
      <c r="C2411" s="19" t="s">
        <v>6090</v>
      </c>
    </row>
    <row r="2412">
      <c r="B2412" s="19">
        <v>2404.0</v>
      </c>
      <c r="C2412" s="19" t="s">
        <v>6090</v>
      </c>
    </row>
    <row r="2413">
      <c r="B2413" s="19">
        <v>2405.0</v>
      </c>
      <c r="C2413" s="19" t="s">
        <v>6090</v>
      </c>
    </row>
    <row r="2414">
      <c r="B2414" s="19">
        <v>2406.0</v>
      </c>
      <c r="C2414" s="19" t="s">
        <v>6090</v>
      </c>
    </row>
    <row r="2415">
      <c r="B2415" s="19">
        <v>2407.0</v>
      </c>
      <c r="C2415" s="19" t="s">
        <v>6090</v>
      </c>
    </row>
    <row r="2416">
      <c r="B2416" s="19">
        <v>2408.0</v>
      </c>
      <c r="C2416" s="19" t="s">
        <v>6090</v>
      </c>
    </row>
    <row r="2417">
      <c r="B2417" s="19">
        <v>2409.0</v>
      </c>
      <c r="C2417" s="19" t="s">
        <v>6090</v>
      </c>
    </row>
    <row r="2418">
      <c r="B2418" s="19">
        <v>2410.0</v>
      </c>
      <c r="C2418" s="19" t="s">
        <v>6090</v>
      </c>
    </row>
    <row r="2419">
      <c r="B2419" s="19">
        <v>2411.0</v>
      </c>
      <c r="C2419" s="19" t="s">
        <v>6090</v>
      </c>
    </row>
    <row r="2420">
      <c r="B2420" s="19">
        <v>2412.0</v>
      </c>
      <c r="C2420" s="19" t="s">
        <v>6090</v>
      </c>
    </row>
    <row r="2421">
      <c r="B2421" s="19">
        <v>2413.0</v>
      </c>
      <c r="C2421" s="19" t="s">
        <v>6090</v>
      </c>
    </row>
    <row r="2422">
      <c r="B2422" s="19">
        <v>2414.0</v>
      </c>
      <c r="C2422" s="19" t="s">
        <v>6090</v>
      </c>
    </row>
    <row r="2423">
      <c r="B2423" s="19">
        <v>2415.0</v>
      </c>
      <c r="C2423" s="19" t="s">
        <v>6090</v>
      </c>
    </row>
    <row r="2424">
      <c r="B2424" s="19">
        <v>2416.0</v>
      </c>
      <c r="C2424" s="19" t="s">
        <v>6090</v>
      </c>
    </row>
    <row r="2425">
      <c r="B2425" s="19">
        <v>2417.0</v>
      </c>
      <c r="C2425" s="19" t="s">
        <v>6090</v>
      </c>
    </row>
    <row r="2426">
      <c r="B2426" s="19">
        <v>2418.0</v>
      </c>
      <c r="C2426" s="19" t="s">
        <v>6090</v>
      </c>
    </row>
    <row r="2427">
      <c r="B2427" s="19">
        <v>2419.0</v>
      </c>
      <c r="C2427" s="19" t="s">
        <v>6090</v>
      </c>
    </row>
    <row r="2428">
      <c r="B2428" s="19">
        <v>2420.0</v>
      </c>
      <c r="C2428" s="19" t="s">
        <v>6090</v>
      </c>
    </row>
    <row r="2429">
      <c r="B2429" s="19">
        <v>2421.0</v>
      </c>
      <c r="C2429" s="19" t="s">
        <v>6090</v>
      </c>
    </row>
    <row r="2430">
      <c r="B2430" s="19">
        <v>2422.0</v>
      </c>
      <c r="C2430" s="19" t="s">
        <v>6090</v>
      </c>
    </row>
    <row r="2431">
      <c r="B2431" s="19">
        <v>2423.0</v>
      </c>
      <c r="C2431" s="19" t="s">
        <v>6090</v>
      </c>
    </row>
    <row r="2432">
      <c r="B2432" s="19">
        <v>2424.0</v>
      </c>
      <c r="C2432" s="19" t="s">
        <v>6090</v>
      </c>
    </row>
    <row r="2433">
      <c r="B2433" s="19">
        <v>2425.0</v>
      </c>
      <c r="C2433" s="19" t="s">
        <v>6090</v>
      </c>
    </row>
    <row r="2434">
      <c r="B2434" s="19">
        <v>2426.0</v>
      </c>
      <c r="C2434" s="19" t="s">
        <v>6090</v>
      </c>
    </row>
    <row r="2435">
      <c r="B2435" s="19">
        <v>2427.0</v>
      </c>
      <c r="C2435" s="19" t="s">
        <v>6090</v>
      </c>
    </row>
    <row r="2436">
      <c r="B2436" s="19">
        <v>2428.0</v>
      </c>
      <c r="C2436" s="19" t="s">
        <v>6090</v>
      </c>
    </row>
    <row r="2437">
      <c r="B2437" s="19">
        <v>2429.0</v>
      </c>
      <c r="C2437" s="19" t="s">
        <v>6090</v>
      </c>
    </row>
    <row r="2438">
      <c r="B2438" s="19">
        <v>2430.0</v>
      </c>
      <c r="C2438" s="19" t="s">
        <v>6090</v>
      </c>
    </row>
    <row r="2439">
      <c r="B2439" s="19">
        <v>2431.0</v>
      </c>
      <c r="C2439" s="19" t="s">
        <v>6090</v>
      </c>
    </row>
    <row r="2440">
      <c r="B2440" s="19">
        <v>2432.0</v>
      </c>
      <c r="C2440" s="19" t="s">
        <v>6090</v>
      </c>
    </row>
    <row r="2441">
      <c r="B2441" s="19">
        <v>2433.0</v>
      </c>
      <c r="C2441" s="19" t="s">
        <v>6090</v>
      </c>
    </row>
    <row r="2442">
      <c r="B2442" s="19">
        <v>2434.0</v>
      </c>
      <c r="C2442" s="19" t="s">
        <v>6090</v>
      </c>
    </row>
    <row r="2443">
      <c r="B2443" s="19">
        <v>2435.0</v>
      </c>
      <c r="C2443" s="19" t="s">
        <v>6090</v>
      </c>
    </row>
    <row r="2444">
      <c r="B2444" s="19">
        <v>2436.0</v>
      </c>
      <c r="C2444" s="19" t="s">
        <v>6090</v>
      </c>
    </row>
    <row r="2445">
      <c r="B2445" s="19">
        <v>2437.0</v>
      </c>
      <c r="C2445" s="19" t="s">
        <v>6090</v>
      </c>
    </row>
    <row r="2446">
      <c r="B2446" s="19">
        <v>2438.0</v>
      </c>
      <c r="C2446" s="19" t="s">
        <v>6090</v>
      </c>
    </row>
    <row r="2447">
      <c r="B2447" s="19">
        <v>2439.0</v>
      </c>
      <c r="C2447" s="19" t="s">
        <v>6090</v>
      </c>
    </row>
    <row r="2448">
      <c r="B2448" s="19">
        <v>2440.0</v>
      </c>
      <c r="C2448" s="19" t="s">
        <v>6090</v>
      </c>
    </row>
    <row r="2449">
      <c r="B2449" s="19">
        <v>2441.0</v>
      </c>
      <c r="C2449" s="19" t="s">
        <v>6090</v>
      </c>
    </row>
    <row r="2450">
      <c r="B2450" s="19">
        <v>2442.0</v>
      </c>
      <c r="C2450" s="19" t="s">
        <v>6090</v>
      </c>
    </row>
    <row r="2451">
      <c r="B2451" s="19">
        <v>2443.0</v>
      </c>
      <c r="C2451" s="19" t="s">
        <v>6090</v>
      </c>
    </row>
    <row r="2452">
      <c r="B2452" s="19">
        <v>2444.0</v>
      </c>
      <c r="C2452" s="19" t="s">
        <v>6090</v>
      </c>
    </row>
    <row r="2453">
      <c r="B2453" s="19">
        <v>2445.0</v>
      </c>
      <c r="C2453" s="19" t="s">
        <v>6090</v>
      </c>
    </row>
    <row r="2454">
      <c r="B2454" s="19">
        <v>2446.0</v>
      </c>
      <c r="C2454" s="19" t="s">
        <v>6090</v>
      </c>
    </row>
    <row r="2455">
      <c r="B2455" s="19">
        <v>2447.0</v>
      </c>
      <c r="C2455" s="19" t="s">
        <v>6090</v>
      </c>
    </row>
    <row r="2456">
      <c r="B2456" s="19">
        <v>2448.0</v>
      </c>
      <c r="C2456" s="19" t="s">
        <v>6090</v>
      </c>
    </row>
    <row r="2457">
      <c r="B2457" s="19">
        <v>2449.0</v>
      </c>
      <c r="C2457" s="19" t="s">
        <v>6090</v>
      </c>
    </row>
    <row r="2458">
      <c r="B2458" s="19">
        <v>2450.0</v>
      </c>
      <c r="C2458" s="19" t="s">
        <v>6090</v>
      </c>
    </row>
    <row r="2459">
      <c r="B2459" s="19">
        <v>2451.0</v>
      </c>
      <c r="C2459" s="19" t="s">
        <v>6090</v>
      </c>
    </row>
    <row r="2460">
      <c r="B2460" s="19">
        <v>2452.0</v>
      </c>
      <c r="C2460" s="19" t="s">
        <v>6090</v>
      </c>
    </row>
    <row r="2461">
      <c r="B2461" s="19">
        <v>2453.0</v>
      </c>
      <c r="C2461" s="19" t="s">
        <v>6090</v>
      </c>
    </row>
    <row r="2462">
      <c r="B2462" s="19">
        <v>2454.0</v>
      </c>
      <c r="C2462" s="19" t="s">
        <v>6090</v>
      </c>
    </row>
    <row r="2463">
      <c r="B2463" s="19">
        <v>2455.0</v>
      </c>
      <c r="C2463" s="19" t="s">
        <v>6090</v>
      </c>
    </row>
    <row r="2464">
      <c r="B2464" s="19">
        <v>2456.0</v>
      </c>
      <c r="C2464" s="19" t="s">
        <v>6090</v>
      </c>
    </row>
    <row r="2465">
      <c r="B2465" s="19">
        <v>2457.0</v>
      </c>
      <c r="C2465" s="19" t="s">
        <v>6090</v>
      </c>
    </row>
    <row r="2466">
      <c r="B2466" s="19">
        <v>2458.0</v>
      </c>
      <c r="C2466" s="19" t="s">
        <v>6090</v>
      </c>
    </row>
    <row r="2467">
      <c r="B2467" s="19">
        <v>2459.0</v>
      </c>
      <c r="C2467" s="19" t="s">
        <v>6090</v>
      </c>
    </row>
    <row r="2468">
      <c r="B2468" s="19">
        <v>2460.0</v>
      </c>
      <c r="C2468" s="19" t="s">
        <v>6090</v>
      </c>
    </row>
    <row r="2469">
      <c r="B2469" s="19">
        <v>2461.0</v>
      </c>
      <c r="C2469" s="19" t="s">
        <v>6090</v>
      </c>
    </row>
    <row r="2470">
      <c r="B2470" s="19">
        <v>2462.0</v>
      </c>
      <c r="C2470" s="19" t="s">
        <v>6090</v>
      </c>
    </row>
    <row r="2471">
      <c r="B2471" s="19">
        <v>2463.0</v>
      </c>
      <c r="C2471" s="19" t="s">
        <v>6090</v>
      </c>
    </row>
    <row r="2472">
      <c r="B2472" s="19">
        <v>2464.0</v>
      </c>
      <c r="C2472" s="19" t="s">
        <v>6090</v>
      </c>
    </row>
    <row r="2473">
      <c r="B2473" s="19">
        <v>2465.0</v>
      </c>
      <c r="C2473" s="19" t="s">
        <v>6090</v>
      </c>
    </row>
    <row r="2474">
      <c r="B2474" s="19">
        <v>2466.0</v>
      </c>
      <c r="C2474" s="19" t="s">
        <v>6090</v>
      </c>
    </row>
    <row r="2475">
      <c r="B2475" s="19">
        <v>2467.0</v>
      </c>
      <c r="C2475" s="19" t="s">
        <v>6090</v>
      </c>
    </row>
    <row r="2476">
      <c r="B2476" s="19">
        <v>2468.0</v>
      </c>
      <c r="C2476" s="19" t="s">
        <v>6090</v>
      </c>
    </row>
    <row r="2477">
      <c r="B2477" s="19">
        <v>2469.0</v>
      </c>
      <c r="C2477" s="19" t="s">
        <v>6090</v>
      </c>
    </row>
    <row r="2478">
      <c r="B2478" s="19">
        <v>2470.0</v>
      </c>
      <c r="C2478" s="19" t="s">
        <v>6090</v>
      </c>
    </row>
    <row r="2479">
      <c r="B2479" s="19">
        <v>2471.0</v>
      </c>
      <c r="C2479" s="19" t="s">
        <v>6090</v>
      </c>
    </row>
    <row r="2480">
      <c r="B2480" s="19">
        <v>2472.0</v>
      </c>
      <c r="C2480" s="19" t="s">
        <v>6090</v>
      </c>
    </row>
    <row r="2481">
      <c r="B2481" s="19">
        <v>2473.0</v>
      </c>
      <c r="C2481" s="19" t="s">
        <v>6090</v>
      </c>
    </row>
    <row r="2482">
      <c r="B2482" s="19">
        <v>2474.0</v>
      </c>
      <c r="C2482" s="19" t="s">
        <v>6090</v>
      </c>
    </row>
    <row r="2483">
      <c r="B2483" s="19">
        <v>2475.0</v>
      </c>
      <c r="C2483" s="19" t="s">
        <v>6090</v>
      </c>
    </row>
    <row r="2484">
      <c r="B2484" s="19">
        <v>2476.0</v>
      </c>
      <c r="C2484" s="19" t="s">
        <v>6090</v>
      </c>
    </row>
    <row r="2485">
      <c r="B2485" s="19">
        <v>2477.0</v>
      </c>
      <c r="C2485" s="19" t="s">
        <v>6090</v>
      </c>
    </row>
    <row r="2486">
      <c r="B2486" s="19">
        <v>2478.0</v>
      </c>
      <c r="C2486" s="19" t="s">
        <v>6090</v>
      </c>
    </row>
    <row r="2487">
      <c r="B2487" s="19">
        <v>2479.0</v>
      </c>
      <c r="C2487" s="19" t="s">
        <v>6090</v>
      </c>
    </row>
    <row r="2488">
      <c r="B2488" s="19">
        <v>2480.0</v>
      </c>
      <c r="C2488" s="19" t="s">
        <v>6090</v>
      </c>
    </row>
    <row r="2489">
      <c r="B2489" s="19">
        <v>2481.0</v>
      </c>
      <c r="C2489" s="19" t="s">
        <v>6090</v>
      </c>
    </row>
    <row r="2490">
      <c r="B2490" s="19">
        <v>2482.0</v>
      </c>
      <c r="C2490" s="19" t="s">
        <v>6090</v>
      </c>
    </row>
    <row r="2491">
      <c r="B2491" s="19">
        <v>2483.0</v>
      </c>
      <c r="C2491" s="19" t="s">
        <v>6090</v>
      </c>
    </row>
    <row r="2492">
      <c r="B2492" s="19">
        <v>2484.0</v>
      </c>
      <c r="C2492" s="19" t="s">
        <v>6090</v>
      </c>
    </row>
    <row r="2493">
      <c r="B2493" s="19">
        <v>2485.0</v>
      </c>
      <c r="C2493" s="19" t="s">
        <v>6090</v>
      </c>
    </row>
    <row r="2494">
      <c r="B2494" s="19">
        <v>2486.0</v>
      </c>
      <c r="C2494" s="19" t="s">
        <v>6090</v>
      </c>
    </row>
    <row r="2495">
      <c r="B2495" s="19">
        <v>2487.0</v>
      </c>
      <c r="C2495" s="19" t="s">
        <v>6090</v>
      </c>
    </row>
    <row r="2496">
      <c r="B2496" s="19">
        <v>2488.0</v>
      </c>
      <c r="C2496" s="19" t="s">
        <v>6090</v>
      </c>
    </row>
    <row r="2497">
      <c r="B2497" s="19">
        <v>2489.0</v>
      </c>
      <c r="C2497" s="19" t="s">
        <v>6090</v>
      </c>
    </row>
    <row r="2498">
      <c r="B2498" s="19">
        <v>2490.0</v>
      </c>
      <c r="C2498" s="19" t="s">
        <v>6090</v>
      </c>
    </row>
    <row r="2499">
      <c r="B2499" s="19">
        <v>2491.0</v>
      </c>
      <c r="C2499" s="19" t="s">
        <v>6090</v>
      </c>
    </row>
    <row r="2500">
      <c r="B2500" s="19">
        <v>2492.0</v>
      </c>
      <c r="C2500" s="19" t="s">
        <v>6090</v>
      </c>
    </row>
    <row r="2501">
      <c r="B2501" s="19">
        <v>2493.0</v>
      </c>
      <c r="C2501" s="19" t="s">
        <v>6090</v>
      </c>
    </row>
    <row r="2502">
      <c r="B2502" s="19">
        <v>2494.0</v>
      </c>
      <c r="C2502" s="19" t="s">
        <v>6090</v>
      </c>
    </row>
    <row r="2503">
      <c r="B2503" s="19">
        <v>2495.0</v>
      </c>
      <c r="C2503" s="19" t="s">
        <v>6090</v>
      </c>
    </row>
    <row r="2504">
      <c r="B2504" s="19">
        <v>2496.0</v>
      </c>
      <c r="C2504" s="19" t="s">
        <v>6090</v>
      </c>
    </row>
    <row r="2505">
      <c r="B2505" s="19">
        <v>2497.0</v>
      </c>
      <c r="C2505" s="19" t="s">
        <v>6090</v>
      </c>
    </row>
    <row r="2506">
      <c r="B2506" s="19">
        <v>2498.0</v>
      </c>
      <c r="C2506" s="19" t="s">
        <v>6090</v>
      </c>
    </row>
    <row r="2507">
      <c r="B2507" s="19">
        <v>2499.0</v>
      </c>
      <c r="C2507" s="19" t="s">
        <v>6090</v>
      </c>
    </row>
    <row r="2508">
      <c r="B2508" s="19">
        <v>2500.0</v>
      </c>
      <c r="C2508" s="19" t="s">
        <v>6090</v>
      </c>
    </row>
    <row r="2509">
      <c r="B2509" s="19">
        <v>2501.0</v>
      </c>
      <c r="C2509" s="19" t="s">
        <v>6090</v>
      </c>
    </row>
    <row r="2510">
      <c r="B2510" s="19">
        <v>2502.0</v>
      </c>
      <c r="C2510" s="19" t="s">
        <v>6090</v>
      </c>
    </row>
    <row r="2511">
      <c r="B2511" s="19">
        <v>2503.0</v>
      </c>
      <c r="C2511" s="19" t="s">
        <v>6090</v>
      </c>
    </row>
    <row r="2512">
      <c r="B2512" s="19">
        <v>2504.0</v>
      </c>
      <c r="C2512" s="19" t="s">
        <v>6090</v>
      </c>
    </row>
    <row r="2513">
      <c r="B2513" s="19">
        <v>2505.0</v>
      </c>
      <c r="C2513" s="19" t="s">
        <v>6090</v>
      </c>
    </row>
    <row r="2514">
      <c r="B2514" s="19">
        <v>2506.0</v>
      </c>
      <c r="C2514" s="19" t="s">
        <v>6090</v>
      </c>
    </row>
    <row r="2515">
      <c r="B2515" s="19">
        <v>2507.0</v>
      </c>
      <c r="C2515" s="19" t="s">
        <v>6090</v>
      </c>
    </row>
    <row r="2516">
      <c r="B2516" s="19">
        <v>2508.0</v>
      </c>
      <c r="C2516" s="19" t="s">
        <v>6090</v>
      </c>
    </row>
    <row r="2517">
      <c r="B2517" s="19">
        <v>2509.0</v>
      </c>
      <c r="C2517" s="19" t="s">
        <v>6090</v>
      </c>
    </row>
    <row r="2518">
      <c r="B2518" s="19">
        <v>2510.0</v>
      </c>
      <c r="C2518" s="19" t="s">
        <v>6090</v>
      </c>
    </row>
    <row r="2519">
      <c r="B2519" s="19">
        <v>2511.0</v>
      </c>
      <c r="C2519" s="19" t="s">
        <v>6090</v>
      </c>
    </row>
    <row r="2520">
      <c r="B2520" s="19">
        <v>2512.0</v>
      </c>
      <c r="C2520" s="19" t="s">
        <v>6090</v>
      </c>
    </row>
    <row r="2521">
      <c r="B2521" s="19">
        <v>2513.0</v>
      </c>
      <c r="C2521" s="19" t="s">
        <v>6090</v>
      </c>
    </row>
    <row r="2522">
      <c r="B2522" s="19">
        <v>2514.0</v>
      </c>
      <c r="C2522" s="19" t="s">
        <v>6090</v>
      </c>
    </row>
    <row r="2523">
      <c r="B2523" s="19">
        <v>2515.0</v>
      </c>
      <c r="C2523" s="19" t="s">
        <v>6090</v>
      </c>
    </row>
    <row r="2524">
      <c r="B2524" s="19">
        <v>2516.0</v>
      </c>
      <c r="C2524" s="19" t="s">
        <v>6090</v>
      </c>
    </row>
    <row r="2525">
      <c r="B2525" s="19">
        <v>2517.0</v>
      </c>
      <c r="C2525" s="19" t="s">
        <v>6090</v>
      </c>
    </row>
    <row r="2526">
      <c r="B2526" s="19">
        <v>2518.0</v>
      </c>
      <c r="C2526" s="19" t="s">
        <v>6090</v>
      </c>
    </row>
    <row r="2527">
      <c r="B2527" s="19">
        <v>2519.0</v>
      </c>
      <c r="C2527" s="19" t="s">
        <v>6090</v>
      </c>
    </row>
    <row r="2528">
      <c r="B2528" s="19">
        <v>2520.0</v>
      </c>
      <c r="C2528" s="19" t="s">
        <v>6090</v>
      </c>
    </row>
    <row r="2529">
      <c r="B2529" s="19">
        <v>2521.0</v>
      </c>
      <c r="C2529" s="19" t="s">
        <v>6090</v>
      </c>
    </row>
    <row r="2530">
      <c r="B2530" s="19">
        <v>2522.0</v>
      </c>
      <c r="C2530" s="19" t="s">
        <v>6090</v>
      </c>
    </row>
    <row r="2531">
      <c r="B2531" s="19">
        <v>2523.0</v>
      </c>
      <c r="C2531" s="19" t="s">
        <v>6090</v>
      </c>
    </row>
    <row r="2532">
      <c r="B2532" s="19">
        <v>2524.0</v>
      </c>
      <c r="C2532" s="19" t="s">
        <v>6090</v>
      </c>
    </row>
    <row r="2533">
      <c r="B2533" s="19">
        <v>2525.0</v>
      </c>
      <c r="C2533" s="19" t="s">
        <v>6090</v>
      </c>
    </row>
    <row r="2534">
      <c r="B2534" s="19">
        <v>2526.0</v>
      </c>
      <c r="C2534" s="19" t="s">
        <v>6090</v>
      </c>
    </row>
    <row r="2535">
      <c r="B2535" s="19">
        <v>2527.0</v>
      </c>
      <c r="C2535" s="19" t="s">
        <v>6090</v>
      </c>
    </row>
    <row r="2536">
      <c r="B2536" s="19">
        <v>2528.0</v>
      </c>
      <c r="C2536" s="19" t="s">
        <v>6090</v>
      </c>
    </row>
    <row r="2537">
      <c r="B2537" s="19">
        <v>2529.0</v>
      </c>
      <c r="C2537" s="19" t="s">
        <v>6090</v>
      </c>
    </row>
    <row r="2538">
      <c r="B2538" s="19">
        <v>2530.0</v>
      </c>
      <c r="C2538" s="19" t="s">
        <v>6090</v>
      </c>
    </row>
    <row r="2539">
      <c r="B2539" s="19">
        <v>2531.0</v>
      </c>
      <c r="C2539" s="19" t="s">
        <v>6090</v>
      </c>
    </row>
    <row r="2540">
      <c r="B2540" s="19">
        <v>2532.0</v>
      </c>
      <c r="C2540" s="19" t="s">
        <v>6090</v>
      </c>
    </row>
    <row r="2541">
      <c r="B2541" s="19">
        <v>2533.0</v>
      </c>
      <c r="C2541" s="19" t="s">
        <v>6090</v>
      </c>
    </row>
    <row r="2542">
      <c r="B2542" s="19">
        <v>2534.0</v>
      </c>
      <c r="C2542" s="19" t="s">
        <v>6090</v>
      </c>
    </row>
    <row r="2543">
      <c r="B2543" s="19">
        <v>2535.0</v>
      </c>
      <c r="C2543" s="19" t="s">
        <v>6090</v>
      </c>
    </row>
    <row r="2544">
      <c r="B2544" s="19">
        <v>2536.0</v>
      </c>
      <c r="C2544" s="19" t="s">
        <v>6090</v>
      </c>
    </row>
    <row r="2545">
      <c r="B2545" s="19">
        <v>2537.0</v>
      </c>
      <c r="C2545" s="19" t="s">
        <v>6090</v>
      </c>
    </row>
    <row r="2546">
      <c r="B2546" s="19">
        <v>2538.0</v>
      </c>
      <c r="C2546" s="19" t="s">
        <v>6090</v>
      </c>
    </row>
    <row r="2547">
      <c r="B2547" s="19">
        <v>2539.0</v>
      </c>
      <c r="C2547" s="19" t="s">
        <v>6090</v>
      </c>
    </row>
    <row r="2548">
      <c r="B2548" s="19">
        <v>2540.0</v>
      </c>
      <c r="C2548" s="19" t="s">
        <v>6090</v>
      </c>
    </row>
    <row r="2549">
      <c r="B2549" s="19">
        <v>2541.0</v>
      </c>
      <c r="C2549" s="19" t="s">
        <v>6090</v>
      </c>
    </row>
    <row r="2550">
      <c r="B2550" s="19">
        <v>2542.0</v>
      </c>
      <c r="C2550" s="19" t="s">
        <v>6090</v>
      </c>
    </row>
    <row r="2551">
      <c r="B2551" s="19">
        <v>2543.0</v>
      </c>
      <c r="C2551" s="19" t="s">
        <v>6090</v>
      </c>
    </row>
    <row r="2552">
      <c r="B2552" s="19">
        <v>2544.0</v>
      </c>
      <c r="C2552" s="19" t="s">
        <v>6090</v>
      </c>
    </row>
    <row r="2553">
      <c r="B2553" s="19">
        <v>2545.0</v>
      </c>
      <c r="C2553" s="19" t="s">
        <v>6090</v>
      </c>
    </row>
    <row r="2554">
      <c r="B2554" s="19">
        <v>2546.0</v>
      </c>
      <c r="C2554" s="19" t="s">
        <v>6090</v>
      </c>
    </row>
    <row r="2555">
      <c r="B2555" s="19">
        <v>2547.0</v>
      </c>
      <c r="C2555" s="19" t="s">
        <v>6090</v>
      </c>
    </row>
    <row r="2556">
      <c r="B2556" s="19">
        <v>2548.0</v>
      </c>
      <c r="C2556" s="19" t="s">
        <v>6090</v>
      </c>
    </row>
    <row r="2557">
      <c r="B2557" s="19">
        <v>2549.0</v>
      </c>
      <c r="C2557" s="19" t="s">
        <v>6090</v>
      </c>
    </row>
    <row r="2558">
      <c r="B2558" s="19">
        <v>2550.0</v>
      </c>
      <c r="C2558" s="19" t="s">
        <v>6090</v>
      </c>
    </row>
    <row r="2559">
      <c r="B2559" s="19">
        <v>2551.0</v>
      </c>
      <c r="C2559" s="19" t="s">
        <v>6090</v>
      </c>
    </row>
    <row r="2560">
      <c r="B2560" s="19">
        <v>2552.0</v>
      </c>
      <c r="C2560" s="19" t="s">
        <v>6090</v>
      </c>
    </row>
    <row r="2561">
      <c r="B2561" s="19">
        <v>2553.0</v>
      </c>
      <c r="C2561" s="19" t="s">
        <v>6090</v>
      </c>
    </row>
    <row r="2562">
      <c r="B2562" s="19">
        <v>2554.0</v>
      </c>
      <c r="C2562" s="19" t="s">
        <v>6090</v>
      </c>
    </row>
    <row r="2563">
      <c r="B2563" s="19">
        <v>2555.0</v>
      </c>
      <c r="C2563" s="19" t="s">
        <v>6090</v>
      </c>
    </row>
    <row r="2564">
      <c r="B2564" s="19">
        <v>2556.0</v>
      </c>
      <c r="C2564" s="19" t="s">
        <v>6090</v>
      </c>
    </row>
    <row r="2565">
      <c r="B2565" s="19">
        <v>2557.0</v>
      </c>
      <c r="C2565" s="19" t="s">
        <v>6090</v>
      </c>
    </row>
    <row r="2566">
      <c r="B2566" s="19">
        <v>2558.0</v>
      </c>
      <c r="C2566" s="19" t="s">
        <v>6090</v>
      </c>
    </row>
    <row r="2567">
      <c r="B2567" s="19">
        <v>2559.0</v>
      </c>
      <c r="C2567" s="19" t="s">
        <v>6090</v>
      </c>
    </row>
    <row r="2568">
      <c r="B2568" s="19">
        <v>2560.0</v>
      </c>
      <c r="C2568" s="19" t="s">
        <v>6090</v>
      </c>
    </row>
    <row r="2569">
      <c r="B2569" s="19">
        <v>2561.0</v>
      </c>
      <c r="C2569" s="19" t="s">
        <v>6090</v>
      </c>
    </row>
    <row r="2570">
      <c r="B2570" s="19">
        <v>2562.0</v>
      </c>
      <c r="C2570" s="19" t="s">
        <v>6090</v>
      </c>
    </row>
    <row r="2571">
      <c r="B2571" s="19">
        <v>2563.0</v>
      </c>
      <c r="C2571" s="19" t="s">
        <v>6090</v>
      </c>
    </row>
    <row r="2572">
      <c r="B2572" s="19">
        <v>2564.0</v>
      </c>
      <c r="C2572" s="19" t="s">
        <v>6090</v>
      </c>
    </row>
    <row r="2573">
      <c r="B2573" s="19">
        <v>2565.0</v>
      </c>
      <c r="C2573" s="19" t="s">
        <v>6090</v>
      </c>
    </row>
    <row r="2574">
      <c r="B2574" s="19">
        <v>2566.0</v>
      </c>
      <c r="C2574" s="19" t="s">
        <v>6090</v>
      </c>
    </row>
    <row r="2575">
      <c r="B2575" s="19">
        <v>2567.0</v>
      </c>
      <c r="C2575" s="19" t="s">
        <v>6090</v>
      </c>
    </row>
    <row r="2576">
      <c r="B2576" s="19">
        <v>2568.0</v>
      </c>
      <c r="C2576" s="19" t="s">
        <v>6090</v>
      </c>
    </row>
    <row r="2577">
      <c r="B2577" s="19">
        <v>2569.0</v>
      </c>
      <c r="C2577" s="19" t="s">
        <v>6090</v>
      </c>
    </row>
    <row r="2578">
      <c r="B2578" s="19">
        <v>2570.0</v>
      </c>
      <c r="C2578" s="19" t="s">
        <v>6090</v>
      </c>
    </row>
    <row r="2579">
      <c r="B2579" s="19">
        <v>2571.0</v>
      </c>
      <c r="C2579" s="19" t="s">
        <v>6090</v>
      </c>
    </row>
    <row r="2580">
      <c r="B2580" s="19">
        <v>2572.0</v>
      </c>
      <c r="C2580" s="19" t="s">
        <v>6090</v>
      </c>
    </row>
    <row r="2581">
      <c r="B2581" s="19">
        <v>2573.0</v>
      </c>
      <c r="C2581" s="19" t="s">
        <v>6090</v>
      </c>
    </row>
    <row r="2582">
      <c r="B2582" s="19">
        <v>2574.0</v>
      </c>
      <c r="C2582" s="19" t="s">
        <v>6090</v>
      </c>
    </row>
    <row r="2583">
      <c r="B2583" s="19">
        <v>2575.0</v>
      </c>
      <c r="C2583" s="19" t="s">
        <v>6090</v>
      </c>
    </row>
    <row r="2584">
      <c r="B2584" s="19">
        <v>2576.0</v>
      </c>
      <c r="C2584" s="19" t="s">
        <v>6090</v>
      </c>
    </row>
    <row r="2585">
      <c r="B2585" s="19">
        <v>2577.0</v>
      </c>
      <c r="C2585" s="19" t="s">
        <v>6090</v>
      </c>
    </row>
    <row r="2586">
      <c r="B2586" s="19">
        <v>2578.0</v>
      </c>
      <c r="C2586" s="19" t="s">
        <v>6090</v>
      </c>
    </row>
    <row r="2587">
      <c r="B2587" s="19">
        <v>2579.0</v>
      </c>
      <c r="C2587" s="19" t="s">
        <v>6090</v>
      </c>
    </row>
    <row r="2588">
      <c r="B2588" s="19">
        <v>2580.0</v>
      </c>
      <c r="C2588" s="19" t="s">
        <v>6090</v>
      </c>
    </row>
    <row r="2589">
      <c r="B2589" s="19">
        <v>2581.0</v>
      </c>
      <c r="C2589" s="19" t="s">
        <v>6090</v>
      </c>
    </row>
    <row r="2590">
      <c r="B2590" s="19">
        <v>2582.0</v>
      </c>
      <c r="C2590" s="19" t="s">
        <v>6090</v>
      </c>
    </row>
    <row r="2591">
      <c r="B2591" s="19">
        <v>2583.0</v>
      </c>
      <c r="C2591" s="19" t="s">
        <v>6090</v>
      </c>
    </row>
    <row r="2592">
      <c r="B2592" s="19">
        <v>2584.0</v>
      </c>
      <c r="C2592" s="19" t="s">
        <v>6090</v>
      </c>
    </row>
    <row r="2593">
      <c r="B2593" s="19">
        <v>2585.0</v>
      </c>
      <c r="C2593" s="19" t="s">
        <v>6090</v>
      </c>
    </row>
    <row r="2594">
      <c r="B2594" s="19">
        <v>2586.0</v>
      </c>
      <c r="C2594" s="19" t="s">
        <v>6090</v>
      </c>
    </row>
    <row r="2595">
      <c r="B2595" s="19">
        <v>2587.0</v>
      </c>
      <c r="C2595" s="19" t="s">
        <v>6090</v>
      </c>
    </row>
    <row r="2596">
      <c r="B2596" s="19">
        <v>2588.0</v>
      </c>
      <c r="C2596" s="19" t="s">
        <v>6090</v>
      </c>
    </row>
    <row r="2597">
      <c r="B2597" s="19">
        <v>2589.0</v>
      </c>
      <c r="C2597" s="19" t="s">
        <v>6090</v>
      </c>
    </row>
    <row r="2598">
      <c r="B2598" s="19">
        <v>2590.0</v>
      </c>
      <c r="C2598" s="19" t="s">
        <v>6090</v>
      </c>
    </row>
    <row r="2599">
      <c r="B2599" s="19">
        <v>2591.0</v>
      </c>
      <c r="C2599" s="19" t="s">
        <v>6090</v>
      </c>
    </row>
    <row r="2600">
      <c r="B2600" s="19">
        <v>2592.0</v>
      </c>
      <c r="C2600" s="19" t="s">
        <v>6090</v>
      </c>
    </row>
    <row r="2601">
      <c r="B2601" s="19">
        <v>2593.0</v>
      </c>
      <c r="C2601" s="19" t="s">
        <v>6090</v>
      </c>
    </row>
    <row r="2602">
      <c r="B2602" s="19">
        <v>2594.0</v>
      </c>
      <c r="C2602" s="19" t="s">
        <v>6090</v>
      </c>
    </row>
    <row r="2603">
      <c r="B2603" s="19">
        <v>2595.0</v>
      </c>
      <c r="C2603" s="19" t="s">
        <v>6090</v>
      </c>
    </row>
    <row r="2604">
      <c r="B2604" s="19">
        <v>2596.0</v>
      </c>
      <c r="C2604" s="19" t="s">
        <v>6090</v>
      </c>
    </row>
    <row r="2605">
      <c r="B2605" s="19">
        <v>2597.0</v>
      </c>
      <c r="C2605" s="19" t="s">
        <v>6090</v>
      </c>
    </row>
    <row r="2606">
      <c r="B2606" s="19">
        <v>2598.0</v>
      </c>
      <c r="C2606" s="19" t="s">
        <v>6090</v>
      </c>
    </row>
    <row r="2607">
      <c r="B2607" s="19">
        <v>2599.0</v>
      </c>
      <c r="C2607" s="19" t="s">
        <v>6090</v>
      </c>
    </row>
    <row r="2608">
      <c r="B2608" s="19">
        <v>2600.0</v>
      </c>
      <c r="C2608" s="19" t="s">
        <v>6090</v>
      </c>
    </row>
    <row r="2609">
      <c r="B2609" s="19">
        <v>2601.0</v>
      </c>
      <c r="C2609" s="19" t="s">
        <v>6090</v>
      </c>
    </row>
    <row r="2610">
      <c r="B2610" s="19">
        <v>2602.0</v>
      </c>
      <c r="C2610" s="19" t="s">
        <v>6090</v>
      </c>
    </row>
    <row r="2611">
      <c r="B2611" s="19">
        <v>2603.0</v>
      </c>
      <c r="C2611" s="19" t="s">
        <v>6090</v>
      </c>
    </row>
    <row r="2612">
      <c r="B2612" s="19">
        <v>2604.0</v>
      </c>
      <c r="C2612" s="19" t="s">
        <v>6090</v>
      </c>
    </row>
    <row r="2613">
      <c r="B2613" s="19">
        <v>2605.0</v>
      </c>
      <c r="C2613" s="19" t="s">
        <v>6090</v>
      </c>
    </row>
    <row r="2614">
      <c r="B2614" s="19">
        <v>2606.0</v>
      </c>
      <c r="C2614" s="19" t="s">
        <v>6090</v>
      </c>
    </row>
    <row r="2615">
      <c r="B2615" s="19">
        <v>2607.0</v>
      </c>
      <c r="C2615" s="19" t="s">
        <v>6090</v>
      </c>
    </row>
    <row r="2616">
      <c r="B2616" s="19">
        <v>2608.0</v>
      </c>
      <c r="C2616" s="19" t="s">
        <v>6090</v>
      </c>
    </row>
    <row r="2617">
      <c r="B2617" s="19">
        <v>2609.0</v>
      </c>
      <c r="C2617" s="19" t="s">
        <v>6090</v>
      </c>
    </row>
    <row r="2618">
      <c r="B2618" s="19">
        <v>2610.0</v>
      </c>
      <c r="C2618" s="19" t="s">
        <v>6090</v>
      </c>
    </row>
    <row r="2619">
      <c r="B2619" s="19">
        <v>2611.0</v>
      </c>
      <c r="C2619" s="19" t="s">
        <v>6090</v>
      </c>
    </row>
    <row r="2620">
      <c r="B2620" s="19">
        <v>2612.0</v>
      </c>
      <c r="C2620" s="19" t="s">
        <v>6090</v>
      </c>
    </row>
    <row r="2621">
      <c r="B2621" s="19">
        <v>2613.0</v>
      </c>
      <c r="C2621" s="19" t="s">
        <v>6090</v>
      </c>
    </row>
    <row r="2622">
      <c r="B2622" s="19">
        <v>2614.0</v>
      </c>
      <c r="C2622" s="19" t="s">
        <v>6090</v>
      </c>
    </row>
    <row r="2623">
      <c r="B2623" s="19">
        <v>2615.0</v>
      </c>
      <c r="C2623" s="19" t="s">
        <v>6090</v>
      </c>
    </row>
    <row r="2624">
      <c r="B2624" s="19">
        <v>2616.0</v>
      </c>
      <c r="C2624" s="19" t="s">
        <v>6090</v>
      </c>
    </row>
    <row r="2625">
      <c r="B2625" s="19">
        <v>2617.0</v>
      </c>
      <c r="C2625" s="19" t="s">
        <v>6090</v>
      </c>
    </row>
    <row r="2626">
      <c r="B2626" s="19">
        <v>2618.0</v>
      </c>
      <c r="C2626" s="19" t="s">
        <v>6090</v>
      </c>
    </row>
    <row r="2627">
      <c r="B2627" s="19">
        <v>2619.0</v>
      </c>
      <c r="C2627" s="19" t="s">
        <v>6090</v>
      </c>
    </row>
    <row r="2628">
      <c r="B2628" s="19">
        <v>2620.0</v>
      </c>
      <c r="C2628" s="19" t="s">
        <v>6090</v>
      </c>
    </row>
    <row r="2629">
      <c r="B2629" s="19">
        <v>2621.0</v>
      </c>
      <c r="C2629" s="19" t="s">
        <v>6090</v>
      </c>
    </row>
    <row r="2630">
      <c r="B2630" s="19">
        <v>2622.0</v>
      </c>
      <c r="C2630" s="19" t="s">
        <v>6090</v>
      </c>
    </row>
    <row r="2631">
      <c r="B2631" s="19">
        <v>2623.0</v>
      </c>
      <c r="C2631" s="19" t="s">
        <v>6090</v>
      </c>
    </row>
    <row r="2632">
      <c r="B2632" s="19">
        <v>2624.0</v>
      </c>
      <c r="C2632" s="19" t="s">
        <v>6090</v>
      </c>
    </row>
    <row r="2633">
      <c r="B2633" s="19">
        <v>2625.0</v>
      </c>
      <c r="C2633" s="19" t="s">
        <v>6090</v>
      </c>
    </row>
    <row r="2634">
      <c r="B2634" s="19">
        <v>2626.0</v>
      </c>
      <c r="C2634" s="19" t="s">
        <v>6090</v>
      </c>
    </row>
    <row r="2635">
      <c r="B2635" s="19">
        <v>2627.0</v>
      </c>
      <c r="C2635" s="19" t="s">
        <v>6090</v>
      </c>
    </row>
    <row r="2636">
      <c r="B2636" s="19">
        <v>2628.0</v>
      </c>
      <c r="C2636" s="19" t="s">
        <v>6090</v>
      </c>
    </row>
    <row r="2637">
      <c r="B2637" s="19">
        <v>2629.0</v>
      </c>
      <c r="C2637" s="19" t="s">
        <v>6090</v>
      </c>
    </row>
    <row r="2638">
      <c r="B2638" s="19">
        <v>2630.0</v>
      </c>
      <c r="C2638" s="19" t="s">
        <v>6090</v>
      </c>
    </row>
    <row r="2639">
      <c r="B2639" s="19">
        <v>2631.0</v>
      </c>
      <c r="C2639" s="19" t="s">
        <v>6090</v>
      </c>
    </row>
    <row r="2640">
      <c r="B2640" s="19">
        <v>2632.0</v>
      </c>
      <c r="C2640" s="19" t="s">
        <v>6090</v>
      </c>
    </row>
    <row r="2641">
      <c r="B2641" s="19">
        <v>2633.0</v>
      </c>
      <c r="C2641" s="19" t="s">
        <v>6090</v>
      </c>
    </row>
    <row r="2642">
      <c r="B2642" s="19">
        <v>2634.0</v>
      </c>
      <c r="C2642" s="19" t="s">
        <v>6090</v>
      </c>
    </row>
    <row r="2643">
      <c r="B2643" s="19">
        <v>2635.0</v>
      </c>
      <c r="C2643" s="19" t="s">
        <v>6090</v>
      </c>
    </row>
    <row r="2644">
      <c r="B2644" s="19">
        <v>2636.0</v>
      </c>
      <c r="C2644" s="19" t="s">
        <v>6090</v>
      </c>
    </row>
    <row r="2645">
      <c r="B2645" s="19">
        <v>2637.0</v>
      </c>
      <c r="C2645" s="19" t="s">
        <v>6090</v>
      </c>
    </row>
    <row r="2646">
      <c r="B2646" s="19">
        <v>2638.0</v>
      </c>
      <c r="C2646" s="19" t="s">
        <v>6090</v>
      </c>
    </row>
    <row r="2647">
      <c r="B2647" s="19">
        <v>2639.0</v>
      </c>
      <c r="C2647" s="19" t="s">
        <v>6090</v>
      </c>
    </row>
    <row r="2648">
      <c r="B2648" s="19">
        <v>2640.0</v>
      </c>
      <c r="C2648" s="19" t="s">
        <v>6090</v>
      </c>
    </row>
    <row r="2649">
      <c r="B2649" s="19">
        <v>2641.0</v>
      </c>
      <c r="C2649" s="19" t="s">
        <v>6090</v>
      </c>
    </row>
    <row r="2650">
      <c r="B2650" s="19">
        <v>2642.0</v>
      </c>
      <c r="C2650" s="19" t="s">
        <v>6090</v>
      </c>
    </row>
    <row r="2651">
      <c r="B2651" s="19">
        <v>2643.0</v>
      </c>
      <c r="C2651" s="19" t="s">
        <v>6090</v>
      </c>
    </row>
    <row r="2652">
      <c r="B2652" s="19">
        <v>2644.0</v>
      </c>
      <c r="C2652" s="19" t="s">
        <v>6090</v>
      </c>
    </row>
    <row r="2653">
      <c r="B2653" s="19">
        <v>2645.0</v>
      </c>
      <c r="C2653" s="19" t="s">
        <v>6090</v>
      </c>
    </row>
    <row r="2654">
      <c r="B2654" s="19">
        <v>2646.0</v>
      </c>
      <c r="C2654" s="19" t="s">
        <v>6090</v>
      </c>
    </row>
    <row r="2655">
      <c r="B2655" s="19">
        <v>2647.0</v>
      </c>
      <c r="C2655" s="19" t="s">
        <v>6090</v>
      </c>
    </row>
    <row r="2656">
      <c r="B2656" s="19">
        <v>2648.0</v>
      </c>
      <c r="C2656" s="19" t="s">
        <v>6090</v>
      </c>
    </row>
    <row r="2657">
      <c r="B2657" s="19">
        <v>2649.0</v>
      </c>
      <c r="C2657" s="19" t="s">
        <v>6090</v>
      </c>
    </row>
    <row r="2658">
      <c r="B2658" s="19">
        <v>2650.0</v>
      </c>
      <c r="C2658" s="19" t="s">
        <v>6090</v>
      </c>
    </row>
    <row r="2659">
      <c r="B2659" s="19">
        <v>2651.0</v>
      </c>
      <c r="C2659" s="19" t="s">
        <v>6090</v>
      </c>
    </row>
    <row r="2660">
      <c r="B2660" s="19">
        <v>2652.0</v>
      </c>
      <c r="C2660" s="19" t="s">
        <v>6090</v>
      </c>
    </row>
    <row r="2661">
      <c r="B2661" s="19">
        <v>2653.0</v>
      </c>
      <c r="C2661" s="19" t="s">
        <v>6090</v>
      </c>
    </row>
    <row r="2662">
      <c r="B2662" s="19">
        <v>2654.0</v>
      </c>
      <c r="C2662" s="19" t="s">
        <v>6090</v>
      </c>
    </row>
    <row r="2663">
      <c r="B2663" s="19">
        <v>2655.0</v>
      </c>
      <c r="C2663" s="19" t="s">
        <v>6090</v>
      </c>
    </row>
    <row r="2664">
      <c r="B2664" s="19">
        <v>2656.0</v>
      </c>
      <c r="C2664" s="19" t="s">
        <v>6090</v>
      </c>
    </row>
    <row r="2665">
      <c r="B2665" s="19">
        <v>2657.0</v>
      </c>
      <c r="C2665" s="19" t="s">
        <v>6090</v>
      </c>
    </row>
    <row r="2666">
      <c r="B2666" s="19">
        <v>2658.0</v>
      </c>
      <c r="C2666" s="19" t="s">
        <v>6090</v>
      </c>
    </row>
    <row r="2667">
      <c r="B2667" s="19">
        <v>2659.0</v>
      </c>
      <c r="C2667" s="19" t="s">
        <v>6090</v>
      </c>
    </row>
    <row r="2668">
      <c r="B2668" s="19">
        <v>2660.0</v>
      </c>
      <c r="C2668" s="19" t="s">
        <v>6090</v>
      </c>
    </row>
    <row r="2669">
      <c r="B2669" s="19">
        <v>2661.0</v>
      </c>
      <c r="C2669" s="19" t="s">
        <v>6090</v>
      </c>
    </row>
    <row r="2670">
      <c r="B2670" s="19">
        <v>2662.0</v>
      </c>
      <c r="C2670" s="19" t="s">
        <v>6090</v>
      </c>
    </row>
    <row r="2671">
      <c r="B2671" s="19">
        <v>2663.0</v>
      </c>
      <c r="C2671" s="19" t="s">
        <v>6090</v>
      </c>
    </row>
    <row r="2672">
      <c r="B2672" s="19">
        <v>2664.0</v>
      </c>
      <c r="C2672" s="19" t="s">
        <v>6090</v>
      </c>
    </row>
    <row r="2673">
      <c r="B2673" s="19">
        <v>2665.0</v>
      </c>
      <c r="C2673" s="19" t="s">
        <v>6090</v>
      </c>
    </row>
    <row r="2674">
      <c r="B2674" s="19">
        <v>2666.0</v>
      </c>
      <c r="C2674" s="19" t="s">
        <v>6090</v>
      </c>
    </row>
    <row r="2675">
      <c r="B2675" s="19">
        <v>2667.0</v>
      </c>
      <c r="C2675" s="19" t="s">
        <v>6090</v>
      </c>
    </row>
    <row r="2676">
      <c r="B2676" s="19">
        <v>2668.0</v>
      </c>
      <c r="C2676" s="19" t="s">
        <v>6090</v>
      </c>
    </row>
    <row r="2677">
      <c r="B2677" s="19">
        <v>2669.0</v>
      </c>
      <c r="C2677" s="19" t="s">
        <v>6090</v>
      </c>
    </row>
    <row r="2678">
      <c r="B2678" s="19">
        <v>2670.0</v>
      </c>
      <c r="C2678" s="19" t="s">
        <v>6090</v>
      </c>
    </row>
    <row r="2679">
      <c r="B2679" s="19">
        <v>2671.0</v>
      </c>
      <c r="C2679" s="19" t="s">
        <v>6090</v>
      </c>
    </row>
    <row r="2680">
      <c r="B2680" s="19">
        <v>2672.0</v>
      </c>
      <c r="C2680" s="19" t="s">
        <v>6090</v>
      </c>
    </row>
    <row r="2681">
      <c r="B2681" s="19">
        <v>2673.0</v>
      </c>
      <c r="C2681" s="19" t="s">
        <v>6090</v>
      </c>
    </row>
    <row r="2682">
      <c r="B2682" s="19">
        <v>2674.0</v>
      </c>
      <c r="C2682" s="19" t="s">
        <v>6090</v>
      </c>
    </row>
    <row r="2683">
      <c r="B2683" s="19">
        <v>2675.0</v>
      </c>
      <c r="C2683" s="19" t="s">
        <v>6090</v>
      </c>
    </row>
    <row r="2684">
      <c r="B2684" s="19">
        <v>2676.0</v>
      </c>
      <c r="C2684" s="19" t="s">
        <v>6090</v>
      </c>
    </row>
    <row r="2685">
      <c r="B2685" s="19">
        <v>2677.0</v>
      </c>
      <c r="C2685" s="19" t="s">
        <v>6090</v>
      </c>
    </row>
    <row r="2686">
      <c r="B2686" s="19">
        <v>2678.0</v>
      </c>
      <c r="C2686" s="19" t="s">
        <v>6090</v>
      </c>
    </row>
    <row r="2687">
      <c r="B2687" s="19">
        <v>2679.0</v>
      </c>
      <c r="C2687" s="19" t="s">
        <v>6090</v>
      </c>
    </row>
    <row r="2688">
      <c r="B2688" s="19">
        <v>2680.0</v>
      </c>
      <c r="C2688" s="19" t="s">
        <v>6090</v>
      </c>
    </row>
    <row r="2689">
      <c r="B2689" s="19">
        <v>2681.0</v>
      </c>
      <c r="C2689" s="19" t="s">
        <v>6090</v>
      </c>
    </row>
    <row r="2690">
      <c r="B2690" s="19">
        <v>2682.0</v>
      </c>
      <c r="C2690" s="19" t="s">
        <v>6090</v>
      </c>
    </row>
    <row r="2691">
      <c r="B2691" s="19">
        <v>2683.0</v>
      </c>
      <c r="C2691" s="19" t="s">
        <v>6090</v>
      </c>
    </row>
    <row r="2692">
      <c r="B2692" s="19">
        <v>2684.0</v>
      </c>
      <c r="C2692" s="19" t="s">
        <v>6090</v>
      </c>
    </row>
    <row r="2693">
      <c r="B2693" s="19">
        <v>2685.0</v>
      </c>
      <c r="C2693" s="19" t="s">
        <v>6090</v>
      </c>
    </row>
    <row r="2694">
      <c r="B2694" s="19">
        <v>2686.0</v>
      </c>
      <c r="C2694" s="19" t="s">
        <v>6090</v>
      </c>
    </row>
    <row r="2695">
      <c r="B2695" s="19">
        <v>2687.0</v>
      </c>
      <c r="C2695" s="19" t="s">
        <v>6090</v>
      </c>
    </row>
    <row r="2696">
      <c r="B2696" s="19">
        <v>2688.0</v>
      </c>
      <c r="C2696" s="19" t="s">
        <v>6090</v>
      </c>
    </row>
    <row r="2697">
      <c r="B2697" s="19">
        <v>2689.0</v>
      </c>
      <c r="C2697" s="19" t="s">
        <v>6090</v>
      </c>
    </row>
    <row r="2698">
      <c r="B2698" s="19">
        <v>2690.0</v>
      </c>
      <c r="C2698" s="19" t="s">
        <v>6090</v>
      </c>
    </row>
    <row r="2699">
      <c r="B2699" s="19">
        <v>2691.0</v>
      </c>
      <c r="C2699" s="19" t="s">
        <v>6090</v>
      </c>
    </row>
    <row r="2700">
      <c r="B2700" s="19">
        <v>2692.0</v>
      </c>
      <c r="C2700" s="19" t="s">
        <v>6090</v>
      </c>
    </row>
    <row r="2701">
      <c r="B2701" s="19">
        <v>2693.0</v>
      </c>
      <c r="C2701" s="19" t="s">
        <v>6090</v>
      </c>
    </row>
    <row r="2702">
      <c r="B2702" s="19">
        <v>2694.0</v>
      </c>
      <c r="C2702" s="19" t="s">
        <v>6090</v>
      </c>
    </row>
    <row r="2703">
      <c r="B2703" s="19">
        <v>2695.0</v>
      </c>
      <c r="C2703" s="19" t="s">
        <v>6090</v>
      </c>
    </row>
    <row r="2704">
      <c r="B2704" s="19">
        <v>2696.0</v>
      </c>
      <c r="C2704" s="19" t="s">
        <v>6090</v>
      </c>
    </row>
    <row r="2705">
      <c r="B2705" s="19">
        <v>2697.0</v>
      </c>
      <c r="C2705" s="19" t="s">
        <v>6090</v>
      </c>
    </row>
    <row r="2706">
      <c r="B2706" s="19">
        <v>2698.0</v>
      </c>
      <c r="C2706" s="19" t="s">
        <v>6090</v>
      </c>
    </row>
    <row r="2707">
      <c r="B2707" s="19">
        <v>2699.0</v>
      </c>
      <c r="C2707" s="19" t="s">
        <v>6090</v>
      </c>
    </row>
    <row r="2708">
      <c r="B2708" s="19">
        <v>2700.0</v>
      </c>
      <c r="C2708" s="19" t="s">
        <v>6090</v>
      </c>
    </row>
    <row r="2709">
      <c r="B2709" s="19">
        <v>2701.0</v>
      </c>
      <c r="C2709" s="19" t="s">
        <v>6090</v>
      </c>
    </row>
    <row r="2710">
      <c r="B2710" s="19">
        <v>2702.0</v>
      </c>
      <c r="C2710" s="19" t="s">
        <v>6090</v>
      </c>
    </row>
    <row r="2711">
      <c r="B2711" s="19">
        <v>2703.0</v>
      </c>
      <c r="C2711" s="19" t="s">
        <v>6090</v>
      </c>
    </row>
    <row r="2712">
      <c r="B2712" s="19">
        <v>2704.0</v>
      </c>
      <c r="C2712" s="19" t="s">
        <v>6090</v>
      </c>
    </row>
    <row r="2713">
      <c r="B2713" s="19">
        <v>2705.0</v>
      </c>
      <c r="C2713" s="19" t="s">
        <v>6090</v>
      </c>
    </row>
    <row r="2714">
      <c r="B2714" s="19">
        <v>2706.0</v>
      </c>
      <c r="C2714" s="19" t="s">
        <v>6090</v>
      </c>
    </row>
    <row r="2715">
      <c r="B2715" s="19">
        <v>2707.0</v>
      </c>
      <c r="C2715" s="19" t="s">
        <v>6090</v>
      </c>
    </row>
    <row r="2716">
      <c r="B2716" s="19">
        <v>2708.0</v>
      </c>
      <c r="C2716" s="19" t="s">
        <v>6090</v>
      </c>
    </row>
    <row r="2717">
      <c r="B2717" s="19">
        <v>2709.0</v>
      </c>
      <c r="C2717" s="19" t="s">
        <v>6090</v>
      </c>
    </row>
    <row r="2718">
      <c r="B2718" s="19">
        <v>2710.0</v>
      </c>
      <c r="C2718" s="19" t="s">
        <v>6090</v>
      </c>
    </row>
    <row r="2719">
      <c r="B2719" s="19">
        <v>2711.0</v>
      </c>
      <c r="C2719" s="19" t="s">
        <v>6090</v>
      </c>
    </row>
    <row r="2720">
      <c r="B2720" s="19">
        <v>2712.0</v>
      </c>
      <c r="C2720" s="19" t="s">
        <v>6090</v>
      </c>
    </row>
    <row r="2721">
      <c r="B2721" s="19">
        <v>2713.0</v>
      </c>
      <c r="C2721" s="19" t="s">
        <v>6090</v>
      </c>
    </row>
    <row r="2722">
      <c r="B2722" s="19">
        <v>2714.0</v>
      </c>
      <c r="C2722" s="19" t="s">
        <v>6090</v>
      </c>
    </row>
    <row r="2723">
      <c r="B2723" s="19">
        <v>2715.0</v>
      </c>
      <c r="C2723" s="19" t="s">
        <v>6090</v>
      </c>
    </row>
    <row r="2724">
      <c r="B2724" s="19">
        <v>2716.0</v>
      </c>
      <c r="C2724" s="19" t="s">
        <v>6090</v>
      </c>
    </row>
    <row r="2725">
      <c r="B2725" s="19">
        <v>2717.0</v>
      </c>
      <c r="C2725" s="19" t="s">
        <v>6090</v>
      </c>
    </row>
    <row r="2726">
      <c r="B2726" s="19">
        <v>2718.0</v>
      </c>
      <c r="C2726" s="19" t="s">
        <v>6090</v>
      </c>
    </row>
    <row r="2727">
      <c r="B2727" s="19">
        <v>2719.0</v>
      </c>
      <c r="C2727" s="19" t="s">
        <v>6090</v>
      </c>
    </row>
    <row r="2728">
      <c r="B2728" s="19">
        <v>2720.0</v>
      </c>
      <c r="C2728" s="19" t="s">
        <v>6090</v>
      </c>
    </row>
    <row r="2729">
      <c r="B2729" s="19">
        <v>2721.0</v>
      </c>
      <c r="C2729" s="19" t="s">
        <v>6090</v>
      </c>
    </row>
    <row r="2730">
      <c r="B2730" s="19">
        <v>2722.0</v>
      </c>
      <c r="C2730" s="19" t="s">
        <v>6090</v>
      </c>
    </row>
    <row r="2731">
      <c r="B2731" s="19">
        <v>2723.0</v>
      </c>
      <c r="C2731" s="19" t="s">
        <v>6090</v>
      </c>
    </row>
    <row r="2732">
      <c r="B2732" s="19">
        <v>2724.0</v>
      </c>
      <c r="C2732" s="19" t="s">
        <v>6090</v>
      </c>
    </row>
    <row r="2733">
      <c r="B2733" s="19">
        <v>2725.0</v>
      </c>
      <c r="C2733" s="19" t="s">
        <v>6090</v>
      </c>
    </row>
    <row r="2734">
      <c r="B2734" s="19">
        <v>2726.0</v>
      </c>
      <c r="C2734" s="19" t="s">
        <v>6090</v>
      </c>
    </row>
    <row r="2735">
      <c r="B2735" s="19">
        <v>2727.0</v>
      </c>
      <c r="C2735" s="19" t="s">
        <v>6090</v>
      </c>
    </row>
    <row r="2736">
      <c r="B2736" s="19">
        <v>2728.0</v>
      </c>
      <c r="C2736" s="19" t="s">
        <v>6090</v>
      </c>
    </row>
    <row r="2737">
      <c r="B2737" s="19">
        <v>2729.0</v>
      </c>
      <c r="C2737" s="19" t="s">
        <v>6090</v>
      </c>
    </row>
    <row r="2738">
      <c r="B2738" s="19">
        <v>2730.0</v>
      </c>
      <c r="C2738" s="19" t="s">
        <v>6090</v>
      </c>
    </row>
    <row r="2739">
      <c r="B2739" s="19">
        <v>2731.0</v>
      </c>
      <c r="C2739" s="19" t="s">
        <v>6090</v>
      </c>
    </row>
    <row r="2740">
      <c r="B2740" s="19">
        <v>2732.0</v>
      </c>
      <c r="C2740" s="19" t="s">
        <v>6090</v>
      </c>
    </row>
    <row r="2741">
      <c r="B2741" s="19">
        <v>2733.0</v>
      </c>
      <c r="C2741" s="19" t="s">
        <v>6090</v>
      </c>
    </row>
    <row r="2742">
      <c r="B2742" s="19">
        <v>2734.0</v>
      </c>
      <c r="C2742" s="19" t="s">
        <v>6090</v>
      </c>
    </row>
    <row r="2743">
      <c r="B2743" s="19">
        <v>2735.0</v>
      </c>
      <c r="C2743" s="19" t="s">
        <v>6090</v>
      </c>
    </row>
    <row r="2744">
      <c r="B2744" s="19">
        <v>2736.0</v>
      </c>
      <c r="C2744" s="19" t="s">
        <v>6090</v>
      </c>
    </row>
    <row r="2745">
      <c r="B2745" s="19">
        <v>2737.0</v>
      </c>
      <c r="C2745" s="19" t="s">
        <v>6090</v>
      </c>
    </row>
    <row r="2746">
      <c r="B2746" s="19">
        <v>2738.0</v>
      </c>
      <c r="C2746" s="19" t="s">
        <v>6090</v>
      </c>
    </row>
    <row r="2747">
      <c r="B2747" s="19">
        <v>2739.0</v>
      </c>
      <c r="C2747" s="19" t="s">
        <v>6090</v>
      </c>
    </row>
    <row r="2748">
      <c r="B2748" s="19">
        <v>2740.0</v>
      </c>
      <c r="C2748" s="19" t="s">
        <v>6090</v>
      </c>
    </row>
    <row r="2749">
      <c r="B2749" s="19">
        <v>2741.0</v>
      </c>
      <c r="C2749" s="19" t="s">
        <v>6090</v>
      </c>
    </row>
    <row r="2750">
      <c r="B2750" s="19">
        <v>2742.0</v>
      </c>
      <c r="C2750" s="19" t="s">
        <v>6090</v>
      </c>
    </row>
    <row r="2751">
      <c r="B2751" s="19">
        <v>2743.0</v>
      </c>
      <c r="C2751" s="19" t="s">
        <v>6090</v>
      </c>
    </row>
    <row r="2752">
      <c r="B2752" s="19">
        <v>2744.0</v>
      </c>
      <c r="C2752" s="19" t="s">
        <v>6090</v>
      </c>
    </row>
    <row r="2753">
      <c r="B2753" s="19">
        <v>2745.0</v>
      </c>
      <c r="C2753" s="19" t="s">
        <v>6090</v>
      </c>
    </row>
    <row r="2754">
      <c r="B2754" s="19">
        <v>2746.0</v>
      </c>
      <c r="C2754" s="19" t="s">
        <v>6090</v>
      </c>
    </row>
    <row r="2755">
      <c r="B2755" s="19">
        <v>2747.0</v>
      </c>
      <c r="C2755" s="19" t="s">
        <v>6090</v>
      </c>
    </row>
    <row r="2756">
      <c r="B2756" s="19">
        <v>2748.0</v>
      </c>
      <c r="C2756" s="19" t="s">
        <v>6090</v>
      </c>
    </row>
    <row r="2757">
      <c r="B2757" s="19">
        <v>2749.0</v>
      </c>
      <c r="C2757" s="19" t="s">
        <v>6090</v>
      </c>
    </row>
    <row r="2758">
      <c r="B2758" s="19">
        <v>2750.0</v>
      </c>
      <c r="C2758" s="19" t="s">
        <v>6090</v>
      </c>
    </row>
    <row r="2759">
      <c r="B2759" s="19">
        <v>2751.0</v>
      </c>
      <c r="C2759" s="19" t="s">
        <v>6090</v>
      </c>
    </row>
    <row r="2760">
      <c r="B2760" s="19">
        <v>2752.0</v>
      </c>
      <c r="C2760" s="19" t="s">
        <v>6090</v>
      </c>
    </row>
    <row r="2761">
      <c r="B2761" s="19">
        <v>2753.0</v>
      </c>
      <c r="C2761" s="19" t="s">
        <v>6090</v>
      </c>
    </row>
    <row r="2762">
      <c r="B2762" s="19">
        <v>2754.0</v>
      </c>
      <c r="C2762" s="19" t="s">
        <v>6090</v>
      </c>
    </row>
    <row r="2763">
      <c r="B2763" s="19">
        <v>2755.0</v>
      </c>
      <c r="C2763" s="19" t="s">
        <v>6090</v>
      </c>
    </row>
    <row r="2764">
      <c r="B2764" s="19">
        <v>2756.0</v>
      </c>
      <c r="C2764" s="19" t="s">
        <v>6090</v>
      </c>
    </row>
    <row r="2765">
      <c r="B2765" s="19">
        <v>2757.0</v>
      </c>
      <c r="C2765" s="19" t="s">
        <v>6090</v>
      </c>
    </row>
    <row r="2766">
      <c r="B2766" s="19">
        <v>2758.0</v>
      </c>
      <c r="C2766" s="19" t="s">
        <v>6090</v>
      </c>
    </row>
    <row r="2767">
      <c r="B2767" s="19">
        <v>2759.0</v>
      </c>
      <c r="C2767" s="19" t="s">
        <v>6090</v>
      </c>
    </row>
    <row r="2768">
      <c r="B2768" s="19">
        <v>2760.0</v>
      </c>
      <c r="C2768" s="19" t="s">
        <v>6090</v>
      </c>
    </row>
    <row r="2769">
      <c r="B2769" s="19">
        <v>2761.0</v>
      </c>
      <c r="C2769" s="19" t="s">
        <v>6090</v>
      </c>
    </row>
    <row r="2770">
      <c r="B2770" s="19">
        <v>2762.0</v>
      </c>
      <c r="C2770" s="19" t="s">
        <v>6090</v>
      </c>
    </row>
    <row r="2771">
      <c r="B2771" s="19">
        <v>2763.0</v>
      </c>
      <c r="C2771" s="19" t="s">
        <v>6090</v>
      </c>
    </row>
    <row r="2772">
      <c r="B2772" s="19">
        <v>2764.0</v>
      </c>
      <c r="C2772" s="19" t="s">
        <v>6090</v>
      </c>
    </row>
    <row r="2773">
      <c r="B2773" s="19">
        <v>2765.0</v>
      </c>
      <c r="C2773" s="19" t="s">
        <v>6090</v>
      </c>
    </row>
    <row r="2774">
      <c r="B2774" s="19">
        <v>2766.0</v>
      </c>
      <c r="C2774" s="19" t="s">
        <v>6090</v>
      </c>
    </row>
    <row r="2775">
      <c r="B2775" s="19">
        <v>2767.0</v>
      </c>
      <c r="C2775" s="19" t="s">
        <v>6090</v>
      </c>
    </row>
    <row r="2776">
      <c r="B2776" s="19">
        <v>2768.0</v>
      </c>
      <c r="C2776" s="19" t="s">
        <v>6090</v>
      </c>
    </row>
    <row r="2777">
      <c r="B2777" s="19">
        <v>2769.0</v>
      </c>
      <c r="C2777" s="19" t="s">
        <v>6090</v>
      </c>
    </row>
    <row r="2778">
      <c r="B2778" s="19">
        <v>2770.0</v>
      </c>
      <c r="C2778" s="19" t="s">
        <v>6090</v>
      </c>
    </row>
    <row r="2779">
      <c r="B2779" s="19">
        <v>2771.0</v>
      </c>
      <c r="C2779" s="19" t="s">
        <v>6090</v>
      </c>
    </row>
    <row r="2780">
      <c r="B2780" s="19">
        <v>2772.0</v>
      </c>
      <c r="C2780" s="19" t="s">
        <v>6090</v>
      </c>
    </row>
    <row r="2781">
      <c r="B2781" s="19">
        <v>2773.0</v>
      </c>
      <c r="C2781" s="19" t="s">
        <v>6090</v>
      </c>
    </row>
    <row r="2782">
      <c r="B2782" s="19">
        <v>2774.0</v>
      </c>
      <c r="C2782" s="19" t="s">
        <v>6090</v>
      </c>
    </row>
    <row r="2783">
      <c r="B2783" s="19">
        <v>2775.0</v>
      </c>
      <c r="C2783" s="19" t="s">
        <v>6090</v>
      </c>
    </row>
    <row r="2784">
      <c r="B2784" s="19">
        <v>2776.0</v>
      </c>
      <c r="C2784" s="19" t="s">
        <v>6090</v>
      </c>
    </row>
    <row r="2785">
      <c r="B2785" s="19">
        <v>2777.0</v>
      </c>
      <c r="C2785" s="19" t="s">
        <v>6090</v>
      </c>
    </row>
    <row r="2786">
      <c r="B2786" s="19">
        <v>2778.0</v>
      </c>
      <c r="C2786" s="19" t="s">
        <v>6090</v>
      </c>
    </row>
    <row r="2787">
      <c r="B2787" s="19">
        <v>2779.0</v>
      </c>
      <c r="C2787" s="19" t="s">
        <v>6090</v>
      </c>
    </row>
    <row r="2788">
      <c r="B2788" s="19">
        <v>2780.0</v>
      </c>
      <c r="C2788" s="19" t="s">
        <v>6090</v>
      </c>
    </row>
    <row r="2789">
      <c r="B2789" s="19">
        <v>2781.0</v>
      </c>
      <c r="C2789" s="19" t="s">
        <v>6090</v>
      </c>
    </row>
    <row r="2790">
      <c r="B2790" s="19">
        <v>2782.0</v>
      </c>
      <c r="C2790" s="19" t="s">
        <v>6090</v>
      </c>
    </row>
    <row r="2791">
      <c r="B2791" s="19">
        <v>2783.0</v>
      </c>
      <c r="C2791" s="19" t="s">
        <v>6090</v>
      </c>
    </row>
    <row r="2792">
      <c r="B2792" s="19">
        <v>2784.0</v>
      </c>
      <c r="C2792" s="19" t="s">
        <v>6090</v>
      </c>
    </row>
    <row r="2793">
      <c r="B2793" s="19">
        <v>2785.0</v>
      </c>
      <c r="C2793" s="19" t="s">
        <v>6090</v>
      </c>
    </row>
    <row r="2794">
      <c r="B2794" s="19">
        <v>2786.0</v>
      </c>
      <c r="C2794" s="19" t="s">
        <v>6090</v>
      </c>
    </row>
    <row r="2795">
      <c r="B2795" s="19">
        <v>2787.0</v>
      </c>
      <c r="C2795" s="19" t="s">
        <v>6090</v>
      </c>
    </row>
    <row r="2796">
      <c r="B2796" s="19">
        <v>2788.0</v>
      </c>
      <c r="C2796" s="19" t="s">
        <v>6090</v>
      </c>
    </row>
    <row r="2797">
      <c r="B2797" s="19">
        <v>2789.0</v>
      </c>
      <c r="C2797" s="19" t="s">
        <v>6090</v>
      </c>
    </row>
    <row r="2798">
      <c r="B2798" s="19">
        <v>2790.0</v>
      </c>
      <c r="C2798" s="19" t="s">
        <v>6090</v>
      </c>
    </row>
    <row r="2799">
      <c r="B2799" s="19">
        <v>2791.0</v>
      </c>
      <c r="C2799" s="19" t="s">
        <v>6090</v>
      </c>
    </row>
    <row r="2800">
      <c r="B2800" s="19">
        <v>2792.0</v>
      </c>
      <c r="C2800" s="19" t="s">
        <v>6090</v>
      </c>
    </row>
    <row r="2801">
      <c r="B2801" s="19">
        <v>2793.0</v>
      </c>
      <c r="C2801" s="19" t="s">
        <v>6090</v>
      </c>
    </row>
    <row r="2802">
      <c r="B2802" s="19">
        <v>2794.0</v>
      </c>
      <c r="C2802" s="19" t="s">
        <v>6090</v>
      </c>
    </row>
    <row r="2803">
      <c r="B2803" s="19">
        <v>2795.0</v>
      </c>
      <c r="C2803" s="19" t="s">
        <v>6090</v>
      </c>
    </row>
    <row r="2804">
      <c r="B2804" s="19">
        <v>2796.0</v>
      </c>
      <c r="C2804" s="19" t="s">
        <v>6090</v>
      </c>
    </row>
    <row r="2805">
      <c r="B2805" s="19">
        <v>2797.0</v>
      </c>
      <c r="C2805" s="19" t="s">
        <v>6090</v>
      </c>
    </row>
    <row r="2806">
      <c r="B2806" s="19">
        <v>2798.0</v>
      </c>
      <c r="C2806" s="19" t="s">
        <v>6090</v>
      </c>
    </row>
    <row r="2807">
      <c r="B2807" s="19">
        <v>2799.0</v>
      </c>
      <c r="C2807" s="19" t="s">
        <v>6090</v>
      </c>
    </row>
    <row r="2808">
      <c r="B2808" s="19">
        <v>2800.0</v>
      </c>
      <c r="C2808" s="19" t="s">
        <v>6090</v>
      </c>
    </row>
    <row r="2809">
      <c r="B2809" s="19">
        <v>2801.0</v>
      </c>
      <c r="C2809" s="19" t="s">
        <v>6090</v>
      </c>
    </row>
    <row r="2810">
      <c r="B2810" s="19">
        <v>2802.0</v>
      </c>
      <c r="C2810" s="19" t="s">
        <v>6090</v>
      </c>
    </row>
    <row r="2811">
      <c r="B2811" s="19">
        <v>2803.0</v>
      </c>
      <c r="C2811" s="19" t="s">
        <v>6090</v>
      </c>
    </row>
    <row r="2812">
      <c r="B2812" s="19">
        <v>2804.0</v>
      </c>
      <c r="C2812" s="19" t="s">
        <v>6090</v>
      </c>
    </row>
    <row r="2813">
      <c r="B2813" s="19">
        <v>2805.0</v>
      </c>
      <c r="C2813" s="19" t="s">
        <v>6090</v>
      </c>
    </row>
    <row r="2814">
      <c r="B2814" s="19">
        <v>2806.0</v>
      </c>
      <c r="C2814" s="19" t="s">
        <v>6090</v>
      </c>
    </row>
    <row r="2815">
      <c r="B2815" s="19">
        <v>2807.0</v>
      </c>
      <c r="C2815" s="19" t="s">
        <v>6090</v>
      </c>
    </row>
    <row r="2816">
      <c r="B2816" s="19">
        <v>2808.0</v>
      </c>
      <c r="C2816" s="19" t="s">
        <v>6090</v>
      </c>
    </row>
    <row r="2817">
      <c r="B2817" s="19">
        <v>2809.0</v>
      </c>
      <c r="C2817" s="19" t="s">
        <v>6090</v>
      </c>
    </row>
    <row r="2818">
      <c r="B2818" s="19">
        <v>2810.0</v>
      </c>
      <c r="C2818" s="19" t="s">
        <v>6090</v>
      </c>
    </row>
    <row r="2819">
      <c r="B2819" s="19" t="e">
        <v>#VALUE!</v>
      </c>
    </row>
    <row r="2820">
      <c r="B2820" s="19">
        <v>2812.0</v>
      </c>
      <c r="C2820" s="19" t="s">
        <v>6090</v>
      </c>
    </row>
    <row r="2821">
      <c r="B2821" s="19">
        <v>2813.0</v>
      </c>
      <c r="C2821" s="19" t="s">
        <v>6090</v>
      </c>
    </row>
    <row r="2822">
      <c r="B2822" s="19">
        <v>2814.0</v>
      </c>
      <c r="C2822" s="19" t="s">
        <v>6090</v>
      </c>
    </row>
    <row r="2823">
      <c r="B2823" s="19">
        <v>2815.0</v>
      </c>
      <c r="C2823" s="19" t="s">
        <v>6090</v>
      </c>
    </row>
    <row r="2824">
      <c r="B2824" s="19">
        <v>2816.0</v>
      </c>
      <c r="C2824" s="19" t="s">
        <v>6090</v>
      </c>
    </row>
    <row r="2825">
      <c r="B2825" s="19">
        <v>2817.0</v>
      </c>
      <c r="C2825" s="19" t="s">
        <v>6090</v>
      </c>
    </row>
    <row r="2826">
      <c r="B2826" s="19">
        <v>2818.0</v>
      </c>
      <c r="C2826" s="19" t="s">
        <v>6090</v>
      </c>
    </row>
    <row r="2827">
      <c r="B2827" s="19">
        <v>2819.0</v>
      </c>
      <c r="C2827" s="19" t="s">
        <v>6090</v>
      </c>
    </row>
    <row r="2828">
      <c r="B2828" s="19">
        <v>2820.0</v>
      </c>
      <c r="C2828" s="19" t="s">
        <v>6090</v>
      </c>
    </row>
    <row r="2829">
      <c r="B2829" s="19">
        <v>2821.0</v>
      </c>
      <c r="C2829" s="19" t="s">
        <v>6090</v>
      </c>
    </row>
    <row r="2830">
      <c r="B2830" s="19">
        <v>2822.0</v>
      </c>
      <c r="C2830" s="19" t="s">
        <v>6090</v>
      </c>
    </row>
    <row r="2831">
      <c r="B2831" s="19">
        <v>2823.0</v>
      </c>
      <c r="C2831" s="19" t="s">
        <v>6090</v>
      </c>
    </row>
    <row r="2832">
      <c r="B2832" s="19">
        <v>2824.0</v>
      </c>
      <c r="C2832" s="19" t="s">
        <v>6090</v>
      </c>
    </row>
    <row r="2833">
      <c r="B2833" s="19">
        <v>2825.0</v>
      </c>
      <c r="C2833" s="19" t="s">
        <v>6090</v>
      </c>
    </row>
    <row r="2834">
      <c r="B2834" s="19">
        <v>2826.0</v>
      </c>
      <c r="C2834" s="19" t="s">
        <v>6090</v>
      </c>
    </row>
    <row r="2835">
      <c r="B2835" s="19">
        <v>2827.0</v>
      </c>
      <c r="C2835" s="19" t="s">
        <v>6090</v>
      </c>
    </row>
    <row r="2836">
      <c r="B2836" s="19">
        <v>2828.0</v>
      </c>
      <c r="C2836" s="19" t="s">
        <v>6090</v>
      </c>
    </row>
    <row r="2837">
      <c r="B2837" s="19">
        <v>2829.0</v>
      </c>
      <c r="C2837" s="19" t="s">
        <v>6090</v>
      </c>
    </row>
    <row r="2838">
      <c r="B2838" s="19">
        <v>2830.0</v>
      </c>
      <c r="C2838" s="19" t="s">
        <v>6090</v>
      </c>
    </row>
    <row r="2839">
      <c r="B2839" s="19">
        <v>2831.0</v>
      </c>
      <c r="C2839" s="19" t="s">
        <v>6090</v>
      </c>
    </row>
    <row r="2840">
      <c r="B2840" s="19">
        <v>2832.0</v>
      </c>
      <c r="C2840" s="19" t="s">
        <v>6090</v>
      </c>
    </row>
    <row r="2841">
      <c r="B2841" s="19">
        <v>2833.0</v>
      </c>
      <c r="C2841" s="19" t="s">
        <v>6090</v>
      </c>
    </row>
    <row r="2842">
      <c r="B2842" s="19">
        <v>2834.0</v>
      </c>
      <c r="C2842" s="19" t="s">
        <v>6090</v>
      </c>
    </row>
    <row r="2843">
      <c r="B2843" s="19">
        <v>2835.0</v>
      </c>
      <c r="C2843" s="19" t="s">
        <v>6090</v>
      </c>
    </row>
    <row r="2844">
      <c r="B2844" s="19">
        <v>2836.0</v>
      </c>
      <c r="C2844" s="19" t="s">
        <v>6090</v>
      </c>
    </row>
    <row r="2845">
      <c r="B2845" s="19">
        <v>2837.0</v>
      </c>
      <c r="C2845" s="19" t="s">
        <v>6090</v>
      </c>
    </row>
    <row r="2846">
      <c r="B2846" s="19">
        <v>2838.0</v>
      </c>
      <c r="C2846" s="19" t="s">
        <v>6090</v>
      </c>
    </row>
    <row r="2847">
      <c r="B2847" s="19">
        <v>2839.0</v>
      </c>
      <c r="C2847" s="19" t="s">
        <v>6090</v>
      </c>
    </row>
    <row r="2848">
      <c r="B2848" s="19">
        <v>2840.0</v>
      </c>
      <c r="C2848" s="19" t="s">
        <v>6090</v>
      </c>
    </row>
    <row r="2849">
      <c r="B2849" s="19">
        <v>2841.0</v>
      </c>
      <c r="C2849" s="19" t="s">
        <v>6090</v>
      </c>
    </row>
    <row r="2850">
      <c r="B2850" s="19">
        <v>2842.0</v>
      </c>
      <c r="C2850" s="19" t="s">
        <v>6090</v>
      </c>
    </row>
    <row r="2851">
      <c r="B2851" s="19">
        <v>2843.0</v>
      </c>
      <c r="C2851" s="19" t="s">
        <v>6090</v>
      </c>
    </row>
    <row r="2852">
      <c r="B2852" s="19">
        <v>2844.0</v>
      </c>
      <c r="C2852" s="19" t="s">
        <v>6090</v>
      </c>
    </row>
    <row r="2853">
      <c r="B2853" s="19">
        <v>2845.0</v>
      </c>
      <c r="C2853" s="19" t="s">
        <v>6090</v>
      </c>
    </row>
    <row r="2854">
      <c r="B2854" s="19">
        <v>2846.0</v>
      </c>
      <c r="C2854" s="19" t="s">
        <v>6090</v>
      </c>
    </row>
    <row r="2855">
      <c r="B2855" s="19">
        <v>2847.0</v>
      </c>
      <c r="C2855" s="19" t="s">
        <v>6090</v>
      </c>
    </row>
    <row r="2856">
      <c r="B2856" s="19">
        <v>2848.0</v>
      </c>
      <c r="C2856" s="19" t="s">
        <v>6090</v>
      </c>
    </row>
    <row r="2857">
      <c r="B2857" s="19">
        <v>2849.0</v>
      </c>
      <c r="C2857" s="19" t="s">
        <v>6090</v>
      </c>
    </row>
    <row r="2858">
      <c r="B2858" s="19">
        <v>2850.0</v>
      </c>
      <c r="C2858" s="19" t="s">
        <v>6090</v>
      </c>
    </row>
    <row r="2859">
      <c r="B2859" s="19">
        <v>2851.0</v>
      </c>
      <c r="C2859" s="19" t="s">
        <v>6090</v>
      </c>
    </row>
    <row r="2860">
      <c r="B2860" s="19">
        <v>2852.0</v>
      </c>
      <c r="C2860" s="19" t="s">
        <v>6090</v>
      </c>
    </row>
    <row r="2861">
      <c r="B2861" s="19">
        <v>2853.0</v>
      </c>
      <c r="C2861" s="19" t="s">
        <v>6090</v>
      </c>
    </row>
    <row r="2862">
      <c r="B2862" s="19">
        <v>2854.0</v>
      </c>
      <c r="C2862" s="19" t="s">
        <v>6090</v>
      </c>
    </row>
    <row r="2863">
      <c r="B2863" s="19">
        <v>2855.0</v>
      </c>
      <c r="C2863" s="19" t="s">
        <v>6090</v>
      </c>
    </row>
    <row r="2864">
      <c r="B2864" s="19">
        <v>2856.0</v>
      </c>
      <c r="C2864" s="19" t="s">
        <v>6090</v>
      </c>
    </row>
    <row r="2865">
      <c r="B2865" s="19">
        <v>2857.0</v>
      </c>
      <c r="C2865" s="19" t="s">
        <v>6090</v>
      </c>
    </row>
    <row r="2866">
      <c r="B2866" s="19">
        <v>2858.0</v>
      </c>
      <c r="C2866" s="19" t="s">
        <v>6090</v>
      </c>
    </row>
    <row r="2867">
      <c r="B2867" s="19">
        <v>2859.0</v>
      </c>
      <c r="C2867" s="19" t="s">
        <v>6090</v>
      </c>
    </row>
    <row r="2868">
      <c r="B2868" s="19">
        <v>2860.0</v>
      </c>
      <c r="C2868" s="19" t="s">
        <v>6090</v>
      </c>
    </row>
    <row r="2869">
      <c r="B2869" s="19">
        <v>2861.0</v>
      </c>
      <c r="C2869" s="19" t="s">
        <v>6090</v>
      </c>
    </row>
    <row r="2870">
      <c r="B2870" s="19">
        <v>2862.0</v>
      </c>
      <c r="C2870" s="19" t="s">
        <v>6090</v>
      </c>
    </row>
    <row r="2871">
      <c r="B2871" s="19">
        <v>2863.0</v>
      </c>
      <c r="C2871" s="19" t="s">
        <v>6090</v>
      </c>
    </row>
    <row r="2872">
      <c r="B2872" s="19">
        <v>2864.0</v>
      </c>
      <c r="C2872" s="19" t="s">
        <v>6090</v>
      </c>
    </row>
    <row r="2873">
      <c r="B2873" s="19">
        <v>2865.0</v>
      </c>
      <c r="C2873" s="19" t="s">
        <v>6090</v>
      </c>
    </row>
    <row r="2874">
      <c r="B2874" s="19">
        <v>2866.0</v>
      </c>
      <c r="C2874" s="19" t="s">
        <v>6090</v>
      </c>
    </row>
    <row r="2875">
      <c r="B2875" s="19">
        <v>2867.0</v>
      </c>
      <c r="C2875" s="19" t="s">
        <v>6090</v>
      </c>
    </row>
    <row r="2876">
      <c r="B2876" s="19">
        <v>2868.0</v>
      </c>
      <c r="C2876" s="19" t="s">
        <v>6090</v>
      </c>
    </row>
    <row r="2877">
      <c r="B2877" s="19">
        <v>2869.0</v>
      </c>
      <c r="C2877" s="19" t="s">
        <v>6090</v>
      </c>
    </row>
    <row r="2878">
      <c r="B2878" s="19">
        <v>2870.0</v>
      </c>
      <c r="C2878" s="19" t="s">
        <v>6090</v>
      </c>
    </row>
    <row r="2879">
      <c r="B2879" s="19">
        <v>2871.0</v>
      </c>
      <c r="C2879" s="19" t="s">
        <v>6090</v>
      </c>
    </row>
    <row r="2880">
      <c r="B2880" s="19">
        <v>2872.0</v>
      </c>
      <c r="C2880" s="19" t="s">
        <v>6090</v>
      </c>
    </row>
    <row r="2881">
      <c r="B2881" s="19">
        <v>2873.0</v>
      </c>
      <c r="C2881" s="19" t="s">
        <v>6090</v>
      </c>
    </row>
    <row r="2882">
      <c r="B2882" s="19">
        <v>2874.0</v>
      </c>
      <c r="C2882" s="19" t="s">
        <v>6090</v>
      </c>
    </row>
    <row r="2883">
      <c r="B2883" s="19">
        <v>2875.0</v>
      </c>
      <c r="C2883" s="19" t="s">
        <v>6090</v>
      </c>
    </row>
    <row r="2884">
      <c r="B2884" s="19">
        <v>2876.0</v>
      </c>
      <c r="C2884" s="19" t="s">
        <v>6090</v>
      </c>
    </row>
    <row r="2885">
      <c r="B2885" s="19">
        <v>2877.0</v>
      </c>
      <c r="C2885" s="19" t="s">
        <v>6090</v>
      </c>
    </row>
    <row r="2886">
      <c r="B2886" s="19">
        <v>2878.0</v>
      </c>
      <c r="C2886" s="19" t="s">
        <v>6090</v>
      </c>
    </row>
    <row r="2887">
      <c r="B2887" s="19">
        <v>2879.0</v>
      </c>
      <c r="C2887" s="19" t="s">
        <v>6090</v>
      </c>
    </row>
    <row r="2888">
      <c r="B2888" s="19">
        <v>2880.0</v>
      </c>
      <c r="C2888" s="19" t="s">
        <v>6090</v>
      </c>
    </row>
    <row r="2889">
      <c r="B2889" s="19">
        <v>2881.0</v>
      </c>
      <c r="C2889" s="19" t="s">
        <v>6090</v>
      </c>
    </row>
    <row r="2890">
      <c r="B2890" s="19">
        <v>2882.0</v>
      </c>
      <c r="C2890" s="19" t="s">
        <v>6090</v>
      </c>
    </row>
    <row r="2891">
      <c r="B2891" s="19">
        <v>2883.0</v>
      </c>
      <c r="C2891" s="19" t="s">
        <v>6090</v>
      </c>
    </row>
    <row r="2892">
      <c r="B2892" s="19">
        <v>2884.0</v>
      </c>
      <c r="C2892" s="19" t="s">
        <v>6090</v>
      </c>
    </row>
    <row r="2893">
      <c r="B2893" s="19">
        <v>2885.0</v>
      </c>
      <c r="C2893" s="19" t="s">
        <v>6090</v>
      </c>
    </row>
    <row r="2894">
      <c r="B2894" s="19">
        <v>2886.0</v>
      </c>
      <c r="C2894" s="19" t="s">
        <v>6090</v>
      </c>
    </row>
    <row r="2895">
      <c r="B2895" s="19">
        <v>2887.0</v>
      </c>
      <c r="C2895" s="19" t="s">
        <v>6090</v>
      </c>
    </row>
    <row r="2896">
      <c r="B2896" s="19">
        <v>2888.0</v>
      </c>
      <c r="C2896" s="19" t="s">
        <v>6090</v>
      </c>
    </row>
    <row r="2897">
      <c r="B2897" s="19">
        <v>2889.0</v>
      </c>
      <c r="C2897" s="19" t="s">
        <v>6090</v>
      </c>
    </row>
    <row r="2898">
      <c r="B2898" s="19">
        <v>2890.0</v>
      </c>
      <c r="C2898" s="19" t="s">
        <v>6090</v>
      </c>
    </row>
    <row r="2899">
      <c r="B2899" s="19">
        <v>2891.0</v>
      </c>
      <c r="C2899" s="19" t="s">
        <v>6090</v>
      </c>
    </row>
    <row r="2900">
      <c r="B2900" s="19">
        <v>2892.0</v>
      </c>
      <c r="C2900" s="19" t="s">
        <v>6090</v>
      </c>
    </row>
    <row r="2901">
      <c r="B2901" s="19">
        <v>2893.0</v>
      </c>
      <c r="C2901" s="19" t="s">
        <v>6090</v>
      </c>
    </row>
    <row r="2902">
      <c r="B2902" s="19">
        <v>2894.0</v>
      </c>
      <c r="C2902" s="19" t="s">
        <v>6090</v>
      </c>
    </row>
    <row r="2903">
      <c r="B2903" s="19">
        <v>2895.0</v>
      </c>
      <c r="C2903" s="19" t="s">
        <v>6090</v>
      </c>
    </row>
    <row r="2904">
      <c r="B2904" s="19">
        <v>2896.0</v>
      </c>
      <c r="C2904" s="19" t="s">
        <v>6090</v>
      </c>
    </row>
    <row r="2905">
      <c r="B2905" s="19">
        <v>2897.0</v>
      </c>
      <c r="C2905" s="19" t="s">
        <v>6090</v>
      </c>
    </row>
    <row r="2906">
      <c r="B2906" s="19">
        <v>2898.0</v>
      </c>
      <c r="C2906" s="19" t="s">
        <v>6090</v>
      </c>
    </row>
    <row r="2907">
      <c r="B2907" s="19">
        <v>2899.0</v>
      </c>
      <c r="C2907" s="19" t="s">
        <v>6090</v>
      </c>
    </row>
    <row r="2908">
      <c r="B2908" s="19">
        <v>2900.0</v>
      </c>
      <c r="C2908" s="19" t="s">
        <v>6090</v>
      </c>
    </row>
    <row r="2909">
      <c r="B2909" s="19">
        <v>2901.0</v>
      </c>
      <c r="C2909" s="19" t="s">
        <v>6090</v>
      </c>
    </row>
    <row r="2910">
      <c r="B2910" s="19">
        <v>2902.0</v>
      </c>
      <c r="C2910" s="19" t="s">
        <v>6090</v>
      </c>
    </row>
    <row r="2911">
      <c r="B2911" s="19">
        <v>2903.0</v>
      </c>
      <c r="C2911" s="19" t="s">
        <v>6090</v>
      </c>
    </row>
    <row r="2912">
      <c r="B2912" s="19">
        <v>2904.0</v>
      </c>
      <c r="C2912" s="19" t="s">
        <v>6090</v>
      </c>
    </row>
    <row r="2913">
      <c r="B2913" s="19">
        <v>2905.0</v>
      </c>
      <c r="C2913" s="19" t="s">
        <v>6090</v>
      </c>
    </row>
    <row r="2914">
      <c r="B2914" s="19">
        <v>2906.0</v>
      </c>
      <c r="C2914" s="19" t="s">
        <v>6090</v>
      </c>
    </row>
    <row r="2915">
      <c r="B2915" s="19">
        <v>2907.0</v>
      </c>
      <c r="C2915" s="19" t="s">
        <v>6090</v>
      </c>
    </row>
    <row r="2916">
      <c r="B2916" s="19">
        <v>2908.0</v>
      </c>
      <c r="C2916" s="19" t="s">
        <v>6090</v>
      </c>
    </row>
    <row r="2917">
      <c r="B2917" s="19">
        <v>2909.0</v>
      </c>
      <c r="C2917" s="19" t="s">
        <v>6090</v>
      </c>
    </row>
    <row r="2918">
      <c r="B2918" s="19">
        <v>2910.0</v>
      </c>
      <c r="C2918" s="19" t="s">
        <v>6090</v>
      </c>
    </row>
    <row r="2919">
      <c r="B2919" s="19">
        <v>2911.0</v>
      </c>
      <c r="C2919" s="19" t="s">
        <v>6090</v>
      </c>
    </row>
    <row r="2920">
      <c r="B2920" s="19">
        <v>2912.0</v>
      </c>
      <c r="C2920" s="19" t="s">
        <v>6090</v>
      </c>
    </row>
    <row r="2921">
      <c r="B2921" s="19">
        <v>2913.0</v>
      </c>
      <c r="C2921" s="19" t="s">
        <v>6090</v>
      </c>
    </row>
    <row r="2922">
      <c r="B2922" s="19">
        <v>2914.0</v>
      </c>
      <c r="C2922" s="19" t="s">
        <v>6090</v>
      </c>
    </row>
    <row r="2923">
      <c r="B2923" s="19">
        <v>2915.0</v>
      </c>
      <c r="C2923" s="19" t="s">
        <v>6090</v>
      </c>
    </row>
    <row r="2924">
      <c r="B2924" s="19">
        <v>2916.0</v>
      </c>
      <c r="C2924" s="19" t="s">
        <v>6090</v>
      </c>
    </row>
    <row r="2925">
      <c r="B2925" s="19">
        <v>2917.0</v>
      </c>
      <c r="C2925" s="19" t="s">
        <v>6090</v>
      </c>
    </row>
    <row r="2926">
      <c r="B2926" s="19">
        <v>2918.0</v>
      </c>
      <c r="C2926" s="19" t="s">
        <v>6090</v>
      </c>
    </row>
    <row r="2927">
      <c r="B2927" s="19">
        <v>2919.0</v>
      </c>
      <c r="C2927" s="19" t="s">
        <v>6090</v>
      </c>
    </row>
    <row r="2928">
      <c r="B2928" s="19">
        <v>2920.0</v>
      </c>
      <c r="C2928" s="19" t="s">
        <v>6090</v>
      </c>
    </row>
    <row r="2929">
      <c r="B2929" s="19">
        <v>2921.0</v>
      </c>
      <c r="C2929" s="19" t="s">
        <v>6090</v>
      </c>
    </row>
    <row r="2930">
      <c r="B2930" s="19">
        <v>2922.0</v>
      </c>
      <c r="C2930" s="19" t="s">
        <v>6090</v>
      </c>
    </row>
    <row r="2931">
      <c r="B2931" s="19">
        <v>2923.0</v>
      </c>
      <c r="C2931" s="19" t="s">
        <v>6090</v>
      </c>
    </row>
    <row r="2932">
      <c r="B2932" s="19">
        <v>2924.0</v>
      </c>
      <c r="C2932" s="19" t="s">
        <v>6090</v>
      </c>
    </row>
    <row r="2933">
      <c r="B2933" s="19">
        <v>2925.0</v>
      </c>
      <c r="C2933" s="19" t="s">
        <v>6090</v>
      </c>
    </row>
    <row r="2934">
      <c r="B2934" s="19">
        <v>2926.0</v>
      </c>
      <c r="C2934" s="19" t="s">
        <v>6090</v>
      </c>
    </row>
    <row r="2935">
      <c r="B2935" s="19">
        <v>2927.0</v>
      </c>
      <c r="C2935" s="19" t="s">
        <v>6090</v>
      </c>
    </row>
    <row r="2936">
      <c r="B2936" s="19">
        <v>2928.0</v>
      </c>
      <c r="C2936" s="19" t="s">
        <v>6090</v>
      </c>
    </row>
    <row r="2937">
      <c r="B2937" s="19">
        <v>2929.0</v>
      </c>
      <c r="C2937" s="19" t="s">
        <v>6090</v>
      </c>
    </row>
    <row r="2938">
      <c r="B2938" s="19">
        <v>2930.0</v>
      </c>
      <c r="C2938" s="19" t="s">
        <v>6090</v>
      </c>
    </row>
    <row r="2939">
      <c r="B2939" s="19">
        <v>2931.0</v>
      </c>
      <c r="C2939" s="19" t="s">
        <v>6090</v>
      </c>
    </row>
    <row r="2940">
      <c r="B2940" s="19">
        <v>2932.0</v>
      </c>
      <c r="C2940" s="19" t="s">
        <v>6090</v>
      </c>
    </row>
    <row r="2941">
      <c r="B2941" s="19">
        <v>2933.0</v>
      </c>
      <c r="C2941" s="19" t="s">
        <v>6090</v>
      </c>
    </row>
    <row r="2942">
      <c r="B2942" s="19">
        <v>2934.0</v>
      </c>
      <c r="C2942" s="19" t="s">
        <v>6090</v>
      </c>
    </row>
    <row r="2943">
      <c r="B2943" s="19">
        <v>2935.0</v>
      </c>
      <c r="C2943" s="19" t="s">
        <v>6090</v>
      </c>
    </row>
    <row r="2944">
      <c r="B2944" s="19">
        <v>2936.0</v>
      </c>
      <c r="C2944" s="19" t="s">
        <v>6090</v>
      </c>
    </row>
    <row r="2945">
      <c r="B2945" s="19">
        <v>2937.0</v>
      </c>
      <c r="C2945" s="19" t="s">
        <v>6090</v>
      </c>
    </row>
    <row r="2946">
      <c r="B2946" s="19">
        <v>2938.0</v>
      </c>
      <c r="C2946" s="19" t="s">
        <v>6090</v>
      </c>
    </row>
    <row r="2947">
      <c r="B2947" s="19">
        <v>2939.0</v>
      </c>
      <c r="C2947" s="19" t="s">
        <v>6090</v>
      </c>
    </row>
    <row r="2948">
      <c r="B2948" s="19">
        <v>2940.0</v>
      </c>
      <c r="C2948" s="19" t="s">
        <v>6090</v>
      </c>
    </row>
    <row r="2949">
      <c r="B2949" s="19">
        <v>2941.0</v>
      </c>
      <c r="C2949" s="19" t="s">
        <v>6090</v>
      </c>
    </row>
    <row r="2950">
      <c r="B2950" s="19">
        <v>2942.0</v>
      </c>
      <c r="C2950" s="19" t="s">
        <v>6090</v>
      </c>
    </row>
    <row r="2951">
      <c r="B2951" s="19">
        <v>2943.0</v>
      </c>
      <c r="C2951" s="19" t="s">
        <v>6090</v>
      </c>
    </row>
    <row r="2952">
      <c r="B2952" s="19">
        <v>2944.0</v>
      </c>
      <c r="C2952" s="19" t="s">
        <v>6090</v>
      </c>
    </row>
    <row r="2953">
      <c r="B2953" s="19">
        <v>2945.0</v>
      </c>
      <c r="C2953" s="19" t="s">
        <v>6090</v>
      </c>
    </row>
    <row r="2954">
      <c r="B2954" s="19">
        <v>2946.0</v>
      </c>
      <c r="C2954" s="19" t="s">
        <v>6090</v>
      </c>
    </row>
    <row r="2955">
      <c r="B2955" s="19">
        <v>2947.0</v>
      </c>
      <c r="C2955" s="19" t="s">
        <v>6090</v>
      </c>
    </row>
    <row r="2956">
      <c r="B2956" s="19">
        <v>2948.0</v>
      </c>
      <c r="C2956" s="19" t="s">
        <v>6090</v>
      </c>
    </row>
    <row r="2957">
      <c r="B2957" s="19">
        <v>2949.0</v>
      </c>
      <c r="C2957" s="19" t="s">
        <v>6090</v>
      </c>
    </row>
    <row r="2958">
      <c r="B2958" s="19">
        <v>2950.0</v>
      </c>
      <c r="C2958" s="19" t="s">
        <v>6090</v>
      </c>
    </row>
    <row r="2959">
      <c r="B2959" s="19">
        <v>2951.0</v>
      </c>
      <c r="C2959" s="19" t="s">
        <v>6090</v>
      </c>
    </row>
    <row r="2960">
      <c r="B2960" s="19">
        <v>2952.0</v>
      </c>
      <c r="C2960" s="19" t="s">
        <v>6090</v>
      </c>
    </row>
    <row r="2961">
      <c r="B2961" s="19">
        <v>2953.0</v>
      </c>
      <c r="C2961" s="19" t="s">
        <v>6090</v>
      </c>
    </row>
    <row r="2962">
      <c r="B2962" s="19">
        <v>2954.0</v>
      </c>
      <c r="C2962" s="19" t="s">
        <v>6090</v>
      </c>
    </row>
    <row r="2963">
      <c r="B2963" s="19">
        <v>2955.0</v>
      </c>
      <c r="C2963" s="19" t="s">
        <v>6090</v>
      </c>
    </row>
    <row r="2964">
      <c r="B2964" s="19">
        <v>2956.0</v>
      </c>
      <c r="C2964" s="19" t="s">
        <v>6090</v>
      </c>
    </row>
    <row r="2965">
      <c r="B2965" s="19">
        <v>2957.0</v>
      </c>
      <c r="C2965" s="19" t="s">
        <v>6090</v>
      </c>
    </row>
    <row r="2966">
      <c r="B2966" s="19">
        <v>2958.0</v>
      </c>
      <c r="C2966" s="19" t="s">
        <v>6090</v>
      </c>
    </row>
    <row r="2967">
      <c r="B2967" s="19">
        <v>2959.0</v>
      </c>
      <c r="C2967" s="19" t="s">
        <v>6090</v>
      </c>
    </row>
    <row r="2968">
      <c r="B2968" s="19">
        <v>2960.0</v>
      </c>
      <c r="C2968" s="19" t="s">
        <v>6090</v>
      </c>
    </row>
    <row r="2969">
      <c r="B2969" s="19">
        <v>2961.0</v>
      </c>
      <c r="C2969" s="19" t="s">
        <v>6090</v>
      </c>
    </row>
    <row r="2970">
      <c r="B2970" s="19">
        <v>2962.0</v>
      </c>
      <c r="C2970" s="19" t="s">
        <v>6090</v>
      </c>
    </row>
    <row r="2971">
      <c r="B2971" s="19">
        <v>2963.0</v>
      </c>
      <c r="C2971" s="19" t="s">
        <v>6090</v>
      </c>
    </row>
    <row r="2972">
      <c r="B2972" s="19">
        <v>2964.0</v>
      </c>
      <c r="C2972" s="19" t="s">
        <v>6090</v>
      </c>
    </row>
    <row r="2973">
      <c r="B2973" s="19">
        <v>2965.0</v>
      </c>
      <c r="C2973" s="19" t="s">
        <v>6090</v>
      </c>
    </row>
    <row r="2974">
      <c r="B2974" s="19">
        <v>2966.0</v>
      </c>
      <c r="C2974" s="19" t="s">
        <v>6090</v>
      </c>
    </row>
    <row r="2975">
      <c r="B2975" s="19">
        <v>2967.0</v>
      </c>
      <c r="C2975" s="19" t="s">
        <v>6090</v>
      </c>
    </row>
    <row r="2976">
      <c r="B2976" s="19">
        <v>2968.0</v>
      </c>
      <c r="C2976" s="19" t="s">
        <v>6090</v>
      </c>
    </row>
    <row r="2977">
      <c r="B2977" s="19">
        <v>2969.0</v>
      </c>
      <c r="C2977" s="19" t="s">
        <v>6090</v>
      </c>
    </row>
    <row r="2978">
      <c r="B2978" s="19">
        <v>2970.0</v>
      </c>
      <c r="C2978" s="19" t="s">
        <v>6090</v>
      </c>
    </row>
    <row r="2979">
      <c r="B2979" s="19">
        <v>2971.0</v>
      </c>
      <c r="C2979" s="19" t="s">
        <v>6090</v>
      </c>
    </row>
    <row r="2980">
      <c r="B2980" s="19">
        <v>2972.0</v>
      </c>
      <c r="C2980" s="19" t="s">
        <v>6090</v>
      </c>
    </row>
    <row r="2981">
      <c r="B2981" s="19">
        <v>2973.0</v>
      </c>
      <c r="C2981" s="19" t="s">
        <v>6090</v>
      </c>
    </row>
    <row r="2982">
      <c r="B2982" s="19">
        <v>2974.0</v>
      </c>
      <c r="C2982" s="19" t="s">
        <v>6090</v>
      </c>
    </row>
    <row r="2983">
      <c r="B2983" s="19">
        <v>2975.0</v>
      </c>
      <c r="C2983" s="19" t="s">
        <v>6090</v>
      </c>
    </row>
    <row r="2984">
      <c r="B2984" s="19">
        <v>2976.0</v>
      </c>
      <c r="C2984" s="19" t="s">
        <v>6090</v>
      </c>
    </row>
    <row r="2985">
      <c r="B2985" s="19">
        <v>2977.0</v>
      </c>
      <c r="C2985" s="19" t="s">
        <v>6090</v>
      </c>
    </row>
    <row r="2986">
      <c r="B2986" s="19">
        <v>2978.0</v>
      </c>
      <c r="C2986" s="19" t="s">
        <v>6090</v>
      </c>
    </row>
    <row r="2987">
      <c r="B2987" s="19">
        <v>2979.0</v>
      </c>
      <c r="C2987" s="19" t="s">
        <v>6090</v>
      </c>
    </row>
    <row r="2988">
      <c r="B2988" s="19">
        <v>2980.0</v>
      </c>
      <c r="C2988" s="19" t="s">
        <v>6090</v>
      </c>
    </row>
    <row r="2989">
      <c r="B2989" s="19">
        <v>2981.0</v>
      </c>
      <c r="C2989" s="19" t="s">
        <v>6090</v>
      </c>
    </row>
    <row r="2990">
      <c r="B2990" s="19">
        <v>2982.0</v>
      </c>
      <c r="C2990" s="19" t="s">
        <v>6090</v>
      </c>
    </row>
    <row r="2991">
      <c r="B2991" s="19">
        <v>2983.0</v>
      </c>
      <c r="C2991" s="19" t="s">
        <v>6090</v>
      </c>
    </row>
    <row r="2992">
      <c r="B2992" s="19">
        <v>2984.0</v>
      </c>
      <c r="C2992" s="19" t="s">
        <v>6090</v>
      </c>
    </row>
    <row r="2993">
      <c r="B2993" s="19">
        <v>2985.0</v>
      </c>
      <c r="C2993" s="19" t="s">
        <v>6090</v>
      </c>
    </row>
    <row r="2994">
      <c r="B2994" s="19">
        <v>2986.0</v>
      </c>
      <c r="C2994" s="19" t="s">
        <v>6090</v>
      </c>
    </row>
    <row r="2995">
      <c r="B2995" s="19">
        <v>2987.0</v>
      </c>
      <c r="C2995" s="19" t="s">
        <v>6090</v>
      </c>
    </row>
    <row r="2996">
      <c r="B2996" s="19">
        <v>2988.0</v>
      </c>
      <c r="C2996" s="19" t="s">
        <v>6090</v>
      </c>
    </row>
    <row r="2997">
      <c r="B2997" s="19">
        <v>2989.0</v>
      </c>
      <c r="C2997" s="19" t="s">
        <v>6090</v>
      </c>
    </row>
    <row r="2998">
      <c r="B2998" s="19">
        <v>2990.0</v>
      </c>
      <c r="C2998" s="19" t="s">
        <v>6090</v>
      </c>
    </row>
    <row r="2999">
      <c r="B2999" s="19">
        <v>2991.0</v>
      </c>
      <c r="C2999" s="19" t="s">
        <v>6090</v>
      </c>
    </row>
    <row r="3000">
      <c r="B3000" s="19">
        <v>2992.0</v>
      </c>
      <c r="C3000" s="19" t="s">
        <v>6090</v>
      </c>
    </row>
    <row r="3001">
      <c r="B3001" s="19">
        <v>2993.0</v>
      </c>
      <c r="C3001" s="19" t="s">
        <v>6090</v>
      </c>
    </row>
    <row r="3002">
      <c r="B3002" s="19">
        <v>2994.0</v>
      </c>
      <c r="C3002" s="19" t="s">
        <v>6090</v>
      </c>
    </row>
    <row r="3003">
      <c r="B3003" s="19">
        <v>2995.0</v>
      </c>
      <c r="C3003" s="19" t="s">
        <v>6090</v>
      </c>
    </row>
    <row r="3004">
      <c r="B3004" s="19">
        <v>2996.0</v>
      </c>
      <c r="C3004" s="19" t="s">
        <v>6090</v>
      </c>
    </row>
    <row r="3005">
      <c r="B3005" s="19">
        <v>2997.0</v>
      </c>
      <c r="C3005" s="19" t="s">
        <v>6090</v>
      </c>
    </row>
    <row r="3006">
      <c r="B3006" s="19">
        <v>2998.0</v>
      </c>
      <c r="C3006" s="19" t="s">
        <v>6090</v>
      </c>
    </row>
    <row r="3007">
      <c r="B3007" s="19">
        <v>2999.0</v>
      </c>
      <c r="C3007" s="19" t="s">
        <v>6090</v>
      </c>
    </row>
    <row r="3008">
      <c r="B3008" s="19">
        <v>3000.0</v>
      </c>
      <c r="C3008" s="19" t="s">
        <v>6090</v>
      </c>
    </row>
    <row r="3009">
      <c r="B3009" s="19">
        <v>3001.0</v>
      </c>
      <c r="C3009" s="19" t="s">
        <v>6090</v>
      </c>
    </row>
    <row r="3010">
      <c r="B3010" s="19">
        <v>3002.0</v>
      </c>
      <c r="C3010" s="19" t="s">
        <v>6090</v>
      </c>
    </row>
    <row r="3011">
      <c r="B3011" s="19">
        <v>3003.0</v>
      </c>
      <c r="C3011" s="19" t="s">
        <v>6090</v>
      </c>
    </row>
    <row r="3012">
      <c r="B3012" s="19">
        <v>3004.0</v>
      </c>
      <c r="C3012" s="19" t="s">
        <v>6090</v>
      </c>
    </row>
    <row r="3013">
      <c r="B3013" s="19">
        <v>3005.0</v>
      </c>
      <c r="C3013" s="19" t="s">
        <v>6090</v>
      </c>
    </row>
    <row r="3014">
      <c r="B3014" s="19">
        <v>3006.0</v>
      </c>
      <c r="C3014" s="19" t="s">
        <v>6090</v>
      </c>
    </row>
    <row r="3015">
      <c r="B3015" s="19">
        <v>3007.0</v>
      </c>
      <c r="C3015" s="19" t="s">
        <v>6090</v>
      </c>
    </row>
    <row r="3016">
      <c r="B3016" s="19">
        <v>3008.0</v>
      </c>
      <c r="C3016" s="19" t="s">
        <v>6090</v>
      </c>
    </row>
    <row r="3017">
      <c r="B3017" s="19">
        <v>3009.0</v>
      </c>
      <c r="C3017" s="19" t="s">
        <v>6090</v>
      </c>
    </row>
    <row r="3018">
      <c r="B3018" s="19">
        <v>3010.0</v>
      </c>
      <c r="C3018" s="19" t="s">
        <v>6090</v>
      </c>
    </row>
    <row r="3019">
      <c r="B3019" s="19">
        <v>3011.0</v>
      </c>
      <c r="C3019" s="19" t="s">
        <v>6090</v>
      </c>
    </row>
    <row r="3020">
      <c r="B3020" s="19">
        <v>3012.0</v>
      </c>
      <c r="C3020" s="19" t="s">
        <v>6090</v>
      </c>
    </row>
    <row r="3021">
      <c r="B3021" s="19">
        <v>3013.0</v>
      </c>
      <c r="C3021" s="19" t="s">
        <v>6090</v>
      </c>
    </row>
    <row r="3022">
      <c r="B3022" s="19">
        <v>3014.0</v>
      </c>
      <c r="C3022" s="19" t="s">
        <v>6090</v>
      </c>
    </row>
    <row r="3023">
      <c r="B3023" s="19">
        <v>3015.0</v>
      </c>
      <c r="C3023" s="19" t="s">
        <v>6090</v>
      </c>
    </row>
    <row r="3024">
      <c r="B3024" s="19">
        <v>3016.0</v>
      </c>
      <c r="C3024" s="19" t="s">
        <v>6090</v>
      </c>
    </row>
    <row r="3025">
      <c r="B3025" s="19">
        <v>3017.0</v>
      </c>
      <c r="C3025" s="19" t="s">
        <v>6090</v>
      </c>
    </row>
    <row r="3026">
      <c r="B3026" s="19">
        <v>3018.0</v>
      </c>
      <c r="C3026" s="19" t="s">
        <v>6090</v>
      </c>
    </row>
    <row r="3027">
      <c r="B3027" s="19">
        <v>3019.0</v>
      </c>
      <c r="C3027" s="19" t="s">
        <v>6090</v>
      </c>
    </row>
    <row r="3028">
      <c r="B3028" s="19">
        <v>3020.0</v>
      </c>
      <c r="C3028" s="19" t="s">
        <v>6090</v>
      </c>
    </row>
    <row r="3029">
      <c r="B3029" s="19">
        <v>3021.0</v>
      </c>
      <c r="C3029" s="19" t="s">
        <v>6090</v>
      </c>
    </row>
    <row r="3030">
      <c r="B3030" s="19">
        <v>3022.0</v>
      </c>
      <c r="C3030" s="19" t="s">
        <v>6090</v>
      </c>
    </row>
    <row r="3031">
      <c r="B3031" s="19">
        <v>3023.0</v>
      </c>
      <c r="C3031" s="19" t="s">
        <v>6090</v>
      </c>
    </row>
    <row r="3032">
      <c r="B3032" s="19">
        <v>3024.0</v>
      </c>
      <c r="C3032" s="19" t="s">
        <v>6090</v>
      </c>
    </row>
    <row r="3033">
      <c r="B3033" s="19">
        <v>3025.0</v>
      </c>
      <c r="C3033" s="19" t="s">
        <v>6090</v>
      </c>
    </row>
    <row r="3034">
      <c r="B3034" s="19">
        <v>3026.0</v>
      </c>
      <c r="C3034" s="19" t="s">
        <v>6090</v>
      </c>
    </row>
    <row r="3035">
      <c r="B3035" s="19">
        <v>3027.0</v>
      </c>
      <c r="C3035" s="19" t="s">
        <v>6090</v>
      </c>
    </row>
    <row r="3036">
      <c r="B3036" s="19">
        <v>3028.0</v>
      </c>
      <c r="C3036" s="19" t="s">
        <v>6090</v>
      </c>
    </row>
    <row r="3037">
      <c r="B3037" s="19">
        <v>3029.0</v>
      </c>
      <c r="C3037" s="19" t="s">
        <v>6090</v>
      </c>
    </row>
    <row r="3038">
      <c r="B3038" s="19">
        <v>3030.0</v>
      </c>
      <c r="C3038" s="19" t="s">
        <v>6090</v>
      </c>
    </row>
    <row r="3039">
      <c r="B3039" s="19">
        <v>3031.0</v>
      </c>
      <c r="C3039" s="19" t="s">
        <v>6090</v>
      </c>
    </row>
    <row r="3040">
      <c r="B3040" s="19">
        <v>3032.0</v>
      </c>
      <c r="C3040" s="19" t="s">
        <v>6090</v>
      </c>
    </row>
    <row r="3041">
      <c r="B3041" s="19">
        <v>3033.0</v>
      </c>
      <c r="C3041" s="19" t="s">
        <v>6090</v>
      </c>
    </row>
    <row r="3042">
      <c r="B3042" s="19">
        <v>3034.0</v>
      </c>
      <c r="C3042" s="19" t="s">
        <v>6090</v>
      </c>
    </row>
    <row r="3043">
      <c r="B3043" s="19">
        <v>3035.0</v>
      </c>
      <c r="C3043" s="19" t="s">
        <v>6090</v>
      </c>
    </row>
    <row r="3044">
      <c r="B3044" s="19">
        <v>3036.0</v>
      </c>
      <c r="C3044" s="19" t="s">
        <v>6090</v>
      </c>
    </row>
    <row r="3045">
      <c r="B3045" s="19">
        <v>3037.0</v>
      </c>
      <c r="C3045" s="19" t="s">
        <v>6090</v>
      </c>
    </row>
    <row r="3046">
      <c r="B3046" s="19">
        <v>3038.0</v>
      </c>
      <c r="C3046" s="19" t="s">
        <v>6090</v>
      </c>
    </row>
    <row r="3047">
      <c r="B3047" s="19">
        <v>3039.0</v>
      </c>
      <c r="C3047" s="19" t="s">
        <v>6090</v>
      </c>
    </row>
    <row r="3048">
      <c r="B3048" s="19">
        <v>3040.0</v>
      </c>
      <c r="C3048" s="19" t="s">
        <v>6090</v>
      </c>
    </row>
    <row r="3049">
      <c r="B3049" s="19">
        <v>3041.0</v>
      </c>
      <c r="C3049" s="19" t="s">
        <v>6090</v>
      </c>
    </row>
    <row r="3050">
      <c r="B3050" s="19">
        <v>3042.0</v>
      </c>
      <c r="C3050" s="19" t="s">
        <v>6090</v>
      </c>
    </row>
    <row r="3051">
      <c r="B3051" s="19">
        <v>3043.0</v>
      </c>
      <c r="C3051" s="19" t="s">
        <v>6090</v>
      </c>
    </row>
    <row r="3052">
      <c r="B3052" s="19">
        <v>3044.0</v>
      </c>
      <c r="C3052" s="19" t="s">
        <v>6090</v>
      </c>
    </row>
    <row r="3053">
      <c r="B3053" s="19">
        <v>3045.0</v>
      </c>
      <c r="C3053" s="19" t="s">
        <v>6090</v>
      </c>
    </row>
    <row r="3054">
      <c r="B3054" s="19">
        <v>3046.0</v>
      </c>
      <c r="C3054" s="19" t="s">
        <v>6090</v>
      </c>
    </row>
    <row r="3055">
      <c r="B3055" s="19">
        <v>3047.0</v>
      </c>
      <c r="C3055" s="19" t="s">
        <v>6090</v>
      </c>
    </row>
    <row r="3056">
      <c r="B3056" s="19">
        <v>3048.0</v>
      </c>
      <c r="C3056" s="19" t="s">
        <v>6090</v>
      </c>
    </row>
    <row r="3057">
      <c r="B3057" s="19">
        <v>3049.0</v>
      </c>
      <c r="C3057" s="19" t="s">
        <v>6090</v>
      </c>
    </row>
    <row r="3058">
      <c r="B3058" s="19">
        <v>3050.0</v>
      </c>
      <c r="C3058" s="19" t="s">
        <v>6090</v>
      </c>
    </row>
    <row r="3059">
      <c r="B3059" s="19">
        <v>3051.0</v>
      </c>
      <c r="C3059" s="19" t="s">
        <v>6090</v>
      </c>
    </row>
    <row r="3060">
      <c r="B3060" s="19">
        <v>3052.0</v>
      </c>
      <c r="C3060" s="19" t="s">
        <v>6090</v>
      </c>
    </row>
    <row r="3061">
      <c r="B3061" s="19">
        <v>3053.0</v>
      </c>
      <c r="C3061" s="19" t="s">
        <v>6090</v>
      </c>
    </row>
    <row r="3062">
      <c r="B3062" s="19">
        <v>3054.0</v>
      </c>
      <c r="C3062" s="19" t="s">
        <v>6090</v>
      </c>
    </row>
    <row r="3063">
      <c r="B3063" s="19">
        <v>3055.0</v>
      </c>
      <c r="C3063" s="19" t="s">
        <v>6090</v>
      </c>
    </row>
    <row r="3064">
      <c r="B3064" s="19">
        <v>3056.0</v>
      </c>
      <c r="C3064" s="19" t="s">
        <v>6090</v>
      </c>
    </row>
    <row r="3065">
      <c r="B3065" s="19">
        <v>3057.0</v>
      </c>
      <c r="C3065" s="19" t="s">
        <v>6090</v>
      </c>
    </row>
    <row r="3066">
      <c r="B3066" s="19">
        <v>3058.0</v>
      </c>
      <c r="C3066" s="19" t="s">
        <v>6090</v>
      </c>
    </row>
    <row r="3067">
      <c r="B3067" s="19">
        <v>3059.0</v>
      </c>
      <c r="C3067" s="19" t="s">
        <v>6090</v>
      </c>
    </row>
    <row r="3068">
      <c r="B3068" s="19">
        <v>3060.0</v>
      </c>
      <c r="C3068" s="19" t="s">
        <v>6090</v>
      </c>
    </row>
    <row r="3069">
      <c r="B3069" s="19">
        <v>3061.0</v>
      </c>
      <c r="C3069" s="19" t="s">
        <v>6090</v>
      </c>
    </row>
    <row r="3070">
      <c r="B3070" s="19">
        <v>3062.0</v>
      </c>
      <c r="C3070" s="19" t="s">
        <v>6090</v>
      </c>
    </row>
    <row r="3071">
      <c r="B3071" s="19">
        <v>3063.0</v>
      </c>
      <c r="C3071" s="19" t="s">
        <v>6090</v>
      </c>
    </row>
    <row r="3072">
      <c r="B3072" s="19">
        <v>3064.0</v>
      </c>
      <c r="C3072" s="19" t="s">
        <v>6090</v>
      </c>
    </row>
    <row r="3073">
      <c r="B3073" s="19">
        <v>3065.0</v>
      </c>
      <c r="C3073" s="19" t="s">
        <v>6090</v>
      </c>
    </row>
    <row r="3074">
      <c r="B3074" s="19">
        <v>3066.0</v>
      </c>
      <c r="C3074" s="19" t="s">
        <v>6090</v>
      </c>
    </row>
    <row r="3075">
      <c r="B3075" s="19">
        <v>3067.0</v>
      </c>
      <c r="C3075" s="19" t="s">
        <v>6090</v>
      </c>
    </row>
    <row r="3076">
      <c r="B3076" s="19">
        <v>3068.0</v>
      </c>
      <c r="C3076" s="19" t="s">
        <v>6090</v>
      </c>
    </row>
    <row r="3077">
      <c r="B3077" s="19">
        <v>3069.0</v>
      </c>
      <c r="C3077" s="19" t="s">
        <v>6090</v>
      </c>
    </row>
    <row r="3078">
      <c r="B3078" s="19">
        <v>3070.0</v>
      </c>
      <c r="C3078" s="19" t="s">
        <v>6090</v>
      </c>
    </row>
    <row r="3079">
      <c r="B3079" s="19">
        <v>3071.0</v>
      </c>
      <c r="C3079" s="19" t="s">
        <v>6090</v>
      </c>
    </row>
    <row r="3080">
      <c r="B3080" s="19">
        <v>3072.0</v>
      </c>
      <c r="C3080" s="19" t="s">
        <v>6090</v>
      </c>
    </row>
    <row r="3081">
      <c r="B3081" s="19">
        <v>3073.0</v>
      </c>
      <c r="C3081" s="19" t="s">
        <v>6090</v>
      </c>
    </row>
    <row r="3082">
      <c r="B3082" s="19">
        <v>3074.0</v>
      </c>
      <c r="C3082" s="19" t="s">
        <v>6090</v>
      </c>
    </row>
    <row r="3083">
      <c r="B3083" s="19">
        <v>3075.0</v>
      </c>
      <c r="C3083" s="19" t="s">
        <v>6090</v>
      </c>
    </row>
    <row r="3084">
      <c r="B3084" s="19">
        <v>3076.0</v>
      </c>
      <c r="C3084" s="19" t="s">
        <v>6090</v>
      </c>
    </row>
    <row r="3085">
      <c r="B3085" s="19">
        <v>3077.0</v>
      </c>
      <c r="C3085" s="19" t="s">
        <v>6090</v>
      </c>
    </row>
    <row r="3086">
      <c r="B3086" s="19">
        <v>3078.0</v>
      </c>
      <c r="C3086" s="19" t="s">
        <v>6090</v>
      </c>
    </row>
    <row r="3087">
      <c r="B3087" s="19">
        <v>3079.0</v>
      </c>
      <c r="C3087" s="19" t="s">
        <v>6090</v>
      </c>
    </row>
    <row r="3088">
      <c r="B3088" s="19">
        <v>3080.0</v>
      </c>
      <c r="C3088" s="19" t="s">
        <v>6090</v>
      </c>
    </row>
    <row r="3089">
      <c r="B3089" s="19">
        <v>3081.0</v>
      </c>
      <c r="C3089" s="19" t="s">
        <v>6090</v>
      </c>
    </row>
    <row r="3090">
      <c r="B3090" s="19">
        <v>3082.0</v>
      </c>
      <c r="C3090" s="19" t="s">
        <v>6090</v>
      </c>
    </row>
    <row r="3091">
      <c r="B3091" s="19">
        <v>3083.0</v>
      </c>
      <c r="C3091" s="19" t="s">
        <v>6090</v>
      </c>
    </row>
    <row r="3092">
      <c r="B3092" s="19">
        <v>3084.0</v>
      </c>
      <c r="C3092" s="19" t="s">
        <v>6090</v>
      </c>
    </row>
    <row r="3093">
      <c r="B3093" s="19">
        <v>3085.0</v>
      </c>
      <c r="C3093" s="19" t="s">
        <v>6090</v>
      </c>
    </row>
    <row r="3094">
      <c r="B3094" s="19">
        <v>3086.0</v>
      </c>
      <c r="C3094" s="19" t="s">
        <v>6090</v>
      </c>
    </row>
    <row r="3095">
      <c r="B3095" s="19">
        <v>3087.0</v>
      </c>
      <c r="C3095" s="19" t="s">
        <v>6090</v>
      </c>
    </row>
    <row r="3096">
      <c r="B3096" s="19">
        <v>3088.0</v>
      </c>
      <c r="C3096" s="19" t="s">
        <v>6090</v>
      </c>
    </row>
    <row r="3097">
      <c r="B3097" s="19">
        <v>3089.0</v>
      </c>
      <c r="C3097" s="19" t="s">
        <v>6090</v>
      </c>
    </row>
    <row r="3098">
      <c r="B3098" s="19">
        <v>3090.0</v>
      </c>
      <c r="C3098" s="19" t="s">
        <v>6090</v>
      </c>
    </row>
    <row r="3099">
      <c r="B3099" s="19">
        <v>3091.0</v>
      </c>
      <c r="C3099" s="19" t="s">
        <v>6090</v>
      </c>
    </row>
    <row r="3100">
      <c r="B3100" s="19">
        <v>3092.0</v>
      </c>
      <c r="C3100" s="19" t="s">
        <v>6090</v>
      </c>
    </row>
    <row r="3101">
      <c r="B3101" s="19">
        <v>3093.0</v>
      </c>
      <c r="C3101" s="19" t="s">
        <v>6090</v>
      </c>
    </row>
    <row r="3102">
      <c r="B3102" s="19">
        <v>3094.0</v>
      </c>
      <c r="C3102" s="19" t="s">
        <v>6090</v>
      </c>
    </row>
    <row r="3103">
      <c r="B3103" s="19">
        <v>3095.0</v>
      </c>
      <c r="C3103" s="19" t="s">
        <v>6090</v>
      </c>
    </row>
    <row r="3104">
      <c r="B3104" s="19">
        <v>3096.0</v>
      </c>
      <c r="C3104" s="19" t="s">
        <v>6090</v>
      </c>
    </row>
    <row r="3105">
      <c r="B3105" s="19">
        <v>3097.0</v>
      </c>
      <c r="C3105" s="19" t="s">
        <v>6090</v>
      </c>
    </row>
    <row r="3106">
      <c r="B3106" s="19">
        <v>3098.0</v>
      </c>
      <c r="C3106" s="19" t="s">
        <v>6090</v>
      </c>
    </row>
    <row r="3107">
      <c r="B3107" s="19">
        <v>3099.0</v>
      </c>
      <c r="C3107" s="19" t="s">
        <v>6090</v>
      </c>
    </row>
    <row r="3108">
      <c r="B3108" s="19">
        <v>3100.0</v>
      </c>
      <c r="C3108" s="19" t="s">
        <v>6090</v>
      </c>
    </row>
    <row r="3109">
      <c r="B3109" s="19">
        <v>3101.0</v>
      </c>
      <c r="C3109" s="19" t="s">
        <v>6090</v>
      </c>
    </row>
    <row r="3110">
      <c r="B3110" s="19">
        <v>3102.0</v>
      </c>
      <c r="C3110" s="19" t="s">
        <v>6090</v>
      </c>
    </row>
    <row r="3111">
      <c r="B3111" s="19">
        <v>3103.0</v>
      </c>
      <c r="C3111" s="19" t="s">
        <v>6090</v>
      </c>
    </row>
    <row r="3112">
      <c r="B3112" s="19">
        <v>3104.0</v>
      </c>
      <c r="C3112" s="19" t="s">
        <v>6090</v>
      </c>
    </row>
    <row r="3113">
      <c r="B3113" s="19">
        <v>3105.0</v>
      </c>
      <c r="C3113" s="19" t="s">
        <v>6090</v>
      </c>
    </row>
    <row r="3114">
      <c r="B3114" s="19">
        <v>3106.0</v>
      </c>
      <c r="C3114" s="19" t="s">
        <v>6090</v>
      </c>
    </row>
    <row r="3115">
      <c r="B3115" s="19">
        <v>3107.0</v>
      </c>
      <c r="C3115" s="19" t="s">
        <v>6090</v>
      </c>
    </row>
    <row r="3116">
      <c r="B3116" s="19">
        <v>3108.0</v>
      </c>
      <c r="C3116" s="19" t="s">
        <v>6090</v>
      </c>
    </row>
    <row r="3117">
      <c r="B3117" s="19">
        <v>3109.0</v>
      </c>
      <c r="C3117" s="19" t="s">
        <v>6090</v>
      </c>
    </row>
    <row r="3118">
      <c r="B3118" s="19">
        <v>3110.0</v>
      </c>
      <c r="C3118" s="19" t="s">
        <v>6090</v>
      </c>
    </row>
    <row r="3119">
      <c r="B3119" s="19">
        <v>3111.0</v>
      </c>
      <c r="C3119" s="19" t="s">
        <v>6090</v>
      </c>
    </row>
    <row r="3120">
      <c r="B3120" s="19">
        <v>3112.0</v>
      </c>
      <c r="C3120" s="19" t="s">
        <v>6090</v>
      </c>
    </row>
    <row r="3121">
      <c r="B3121" s="19">
        <v>3113.0</v>
      </c>
      <c r="C3121" s="19" t="s">
        <v>6090</v>
      </c>
    </row>
    <row r="3122">
      <c r="B3122" s="19">
        <v>3114.0</v>
      </c>
      <c r="C3122" s="19" t="s">
        <v>6090</v>
      </c>
    </row>
    <row r="3123">
      <c r="B3123" s="19">
        <v>3115.0</v>
      </c>
      <c r="C3123" s="19" t="s">
        <v>6090</v>
      </c>
    </row>
    <row r="3124">
      <c r="B3124" s="19">
        <v>3116.0</v>
      </c>
      <c r="C3124" s="19" t="s">
        <v>6090</v>
      </c>
    </row>
    <row r="3125">
      <c r="B3125" s="19">
        <v>3117.0</v>
      </c>
      <c r="C3125" s="19" t="s">
        <v>6090</v>
      </c>
    </row>
    <row r="3126">
      <c r="B3126" s="19">
        <v>3118.0</v>
      </c>
      <c r="C3126" s="19" t="s">
        <v>6090</v>
      </c>
    </row>
    <row r="3127">
      <c r="B3127" s="19">
        <v>3119.0</v>
      </c>
      <c r="C3127" s="19" t="s">
        <v>6090</v>
      </c>
    </row>
    <row r="3128">
      <c r="B3128" s="19">
        <v>3120.0</v>
      </c>
      <c r="C3128" s="19" t="s">
        <v>6090</v>
      </c>
    </row>
    <row r="3129">
      <c r="B3129" s="19">
        <v>3121.0</v>
      </c>
      <c r="C3129" s="19" t="s">
        <v>6090</v>
      </c>
    </row>
    <row r="3130">
      <c r="B3130" s="19">
        <v>3122.0</v>
      </c>
      <c r="C3130" s="19" t="s">
        <v>6090</v>
      </c>
    </row>
    <row r="3131">
      <c r="B3131" s="19">
        <v>3123.0</v>
      </c>
      <c r="C3131" s="19" t="s">
        <v>6090</v>
      </c>
    </row>
    <row r="3132">
      <c r="B3132" s="19">
        <v>3124.0</v>
      </c>
      <c r="C3132" s="19" t="s">
        <v>6090</v>
      </c>
    </row>
    <row r="3133">
      <c r="B3133" s="19">
        <v>3125.0</v>
      </c>
      <c r="C3133" s="19" t="s">
        <v>6090</v>
      </c>
    </row>
    <row r="3134">
      <c r="B3134" s="19">
        <v>3126.0</v>
      </c>
      <c r="C3134" s="19" t="s">
        <v>6090</v>
      </c>
    </row>
    <row r="3135">
      <c r="B3135" s="19">
        <v>3127.0</v>
      </c>
      <c r="C3135" s="19" t="s">
        <v>6090</v>
      </c>
    </row>
    <row r="3136">
      <c r="B3136" s="19">
        <v>3128.0</v>
      </c>
      <c r="C3136" s="19" t="s">
        <v>6090</v>
      </c>
    </row>
    <row r="3137">
      <c r="B3137" s="19">
        <v>3129.0</v>
      </c>
      <c r="C3137" s="19" t="s">
        <v>6090</v>
      </c>
    </row>
    <row r="3138">
      <c r="B3138" s="19">
        <v>3130.0</v>
      </c>
      <c r="C3138" s="19" t="s">
        <v>6090</v>
      </c>
    </row>
    <row r="3139">
      <c r="B3139" s="19">
        <v>3131.0</v>
      </c>
      <c r="C3139" s="19" t="s">
        <v>6090</v>
      </c>
    </row>
    <row r="3140">
      <c r="B3140" s="19">
        <v>3132.0</v>
      </c>
      <c r="C3140" s="19" t="s">
        <v>6090</v>
      </c>
    </row>
    <row r="3141">
      <c r="B3141" s="19">
        <v>3133.0</v>
      </c>
      <c r="C3141" s="19" t="s">
        <v>6090</v>
      </c>
    </row>
    <row r="3142">
      <c r="B3142" s="19">
        <v>3134.0</v>
      </c>
      <c r="C3142" s="19" t="s">
        <v>6090</v>
      </c>
    </row>
    <row r="3143">
      <c r="B3143" s="19">
        <v>3135.0</v>
      </c>
      <c r="C3143" s="19" t="s">
        <v>6090</v>
      </c>
    </row>
    <row r="3144">
      <c r="B3144" s="19">
        <v>3136.0</v>
      </c>
      <c r="C3144" s="19" t="s">
        <v>6090</v>
      </c>
    </row>
    <row r="3145">
      <c r="B3145" s="19">
        <v>3137.0</v>
      </c>
      <c r="C3145" s="19" t="s">
        <v>6090</v>
      </c>
    </row>
    <row r="3146">
      <c r="B3146" s="19">
        <v>3138.0</v>
      </c>
      <c r="C3146" s="19" t="s">
        <v>6090</v>
      </c>
    </row>
    <row r="3147">
      <c r="B3147" s="19">
        <v>3139.0</v>
      </c>
      <c r="C3147" s="19" t="s">
        <v>6090</v>
      </c>
    </row>
    <row r="3148">
      <c r="B3148" s="19">
        <v>3140.0</v>
      </c>
      <c r="C3148" s="19" t="s">
        <v>6090</v>
      </c>
    </row>
    <row r="3149">
      <c r="B3149" s="19">
        <v>3141.0</v>
      </c>
      <c r="C3149" s="19" t="s">
        <v>6090</v>
      </c>
    </row>
    <row r="3150">
      <c r="B3150" s="19">
        <v>3142.0</v>
      </c>
      <c r="C3150" s="19" t="s">
        <v>6090</v>
      </c>
    </row>
    <row r="3151">
      <c r="B3151" s="19">
        <v>3143.0</v>
      </c>
      <c r="C3151" s="19" t="s">
        <v>6090</v>
      </c>
    </row>
    <row r="3152">
      <c r="B3152" s="19">
        <v>3144.0</v>
      </c>
      <c r="C3152" s="19" t="s">
        <v>6090</v>
      </c>
    </row>
    <row r="3153">
      <c r="B3153" s="19">
        <v>3145.0</v>
      </c>
      <c r="C3153" s="19" t="s">
        <v>6090</v>
      </c>
    </row>
    <row r="3154">
      <c r="B3154" s="19">
        <v>3146.0</v>
      </c>
      <c r="C3154" s="19" t="s">
        <v>6090</v>
      </c>
    </row>
    <row r="3155">
      <c r="B3155" s="19">
        <v>3147.0</v>
      </c>
      <c r="C3155" s="19" t="s">
        <v>6090</v>
      </c>
    </row>
    <row r="3156">
      <c r="B3156" s="19">
        <v>3148.0</v>
      </c>
      <c r="C3156" s="19" t="s">
        <v>6090</v>
      </c>
    </row>
    <row r="3157">
      <c r="B3157" s="19">
        <v>3149.0</v>
      </c>
      <c r="C3157" s="19" t="s">
        <v>6090</v>
      </c>
    </row>
    <row r="3158">
      <c r="B3158" s="19">
        <v>3150.0</v>
      </c>
      <c r="C3158" s="19" t="s">
        <v>6090</v>
      </c>
    </row>
    <row r="3159">
      <c r="B3159" s="19">
        <v>3151.0</v>
      </c>
      <c r="C3159" s="19" t="s">
        <v>6090</v>
      </c>
    </row>
    <row r="3160">
      <c r="B3160" s="19">
        <v>3152.0</v>
      </c>
      <c r="C3160" s="19" t="s">
        <v>6090</v>
      </c>
    </row>
    <row r="3161">
      <c r="B3161" s="19">
        <v>3153.0</v>
      </c>
      <c r="C3161" s="19" t="s">
        <v>6090</v>
      </c>
    </row>
    <row r="3162">
      <c r="B3162" s="19">
        <v>3154.0</v>
      </c>
      <c r="C3162" s="19" t="s">
        <v>6090</v>
      </c>
    </row>
    <row r="3163">
      <c r="B3163" s="19">
        <v>3155.0</v>
      </c>
      <c r="C3163" s="19" t="s">
        <v>6090</v>
      </c>
    </row>
    <row r="3164">
      <c r="B3164" s="19">
        <v>3156.0</v>
      </c>
      <c r="C3164" s="19" t="s">
        <v>6090</v>
      </c>
    </row>
    <row r="3165">
      <c r="B3165" s="19">
        <v>3157.0</v>
      </c>
      <c r="C3165" s="19" t="s">
        <v>6090</v>
      </c>
    </row>
    <row r="3166">
      <c r="B3166" s="19">
        <v>3158.0</v>
      </c>
      <c r="C3166" s="19" t="s">
        <v>6090</v>
      </c>
    </row>
    <row r="3167">
      <c r="B3167" s="19">
        <v>3159.0</v>
      </c>
      <c r="C3167" s="19" t="s">
        <v>6090</v>
      </c>
    </row>
    <row r="3168">
      <c r="B3168" s="19">
        <v>3160.0</v>
      </c>
      <c r="C3168" s="19" t="s">
        <v>6090</v>
      </c>
    </row>
    <row r="3169">
      <c r="B3169" s="19">
        <v>3161.0</v>
      </c>
      <c r="C3169" s="19" t="s">
        <v>6090</v>
      </c>
    </row>
    <row r="3170">
      <c r="B3170" s="19">
        <v>3162.0</v>
      </c>
      <c r="C3170" s="19" t="s">
        <v>6090</v>
      </c>
    </row>
    <row r="3171">
      <c r="B3171" s="19">
        <v>3163.0</v>
      </c>
      <c r="C3171" s="19" t="s">
        <v>6090</v>
      </c>
    </row>
    <row r="3172">
      <c r="B3172" s="19">
        <v>3164.0</v>
      </c>
      <c r="C3172" s="19" t="s">
        <v>6090</v>
      </c>
    </row>
    <row r="3173">
      <c r="B3173" s="19">
        <v>3165.0</v>
      </c>
      <c r="C3173" s="19" t="s">
        <v>6090</v>
      </c>
    </row>
    <row r="3174">
      <c r="B3174" s="19">
        <v>3166.0</v>
      </c>
      <c r="C3174" s="19" t="s">
        <v>6090</v>
      </c>
    </row>
    <row r="3175">
      <c r="B3175" s="19">
        <v>3167.0</v>
      </c>
      <c r="C3175" s="19" t="s">
        <v>6090</v>
      </c>
    </row>
    <row r="3176">
      <c r="B3176" s="19">
        <v>3168.0</v>
      </c>
      <c r="C3176" s="19" t="s">
        <v>6090</v>
      </c>
    </row>
    <row r="3177">
      <c r="B3177" s="19">
        <v>3169.0</v>
      </c>
      <c r="C3177" s="19" t="s">
        <v>6090</v>
      </c>
    </row>
    <row r="3178">
      <c r="B3178" s="19">
        <v>3170.0</v>
      </c>
      <c r="C3178" s="19" t="s">
        <v>6090</v>
      </c>
    </row>
    <row r="3179">
      <c r="B3179" s="19">
        <v>3171.0</v>
      </c>
      <c r="C3179" s="19" t="s">
        <v>6090</v>
      </c>
    </row>
    <row r="3180">
      <c r="B3180" s="19">
        <v>3172.0</v>
      </c>
      <c r="C3180" s="19" t="s">
        <v>6090</v>
      </c>
    </row>
    <row r="3181">
      <c r="B3181" s="19">
        <v>3173.0</v>
      </c>
      <c r="C3181" s="19" t="s">
        <v>6090</v>
      </c>
    </row>
    <row r="3182">
      <c r="B3182" s="19">
        <v>3174.0</v>
      </c>
      <c r="C3182" s="19" t="s">
        <v>6090</v>
      </c>
    </row>
    <row r="3183">
      <c r="B3183" s="19">
        <v>3175.0</v>
      </c>
      <c r="C3183" s="19" t="s">
        <v>6090</v>
      </c>
    </row>
    <row r="3184">
      <c r="B3184" s="19">
        <v>3176.0</v>
      </c>
      <c r="C3184" s="19" t="s">
        <v>6090</v>
      </c>
    </row>
    <row r="3185">
      <c r="B3185" s="19">
        <v>3177.0</v>
      </c>
      <c r="C3185" s="19" t="s">
        <v>6090</v>
      </c>
    </row>
    <row r="3186">
      <c r="B3186" s="19">
        <v>3178.0</v>
      </c>
      <c r="C3186" s="19" t="s">
        <v>6090</v>
      </c>
    </row>
    <row r="3187">
      <c r="B3187" s="19">
        <v>3179.0</v>
      </c>
      <c r="C3187" s="19" t="s">
        <v>6090</v>
      </c>
    </row>
    <row r="3188">
      <c r="B3188" s="19">
        <v>3180.0</v>
      </c>
      <c r="C3188" s="19" t="s">
        <v>6090</v>
      </c>
    </row>
    <row r="3189">
      <c r="B3189" s="19">
        <v>3181.0</v>
      </c>
      <c r="C3189" s="19" t="s">
        <v>6090</v>
      </c>
    </row>
    <row r="3190">
      <c r="B3190" s="19">
        <v>3182.0</v>
      </c>
      <c r="C3190" s="19" t="s">
        <v>6090</v>
      </c>
    </row>
    <row r="3191">
      <c r="B3191" s="19">
        <v>3183.0</v>
      </c>
      <c r="C3191" s="19" t="s">
        <v>6090</v>
      </c>
    </row>
    <row r="3192">
      <c r="B3192" s="19">
        <v>3184.0</v>
      </c>
      <c r="C3192" s="19" t="s">
        <v>6090</v>
      </c>
    </row>
    <row r="3193">
      <c r="B3193" s="19">
        <v>3185.0</v>
      </c>
      <c r="C3193" s="19" t="s">
        <v>6090</v>
      </c>
    </row>
    <row r="3194">
      <c r="B3194" s="19">
        <v>3186.0</v>
      </c>
      <c r="C3194" s="19" t="s">
        <v>6090</v>
      </c>
    </row>
    <row r="3195">
      <c r="B3195" s="19">
        <v>3187.0</v>
      </c>
      <c r="C3195" s="19" t="s">
        <v>6090</v>
      </c>
    </row>
    <row r="3196">
      <c r="B3196" s="19">
        <v>3188.0</v>
      </c>
      <c r="C3196" s="19" t="s">
        <v>6090</v>
      </c>
    </row>
    <row r="3197">
      <c r="B3197" s="19">
        <v>3189.0</v>
      </c>
      <c r="C3197" s="19" t="s">
        <v>6090</v>
      </c>
    </row>
    <row r="3198">
      <c r="B3198" s="19">
        <v>3190.0</v>
      </c>
      <c r="C3198" s="19" t="s">
        <v>6090</v>
      </c>
    </row>
    <row r="3199">
      <c r="B3199" s="19">
        <v>3191.0</v>
      </c>
      <c r="C3199" s="19" t="s">
        <v>6090</v>
      </c>
    </row>
    <row r="3200">
      <c r="B3200" s="19">
        <v>3192.0</v>
      </c>
      <c r="C3200" s="19" t="s">
        <v>6090</v>
      </c>
    </row>
    <row r="3201">
      <c r="B3201" s="19">
        <v>3193.0</v>
      </c>
      <c r="C3201" s="19" t="s">
        <v>6090</v>
      </c>
    </row>
    <row r="3202">
      <c r="B3202" s="19">
        <v>3194.0</v>
      </c>
      <c r="C3202" s="19" t="s">
        <v>6090</v>
      </c>
    </row>
    <row r="3203">
      <c r="B3203" s="19">
        <v>3195.0</v>
      </c>
      <c r="C3203" s="19" t="s">
        <v>6090</v>
      </c>
    </row>
    <row r="3204">
      <c r="B3204" s="19">
        <v>3196.0</v>
      </c>
      <c r="C3204" s="19" t="s">
        <v>6090</v>
      </c>
    </row>
    <row r="3205">
      <c r="B3205" s="19">
        <v>3197.0</v>
      </c>
      <c r="C3205" s="19" t="s">
        <v>6090</v>
      </c>
    </row>
    <row r="3206">
      <c r="B3206" s="19">
        <v>3198.0</v>
      </c>
      <c r="C3206" s="19" t="s">
        <v>6090</v>
      </c>
    </row>
    <row r="3207">
      <c r="B3207" s="19">
        <v>3199.0</v>
      </c>
      <c r="C3207" s="19" t="s">
        <v>6090</v>
      </c>
    </row>
    <row r="3208">
      <c r="B3208" s="19">
        <v>3200.0</v>
      </c>
      <c r="C3208" s="19" t="s">
        <v>6090</v>
      </c>
    </row>
    <row r="3209">
      <c r="B3209" s="19">
        <v>3201.0</v>
      </c>
      <c r="C3209" s="19" t="s">
        <v>6090</v>
      </c>
    </row>
    <row r="3210">
      <c r="B3210" s="19">
        <v>3202.0</v>
      </c>
      <c r="C3210" s="19" t="s">
        <v>6090</v>
      </c>
    </row>
    <row r="3211">
      <c r="B3211" s="19">
        <v>3203.0</v>
      </c>
      <c r="C3211" s="19" t="s">
        <v>6090</v>
      </c>
    </row>
    <row r="3212">
      <c r="B3212" s="19">
        <v>3204.0</v>
      </c>
      <c r="C3212" s="19" t="s">
        <v>6090</v>
      </c>
    </row>
    <row r="3213">
      <c r="B3213" s="19">
        <v>3205.0</v>
      </c>
      <c r="C3213" s="19" t="s">
        <v>6090</v>
      </c>
    </row>
    <row r="3214">
      <c r="B3214" s="19">
        <v>3206.0</v>
      </c>
      <c r="C3214" s="19" t="s">
        <v>6090</v>
      </c>
    </row>
    <row r="3215">
      <c r="B3215" s="19">
        <v>3207.0</v>
      </c>
      <c r="C3215" s="19" t="s">
        <v>6090</v>
      </c>
    </row>
    <row r="3216">
      <c r="B3216" s="19">
        <v>3208.0</v>
      </c>
      <c r="C3216" s="19" t="s">
        <v>6090</v>
      </c>
    </row>
    <row r="3217">
      <c r="B3217" s="19">
        <v>3209.0</v>
      </c>
      <c r="C3217" s="19" t="s">
        <v>6090</v>
      </c>
    </row>
    <row r="3218">
      <c r="B3218" s="19">
        <v>3210.0</v>
      </c>
      <c r="C3218" s="19" t="s">
        <v>6090</v>
      </c>
    </row>
    <row r="3219">
      <c r="B3219" s="19">
        <v>3211.0</v>
      </c>
      <c r="C3219" s="19" t="s">
        <v>6090</v>
      </c>
    </row>
    <row r="3220">
      <c r="B3220" s="19">
        <v>3212.0</v>
      </c>
      <c r="C3220" s="19" t="s">
        <v>6090</v>
      </c>
    </row>
    <row r="3221">
      <c r="B3221" s="19">
        <v>3213.0</v>
      </c>
      <c r="C3221" s="19" t="s">
        <v>6090</v>
      </c>
    </row>
    <row r="3222">
      <c r="B3222" s="19">
        <v>3214.0</v>
      </c>
      <c r="C3222" s="19" t="s">
        <v>6090</v>
      </c>
    </row>
    <row r="3223">
      <c r="B3223" s="19">
        <v>3215.0</v>
      </c>
      <c r="C3223" s="19" t="s">
        <v>6090</v>
      </c>
    </row>
    <row r="3224">
      <c r="B3224" s="19">
        <v>3216.0</v>
      </c>
      <c r="C3224" s="19" t="s">
        <v>6090</v>
      </c>
    </row>
    <row r="3225">
      <c r="B3225" s="19">
        <v>3217.0</v>
      </c>
      <c r="C3225" s="19" t="s">
        <v>6090</v>
      </c>
    </row>
    <row r="3226">
      <c r="B3226" s="19">
        <v>3218.0</v>
      </c>
      <c r="C3226" s="19" t="s">
        <v>6090</v>
      </c>
    </row>
    <row r="3227">
      <c r="B3227" s="19">
        <v>3219.0</v>
      </c>
      <c r="C3227" s="19" t="s">
        <v>6090</v>
      </c>
    </row>
    <row r="3228">
      <c r="B3228" s="19">
        <v>3220.0</v>
      </c>
      <c r="C3228" s="19" t="s">
        <v>6090</v>
      </c>
    </row>
    <row r="3229">
      <c r="B3229" s="19">
        <v>3221.0</v>
      </c>
      <c r="C3229" s="19" t="s">
        <v>6090</v>
      </c>
    </row>
    <row r="3230">
      <c r="B3230" s="19">
        <v>3222.0</v>
      </c>
      <c r="C3230" s="19" t="s">
        <v>6090</v>
      </c>
    </row>
    <row r="3231">
      <c r="B3231" s="19">
        <v>3223.0</v>
      </c>
      <c r="C3231" s="19" t="s">
        <v>6090</v>
      </c>
    </row>
    <row r="3232">
      <c r="B3232" s="19">
        <v>3224.0</v>
      </c>
      <c r="C3232" s="19" t="s">
        <v>6090</v>
      </c>
    </row>
    <row r="3233">
      <c r="B3233" s="19">
        <v>3225.0</v>
      </c>
      <c r="C3233" s="19" t="s">
        <v>6090</v>
      </c>
    </row>
    <row r="3234">
      <c r="B3234" s="19">
        <v>3226.0</v>
      </c>
      <c r="C3234" s="19" t="s">
        <v>6090</v>
      </c>
    </row>
    <row r="3235">
      <c r="B3235" s="19">
        <v>3227.0</v>
      </c>
      <c r="C3235" s="19" t="s">
        <v>6090</v>
      </c>
    </row>
    <row r="3236">
      <c r="B3236" s="19">
        <v>3228.0</v>
      </c>
      <c r="C3236" s="19" t="s">
        <v>6090</v>
      </c>
    </row>
    <row r="3237">
      <c r="B3237" s="19">
        <v>3229.0</v>
      </c>
      <c r="C3237" s="19" t="s">
        <v>6090</v>
      </c>
    </row>
    <row r="3238">
      <c r="B3238" s="19">
        <v>3230.0</v>
      </c>
      <c r="C3238" s="19" t="s">
        <v>6090</v>
      </c>
    </row>
    <row r="3239">
      <c r="B3239" s="19">
        <v>3231.0</v>
      </c>
      <c r="C3239" s="19" t="s">
        <v>6090</v>
      </c>
    </row>
    <row r="3240">
      <c r="B3240" s="19">
        <v>3232.0</v>
      </c>
      <c r="C3240" s="19" t="s">
        <v>6090</v>
      </c>
    </row>
    <row r="3241">
      <c r="B3241" s="19">
        <v>3233.0</v>
      </c>
      <c r="C3241" s="19" t="s">
        <v>6090</v>
      </c>
    </row>
    <row r="3242">
      <c r="B3242" s="19">
        <v>3234.0</v>
      </c>
      <c r="C3242" s="19" t="s">
        <v>6090</v>
      </c>
    </row>
    <row r="3243">
      <c r="B3243" s="19">
        <v>3235.0</v>
      </c>
      <c r="C3243" s="19" t="s">
        <v>6090</v>
      </c>
    </row>
    <row r="3244">
      <c r="B3244" s="19">
        <v>3236.0</v>
      </c>
      <c r="C3244" s="19" t="s">
        <v>6090</v>
      </c>
    </row>
    <row r="3245">
      <c r="B3245" s="19">
        <v>3237.0</v>
      </c>
      <c r="C3245" s="19" t="s">
        <v>6090</v>
      </c>
    </row>
    <row r="3246">
      <c r="B3246" s="19">
        <v>3238.0</v>
      </c>
      <c r="C3246" s="19" t="s">
        <v>6090</v>
      </c>
    </row>
    <row r="3247">
      <c r="B3247" s="19">
        <v>3239.0</v>
      </c>
      <c r="C3247" s="19" t="s">
        <v>6090</v>
      </c>
    </row>
    <row r="3248">
      <c r="B3248" s="19">
        <v>3240.0</v>
      </c>
      <c r="C3248" s="19" t="s">
        <v>6090</v>
      </c>
    </row>
    <row r="3249">
      <c r="B3249" s="19">
        <v>3241.0</v>
      </c>
      <c r="C3249" s="19" t="s">
        <v>6090</v>
      </c>
    </row>
    <row r="3250">
      <c r="B3250" s="19">
        <v>3242.0</v>
      </c>
      <c r="C3250" s="19" t="s">
        <v>6090</v>
      </c>
    </row>
    <row r="3251">
      <c r="B3251" s="19">
        <v>3243.0</v>
      </c>
      <c r="C3251" s="19" t="s">
        <v>6090</v>
      </c>
    </row>
    <row r="3252">
      <c r="B3252" s="19">
        <v>3244.0</v>
      </c>
      <c r="C3252" s="19" t="s">
        <v>6090</v>
      </c>
    </row>
    <row r="3253">
      <c r="B3253" s="19">
        <v>3245.0</v>
      </c>
      <c r="C3253" s="19" t="s">
        <v>6090</v>
      </c>
    </row>
    <row r="3254">
      <c r="B3254" s="19">
        <v>3246.0</v>
      </c>
      <c r="C3254" s="19" t="s">
        <v>6090</v>
      </c>
    </row>
    <row r="3255">
      <c r="B3255" s="19">
        <v>3247.0</v>
      </c>
      <c r="C3255" s="19" t="s">
        <v>6090</v>
      </c>
    </row>
    <row r="3256">
      <c r="B3256" s="19">
        <v>3248.0</v>
      </c>
      <c r="C3256" s="19" t="s">
        <v>6090</v>
      </c>
    </row>
    <row r="3257">
      <c r="B3257" s="19">
        <v>3249.0</v>
      </c>
      <c r="C3257" s="19" t="s">
        <v>6090</v>
      </c>
    </row>
    <row r="3258">
      <c r="B3258" s="19">
        <v>3250.0</v>
      </c>
      <c r="C3258" s="19" t="s">
        <v>6090</v>
      </c>
    </row>
    <row r="3259">
      <c r="B3259" s="19">
        <v>3251.0</v>
      </c>
      <c r="C3259" s="19" t="s">
        <v>6090</v>
      </c>
    </row>
    <row r="3260">
      <c r="B3260" s="19">
        <v>3252.0</v>
      </c>
      <c r="C3260" s="19" t="s">
        <v>6090</v>
      </c>
    </row>
    <row r="3261">
      <c r="B3261" s="19">
        <v>3253.0</v>
      </c>
      <c r="C3261" s="19" t="s">
        <v>6090</v>
      </c>
    </row>
    <row r="3262">
      <c r="B3262" s="19">
        <v>3254.0</v>
      </c>
      <c r="C3262" s="19" t="s">
        <v>6090</v>
      </c>
    </row>
    <row r="3263">
      <c r="B3263" s="19">
        <v>3255.0</v>
      </c>
      <c r="C3263" s="19" t="s">
        <v>6090</v>
      </c>
    </row>
    <row r="3264">
      <c r="B3264" s="19">
        <v>3256.0</v>
      </c>
      <c r="C3264" s="19" t="s">
        <v>6090</v>
      </c>
    </row>
    <row r="3265">
      <c r="B3265" s="19">
        <v>3257.0</v>
      </c>
      <c r="C3265" s="19" t="s">
        <v>6090</v>
      </c>
    </row>
    <row r="3266">
      <c r="B3266" s="19">
        <v>3258.0</v>
      </c>
      <c r="C3266" s="19" t="s">
        <v>6090</v>
      </c>
    </row>
    <row r="3267">
      <c r="B3267" s="19">
        <v>3259.0</v>
      </c>
      <c r="C3267" s="19" t="s">
        <v>6090</v>
      </c>
    </row>
    <row r="3268">
      <c r="B3268" s="19">
        <v>3260.0</v>
      </c>
      <c r="C3268" s="19" t="s">
        <v>6090</v>
      </c>
    </row>
    <row r="3269">
      <c r="B3269" s="19">
        <v>3261.0</v>
      </c>
      <c r="C3269" s="19" t="s">
        <v>6090</v>
      </c>
    </row>
    <row r="3270">
      <c r="B3270" s="19">
        <v>3262.0</v>
      </c>
      <c r="C3270" s="19" t="s">
        <v>6090</v>
      </c>
    </row>
    <row r="3271">
      <c r="B3271" s="19">
        <v>3263.0</v>
      </c>
      <c r="C3271" s="19" t="s">
        <v>6090</v>
      </c>
    </row>
    <row r="3272">
      <c r="B3272" s="19">
        <v>3264.0</v>
      </c>
      <c r="C3272" s="19" t="s">
        <v>6090</v>
      </c>
    </row>
    <row r="3273">
      <c r="B3273" s="19">
        <v>3265.0</v>
      </c>
      <c r="C3273" s="19" t="s">
        <v>6090</v>
      </c>
    </row>
    <row r="3274">
      <c r="B3274" s="19">
        <v>3266.0</v>
      </c>
      <c r="C3274" s="19" t="s">
        <v>6090</v>
      </c>
    </row>
    <row r="3275">
      <c r="B3275" s="19">
        <v>3267.0</v>
      </c>
      <c r="C3275" s="19" t="s">
        <v>6090</v>
      </c>
    </row>
    <row r="3276">
      <c r="B3276" s="19">
        <v>3268.0</v>
      </c>
      <c r="C3276" s="19" t="s">
        <v>6090</v>
      </c>
    </row>
    <row r="3277">
      <c r="B3277" s="19">
        <v>3269.0</v>
      </c>
      <c r="C3277" s="19" t="s">
        <v>6090</v>
      </c>
    </row>
    <row r="3278">
      <c r="B3278" s="19">
        <v>3270.0</v>
      </c>
      <c r="C3278" s="19" t="s">
        <v>6090</v>
      </c>
    </row>
    <row r="3279">
      <c r="B3279" s="19">
        <v>3271.0</v>
      </c>
      <c r="C3279" s="19" t="s">
        <v>6090</v>
      </c>
    </row>
    <row r="3280">
      <c r="B3280" s="19">
        <v>3272.0</v>
      </c>
      <c r="C3280" s="19" t="s">
        <v>6090</v>
      </c>
    </row>
    <row r="3281">
      <c r="B3281" s="19">
        <v>3273.0</v>
      </c>
      <c r="C3281" s="19" t="s">
        <v>6090</v>
      </c>
    </row>
    <row r="3282">
      <c r="B3282" s="19">
        <v>3274.0</v>
      </c>
      <c r="C3282" s="19" t="s">
        <v>6090</v>
      </c>
    </row>
    <row r="3283">
      <c r="B3283" s="19">
        <v>3275.0</v>
      </c>
      <c r="C3283" s="19" t="s">
        <v>6090</v>
      </c>
    </row>
    <row r="3284">
      <c r="B3284" s="19">
        <v>3276.0</v>
      </c>
      <c r="C3284" s="19" t="s">
        <v>6090</v>
      </c>
    </row>
    <row r="3285">
      <c r="B3285" s="19">
        <v>3277.0</v>
      </c>
      <c r="C3285" s="19" t="s">
        <v>6090</v>
      </c>
    </row>
    <row r="3286">
      <c r="B3286" s="19">
        <v>3278.0</v>
      </c>
      <c r="C3286" s="19" t="s">
        <v>6090</v>
      </c>
    </row>
    <row r="3287">
      <c r="B3287" s="19">
        <v>3279.0</v>
      </c>
      <c r="C3287" s="19" t="s">
        <v>6090</v>
      </c>
    </row>
    <row r="3288">
      <c r="B3288" s="19">
        <v>3280.0</v>
      </c>
      <c r="C3288" s="19" t="s">
        <v>6090</v>
      </c>
    </row>
    <row r="3289">
      <c r="B3289" s="19">
        <v>3281.0</v>
      </c>
      <c r="C3289" s="19" t="s">
        <v>6090</v>
      </c>
    </row>
    <row r="3290">
      <c r="B3290" s="19">
        <v>3282.0</v>
      </c>
      <c r="C3290" s="19" t="s">
        <v>6090</v>
      </c>
    </row>
    <row r="3291">
      <c r="B3291" s="19">
        <v>3283.0</v>
      </c>
      <c r="C3291" s="19" t="s">
        <v>6090</v>
      </c>
    </row>
    <row r="3292">
      <c r="B3292" s="19">
        <v>3284.0</v>
      </c>
      <c r="C3292" s="19" t="s">
        <v>6090</v>
      </c>
    </row>
    <row r="3293">
      <c r="B3293" s="19">
        <v>3285.0</v>
      </c>
      <c r="C3293" s="19" t="s">
        <v>6090</v>
      </c>
    </row>
    <row r="3294">
      <c r="B3294" s="19">
        <v>3286.0</v>
      </c>
      <c r="C3294" s="19" t="s">
        <v>6090</v>
      </c>
    </row>
    <row r="3295">
      <c r="B3295" s="19">
        <v>3287.0</v>
      </c>
      <c r="C3295" s="19" t="s">
        <v>6090</v>
      </c>
    </row>
    <row r="3296">
      <c r="B3296" s="19">
        <v>3288.0</v>
      </c>
      <c r="C3296" s="19" t="s">
        <v>6090</v>
      </c>
    </row>
    <row r="3297">
      <c r="B3297" s="19">
        <v>3289.0</v>
      </c>
      <c r="C3297" s="19" t="s">
        <v>6090</v>
      </c>
    </row>
    <row r="3298">
      <c r="B3298" s="19">
        <v>3290.0</v>
      </c>
      <c r="C3298" s="19" t="s">
        <v>6090</v>
      </c>
    </row>
    <row r="3299">
      <c r="B3299" s="19">
        <v>3291.0</v>
      </c>
      <c r="C3299" s="19" t="s">
        <v>6090</v>
      </c>
    </row>
    <row r="3300">
      <c r="B3300" s="19">
        <v>3292.0</v>
      </c>
      <c r="C3300" s="19" t="s">
        <v>6090</v>
      </c>
    </row>
    <row r="3301">
      <c r="B3301" s="19">
        <v>3293.0</v>
      </c>
      <c r="C3301" s="19" t="s">
        <v>6090</v>
      </c>
    </row>
    <row r="3302">
      <c r="B3302" s="19">
        <v>3294.0</v>
      </c>
      <c r="C3302" s="19" t="s">
        <v>6090</v>
      </c>
    </row>
    <row r="3303">
      <c r="B3303" s="19">
        <v>3295.0</v>
      </c>
      <c r="C3303" s="19" t="s">
        <v>6090</v>
      </c>
    </row>
    <row r="3304">
      <c r="B3304" s="19">
        <v>3296.0</v>
      </c>
      <c r="C3304" s="19" t="s">
        <v>6090</v>
      </c>
    </row>
    <row r="3305">
      <c r="B3305" s="19">
        <v>3297.0</v>
      </c>
      <c r="C3305" s="19" t="s">
        <v>6090</v>
      </c>
    </row>
    <row r="3306">
      <c r="B3306" s="19">
        <v>3298.0</v>
      </c>
      <c r="C3306" s="19" t="s">
        <v>6090</v>
      </c>
    </row>
    <row r="3307">
      <c r="B3307" s="19">
        <v>3299.0</v>
      </c>
      <c r="C3307" s="19" t="s">
        <v>6090</v>
      </c>
    </row>
    <row r="3308">
      <c r="B3308" s="19">
        <v>3300.0</v>
      </c>
      <c r="C3308" s="19" t="s">
        <v>6090</v>
      </c>
    </row>
    <row r="3309">
      <c r="B3309" s="19">
        <v>3301.0</v>
      </c>
      <c r="C3309" s="19" t="s">
        <v>6090</v>
      </c>
    </row>
    <row r="3310">
      <c r="B3310" s="19">
        <v>3302.0</v>
      </c>
      <c r="C3310" s="19" t="s">
        <v>6090</v>
      </c>
    </row>
    <row r="3311">
      <c r="B3311" s="19">
        <v>3303.0</v>
      </c>
      <c r="C3311" s="19" t="s">
        <v>6090</v>
      </c>
    </row>
    <row r="3312">
      <c r="B3312" s="19">
        <v>3304.0</v>
      </c>
      <c r="C3312" s="19" t="s">
        <v>6090</v>
      </c>
    </row>
    <row r="3313">
      <c r="B3313" s="19">
        <v>3305.0</v>
      </c>
      <c r="C3313" s="19" t="s">
        <v>6090</v>
      </c>
    </row>
    <row r="3314">
      <c r="B3314" s="19">
        <v>3306.0</v>
      </c>
      <c r="C3314" s="19" t="s">
        <v>6090</v>
      </c>
    </row>
    <row r="3315">
      <c r="B3315" s="19">
        <v>3307.0</v>
      </c>
      <c r="C3315" s="19" t="s">
        <v>6090</v>
      </c>
    </row>
    <row r="3316">
      <c r="B3316" s="19">
        <v>3308.0</v>
      </c>
      <c r="C3316" s="19" t="s">
        <v>6090</v>
      </c>
    </row>
    <row r="3317">
      <c r="B3317" s="19">
        <v>3309.0</v>
      </c>
      <c r="C3317" s="19" t="s">
        <v>6090</v>
      </c>
    </row>
    <row r="3318">
      <c r="B3318" s="19">
        <v>3310.0</v>
      </c>
      <c r="C3318" s="19" t="s">
        <v>6090</v>
      </c>
    </row>
    <row r="3319">
      <c r="B3319" s="19">
        <v>3311.0</v>
      </c>
      <c r="C3319" s="19" t="s">
        <v>6090</v>
      </c>
    </row>
    <row r="3320">
      <c r="B3320" s="19">
        <v>3312.0</v>
      </c>
      <c r="C3320" s="19" t="s">
        <v>6090</v>
      </c>
    </row>
    <row r="3321">
      <c r="B3321" s="19">
        <v>3313.0</v>
      </c>
      <c r="C3321" s="19" t="s">
        <v>6090</v>
      </c>
    </row>
    <row r="3322">
      <c r="B3322" s="19">
        <v>3314.0</v>
      </c>
      <c r="C3322" s="19" t="s">
        <v>6090</v>
      </c>
    </row>
    <row r="3323">
      <c r="B3323" s="19">
        <v>3315.0</v>
      </c>
      <c r="C3323" s="19" t="s">
        <v>6090</v>
      </c>
    </row>
    <row r="3324">
      <c r="B3324" s="19">
        <v>3316.0</v>
      </c>
      <c r="C3324" s="19" t="s">
        <v>6090</v>
      </c>
    </row>
    <row r="3325">
      <c r="B3325" s="19">
        <v>3317.0</v>
      </c>
      <c r="C3325" s="19" t="s">
        <v>6090</v>
      </c>
    </row>
    <row r="3326">
      <c r="B3326" s="19">
        <v>3318.0</v>
      </c>
      <c r="C3326" s="19" t="s">
        <v>6090</v>
      </c>
    </row>
    <row r="3327">
      <c r="B3327" s="19">
        <v>3319.0</v>
      </c>
      <c r="C3327" s="19" t="s">
        <v>6090</v>
      </c>
    </row>
    <row r="3328">
      <c r="B3328" s="19">
        <v>3320.0</v>
      </c>
      <c r="C3328" s="19" t="s">
        <v>6090</v>
      </c>
    </row>
    <row r="3329">
      <c r="B3329" s="19">
        <v>3321.0</v>
      </c>
      <c r="C3329" s="19" t="s">
        <v>6090</v>
      </c>
    </row>
    <row r="3330">
      <c r="B3330" s="19">
        <v>3322.0</v>
      </c>
      <c r="C3330" s="19" t="s">
        <v>6090</v>
      </c>
    </row>
    <row r="3331">
      <c r="B3331" s="19">
        <v>3323.0</v>
      </c>
      <c r="C3331" s="19" t="s">
        <v>6090</v>
      </c>
    </row>
    <row r="3332">
      <c r="B3332" s="19">
        <v>3324.0</v>
      </c>
      <c r="C3332" s="19" t="s">
        <v>6090</v>
      </c>
    </row>
    <row r="3333">
      <c r="B3333" s="19">
        <v>3325.0</v>
      </c>
      <c r="C3333" s="19" t="s">
        <v>6090</v>
      </c>
    </row>
    <row r="3334">
      <c r="B3334" s="19">
        <v>3326.0</v>
      </c>
      <c r="C3334" s="19" t="s">
        <v>6090</v>
      </c>
    </row>
    <row r="3335">
      <c r="B3335" s="19">
        <v>3327.0</v>
      </c>
      <c r="C3335" s="19" t="s">
        <v>6090</v>
      </c>
    </row>
    <row r="3336">
      <c r="B3336" s="19">
        <v>3328.0</v>
      </c>
      <c r="C3336" s="19" t="s">
        <v>6090</v>
      </c>
    </row>
    <row r="3337">
      <c r="B3337" s="19">
        <v>3329.0</v>
      </c>
      <c r="C3337" s="19" t="s">
        <v>6090</v>
      </c>
    </row>
    <row r="3338">
      <c r="B3338" s="19">
        <v>3330.0</v>
      </c>
      <c r="C3338" s="19" t="s">
        <v>6090</v>
      </c>
    </row>
    <row r="3339">
      <c r="B3339" s="19">
        <v>3331.0</v>
      </c>
      <c r="C3339" s="19" t="s">
        <v>6090</v>
      </c>
    </row>
    <row r="3340">
      <c r="B3340" s="19">
        <v>3332.0</v>
      </c>
      <c r="C3340" s="19" t="s">
        <v>6090</v>
      </c>
    </row>
    <row r="3341">
      <c r="B3341" s="19">
        <v>3333.0</v>
      </c>
      <c r="C3341" s="19" t="s">
        <v>6090</v>
      </c>
    </row>
    <row r="3342">
      <c r="B3342" s="19">
        <v>3334.0</v>
      </c>
      <c r="C3342" s="19" t="s">
        <v>6090</v>
      </c>
    </row>
    <row r="3343">
      <c r="B3343" s="19">
        <v>3335.0</v>
      </c>
      <c r="C3343" s="19" t="s">
        <v>6090</v>
      </c>
    </row>
    <row r="3344">
      <c r="B3344" s="19">
        <v>3336.0</v>
      </c>
      <c r="C3344" s="19" t="s">
        <v>6090</v>
      </c>
    </row>
    <row r="3345">
      <c r="B3345" s="19">
        <v>3337.0</v>
      </c>
      <c r="C3345" s="19" t="s">
        <v>6090</v>
      </c>
    </row>
    <row r="3346">
      <c r="B3346" s="19">
        <v>3338.0</v>
      </c>
      <c r="C3346" s="19" t="s">
        <v>6090</v>
      </c>
    </row>
    <row r="3347">
      <c r="B3347" s="19">
        <v>3339.0</v>
      </c>
      <c r="C3347" s="19" t="s">
        <v>6090</v>
      </c>
    </row>
    <row r="3348">
      <c r="B3348" s="19">
        <v>3340.0</v>
      </c>
      <c r="C3348" s="19" t="s">
        <v>6090</v>
      </c>
    </row>
    <row r="3349">
      <c r="B3349" s="19">
        <v>3341.0</v>
      </c>
      <c r="C3349" s="19" t="s">
        <v>6090</v>
      </c>
    </row>
    <row r="3350">
      <c r="B3350" s="19">
        <v>3342.0</v>
      </c>
      <c r="C3350" s="19" t="s">
        <v>6090</v>
      </c>
    </row>
    <row r="3351">
      <c r="B3351" s="19">
        <v>3343.0</v>
      </c>
      <c r="C3351" s="19" t="s">
        <v>6090</v>
      </c>
    </row>
    <row r="3352">
      <c r="B3352" s="19">
        <v>3344.0</v>
      </c>
      <c r="C3352" s="19" t="s">
        <v>6090</v>
      </c>
    </row>
    <row r="3353">
      <c r="B3353" s="19">
        <v>3345.0</v>
      </c>
      <c r="C3353" s="19" t="s">
        <v>6090</v>
      </c>
    </row>
    <row r="3354">
      <c r="B3354" s="19">
        <v>3346.0</v>
      </c>
      <c r="C3354" s="19" t="s">
        <v>6090</v>
      </c>
    </row>
    <row r="3355">
      <c r="B3355" s="19">
        <v>3347.0</v>
      </c>
      <c r="C3355" s="19" t="s">
        <v>6090</v>
      </c>
    </row>
    <row r="3356">
      <c r="B3356" s="19">
        <v>3348.0</v>
      </c>
      <c r="C3356" s="19" t="s">
        <v>6090</v>
      </c>
    </row>
    <row r="3357">
      <c r="B3357" s="19">
        <v>3349.0</v>
      </c>
      <c r="C3357" s="19" t="s">
        <v>6090</v>
      </c>
    </row>
    <row r="3358">
      <c r="B3358" s="19">
        <v>3350.0</v>
      </c>
      <c r="C3358" s="19" t="s">
        <v>6090</v>
      </c>
    </row>
    <row r="3359">
      <c r="B3359" s="19">
        <v>3351.0</v>
      </c>
      <c r="C3359" s="19" t="s">
        <v>6090</v>
      </c>
    </row>
    <row r="3360">
      <c r="B3360" s="19">
        <v>3352.0</v>
      </c>
      <c r="C3360" s="19" t="s">
        <v>6090</v>
      </c>
    </row>
    <row r="3361">
      <c r="B3361" s="19">
        <v>3353.0</v>
      </c>
      <c r="C3361" s="19" t="s">
        <v>6090</v>
      </c>
    </row>
    <row r="3362">
      <c r="B3362" s="19">
        <v>3354.0</v>
      </c>
      <c r="C3362" s="19" t="s">
        <v>6090</v>
      </c>
    </row>
    <row r="3363">
      <c r="B3363" s="19">
        <v>3355.0</v>
      </c>
      <c r="C3363" s="19" t="s">
        <v>6090</v>
      </c>
    </row>
    <row r="3364">
      <c r="B3364" s="19">
        <v>3356.0</v>
      </c>
      <c r="C3364" s="19" t="s">
        <v>6090</v>
      </c>
    </row>
    <row r="3365">
      <c r="B3365" s="19">
        <v>3357.0</v>
      </c>
      <c r="C3365" s="19" t="s">
        <v>6090</v>
      </c>
    </row>
    <row r="3366">
      <c r="B3366" s="19">
        <v>3358.0</v>
      </c>
      <c r="C3366" s="19" t="s">
        <v>6090</v>
      </c>
    </row>
    <row r="3367">
      <c r="B3367" s="19">
        <v>3359.0</v>
      </c>
      <c r="C3367" s="19" t="s">
        <v>6090</v>
      </c>
    </row>
    <row r="3368">
      <c r="B3368" s="19">
        <v>3360.0</v>
      </c>
      <c r="C3368" s="19" t="s">
        <v>6090</v>
      </c>
    </row>
    <row r="3369">
      <c r="B3369" s="19">
        <v>3361.0</v>
      </c>
      <c r="C3369" s="19" t="s">
        <v>6090</v>
      </c>
    </row>
    <row r="3370">
      <c r="B3370" s="19">
        <v>3362.0</v>
      </c>
      <c r="C3370" s="19" t="s">
        <v>6090</v>
      </c>
    </row>
    <row r="3371">
      <c r="B3371" s="19">
        <v>3363.0</v>
      </c>
      <c r="C3371" s="19" t="s">
        <v>6090</v>
      </c>
    </row>
    <row r="3372">
      <c r="B3372" s="19">
        <v>3364.0</v>
      </c>
      <c r="C3372" s="19" t="s">
        <v>6090</v>
      </c>
    </row>
    <row r="3373">
      <c r="B3373" s="19">
        <v>3365.0</v>
      </c>
      <c r="C3373" s="19" t="s">
        <v>6090</v>
      </c>
    </row>
    <row r="3374">
      <c r="B3374" s="19">
        <v>3366.0</v>
      </c>
      <c r="C3374" s="19" t="s">
        <v>6090</v>
      </c>
    </row>
    <row r="3375">
      <c r="B3375" s="19">
        <v>3367.0</v>
      </c>
      <c r="C3375" s="19" t="s">
        <v>6090</v>
      </c>
    </row>
    <row r="3376">
      <c r="B3376" s="19">
        <v>3368.0</v>
      </c>
      <c r="C3376" s="19" t="s">
        <v>6090</v>
      </c>
    </row>
    <row r="3377">
      <c r="B3377" s="19">
        <v>3369.0</v>
      </c>
      <c r="C3377" s="19" t="s">
        <v>6090</v>
      </c>
    </row>
    <row r="3378">
      <c r="B3378" s="19">
        <v>3370.0</v>
      </c>
      <c r="C3378" s="19" t="s">
        <v>6090</v>
      </c>
    </row>
    <row r="3379">
      <c r="B3379" s="19">
        <v>3371.0</v>
      </c>
      <c r="C3379" s="19" t="s">
        <v>6090</v>
      </c>
    </row>
    <row r="3380">
      <c r="B3380" s="19">
        <v>3372.0</v>
      </c>
      <c r="C3380" s="19" t="s">
        <v>6090</v>
      </c>
    </row>
    <row r="3381">
      <c r="B3381" s="19">
        <v>3373.0</v>
      </c>
      <c r="C3381" s="19" t="s">
        <v>6090</v>
      </c>
    </row>
    <row r="3382">
      <c r="B3382" s="19">
        <v>3374.0</v>
      </c>
      <c r="C3382" s="19" t="s">
        <v>6090</v>
      </c>
    </row>
    <row r="3383">
      <c r="B3383" s="19">
        <v>3375.0</v>
      </c>
      <c r="C3383" s="19" t="s">
        <v>6090</v>
      </c>
    </row>
    <row r="3384">
      <c r="B3384" s="19">
        <v>3376.0</v>
      </c>
      <c r="C3384" s="19" t="s">
        <v>6090</v>
      </c>
    </row>
    <row r="3385">
      <c r="B3385" s="19">
        <v>3377.0</v>
      </c>
      <c r="C3385" s="19" t="s">
        <v>6090</v>
      </c>
    </row>
    <row r="3386">
      <c r="B3386" s="19">
        <v>3378.0</v>
      </c>
      <c r="C3386" s="19" t="s">
        <v>6090</v>
      </c>
    </row>
    <row r="3387">
      <c r="B3387" s="19">
        <v>3379.0</v>
      </c>
      <c r="C3387" s="19" t="s">
        <v>6090</v>
      </c>
    </row>
    <row r="3388">
      <c r="B3388" s="19">
        <v>3380.0</v>
      </c>
      <c r="C3388" s="19" t="s">
        <v>6090</v>
      </c>
    </row>
    <row r="3389">
      <c r="B3389" s="19">
        <v>3381.0</v>
      </c>
      <c r="C3389" s="19" t="s">
        <v>6090</v>
      </c>
    </row>
    <row r="3390">
      <c r="B3390" s="19">
        <v>3382.0</v>
      </c>
      <c r="C3390" s="19" t="s">
        <v>6090</v>
      </c>
    </row>
    <row r="3391">
      <c r="B3391" s="19">
        <v>3383.0</v>
      </c>
      <c r="C3391" s="19" t="s">
        <v>6090</v>
      </c>
    </row>
    <row r="3392">
      <c r="B3392" s="19">
        <v>3384.0</v>
      </c>
      <c r="C3392" s="19" t="s">
        <v>6090</v>
      </c>
    </row>
    <row r="3393">
      <c r="B3393" s="19">
        <v>3385.0</v>
      </c>
      <c r="C3393" s="19" t="s">
        <v>6090</v>
      </c>
    </row>
    <row r="3394">
      <c r="B3394" s="19">
        <v>3386.0</v>
      </c>
      <c r="C3394" s="19" t="s">
        <v>6090</v>
      </c>
    </row>
    <row r="3395">
      <c r="B3395" s="19">
        <v>3387.0</v>
      </c>
      <c r="C3395" s="19" t="s">
        <v>6090</v>
      </c>
    </row>
    <row r="3396">
      <c r="B3396" s="19">
        <v>3388.0</v>
      </c>
      <c r="C3396" s="19" t="s">
        <v>6090</v>
      </c>
    </row>
    <row r="3397">
      <c r="B3397" s="19">
        <v>3389.0</v>
      </c>
      <c r="C3397" s="19" t="s">
        <v>6090</v>
      </c>
    </row>
    <row r="3398">
      <c r="B3398" s="19">
        <v>3390.0</v>
      </c>
      <c r="C3398" s="19" t="s">
        <v>6090</v>
      </c>
    </row>
    <row r="3399">
      <c r="B3399" s="19">
        <v>3391.0</v>
      </c>
      <c r="C3399" s="19" t="s">
        <v>6090</v>
      </c>
    </row>
    <row r="3400">
      <c r="B3400" s="19">
        <v>3392.0</v>
      </c>
      <c r="C3400" s="19" t="s">
        <v>6090</v>
      </c>
    </row>
    <row r="3401">
      <c r="B3401" s="19">
        <v>3393.0</v>
      </c>
      <c r="C3401" s="19" t="s">
        <v>6090</v>
      </c>
    </row>
    <row r="3402">
      <c r="B3402" s="19">
        <v>3394.0</v>
      </c>
      <c r="C3402" s="19" t="s">
        <v>6090</v>
      </c>
    </row>
    <row r="3403">
      <c r="B3403" s="19">
        <v>3395.0</v>
      </c>
      <c r="C3403" s="19" t="s">
        <v>6090</v>
      </c>
    </row>
    <row r="3404">
      <c r="B3404" s="19">
        <v>3396.0</v>
      </c>
      <c r="C3404" s="19" t="s">
        <v>6090</v>
      </c>
    </row>
    <row r="3405">
      <c r="B3405" s="19" t="e">
        <v>#VALUE!</v>
      </c>
    </row>
    <row r="3406">
      <c r="B3406" s="19">
        <v>3398.0</v>
      </c>
      <c r="C3406" s="19" t="s">
        <v>6090</v>
      </c>
    </row>
    <row r="3407">
      <c r="B3407" s="19">
        <v>3399.0</v>
      </c>
      <c r="C3407" s="19" t="s">
        <v>6090</v>
      </c>
    </row>
    <row r="3408">
      <c r="B3408" s="19">
        <v>3400.0</v>
      </c>
      <c r="C3408" s="19" t="s">
        <v>6090</v>
      </c>
    </row>
    <row r="3409">
      <c r="B3409" s="19">
        <v>3401.0</v>
      </c>
      <c r="C3409" s="19" t="s">
        <v>6090</v>
      </c>
    </row>
    <row r="3410">
      <c r="B3410" s="19">
        <v>3402.0</v>
      </c>
      <c r="C3410" s="19" t="s">
        <v>6090</v>
      </c>
    </row>
    <row r="3411">
      <c r="B3411" s="19">
        <v>3403.0</v>
      </c>
      <c r="C3411" s="19" t="s">
        <v>6090</v>
      </c>
    </row>
    <row r="3412">
      <c r="B3412" s="19">
        <v>3404.0</v>
      </c>
      <c r="C3412" s="19" t="s">
        <v>6090</v>
      </c>
    </row>
    <row r="3413">
      <c r="B3413" s="19">
        <v>3405.0</v>
      </c>
      <c r="C3413" s="19" t="s">
        <v>6090</v>
      </c>
    </row>
    <row r="3414">
      <c r="B3414" s="19">
        <v>3406.0</v>
      </c>
      <c r="C3414" s="19" t="s">
        <v>6090</v>
      </c>
    </row>
    <row r="3415">
      <c r="B3415" s="19">
        <v>3407.0</v>
      </c>
      <c r="C3415" s="19" t="s">
        <v>6090</v>
      </c>
    </row>
    <row r="3416">
      <c r="B3416" s="19">
        <v>3408.0</v>
      </c>
      <c r="C3416" s="19" t="s">
        <v>6090</v>
      </c>
    </row>
    <row r="3417">
      <c r="B3417" s="19">
        <v>3409.0</v>
      </c>
      <c r="C3417" s="19" t="s">
        <v>6090</v>
      </c>
    </row>
    <row r="3418">
      <c r="B3418" s="19">
        <v>3410.0</v>
      </c>
      <c r="C3418" s="19" t="s">
        <v>6090</v>
      </c>
    </row>
    <row r="3419">
      <c r="B3419" s="19">
        <v>3411.0</v>
      </c>
      <c r="C3419" s="19" t="s">
        <v>6090</v>
      </c>
    </row>
    <row r="3420">
      <c r="B3420" s="19">
        <v>3412.0</v>
      </c>
      <c r="C3420" s="19" t="s">
        <v>6090</v>
      </c>
    </row>
    <row r="3421">
      <c r="B3421" s="19">
        <v>3413.0</v>
      </c>
      <c r="C3421" s="19" t="s">
        <v>6090</v>
      </c>
    </row>
    <row r="3422">
      <c r="B3422" s="19">
        <v>3414.0</v>
      </c>
      <c r="C3422" s="19" t="s">
        <v>6090</v>
      </c>
    </row>
    <row r="3423">
      <c r="B3423" s="19">
        <v>3415.0</v>
      </c>
      <c r="C3423" s="19" t="s">
        <v>6090</v>
      </c>
    </row>
    <row r="3424">
      <c r="B3424" s="19">
        <v>3416.0</v>
      </c>
      <c r="C3424" s="19" t="s">
        <v>6090</v>
      </c>
    </row>
    <row r="3425">
      <c r="B3425" s="19">
        <v>3417.0</v>
      </c>
      <c r="C3425" s="19" t="s">
        <v>6090</v>
      </c>
    </row>
    <row r="3426">
      <c r="B3426" s="19">
        <v>3418.0</v>
      </c>
      <c r="C3426" s="19" t="s">
        <v>6090</v>
      </c>
    </row>
    <row r="3427">
      <c r="B3427" s="19">
        <v>3419.0</v>
      </c>
      <c r="C3427" s="19" t="s">
        <v>6090</v>
      </c>
    </row>
    <row r="3428">
      <c r="B3428" s="19">
        <v>3420.0</v>
      </c>
      <c r="C3428" s="19" t="s">
        <v>6090</v>
      </c>
    </row>
    <row r="3429">
      <c r="B3429" s="19">
        <v>3421.0</v>
      </c>
      <c r="C3429" s="19" t="s">
        <v>6090</v>
      </c>
    </row>
    <row r="3430">
      <c r="B3430" s="19">
        <v>3422.0</v>
      </c>
      <c r="C3430" s="19" t="s">
        <v>6090</v>
      </c>
    </row>
    <row r="3431">
      <c r="B3431" s="19">
        <v>3423.0</v>
      </c>
      <c r="C3431" s="19" t="s">
        <v>6090</v>
      </c>
    </row>
    <row r="3432">
      <c r="B3432" s="19">
        <v>3424.0</v>
      </c>
      <c r="C3432" s="19" t="s">
        <v>6090</v>
      </c>
    </row>
    <row r="3433">
      <c r="B3433" s="19">
        <v>3425.0</v>
      </c>
      <c r="C3433" s="19" t="s">
        <v>6090</v>
      </c>
    </row>
    <row r="3434">
      <c r="B3434" s="19">
        <v>3426.0</v>
      </c>
      <c r="C3434" s="19" t="s">
        <v>6090</v>
      </c>
    </row>
    <row r="3435">
      <c r="B3435" s="19">
        <v>3427.0</v>
      </c>
      <c r="C3435" s="19" t="s">
        <v>6090</v>
      </c>
    </row>
    <row r="3436">
      <c r="B3436" s="19">
        <v>3428.0</v>
      </c>
      <c r="C3436" s="19" t="s">
        <v>6090</v>
      </c>
    </row>
    <row r="3437">
      <c r="B3437" s="19">
        <v>3429.0</v>
      </c>
      <c r="C3437" s="19" t="s">
        <v>6090</v>
      </c>
    </row>
    <row r="3438">
      <c r="B3438" s="19">
        <v>3430.0</v>
      </c>
      <c r="C3438" s="19" t="s">
        <v>6090</v>
      </c>
    </row>
    <row r="3439">
      <c r="B3439" s="19">
        <v>3431.0</v>
      </c>
      <c r="C3439" s="19" t="s">
        <v>6090</v>
      </c>
    </row>
    <row r="3440">
      <c r="B3440" s="19">
        <v>3432.0</v>
      </c>
      <c r="C3440" s="19" t="s">
        <v>6090</v>
      </c>
    </row>
    <row r="3441">
      <c r="B3441" s="19">
        <v>3433.0</v>
      </c>
      <c r="C3441" s="19" t="s">
        <v>6090</v>
      </c>
    </row>
    <row r="3442">
      <c r="B3442" s="19">
        <v>3434.0</v>
      </c>
      <c r="C3442" s="19" t="s">
        <v>6090</v>
      </c>
    </row>
    <row r="3443">
      <c r="B3443" s="19">
        <v>3435.0</v>
      </c>
      <c r="C3443" s="19" t="s">
        <v>6090</v>
      </c>
    </row>
    <row r="3444">
      <c r="B3444" s="19">
        <v>3436.0</v>
      </c>
      <c r="C3444" s="19" t="s">
        <v>6090</v>
      </c>
    </row>
    <row r="3445">
      <c r="B3445" s="19">
        <v>3437.0</v>
      </c>
      <c r="C3445" s="19" t="s">
        <v>6090</v>
      </c>
    </row>
    <row r="3446">
      <c r="B3446" s="19">
        <v>3438.0</v>
      </c>
      <c r="C3446" s="19" t="s">
        <v>6090</v>
      </c>
    </row>
    <row r="3447">
      <c r="B3447" s="19">
        <v>3439.0</v>
      </c>
      <c r="C3447" s="19" t="s">
        <v>6090</v>
      </c>
    </row>
    <row r="3448">
      <c r="B3448" s="19">
        <v>3440.0</v>
      </c>
      <c r="C3448" s="19" t="s">
        <v>6090</v>
      </c>
    </row>
    <row r="3449">
      <c r="B3449" s="19">
        <v>3441.0</v>
      </c>
      <c r="C3449" s="19" t="s">
        <v>6090</v>
      </c>
    </row>
    <row r="3450">
      <c r="B3450" s="19">
        <v>3442.0</v>
      </c>
      <c r="C3450" s="19" t="s">
        <v>6090</v>
      </c>
    </row>
    <row r="3451">
      <c r="B3451" s="19">
        <v>3443.0</v>
      </c>
      <c r="C3451" s="19" t="s">
        <v>6090</v>
      </c>
    </row>
    <row r="3452">
      <c r="B3452" s="19">
        <v>3444.0</v>
      </c>
      <c r="C3452" s="19" t="s">
        <v>6090</v>
      </c>
    </row>
    <row r="3453">
      <c r="B3453" s="19">
        <v>3445.0</v>
      </c>
      <c r="C3453" s="19" t="s">
        <v>6090</v>
      </c>
    </row>
    <row r="3454">
      <c r="B3454" s="19">
        <v>3446.0</v>
      </c>
      <c r="C3454" s="19" t="s">
        <v>6090</v>
      </c>
    </row>
    <row r="3455">
      <c r="B3455" s="19">
        <v>3447.0</v>
      </c>
      <c r="C3455" s="19" t="s">
        <v>6090</v>
      </c>
    </row>
    <row r="3456">
      <c r="B3456" s="19">
        <v>3448.0</v>
      </c>
      <c r="C3456" s="19" t="s">
        <v>6090</v>
      </c>
    </row>
    <row r="3457">
      <c r="B3457" s="19">
        <v>3449.0</v>
      </c>
      <c r="C3457" s="19" t="s">
        <v>6090</v>
      </c>
    </row>
    <row r="3458">
      <c r="B3458" s="19">
        <v>3450.0</v>
      </c>
      <c r="C3458" s="19" t="s">
        <v>6090</v>
      </c>
    </row>
    <row r="3459">
      <c r="B3459" s="19">
        <v>3451.0</v>
      </c>
      <c r="C3459" s="19" t="s">
        <v>6090</v>
      </c>
    </row>
    <row r="3460">
      <c r="B3460" s="19">
        <v>3452.0</v>
      </c>
      <c r="C3460" s="19" t="s">
        <v>6090</v>
      </c>
    </row>
    <row r="3461">
      <c r="B3461" s="19">
        <v>3453.0</v>
      </c>
      <c r="C3461" s="19" t="s">
        <v>6090</v>
      </c>
    </row>
    <row r="3462">
      <c r="B3462" s="19">
        <v>3454.0</v>
      </c>
      <c r="C3462" s="19" t="s">
        <v>6090</v>
      </c>
    </row>
    <row r="3463">
      <c r="B3463" s="19">
        <v>3455.0</v>
      </c>
      <c r="C3463" s="19" t="s">
        <v>6090</v>
      </c>
    </row>
    <row r="3464">
      <c r="B3464" s="19">
        <v>3456.0</v>
      </c>
      <c r="C3464" s="19" t="s">
        <v>6090</v>
      </c>
    </row>
    <row r="3465">
      <c r="B3465" s="19">
        <v>3457.0</v>
      </c>
      <c r="C3465" s="19" t="s">
        <v>6090</v>
      </c>
    </row>
    <row r="3466">
      <c r="B3466" s="19">
        <v>3458.0</v>
      </c>
      <c r="C3466" s="19" t="s">
        <v>6090</v>
      </c>
    </row>
    <row r="3467">
      <c r="B3467" s="19">
        <v>3459.0</v>
      </c>
      <c r="C3467" s="19" t="s">
        <v>6090</v>
      </c>
    </row>
    <row r="3468">
      <c r="B3468" s="19">
        <v>3460.0</v>
      </c>
      <c r="C3468" s="19" t="s">
        <v>6090</v>
      </c>
    </row>
    <row r="3469">
      <c r="B3469" s="19">
        <v>3461.0</v>
      </c>
      <c r="C3469" s="19" t="s">
        <v>6090</v>
      </c>
    </row>
    <row r="3470">
      <c r="B3470" s="19">
        <v>3462.0</v>
      </c>
      <c r="C3470" s="19" t="s">
        <v>6090</v>
      </c>
    </row>
    <row r="3471">
      <c r="B3471" s="19">
        <v>3463.0</v>
      </c>
      <c r="C3471" s="19" t="s">
        <v>6090</v>
      </c>
    </row>
    <row r="3472">
      <c r="B3472" s="19">
        <v>3464.0</v>
      </c>
      <c r="C3472" s="19" t="s">
        <v>6090</v>
      </c>
    </row>
    <row r="3473">
      <c r="B3473" s="19">
        <v>3465.0</v>
      </c>
      <c r="C3473" s="19" t="s">
        <v>6090</v>
      </c>
    </row>
    <row r="3474">
      <c r="B3474" s="19">
        <v>3466.0</v>
      </c>
      <c r="C3474" s="19" t="s">
        <v>6090</v>
      </c>
    </row>
    <row r="3475">
      <c r="B3475" s="19">
        <v>3467.0</v>
      </c>
      <c r="C3475" s="19" t="s">
        <v>6090</v>
      </c>
    </row>
    <row r="3476">
      <c r="B3476" s="19">
        <v>3468.0</v>
      </c>
      <c r="C3476" s="19" t="s">
        <v>6090</v>
      </c>
    </row>
    <row r="3477">
      <c r="B3477" s="19">
        <v>3469.0</v>
      </c>
      <c r="C3477" s="19" t="s">
        <v>6090</v>
      </c>
    </row>
    <row r="3478">
      <c r="B3478" s="19">
        <v>3470.0</v>
      </c>
      <c r="C3478" s="19" t="s">
        <v>6090</v>
      </c>
    </row>
    <row r="3479">
      <c r="B3479" s="19">
        <v>3471.0</v>
      </c>
      <c r="C3479" s="19" t="s">
        <v>6090</v>
      </c>
    </row>
    <row r="3480">
      <c r="B3480" s="19">
        <v>3472.0</v>
      </c>
      <c r="C3480" s="19" t="s">
        <v>6090</v>
      </c>
    </row>
    <row r="3481">
      <c r="B3481" s="19">
        <v>3473.0</v>
      </c>
      <c r="C3481" s="19" t="s">
        <v>6090</v>
      </c>
    </row>
    <row r="3482">
      <c r="B3482" s="19">
        <v>3474.0</v>
      </c>
      <c r="C3482" s="19" t="s">
        <v>6090</v>
      </c>
    </row>
    <row r="3483">
      <c r="B3483" s="19">
        <v>3475.0</v>
      </c>
      <c r="C3483" s="19" t="s">
        <v>6090</v>
      </c>
    </row>
    <row r="3484">
      <c r="B3484" s="19">
        <v>3476.0</v>
      </c>
      <c r="C3484" s="19" t="s">
        <v>6090</v>
      </c>
    </row>
    <row r="3485">
      <c r="B3485" s="19">
        <v>3477.0</v>
      </c>
      <c r="C3485" s="19" t="s">
        <v>6090</v>
      </c>
    </row>
    <row r="3486">
      <c r="B3486" s="19">
        <v>3478.0</v>
      </c>
      <c r="C3486" s="19" t="s">
        <v>6090</v>
      </c>
    </row>
    <row r="3487">
      <c r="B3487" s="19">
        <v>3479.0</v>
      </c>
      <c r="C3487" s="19" t="s">
        <v>6090</v>
      </c>
    </row>
    <row r="3488">
      <c r="B3488" s="19">
        <v>3480.0</v>
      </c>
      <c r="C3488" s="19" t="s">
        <v>6090</v>
      </c>
    </row>
    <row r="3489">
      <c r="B3489" s="19">
        <v>3481.0</v>
      </c>
      <c r="C3489" s="19" t="s">
        <v>6090</v>
      </c>
    </row>
    <row r="3490">
      <c r="B3490" s="19">
        <v>3482.0</v>
      </c>
      <c r="C3490" s="19" t="s">
        <v>6090</v>
      </c>
    </row>
    <row r="3491">
      <c r="B3491" s="19">
        <v>3483.0</v>
      </c>
      <c r="C3491" s="19" t="s">
        <v>6090</v>
      </c>
    </row>
    <row r="3492">
      <c r="B3492" s="19">
        <v>3484.0</v>
      </c>
      <c r="C3492" s="19" t="s">
        <v>6090</v>
      </c>
    </row>
    <row r="3493">
      <c r="B3493" s="19">
        <v>3485.0</v>
      </c>
      <c r="C3493" s="19" t="s">
        <v>6090</v>
      </c>
    </row>
    <row r="3494">
      <c r="B3494" s="19">
        <v>3486.0</v>
      </c>
      <c r="C3494" s="19" t="s">
        <v>6090</v>
      </c>
    </row>
    <row r="3495">
      <c r="B3495" s="19">
        <v>3487.0</v>
      </c>
      <c r="C3495" s="19" t="s">
        <v>6090</v>
      </c>
    </row>
    <row r="3496">
      <c r="B3496" s="19">
        <v>3488.0</v>
      </c>
      <c r="C3496" s="19" t="s">
        <v>6090</v>
      </c>
    </row>
    <row r="3497">
      <c r="B3497" s="19">
        <v>3489.0</v>
      </c>
      <c r="C3497" s="19" t="s">
        <v>6090</v>
      </c>
    </row>
    <row r="3498">
      <c r="B3498" s="19">
        <v>3490.0</v>
      </c>
      <c r="C3498" s="19" t="s">
        <v>6090</v>
      </c>
    </row>
    <row r="3499">
      <c r="B3499" s="19">
        <v>3491.0</v>
      </c>
      <c r="C3499" s="19" t="s">
        <v>6090</v>
      </c>
    </row>
    <row r="3500">
      <c r="B3500" s="19">
        <v>3492.0</v>
      </c>
      <c r="C3500" s="19" t="s">
        <v>6090</v>
      </c>
    </row>
    <row r="3501">
      <c r="B3501" s="19">
        <v>3493.0</v>
      </c>
      <c r="C3501" s="19" t="s">
        <v>6090</v>
      </c>
    </row>
    <row r="3502">
      <c r="B3502" s="19">
        <v>3494.0</v>
      </c>
      <c r="C3502" s="19" t="s">
        <v>6090</v>
      </c>
    </row>
    <row r="3503">
      <c r="B3503" s="19">
        <v>3495.0</v>
      </c>
      <c r="C3503" s="19" t="s">
        <v>6090</v>
      </c>
    </row>
    <row r="3504">
      <c r="B3504" s="19">
        <v>3496.0</v>
      </c>
      <c r="C3504" s="19" t="s">
        <v>6090</v>
      </c>
    </row>
    <row r="3505">
      <c r="B3505" s="19">
        <v>3497.0</v>
      </c>
      <c r="C3505" s="19" t="s">
        <v>6090</v>
      </c>
    </row>
    <row r="3506">
      <c r="B3506" s="19">
        <v>3498.0</v>
      </c>
      <c r="C3506" s="19" t="s">
        <v>6090</v>
      </c>
    </row>
    <row r="3507">
      <c r="B3507" s="19">
        <v>3499.0</v>
      </c>
      <c r="C3507" s="19" t="s">
        <v>6090</v>
      </c>
    </row>
    <row r="3508">
      <c r="B3508" s="19">
        <v>3500.0</v>
      </c>
      <c r="C3508" s="19" t="s">
        <v>6090</v>
      </c>
    </row>
    <row r="3509">
      <c r="B3509" s="19">
        <v>3501.0</v>
      </c>
      <c r="C3509" s="19" t="s">
        <v>6090</v>
      </c>
    </row>
    <row r="3510">
      <c r="B3510" s="19">
        <v>3502.0</v>
      </c>
      <c r="C3510" s="19" t="s">
        <v>6090</v>
      </c>
    </row>
    <row r="3511">
      <c r="B3511" s="19">
        <v>3503.0</v>
      </c>
      <c r="C3511" s="19" t="s">
        <v>6090</v>
      </c>
    </row>
    <row r="3512">
      <c r="B3512" s="19">
        <v>3504.0</v>
      </c>
      <c r="C3512" s="19" t="s">
        <v>6090</v>
      </c>
    </row>
    <row r="3513">
      <c r="B3513" s="19">
        <v>3505.0</v>
      </c>
      <c r="C3513" s="19" t="s">
        <v>6090</v>
      </c>
    </row>
    <row r="3514">
      <c r="B3514" s="19">
        <v>3506.0</v>
      </c>
      <c r="C3514" s="19" t="s">
        <v>6090</v>
      </c>
    </row>
    <row r="3515">
      <c r="B3515" s="19">
        <v>3507.0</v>
      </c>
      <c r="C3515" s="19" t="s">
        <v>6090</v>
      </c>
    </row>
    <row r="3516">
      <c r="B3516" s="19">
        <v>3508.0</v>
      </c>
      <c r="C3516" s="19" t="s">
        <v>6090</v>
      </c>
    </row>
    <row r="3517">
      <c r="B3517" s="19">
        <v>3509.0</v>
      </c>
      <c r="C3517" s="19" t="s">
        <v>6090</v>
      </c>
    </row>
    <row r="3518">
      <c r="B3518" s="19">
        <v>3510.0</v>
      </c>
      <c r="C3518" s="19" t="s">
        <v>6090</v>
      </c>
    </row>
    <row r="3519">
      <c r="B3519" s="19">
        <v>3511.0</v>
      </c>
      <c r="C3519" s="19" t="s">
        <v>6090</v>
      </c>
    </row>
    <row r="3520">
      <c r="B3520" s="19">
        <v>3512.0</v>
      </c>
      <c r="C3520" s="19" t="s">
        <v>6090</v>
      </c>
    </row>
    <row r="3521">
      <c r="B3521" s="19">
        <v>3513.0</v>
      </c>
      <c r="C3521" s="19" t="s">
        <v>6090</v>
      </c>
    </row>
    <row r="3522">
      <c r="B3522" s="19">
        <v>3514.0</v>
      </c>
      <c r="C3522" s="19" t="s">
        <v>6090</v>
      </c>
    </row>
    <row r="3523">
      <c r="B3523" s="19">
        <v>3515.0</v>
      </c>
      <c r="C3523" s="19" t="s">
        <v>6090</v>
      </c>
    </row>
    <row r="3524">
      <c r="B3524" s="19">
        <v>3516.0</v>
      </c>
      <c r="C3524" s="19" t="s">
        <v>6090</v>
      </c>
    </row>
    <row r="3525">
      <c r="B3525" s="19">
        <v>3517.0</v>
      </c>
      <c r="C3525" s="19" t="s">
        <v>6090</v>
      </c>
    </row>
    <row r="3526">
      <c r="B3526" s="19">
        <v>3518.0</v>
      </c>
      <c r="C3526" s="19" t="s">
        <v>6090</v>
      </c>
    </row>
    <row r="3527">
      <c r="B3527" s="19">
        <v>3519.0</v>
      </c>
      <c r="C3527" s="19" t="s">
        <v>6090</v>
      </c>
    </row>
    <row r="3528">
      <c r="B3528" s="19">
        <v>3520.0</v>
      </c>
      <c r="C3528" s="19" t="s">
        <v>6090</v>
      </c>
    </row>
    <row r="3529">
      <c r="B3529" s="19">
        <v>3521.0</v>
      </c>
      <c r="C3529" s="19" t="s">
        <v>6090</v>
      </c>
    </row>
    <row r="3530">
      <c r="B3530" s="19">
        <v>3522.0</v>
      </c>
      <c r="C3530" s="19" t="s">
        <v>6090</v>
      </c>
    </row>
    <row r="3531">
      <c r="B3531" s="19">
        <v>3523.0</v>
      </c>
      <c r="C3531" s="19" t="s">
        <v>6090</v>
      </c>
    </row>
    <row r="3532">
      <c r="B3532" s="19">
        <v>3524.0</v>
      </c>
      <c r="C3532" s="19" t="s">
        <v>6090</v>
      </c>
    </row>
    <row r="3533">
      <c r="B3533" s="19">
        <v>3525.0</v>
      </c>
      <c r="C3533" s="19" t="s">
        <v>6090</v>
      </c>
    </row>
    <row r="3534">
      <c r="B3534" s="19">
        <v>3526.0</v>
      </c>
      <c r="C3534" s="19" t="s">
        <v>6090</v>
      </c>
    </row>
    <row r="3535">
      <c r="B3535" s="19">
        <v>3527.0</v>
      </c>
      <c r="C3535" s="19" t="s">
        <v>6090</v>
      </c>
    </row>
    <row r="3536">
      <c r="B3536" s="19">
        <v>3528.0</v>
      </c>
      <c r="C3536" s="19" t="s">
        <v>6090</v>
      </c>
    </row>
    <row r="3537">
      <c r="B3537" s="19">
        <v>3529.0</v>
      </c>
      <c r="C3537" s="19" t="s">
        <v>6090</v>
      </c>
    </row>
    <row r="3538">
      <c r="B3538" s="19">
        <v>3530.0</v>
      </c>
      <c r="C3538" s="19" t="s">
        <v>6090</v>
      </c>
    </row>
    <row r="3539">
      <c r="B3539" s="19">
        <v>3531.0</v>
      </c>
      <c r="C3539" s="19" t="s">
        <v>6090</v>
      </c>
    </row>
    <row r="3540">
      <c r="B3540" s="19">
        <v>3532.0</v>
      </c>
      <c r="C3540" s="19" t="s">
        <v>6090</v>
      </c>
    </row>
    <row r="3541">
      <c r="B3541" s="19">
        <v>3533.0</v>
      </c>
      <c r="C3541" s="19" t="s">
        <v>6090</v>
      </c>
    </row>
    <row r="3542">
      <c r="B3542" s="19">
        <v>3534.0</v>
      </c>
      <c r="C3542" s="19" t="s">
        <v>6090</v>
      </c>
    </row>
    <row r="3543">
      <c r="B3543" s="19">
        <v>3535.0</v>
      </c>
      <c r="C3543" s="19" t="s">
        <v>6090</v>
      </c>
    </row>
    <row r="3544">
      <c r="B3544" s="19">
        <v>3536.0</v>
      </c>
      <c r="C3544" s="19" t="s">
        <v>6090</v>
      </c>
    </row>
    <row r="3545">
      <c r="B3545" s="19">
        <v>3537.0</v>
      </c>
      <c r="C3545" s="19" t="s">
        <v>6090</v>
      </c>
    </row>
    <row r="3546">
      <c r="B3546" s="19">
        <v>3538.0</v>
      </c>
      <c r="C3546" s="19" t="s">
        <v>6090</v>
      </c>
    </row>
    <row r="3547">
      <c r="B3547" s="19">
        <v>3539.0</v>
      </c>
      <c r="C3547" s="19" t="s">
        <v>6090</v>
      </c>
    </row>
    <row r="3548">
      <c r="B3548" s="19">
        <v>3540.0</v>
      </c>
      <c r="C3548" s="19" t="s">
        <v>6090</v>
      </c>
    </row>
    <row r="3549">
      <c r="B3549" s="19">
        <v>3541.0</v>
      </c>
      <c r="C3549" s="19" t="s">
        <v>6090</v>
      </c>
    </row>
    <row r="3550">
      <c r="B3550" s="19">
        <v>3542.0</v>
      </c>
      <c r="C3550" s="19" t="s">
        <v>6090</v>
      </c>
    </row>
    <row r="3551">
      <c r="B3551" s="19">
        <v>3543.0</v>
      </c>
      <c r="C3551" s="19" t="s">
        <v>6090</v>
      </c>
    </row>
    <row r="3552">
      <c r="B3552" s="19">
        <v>3544.0</v>
      </c>
      <c r="C3552" s="19" t="s">
        <v>6090</v>
      </c>
    </row>
    <row r="3553">
      <c r="B3553" s="19">
        <v>3545.0</v>
      </c>
      <c r="C3553" s="19" t="s">
        <v>6090</v>
      </c>
    </row>
    <row r="3554">
      <c r="B3554" s="19">
        <v>3546.0</v>
      </c>
      <c r="C3554" s="19" t="s">
        <v>6090</v>
      </c>
    </row>
    <row r="3555">
      <c r="B3555" s="19">
        <v>3547.0</v>
      </c>
      <c r="C3555" s="19" t="s">
        <v>6090</v>
      </c>
    </row>
    <row r="3556">
      <c r="B3556" s="19">
        <v>3548.0</v>
      </c>
      <c r="C3556" s="19" t="s">
        <v>6090</v>
      </c>
    </row>
    <row r="3557">
      <c r="B3557" s="19">
        <v>3549.0</v>
      </c>
      <c r="C3557" s="19" t="s">
        <v>6090</v>
      </c>
    </row>
    <row r="3558">
      <c r="B3558" s="19">
        <v>3550.0</v>
      </c>
      <c r="C3558" s="19" t="s">
        <v>6090</v>
      </c>
    </row>
    <row r="3559">
      <c r="B3559" s="19">
        <v>3551.0</v>
      </c>
      <c r="C3559" s="19" t="s">
        <v>6090</v>
      </c>
    </row>
    <row r="3560">
      <c r="B3560" s="19">
        <v>3552.0</v>
      </c>
      <c r="C3560" s="19" t="s">
        <v>6090</v>
      </c>
    </row>
    <row r="3561">
      <c r="B3561" s="19">
        <v>3553.0</v>
      </c>
      <c r="C3561" s="19" t="s">
        <v>6090</v>
      </c>
    </row>
    <row r="3562">
      <c r="B3562" s="19">
        <v>3554.0</v>
      </c>
      <c r="C3562" s="19" t="s">
        <v>6090</v>
      </c>
    </row>
    <row r="3563">
      <c r="B3563" s="19">
        <v>3555.0</v>
      </c>
      <c r="C3563" s="19" t="s">
        <v>6090</v>
      </c>
    </row>
    <row r="3564">
      <c r="B3564" s="19">
        <v>3556.0</v>
      </c>
      <c r="C3564" s="19" t="s">
        <v>6090</v>
      </c>
    </row>
    <row r="3565">
      <c r="B3565" s="19">
        <v>3557.0</v>
      </c>
      <c r="C3565" s="19" t="s">
        <v>6090</v>
      </c>
    </row>
    <row r="3566">
      <c r="B3566" s="19">
        <v>3558.0</v>
      </c>
      <c r="C3566" s="19" t="s">
        <v>6090</v>
      </c>
    </row>
    <row r="3567">
      <c r="B3567" s="19">
        <v>3559.0</v>
      </c>
      <c r="C3567" s="19" t="s">
        <v>6090</v>
      </c>
    </row>
    <row r="3568">
      <c r="B3568" s="19">
        <v>3560.0</v>
      </c>
      <c r="C3568" s="19" t="s">
        <v>6090</v>
      </c>
    </row>
    <row r="3569">
      <c r="B3569" s="19">
        <v>3561.0</v>
      </c>
      <c r="C3569" s="19" t="s">
        <v>6090</v>
      </c>
    </row>
    <row r="3570">
      <c r="B3570" s="19">
        <v>3562.0</v>
      </c>
      <c r="C3570" s="19" t="s">
        <v>6090</v>
      </c>
    </row>
    <row r="3571">
      <c r="B3571" s="19">
        <v>3563.0</v>
      </c>
      <c r="C3571" s="19" t="s">
        <v>6090</v>
      </c>
    </row>
    <row r="3572">
      <c r="B3572" s="19">
        <v>3564.0</v>
      </c>
      <c r="C3572" s="19" t="s">
        <v>6090</v>
      </c>
    </row>
    <row r="3573">
      <c r="B3573" s="19">
        <v>3565.0</v>
      </c>
      <c r="C3573" s="19" t="s">
        <v>6090</v>
      </c>
    </row>
    <row r="3574">
      <c r="B3574" s="19">
        <v>3566.0</v>
      </c>
      <c r="C3574" s="19" t="s">
        <v>6090</v>
      </c>
    </row>
    <row r="3575">
      <c r="B3575" s="19">
        <v>3567.0</v>
      </c>
      <c r="C3575" s="19" t="s">
        <v>6090</v>
      </c>
    </row>
    <row r="3576">
      <c r="B3576" s="19">
        <v>3568.0</v>
      </c>
      <c r="C3576" s="19" t="s">
        <v>6090</v>
      </c>
    </row>
    <row r="3577">
      <c r="B3577" s="19">
        <v>3569.0</v>
      </c>
      <c r="C3577" s="19" t="s">
        <v>6090</v>
      </c>
    </row>
    <row r="3578">
      <c r="B3578" s="19">
        <v>3570.0</v>
      </c>
      <c r="C3578" s="19" t="s">
        <v>6090</v>
      </c>
    </row>
    <row r="3579">
      <c r="B3579" s="19">
        <v>3571.0</v>
      </c>
      <c r="C3579" s="19" t="s">
        <v>6090</v>
      </c>
    </row>
    <row r="3580">
      <c r="B3580" s="19">
        <v>3572.0</v>
      </c>
      <c r="C3580" s="19" t="s">
        <v>6090</v>
      </c>
    </row>
    <row r="3581">
      <c r="B3581" s="19">
        <v>3573.0</v>
      </c>
      <c r="C3581" s="19" t="s">
        <v>6090</v>
      </c>
    </row>
    <row r="3582">
      <c r="B3582" s="19">
        <v>3574.0</v>
      </c>
      <c r="C3582" s="19" t="s">
        <v>6090</v>
      </c>
    </row>
    <row r="3583">
      <c r="B3583" s="19">
        <v>3575.0</v>
      </c>
      <c r="C3583" s="19" t="s">
        <v>6090</v>
      </c>
    </row>
    <row r="3584">
      <c r="B3584" s="19">
        <v>3576.0</v>
      </c>
      <c r="C3584" s="19" t="s">
        <v>6090</v>
      </c>
    </row>
    <row r="3585">
      <c r="B3585" s="19">
        <v>3577.0</v>
      </c>
      <c r="C3585" s="19" t="s">
        <v>6090</v>
      </c>
    </row>
    <row r="3586">
      <c r="B3586" s="19">
        <v>3578.0</v>
      </c>
      <c r="C3586" s="19" t="s">
        <v>6090</v>
      </c>
    </row>
    <row r="3587">
      <c r="B3587" s="19">
        <v>3579.0</v>
      </c>
      <c r="C3587" s="19" t="s">
        <v>6090</v>
      </c>
    </row>
    <row r="3588">
      <c r="B3588" s="19">
        <v>3580.0</v>
      </c>
      <c r="C3588" s="19" t="s">
        <v>6090</v>
      </c>
    </row>
    <row r="3589">
      <c r="B3589" s="19">
        <v>3581.0</v>
      </c>
      <c r="C3589" s="19" t="s">
        <v>6090</v>
      </c>
    </row>
    <row r="3590">
      <c r="B3590" s="19">
        <v>3582.0</v>
      </c>
      <c r="C3590" s="19" t="s">
        <v>6090</v>
      </c>
    </row>
    <row r="3591">
      <c r="B3591" s="19">
        <v>3583.0</v>
      </c>
      <c r="C3591" s="19" t="s">
        <v>6090</v>
      </c>
    </row>
    <row r="3592">
      <c r="B3592" s="19">
        <v>3584.0</v>
      </c>
      <c r="C3592" s="19" t="s">
        <v>6090</v>
      </c>
    </row>
    <row r="3593">
      <c r="B3593" s="19">
        <v>3585.0</v>
      </c>
      <c r="C3593" s="19" t="s">
        <v>6090</v>
      </c>
    </row>
    <row r="3594">
      <c r="B3594" s="19">
        <v>3586.0</v>
      </c>
      <c r="C3594" s="19" t="s">
        <v>6090</v>
      </c>
    </row>
    <row r="3595">
      <c r="B3595" s="19">
        <v>3587.0</v>
      </c>
      <c r="C3595" s="19" t="s">
        <v>6090</v>
      </c>
    </row>
    <row r="3596">
      <c r="B3596" s="19">
        <v>3588.0</v>
      </c>
      <c r="C3596" s="19" t="s">
        <v>6090</v>
      </c>
    </row>
    <row r="3597">
      <c r="B3597" s="19">
        <v>3589.0</v>
      </c>
      <c r="C3597" s="19" t="s">
        <v>6090</v>
      </c>
    </row>
    <row r="3598">
      <c r="B3598" s="19">
        <v>3590.0</v>
      </c>
      <c r="C3598" s="19" t="s">
        <v>6090</v>
      </c>
    </row>
    <row r="3599">
      <c r="B3599" s="19">
        <v>3591.0</v>
      </c>
      <c r="C3599" s="19" t="s">
        <v>6090</v>
      </c>
    </row>
    <row r="3600">
      <c r="B3600" s="19">
        <v>3592.0</v>
      </c>
      <c r="C3600" s="19" t="s">
        <v>6090</v>
      </c>
    </row>
    <row r="3601">
      <c r="B3601" s="19">
        <v>3593.0</v>
      </c>
      <c r="C3601" s="19" t="s">
        <v>6090</v>
      </c>
    </row>
    <row r="3602">
      <c r="B3602" s="19">
        <v>3594.0</v>
      </c>
      <c r="C3602" s="19" t="s">
        <v>6090</v>
      </c>
    </row>
    <row r="3603">
      <c r="B3603" s="19">
        <v>3595.0</v>
      </c>
      <c r="C3603" s="19" t="s">
        <v>6090</v>
      </c>
    </row>
    <row r="3604">
      <c r="B3604" s="19">
        <v>3596.0</v>
      </c>
      <c r="C3604" s="19" t="s">
        <v>6090</v>
      </c>
    </row>
    <row r="3605">
      <c r="B3605" s="19">
        <v>3597.0</v>
      </c>
      <c r="C3605" s="19" t="s">
        <v>6090</v>
      </c>
    </row>
    <row r="3606">
      <c r="B3606" s="19">
        <v>3598.0</v>
      </c>
      <c r="C3606" s="19" t="s">
        <v>6090</v>
      </c>
    </row>
    <row r="3607">
      <c r="B3607" s="19">
        <v>3599.0</v>
      </c>
      <c r="C3607" s="19" t="s">
        <v>6090</v>
      </c>
    </row>
    <row r="3608">
      <c r="B3608" s="19">
        <v>3600.0</v>
      </c>
      <c r="C3608" s="19" t="s">
        <v>6090</v>
      </c>
    </row>
    <row r="3609">
      <c r="B3609" s="19">
        <v>3601.0</v>
      </c>
      <c r="C3609" s="19" t="s">
        <v>6090</v>
      </c>
    </row>
    <row r="3610">
      <c r="B3610" s="19">
        <v>3602.0</v>
      </c>
      <c r="C3610" s="19" t="s">
        <v>6090</v>
      </c>
    </row>
    <row r="3611">
      <c r="B3611" s="19">
        <v>3603.0</v>
      </c>
      <c r="C3611" s="19" t="s">
        <v>6090</v>
      </c>
    </row>
    <row r="3612">
      <c r="B3612" s="19">
        <v>3604.0</v>
      </c>
      <c r="C3612" s="19" t="s">
        <v>6090</v>
      </c>
    </row>
    <row r="3613">
      <c r="B3613" s="19">
        <v>3605.0</v>
      </c>
      <c r="C3613" s="19" t="s">
        <v>6090</v>
      </c>
    </row>
    <row r="3614">
      <c r="B3614" s="19">
        <v>3606.0</v>
      </c>
      <c r="C3614" s="19" t="s">
        <v>6090</v>
      </c>
    </row>
    <row r="3615">
      <c r="B3615" s="19">
        <v>3607.0</v>
      </c>
      <c r="C3615" s="19" t="s">
        <v>6090</v>
      </c>
    </row>
    <row r="3616">
      <c r="B3616" s="19">
        <v>3608.0</v>
      </c>
      <c r="C3616" s="19" t="s">
        <v>6090</v>
      </c>
    </row>
    <row r="3617">
      <c r="B3617" s="19">
        <v>3609.0</v>
      </c>
      <c r="C3617" s="19" t="s">
        <v>6090</v>
      </c>
    </row>
    <row r="3618">
      <c r="B3618" s="19">
        <v>3610.0</v>
      </c>
      <c r="C3618" s="19" t="s">
        <v>6090</v>
      </c>
    </row>
    <row r="3619">
      <c r="B3619" s="19">
        <v>3611.0</v>
      </c>
      <c r="C3619" s="19" t="s">
        <v>6090</v>
      </c>
    </row>
    <row r="3620">
      <c r="B3620" s="19">
        <v>3612.0</v>
      </c>
      <c r="C3620" s="19" t="s">
        <v>6090</v>
      </c>
    </row>
    <row r="3621">
      <c r="B3621" s="19">
        <v>3613.0</v>
      </c>
      <c r="C3621" s="19" t="s">
        <v>6090</v>
      </c>
    </row>
    <row r="3622">
      <c r="B3622" s="19">
        <v>3614.0</v>
      </c>
      <c r="C3622" s="19" t="s">
        <v>6090</v>
      </c>
    </row>
    <row r="3623">
      <c r="B3623" s="19">
        <v>3615.0</v>
      </c>
      <c r="C3623" s="19" t="s">
        <v>6090</v>
      </c>
    </row>
    <row r="3624">
      <c r="B3624" s="19">
        <v>3616.0</v>
      </c>
      <c r="C3624" s="19" t="s">
        <v>6090</v>
      </c>
    </row>
    <row r="3625">
      <c r="B3625" s="19">
        <v>3617.0</v>
      </c>
      <c r="C3625" s="19" t="s">
        <v>6090</v>
      </c>
    </row>
    <row r="3626">
      <c r="B3626" s="19">
        <v>3618.0</v>
      </c>
      <c r="C3626" s="19" t="s">
        <v>6090</v>
      </c>
    </row>
    <row r="3627">
      <c r="B3627" s="19">
        <v>3619.0</v>
      </c>
      <c r="C3627" s="19" t="s">
        <v>6090</v>
      </c>
    </row>
    <row r="3628">
      <c r="B3628" s="19">
        <v>3620.0</v>
      </c>
      <c r="C3628" s="19" t="s">
        <v>6090</v>
      </c>
    </row>
    <row r="3629">
      <c r="B3629" s="19">
        <v>3621.0</v>
      </c>
      <c r="C3629" s="19" t="s">
        <v>6090</v>
      </c>
    </row>
    <row r="3630">
      <c r="B3630" s="19">
        <v>3622.0</v>
      </c>
      <c r="C3630" s="19" t="s">
        <v>6090</v>
      </c>
    </row>
    <row r="3631">
      <c r="B3631" s="19">
        <v>3623.0</v>
      </c>
      <c r="C3631" s="19" t="s">
        <v>6090</v>
      </c>
    </row>
    <row r="3632">
      <c r="B3632" s="19">
        <v>3624.0</v>
      </c>
      <c r="C3632" s="19" t="s">
        <v>6090</v>
      </c>
    </row>
    <row r="3633">
      <c r="B3633" s="19">
        <v>3625.0</v>
      </c>
      <c r="C3633" s="19" t="s">
        <v>6090</v>
      </c>
    </row>
    <row r="3634">
      <c r="B3634" s="19">
        <v>3626.0</v>
      </c>
      <c r="C3634" s="19" t="s">
        <v>6090</v>
      </c>
    </row>
    <row r="3635">
      <c r="B3635" s="19">
        <v>3627.0</v>
      </c>
      <c r="C3635" s="19" t="s">
        <v>6090</v>
      </c>
    </row>
    <row r="3636">
      <c r="B3636" s="19">
        <v>3628.0</v>
      </c>
      <c r="C3636" s="19" t="s">
        <v>6090</v>
      </c>
    </row>
    <row r="3637">
      <c r="B3637" s="19">
        <v>3629.0</v>
      </c>
      <c r="C3637" s="19" t="s">
        <v>6090</v>
      </c>
    </row>
    <row r="3638">
      <c r="B3638" s="19">
        <v>3630.0</v>
      </c>
      <c r="C3638" s="19" t="s">
        <v>6090</v>
      </c>
    </row>
    <row r="3639">
      <c r="B3639" s="19">
        <v>3631.0</v>
      </c>
      <c r="C3639" s="19" t="s">
        <v>6090</v>
      </c>
    </row>
    <row r="3640">
      <c r="B3640" s="19">
        <v>3632.0</v>
      </c>
      <c r="C3640" s="19" t="s">
        <v>6090</v>
      </c>
    </row>
    <row r="3641">
      <c r="B3641" s="19">
        <v>3633.0</v>
      </c>
      <c r="C3641" s="19" t="s">
        <v>6090</v>
      </c>
    </row>
    <row r="3642">
      <c r="B3642" s="19">
        <v>3634.0</v>
      </c>
      <c r="C3642" s="19" t="s">
        <v>6090</v>
      </c>
    </row>
    <row r="3643">
      <c r="B3643" s="19">
        <v>3635.0</v>
      </c>
      <c r="C3643" s="19" t="s">
        <v>6090</v>
      </c>
    </row>
    <row r="3644">
      <c r="B3644" s="19">
        <v>3636.0</v>
      </c>
      <c r="C3644" s="19" t="s">
        <v>6090</v>
      </c>
    </row>
    <row r="3645">
      <c r="B3645" s="19">
        <v>3637.0</v>
      </c>
      <c r="C3645" s="19" t="s">
        <v>6090</v>
      </c>
    </row>
    <row r="3646">
      <c r="B3646" s="19">
        <v>3638.0</v>
      </c>
      <c r="C3646" s="19" t="s">
        <v>6090</v>
      </c>
    </row>
    <row r="3647">
      <c r="B3647" s="19">
        <v>3639.0</v>
      </c>
      <c r="C3647" s="19" t="s">
        <v>6090</v>
      </c>
    </row>
    <row r="3648">
      <c r="B3648" s="19">
        <v>3640.0</v>
      </c>
      <c r="C3648" s="19" t="s">
        <v>6090</v>
      </c>
    </row>
    <row r="3649">
      <c r="B3649" s="19">
        <v>3641.0</v>
      </c>
      <c r="C3649" s="19" t="s">
        <v>6090</v>
      </c>
    </row>
    <row r="3650">
      <c r="B3650" s="19">
        <v>3642.0</v>
      </c>
      <c r="C3650" s="19" t="s">
        <v>6090</v>
      </c>
    </row>
    <row r="3651">
      <c r="B3651" s="19">
        <v>3643.0</v>
      </c>
      <c r="C3651" s="19" t="s">
        <v>6090</v>
      </c>
    </row>
    <row r="3652">
      <c r="B3652" s="19">
        <v>3644.0</v>
      </c>
      <c r="C3652" s="19" t="s">
        <v>6090</v>
      </c>
    </row>
    <row r="3653">
      <c r="B3653" s="19">
        <v>3645.0</v>
      </c>
      <c r="C3653" s="19" t="s">
        <v>6090</v>
      </c>
    </row>
    <row r="3654">
      <c r="B3654" s="19">
        <v>3646.0</v>
      </c>
      <c r="C3654" s="19" t="s">
        <v>6090</v>
      </c>
    </row>
    <row r="3655">
      <c r="B3655" s="19">
        <v>3647.0</v>
      </c>
      <c r="C3655" s="19" t="s">
        <v>6090</v>
      </c>
    </row>
    <row r="3656">
      <c r="B3656" s="19">
        <v>3648.0</v>
      </c>
      <c r="C3656" s="19" t="s">
        <v>6090</v>
      </c>
    </row>
    <row r="3657">
      <c r="B3657" s="19">
        <v>3649.0</v>
      </c>
      <c r="C3657" s="19" t="s">
        <v>6090</v>
      </c>
    </row>
    <row r="3658">
      <c r="B3658" s="19">
        <v>3650.0</v>
      </c>
      <c r="C3658" s="19" t="s">
        <v>6090</v>
      </c>
    </row>
    <row r="3659">
      <c r="B3659" s="19">
        <v>3651.0</v>
      </c>
      <c r="C3659" s="19" t="s">
        <v>6090</v>
      </c>
    </row>
    <row r="3660">
      <c r="B3660" s="19">
        <v>3652.0</v>
      </c>
      <c r="C3660" s="19" t="s">
        <v>6090</v>
      </c>
    </row>
    <row r="3661">
      <c r="B3661" s="19">
        <v>3653.0</v>
      </c>
      <c r="C3661" s="19" t="s">
        <v>6090</v>
      </c>
    </row>
    <row r="3662">
      <c r="B3662" s="19">
        <v>3654.0</v>
      </c>
      <c r="C3662" s="19" t="s">
        <v>6090</v>
      </c>
    </row>
    <row r="3663">
      <c r="B3663" s="19">
        <v>3655.0</v>
      </c>
      <c r="C3663" s="19" t="s">
        <v>6090</v>
      </c>
    </row>
    <row r="3664">
      <c r="B3664" s="19">
        <v>3656.0</v>
      </c>
      <c r="C3664" s="19" t="s">
        <v>6090</v>
      </c>
    </row>
    <row r="3665">
      <c r="B3665" s="19">
        <v>3657.0</v>
      </c>
      <c r="C3665" s="19" t="s">
        <v>6090</v>
      </c>
    </row>
    <row r="3666">
      <c r="B3666" s="19">
        <v>3658.0</v>
      </c>
      <c r="C3666" s="19" t="s">
        <v>6090</v>
      </c>
    </row>
    <row r="3667">
      <c r="B3667" s="19">
        <v>3659.0</v>
      </c>
      <c r="C3667" s="19" t="s">
        <v>6090</v>
      </c>
    </row>
    <row r="3668">
      <c r="B3668" s="19">
        <v>3660.0</v>
      </c>
      <c r="C3668" s="19" t="s">
        <v>6090</v>
      </c>
    </row>
    <row r="3669">
      <c r="B3669" s="19">
        <v>3661.0</v>
      </c>
      <c r="C3669" s="19" t="s">
        <v>6090</v>
      </c>
    </row>
    <row r="3670">
      <c r="B3670" s="19">
        <v>3662.0</v>
      </c>
      <c r="C3670" s="19" t="s">
        <v>6090</v>
      </c>
    </row>
    <row r="3671">
      <c r="B3671" s="19">
        <v>3663.0</v>
      </c>
      <c r="C3671" s="19" t="s">
        <v>6090</v>
      </c>
    </row>
    <row r="3672">
      <c r="B3672" s="19">
        <v>3664.0</v>
      </c>
      <c r="C3672" s="19" t="s">
        <v>6090</v>
      </c>
    </row>
    <row r="3673">
      <c r="B3673" s="19">
        <v>3665.0</v>
      </c>
      <c r="C3673" s="19" t="s">
        <v>6090</v>
      </c>
    </row>
    <row r="3674">
      <c r="B3674" s="19">
        <v>3666.0</v>
      </c>
      <c r="C3674" s="19" t="s">
        <v>6090</v>
      </c>
    </row>
    <row r="3675">
      <c r="B3675" s="19">
        <v>3667.0</v>
      </c>
      <c r="C3675" s="19" t="s">
        <v>6090</v>
      </c>
    </row>
    <row r="3676">
      <c r="B3676" s="19">
        <v>3668.0</v>
      </c>
      <c r="C3676" s="19" t="s">
        <v>6090</v>
      </c>
    </row>
    <row r="3677">
      <c r="B3677" s="19">
        <v>3669.0</v>
      </c>
      <c r="C3677" s="19" t="s">
        <v>6090</v>
      </c>
    </row>
    <row r="3678">
      <c r="B3678" s="19">
        <v>3670.0</v>
      </c>
      <c r="C3678" s="19" t="s">
        <v>6090</v>
      </c>
    </row>
    <row r="3679">
      <c r="B3679" s="19">
        <v>3671.0</v>
      </c>
      <c r="C3679" s="19" t="s">
        <v>6090</v>
      </c>
    </row>
    <row r="3680">
      <c r="B3680" s="19">
        <v>3672.0</v>
      </c>
      <c r="C3680" s="19" t="s">
        <v>6090</v>
      </c>
    </row>
    <row r="3681">
      <c r="B3681" s="19">
        <v>3673.0</v>
      </c>
      <c r="C3681" s="19" t="s">
        <v>6090</v>
      </c>
    </row>
    <row r="3682">
      <c r="B3682" s="19">
        <v>3674.0</v>
      </c>
      <c r="C3682" s="19" t="s">
        <v>6090</v>
      </c>
    </row>
    <row r="3683">
      <c r="B3683" s="19">
        <v>3675.0</v>
      </c>
      <c r="C3683" s="19" t="s">
        <v>6090</v>
      </c>
    </row>
    <row r="3684">
      <c r="B3684" s="19">
        <v>3676.0</v>
      </c>
      <c r="C3684" s="19" t="s">
        <v>6090</v>
      </c>
    </row>
    <row r="3685">
      <c r="B3685" s="19">
        <v>3677.0</v>
      </c>
      <c r="C3685" s="19" t="s">
        <v>6090</v>
      </c>
    </row>
    <row r="3686">
      <c r="B3686" s="19">
        <v>3678.0</v>
      </c>
      <c r="C3686" s="19" t="s">
        <v>6090</v>
      </c>
    </row>
    <row r="3687">
      <c r="B3687" s="19">
        <v>3679.0</v>
      </c>
      <c r="C3687" s="19" t="s">
        <v>6090</v>
      </c>
    </row>
    <row r="3688">
      <c r="B3688" s="19">
        <v>3680.0</v>
      </c>
      <c r="C3688" s="19" t="s">
        <v>6090</v>
      </c>
    </row>
    <row r="3689">
      <c r="B3689" s="19">
        <v>3681.0</v>
      </c>
      <c r="C3689" s="19" t="s">
        <v>6090</v>
      </c>
    </row>
    <row r="3690">
      <c r="B3690" s="19">
        <v>3682.0</v>
      </c>
      <c r="C3690" s="19" t="s">
        <v>6090</v>
      </c>
    </row>
    <row r="3691">
      <c r="B3691" s="19">
        <v>3683.0</v>
      </c>
      <c r="C3691" s="19" t="s">
        <v>6090</v>
      </c>
    </row>
    <row r="3692">
      <c r="B3692" s="19">
        <v>3684.0</v>
      </c>
      <c r="C3692" s="19" t="s">
        <v>6090</v>
      </c>
    </row>
    <row r="3693">
      <c r="B3693" s="19">
        <v>3685.0</v>
      </c>
      <c r="C3693" s="19" t="s">
        <v>6090</v>
      </c>
    </row>
    <row r="3694">
      <c r="B3694" s="19">
        <v>3686.0</v>
      </c>
      <c r="C3694" s="19" t="s">
        <v>6090</v>
      </c>
    </row>
    <row r="3695">
      <c r="B3695" s="19">
        <v>3687.0</v>
      </c>
      <c r="C3695" s="19" t="s">
        <v>6090</v>
      </c>
    </row>
    <row r="3696">
      <c r="B3696" s="19">
        <v>3688.0</v>
      </c>
      <c r="C3696" s="19" t="s">
        <v>6090</v>
      </c>
    </row>
    <row r="3697">
      <c r="B3697" s="19">
        <v>3689.0</v>
      </c>
      <c r="C3697" s="19" t="s">
        <v>6090</v>
      </c>
    </row>
    <row r="3698">
      <c r="B3698" s="19">
        <v>3690.0</v>
      </c>
      <c r="C3698" s="19" t="s">
        <v>6090</v>
      </c>
    </row>
    <row r="3699">
      <c r="B3699" s="19">
        <v>3691.0</v>
      </c>
      <c r="C3699" s="19" t="s">
        <v>6090</v>
      </c>
    </row>
    <row r="3700">
      <c r="B3700" s="19">
        <v>3692.0</v>
      </c>
      <c r="C3700" s="19" t="s">
        <v>6090</v>
      </c>
    </row>
    <row r="3701">
      <c r="B3701" s="19">
        <v>3693.0</v>
      </c>
      <c r="C3701" s="19" t="s">
        <v>6090</v>
      </c>
    </row>
    <row r="3702">
      <c r="B3702" s="19">
        <v>3694.0</v>
      </c>
      <c r="C3702" s="19" t="s">
        <v>6090</v>
      </c>
    </row>
    <row r="3703">
      <c r="B3703" s="19">
        <v>3695.0</v>
      </c>
      <c r="C3703" s="19" t="s">
        <v>6090</v>
      </c>
    </row>
    <row r="3704">
      <c r="B3704" s="19">
        <v>3696.0</v>
      </c>
      <c r="C3704" s="19" t="s">
        <v>6090</v>
      </c>
    </row>
    <row r="3705">
      <c r="B3705" s="19">
        <v>3697.0</v>
      </c>
      <c r="C3705" s="19" t="s">
        <v>6090</v>
      </c>
    </row>
    <row r="3706">
      <c r="B3706" s="19">
        <v>3698.0</v>
      </c>
      <c r="C3706" s="19" t="s">
        <v>6090</v>
      </c>
    </row>
    <row r="3707">
      <c r="B3707" s="19">
        <v>3699.0</v>
      </c>
      <c r="C3707" s="19" t="s">
        <v>6090</v>
      </c>
    </row>
    <row r="3708">
      <c r="B3708" s="19">
        <v>3700.0</v>
      </c>
      <c r="C3708" s="19" t="s">
        <v>6090</v>
      </c>
    </row>
    <row r="3709">
      <c r="B3709" s="19">
        <v>3701.0</v>
      </c>
      <c r="C3709" s="19" t="s">
        <v>6090</v>
      </c>
    </row>
    <row r="3710">
      <c r="B3710" s="19">
        <v>3702.0</v>
      </c>
      <c r="C3710" s="19" t="s">
        <v>6090</v>
      </c>
    </row>
    <row r="3711">
      <c r="B3711" s="19">
        <v>3703.0</v>
      </c>
      <c r="C3711" s="19" t="s">
        <v>6090</v>
      </c>
    </row>
    <row r="3712">
      <c r="B3712" s="19">
        <v>3704.0</v>
      </c>
      <c r="C3712" s="19" t="s">
        <v>6090</v>
      </c>
    </row>
    <row r="3713">
      <c r="B3713" s="19">
        <v>3705.0</v>
      </c>
      <c r="C3713" s="19" t="s">
        <v>6090</v>
      </c>
    </row>
    <row r="3714">
      <c r="B3714" s="19">
        <v>3706.0</v>
      </c>
      <c r="C3714" s="19" t="s">
        <v>6090</v>
      </c>
    </row>
    <row r="3715">
      <c r="B3715" s="19">
        <v>3707.0</v>
      </c>
      <c r="C3715" s="19" t="s">
        <v>6090</v>
      </c>
    </row>
    <row r="3716">
      <c r="B3716" s="19">
        <v>3708.0</v>
      </c>
      <c r="C3716" s="19" t="s">
        <v>6090</v>
      </c>
    </row>
    <row r="3717">
      <c r="B3717" s="19">
        <v>3709.0</v>
      </c>
      <c r="C3717" s="19" t="s">
        <v>6090</v>
      </c>
    </row>
    <row r="3718">
      <c r="B3718" s="19">
        <v>3710.0</v>
      </c>
      <c r="C3718" s="19" t="s">
        <v>6090</v>
      </c>
    </row>
    <row r="3719">
      <c r="B3719" s="19">
        <v>3711.0</v>
      </c>
      <c r="C3719" s="19" t="s">
        <v>6090</v>
      </c>
    </row>
    <row r="3720">
      <c r="B3720" s="19">
        <v>3712.0</v>
      </c>
      <c r="C3720" s="19" t="s">
        <v>6090</v>
      </c>
    </row>
    <row r="3721">
      <c r="B3721" s="19">
        <v>3713.0</v>
      </c>
      <c r="C3721" s="19" t="s">
        <v>6090</v>
      </c>
    </row>
    <row r="3722">
      <c r="B3722" s="19">
        <v>3714.0</v>
      </c>
      <c r="C3722" s="19" t="s">
        <v>6090</v>
      </c>
    </row>
    <row r="3723">
      <c r="B3723" s="19">
        <v>3715.0</v>
      </c>
      <c r="C3723" s="19" t="s">
        <v>6090</v>
      </c>
    </row>
    <row r="3724">
      <c r="B3724" s="19">
        <v>3716.0</v>
      </c>
      <c r="C3724" s="19" t="s">
        <v>6090</v>
      </c>
    </row>
    <row r="3725">
      <c r="B3725" s="19">
        <v>3717.0</v>
      </c>
      <c r="C3725" s="19" t="s">
        <v>6090</v>
      </c>
    </row>
    <row r="3726">
      <c r="B3726" s="19">
        <v>3718.0</v>
      </c>
      <c r="C3726" s="19" t="s">
        <v>6090</v>
      </c>
    </row>
    <row r="3727">
      <c r="B3727" s="19">
        <v>3719.0</v>
      </c>
      <c r="C3727" s="19" t="s">
        <v>6090</v>
      </c>
    </row>
    <row r="3728">
      <c r="B3728" s="19">
        <v>3720.0</v>
      </c>
      <c r="C3728" s="19" t="s">
        <v>6090</v>
      </c>
    </row>
    <row r="3729">
      <c r="B3729" s="19">
        <v>3721.0</v>
      </c>
      <c r="C3729" s="19" t="s">
        <v>6090</v>
      </c>
    </row>
    <row r="3730">
      <c r="B3730" s="19">
        <v>3722.0</v>
      </c>
      <c r="C3730" s="19" t="s">
        <v>6090</v>
      </c>
    </row>
    <row r="3731">
      <c r="B3731" s="19">
        <v>3723.0</v>
      </c>
      <c r="C3731" s="19" t="s">
        <v>6090</v>
      </c>
    </row>
    <row r="3732">
      <c r="B3732" s="19">
        <v>3724.0</v>
      </c>
      <c r="C3732" s="19" t="s">
        <v>6090</v>
      </c>
    </row>
    <row r="3733">
      <c r="B3733" s="19">
        <v>3725.0</v>
      </c>
      <c r="C3733" s="19" t="s">
        <v>6090</v>
      </c>
    </row>
    <row r="3734">
      <c r="B3734" s="19">
        <v>3726.0</v>
      </c>
      <c r="C3734" s="19" t="s">
        <v>6090</v>
      </c>
    </row>
    <row r="3735">
      <c r="B3735" s="19">
        <v>3727.0</v>
      </c>
      <c r="C3735" s="19" t="s">
        <v>6090</v>
      </c>
    </row>
    <row r="3736">
      <c r="B3736" s="19">
        <v>3728.0</v>
      </c>
      <c r="C3736" s="19" t="s">
        <v>6090</v>
      </c>
    </row>
    <row r="3737">
      <c r="B3737" s="19">
        <v>3729.0</v>
      </c>
      <c r="C3737" s="19" t="s">
        <v>6090</v>
      </c>
    </row>
    <row r="3738">
      <c r="B3738" s="19">
        <v>3730.0</v>
      </c>
      <c r="C3738" s="19" t="s">
        <v>6090</v>
      </c>
    </row>
    <row r="3739">
      <c r="B3739" s="19">
        <v>3731.0</v>
      </c>
      <c r="C3739" s="19" t="s">
        <v>6090</v>
      </c>
    </row>
    <row r="3740">
      <c r="B3740" s="19">
        <v>3732.0</v>
      </c>
      <c r="C3740" s="19" t="s">
        <v>6090</v>
      </c>
    </row>
    <row r="3741">
      <c r="B3741" s="19">
        <v>3733.0</v>
      </c>
      <c r="C3741" s="19" t="s">
        <v>6090</v>
      </c>
    </row>
    <row r="3742">
      <c r="B3742" s="19">
        <v>3734.0</v>
      </c>
      <c r="C3742" s="19" t="s">
        <v>6090</v>
      </c>
    </row>
    <row r="3743">
      <c r="B3743" s="19">
        <v>3735.0</v>
      </c>
      <c r="C3743" s="19" t="s">
        <v>6090</v>
      </c>
    </row>
    <row r="3744">
      <c r="B3744" s="19">
        <v>3736.0</v>
      </c>
      <c r="C3744" s="19" t="s">
        <v>6090</v>
      </c>
    </row>
    <row r="3745">
      <c r="B3745" s="19">
        <v>3737.0</v>
      </c>
      <c r="C3745" s="19" t="s">
        <v>6090</v>
      </c>
    </row>
    <row r="3746">
      <c r="B3746" s="19">
        <v>3738.0</v>
      </c>
      <c r="C3746" s="19" t="s">
        <v>6090</v>
      </c>
    </row>
    <row r="3747">
      <c r="B3747" s="19">
        <v>3739.0</v>
      </c>
      <c r="C3747" s="19" t="s">
        <v>6090</v>
      </c>
    </row>
    <row r="3748">
      <c r="B3748" s="19">
        <v>3740.0</v>
      </c>
      <c r="C3748" s="19" t="s">
        <v>6090</v>
      </c>
    </row>
    <row r="3749">
      <c r="B3749" s="19">
        <v>3741.0</v>
      </c>
      <c r="C3749" s="19" t="s">
        <v>6090</v>
      </c>
    </row>
    <row r="3750">
      <c r="B3750" s="19">
        <v>3742.0</v>
      </c>
      <c r="C3750" s="19" t="s">
        <v>6090</v>
      </c>
    </row>
    <row r="3751">
      <c r="B3751" s="19">
        <v>3743.0</v>
      </c>
      <c r="C3751" s="19" t="s">
        <v>6090</v>
      </c>
    </row>
    <row r="3752">
      <c r="B3752" s="19">
        <v>3744.0</v>
      </c>
      <c r="C3752" s="19" t="s">
        <v>6090</v>
      </c>
    </row>
    <row r="3753">
      <c r="B3753" s="19">
        <v>3745.0</v>
      </c>
      <c r="C3753" s="19" t="s">
        <v>6090</v>
      </c>
    </row>
    <row r="3754">
      <c r="B3754" s="19">
        <v>3746.0</v>
      </c>
      <c r="C3754" s="19" t="s">
        <v>6090</v>
      </c>
    </row>
    <row r="3755">
      <c r="B3755" s="19">
        <v>3747.0</v>
      </c>
      <c r="C3755" s="19" t="s">
        <v>6090</v>
      </c>
    </row>
    <row r="3756">
      <c r="B3756" s="19">
        <v>3748.0</v>
      </c>
      <c r="C3756" s="19" t="s">
        <v>6090</v>
      </c>
    </row>
    <row r="3757">
      <c r="B3757" s="19">
        <v>3749.0</v>
      </c>
      <c r="C3757" s="19" t="s">
        <v>6090</v>
      </c>
    </row>
    <row r="3758">
      <c r="B3758" s="19">
        <v>3750.0</v>
      </c>
      <c r="C3758" s="19" t="s">
        <v>6090</v>
      </c>
    </row>
    <row r="3759">
      <c r="B3759" s="19">
        <v>3751.0</v>
      </c>
      <c r="C3759" s="19" t="s">
        <v>6090</v>
      </c>
    </row>
    <row r="3760">
      <c r="B3760" s="19">
        <v>3752.0</v>
      </c>
      <c r="C3760" s="19" t="s">
        <v>6090</v>
      </c>
    </row>
    <row r="3761">
      <c r="B3761" s="19">
        <v>3753.0</v>
      </c>
      <c r="C3761" s="19" t="s">
        <v>6090</v>
      </c>
    </row>
    <row r="3762">
      <c r="B3762" s="19">
        <v>3754.0</v>
      </c>
      <c r="C3762" s="19" t="s">
        <v>6090</v>
      </c>
    </row>
    <row r="3763">
      <c r="B3763" s="19">
        <v>3755.0</v>
      </c>
      <c r="C3763" s="19" t="s">
        <v>6090</v>
      </c>
    </row>
    <row r="3764">
      <c r="B3764" s="19">
        <v>3756.0</v>
      </c>
      <c r="C3764" s="19" t="s">
        <v>6090</v>
      </c>
    </row>
    <row r="3765">
      <c r="B3765" s="19">
        <v>3757.0</v>
      </c>
      <c r="C3765" s="19" t="s">
        <v>6090</v>
      </c>
    </row>
    <row r="3766">
      <c r="B3766" s="19">
        <v>3758.0</v>
      </c>
      <c r="C3766" s="19" t="s">
        <v>6090</v>
      </c>
    </row>
    <row r="3767">
      <c r="B3767" s="19">
        <v>3759.0</v>
      </c>
      <c r="C3767" s="19" t="s">
        <v>6090</v>
      </c>
    </row>
    <row r="3768">
      <c r="B3768" s="19">
        <v>3760.0</v>
      </c>
      <c r="C3768" s="19" t="s">
        <v>6090</v>
      </c>
    </row>
    <row r="3769">
      <c r="B3769" s="19">
        <v>3761.0</v>
      </c>
      <c r="C3769" s="19" t="s">
        <v>6090</v>
      </c>
    </row>
    <row r="3770">
      <c r="B3770" s="19">
        <v>3762.0</v>
      </c>
      <c r="C3770" s="19" t="s">
        <v>6090</v>
      </c>
    </row>
    <row r="3771">
      <c r="B3771" s="19">
        <v>3763.0</v>
      </c>
      <c r="C3771" s="19" t="s">
        <v>6090</v>
      </c>
    </row>
    <row r="3772">
      <c r="B3772" s="19">
        <v>3764.0</v>
      </c>
      <c r="C3772" s="19" t="s">
        <v>6090</v>
      </c>
    </row>
    <row r="3773">
      <c r="B3773" s="19">
        <v>3765.0</v>
      </c>
      <c r="C3773" s="19" t="s">
        <v>6090</v>
      </c>
    </row>
    <row r="3774">
      <c r="B3774" s="19">
        <v>3766.0</v>
      </c>
      <c r="C3774" s="19" t="s">
        <v>6090</v>
      </c>
    </row>
    <row r="3775">
      <c r="B3775" s="19">
        <v>3767.0</v>
      </c>
      <c r="C3775" s="19" t="s">
        <v>6090</v>
      </c>
    </row>
    <row r="3776">
      <c r="B3776" s="19">
        <v>3768.0</v>
      </c>
      <c r="C3776" s="19" t="s">
        <v>6090</v>
      </c>
    </row>
    <row r="3777">
      <c r="B3777" s="19">
        <v>3769.0</v>
      </c>
      <c r="C3777" s="19" t="s">
        <v>6090</v>
      </c>
    </row>
    <row r="3778">
      <c r="B3778" s="19">
        <v>3770.0</v>
      </c>
      <c r="C3778" s="19" t="s">
        <v>6090</v>
      </c>
    </row>
    <row r="3779">
      <c r="B3779" s="19">
        <v>3771.0</v>
      </c>
      <c r="C3779" s="19" t="s">
        <v>6090</v>
      </c>
    </row>
    <row r="3780">
      <c r="B3780" s="19">
        <v>3772.0</v>
      </c>
      <c r="C3780" s="19" t="s">
        <v>6090</v>
      </c>
    </row>
    <row r="3781">
      <c r="B3781" s="19">
        <v>3773.0</v>
      </c>
      <c r="C3781" s="19" t="s">
        <v>6090</v>
      </c>
    </row>
    <row r="3782">
      <c r="B3782" s="19">
        <v>3774.0</v>
      </c>
      <c r="C3782" s="19" t="s">
        <v>6090</v>
      </c>
    </row>
    <row r="3783">
      <c r="B3783" s="19">
        <v>3775.0</v>
      </c>
      <c r="C3783" s="19" t="s">
        <v>6090</v>
      </c>
    </row>
    <row r="3784">
      <c r="B3784" s="19">
        <v>3776.0</v>
      </c>
      <c r="C3784" s="19" t="s">
        <v>6090</v>
      </c>
    </row>
    <row r="3785">
      <c r="B3785" s="19">
        <v>3777.0</v>
      </c>
      <c r="C3785" s="19" t="s">
        <v>6090</v>
      </c>
    </row>
    <row r="3786">
      <c r="B3786" s="19">
        <v>3778.0</v>
      </c>
      <c r="C3786" s="19" t="s">
        <v>6090</v>
      </c>
    </row>
    <row r="3787">
      <c r="B3787" s="19">
        <v>3779.0</v>
      </c>
      <c r="C3787" s="19" t="s">
        <v>6090</v>
      </c>
    </row>
    <row r="3788">
      <c r="B3788" s="19">
        <v>3780.0</v>
      </c>
      <c r="C3788" s="19" t="s">
        <v>6090</v>
      </c>
    </row>
    <row r="3789">
      <c r="B3789" s="19">
        <v>3781.0</v>
      </c>
      <c r="C3789" s="19" t="s">
        <v>6090</v>
      </c>
    </row>
    <row r="3790">
      <c r="B3790" s="19">
        <v>3782.0</v>
      </c>
      <c r="C3790" s="19" t="s">
        <v>6090</v>
      </c>
    </row>
    <row r="3791">
      <c r="B3791" s="19">
        <v>3783.0</v>
      </c>
      <c r="C3791" s="19" t="s">
        <v>6090</v>
      </c>
    </row>
    <row r="3792">
      <c r="B3792" s="19">
        <v>3784.0</v>
      </c>
      <c r="C3792" s="19" t="s">
        <v>6090</v>
      </c>
    </row>
    <row r="3793">
      <c r="B3793" s="19">
        <v>3785.0</v>
      </c>
      <c r="C3793" s="19" t="s">
        <v>6090</v>
      </c>
    </row>
    <row r="3794">
      <c r="B3794" s="19">
        <v>3786.0</v>
      </c>
      <c r="C3794" s="19" t="s">
        <v>6090</v>
      </c>
    </row>
    <row r="3795">
      <c r="B3795" s="19">
        <v>3787.0</v>
      </c>
      <c r="C3795" s="19" t="s">
        <v>6090</v>
      </c>
    </row>
    <row r="3796">
      <c r="B3796" s="19">
        <v>3788.0</v>
      </c>
      <c r="C3796" s="19" t="s">
        <v>6090</v>
      </c>
    </row>
    <row r="3797">
      <c r="B3797" s="19">
        <v>3789.0</v>
      </c>
      <c r="C3797" s="19" t="s">
        <v>6090</v>
      </c>
    </row>
    <row r="3798">
      <c r="B3798" s="19">
        <v>3790.0</v>
      </c>
      <c r="C3798" s="19" t="s">
        <v>6090</v>
      </c>
    </row>
    <row r="3799">
      <c r="B3799" s="19">
        <v>3791.0</v>
      </c>
      <c r="C3799" s="19" t="s">
        <v>6090</v>
      </c>
    </row>
    <row r="3800">
      <c r="B3800" s="19">
        <v>3792.0</v>
      </c>
      <c r="C3800" s="19" t="s">
        <v>6090</v>
      </c>
    </row>
    <row r="3801">
      <c r="B3801" s="19">
        <v>3793.0</v>
      </c>
      <c r="C3801" s="19" t="s">
        <v>6090</v>
      </c>
    </row>
    <row r="3802">
      <c r="B3802" s="19">
        <v>3794.0</v>
      </c>
      <c r="C3802" s="19" t="s">
        <v>6090</v>
      </c>
    </row>
    <row r="3803">
      <c r="B3803" s="19">
        <v>3795.0</v>
      </c>
      <c r="C3803" s="19" t="s">
        <v>6090</v>
      </c>
    </row>
    <row r="3804">
      <c r="B3804" s="19">
        <v>3796.0</v>
      </c>
      <c r="C3804" s="19" t="s">
        <v>6090</v>
      </c>
    </row>
    <row r="3805">
      <c r="B3805" s="19">
        <v>3797.0</v>
      </c>
      <c r="C3805" s="19" t="s">
        <v>6090</v>
      </c>
    </row>
    <row r="3806">
      <c r="B3806" s="19">
        <v>3798.0</v>
      </c>
      <c r="C3806" s="19" t="s">
        <v>6090</v>
      </c>
    </row>
    <row r="3807">
      <c r="B3807" s="19">
        <v>3799.0</v>
      </c>
      <c r="C3807" s="19" t="s">
        <v>6090</v>
      </c>
    </row>
    <row r="3808">
      <c r="B3808" s="19">
        <v>3800.0</v>
      </c>
      <c r="C3808" s="19" t="s">
        <v>6090</v>
      </c>
    </row>
    <row r="3809">
      <c r="B3809" s="19">
        <v>3801.0</v>
      </c>
      <c r="C3809" s="19" t="s">
        <v>6090</v>
      </c>
    </row>
    <row r="3810">
      <c r="B3810" s="19">
        <v>3802.0</v>
      </c>
      <c r="C3810" s="19" t="s">
        <v>6090</v>
      </c>
    </row>
    <row r="3811">
      <c r="B3811" s="19">
        <v>3803.0</v>
      </c>
      <c r="C3811" s="19" t="s">
        <v>6090</v>
      </c>
    </row>
    <row r="3812">
      <c r="B3812" s="19">
        <v>3804.0</v>
      </c>
      <c r="C3812" s="19" t="s">
        <v>6090</v>
      </c>
    </row>
    <row r="3813">
      <c r="B3813" s="19">
        <v>3805.0</v>
      </c>
      <c r="C3813" s="19" t="s">
        <v>6090</v>
      </c>
    </row>
    <row r="3814">
      <c r="B3814" s="19">
        <v>3806.0</v>
      </c>
      <c r="C3814" s="19" t="s">
        <v>6090</v>
      </c>
    </row>
    <row r="3815">
      <c r="B3815" s="19">
        <v>3807.0</v>
      </c>
      <c r="C3815" s="19" t="s">
        <v>6090</v>
      </c>
    </row>
    <row r="3816">
      <c r="B3816" s="19">
        <v>3808.0</v>
      </c>
      <c r="C3816" s="19" t="s">
        <v>6090</v>
      </c>
    </row>
    <row r="3817">
      <c r="B3817" s="19">
        <v>3809.0</v>
      </c>
      <c r="C3817" s="19" t="s">
        <v>6090</v>
      </c>
    </row>
    <row r="3818">
      <c r="B3818" s="19">
        <v>3810.0</v>
      </c>
      <c r="C3818" s="19" t="s">
        <v>6090</v>
      </c>
    </row>
    <row r="3819">
      <c r="B3819" s="19">
        <v>3811.0</v>
      </c>
      <c r="C3819" s="19" t="s">
        <v>6090</v>
      </c>
    </row>
    <row r="3820">
      <c r="B3820" s="19">
        <v>3812.0</v>
      </c>
      <c r="C3820" s="19" t="s">
        <v>6090</v>
      </c>
    </row>
    <row r="3821">
      <c r="B3821" s="19">
        <v>3813.0</v>
      </c>
      <c r="C3821" s="19" t="s">
        <v>6090</v>
      </c>
    </row>
    <row r="3822">
      <c r="B3822" s="19">
        <v>3814.0</v>
      </c>
      <c r="C3822" s="19" t="s">
        <v>6090</v>
      </c>
    </row>
    <row r="3823">
      <c r="B3823" s="19">
        <v>3815.0</v>
      </c>
      <c r="C3823" s="19" t="s">
        <v>6090</v>
      </c>
    </row>
    <row r="3824">
      <c r="B3824" s="19">
        <v>3816.0</v>
      </c>
      <c r="C3824" s="19" t="s">
        <v>6090</v>
      </c>
    </row>
    <row r="3825">
      <c r="B3825" s="19">
        <v>3817.0</v>
      </c>
      <c r="C3825" s="19" t="s">
        <v>6090</v>
      </c>
    </row>
    <row r="3826">
      <c r="B3826" s="19">
        <v>3818.0</v>
      </c>
      <c r="C3826" s="19" t="s">
        <v>6090</v>
      </c>
    </row>
    <row r="3827">
      <c r="B3827" s="19">
        <v>3819.0</v>
      </c>
      <c r="C3827" s="19" t="s">
        <v>6090</v>
      </c>
    </row>
    <row r="3828">
      <c r="B3828" s="19">
        <v>3820.0</v>
      </c>
      <c r="C3828" s="19" t="s">
        <v>6090</v>
      </c>
    </row>
    <row r="3829">
      <c r="B3829" s="19">
        <v>3821.0</v>
      </c>
      <c r="C3829" s="19" t="s">
        <v>6090</v>
      </c>
    </row>
    <row r="3830">
      <c r="B3830" s="19">
        <v>3822.0</v>
      </c>
      <c r="C3830" s="19" t="s">
        <v>6090</v>
      </c>
    </row>
    <row r="3831">
      <c r="B3831" s="19">
        <v>3823.0</v>
      </c>
      <c r="C3831" s="19" t="s">
        <v>6090</v>
      </c>
    </row>
    <row r="3832">
      <c r="B3832" s="19">
        <v>3824.0</v>
      </c>
      <c r="C3832" s="19" t="s">
        <v>6090</v>
      </c>
    </row>
    <row r="3833">
      <c r="B3833" s="19">
        <v>3825.0</v>
      </c>
      <c r="C3833" s="19" t="s">
        <v>6090</v>
      </c>
    </row>
    <row r="3834">
      <c r="B3834" s="19">
        <v>3826.0</v>
      </c>
      <c r="C3834" s="19" t="s">
        <v>6090</v>
      </c>
    </row>
    <row r="3835">
      <c r="B3835" s="19">
        <v>3827.0</v>
      </c>
      <c r="C3835" s="19" t="s">
        <v>6090</v>
      </c>
    </row>
    <row r="3836">
      <c r="B3836" s="19">
        <v>3828.0</v>
      </c>
      <c r="C3836" s="19" t="s">
        <v>6090</v>
      </c>
    </row>
    <row r="3837">
      <c r="B3837" s="19">
        <v>3829.0</v>
      </c>
      <c r="C3837" s="19" t="s">
        <v>6090</v>
      </c>
    </row>
    <row r="3838">
      <c r="B3838" s="19">
        <v>3830.0</v>
      </c>
      <c r="C3838" s="19" t="s">
        <v>6090</v>
      </c>
    </row>
    <row r="3839">
      <c r="B3839" s="19">
        <v>3831.0</v>
      </c>
      <c r="C3839" s="19" t="s">
        <v>6090</v>
      </c>
    </row>
    <row r="3840">
      <c r="B3840" s="19">
        <v>3832.0</v>
      </c>
      <c r="C3840" s="19" t="s">
        <v>6090</v>
      </c>
    </row>
    <row r="3841">
      <c r="B3841" s="19">
        <v>3833.0</v>
      </c>
      <c r="C3841" s="19" t="s">
        <v>6090</v>
      </c>
    </row>
    <row r="3842">
      <c r="B3842" s="19">
        <v>3834.0</v>
      </c>
      <c r="C3842" s="19" t="s">
        <v>6090</v>
      </c>
    </row>
    <row r="3843">
      <c r="B3843" s="19">
        <v>3835.0</v>
      </c>
      <c r="C3843" s="19" t="s">
        <v>6090</v>
      </c>
    </row>
    <row r="3844">
      <c r="B3844" s="19">
        <v>3836.0</v>
      </c>
      <c r="C3844" s="19" t="s">
        <v>6090</v>
      </c>
    </row>
    <row r="3845">
      <c r="B3845" s="19">
        <v>3837.0</v>
      </c>
      <c r="C3845" s="19" t="s">
        <v>6090</v>
      </c>
    </row>
    <row r="3846">
      <c r="B3846" s="19">
        <v>3838.0</v>
      </c>
      <c r="C3846" s="19" t="s">
        <v>6090</v>
      </c>
    </row>
    <row r="3847">
      <c r="B3847" s="19">
        <v>3839.0</v>
      </c>
      <c r="C3847" s="19" t="s">
        <v>6090</v>
      </c>
    </row>
    <row r="3848">
      <c r="B3848" s="19">
        <v>3840.0</v>
      </c>
      <c r="C3848" s="19" t="s">
        <v>6090</v>
      </c>
    </row>
    <row r="3849">
      <c r="B3849" s="19">
        <v>3841.0</v>
      </c>
      <c r="C3849" s="19" t="s">
        <v>6090</v>
      </c>
    </row>
    <row r="3850">
      <c r="B3850" s="19">
        <v>3842.0</v>
      </c>
      <c r="C3850" s="19" t="s">
        <v>6090</v>
      </c>
    </row>
    <row r="3851">
      <c r="B3851" s="19">
        <v>3843.0</v>
      </c>
      <c r="C3851" s="19" t="s">
        <v>6090</v>
      </c>
    </row>
    <row r="3852">
      <c r="B3852" s="19">
        <v>3844.0</v>
      </c>
      <c r="C3852" s="19" t="s">
        <v>6090</v>
      </c>
    </row>
    <row r="3853">
      <c r="B3853" s="19">
        <v>3845.0</v>
      </c>
      <c r="C3853" s="19" t="s">
        <v>6090</v>
      </c>
    </row>
    <row r="3854">
      <c r="B3854" s="19">
        <v>3846.0</v>
      </c>
      <c r="C3854" s="19" t="s">
        <v>6090</v>
      </c>
    </row>
    <row r="3855">
      <c r="B3855" s="19">
        <v>3847.0</v>
      </c>
      <c r="C3855" s="19" t="s">
        <v>6090</v>
      </c>
    </row>
    <row r="3856">
      <c r="B3856" s="19">
        <v>3848.0</v>
      </c>
      <c r="C3856" s="19" t="s">
        <v>6090</v>
      </c>
    </row>
    <row r="3857">
      <c r="B3857" s="19">
        <v>3849.0</v>
      </c>
      <c r="C3857" s="19" t="s">
        <v>6090</v>
      </c>
    </row>
    <row r="3858">
      <c r="B3858" s="19">
        <v>3850.0</v>
      </c>
      <c r="C3858" s="19" t="s">
        <v>6090</v>
      </c>
    </row>
    <row r="3859">
      <c r="B3859" s="19">
        <v>3851.0</v>
      </c>
      <c r="C3859" s="19" t="s">
        <v>6090</v>
      </c>
    </row>
    <row r="3860">
      <c r="B3860" s="19">
        <v>3852.0</v>
      </c>
      <c r="C3860" s="19" t="s">
        <v>6090</v>
      </c>
    </row>
    <row r="3861">
      <c r="B3861" s="19">
        <v>3853.0</v>
      </c>
      <c r="C3861" s="19" t="s">
        <v>6090</v>
      </c>
    </row>
    <row r="3862">
      <c r="B3862" s="19">
        <v>3854.0</v>
      </c>
      <c r="C3862" s="19" t="s">
        <v>6090</v>
      </c>
    </row>
    <row r="3863">
      <c r="B3863" s="19">
        <v>3855.0</v>
      </c>
      <c r="C3863" s="19" t="s">
        <v>6090</v>
      </c>
    </row>
    <row r="3864">
      <c r="B3864" s="19">
        <v>3856.0</v>
      </c>
      <c r="C3864" s="19" t="s">
        <v>6090</v>
      </c>
    </row>
    <row r="3865">
      <c r="B3865" s="19">
        <v>3857.0</v>
      </c>
      <c r="C3865" s="19" t="s">
        <v>6090</v>
      </c>
    </row>
    <row r="3866">
      <c r="B3866" s="19">
        <v>3858.0</v>
      </c>
      <c r="C3866" s="19" t="s">
        <v>6090</v>
      </c>
    </row>
    <row r="3867">
      <c r="B3867" s="19">
        <v>3859.0</v>
      </c>
      <c r="C3867" s="19" t="s">
        <v>6090</v>
      </c>
    </row>
    <row r="3868">
      <c r="B3868" s="19">
        <v>3860.0</v>
      </c>
      <c r="C3868" s="19" t="s">
        <v>6090</v>
      </c>
    </row>
    <row r="3869">
      <c r="B3869" s="19">
        <v>3861.0</v>
      </c>
      <c r="C3869" s="19" t="s">
        <v>6090</v>
      </c>
    </row>
    <row r="3870">
      <c r="B3870" s="19">
        <v>3862.0</v>
      </c>
      <c r="C3870" s="19" t="s">
        <v>6090</v>
      </c>
    </row>
    <row r="3871">
      <c r="B3871" s="19">
        <v>3863.0</v>
      </c>
      <c r="C3871" s="19" t="s">
        <v>6090</v>
      </c>
    </row>
    <row r="3872">
      <c r="B3872" s="19">
        <v>3864.0</v>
      </c>
      <c r="C3872" s="19" t="s">
        <v>6090</v>
      </c>
    </row>
    <row r="3873">
      <c r="B3873" s="19">
        <v>3865.0</v>
      </c>
      <c r="C3873" s="19" t="s">
        <v>6090</v>
      </c>
    </row>
    <row r="3874">
      <c r="B3874" s="19">
        <v>3866.0</v>
      </c>
      <c r="C3874" s="19" t="s">
        <v>6090</v>
      </c>
    </row>
    <row r="3875">
      <c r="B3875" s="19">
        <v>3867.0</v>
      </c>
      <c r="C3875" s="19" t="s">
        <v>6090</v>
      </c>
    </row>
    <row r="3876">
      <c r="B3876" s="19">
        <v>3868.0</v>
      </c>
      <c r="C3876" s="19" t="s">
        <v>6090</v>
      </c>
    </row>
    <row r="3877">
      <c r="B3877" s="19">
        <v>3869.0</v>
      </c>
      <c r="C3877" s="19" t="s">
        <v>6090</v>
      </c>
    </row>
    <row r="3878">
      <c r="B3878" s="19">
        <v>3870.0</v>
      </c>
      <c r="C3878" s="19" t="s">
        <v>6090</v>
      </c>
    </row>
    <row r="3879">
      <c r="B3879" s="19">
        <v>3871.0</v>
      </c>
      <c r="C3879" s="19" t="s">
        <v>6090</v>
      </c>
    </row>
    <row r="3880">
      <c r="B3880" s="19">
        <v>3872.0</v>
      </c>
      <c r="C3880" s="19" t="s">
        <v>6090</v>
      </c>
    </row>
    <row r="3881">
      <c r="B3881" s="19">
        <v>3873.0</v>
      </c>
      <c r="C3881" s="19" t="s">
        <v>6090</v>
      </c>
    </row>
    <row r="3882">
      <c r="B3882" s="19">
        <v>3874.0</v>
      </c>
      <c r="C3882" s="19" t="s">
        <v>6090</v>
      </c>
    </row>
    <row r="3883">
      <c r="B3883" s="19">
        <v>3875.0</v>
      </c>
      <c r="C3883" s="19" t="s">
        <v>6090</v>
      </c>
    </row>
    <row r="3884">
      <c r="B3884" s="19">
        <v>3876.0</v>
      </c>
      <c r="C3884" s="19" t="s">
        <v>6090</v>
      </c>
    </row>
    <row r="3885">
      <c r="B3885" s="19">
        <v>3877.0</v>
      </c>
      <c r="C3885" s="19" t="s">
        <v>6090</v>
      </c>
    </row>
    <row r="3886">
      <c r="B3886" s="19">
        <v>3878.0</v>
      </c>
      <c r="C3886" s="19" t="s">
        <v>6090</v>
      </c>
    </row>
    <row r="3887">
      <c r="B3887" s="19">
        <v>3879.0</v>
      </c>
      <c r="C3887" s="19" t="s">
        <v>6090</v>
      </c>
    </row>
    <row r="3888">
      <c r="B3888" s="19">
        <v>3880.0</v>
      </c>
      <c r="C3888" s="19" t="s">
        <v>6090</v>
      </c>
    </row>
    <row r="3889">
      <c r="B3889" s="19">
        <v>3881.0</v>
      </c>
      <c r="C3889" s="19" t="s">
        <v>6090</v>
      </c>
    </row>
    <row r="3890">
      <c r="B3890" s="19">
        <v>3882.0</v>
      </c>
      <c r="C3890" s="19" t="s">
        <v>6090</v>
      </c>
    </row>
    <row r="3891">
      <c r="B3891" s="19">
        <v>3883.0</v>
      </c>
      <c r="C3891" s="19" t="s">
        <v>6090</v>
      </c>
    </row>
    <row r="3892">
      <c r="B3892" s="19">
        <v>3884.0</v>
      </c>
      <c r="C3892" s="19" t="s">
        <v>6090</v>
      </c>
    </row>
    <row r="3893">
      <c r="B3893" s="19">
        <v>3885.0</v>
      </c>
      <c r="C3893" s="19" t="s">
        <v>6090</v>
      </c>
    </row>
    <row r="3894">
      <c r="B3894" s="19">
        <v>3886.0</v>
      </c>
      <c r="C3894" s="19" t="s">
        <v>6090</v>
      </c>
    </row>
    <row r="3895">
      <c r="B3895" s="19">
        <v>3887.0</v>
      </c>
      <c r="C3895" s="19" t="s">
        <v>6090</v>
      </c>
    </row>
    <row r="3896">
      <c r="B3896" s="19">
        <v>3888.0</v>
      </c>
      <c r="C3896" s="19" t="s">
        <v>6090</v>
      </c>
    </row>
    <row r="3897">
      <c r="B3897" s="19">
        <v>3889.0</v>
      </c>
      <c r="C3897" s="19" t="s">
        <v>6090</v>
      </c>
    </row>
    <row r="3898">
      <c r="B3898" s="19">
        <v>3890.0</v>
      </c>
      <c r="C3898" s="19" t="s">
        <v>6090</v>
      </c>
    </row>
    <row r="3899">
      <c r="B3899" s="19">
        <v>3891.0</v>
      </c>
      <c r="C3899" s="19" t="s">
        <v>6090</v>
      </c>
    </row>
    <row r="3900">
      <c r="B3900" s="19">
        <v>3892.0</v>
      </c>
      <c r="C3900" s="19" t="s">
        <v>6090</v>
      </c>
    </row>
    <row r="3901">
      <c r="B3901" s="19">
        <v>3893.0</v>
      </c>
      <c r="C3901" s="19" t="s">
        <v>6090</v>
      </c>
    </row>
    <row r="3902">
      <c r="B3902" s="19">
        <v>3894.0</v>
      </c>
      <c r="C3902" s="19" t="s">
        <v>6090</v>
      </c>
    </row>
    <row r="3903">
      <c r="B3903" s="19">
        <v>3895.0</v>
      </c>
      <c r="C3903" s="19" t="s">
        <v>6090</v>
      </c>
    </row>
    <row r="3904">
      <c r="B3904" s="19">
        <v>3896.0</v>
      </c>
      <c r="C3904" s="19" t="s">
        <v>6090</v>
      </c>
    </row>
    <row r="3905">
      <c r="B3905" s="19">
        <v>3897.0</v>
      </c>
      <c r="C3905" s="19" t="s">
        <v>6090</v>
      </c>
    </row>
    <row r="3906">
      <c r="B3906" s="19">
        <v>3898.0</v>
      </c>
      <c r="C3906" s="19" t="s">
        <v>6090</v>
      </c>
    </row>
    <row r="3907">
      <c r="B3907" s="19">
        <v>3899.0</v>
      </c>
      <c r="C3907" s="19" t="s">
        <v>6090</v>
      </c>
    </row>
    <row r="3908">
      <c r="B3908" s="19">
        <v>3900.0</v>
      </c>
      <c r="C3908" s="19" t="s">
        <v>6090</v>
      </c>
    </row>
    <row r="3909">
      <c r="B3909" s="19">
        <v>3901.0</v>
      </c>
      <c r="C3909" s="19" t="s">
        <v>6090</v>
      </c>
    </row>
    <row r="3910">
      <c r="B3910" s="19">
        <v>3902.0</v>
      </c>
      <c r="C3910" s="19" t="s">
        <v>6090</v>
      </c>
    </row>
    <row r="3911">
      <c r="B3911" s="19">
        <v>3903.0</v>
      </c>
      <c r="C3911" s="19" t="s">
        <v>6090</v>
      </c>
    </row>
    <row r="3912">
      <c r="B3912" s="19">
        <v>3904.0</v>
      </c>
      <c r="C3912" s="19" t="s">
        <v>6090</v>
      </c>
    </row>
    <row r="3913">
      <c r="B3913" s="19">
        <v>3905.0</v>
      </c>
      <c r="C3913" s="19" t="s">
        <v>6090</v>
      </c>
    </row>
    <row r="3914">
      <c r="B3914" s="19">
        <v>3906.0</v>
      </c>
      <c r="C3914" s="19" t="s">
        <v>6090</v>
      </c>
    </row>
    <row r="3915">
      <c r="B3915" s="19">
        <v>3907.0</v>
      </c>
      <c r="C3915" s="19" t="s">
        <v>6090</v>
      </c>
    </row>
    <row r="3916">
      <c r="B3916" s="19">
        <v>3908.0</v>
      </c>
      <c r="C3916" s="19" t="s">
        <v>6090</v>
      </c>
    </row>
    <row r="3917">
      <c r="B3917" s="19">
        <v>3909.0</v>
      </c>
      <c r="C3917" s="19" t="s">
        <v>6090</v>
      </c>
    </row>
    <row r="3918">
      <c r="B3918" s="19">
        <v>3910.0</v>
      </c>
      <c r="C3918" s="19" t="s">
        <v>6090</v>
      </c>
    </row>
    <row r="3919">
      <c r="B3919" s="19">
        <v>3911.0</v>
      </c>
      <c r="C3919" s="19" t="s">
        <v>6090</v>
      </c>
    </row>
    <row r="3920">
      <c r="B3920" s="19">
        <v>3912.0</v>
      </c>
      <c r="C3920" s="19" t="s">
        <v>6090</v>
      </c>
    </row>
    <row r="3921">
      <c r="B3921" s="19">
        <v>3913.0</v>
      </c>
      <c r="C3921" s="19" t="s">
        <v>6090</v>
      </c>
    </row>
    <row r="3922">
      <c r="B3922" s="19">
        <v>3914.0</v>
      </c>
      <c r="C3922" s="19" t="s">
        <v>6090</v>
      </c>
    </row>
    <row r="3923">
      <c r="B3923" s="19">
        <v>3915.0</v>
      </c>
      <c r="C3923" s="19" t="s">
        <v>6090</v>
      </c>
    </row>
    <row r="3924">
      <c r="B3924" s="19">
        <v>3916.0</v>
      </c>
      <c r="C3924" s="19" t="s">
        <v>6090</v>
      </c>
    </row>
    <row r="3925">
      <c r="B3925" s="19">
        <v>3917.0</v>
      </c>
      <c r="C3925" s="19" t="s">
        <v>6090</v>
      </c>
    </row>
    <row r="3926">
      <c r="B3926" s="19">
        <v>3918.0</v>
      </c>
      <c r="C3926" s="19" t="s">
        <v>6090</v>
      </c>
    </row>
    <row r="3927">
      <c r="B3927" s="19">
        <v>3919.0</v>
      </c>
      <c r="C3927" s="19" t="s">
        <v>6090</v>
      </c>
    </row>
    <row r="3928">
      <c r="B3928" s="19">
        <v>3920.0</v>
      </c>
      <c r="C3928" s="19" t="s">
        <v>6090</v>
      </c>
    </row>
    <row r="3929">
      <c r="B3929" s="19">
        <v>3921.0</v>
      </c>
      <c r="C3929" s="19" t="s">
        <v>6090</v>
      </c>
    </row>
    <row r="3930">
      <c r="B3930" s="19">
        <v>3922.0</v>
      </c>
      <c r="C3930" s="19" t="s">
        <v>6090</v>
      </c>
    </row>
    <row r="3931">
      <c r="B3931" s="19">
        <v>3923.0</v>
      </c>
      <c r="C3931" s="19" t="s">
        <v>6090</v>
      </c>
    </row>
    <row r="3932">
      <c r="B3932" s="19">
        <v>3924.0</v>
      </c>
      <c r="C3932" s="19" t="s">
        <v>6090</v>
      </c>
    </row>
    <row r="3933">
      <c r="B3933" s="19">
        <v>3925.0</v>
      </c>
      <c r="C3933" s="19" t="s">
        <v>6090</v>
      </c>
    </row>
    <row r="3934">
      <c r="B3934" s="19">
        <v>3926.0</v>
      </c>
      <c r="C3934" s="19" t="s">
        <v>6090</v>
      </c>
    </row>
    <row r="3935">
      <c r="B3935" s="19">
        <v>3927.0</v>
      </c>
      <c r="C3935" s="19" t="s">
        <v>6090</v>
      </c>
    </row>
    <row r="3936">
      <c r="B3936" s="19">
        <v>3928.0</v>
      </c>
      <c r="C3936" s="19" t="s">
        <v>6090</v>
      </c>
    </row>
    <row r="3937">
      <c r="B3937" s="19">
        <v>3929.0</v>
      </c>
      <c r="C3937" s="19" t="s">
        <v>6090</v>
      </c>
    </row>
    <row r="3938">
      <c r="B3938" s="19">
        <v>3930.0</v>
      </c>
      <c r="C3938" s="19" t="s">
        <v>6090</v>
      </c>
    </row>
    <row r="3939">
      <c r="B3939" s="19">
        <v>3931.0</v>
      </c>
      <c r="C3939" s="19" t="s">
        <v>6090</v>
      </c>
    </row>
    <row r="3940">
      <c r="B3940" s="19">
        <v>3932.0</v>
      </c>
      <c r="C3940" s="19" t="s">
        <v>6090</v>
      </c>
    </row>
    <row r="3941">
      <c r="B3941" s="19">
        <v>3933.0</v>
      </c>
      <c r="C3941" s="19" t="s">
        <v>6090</v>
      </c>
    </row>
    <row r="3942">
      <c r="B3942" s="19">
        <v>3934.0</v>
      </c>
      <c r="C3942" s="19" t="s">
        <v>6090</v>
      </c>
    </row>
    <row r="3943">
      <c r="B3943" s="19">
        <v>3935.0</v>
      </c>
      <c r="C3943" s="19" t="s">
        <v>6090</v>
      </c>
    </row>
    <row r="3944">
      <c r="B3944" s="19">
        <v>3936.0</v>
      </c>
      <c r="C3944" s="19" t="s">
        <v>6090</v>
      </c>
    </row>
    <row r="3945">
      <c r="B3945" s="19">
        <v>3937.0</v>
      </c>
      <c r="C3945" s="19" t="s">
        <v>6090</v>
      </c>
    </row>
    <row r="3946">
      <c r="B3946" s="19">
        <v>3938.0</v>
      </c>
      <c r="C3946" s="19" t="s">
        <v>6090</v>
      </c>
    </row>
    <row r="3947">
      <c r="B3947" s="19">
        <v>3939.0</v>
      </c>
      <c r="C3947" s="19" t="s">
        <v>6090</v>
      </c>
    </row>
    <row r="3948">
      <c r="B3948" s="19">
        <v>3940.0</v>
      </c>
      <c r="C3948" s="19" t="s">
        <v>6090</v>
      </c>
    </row>
    <row r="3949">
      <c r="B3949" s="19">
        <v>3941.0</v>
      </c>
      <c r="C3949" s="19" t="s">
        <v>6090</v>
      </c>
    </row>
    <row r="3950">
      <c r="B3950" s="19">
        <v>3942.0</v>
      </c>
      <c r="C3950" s="19" t="s">
        <v>6090</v>
      </c>
    </row>
    <row r="3951">
      <c r="B3951" s="19">
        <v>3943.0</v>
      </c>
      <c r="C3951" s="19" t="s">
        <v>6090</v>
      </c>
    </row>
    <row r="3952">
      <c r="B3952" s="19">
        <v>3944.0</v>
      </c>
      <c r="C3952" s="19" t="s">
        <v>6090</v>
      </c>
    </row>
    <row r="3953">
      <c r="B3953" s="19">
        <v>3945.0</v>
      </c>
      <c r="C3953" s="19" t="s">
        <v>6090</v>
      </c>
    </row>
    <row r="3954">
      <c r="B3954" s="19">
        <v>3946.0</v>
      </c>
      <c r="C3954" s="19" t="s">
        <v>6090</v>
      </c>
    </row>
    <row r="3955">
      <c r="B3955" s="19">
        <v>3947.0</v>
      </c>
      <c r="C3955" s="19" t="s">
        <v>6090</v>
      </c>
    </row>
    <row r="3956">
      <c r="B3956" s="19">
        <v>3948.0</v>
      </c>
      <c r="C3956" s="19" t="s">
        <v>6090</v>
      </c>
    </row>
    <row r="3957">
      <c r="B3957" s="19">
        <v>3949.0</v>
      </c>
      <c r="C3957" s="19" t="s">
        <v>6090</v>
      </c>
    </row>
    <row r="3958">
      <c r="B3958" s="19">
        <v>3950.0</v>
      </c>
      <c r="C3958" s="19" t="s">
        <v>6090</v>
      </c>
    </row>
    <row r="3959">
      <c r="B3959" s="19">
        <v>3951.0</v>
      </c>
      <c r="C3959" s="19" t="s">
        <v>6090</v>
      </c>
    </row>
    <row r="3960">
      <c r="B3960" s="19">
        <v>3952.0</v>
      </c>
      <c r="C3960" s="19" t="s">
        <v>6090</v>
      </c>
    </row>
    <row r="3961">
      <c r="B3961" s="19">
        <v>3953.0</v>
      </c>
      <c r="C3961" s="19" t="s">
        <v>6090</v>
      </c>
    </row>
    <row r="3962">
      <c r="B3962" s="19">
        <v>3954.0</v>
      </c>
      <c r="C3962" s="19" t="s">
        <v>6090</v>
      </c>
    </row>
    <row r="3963">
      <c r="B3963" s="19">
        <v>3955.0</v>
      </c>
      <c r="C3963" s="19" t="s">
        <v>6090</v>
      </c>
    </row>
    <row r="3964">
      <c r="B3964" s="19">
        <v>3956.0</v>
      </c>
      <c r="C3964" s="19" t="s">
        <v>6090</v>
      </c>
    </row>
    <row r="3965">
      <c r="B3965" s="19">
        <v>3957.0</v>
      </c>
      <c r="C3965" s="19" t="s">
        <v>6090</v>
      </c>
    </row>
    <row r="3966">
      <c r="B3966" s="19">
        <v>3958.0</v>
      </c>
      <c r="C3966" s="19" t="s">
        <v>6090</v>
      </c>
    </row>
    <row r="3967">
      <c r="B3967" s="19">
        <v>3959.0</v>
      </c>
      <c r="C3967" s="19" t="s">
        <v>6090</v>
      </c>
    </row>
    <row r="3968">
      <c r="B3968" s="19">
        <v>3960.0</v>
      </c>
      <c r="C3968" s="19" t="s">
        <v>6090</v>
      </c>
    </row>
    <row r="3969">
      <c r="B3969" s="19">
        <v>3961.0</v>
      </c>
      <c r="C3969" s="19" t="s">
        <v>6090</v>
      </c>
    </row>
    <row r="3970">
      <c r="B3970" s="19">
        <v>3962.0</v>
      </c>
      <c r="C3970" s="19" t="s">
        <v>6090</v>
      </c>
    </row>
    <row r="3971">
      <c r="B3971" s="19">
        <v>3963.0</v>
      </c>
      <c r="C3971" s="19" t="s">
        <v>6090</v>
      </c>
    </row>
    <row r="3972">
      <c r="B3972" s="19">
        <v>3964.0</v>
      </c>
      <c r="C3972" s="19" t="s">
        <v>6090</v>
      </c>
    </row>
    <row r="3973">
      <c r="B3973" s="19">
        <v>3965.0</v>
      </c>
      <c r="C3973" s="19" t="s">
        <v>6090</v>
      </c>
    </row>
    <row r="3974">
      <c r="B3974" s="19">
        <v>3966.0</v>
      </c>
      <c r="C3974" s="19" t="s">
        <v>6090</v>
      </c>
    </row>
    <row r="3975">
      <c r="B3975" s="19">
        <v>3967.0</v>
      </c>
      <c r="C3975" s="19" t="s">
        <v>6090</v>
      </c>
    </row>
    <row r="3976">
      <c r="B3976" s="19">
        <v>3968.0</v>
      </c>
      <c r="C3976" s="19" t="s">
        <v>6090</v>
      </c>
    </row>
    <row r="3977">
      <c r="B3977" s="19">
        <v>3969.0</v>
      </c>
      <c r="C3977" s="19" t="s">
        <v>6090</v>
      </c>
    </row>
    <row r="3978">
      <c r="B3978" s="19">
        <v>3970.0</v>
      </c>
      <c r="C3978" s="19" t="s">
        <v>6090</v>
      </c>
    </row>
    <row r="3979">
      <c r="B3979" s="19">
        <v>3971.0</v>
      </c>
      <c r="C3979" s="19" t="s">
        <v>6090</v>
      </c>
    </row>
    <row r="3980">
      <c r="B3980" s="19">
        <v>3972.0</v>
      </c>
      <c r="C3980" s="19" t="s">
        <v>6090</v>
      </c>
    </row>
    <row r="3981">
      <c r="B3981" s="19">
        <v>3973.0</v>
      </c>
      <c r="C3981" s="19" t="s">
        <v>6090</v>
      </c>
    </row>
    <row r="3982">
      <c r="B3982" s="19">
        <v>3974.0</v>
      </c>
      <c r="C3982" s="19" t="s">
        <v>6090</v>
      </c>
    </row>
    <row r="3983">
      <c r="B3983" s="19">
        <v>3975.0</v>
      </c>
      <c r="C3983" s="19" t="s">
        <v>6090</v>
      </c>
    </row>
    <row r="3984">
      <c r="B3984" s="19">
        <v>3976.0</v>
      </c>
      <c r="C3984" s="19" t="s">
        <v>6090</v>
      </c>
    </row>
    <row r="3985">
      <c r="B3985" s="19">
        <v>3977.0</v>
      </c>
      <c r="C3985" s="19" t="s">
        <v>6090</v>
      </c>
    </row>
    <row r="3986">
      <c r="B3986" s="19">
        <v>3978.0</v>
      </c>
      <c r="C3986" s="19" t="s">
        <v>6090</v>
      </c>
    </row>
    <row r="3987">
      <c r="B3987" s="19">
        <v>3979.0</v>
      </c>
      <c r="C3987" s="19" t="s">
        <v>6090</v>
      </c>
    </row>
    <row r="3988">
      <c r="B3988" s="19">
        <v>3980.0</v>
      </c>
      <c r="C3988" s="19" t="s">
        <v>6090</v>
      </c>
    </row>
    <row r="3989">
      <c r="B3989" s="19">
        <v>3981.0</v>
      </c>
      <c r="C3989" s="19" t="s">
        <v>6090</v>
      </c>
    </row>
    <row r="3990">
      <c r="B3990" s="19">
        <v>3982.0</v>
      </c>
      <c r="C3990" s="19" t="s">
        <v>6090</v>
      </c>
    </row>
    <row r="3991">
      <c r="B3991" s="19">
        <v>3983.0</v>
      </c>
      <c r="C3991" s="19" t="s">
        <v>6090</v>
      </c>
    </row>
    <row r="3992">
      <c r="B3992" s="19">
        <v>3984.0</v>
      </c>
      <c r="C3992" s="19" t="s">
        <v>6090</v>
      </c>
    </row>
    <row r="3993">
      <c r="B3993" s="19">
        <v>3985.0</v>
      </c>
      <c r="C3993" s="19" t="s">
        <v>6090</v>
      </c>
    </row>
    <row r="3994">
      <c r="B3994" s="19">
        <v>3986.0</v>
      </c>
      <c r="C3994" s="19" t="s">
        <v>6090</v>
      </c>
    </row>
    <row r="3995">
      <c r="B3995" s="19">
        <v>3987.0</v>
      </c>
      <c r="C3995" s="19" t="s">
        <v>6090</v>
      </c>
    </row>
    <row r="3996">
      <c r="B3996" s="19">
        <v>3988.0</v>
      </c>
      <c r="C3996" s="19" t="s">
        <v>6090</v>
      </c>
    </row>
    <row r="3997">
      <c r="B3997" s="19">
        <v>3989.0</v>
      </c>
      <c r="C3997" s="19" t="s">
        <v>6090</v>
      </c>
    </row>
    <row r="3998">
      <c r="B3998" s="19">
        <v>3990.0</v>
      </c>
      <c r="C3998" s="19" t="s">
        <v>6090</v>
      </c>
    </row>
    <row r="3999">
      <c r="B3999" s="19">
        <v>3991.0</v>
      </c>
      <c r="C3999" s="19" t="s">
        <v>6090</v>
      </c>
    </row>
    <row r="4000">
      <c r="B4000" s="19">
        <v>3992.0</v>
      </c>
      <c r="C4000" s="19" t="s">
        <v>6090</v>
      </c>
    </row>
    <row r="4001">
      <c r="B4001" s="19">
        <v>3993.0</v>
      </c>
      <c r="C4001" s="19" t="s">
        <v>6090</v>
      </c>
    </row>
    <row r="4002">
      <c r="B4002" s="19">
        <v>3994.0</v>
      </c>
      <c r="C4002" s="19" t="s">
        <v>6090</v>
      </c>
    </row>
    <row r="4003">
      <c r="B4003" s="19">
        <v>3995.0</v>
      </c>
      <c r="C4003" s="19" t="s">
        <v>6090</v>
      </c>
    </row>
    <row r="4004">
      <c r="B4004" s="19">
        <v>3996.0</v>
      </c>
      <c r="C4004" s="19" t="s">
        <v>6090</v>
      </c>
    </row>
    <row r="4005">
      <c r="B4005" s="19">
        <v>3997.0</v>
      </c>
      <c r="C4005" s="19" t="s">
        <v>6090</v>
      </c>
    </row>
    <row r="4006">
      <c r="B4006" s="19">
        <v>3998.0</v>
      </c>
      <c r="C4006" s="19" t="s">
        <v>6090</v>
      </c>
    </row>
    <row r="4007">
      <c r="B4007" s="19">
        <v>3999.0</v>
      </c>
      <c r="C4007" s="19" t="s">
        <v>6090</v>
      </c>
    </row>
    <row r="4008">
      <c r="B4008" s="19">
        <v>4000.0</v>
      </c>
      <c r="C4008" s="19" t="s">
        <v>6090</v>
      </c>
    </row>
    <row r="4009">
      <c r="B4009" s="19">
        <v>4001.0</v>
      </c>
      <c r="C4009" s="19" t="s">
        <v>6090</v>
      </c>
    </row>
    <row r="4010">
      <c r="B4010" s="19">
        <v>4002.0</v>
      </c>
      <c r="C4010" s="19" t="s">
        <v>6090</v>
      </c>
    </row>
    <row r="4011">
      <c r="B4011" s="19">
        <v>4003.0</v>
      </c>
      <c r="C4011" s="19" t="s">
        <v>6090</v>
      </c>
    </row>
    <row r="4012">
      <c r="B4012" s="19">
        <v>4004.0</v>
      </c>
      <c r="C4012" s="19" t="s">
        <v>6090</v>
      </c>
    </row>
    <row r="4013">
      <c r="B4013" s="19">
        <v>4005.0</v>
      </c>
      <c r="C4013" s="19" t="s">
        <v>6090</v>
      </c>
    </row>
    <row r="4014">
      <c r="B4014" s="19">
        <v>4006.0</v>
      </c>
      <c r="C4014" s="19" t="s">
        <v>6090</v>
      </c>
    </row>
    <row r="4015">
      <c r="B4015" s="19">
        <v>4007.0</v>
      </c>
      <c r="C4015" s="19" t="s">
        <v>6090</v>
      </c>
    </row>
    <row r="4016">
      <c r="B4016" s="19">
        <v>4008.0</v>
      </c>
      <c r="C4016" s="19" t="s">
        <v>6090</v>
      </c>
    </row>
    <row r="4017">
      <c r="B4017" s="19">
        <v>4009.0</v>
      </c>
      <c r="C4017" s="19" t="s">
        <v>6090</v>
      </c>
    </row>
    <row r="4018">
      <c r="B4018" s="19">
        <v>4010.0</v>
      </c>
      <c r="C4018" s="19" t="s">
        <v>6090</v>
      </c>
    </row>
    <row r="4019">
      <c r="B4019" s="19">
        <v>4011.0</v>
      </c>
      <c r="C4019" s="19" t="s">
        <v>6090</v>
      </c>
    </row>
    <row r="4020">
      <c r="B4020" s="19">
        <v>4012.0</v>
      </c>
      <c r="C4020" s="19" t="s">
        <v>6090</v>
      </c>
    </row>
    <row r="4021">
      <c r="B4021" s="19">
        <v>4013.0</v>
      </c>
      <c r="C4021" s="19" t="s">
        <v>6090</v>
      </c>
    </row>
    <row r="4022">
      <c r="B4022" s="19">
        <v>4014.0</v>
      </c>
      <c r="C4022" s="19" t="s">
        <v>6090</v>
      </c>
    </row>
    <row r="4023">
      <c r="B4023" s="19">
        <v>4015.0</v>
      </c>
      <c r="C4023" s="19" t="s">
        <v>6090</v>
      </c>
    </row>
    <row r="4024">
      <c r="B4024" s="19">
        <v>4016.0</v>
      </c>
      <c r="C4024" s="19" t="s">
        <v>6090</v>
      </c>
    </row>
    <row r="4025">
      <c r="B4025" s="19">
        <v>4017.0</v>
      </c>
      <c r="C4025" s="19" t="s">
        <v>6090</v>
      </c>
    </row>
    <row r="4026">
      <c r="B4026" s="19">
        <v>4018.0</v>
      </c>
      <c r="C4026" s="19" t="s">
        <v>6090</v>
      </c>
    </row>
    <row r="4027">
      <c r="B4027" s="19">
        <v>4019.0</v>
      </c>
      <c r="C4027" s="19" t="s">
        <v>6090</v>
      </c>
    </row>
    <row r="4028">
      <c r="B4028" s="19">
        <v>4020.0</v>
      </c>
      <c r="C4028" s="19" t="s">
        <v>6090</v>
      </c>
    </row>
    <row r="4029">
      <c r="B4029" s="19">
        <v>4021.0</v>
      </c>
      <c r="C4029" s="19" t="s">
        <v>6090</v>
      </c>
    </row>
    <row r="4030">
      <c r="B4030" s="19">
        <v>4022.0</v>
      </c>
      <c r="C4030" s="19" t="s">
        <v>6090</v>
      </c>
    </row>
    <row r="4031">
      <c r="B4031" s="19">
        <v>4023.0</v>
      </c>
      <c r="C4031" s="19" t="s">
        <v>6090</v>
      </c>
    </row>
    <row r="4032">
      <c r="B4032" s="19">
        <v>4024.0</v>
      </c>
      <c r="C4032" s="19" t="s">
        <v>6090</v>
      </c>
    </row>
    <row r="4033">
      <c r="B4033" s="19">
        <v>4025.0</v>
      </c>
      <c r="C4033" s="19" t="s">
        <v>6090</v>
      </c>
    </row>
    <row r="4034">
      <c r="B4034" s="19">
        <v>4026.0</v>
      </c>
      <c r="C4034" s="19" t="s">
        <v>6090</v>
      </c>
    </row>
    <row r="4035">
      <c r="B4035" s="19">
        <v>4027.0</v>
      </c>
      <c r="C4035" s="19" t="s">
        <v>6090</v>
      </c>
    </row>
    <row r="4036">
      <c r="B4036" s="19">
        <v>4028.0</v>
      </c>
      <c r="C4036" s="19" t="s">
        <v>6090</v>
      </c>
    </row>
    <row r="4037">
      <c r="B4037" s="19">
        <v>4029.0</v>
      </c>
      <c r="C4037" s="19" t="s">
        <v>6090</v>
      </c>
    </row>
    <row r="4038">
      <c r="B4038" s="19">
        <v>4030.0</v>
      </c>
      <c r="C4038" s="19" t="s">
        <v>6090</v>
      </c>
    </row>
    <row r="4039">
      <c r="B4039" s="19">
        <v>4031.0</v>
      </c>
      <c r="C4039" s="19" t="s">
        <v>6090</v>
      </c>
    </row>
    <row r="4040">
      <c r="B4040" s="19">
        <v>4032.0</v>
      </c>
      <c r="C4040" s="19" t="s">
        <v>6090</v>
      </c>
    </row>
    <row r="4041">
      <c r="B4041" s="19">
        <v>4033.0</v>
      </c>
      <c r="C4041" s="19" t="s">
        <v>6090</v>
      </c>
    </row>
    <row r="4042">
      <c r="B4042" s="19">
        <v>4034.0</v>
      </c>
      <c r="C4042" s="19" t="s">
        <v>6090</v>
      </c>
    </row>
    <row r="4043">
      <c r="B4043" s="19">
        <v>4035.0</v>
      </c>
      <c r="C4043" s="19" t="s">
        <v>6090</v>
      </c>
    </row>
    <row r="4044">
      <c r="B4044" s="19">
        <v>4036.0</v>
      </c>
      <c r="C4044" s="19" t="s">
        <v>6090</v>
      </c>
    </row>
    <row r="4045">
      <c r="B4045" s="19">
        <v>4037.0</v>
      </c>
      <c r="C4045" s="19" t="s">
        <v>6090</v>
      </c>
    </row>
    <row r="4046">
      <c r="B4046" s="19">
        <v>4038.0</v>
      </c>
      <c r="C4046" s="19" t="s">
        <v>6090</v>
      </c>
    </row>
    <row r="4047">
      <c r="B4047" s="19">
        <v>4039.0</v>
      </c>
      <c r="C4047" s="19" t="s">
        <v>6090</v>
      </c>
    </row>
    <row r="4048">
      <c r="B4048" s="19">
        <v>4040.0</v>
      </c>
      <c r="C4048" s="19" t="s">
        <v>6090</v>
      </c>
    </row>
    <row r="4049">
      <c r="B4049" s="19">
        <v>4041.0</v>
      </c>
      <c r="C4049" s="19" t="s">
        <v>6090</v>
      </c>
    </row>
    <row r="4050">
      <c r="B4050" s="19">
        <v>4042.0</v>
      </c>
      <c r="C4050" s="19" t="s">
        <v>6090</v>
      </c>
    </row>
    <row r="4051">
      <c r="B4051" s="19">
        <v>4043.0</v>
      </c>
      <c r="C4051" s="19" t="s">
        <v>6090</v>
      </c>
    </row>
    <row r="4052">
      <c r="B4052" s="19">
        <v>4044.0</v>
      </c>
      <c r="C4052" s="19" t="s">
        <v>6090</v>
      </c>
    </row>
    <row r="4053">
      <c r="B4053" s="19">
        <v>4045.0</v>
      </c>
      <c r="C4053" s="19" t="s">
        <v>6090</v>
      </c>
    </row>
    <row r="4054">
      <c r="B4054" s="19">
        <v>4046.0</v>
      </c>
      <c r="C4054" s="19" t="s">
        <v>6090</v>
      </c>
    </row>
    <row r="4055">
      <c r="B4055" s="19">
        <v>4047.0</v>
      </c>
      <c r="C4055" s="19" t="s">
        <v>6090</v>
      </c>
    </row>
    <row r="4056">
      <c r="B4056" s="19">
        <v>4048.0</v>
      </c>
      <c r="C4056" s="19" t="s">
        <v>6090</v>
      </c>
    </row>
    <row r="4057">
      <c r="B4057" s="19">
        <v>4049.0</v>
      </c>
      <c r="C4057" s="19" t="s">
        <v>6090</v>
      </c>
    </row>
    <row r="4058">
      <c r="B4058" s="19">
        <v>4050.0</v>
      </c>
      <c r="C4058" s="19" t="s">
        <v>6090</v>
      </c>
    </row>
    <row r="4059">
      <c r="B4059" s="19">
        <v>4051.0</v>
      </c>
      <c r="C4059" s="19" t="s">
        <v>6090</v>
      </c>
    </row>
    <row r="4060">
      <c r="B4060" s="19">
        <v>4052.0</v>
      </c>
      <c r="C4060" s="19" t="s">
        <v>6090</v>
      </c>
    </row>
    <row r="4061">
      <c r="B4061" s="19">
        <v>4053.0</v>
      </c>
      <c r="C4061" s="19" t="s">
        <v>6090</v>
      </c>
    </row>
    <row r="4062">
      <c r="B4062" s="19">
        <v>4054.0</v>
      </c>
      <c r="C4062" s="19" t="s">
        <v>6090</v>
      </c>
    </row>
    <row r="4063">
      <c r="B4063" s="19">
        <v>4055.0</v>
      </c>
      <c r="C4063" s="19" t="s">
        <v>6090</v>
      </c>
    </row>
    <row r="4064">
      <c r="B4064" s="19">
        <v>4056.0</v>
      </c>
      <c r="C4064" s="19" t="s">
        <v>6090</v>
      </c>
    </row>
    <row r="4065">
      <c r="B4065" s="19">
        <v>4057.0</v>
      </c>
      <c r="C4065" s="19" t="s">
        <v>6090</v>
      </c>
    </row>
    <row r="4066">
      <c r="B4066" s="19">
        <v>4058.0</v>
      </c>
      <c r="C4066" s="19" t="s">
        <v>6090</v>
      </c>
    </row>
    <row r="4067">
      <c r="B4067" s="19">
        <v>4059.0</v>
      </c>
      <c r="C4067" s="19" t="s">
        <v>6090</v>
      </c>
    </row>
    <row r="4068">
      <c r="B4068" s="19">
        <v>4060.0</v>
      </c>
      <c r="C4068" s="19" t="s">
        <v>6090</v>
      </c>
    </row>
    <row r="4069">
      <c r="B4069" s="19">
        <v>4061.0</v>
      </c>
      <c r="C4069" s="19" t="s">
        <v>6090</v>
      </c>
    </row>
    <row r="4070">
      <c r="B4070" s="19">
        <v>4062.0</v>
      </c>
      <c r="C4070" s="19" t="s">
        <v>6090</v>
      </c>
    </row>
    <row r="4071">
      <c r="B4071" s="19">
        <v>4063.0</v>
      </c>
      <c r="C4071" s="19" t="s">
        <v>6090</v>
      </c>
    </row>
    <row r="4072">
      <c r="B4072" s="19">
        <v>4064.0</v>
      </c>
      <c r="C4072" s="19" t="s">
        <v>6090</v>
      </c>
    </row>
    <row r="4073">
      <c r="B4073" s="19">
        <v>4065.0</v>
      </c>
      <c r="C4073" s="19" t="s">
        <v>6090</v>
      </c>
    </row>
    <row r="4074">
      <c r="B4074" s="19">
        <v>4066.0</v>
      </c>
      <c r="C4074" s="19" t="s">
        <v>6090</v>
      </c>
    </row>
    <row r="4075">
      <c r="B4075" s="19">
        <v>4067.0</v>
      </c>
      <c r="C4075" s="19" t="s">
        <v>6090</v>
      </c>
    </row>
    <row r="4076">
      <c r="B4076" s="19">
        <v>4068.0</v>
      </c>
      <c r="C4076" s="19" t="s">
        <v>6090</v>
      </c>
    </row>
    <row r="4077">
      <c r="B4077" s="19">
        <v>4069.0</v>
      </c>
      <c r="C4077" s="19" t="s">
        <v>6090</v>
      </c>
    </row>
    <row r="4078">
      <c r="B4078" s="19">
        <v>4070.0</v>
      </c>
      <c r="C4078" s="19" t="s">
        <v>6090</v>
      </c>
    </row>
    <row r="4079">
      <c r="B4079" s="19">
        <v>4071.0</v>
      </c>
      <c r="C4079" s="19" t="s">
        <v>6090</v>
      </c>
    </row>
    <row r="4080">
      <c r="B4080" s="19">
        <v>4072.0</v>
      </c>
      <c r="C4080" s="19" t="s">
        <v>6090</v>
      </c>
    </row>
    <row r="4081">
      <c r="B4081" s="19">
        <v>4073.0</v>
      </c>
      <c r="C4081" s="19" t="s">
        <v>6090</v>
      </c>
    </row>
    <row r="4082">
      <c r="B4082" s="19">
        <v>4074.0</v>
      </c>
      <c r="C4082" s="19" t="s">
        <v>6090</v>
      </c>
    </row>
    <row r="4083">
      <c r="B4083" s="19">
        <v>4075.0</v>
      </c>
      <c r="C4083" s="19" t="s">
        <v>6090</v>
      </c>
    </row>
    <row r="4084">
      <c r="B4084" s="19">
        <v>4076.0</v>
      </c>
      <c r="C4084" s="19" t="s">
        <v>6090</v>
      </c>
    </row>
    <row r="4085">
      <c r="B4085" s="19">
        <v>4077.0</v>
      </c>
      <c r="C4085" s="19" t="s">
        <v>6090</v>
      </c>
    </row>
    <row r="4086">
      <c r="B4086" s="19">
        <v>4078.0</v>
      </c>
      <c r="C4086" s="19" t="s">
        <v>6090</v>
      </c>
    </row>
    <row r="4087">
      <c r="B4087" s="19">
        <v>4079.0</v>
      </c>
      <c r="C4087" s="19" t="s">
        <v>6090</v>
      </c>
    </row>
    <row r="4088">
      <c r="B4088" s="19">
        <v>4080.0</v>
      </c>
      <c r="C4088" s="19" t="s">
        <v>6090</v>
      </c>
    </row>
    <row r="4089">
      <c r="B4089" s="19">
        <v>4081.0</v>
      </c>
      <c r="C4089" s="19" t="s">
        <v>6090</v>
      </c>
    </row>
    <row r="4090">
      <c r="B4090" s="19">
        <v>4082.0</v>
      </c>
      <c r="C4090" s="19" t="s">
        <v>6090</v>
      </c>
    </row>
    <row r="4091">
      <c r="B4091" s="19">
        <v>4083.0</v>
      </c>
      <c r="C4091" s="19" t="s">
        <v>6090</v>
      </c>
    </row>
    <row r="4092">
      <c r="B4092" s="19">
        <v>4084.0</v>
      </c>
      <c r="C4092" s="19" t="s">
        <v>6090</v>
      </c>
    </row>
    <row r="4093">
      <c r="B4093" s="19">
        <v>4085.0</v>
      </c>
      <c r="C4093" s="19" t="s">
        <v>6090</v>
      </c>
    </row>
    <row r="4094">
      <c r="B4094" s="19">
        <v>4086.0</v>
      </c>
      <c r="C4094" s="19" t="s">
        <v>6090</v>
      </c>
    </row>
    <row r="4095">
      <c r="B4095" s="19">
        <v>4087.0</v>
      </c>
      <c r="C4095" s="19" t="s">
        <v>6090</v>
      </c>
    </row>
    <row r="4096">
      <c r="B4096" s="19">
        <v>4088.0</v>
      </c>
      <c r="C4096" s="19" t="s">
        <v>6090</v>
      </c>
    </row>
    <row r="4097">
      <c r="B4097" s="19">
        <v>4089.0</v>
      </c>
      <c r="C4097" s="19" t="s">
        <v>6090</v>
      </c>
    </row>
    <row r="4098">
      <c r="B4098" s="19">
        <v>4090.0</v>
      </c>
      <c r="C4098" s="19" t="s">
        <v>6090</v>
      </c>
    </row>
    <row r="4099">
      <c r="B4099" s="19">
        <v>4091.0</v>
      </c>
      <c r="C4099" s="19" t="s">
        <v>6090</v>
      </c>
    </row>
    <row r="4100">
      <c r="B4100" s="19">
        <v>4092.0</v>
      </c>
      <c r="C4100" s="19" t="s">
        <v>6090</v>
      </c>
    </row>
    <row r="4101">
      <c r="B4101" s="19">
        <v>4093.0</v>
      </c>
      <c r="C4101" s="19" t="s">
        <v>6090</v>
      </c>
    </row>
    <row r="4102">
      <c r="B4102" s="19">
        <v>4094.0</v>
      </c>
      <c r="C4102" s="19" t="s">
        <v>6090</v>
      </c>
    </row>
    <row r="4103">
      <c r="B4103" s="19">
        <v>4095.0</v>
      </c>
      <c r="C4103" s="19" t="s">
        <v>6090</v>
      </c>
    </row>
    <row r="4104">
      <c r="B4104" s="19">
        <v>4096.0</v>
      </c>
      <c r="C4104" s="19" t="s">
        <v>6090</v>
      </c>
    </row>
    <row r="4105">
      <c r="B4105" s="19">
        <v>4097.0</v>
      </c>
      <c r="C4105" s="19" t="s">
        <v>6090</v>
      </c>
    </row>
    <row r="4106">
      <c r="B4106" s="19">
        <v>4098.0</v>
      </c>
      <c r="C4106" s="19" t="s">
        <v>6090</v>
      </c>
    </row>
    <row r="4107">
      <c r="B4107" s="19">
        <v>4099.0</v>
      </c>
      <c r="C4107" s="19" t="s">
        <v>6090</v>
      </c>
    </row>
    <row r="4108">
      <c r="B4108" s="19">
        <v>4100.0</v>
      </c>
      <c r="C4108" s="19" t="s">
        <v>6090</v>
      </c>
    </row>
    <row r="4109">
      <c r="B4109" s="19">
        <v>4101.0</v>
      </c>
      <c r="C4109" s="19" t="s">
        <v>6090</v>
      </c>
    </row>
    <row r="4110">
      <c r="B4110" s="19">
        <v>4102.0</v>
      </c>
      <c r="C4110" s="19" t="s">
        <v>6090</v>
      </c>
    </row>
    <row r="4111">
      <c r="B4111" s="19">
        <v>4103.0</v>
      </c>
      <c r="C4111" s="19" t="s">
        <v>6090</v>
      </c>
    </row>
    <row r="4112">
      <c r="B4112" s="19">
        <v>4104.0</v>
      </c>
      <c r="C4112" s="19" t="s">
        <v>6090</v>
      </c>
    </row>
    <row r="4113">
      <c r="B4113" s="19">
        <v>4105.0</v>
      </c>
      <c r="C4113" s="19" t="s">
        <v>6090</v>
      </c>
    </row>
    <row r="4114">
      <c r="B4114" s="19">
        <v>4106.0</v>
      </c>
      <c r="C4114" s="19" t="s">
        <v>6090</v>
      </c>
    </row>
    <row r="4115">
      <c r="B4115" s="19">
        <v>4107.0</v>
      </c>
      <c r="C4115" s="19" t="s">
        <v>6090</v>
      </c>
    </row>
    <row r="4116">
      <c r="B4116" s="19">
        <v>4108.0</v>
      </c>
      <c r="C4116" s="19" t="s">
        <v>6090</v>
      </c>
    </row>
    <row r="4117">
      <c r="B4117" s="19">
        <v>4109.0</v>
      </c>
      <c r="C4117" s="19" t="s">
        <v>6090</v>
      </c>
    </row>
    <row r="4118">
      <c r="B4118" s="19">
        <v>4110.0</v>
      </c>
      <c r="C4118" s="19" t="s">
        <v>6090</v>
      </c>
    </row>
    <row r="4119">
      <c r="B4119" s="19">
        <v>4111.0</v>
      </c>
      <c r="C4119" s="19" t="s">
        <v>6090</v>
      </c>
    </row>
    <row r="4120">
      <c r="B4120" s="19">
        <v>4112.0</v>
      </c>
      <c r="C4120" s="19" t="s">
        <v>6090</v>
      </c>
    </row>
    <row r="4121">
      <c r="B4121" s="19">
        <v>4113.0</v>
      </c>
      <c r="C4121" s="19" t="s">
        <v>6090</v>
      </c>
    </row>
    <row r="4122">
      <c r="B4122" s="19">
        <v>4114.0</v>
      </c>
      <c r="C4122" s="19" t="s">
        <v>6090</v>
      </c>
    </row>
    <row r="4123">
      <c r="B4123" s="19">
        <v>4115.0</v>
      </c>
      <c r="C4123" s="19" t="s">
        <v>6090</v>
      </c>
    </row>
    <row r="4124">
      <c r="B4124" s="19">
        <v>4116.0</v>
      </c>
      <c r="C4124" s="19" t="s">
        <v>6090</v>
      </c>
    </row>
    <row r="4125">
      <c r="B4125" s="19">
        <v>4117.0</v>
      </c>
      <c r="C4125" s="19" t="s">
        <v>6090</v>
      </c>
    </row>
    <row r="4126">
      <c r="B4126" s="19">
        <v>4118.0</v>
      </c>
      <c r="C4126" s="19" t="s">
        <v>6090</v>
      </c>
    </row>
    <row r="4127">
      <c r="B4127" s="19">
        <v>4119.0</v>
      </c>
      <c r="C4127" s="19" t="s">
        <v>6090</v>
      </c>
    </row>
    <row r="4128">
      <c r="B4128" s="19">
        <v>4120.0</v>
      </c>
      <c r="C4128" s="19" t="s">
        <v>6090</v>
      </c>
    </row>
    <row r="4129">
      <c r="B4129" s="19">
        <v>4121.0</v>
      </c>
      <c r="C4129" s="19" t="s">
        <v>6090</v>
      </c>
    </row>
    <row r="4130">
      <c r="B4130" s="19">
        <v>4122.0</v>
      </c>
      <c r="C4130" s="19" t="s">
        <v>6090</v>
      </c>
    </row>
    <row r="4131">
      <c r="B4131" s="19">
        <v>4123.0</v>
      </c>
      <c r="C4131" s="19" t="s">
        <v>6090</v>
      </c>
    </row>
    <row r="4132">
      <c r="B4132" s="19">
        <v>4124.0</v>
      </c>
      <c r="C4132" s="19" t="s">
        <v>6090</v>
      </c>
    </row>
    <row r="4133">
      <c r="B4133" s="19">
        <v>4125.0</v>
      </c>
      <c r="C4133" s="19" t="s">
        <v>6090</v>
      </c>
    </row>
    <row r="4134">
      <c r="B4134" s="19">
        <v>4126.0</v>
      </c>
      <c r="C4134" s="19" t="s">
        <v>6090</v>
      </c>
    </row>
    <row r="4135">
      <c r="B4135" s="19">
        <v>4127.0</v>
      </c>
      <c r="C4135" s="19" t="s">
        <v>6090</v>
      </c>
    </row>
    <row r="4136">
      <c r="B4136" s="19">
        <v>4128.0</v>
      </c>
      <c r="C4136" s="19" t="s">
        <v>6090</v>
      </c>
    </row>
    <row r="4137">
      <c r="B4137" s="19">
        <v>4129.0</v>
      </c>
      <c r="C4137" s="19" t="s">
        <v>6090</v>
      </c>
    </row>
    <row r="4138">
      <c r="B4138" s="19">
        <v>4130.0</v>
      </c>
      <c r="C4138" s="19" t="s">
        <v>6090</v>
      </c>
    </row>
    <row r="4139">
      <c r="B4139" s="19">
        <v>4131.0</v>
      </c>
      <c r="C4139" s="19" t="s">
        <v>6090</v>
      </c>
    </row>
    <row r="4140">
      <c r="B4140" s="19">
        <v>4132.0</v>
      </c>
      <c r="C4140" s="19" t="s">
        <v>6090</v>
      </c>
    </row>
    <row r="4141">
      <c r="B4141" s="19">
        <v>4133.0</v>
      </c>
      <c r="C4141" s="19" t="s">
        <v>6090</v>
      </c>
    </row>
    <row r="4142">
      <c r="B4142" s="19">
        <v>4134.0</v>
      </c>
      <c r="C4142" s="19" t="s">
        <v>6090</v>
      </c>
    </row>
    <row r="4143">
      <c r="B4143" s="19">
        <v>4135.0</v>
      </c>
      <c r="C4143" s="19" t="s">
        <v>6090</v>
      </c>
    </row>
    <row r="4144">
      <c r="B4144" s="19">
        <v>4136.0</v>
      </c>
      <c r="C4144" s="19" t="s">
        <v>6090</v>
      </c>
    </row>
    <row r="4145">
      <c r="B4145" s="19">
        <v>4137.0</v>
      </c>
      <c r="C4145" s="19" t="s">
        <v>6090</v>
      </c>
    </row>
    <row r="4146">
      <c r="B4146" s="19">
        <v>4138.0</v>
      </c>
      <c r="C4146" s="19" t="s">
        <v>6090</v>
      </c>
    </row>
    <row r="4147">
      <c r="B4147" s="19">
        <v>4139.0</v>
      </c>
      <c r="C4147" s="19" t="s">
        <v>6090</v>
      </c>
    </row>
    <row r="4148">
      <c r="B4148" s="19">
        <v>4140.0</v>
      </c>
      <c r="C4148" s="19" t="s">
        <v>6090</v>
      </c>
    </row>
    <row r="4149">
      <c r="B4149" s="19">
        <v>4141.0</v>
      </c>
      <c r="C4149" s="19" t="s">
        <v>6090</v>
      </c>
    </row>
    <row r="4150">
      <c r="B4150" s="19">
        <v>4142.0</v>
      </c>
      <c r="C4150" s="19" t="s">
        <v>6090</v>
      </c>
    </row>
    <row r="4151">
      <c r="B4151" s="19">
        <v>4143.0</v>
      </c>
      <c r="C4151" s="19" t="s">
        <v>6090</v>
      </c>
    </row>
    <row r="4152">
      <c r="B4152" s="19">
        <v>4144.0</v>
      </c>
      <c r="C4152" s="19" t="s">
        <v>6090</v>
      </c>
    </row>
    <row r="4153">
      <c r="B4153" s="19">
        <v>4145.0</v>
      </c>
      <c r="C4153" s="19" t="s">
        <v>6090</v>
      </c>
    </row>
    <row r="4154">
      <c r="B4154" s="19">
        <v>4146.0</v>
      </c>
      <c r="C4154" s="19" t="s">
        <v>6090</v>
      </c>
    </row>
    <row r="4155">
      <c r="B4155" s="19">
        <v>4147.0</v>
      </c>
      <c r="C4155" s="19" t="s">
        <v>6090</v>
      </c>
    </row>
    <row r="4156">
      <c r="B4156" s="19">
        <v>4148.0</v>
      </c>
      <c r="C4156" s="19" t="s">
        <v>6090</v>
      </c>
    </row>
    <row r="4157">
      <c r="B4157" s="19">
        <v>4149.0</v>
      </c>
      <c r="C4157" s="19" t="s">
        <v>6090</v>
      </c>
    </row>
    <row r="4158">
      <c r="B4158" s="19">
        <v>4150.0</v>
      </c>
      <c r="C4158" s="19" t="s">
        <v>6090</v>
      </c>
    </row>
    <row r="4159">
      <c r="B4159" s="19">
        <v>4151.0</v>
      </c>
      <c r="C4159" s="19" t="s">
        <v>6090</v>
      </c>
    </row>
    <row r="4160">
      <c r="B4160" s="19">
        <v>4152.0</v>
      </c>
      <c r="C4160" s="19" t="s">
        <v>6090</v>
      </c>
    </row>
    <row r="4161">
      <c r="B4161" s="19">
        <v>4153.0</v>
      </c>
      <c r="C4161" s="19" t="s">
        <v>6090</v>
      </c>
    </row>
    <row r="4162">
      <c r="B4162" s="19">
        <v>4154.0</v>
      </c>
      <c r="C4162" s="19" t="s">
        <v>6090</v>
      </c>
    </row>
    <row r="4163">
      <c r="B4163" s="19">
        <v>4155.0</v>
      </c>
      <c r="C4163" s="19" t="s">
        <v>6090</v>
      </c>
    </row>
    <row r="4164">
      <c r="B4164" s="19">
        <v>4156.0</v>
      </c>
      <c r="C4164" s="19" t="s">
        <v>6090</v>
      </c>
    </row>
    <row r="4165">
      <c r="B4165" s="19">
        <v>4157.0</v>
      </c>
      <c r="C4165" s="19" t="s">
        <v>6090</v>
      </c>
    </row>
    <row r="4166">
      <c r="B4166" s="19">
        <v>4158.0</v>
      </c>
      <c r="C4166" s="19" t="s">
        <v>6090</v>
      </c>
    </row>
    <row r="4167">
      <c r="B4167" s="19">
        <v>4159.0</v>
      </c>
      <c r="C4167" s="19" t="s">
        <v>6090</v>
      </c>
    </row>
    <row r="4168">
      <c r="B4168" s="19">
        <v>4160.0</v>
      </c>
      <c r="C4168" s="19" t="s">
        <v>6090</v>
      </c>
    </row>
    <row r="4169">
      <c r="B4169" s="19">
        <v>4161.0</v>
      </c>
      <c r="C4169" s="19" t="s">
        <v>6090</v>
      </c>
    </row>
    <row r="4170">
      <c r="B4170" s="19">
        <v>4162.0</v>
      </c>
      <c r="C4170" s="19" t="s">
        <v>6090</v>
      </c>
    </row>
    <row r="4171">
      <c r="B4171" s="19">
        <v>4163.0</v>
      </c>
      <c r="C4171" s="19" t="s">
        <v>6090</v>
      </c>
    </row>
    <row r="4172">
      <c r="B4172" s="19">
        <v>4164.0</v>
      </c>
      <c r="C4172" s="19" t="s">
        <v>6090</v>
      </c>
    </row>
    <row r="4173">
      <c r="B4173" s="19">
        <v>4165.0</v>
      </c>
      <c r="C4173" s="19" t="s">
        <v>6090</v>
      </c>
    </row>
    <row r="4174">
      <c r="B4174" s="19">
        <v>4166.0</v>
      </c>
      <c r="C4174" s="19" t="s">
        <v>6090</v>
      </c>
    </row>
    <row r="4175">
      <c r="B4175" s="19">
        <v>4167.0</v>
      </c>
      <c r="C4175" s="19" t="s">
        <v>6090</v>
      </c>
    </row>
    <row r="4176">
      <c r="B4176" s="19">
        <v>4168.0</v>
      </c>
      <c r="C4176" s="19" t="s">
        <v>6090</v>
      </c>
    </row>
    <row r="4177">
      <c r="B4177" s="19">
        <v>4169.0</v>
      </c>
      <c r="C4177" s="19" t="s">
        <v>6090</v>
      </c>
    </row>
    <row r="4178">
      <c r="B4178" s="19">
        <v>4170.0</v>
      </c>
      <c r="C4178" s="19" t="s">
        <v>6090</v>
      </c>
    </row>
    <row r="4179">
      <c r="B4179" s="19">
        <v>4171.0</v>
      </c>
      <c r="C4179" s="19" t="s">
        <v>6090</v>
      </c>
    </row>
    <row r="4180">
      <c r="B4180" s="19">
        <v>4172.0</v>
      </c>
      <c r="C4180" s="19" t="s">
        <v>6090</v>
      </c>
    </row>
    <row r="4181">
      <c r="B4181" s="19">
        <v>4173.0</v>
      </c>
      <c r="C4181" s="19" t="s">
        <v>6090</v>
      </c>
    </row>
    <row r="4182">
      <c r="B4182" s="19">
        <v>4174.0</v>
      </c>
      <c r="C4182" s="19" t="s">
        <v>6090</v>
      </c>
    </row>
    <row r="4183">
      <c r="B4183" s="19">
        <v>4175.0</v>
      </c>
      <c r="C4183" s="19" t="s">
        <v>6090</v>
      </c>
    </row>
    <row r="4184">
      <c r="B4184" s="19">
        <v>4176.0</v>
      </c>
      <c r="C4184" s="19" t="s">
        <v>6090</v>
      </c>
    </row>
    <row r="4185">
      <c r="B4185" s="19">
        <v>4177.0</v>
      </c>
      <c r="C4185" s="19" t="s">
        <v>6090</v>
      </c>
    </row>
    <row r="4186">
      <c r="B4186" s="19">
        <v>4178.0</v>
      </c>
      <c r="C4186" s="19" t="s">
        <v>6090</v>
      </c>
    </row>
    <row r="4187">
      <c r="B4187" s="19">
        <v>4179.0</v>
      </c>
      <c r="C4187" s="19" t="s">
        <v>6090</v>
      </c>
    </row>
    <row r="4188">
      <c r="B4188" s="19">
        <v>4180.0</v>
      </c>
      <c r="C4188" s="19" t="s">
        <v>6090</v>
      </c>
    </row>
    <row r="4189">
      <c r="B4189" s="19">
        <v>4181.0</v>
      </c>
      <c r="C4189" s="19" t="s">
        <v>6090</v>
      </c>
    </row>
    <row r="4190">
      <c r="B4190" s="19">
        <v>4182.0</v>
      </c>
      <c r="C4190" s="19" t="s">
        <v>6090</v>
      </c>
    </row>
    <row r="4191">
      <c r="B4191" s="19">
        <v>4183.0</v>
      </c>
      <c r="C4191" s="19" t="s">
        <v>6090</v>
      </c>
    </row>
    <row r="4192">
      <c r="B4192" s="19">
        <v>4184.0</v>
      </c>
      <c r="C4192" s="19" t="s">
        <v>6090</v>
      </c>
    </row>
    <row r="4193">
      <c r="B4193" s="19">
        <v>4185.0</v>
      </c>
      <c r="C4193" s="19" t="s">
        <v>6090</v>
      </c>
    </row>
    <row r="4194">
      <c r="B4194" s="19">
        <v>4186.0</v>
      </c>
      <c r="C4194" s="19" t="s">
        <v>6090</v>
      </c>
    </row>
    <row r="4195">
      <c r="B4195" s="19">
        <v>4187.0</v>
      </c>
      <c r="C4195" s="19" t="s">
        <v>6090</v>
      </c>
    </row>
    <row r="4196">
      <c r="B4196" s="19">
        <v>4188.0</v>
      </c>
      <c r="C4196" s="19" t="s">
        <v>6090</v>
      </c>
    </row>
    <row r="4197">
      <c r="B4197" s="19">
        <v>4189.0</v>
      </c>
      <c r="C4197" s="19" t="s">
        <v>6090</v>
      </c>
    </row>
    <row r="4198">
      <c r="B4198" s="19">
        <v>4190.0</v>
      </c>
      <c r="C4198" s="19" t="s">
        <v>6090</v>
      </c>
    </row>
    <row r="4199">
      <c r="B4199" s="19">
        <v>4191.0</v>
      </c>
      <c r="C4199" s="19" t="s">
        <v>6090</v>
      </c>
    </row>
    <row r="4200">
      <c r="B4200" s="19">
        <v>4192.0</v>
      </c>
      <c r="C4200" s="19" t="s">
        <v>6090</v>
      </c>
    </row>
    <row r="4201">
      <c r="B4201" s="19">
        <v>4193.0</v>
      </c>
      <c r="C4201" s="19" t="s">
        <v>6090</v>
      </c>
    </row>
    <row r="4202">
      <c r="B4202" s="19">
        <v>4194.0</v>
      </c>
      <c r="C4202" s="19" t="s">
        <v>6090</v>
      </c>
    </row>
    <row r="4203">
      <c r="B4203" s="19">
        <v>4195.0</v>
      </c>
      <c r="C4203" s="19" t="s">
        <v>6090</v>
      </c>
    </row>
    <row r="4204">
      <c r="B4204" s="19">
        <v>4196.0</v>
      </c>
      <c r="C4204" s="19" t="s">
        <v>6090</v>
      </c>
    </row>
    <row r="4205">
      <c r="B4205" s="19">
        <v>4197.0</v>
      </c>
      <c r="C4205" s="19" t="s">
        <v>6090</v>
      </c>
    </row>
    <row r="4206">
      <c r="B4206" s="19">
        <v>4198.0</v>
      </c>
      <c r="C4206" s="19" t="s">
        <v>6090</v>
      </c>
    </row>
    <row r="4207">
      <c r="B4207" s="19">
        <v>4199.0</v>
      </c>
      <c r="C4207" s="19" t="s">
        <v>6090</v>
      </c>
    </row>
    <row r="4208">
      <c r="B4208" s="19">
        <v>4200.0</v>
      </c>
      <c r="C4208" s="19" t="s">
        <v>6090</v>
      </c>
    </row>
    <row r="4209">
      <c r="B4209" s="19">
        <v>4201.0</v>
      </c>
      <c r="C4209" s="19" t="s">
        <v>6090</v>
      </c>
    </row>
    <row r="4210">
      <c r="B4210" s="19">
        <v>4202.0</v>
      </c>
      <c r="C4210" s="19" t="s">
        <v>6090</v>
      </c>
    </row>
    <row r="4211">
      <c r="B4211" s="19">
        <v>4203.0</v>
      </c>
      <c r="C4211" s="19" t="s">
        <v>6090</v>
      </c>
    </row>
    <row r="4212">
      <c r="B4212" s="19">
        <v>4204.0</v>
      </c>
      <c r="C4212" s="19" t="s">
        <v>6090</v>
      </c>
    </row>
    <row r="4213">
      <c r="B4213" s="19">
        <v>4205.0</v>
      </c>
      <c r="C4213" s="19" t="s">
        <v>6090</v>
      </c>
    </row>
    <row r="4214">
      <c r="B4214" s="19">
        <v>4206.0</v>
      </c>
      <c r="C4214" s="19" t="s">
        <v>6090</v>
      </c>
    </row>
    <row r="4215">
      <c r="B4215" s="19">
        <v>4207.0</v>
      </c>
      <c r="C4215" s="19" t="s">
        <v>6090</v>
      </c>
    </row>
    <row r="4216">
      <c r="B4216" s="19">
        <v>4208.0</v>
      </c>
      <c r="C4216" s="19" t="s">
        <v>6090</v>
      </c>
    </row>
    <row r="4217">
      <c r="B4217" s="19">
        <v>4209.0</v>
      </c>
      <c r="C4217" s="19" t="s">
        <v>6090</v>
      </c>
    </row>
    <row r="4218">
      <c r="B4218" s="19">
        <v>4210.0</v>
      </c>
      <c r="C4218" s="19" t="s">
        <v>6090</v>
      </c>
    </row>
    <row r="4219">
      <c r="B4219" s="19">
        <v>4211.0</v>
      </c>
      <c r="C4219" s="19" t="s">
        <v>6090</v>
      </c>
    </row>
    <row r="4220">
      <c r="B4220" s="19">
        <v>4212.0</v>
      </c>
      <c r="C4220" s="19" t="s">
        <v>6090</v>
      </c>
    </row>
    <row r="4221">
      <c r="B4221" s="19">
        <v>4213.0</v>
      </c>
      <c r="C4221" s="19" t="s">
        <v>6090</v>
      </c>
    </row>
    <row r="4222">
      <c r="B4222" s="19">
        <v>4214.0</v>
      </c>
      <c r="C4222" s="19" t="s">
        <v>6090</v>
      </c>
    </row>
    <row r="4223">
      <c r="B4223" s="19">
        <v>4215.0</v>
      </c>
      <c r="C4223" s="19" t="s">
        <v>6090</v>
      </c>
    </row>
    <row r="4224">
      <c r="B4224" s="19">
        <v>4216.0</v>
      </c>
      <c r="C4224" s="19" t="s">
        <v>6090</v>
      </c>
    </row>
    <row r="4225">
      <c r="B4225" s="19">
        <v>4217.0</v>
      </c>
      <c r="C4225" s="19" t="s">
        <v>6090</v>
      </c>
    </row>
    <row r="4226">
      <c r="B4226" s="19">
        <v>4218.0</v>
      </c>
      <c r="C4226" s="19" t="s">
        <v>6090</v>
      </c>
    </row>
    <row r="4227">
      <c r="B4227" s="19">
        <v>4219.0</v>
      </c>
      <c r="C4227" s="19" t="s">
        <v>6090</v>
      </c>
    </row>
    <row r="4228">
      <c r="B4228" s="19">
        <v>4220.0</v>
      </c>
      <c r="C4228" s="19" t="s">
        <v>6090</v>
      </c>
    </row>
    <row r="4229">
      <c r="B4229" s="19">
        <v>4221.0</v>
      </c>
      <c r="C4229" s="19" t="s">
        <v>6090</v>
      </c>
    </row>
    <row r="4230">
      <c r="B4230" s="19">
        <v>4222.0</v>
      </c>
      <c r="C4230" s="19" t="s">
        <v>6090</v>
      </c>
    </row>
    <row r="4231">
      <c r="B4231" s="19">
        <v>4223.0</v>
      </c>
      <c r="C4231" s="19" t="s">
        <v>6090</v>
      </c>
    </row>
    <row r="4232">
      <c r="B4232" s="19">
        <v>4224.0</v>
      </c>
      <c r="C4232" s="19" t="s">
        <v>6090</v>
      </c>
    </row>
    <row r="4233">
      <c r="B4233" s="19">
        <v>4225.0</v>
      </c>
      <c r="C4233" s="19" t="s">
        <v>6090</v>
      </c>
    </row>
    <row r="4234">
      <c r="B4234" s="19">
        <v>4226.0</v>
      </c>
      <c r="C4234" s="19" t="s">
        <v>6090</v>
      </c>
    </row>
    <row r="4235">
      <c r="B4235" s="19">
        <v>4227.0</v>
      </c>
      <c r="C4235" s="19" t="s">
        <v>6090</v>
      </c>
    </row>
    <row r="4236">
      <c r="B4236" s="19">
        <v>4228.0</v>
      </c>
      <c r="C4236" s="19" t="s">
        <v>6090</v>
      </c>
    </row>
    <row r="4237">
      <c r="B4237" s="19">
        <v>4229.0</v>
      </c>
      <c r="C4237" s="19" t="s">
        <v>6090</v>
      </c>
    </row>
    <row r="4238">
      <c r="B4238" s="19">
        <v>4230.0</v>
      </c>
      <c r="C4238" s="19" t="s">
        <v>6090</v>
      </c>
    </row>
    <row r="4239">
      <c r="B4239" s="19">
        <v>4231.0</v>
      </c>
      <c r="C4239" s="19" t="s">
        <v>6090</v>
      </c>
    </row>
    <row r="4240">
      <c r="B4240" s="19">
        <v>4232.0</v>
      </c>
      <c r="C4240" s="19" t="s">
        <v>6090</v>
      </c>
    </row>
    <row r="4241">
      <c r="B4241" s="19">
        <v>4233.0</v>
      </c>
      <c r="C4241" s="19" t="s">
        <v>6090</v>
      </c>
    </row>
    <row r="4242">
      <c r="B4242" s="19">
        <v>4234.0</v>
      </c>
      <c r="C4242" s="19" t="s">
        <v>6090</v>
      </c>
    </row>
    <row r="4243">
      <c r="B4243" s="19">
        <v>4235.0</v>
      </c>
      <c r="C4243" s="19" t="s">
        <v>6090</v>
      </c>
    </row>
    <row r="4244">
      <c r="B4244" s="19">
        <v>4236.0</v>
      </c>
      <c r="C4244" s="19" t="s">
        <v>6090</v>
      </c>
    </row>
    <row r="4245">
      <c r="B4245" s="19">
        <v>4237.0</v>
      </c>
      <c r="C4245" s="19" t="s">
        <v>6090</v>
      </c>
    </row>
    <row r="4246">
      <c r="B4246" s="19">
        <v>4238.0</v>
      </c>
      <c r="C4246" s="19" t="s">
        <v>6090</v>
      </c>
    </row>
    <row r="4247">
      <c r="B4247" s="19">
        <v>4239.0</v>
      </c>
      <c r="C4247" s="19" t="s">
        <v>6090</v>
      </c>
    </row>
    <row r="4248">
      <c r="B4248" s="19">
        <v>4240.0</v>
      </c>
      <c r="C4248" s="19" t="s">
        <v>6090</v>
      </c>
    </row>
    <row r="4249">
      <c r="B4249" s="19">
        <v>4241.0</v>
      </c>
      <c r="C4249" s="19" t="s">
        <v>6090</v>
      </c>
    </row>
    <row r="4250">
      <c r="B4250" s="19">
        <v>4242.0</v>
      </c>
      <c r="C4250" s="19" t="s">
        <v>6090</v>
      </c>
    </row>
    <row r="4251">
      <c r="B4251" s="19">
        <v>4243.0</v>
      </c>
      <c r="C4251" s="19" t="s">
        <v>6090</v>
      </c>
    </row>
    <row r="4252">
      <c r="B4252" s="19">
        <v>4244.0</v>
      </c>
      <c r="C4252" s="19" t="s">
        <v>6090</v>
      </c>
    </row>
    <row r="4253">
      <c r="B4253" s="19">
        <v>4245.0</v>
      </c>
      <c r="C4253" s="19" t="s">
        <v>6090</v>
      </c>
    </row>
    <row r="4254">
      <c r="B4254" s="19">
        <v>4246.0</v>
      </c>
      <c r="C4254" s="19" t="s">
        <v>6090</v>
      </c>
    </row>
    <row r="4255">
      <c r="B4255" s="19">
        <v>4247.0</v>
      </c>
      <c r="C4255" s="19" t="s">
        <v>6090</v>
      </c>
    </row>
    <row r="4256">
      <c r="B4256" s="19">
        <v>4248.0</v>
      </c>
      <c r="C4256" s="19" t="s">
        <v>6090</v>
      </c>
    </row>
    <row r="4257">
      <c r="B4257" s="19">
        <v>4249.0</v>
      </c>
      <c r="C4257" s="19" t="s">
        <v>6090</v>
      </c>
    </row>
    <row r="4258">
      <c r="B4258" s="19">
        <v>4250.0</v>
      </c>
      <c r="C4258" s="19" t="s">
        <v>6090</v>
      </c>
    </row>
    <row r="4259">
      <c r="B4259" s="19">
        <v>4251.0</v>
      </c>
      <c r="C4259" s="19" t="s">
        <v>6090</v>
      </c>
    </row>
    <row r="4260">
      <c r="B4260" s="19">
        <v>4252.0</v>
      </c>
      <c r="C4260" s="19" t="s">
        <v>6090</v>
      </c>
    </row>
    <row r="4261">
      <c r="B4261" s="19">
        <v>4253.0</v>
      </c>
      <c r="C4261" s="19" t="s">
        <v>6090</v>
      </c>
    </row>
    <row r="4262">
      <c r="B4262" s="19">
        <v>4254.0</v>
      </c>
      <c r="C4262" s="19" t="s">
        <v>6090</v>
      </c>
    </row>
    <row r="4263">
      <c r="B4263" s="19">
        <v>4255.0</v>
      </c>
      <c r="C4263" s="19" t="s">
        <v>6090</v>
      </c>
    </row>
    <row r="4264">
      <c r="B4264" s="19">
        <v>4256.0</v>
      </c>
      <c r="C4264" s="19" t="s">
        <v>6090</v>
      </c>
    </row>
    <row r="4265">
      <c r="B4265" s="19">
        <v>4257.0</v>
      </c>
      <c r="C4265" s="19" t="s">
        <v>6090</v>
      </c>
    </row>
    <row r="4266">
      <c r="B4266" s="19">
        <v>4258.0</v>
      </c>
      <c r="C4266" s="19" t="s">
        <v>6090</v>
      </c>
    </row>
    <row r="4267">
      <c r="B4267" s="19">
        <v>4259.0</v>
      </c>
      <c r="C4267" s="19" t="s">
        <v>6090</v>
      </c>
    </row>
    <row r="4268">
      <c r="B4268" s="19">
        <v>4260.0</v>
      </c>
      <c r="C4268" s="19" t="s">
        <v>6090</v>
      </c>
    </row>
    <row r="4269">
      <c r="B4269" s="19">
        <v>4261.0</v>
      </c>
      <c r="C4269" s="19" t="s">
        <v>6090</v>
      </c>
    </row>
    <row r="4270">
      <c r="B4270" s="19">
        <v>4262.0</v>
      </c>
      <c r="C4270" s="19" t="s">
        <v>6090</v>
      </c>
    </row>
    <row r="4271">
      <c r="B4271" s="19">
        <v>4263.0</v>
      </c>
      <c r="C4271" s="19" t="s">
        <v>6090</v>
      </c>
    </row>
    <row r="4272">
      <c r="B4272" s="19">
        <v>4264.0</v>
      </c>
      <c r="C4272" s="19" t="s">
        <v>6090</v>
      </c>
    </row>
    <row r="4273">
      <c r="B4273" s="19">
        <v>4265.0</v>
      </c>
      <c r="C4273" s="19" t="s">
        <v>6090</v>
      </c>
    </row>
    <row r="4274">
      <c r="B4274" s="19">
        <v>4266.0</v>
      </c>
      <c r="C4274" s="19" t="s">
        <v>6090</v>
      </c>
    </row>
    <row r="4275">
      <c r="B4275" s="19">
        <v>4267.0</v>
      </c>
      <c r="C4275" s="19" t="s">
        <v>6090</v>
      </c>
    </row>
    <row r="4276">
      <c r="B4276" s="19">
        <v>4268.0</v>
      </c>
      <c r="C4276" s="19" t="s">
        <v>6090</v>
      </c>
    </row>
    <row r="4277">
      <c r="B4277" s="19">
        <v>4269.0</v>
      </c>
      <c r="C4277" s="19" t="s">
        <v>6090</v>
      </c>
    </row>
    <row r="4278">
      <c r="B4278" s="19">
        <v>4270.0</v>
      </c>
      <c r="C4278" s="19" t="s">
        <v>6090</v>
      </c>
    </row>
    <row r="4279">
      <c r="B4279" s="19">
        <v>4271.0</v>
      </c>
      <c r="C4279" s="19" t="s">
        <v>6090</v>
      </c>
    </row>
    <row r="4280">
      <c r="B4280" s="19">
        <v>4272.0</v>
      </c>
      <c r="C4280" s="19" t="s">
        <v>6090</v>
      </c>
    </row>
    <row r="4281">
      <c r="B4281" s="19">
        <v>4273.0</v>
      </c>
      <c r="C4281" s="19" t="s">
        <v>6090</v>
      </c>
    </row>
    <row r="4282">
      <c r="B4282" s="19">
        <v>4274.0</v>
      </c>
      <c r="C4282" s="19" t="s">
        <v>6090</v>
      </c>
    </row>
    <row r="4283">
      <c r="B4283" s="19">
        <v>4275.0</v>
      </c>
      <c r="C4283" s="19" t="s">
        <v>6090</v>
      </c>
    </row>
    <row r="4284">
      <c r="B4284" s="19">
        <v>4276.0</v>
      </c>
      <c r="C4284" s="19" t="s">
        <v>6090</v>
      </c>
    </row>
    <row r="4285">
      <c r="B4285" s="19">
        <v>4277.0</v>
      </c>
      <c r="C4285" s="19" t="s">
        <v>6090</v>
      </c>
    </row>
    <row r="4286">
      <c r="B4286" s="19">
        <v>4278.0</v>
      </c>
      <c r="C4286" s="19" t="s">
        <v>6090</v>
      </c>
    </row>
    <row r="4287">
      <c r="B4287" s="19">
        <v>4279.0</v>
      </c>
      <c r="C4287" s="19" t="s">
        <v>6090</v>
      </c>
    </row>
    <row r="4288">
      <c r="B4288" s="19">
        <v>4280.0</v>
      </c>
      <c r="C4288" s="19" t="s">
        <v>6090</v>
      </c>
    </row>
    <row r="4289">
      <c r="B4289" s="19">
        <v>4281.0</v>
      </c>
      <c r="C4289" s="19" t="s">
        <v>6090</v>
      </c>
    </row>
    <row r="4290">
      <c r="B4290" s="19">
        <v>4282.0</v>
      </c>
      <c r="C4290" s="19" t="s">
        <v>6090</v>
      </c>
    </row>
    <row r="4291">
      <c r="B4291" s="19">
        <v>4283.0</v>
      </c>
      <c r="C4291" s="19" t="s">
        <v>6090</v>
      </c>
    </row>
    <row r="4292">
      <c r="B4292" s="19">
        <v>4284.0</v>
      </c>
      <c r="C4292" s="19" t="s">
        <v>6090</v>
      </c>
    </row>
    <row r="4293">
      <c r="B4293" s="19">
        <v>4285.0</v>
      </c>
      <c r="C4293" s="19" t="s">
        <v>6090</v>
      </c>
    </row>
    <row r="4294">
      <c r="B4294" s="19">
        <v>4286.0</v>
      </c>
      <c r="C4294" s="19" t="s">
        <v>6090</v>
      </c>
    </row>
    <row r="4295">
      <c r="B4295" s="19">
        <v>4287.0</v>
      </c>
      <c r="C4295" s="19" t="s">
        <v>6090</v>
      </c>
    </row>
    <row r="4296">
      <c r="B4296" s="19">
        <v>4288.0</v>
      </c>
      <c r="C4296" s="19" t="s">
        <v>6090</v>
      </c>
    </row>
    <row r="4297">
      <c r="B4297" s="19">
        <v>4289.0</v>
      </c>
      <c r="C4297" s="19" t="s">
        <v>6090</v>
      </c>
    </row>
    <row r="4298">
      <c r="B4298" s="19">
        <v>4290.0</v>
      </c>
      <c r="C4298" s="19" t="s">
        <v>6090</v>
      </c>
    </row>
    <row r="4299">
      <c r="B4299" s="19">
        <v>4291.0</v>
      </c>
      <c r="C4299" s="19" t="s">
        <v>6090</v>
      </c>
    </row>
    <row r="4300">
      <c r="B4300" s="19">
        <v>4292.0</v>
      </c>
      <c r="C4300" s="19" t="s">
        <v>6090</v>
      </c>
    </row>
    <row r="4301">
      <c r="B4301" s="19">
        <v>4293.0</v>
      </c>
      <c r="C4301" s="19" t="s">
        <v>6090</v>
      </c>
    </row>
    <row r="4302">
      <c r="B4302" s="19">
        <v>4294.0</v>
      </c>
      <c r="C4302" s="19" t="s">
        <v>6090</v>
      </c>
    </row>
    <row r="4303">
      <c r="B4303" s="19">
        <v>4295.0</v>
      </c>
      <c r="C4303" s="19" t="s">
        <v>6090</v>
      </c>
    </row>
    <row r="4304">
      <c r="B4304" s="19">
        <v>4296.0</v>
      </c>
      <c r="C4304" s="19" t="s">
        <v>6090</v>
      </c>
    </row>
    <row r="4305">
      <c r="B4305" s="19">
        <v>4297.0</v>
      </c>
      <c r="C4305" s="19" t="s">
        <v>6090</v>
      </c>
    </row>
    <row r="4306">
      <c r="B4306" s="19">
        <v>4298.0</v>
      </c>
      <c r="C4306" s="19" t="s">
        <v>6090</v>
      </c>
    </row>
    <row r="4307">
      <c r="B4307" s="19">
        <v>4299.0</v>
      </c>
      <c r="C4307" s="19" t="s">
        <v>6090</v>
      </c>
    </row>
    <row r="4308">
      <c r="B4308" s="19">
        <v>4300.0</v>
      </c>
      <c r="C4308" s="19" t="s">
        <v>6090</v>
      </c>
    </row>
    <row r="4309">
      <c r="B4309" s="19">
        <v>4301.0</v>
      </c>
      <c r="C4309" s="19" t="s">
        <v>6090</v>
      </c>
    </row>
    <row r="4310">
      <c r="B4310" s="19">
        <v>4302.0</v>
      </c>
      <c r="C4310" s="19" t="s">
        <v>6090</v>
      </c>
    </row>
    <row r="4311">
      <c r="B4311" s="19">
        <v>4303.0</v>
      </c>
      <c r="C4311" s="19" t="s">
        <v>6090</v>
      </c>
    </row>
    <row r="4312">
      <c r="B4312" s="19">
        <v>4304.0</v>
      </c>
      <c r="C4312" s="19" t="s">
        <v>6090</v>
      </c>
    </row>
    <row r="4313">
      <c r="B4313" s="19">
        <v>4305.0</v>
      </c>
      <c r="C4313" s="19" t="s">
        <v>6090</v>
      </c>
    </row>
    <row r="4314">
      <c r="B4314" s="19">
        <v>4306.0</v>
      </c>
      <c r="C4314" s="19" t="s">
        <v>6090</v>
      </c>
    </row>
    <row r="4315">
      <c r="B4315" s="19">
        <v>4307.0</v>
      </c>
      <c r="C4315" s="19" t="s">
        <v>6090</v>
      </c>
    </row>
    <row r="4316">
      <c r="B4316" s="19">
        <v>4308.0</v>
      </c>
      <c r="C4316" s="19" t="s">
        <v>6090</v>
      </c>
    </row>
    <row r="4317">
      <c r="B4317" s="19">
        <v>4309.0</v>
      </c>
      <c r="C4317" s="19" t="s">
        <v>6090</v>
      </c>
    </row>
    <row r="4318">
      <c r="B4318" s="19">
        <v>4310.0</v>
      </c>
      <c r="C4318" s="19" t="s">
        <v>6090</v>
      </c>
    </row>
    <row r="4319">
      <c r="B4319" s="19">
        <v>4311.0</v>
      </c>
      <c r="C4319" s="19" t="s">
        <v>6090</v>
      </c>
    </row>
    <row r="4320">
      <c r="B4320" s="19">
        <v>4312.0</v>
      </c>
      <c r="C4320" s="19" t="s">
        <v>6090</v>
      </c>
    </row>
    <row r="4321">
      <c r="B4321" s="19">
        <v>4313.0</v>
      </c>
      <c r="C4321" s="19" t="s">
        <v>6090</v>
      </c>
    </row>
    <row r="4322">
      <c r="B4322" s="19">
        <v>4314.0</v>
      </c>
      <c r="C4322" s="19" t="s">
        <v>6090</v>
      </c>
    </row>
    <row r="4323">
      <c r="B4323" s="19">
        <v>4315.0</v>
      </c>
      <c r="C4323" s="19" t="s">
        <v>6090</v>
      </c>
    </row>
    <row r="4324">
      <c r="B4324" s="19">
        <v>4316.0</v>
      </c>
      <c r="C4324" s="19" t="s">
        <v>6090</v>
      </c>
    </row>
    <row r="4325">
      <c r="B4325" s="19">
        <v>4317.0</v>
      </c>
      <c r="C4325" s="19" t="s">
        <v>6090</v>
      </c>
    </row>
    <row r="4326">
      <c r="B4326" s="19">
        <v>4318.0</v>
      </c>
      <c r="C4326" s="19" t="s">
        <v>6090</v>
      </c>
    </row>
    <row r="4327">
      <c r="B4327" s="19">
        <v>4319.0</v>
      </c>
      <c r="C4327" s="19" t="s">
        <v>6090</v>
      </c>
    </row>
    <row r="4328">
      <c r="B4328" s="19">
        <v>4320.0</v>
      </c>
      <c r="C4328" s="19" t="s">
        <v>6090</v>
      </c>
    </row>
    <row r="4329">
      <c r="B4329" s="19">
        <v>4321.0</v>
      </c>
      <c r="C4329" s="19" t="s">
        <v>6090</v>
      </c>
    </row>
    <row r="4330">
      <c r="B4330" s="19">
        <v>4322.0</v>
      </c>
      <c r="C4330" s="19" t="s">
        <v>6090</v>
      </c>
    </row>
    <row r="4331">
      <c r="B4331" s="19">
        <v>4323.0</v>
      </c>
      <c r="C4331" s="19" t="s">
        <v>6090</v>
      </c>
    </row>
    <row r="4332">
      <c r="B4332" s="19">
        <v>4324.0</v>
      </c>
      <c r="C4332" s="19" t="s">
        <v>6090</v>
      </c>
    </row>
    <row r="4333">
      <c r="B4333" s="19">
        <v>4325.0</v>
      </c>
      <c r="C4333" s="19" t="s">
        <v>6090</v>
      </c>
    </row>
    <row r="4334">
      <c r="B4334" s="19">
        <v>4326.0</v>
      </c>
      <c r="C4334" s="19" t="s">
        <v>6090</v>
      </c>
    </row>
    <row r="4335">
      <c r="B4335" s="19">
        <v>4327.0</v>
      </c>
      <c r="C4335" s="19" t="s">
        <v>6090</v>
      </c>
    </row>
    <row r="4336">
      <c r="B4336" s="19">
        <v>4328.0</v>
      </c>
      <c r="C4336" s="19" t="s">
        <v>6090</v>
      </c>
    </row>
    <row r="4337">
      <c r="B4337" s="19">
        <v>4329.0</v>
      </c>
      <c r="C4337" s="19" t="s">
        <v>6090</v>
      </c>
    </row>
    <row r="4338">
      <c r="B4338" s="19">
        <v>4330.0</v>
      </c>
      <c r="C4338" s="19" t="s">
        <v>6090</v>
      </c>
    </row>
    <row r="4339">
      <c r="B4339" s="19">
        <v>4331.0</v>
      </c>
      <c r="C4339" s="19" t="s">
        <v>6090</v>
      </c>
    </row>
    <row r="4340">
      <c r="B4340" s="19">
        <v>4332.0</v>
      </c>
      <c r="C4340" s="19" t="s">
        <v>6090</v>
      </c>
    </row>
    <row r="4341">
      <c r="B4341" s="19">
        <v>4333.0</v>
      </c>
      <c r="C4341" s="19" t="s">
        <v>6090</v>
      </c>
    </row>
    <row r="4342">
      <c r="B4342" s="19">
        <v>4334.0</v>
      </c>
      <c r="C4342" s="19" t="s">
        <v>6090</v>
      </c>
    </row>
    <row r="4343">
      <c r="B4343" s="19">
        <v>4335.0</v>
      </c>
      <c r="C4343" s="19" t="s">
        <v>6090</v>
      </c>
    </row>
    <row r="4344">
      <c r="B4344" s="19">
        <v>4336.0</v>
      </c>
      <c r="C4344" s="19" t="s">
        <v>6090</v>
      </c>
    </row>
    <row r="4345">
      <c r="B4345" s="19">
        <v>4337.0</v>
      </c>
      <c r="C4345" s="19" t="s">
        <v>6090</v>
      </c>
    </row>
    <row r="4346">
      <c r="B4346" s="19">
        <v>4338.0</v>
      </c>
      <c r="C4346" s="19" t="s">
        <v>6090</v>
      </c>
    </row>
    <row r="4347">
      <c r="B4347" s="19">
        <v>4339.0</v>
      </c>
      <c r="C4347" s="19" t="s">
        <v>6090</v>
      </c>
    </row>
    <row r="4348">
      <c r="B4348" s="19">
        <v>4340.0</v>
      </c>
      <c r="C4348" s="19" t="s">
        <v>6090</v>
      </c>
    </row>
    <row r="4349">
      <c r="B4349" s="19">
        <v>4341.0</v>
      </c>
      <c r="C4349" s="19" t="s">
        <v>6090</v>
      </c>
    </row>
    <row r="4350">
      <c r="B4350" s="19">
        <v>4342.0</v>
      </c>
      <c r="C4350" s="19" t="s">
        <v>6090</v>
      </c>
    </row>
    <row r="4351">
      <c r="B4351" s="19">
        <v>4343.0</v>
      </c>
      <c r="C4351" s="19" t="s">
        <v>6090</v>
      </c>
    </row>
    <row r="4352">
      <c r="B4352" s="19">
        <v>4344.0</v>
      </c>
      <c r="C4352" s="19" t="s">
        <v>6090</v>
      </c>
    </row>
    <row r="4353">
      <c r="B4353" s="19">
        <v>4345.0</v>
      </c>
      <c r="C4353" s="19" t="s">
        <v>6090</v>
      </c>
    </row>
    <row r="4354">
      <c r="B4354" s="19">
        <v>4346.0</v>
      </c>
      <c r="C4354" s="19" t="s">
        <v>6090</v>
      </c>
    </row>
    <row r="4355">
      <c r="B4355" s="19">
        <v>4347.0</v>
      </c>
      <c r="C4355" s="19" t="s">
        <v>6090</v>
      </c>
    </row>
    <row r="4356">
      <c r="B4356" s="19">
        <v>4348.0</v>
      </c>
      <c r="C4356" s="19" t="s">
        <v>6090</v>
      </c>
    </row>
    <row r="4357">
      <c r="B4357" s="19">
        <v>4349.0</v>
      </c>
      <c r="C4357" s="19" t="s">
        <v>6090</v>
      </c>
    </row>
    <row r="4358">
      <c r="B4358" s="19">
        <v>4350.0</v>
      </c>
      <c r="C4358" s="19" t="s">
        <v>6090</v>
      </c>
    </row>
    <row r="4359">
      <c r="B4359" s="19">
        <v>4351.0</v>
      </c>
      <c r="C4359" s="19" t="s">
        <v>6090</v>
      </c>
    </row>
    <row r="4360">
      <c r="B4360" s="19">
        <v>4352.0</v>
      </c>
      <c r="C4360" s="19" t="s">
        <v>6090</v>
      </c>
    </row>
    <row r="4361">
      <c r="B4361" s="19">
        <v>4353.0</v>
      </c>
      <c r="C4361" s="19" t="s">
        <v>6090</v>
      </c>
    </row>
    <row r="4362">
      <c r="B4362" s="19">
        <v>4354.0</v>
      </c>
      <c r="C4362" s="19" t="s">
        <v>6090</v>
      </c>
    </row>
    <row r="4363">
      <c r="B4363" s="19">
        <v>4355.0</v>
      </c>
      <c r="C4363" s="19" t="s">
        <v>6090</v>
      </c>
    </row>
    <row r="4364">
      <c r="B4364" s="19">
        <v>4356.0</v>
      </c>
      <c r="C4364" s="19" t="s">
        <v>6090</v>
      </c>
    </row>
    <row r="4365">
      <c r="B4365" s="19">
        <v>4357.0</v>
      </c>
      <c r="C4365" s="19" t="s">
        <v>6090</v>
      </c>
    </row>
    <row r="4366">
      <c r="B4366" s="19">
        <v>4358.0</v>
      </c>
      <c r="C4366" s="19" t="s">
        <v>6090</v>
      </c>
    </row>
    <row r="4367">
      <c r="B4367" s="19">
        <v>4359.0</v>
      </c>
      <c r="C4367" s="19" t="s">
        <v>6090</v>
      </c>
    </row>
    <row r="4368">
      <c r="B4368" s="19">
        <v>4360.0</v>
      </c>
      <c r="C4368" s="19" t="s">
        <v>6090</v>
      </c>
    </row>
    <row r="4369">
      <c r="B4369" s="19">
        <v>4361.0</v>
      </c>
      <c r="C4369" s="19" t="s">
        <v>6090</v>
      </c>
    </row>
    <row r="4370">
      <c r="B4370" s="19">
        <v>4362.0</v>
      </c>
      <c r="C4370" s="19" t="s">
        <v>6090</v>
      </c>
    </row>
    <row r="4371">
      <c r="B4371" s="19">
        <v>4363.0</v>
      </c>
      <c r="C4371" s="19" t="s">
        <v>6090</v>
      </c>
    </row>
    <row r="4372">
      <c r="B4372" s="19">
        <v>4364.0</v>
      </c>
      <c r="C4372" s="19" t="s">
        <v>6090</v>
      </c>
    </row>
    <row r="4373">
      <c r="B4373" s="19">
        <v>4365.0</v>
      </c>
      <c r="C4373" s="19" t="s">
        <v>6090</v>
      </c>
    </row>
    <row r="4374">
      <c r="B4374" s="19">
        <v>4366.0</v>
      </c>
      <c r="C4374" s="19" t="s">
        <v>6090</v>
      </c>
    </row>
    <row r="4375">
      <c r="B4375" s="19">
        <v>4367.0</v>
      </c>
      <c r="C4375" s="19" t="s">
        <v>6090</v>
      </c>
    </row>
    <row r="4376">
      <c r="B4376" s="19">
        <v>4368.0</v>
      </c>
      <c r="C4376" s="19" t="s">
        <v>6090</v>
      </c>
    </row>
    <row r="4377">
      <c r="B4377" s="19">
        <v>4369.0</v>
      </c>
      <c r="C4377" s="19" t="s">
        <v>6090</v>
      </c>
    </row>
    <row r="4378">
      <c r="B4378" s="19">
        <v>4370.0</v>
      </c>
      <c r="C4378" s="19" t="s">
        <v>6090</v>
      </c>
    </row>
    <row r="4379">
      <c r="B4379" s="19">
        <v>4371.0</v>
      </c>
      <c r="C4379" s="19" t="s">
        <v>6090</v>
      </c>
    </row>
    <row r="4380">
      <c r="B4380" s="19">
        <v>4372.0</v>
      </c>
      <c r="C4380" s="19" t="s">
        <v>6090</v>
      </c>
    </row>
    <row r="4381">
      <c r="B4381" s="19">
        <v>4373.0</v>
      </c>
      <c r="C4381" s="19" t="s">
        <v>6090</v>
      </c>
    </row>
    <row r="4382">
      <c r="B4382" s="19">
        <v>4374.0</v>
      </c>
      <c r="C4382" s="19" t="s">
        <v>6090</v>
      </c>
    </row>
    <row r="4383">
      <c r="B4383" s="19">
        <v>4375.0</v>
      </c>
      <c r="C4383" s="19" t="s">
        <v>6090</v>
      </c>
    </row>
    <row r="4384">
      <c r="B4384" s="19">
        <v>4376.0</v>
      </c>
      <c r="C4384" s="19" t="s">
        <v>6090</v>
      </c>
    </row>
    <row r="4385">
      <c r="B4385" s="19">
        <v>4377.0</v>
      </c>
      <c r="C4385" s="19" t="s">
        <v>6090</v>
      </c>
    </row>
    <row r="4386">
      <c r="B4386" s="19">
        <v>4378.0</v>
      </c>
      <c r="C4386" s="19" t="s">
        <v>6090</v>
      </c>
    </row>
    <row r="4387">
      <c r="B4387" s="19">
        <v>4379.0</v>
      </c>
      <c r="C4387" s="19" t="s">
        <v>6090</v>
      </c>
    </row>
    <row r="4388">
      <c r="B4388" s="19">
        <v>4380.0</v>
      </c>
      <c r="C4388" s="19" t="s">
        <v>6090</v>
      </c>
    </row>
    <row r="4389">
      <c r="B4389" s="19">
        <v>4381.0</v>
      </c>
      <c r="C4389" s="19" t="s">
        <v>6090</v>
      </c>
    </row>
    <row r="4390">
      <c r="B4390" s="19">
        <v>4382.0</v>
      </c>
      <c r="C4390" s="19" t="s">
        <v>6090</v>
      </c>
    </row>
    <row r="4391">
      <c r="B4391" s="19">
        <v>4383.0</v>
      </c>
      <c r="C4391" s="19" t="s">
        <v>6090</v>
      </c>
    </row>
    <row r="4392">
      <c r="B4392" s="19">
        <v>4384.0</v>
      </c>
      <c r="C4392" s="19" t="s">
        <v>6090</v>
      </c>
    </row>
    <row r="4393">
      <c r="B4393" s="19">
        <v>4385.0</v>
      </c>
      <c r="C4393" s="19" t="s">
        <v>6090</v>
      </c>
    </row>
    <row r="4394">
      <c r="B4394" s="19">
        <v>4386.0</v>
      </c>
      <c r="C4394" s="19" t="s">
        <v>6090</v>
      </c>
    </row>
    <row r="4395">
      <c r="B4395" s="19">
        <v>4387.0</v>
      </c>
      <c r="C4395" s="19" t="s">
        <v>6090</v>
      </c>
    </row>
    <row r="4396">
      <c r="B4396" s="19">
        <v>4388.0</v>
      </c>
      <c r="C4396" s="19" t="s">
        <v>6090</v>
      </c>
    </row>
    <row r="4397">
      <c r="B4397" s="19">
        <v>4389.0</v>
      </c>
      <c r="C4397" s="19" t="s">
        <v>6090</v>
      </c>
    </row>
    <row r="4398">
      <c r="B4398" s="19">
        <v>4390.0</v>
      </c>
      <c r="C4398" s="19" t="s">
        <v>6090</v>
      </c>
    </row>
    <row r="4399">
      <c r="B4399" s="19">
        <v>4391.0</v>
      </c>
      <c r="C4399" s="19" t="s">
        <v>6090</v>
      </c>
    </row>
    <row r="4400">
      <c r="B4400" s="19">
        <v>4392.0</v>
      </c>
      <c r="C4400" s="19" t="s">
        <v>6090</v>
      </c>
    </row>
    <row r="4401">
      <c r="B4401" s="19">
        <v>4393.0</v>
      </c>
      <c r="C4401" s="19" t="s">
        <v>6090</v>
      </c>
    </row>
    <row r="4402">
      <c r="B4402" s="19">
        <v>4394.0</v>
      </c>
      <c r="C4402" s="19" t="s">
        <v>6090</v>
      </c>
    </row>
    <row r="4403">
      <c r="B4403" s="19">
        <v>4395.0</v>
      </c>
      <c r="C4403" s="19" t="s">
        <v>6090</v>
      </c>
    </row>
    <row r="4404">
      <c r="B4404" s="19">
        <v>4396.0</v>
      </c>
      <c r="C4404" s="19" t="s">
        <v>6090</v>
      </c>
    </row>
    <row r="4405">
      <c r="B4405" s="19">
        <v>4397.0</v>
      </c>
      <c r="C4405" s="19" t="s">
        <v>6090</v>
      </c>
    </row>
    <row r="4406">
      <c r="B4406" s="19">
        <v>4398.0</v>
      </c>
      <c r="C4406" s="19" t="s">
        <v>6090</v>
      </c>
    </row>
    <row r="4407">
      <c r="B4407" s="19">
        <v>4399.0</v>
      </c>
      <c r="C4407" s="19" t="s">
        <v>6090</v>
      </c>
    </row>
    <row r="4408">
      <c r="B4408" s="19">
        <v>4400.0</v>
      </c>
      <c r="C4408" s="19" t="s">
        <v>6090</v>
      </c>
    </row>
    <row r="4409">
      <c r="B4409" s="19">
        <v>4401.0</v>
      </c>
      <c r="C4409" s="19" t="s">
        <v>6090</v>
      </c>
    </row>
    <row r="4410">
      <c r="B4410" s="19">
        <v>4402.0</v>
      </c>
      <c r="C4410" s="19" t="s">
        <v>6090</v>
      </c>
    </row>
    <row r="4411">
      <c r="B4411" s="19">
        <v>4403.0</v>
      </c>
      <c r="C4411" s="19" t="s">
        <v>6090</v>
      </c>
    </row>
    <row r="4412">
      <c r="B4412" s="19">
        <v>4404.0</v>
      </c>
      <c r="C4412" s="19" t="s">
        <v>6090</v>
      </c>
    </row>
    <row r="4413">
      <c r="B4413" s="19">
        <v>4405.0</v>
      </c>
      <c r="C4413" s="19" t="s">
        <v>6090</v>
      </c>
    </row>
    <row r="4414">
      <c r="B4414" s="19">
        <v>4406.0</v>
      </c>
      <c r="C4414" s="19" t="s">
        <v>6090</v>
      </c>
    </row>
    <row r="4415">
      <c r="B4415" s="19">
        <v>4407.0</v>
      </c>
      <c r="C4415" s="19" t="s">
        <v>6090</v>
      </c>
    </row>
    <row r="4416">
      <c r="B4416" s="19">
        <v>4408.0</v>
      </c>
      <c r="C4416" s="19" t="s">
        <v>6090</v>
      </c>
    </row>
    <row r="4417">
      <c r="B4417" s="19">
        <v>4409.0</v>
      </c>
      <c r="C4417" s="19" t="s">
        <v>6090</v>
      </c>
    </row>
    <row r="4418">
      <c r="B4418" s="19">
        <v>4410.0</v>
      </c>
      <c r="C4418" s="19" t="s">
        <v>6090</v>
      </c>
    </row>
    <row r="4419">
      <c r="B4419" s="19">
        <v>4411.0</v>
      </c>
      <c r="C4419" s="19" t="s">
        <v>6090</v>
      </c>
    </row>
    <row r="4420">
      <c r="B4420" s="19">
        <v>4412.0</v>
      </c>
      <c r="C4420" s="19" t="s">
        <v>6090</v>
      </c>
    </row>
    <row r="4421">
      <c r="B4421" s="19">
        <v>4413.0</v>
      </c>
      <c r="C4421" s="19" t="s">
        <v>6090</v>
      </c>
    </row>
    <row r="4422">
      <c r="B4422" s="19">
        <v>4414.0</v>
      </c>
      <c r="C4422" s="19" t="s">
        <v>6090</v>
      </c>
    </row>
    <row r="4423">
      <c r="B4423" s="19">
        <v>4415.0</v>
      </c>
      <c r="C4423" s="19" t="s">
        <v>6090</v>
      </c>
    </row>
    <row r="4424">
      <c r="B4424" s="19">
        <v>4416.0</v>
      </c>
      <c r="C4424" s="19" t="s">
        <v>6090</v>
      </c>
    </row>
    <row r="4425">
      <c r="B4425" s="19">
        <v>4417.0</v>
      </c>
      <c r="C4425" s="19" t="s">
        <v>6090</v>
      </c>
    </row>
    <row r="4426">
      <c r="B4426" s="19">
        <v>4418.0</v>
      </c>
      <c r="C4426" s="19" t="s">
        <v>6090</v>
      </c>
    </row>
    <row r="4427">
      <c r="B4427" s="19">
        <v>4419.0</v>
      </c>
      <c r="C4427" s="19" t="s">
        <v>6090</v>
      </c>
    </row>
    <row r="4428">
      <c r="B4428" s="19">
        <v>4420.0</v>
      </c>
      <c r="C4428" s="19" t="s">
        <v>6090</v>
      </c>
    </row>
    <row r="4429">
      <c r="B4429" s="19">
        <v>4421.0</v>
      </c>
      <c r="C4429" s="19" t="s">
        <v>6090</v>
      </c>
    </row>
    <row r="4430">
      <c r="B4430" s="19">
        <v>4422.0</v>
      </c>
      <c r="C4430" s="19" t="s">
        <v>6090</v>
      </c>
    </row>
    <row r="4431">
      <c r="B4431" s="19">
        <v>4423.0</v>
      </c>
      <c r="C4431" s="19" t="s">
        <v>6090</v>
      </c>
    </row>
    <row r="4432">
      <c r="B4432" s="19">
        <v>4424.0</v>
      </c>
      <c r="C4432" s="19" t="s">
        <v>6090</v>
      </c>
    </row>
    <row r="4433">
      <c r="B4433" s="19">
        <v>4425.0</v>
      </c>
      <c r="C4433" s="19" t="s">
        <v>6090</v>
      </c>
    </row>
    <row r="4434">
      <c r="B4434" s="19">
        <v>4426.0</v>
      </c>
      <c r="C4434" s="19" t="s">
        <v>6090</v>
      </c>
    </row>
    <row r="4435">
      <c r="B4435" s="19">
        <v>4427.0</v>
      </c>
      <c r="C4435" s="19" t="s">
        <v>6090</v>
      </c>
    </row>
    <row r="4436">
      <c r="B4436" s="19">
        <v>4428.0</v>
      </c>
      <c r="C4436" s="19" t="s">
        <v>6090</v>
      </c>
    </row>
    <row r="4437">
      <c r="B4437" s="19">
        <v>4429.0</v>
      </c>
      <c r="C4437" s="19" t="s">
        <v>6090</v>
      </c>
    </row>
    <row r="4438">
      <c r="B4438" s="19">
        <v>4430.0</v>
      </c>
      <c r="C4438" s="19" t="s">
        <v>6090</v>
      </c>
    </row>
    <row r="4439">
      <c r="B4439" s="19">
        <v>4431.0</v>
      </c>
      <c r="C4439" s="19" t="s">
        <v>6090</v>
      </c>
    </row>
    <row r="4440">
      <c r="B4440" s="19">
        <v>4432.0</v>
      </c>
      <c r="C4440" s="19" t="s">
        <v>6090</v>
      </c>
    </row>
    <row r="4441">
      <c r="B4441" s="19">
        <v>4433.0</v>
      </c>
      <c r="C4441" s="19" t="s">
        <v>6090</v>
      </c>
    </row>
    <row r="4442">
      <c r="B4442" s="19">
        <v>4434.0</v>
      </c>
      <c r="C4442" s="19" t="s">
        <v>6090</v>
      </c>
    </row>
    <row r="4443">
      <c r="B4443" s="19">
        <v>4435.0</v>
      </c>
      <c r="C4443" s="19" t="s">
        <v>6090</v>
      </c>
    </row>
    <row r="4444">
      <c r="B4444" s="19">
        <v>4436.0</v>
      </c>
      <c r="C4444" s="19" t="s">
        <v>6090</v>
      </c>
    </row>
    <row r="4445">
      <c r="B4445" s="19">
        <v>4437.0</v>
      </c>
      <c r="C4445" s="19" t="s">
        <v>6090</v>
      </c>
    </row>
    <row r="4446">
      <c r="B4446" s="19">
        <v>4438.0</v>
      </c>
      <c r="C4446" s="19" t="s">
        <v>6090</v>
      </c>
    </row>
    <row r="4447">
      <c r="B4447" s="19">
        <v>4439.0</v>
      </c>
      <c r="C4447" s="19" t="s">
        <v>6090</v>
      </c>
    </row>
    <row r="4448">
      <c r="B4448" s="19">
        <v>4440.0</v>
      </c>
      <c r="C4448" s="19" t="s">
        <v>6090</v>
      </c>
    </row>
    <row r="4449">
      <c r="B4449" s="19">
        <v>4441.0</v>
      </c>
      <c r="C4449" s="19" t="s">
        <v>6090</v>
      </c>
    </row>
    <row r="4450">
      <c r="B4450" s="19">
        <v>4442.0</v>
      </c>
      <c r="C4450" s="19" t="s">
        <v>6090</v>
      </c>
    </row>
    <row r="4451">
      <c r="B4451" s="19">
        <v>4443.0</v>
      </c>
      <c r="C4451" s="19" t="s">
        <v>6090</v>
      </c>
    </row>
    <row r="4452">
      <c r="B4452" s="19">
        <v>4444.0</v>
      </c>
      <c r="C4452" s="19" t="s">
        <v>6090</v>
      </c>
    </row>
    <row r="4453">
      <c r="B4453" s="19">
        <v>4445.0</v>
      </c>
      <c r="C4453" s="19" t="s">
        <v>6090</v>
      </c>
    </row>
    <row r="4454">
      <c r="B4454" s="19">
        <v>4446.0</v>
      </c>
      <c r="C4454" s="19" t="s">
        <v>6090</v>
      </c>
    </row>
    <row r="4455">
      <c r="B4455" s="19">
        <v>4447.0</v>
      </c>
      <c r="C4455" s="19" t="s">
        <v>6090</v>
      </c>
    </row>
    <row r="4456">
      <c r="B4456" s="19">
        <v>4448.0</v>
      </c>
      <c r="C4456" s="19" t="s">
        <v>6090</v>
      </c>
    </row>
    <row r="4457">
      <c r="B4457" s="19">
        <v>4449.0</v>
      </c>
      <c r="C4457" s="19" t="s">
        <v>6090</v>
      </c>
    </row>
    <row r="4458">
      <c r="B4458" s="19">
        <v>4450.0</v>
      </c>
      <c r="C4458" s="19" t="s">
        <v>6090</v>
      </c>
    </row>
    <row r="4459">
      <c r="B4459" s="19">
        <v>4451.0</v>
      </c>
      <c r="C4459" s="19" t="s">
        <v>6090</v>
      </c>
    </row>
    <row r="4460">
      <c r="B4460" s="19">
        <v>4452.0</v>
      </c>
      <c r="C4460" s="19" t="s">
        <v>6090</v>
      </c>
    </row>
    <row r="4461">
      <c r="B4461" s="19">
        <v>4453.0</v>
      </c>
      <c r="C4461" s="19" t="s">
        <v>6090</v>
      </c>
    </row>
    <row r="4462">
      <c r="B4462" s="19">
        <v>4454.0</v>
      </c>
      <c r="C4462" s="19" t="s">
        <v>6090</v>
      </c>
    </row>
    <row r="4463">
      <c r="B4463" s="19">
        <v>4455.0</v>
      </c>
      <c r="C4463" s="19" t="s">
        <v>6090</v>
      </c>
    </row>
    <row r="4464">
      <c r="B4464" s="19">
        <v>4456.0</v>
      </c>
      <c r="C4464" s="19" t="s">
        <v>6090</v>
      </c>
    </row>
    <row r="4465">
      <c r="B4465" s="19">
        <v>4457.0</v>
      </c>
      <c r="C4465" s="19" t="s">
        <v>6090</v>
      </c>
    </row>
    <row r="4466">
      <c r="B4466" s="19">
        <v>4458.0</v>
      </c>
      <c r="C4466" s="19" t="s">
        <v>6090</v>
      </c>
    </row>
    <row r="4467">
      <c r="B4467" s="19">
        <v>4459.0</v>
      </c>
      <c r="C4467" s="19" t="s">
        <v>6090</v>
      </c>
    </row>
    <row r="4468">
      <c r="B4468" s="19">
        <v>4460.0</v>
      </c>
      <c r="C4468" s="19" t="s">
        <v>6090</v>
      </c>
    </row>
    <row r="4469">
      <c r="B4469" s="19">
        <v>4461.0</v>
      </c>
      <c r="C4469" s="19" t="s">
        <v>6090</v>
      </c>
    </row>
    <row r="4470">
      <c r="B4470" s="19">
        <v>4462.0</v>
      </c>
      <c r="C4470" s="19" t="s">
        <v>6090</v>
      </c>
    </row>
    <row r="4471">
      <c r="B4471" s="19">
        <v>4463.0</v>
      </c>
      <c r="C4471" s="19" t="s">
        <v>6090</v>
      </c>
    </row>
    <row r="4472">
      <c r="B4472" s="19">
        <v>4464.0</v>
      </c>
      <c r="C4472" s="19" t="s">
        <v>6090</v>
      </c>
    </row>
    <row r="4473">
      <c r="B4473" s="19">
        <v>4465.0</v>
      </c>
      <c r="C4473" s="19" t="s">
        <v>6090</v>
      </c>
    </row>
    <row r="4474">
      <c r="B4474" s="19">
        <v>4466.0</v>
      </c>
      <c r="C4474" s="19" t="s">
        <v>6090</v>
      </c>
    </row>
    <row r="4475">
      <c r="B4475" s="19">
        <v>4467.0</v>
      </c>
      <c r="C4475" s="19" t="s">
        <v>6090</v>
      </c>
    </row>
    <row r="4476">
      <c r="B4476" s="19">
        <v>4468.0</v>
      </c>
      <c r="C4476" s="19" t="s">
        <v>6090</v>
      </c>
    </row>
    <row r="4477">
      <c r="B4477" s="19">
        <v>4469.0</v>
      </c>
      <c r="C4477" s="19" t="s">
        <v>6090</v>
      </c>
    </row>
    <row r="4478">
      <c r="B4478" s="19">
        <v>4470.0</v>
      </c>
      <c r="C4478" s="19" t="s">
        <v>6090</v>
      </c>
    </row>
    <row r="4479">
      <c r="B4479" s="19">
        <v>4471.0</v>
      </c>
      <c r="C4479" s="19" t="s">
        <v>6090</v>
      </c>
    </row>
    <row r="4480">
      <c r="B4480" s="19">
        <v>4472.0</v>
      </c>
      <c r="C4480" s="19" t="s">
        <v>6090</v>
      </c>
    </row>
    <row r="4481">
      <c r="B4481" s="19">
        <v>4473.0</v>
      </c>
      <c r="C4481" s="19" t="s">
        <v>6090</v>
      </c>
    </row>
    <row r="4482">
      <c r="B4482" s="19">
        <v>4474.0</v>
      </c>
      <c r="C4482" s="19" t="s">
        <v>6090</v>
      </c>
    </row>
    <row r="4483">
      <c r="B4483" s="19">
        <v>4475.0</v>
      </c>
      <c r="C4483" s="19" t="s">
        <v>6090</v>
      </c>
    </row>
    <row r="4484">
      <c r="B4484" s="19">
        <v>4476.0</v>
      </c>
      <c r="C4484" s="19" t="s">
        <v>6090</v>
      </c>
    </row>
    <row r="4485">
      <c r="B4485" s="19">
        <v>4477.0</v>
      </c>
      <c r="C4485" s="19" t="s">
        <v>6090</v>
      </c>
    </row>
    <row r="4486">
      <c r="B4486" s="19">
        <v>4478.0</v>
      </c>
      <c r="C4486" s="19" t="s">
        <v>6090</v>
      </c>
    </row>
    <row r="4487">
      <c r="B4487" s="19">
        <v>4479.0</v>
      </c>
      <c r="C4487" s="19" t="s">
        <v>6090</v>
      </c>
    </row>
    <row r="4488">
      <c r="B4488" s="19">
        <v>4480.0</v>
      </c>
      <c r="C4488" s="19" t="s">
        <v>6090</v>
      </c>
    </row>
    <row r="4489">
      <c r="B4489" s="19">
        <v>4481.0</v>
      </c>
      <c r="C4489" s="19" t="s">
        <v>6090</v>
      </c>
    </row>
    <row r="4490">
      <c r="B4490" s="19">
        <v>4482.0</v>
      </c>
      <c r="C4490" s="19" t="s">
        <v>6090</v>
      </c>
    </row>
    <row r="4491">
      <c r="B4491" s="19">
        <v>4483.0</v>
      </c>
      <c r="C4491" s="19" t="s">
        <v>6090</v>
      </c>
    </row>
    <row r="4492">
      <c r="B4492" s="19">
        <v>4484.0</v>
      </c>
      <c r="C4492" s="19" t="s">
        <v>6090</v>
      </c>
    </row>
    <row r="4493">
      <c r="B4493" s="19">
        <v>4485.0</v>
      </c>
      <c r="C4493" s="19" t="s">
        <v>6090</v>
      </c>
    </row>
    <row r="4494">
      <c r="B4494" s="19">
        <v>4486.0</v>
      </c>
      <c r="C4494" s="19" t="s">
        <v>6090</v>
      </c>
    </row>
    <row r="4495">
      <c r="B4495" s="19">
        <v>4487.0</v>
      </c>
      <c r="C4495" s="19" t="s">
        <v>6090</v>
      </c>
    </row>
    <row r="4496">
      <c r="B4496" s="19">
        <v>4488.0</v>
      </c>
      <c r="C4496" s="19" t="s">
        <v>6090</v>
      </c>
    </row>
    <row r="4497">
      <c r="B4497" s="19">
        <v>4489.0</v>
      </c>
      <c r="C4497" s="19" t="s">
        <v>6090</v>
      </c>
    </row>
    <row r="4498">
      <c r="B4498" s="19">
        <v>4490.0</v>
      </c>
      <c r="C4498" s="19" t="s">
        <v>6090</v>
      </c>
    </row>
    <row r="4499">
      <c r="B4499" s="19">
        <v>4491.0</v>
      </c>
      <c r="C4499" s="19" t="s">
        <v>6090</v>
      </c>
    </row>
    <row r="4500">
      <c r="B4500" s="19">
        <v>4492.0</v>
      </c>
      <c r="C4500" s="19" t="s">
        <v>6090</v>
      </c>
    </row>
    <row r="4501">
      <c r="B4501" s="19">
        <v>4493.0</v>
      </c>
      <c r="C4501" s="19" t="s">
        <v>6090</v>
      </c>
    </row>
    <row r="4502">
      <c r="B4502" s="19">
        <v>4494.0</v>
      </c>
      <c r="C4502" s="19" t="s">
        <v>6090</v>
      </c>
    </row>
    <row r="4503">
      <c r="B4503" s="19">
        <v>4495.0</v>
      </c>
      <c r="C4503" s="19" t="s">
        <v>6090</v>
      </c>
    </row>
    <row r="4504">
      <c r="B4504" s="19">
        <v>4496.0</v>
      </c>
      <c r="C4504" s="19" t="s">
        <v>6090</v>
      </c>
    </row>
    <row r="4505">
      <c r="B4505" s="19">
        <v>4497.0</v>
      </c>
      <c r="C4505" s="19" t="s">
        <v>6090</v>
      </c>
    </row>
    <row r="4506">
      <c r="B4506" s="19">
        <v>4498.0</v>
      </c>
      <c r="C4506" s="19" t="s">
        <v>6090</v>
      </c>
    </row>
    <row r="4507">
      <c r="B4507" s="19">
        <v>4499.0</v>
      </c>
      <c r="C4507" s="19" t="s">
        <v>6090</v>
      </c>
    </row>
    <row r="4508">
      <c r="B4508" s="19">
        <v>4500.0</v>
      </c>
      <c r="C4508" s="19" t="s">
        <v>6090</v>
      </c>
    </row>
    <row r="4509">
      <c r="B4509" s="19">
        <v>4501.0</v>
      </c>
      <c r="C4509" s="19" t="s">
        <v>6090</v>
      </c>
    </row>
    <row r="4510">
      <c r="B4510" s="19">
        <v>4502.0</v>
      </c>
      <c r="C4510" s="19" t="s">
        <v>6090</v>
      </c>
    </row>
    <row r="4511">
      <c r="B4511" s="19">
        <v>4503.0</v>
      </c>
      <c r="C4511" s="19" t="s">
        <v>6090</v>
      </c>
    </row>
    <row r="4512">
      <c r="B4512" s="19">
        <v>4504.0</v>
      </c>
      <c r="C4512" s="19" t="s">
        <v>6090</v>
      </c>
    </row>
    <row r="4513">
      <c r="B4513" s="19">
        <v>4505.0</v>
      </c>
      <c r="C4513" s="19" t="s">
        <v>6090</v>
      </c>
    </row>
    <row r="4514">
      <c r="B4514" s="19">
        <v>4506.0</v>
      </c>
      <c r="C4514" s="19" t="s">
        <v>6090</v>
      </c>
    </row>
    <row r="4515">
      <c r="B4515" s="19">
        <v>4507.0</v>
      </c>
      <c r="C4515" s="19" t="s">
        <v>6090</v>
      </c>
    </row>
    <row r="4516">
      <c r="B4516" s="19">
        <v>4508.0</v>
      </c>
      <c r="C4516" s="19" t="s">
        <v>6090</v>
      </c>
    </row>
    <row r="4517">
      <c r="B4517" s="19">
        <v>4509.0</v>
      </c>
      <c r="C4517" s="19" t="s">
        <v>6090</v>
      </c>
    </row>
    <row r="4518">
      <c r="B4518" s="19">
        <v>4510.0</v>
      </c>
      <c r="C4518" s="19" t="s">
        <v>6090</v>
      </c>
    </row>
    <row r="4519">
      <c r="B4519" s="19">
        <v>4511.0</v>
      </c>
      <c r="C4519" s="19" t="s">
        <v>6090</v>
      </c>
    </row>
    <row r="4520">
      <c r="B4520" s="19">
        <v>4512.0</v>
      </c>
      <c r="C4520" s="19" t="s">
        <v>6090</v>
      </c>
    </row>
    <row r="4521">
      <c r="B4521" s="19">
        <v>4513.0</v>
      </c>
      <c r="C4521" s="19" t="s">
        <v>6090</v>
      </c>
    </row>
    <row r="4522">
      <c r="B4522" s="19">
        <v>4514.0</v>
      </c>
      <c r="C4522" s="19" t="s">
        <v>6090</v>
      </c>
    </row>
    <row r="4523">
      <c r="B4523" s="19">
        <v>4515.0</v>
      </c>
      <c r="C4523" s="19" t="s">
        <v>6090</v>
      </c>
    </row>
    <row r="4524">
      <c r="B4524" s="19">
        <v>4516.0</v>
      </c>
      <c r="C4524" s="19" t="s">
        <v>6090</v>
      </c>
    </row>
    <row r="4525">
      <c r="B4525" s="19">
        <v>4517.0</v>
      </c>
      <c r="C4525" s="19" t="s">
        <v>6090</v>
      </c>
    </row>
    <row r="4526">
      <c r="B4526" s="19">
        <v>4518.0</v>
      </c>
      <c r="C4526" s="19" t="s">
        <v>6090</v>
      </c>
    </row>
    <row r="4527">
      <c r="B4527" s="19">
        <v>4519.0</v>
      </c>
      <c r="C4527" s="19" t="s">
        <v>6090</v>
      </c>
    </row>
    <row r="4528">
      <c r="B4528" s="19">
        <v>4520.0</v>
      </c>
      <c r="C4528" s="19" t="s">
        <v>6090</v>
      </c>
    </row>
    <row r="4529">
      <c r="B4529" s="19">
        <v>4521.0</v>
      </c>
      <c r="C4529" s="19" t="s">
        <v>6090</v>
      </c>
    </row>
    <row r="4530">
      <c r="B4530" s="19">
        <v>4522.0</v>
      </c>
      <c r="C4530" s="19" t="s">
        <v>6090</v>
      </c>
    </row>
    <row r="4531">
      <c r="B4531" s="19">
        <v>4523.0</v>
      </c>
      <c r="C4531" s="19" t="s">
        <v>6090</v>
      </c>
    </row>
    <row r="4532">
      <c r="B4532" s="19">
        <v>4524.0</v>
      </c>
      <c r="C4532" s="19" t="s">
        <v>6090</v>
      </c>
    </row>
    <row r="4533">
      <c r="B4533" s="19">
        <v>4525.0</v>
      </c>
      <c r="C4533" s="19" t="s">
        <v>6090</v>
      </c>
    </row>
    <row r="4534">
      <c r="B4534" s="19">
        <v>4526.0</v>
      </c>
      <c r="C4534" s="19" t="s">
        <v>6090</v>
      </c>
    </row>
    <row r="4535">
      <c r="B4535" s="19">
        <v>4527.0</v>
      </c>
      <c r="C4535" s="19" t="s">
        <v>6090</v>
      </c>
    </row>
    <row r="4536">
      <c r="B4536" s="19">
        <v>4528.0</v>
      </c>
      <c r="C4536" s="19" t="s">
        <v>6090</v>
      </c>
    </row>
    <row r="4537">
      <c r="B4537" s="19">
        <v>4529.0</v>
      </c>
      <c r="C4537" s="19" t="s">
        <v>6090</v>
      </c>
    </row>
    <row r="4538">
      <c r="B4538" s="19">
        <v>4530.0</v>
      </c>
      <c r="C4538" s="19" t="s">
        <v>6090</v>
      </c>
    </row>
    <row r="4539">
      <c r="B4539" s="19">
        <v>4531.0</v>
      </c>
      <c r="C4539" s="19" t="s">
        <v>6090</v>
      </c>
    </row>
    <row r="4540">
      <c r="B4540" s="19">
        <v>4532.0</v>
      </c>
      <c r="C4540" s="19" t="s">
        <v>6090</v>
      </c>
    </row>
    <row r="4541">
      <c r="B4541" s="19">
        <v>4533.0</v>
      </c>
      <c r="C4541" s="19" t="s">
        <v>6090</v>
      </c>
    </row>
    <row r="4542">
      <c r="B4542" s="19">
        <v>4534.0</v>
      </c>
      <c r="C4542" s="19" t="s">
        <v>6090</v>
      </c>
    </row>
    <row r="4543">
      <c r="B4543" s="19">
        <v>4535.0</v>
      </c>
      <c r="C4543" s="19" t="s">
        <v>6090</v>
      </c>
    </row>
    <row r="4544">
      <c r="B4544" s="19">
        <v>4536.0</v>
      </c>
      <c r="C4544" s="19" t="s">
        <v>6090</v>
      </c>
    </row>
    <row r="4545">
      <c r="B4545" s="19">
        <v>4537.0</v>
      </c>
      <c r="C4545" s="19" t="s">
        <v>6090</v>
      </c>
    </row>
    <row r="4546">
      <c r="B4546" s="19">
        <v>4538.0</v>
      </c>
      <c r="C4546" s="19" t="s">
        <v>6090</v>
      </c>
    </row>
    <row r="4547">
      <c r="B4547" s="19">
        <v>4539.0</v>
      </c>
      <c r="C4547" s="19" t="s">
        <v>6090</v>
      </c>
    </row>
    <row r="4548">
      <c r="B4548" s="19">
        <v>4540.0</v>
      </c>
      <c r="C4548" s="19" t="s">
        <v>6090</v>
      </c>
    </row>
    <row r="4549">
      <c r="B4549" s="19">
        <v>4541.0</v>
      </c>
      <c r="C4549" s="19" t="s">
        <v>6090</v>
      </c>
    </row>
    <row r="4550">
      <c r="B4550" s="19">
        <v>4542.0</v>
      </c>
      <c r="C4550" s="19" t="s">
        <v>6090</v>
      </c>
    </row>
    <row r="4551">
      <c r="B4551" s="19">
        <v>4543.0</v>
      </c>
      <c r="C4551" s="19" t="s">
        <v>6090</v>
      </c>
    </row>
    <row r="4552">
      <c r="B4552" s="19">
        <v>4544.0</v>
      </c>
      <c r="C4552" s="19" t="s">
        <v>6090</v>
      </c>
    </row>
    <row r="4553">
      <c r="B4553" s="19">
        <v>4545.0</v>
      </c>
      <c r="C4553" s="19" t="s">
        <v>6090</v>
      </c>
    </row>
    <row r="4554">
      <c r="B4554" s="19">
        <v>4546.0</v>
      </c>
      <c r="C4554" s="19" t="s">
        <v>6090</v>
      </c>
    </row>
    <row r="4555">
      <c r="B4555" s="19">
        <v>4547.0</v>
      </c>
      <c r="C4555" s="19" t="s">
        <v>6090</v>
      </c>
    </row>
    <row r="4556">
      <c r="B4556" s="19">
        <v>4548.0</v>
      </c>
      <c r="C4556" s="19" t="s">
        <v>6090</v>
      </c>
    </row>
    <row r="4557">
      <c r="B4557" s="19">
        <v>4549.0</v>
      </c>
      <c r="C4557" s="19" t="s">
        <v>6090</v>
      </c>
    </row>
    <row r="4558">
      <c r="B4558" s="19">
        <v>4550.0</v>
      </c>
      <c r="C4558" s="19" t="s">
        <v>6090</v>
      </c>
    </row>
    <row r="4559">
      <c r="B4559" s="19">
        <v>4551.0</v>
      </c>
      <c r="C4559" s="19" t="s">
        <v>6090</v>
      </c>
    </row>
    <row r="4560">
      <c r="B4560" s="19">
        <v>4552.0</v>
      </c>
      <c r="C4560" s="19" t="s">
        <v>6090</v>
      </c>
    </row>
    <row r="4561">
      <c r="B4561" s="19">
        <v>4553.0</v>
      </c>
      <c r="C4561" s="19" t="s">
        <v>6090</v>
      </c>
    </row>
    <row r="4562">
      <c r="B4562" s="19">
        <v>4554.0</v>
      </c>
      <c r="C4562" s="19" t="s">
        <v>6090</v>
      </c>
    </row>
    <row r="4563">
      <c r="B4563" s="19">
        <v>4555.0</v>
      </c>
      <c r="C4563" s="19" t="s">
        <v>6090</v>
      </c>
    </row>
    <row r="4564">
      <c r="B4564" s="19">
        <v>4556.0</v>
      </c>
      <c r="C4564" s="19" t="s">
        <v>6090</v>
      </c>
    </row>
    <row r="4565">
      <c r="B4565" s="19">
        <v>4557.0</v>
      </c>
      <c r="C4565" s="19" t="s">
        <v>6090</v>
      </c>
    </row>
    <row r="4566">
      <c r="B4566" s="19">
        <v>4558.0</v>
      </c>
      <c r="C4566" s="19" t="s">
        <v>6090</v>
      </c>
    </row>
    <row r="4567">
      <c r="B4567" s="19">
        <v>4559.0</v>
      </c>
      <c r="C4567" s="19" t="s">
        <v>6090</v>
      </c>
    </row>
    <row r="4568">
      <c r="B4568" s="19">
        <v>4560.0</v>
      </c>
      <c r="C4568" s="19" t="s">
        <v>6090</v>
      </c>
    </row>
    <row r="4569">
      <c r="B4569" s="19">
        <v>4561.0</v>
      </c>
      <c r="C4569" s="19" t="s">
        <v>6090</v>
      </c>
    </row>
    <row r="4570">
      <c r="B4570" s="19">
        <v>4562.0</v>
      </c>
      <c r="C4570" s="19" t="s">
        <v>6090</v>
      </c>
    </row>
    <row r="4571">
      <c r="B4571" s="19">
        <v>4563.0</v>
      </c>
      <c r="C4571" s="19" t="s">
        <v>6090</v>
      </c>
    </row>
    <row r="4572">
      <c r="B4572" s="19">
        <v>4564.0</v>
      </c>
      <c r="C4572" s="19" t="s">
        <v>6090</v>
      </c>
    </row>
    <row r="4573">
      <c r="B4573" s="19">
        <v>4565.0</v>
      </c>
      <c r="C4573" s="19" t="s">
        <v>6090</v>
      </c>
    </row>
    <row r="4574">
      <c r="B4574" s="19">
        <v>4566.0</v>
      </c>
      <c r="C4574" s="19" t="s">
        <v>6090</v>
      </c>
    </row>
    <row r="4575">
      <c r="B4575" s="19">
        <v>4567.0</v>
      </c>
      <c r="C4575" s="19" t="s">
        <v>6090</v>
      </c>
    </row>
    <row r="4576">
      <c r="B4576" s="19">
        <v>4568.0</v>
      </c>
      <c r="C4576" s="19" t="s">
        <v>6090</v>
      </c>
    </row>
    <row r="4577">
      <c r="B4577" s="19">
        <v>4569.0</v>
      </c>
      <c r="C4577" s="19" t="s">
        <v>6090</v>
      </c>
    </row>
    <row r="4578">
      <c r="B4578" s="19">
        <v>4570.0</v>
      </c>
      <c r="C4578" s="19" t="s">
        <v>6090</v>
      </c>
    </row>
    <row r="4579">
      <c r="B4579" s="19">
        <v>4571.0</v>
      </c>
      <c r="C4579" s="19" t="s">
        <v>6090</v>
      </c>
    </row>
    <row r="4580">
      <c r="B4580" s="19">
        <v>4572.0</v>
      </c>
      <c r="C4580" s="19" t="s">
        <v>6090</v>
      </c>
    </row>
    <row r="4581">
      <c r="B4581" s="19">
        <v>4573.0</v>
      </c>
      <c r="C4581" s="19" t="s">
        <v>6090</v>
      </c>
    </row>
    <row r="4582">
      <c r="B4582" s="19">
        <v>4574.0</v>
      </c>
      <c r="C4582" s="19" t="s">
        <v>6090</v>
      </c>
    </row>
    <row r="4583">
      <c r="B4583" s="19">
        <v>4575.0</v>
      </c>
      <c r="C4583" s="19" t="s">
        <v>6090</v>
      </c>
    </row>
    <row r="4584">
      <c r="B4584" s="19">
        <v>4576.0</v>
      </c>
      <c r="C4584" s="19" t="s">
        <v>6090</v>
      </c>
    </row>
    <row r="4585">
      <c r="B4585" s="19">
        <v>4577.0</v>
      </c>
      <c r="C4585" s="19" t="s">
        <v>6090</v>
      </c>
    </row>
    <row r="4586">
      <c r="B4586" s="19">
        <v>4578.0</v>
      </c>
      <c r="C4586" s="19" t="s">
        <v>6090</v>
      </c>
    </row>
    <row r="4587">
      <c r="B4587" s="19">
        <v>4579.0</v>
      </c>
      <c r="C4587" s="19" t="s">
        <v>6090</v>
      </c>
    </row>
    <row r="4588">
      <c r="B4588" s="19">
        <v>4580.0</v>
      </c>
      <c r="C4588" s="19" t="s">
        <v>6090</v>
      </c>
    </row>
    <row r="4589">
      <c r="B4589" s="19">
        <v>4581.0</v>
      </c>
      <c r="C4589" s="19" t="s">
        <v>6090</v>
      </c>
    </row>
    <row r="4590">
      <c r="B4590" s="19">
        <v>4582.0</v>
      </c>
      <c r="C4590" s="19" t="s">
        <v>6090</v>
      </c>
    </row>
    <row r="4591">
      <c r="B4591" s="19">
        <v>4583.0</v>
      </c>
      <c r="C4591" s="19" t="s">
        <v>6090</v>
      </c>
    </row>
    <row r="4592">
      <c r="B4592" s="19">
        <v>4584.0</v>
      </c>
      <c r="C4592" s="19" t="s">
        <v>6090</v>
      </c>
    </row>
    <row r="4593">
      <c r="B4593" s="19">
        <v>4585.0</v>
      </c>
      <c r="C4593" s="19" t="s">
        <v>6090</v>
      </c>
    </row>
    <row r="4594">
      <c r="B4594" s="19">
        <v>4586.0</v>
      </c>
      <c r="C4594" s="19" t="s">
        <v>6090</v>
      </c>
    </row>
    <row r="4595">
      <c r="B4595" s="19">
        <v>4587.0</v>
      </c>
      <c r="C4595" s="19" t="s">
        <v>6090</v>
      </c>
    </row>
    <row r="4596">
      <c r="B4596" s="19">
        <v>4588.0</v>
      </c>
      <c r="C4596" s="19" t="s">
        <v>6090</v>
      </c>
    </row>
    <row r="4597">
      <c r="B4597" s="19">
        <v>4589.0</v>
      </c>
      <c r="C4597" s="19" t="s">
        <v>6090</v>
      </c>
    </row>
    <row r="4598">
      <c r="B4598" s="19">
        <v>4590.0</v>
      </c>
      <c r="C4598" s="19" t="s">
        <v>6090</v>
      </c>
    </row>
    <row r="4599">
      <c r="B4599" s="19">
        <v>4591.0</v>
      </c>
      <c r="C4599" s="19" t="s">
        <v>6090</v>
      </c>
    </row>
    <row r="4600">
      <c r="B4600" s="19">
        <v>4592.0</v>
      </c>
      <c r="C4600" s="19" t="s">
        <v>6090</v>
      </c>
    </row>
    <row r="4601">
      <c r="B4601" s="19">
        <v>4593.0</v>
      </c>
      <c r="C4601" s="19" t="s">
        <v>6090</v>
      </c>
    </row>
    <row r="4602">
      <c r="B4602" s="19">
        <v>4594.0</v>
      </c>
      <c r="C4602" s="19" t="s">
        <v>6090</v>
      </c>
    </row>
    <row r="4603">
      <c r="B4603" s="19">
        <v>4595.0</v>
      </c>
      <c r="C4603" s="19" t="s">
        <v>6090</v>
      </c>
    </row>
    <row r="4604">
      <c r="B4604" s="19">
        <v>4596.0</v>
      </c>
      <c r="C4604" s="19" t="s">
        <v>6090</v>
      </c>
    </row>
    <row r="4605">
      <c r="B4605" s="19">
        <v>4597.0</v>
      </c>
      <c r="C4605" s="19" t="s">
        <v>6090</v>
      </c>
    </row>
    <row r="4606">
      <c r="B4606" s="19">
        <v>4598.0</v>
      </c>
      <c r="C4606" s="19" t="s">
        <v>6090</v>
      </c>
    </row>
    <row r="4607">
      <c r="B4607" s="19">
        <v>4599.0</v>
      </c>
      <c r="C4607" s="19" t="s">
        <v>6090</v>
      </c>
    </row>
    <row r="4608">
      <c r="B4608" s="19">
        <v>4600.0</v>
      </c>
      <c r="C4608" s="19" t="s">
        <v>6090</v>
      </c>
    </row>
    <row r="4609">
      <c r="B4609" s="19">
        <v>4601.0</v>
      </c>
      <c r="C4609" s="19" t="s">
        <v>6090</v>
      </c>
    </row>
    <row r="4610">
      <c r="B4610" s="19">
        <v>4602.0</v>
      </c>
      <c r="C4610" s="19" t="s">
        <v>6090</v>
      </c>
    </row>
    <row r="4611">
      <c r="B4611" s="19">
        <v>4603.0</v>
      </c>
      <c r="C4611" s="19" t="s">
        <v>6090</v>
      </c>
    </row>
    <row r="4612">
      <c r="B4612" s="19">
        <v>4604.0</v>
      </c>
      <c r="C4612" s="19" t="s">
        <v>6090</v>
      </c>
    </row>
    <row r="4613">
      <c r="B4613" s="19">
        <v>4605.0</v>
      </c>
      <c r="C4613" s="19" t="s">
        <v>6090</v>
      </c>
    </row>
    <row r="4614">
      <c r="B4614" s="19">
        <v>4606.0</v>
      </c>
      <c r="C4614" s="19" t="s">
        <v>6090</v>
      </c>
    </row>
    <row r="4615">
      <c r="B4615" s="19">
        <v>4607.0</v>
      </c>
      <c r="C4615" s="19" t="s">
        <v>6090</v>
      </c>
    </row>
    <row r="4616">
      <c r="B4616" s="19">
        <v>4608.0</v>
      </c>
      <c r="C4616" s="19" t="s">
        <v>6090</v>
      </c>
    </row>
    <row r="4617">
      <c r="B4617" s="19">
        <v>4609.0</v>
      </c>
      <c r="C4617" s="19" t="s">
        <v>6090</v>
      </c>
    </row>
    <row r="4618">
      <c r="B4618" s="19">
        <v>4610.0</v>
      </c>
      <c r="C4618" s="19" t="s">
        <v>6090</v>
      </c>
    </row>
    <row r="4619">
      <c r="B4619" s="19">
        <v>4611.0</v>
      </c>
      <c r="C4619" s="19" t="s">
        <v>6090</v>
      </c>
    </row>
    <row r="4620">
      <c r="B4620" s="19">
        <v>4612.0</v>
      </c>
      <c r="C4620" s="19" t="s">
        <v>6090</v>
      </c>
    </row>
    <row r="4621">
      <c r="B4621" s="19">
        <v>4613.0</v>
      </c>
      <c r="C4621" s="19" t="s">
        <v>6090</v>
      </c>
    </row>
    <row r="4622">
      <c r="B4622" s="19">
        <v>4614.0</v>
      </c>
      <c r="C4622" s="19" t="s">
        <v>6090</v>
      </c>
    </row>
    <row r="4623">
      <c r="B4623" s="19">
        <v>4615.0</v>
      </c>
      <c r="C4623" s="19" t="s">
        <v>6090</v>
      </c>
    </row>
    <row r="4624">
      <c r="B4624" s="19">
        <v>4616.0</v>
      </c>
      <c r="C4624" s="19" t="s">
        <v>6090</v>
      </c>
    </row>
    <row r="4625">
      <c r="B4625" s="19">
        <v>4617.0</v>
      </c>
      <c r="C4625" s="19" t="s">
        <v>6090</v>
      </c>
    </row>
    <row r="4626">
      <c r="B4626" s="19">
        <v>4618.0</v>
      </c>
      <c r="C4626" s="19" t="s">
        <v>6090</v>
      </c>
    </row>
    <row r="4627">
      <c r="B4627" s="19">
        <v>4619.0</v>
      </c>
      <c r="C4627" s="19" t="s">
        <v>6090</v>
      </c>
    </row>
    <row r="4628">
      <c r="B4628" s="19">
        <v>4620.0</v>
      </c>
      <c r="C4628" s="19" t="s">
        <v>6090</v>
      </c>
    </row>
    <row r="4629">
      <c r="B4629" s="19">
        <v>4621.0</v>
      </c>
      <c r="C4629" s="19" t="s">
        <v>6090</v>
      </c>
    </row>
    <row r="4630">
      <c r="B4630" s="19">
        <v>4622.0</v>
      </c>
      <c r="C4630" s="19" t="s">
        <v>6090</v>
      </c>
    </row>
    <row r="4631">
      <c r="B4631" s="19">
        <v>4623.0</v>
      </c>
      <c r="C4631" s="19" t="s">
        <v>6090</v>
      </c>
    </row>
    <row r="4632">
      <c r="B4632" s="19">
        <v>4624.0</v>
      </c>
      <c r="C4632" s="19" t="s">
        <v>6090</v>
      </c>
    </row>
    <row r="4633">
      <c r="B4633" s="19">
        <v>4625.0</v>
      </c>
      <c r="C4633" s="19" t="s">
        <v>6090</v>
      </c>
    </row>
    <row r="4634">
      <c r="B4634" s="19">
        <v>4626.0</v>
      </c>
      <c r="C4634" s="19" t="s">
        <v>6090</v>
      </c>
    </row>
    <row r="4635">
      <c r="B4635" s="19">
        <v>4627.0</v>
      </c>
      <c r="C4635" s="19" t="s">
        <v>6090</v>
      </c>
    </row>
    <row r="4636">
      <c r="B4636" s="19">
        <v>4628.0</v>
      </c>
      <c r="C4636" s="19" t="s">
        <v>6090</v>
      </c>
    </row>
    <row r="4637">
      <c r="B4637" s="19">
        <v>4629.0</v>
      </c>
      <c r="C4637" s="19" t="s">
        <v>6090</v>
      </c>
    </row>
    <row r="4638">
      <c r="B4638" s="19">
        <v>4630.0</v>
      </c>
      <c r="C4638" s="19" t="s">
        <v>6090</v>
      </c>
    </row>
    <row r="4639">
      <c r="B4639" s="19">
        <v>4631.0</v>
      </c>
      <c r="C4639" s="19" t="s">
        <v>6090</v>
      </c>
    </row>
    <row r="4640">
      <c r="B4640" s="19">
        <v>4632.0</v>
      </c>
      <c r="C4640" s="19" t="s">
        <v>6090</v>
      </c>
    </row>
    <row r="4641">
      <c r="B4641" s="19">
        <v>4633.0</v>
      </c>
      <c r="C4641" s="19" t="s">
        <v>6090</v>
      </c>
    </row>
    <row r="4642">
      <c r="B4642" s="19">
        <v>4634.0</v>
      </c>
      <c r="C4642" s="19" t="s">
        <v>6090</v>
      </c>
    </row>
    <row r="4643">
      <c r="B4643" s="19">
        <v>4635.0</v>
      </c>
      <c r="C4643" s="19" t="s">
        <v>6090</v>
      </c>
    </row>
    <row r="4644">
      <c r="B4644" s="19">
        <v>4636.0</v>
      </c>
      <c r="C4644" s="19" t="s">
        <v>6090</v>
      </c>
    </row>
    <row r="4645">
      <c r="B4645" s="19">
        <v>4637.0</v>
      </c>
      <c r="C4645" s="19" t="s">
        <v>6090</v>
      </c>
    </row>
    <row r="4646">
      <c r="B4646" s="19">
        <v>4638.0</v>
      </c>
      <c r="C4646" s="19" t="s">
        <v>6090</v>
      </c>
    </row>
    <row r="4647">
      <c r="B4647" s="19">
        <v>4639.0</v>
      </c>
      <c r="C4647" s="19" t="s">
        <v>6090</v>
      </c>
    </row>
    <row r="4648">
      <c r="B4648" s="19">
        <v>4640.0</v>
      </c>
      <c r="C4648" s="19" t="s">
        <v>6090</v>
      </c>
    </row>
    <row r="4649">
      <c r="B4649" s="19">
        <v>4641.0</v>
      </c>
      <c r="C4649" s="19" t="s">
        <v>6090</v>
      </c>
    </row>
    <row r="4650">
      <c r="B4650" s="19">
        <v>4642.0</v>
      </c>
      <c r="C4650" s="19" t="s">
        <v>6090</v>
      </c>
    </row>
    <row r="4651">
      <c r="B4651" s="19">
        <v>4643.0</v>
      </c>
      <c r="C4651" s="19" t="s">
        <v>6090</v>
      </c>
    </row>
    <row r="4652">
      <c r="B4652" s="19">
        <v>4644.0</v>
      </c>
      <c r="C4652" s="19" t="s">
        <v>6090</v>
      </c>
    </row>
    <row r="4653">
      <c r="B4653" s="19">
        <v>4645.0</v>
      </c>
      <c r="C4653" s="19" t="s">
        <v>6090</v>
      </c>
    </row>
    <row r="4654">
      <c r="B4654" s="19">
        <v>4646.0</v>
      </c>
      <c r="C4654" s="19" t="s">
        <v>6090</v>
      </c>
    </row>
    <row r="4655">
      <c r="B4655" s="19">
        <v>4647.0</v>
      </c>
      <c r="C4655" s="19" t="s">
        <v>6090</v>
      </c>
    </row>
    <row r="4656">
      <c r="B4656" s="19">
        <v>4648.0</v>
      </c>
      <c r="C4656" s="19" t="s">
        <v>6090</v>
      </c>
    </row>
    <row r="4657">
      <c r="B4657" s="19">
        <v>4649.0</v>
      </c>
      <c r="C4657" s="19" t="s">
        <v>6090</v>
      </c>
    </row>
    <row r="4658">
      <c r="B4658" s="19">
        <v>4650.0</v>
      </c>
      <c r="C4658" s="19" t="s">
        <v>6090</v>
      </c>
    </row>
    <row r="4659">
      <c r="B4659" s="19">
        <v>4651.0</v>
      </c>
      <c r="C4659" s="19" t="s">
        <v>6090</v>
      </c>
    </row>
    <row r="4660">
      <c r="B4660" s="19">
        <v>4652.0</v>
      </c>
      <c r="C4660" s="19" t="s">
        <v>6090</v>
      </c>
    </row>
    <row r="4661">
      <c r="B4661" s="19">
        <v>4653.0</v>
      </c>
      <c r="C4661" s="19" t="s">
        <v>6090</v>
      </c>
    </row>
    <row r="4662">
      <c r="B4662" s="19">
        <v>4654.0</v>
      </c>
      <c r="C4662" s="19" t="s">
        <v>6090</v>
      </c>
    </row>
    <row r="4663">
      <c r="B4663" s="19">
        <v>4655.0</v>
      </c>
      <c r="C4663" s="19" t="s">
        <v>6090</v>
      </c>
    </row>
    <row r="4664">
      <c r="B4664" s="19">
        <v>4656.0</v>
      </c>
      <c r="C4664" s="19" t="s">
        <v>6090</v>
      </c>
    </row>
    <row r="4665">
      <c r="B4665" s="19">
        <v>4657.0</v>
      </c>
      <c r="C4665" s="19" t="s">
        <v>6090</v>
      </c>
    </row>
    <row r="4666">
      <c r="B4666" s="19">
        <v>4658.0</v>
      </c>
      <c r="C4666" s="19" t="s">
        <v>6090</v>
      </c>
    </row>
    <row r="4667">
      <c r="B4667" s="19">
        <v>4659.0</v>
      </c>
      <c r="C4667" s="19" t="s">
        <v>6090</v>
      </c>
    </row>
    <row r="4668">
      <c r="B4668" s="19">
        <v>4660.0</v>
      </c>
      <c r="C4668" s="19" t="s">
        <v>6090</v>
      </c>
    </row>
    <row r="4669">
      <c r="B4669" s="19">
        <v>4661.0</v>
      </c>
      <c r="C4669" s="19" t="s">
        <v>6090</v>
      </c>
    </row>
    <row r="4670">
      <c r="B4670" s="19">
        <v>4662.0</v>
      </c>
      <c r="C4670" s="19" t="s">
        <v>6090</v>
      </c>
    </row>
    <row r="4671">
      <c r="B4671" s="19">
        <v>4663.0</v>
      </c>
      <c r="C4671" s="19" t="s">
        <v>6090</v>
      </c>
    </row>
    <row r="4672">
      <c r="B4672" s="19">
        <v>4664.0</v>
      </c>
      <c r="C4672" s="19" t="s">
        <v>6090</v>
      </c>
    </row>
    <row r="4673">
      <c r="B4673" s="19">
        <v>4665.0</v>
      </c>
      <c r="C4673" s="19" t="s">
        <v>6090</v>
      </c>
    </row>
    <row r="4674">
      <c r="B4674" s="19">
        <v>4666.0</v>
      </c>
      <c r="C4674" s="19" t="s">
        <v>6090</v>
      </c>
    </row>
    <row r="4675">
      <c r="B4675" s="19">
        <v>4667.0</v>
      </c>
      <c r="C4675" s="19" t="s">
        <v>6090</v>
      </c>
    </row>
    <row r="4676">
      <c r="B4676" s="19">
        <v>4668.0</v>
      </c>
      <c r="C4676" s="19" t="s">
        <v>6090</v>
      </c>
    </row>
    <row r="4677">
      <c r="B4677" s="19">
        <v>4669.0</v>
      </c>
      <c r="C4677" s="19" t="s">
        <v>6090</v>
      </c>
    </row>
    <row r="4678">
      <c r="B4678" s="19">
        <v>4670.0</v>
      </c>
      <c r="C4678" s="19" t="s">
        <v>6090</v>
      </c>
    </row>
    <row r="4679">
      <c r="B4679" s="19">
        <v>4671.0</v>
      </c>
      <c r="C4679" s="19" t="s">
        <v>6090</v>
      </c>
    </row>
    <row r="4680">
      <c r="B4680" s="19">
        <v>4672.0</v>
      </c>
      <c r="C4680" s="19" t="s">
        <v>6090</v>
      </c>
    </row>
    <row r="4681">
      <c r="B4681" s="19">
        <v>4673.0</v>
      </c>
      <c r="C4681" s="19" t="s">
        <v>6090</v>
      </c>
    </row>
    <row r="4682">
      <c r="B4682" s="19">
        <v>4674.0</v>
      </c>
      <c r="C4682" s="19" t="s">
        <v>6090</v>
      </c>
    </row>
    <row r="4683">
      <c r="B4683" s="19">
        <v>4675.0</v>
      </c>
      <c r="C4683" s="19" t="s">
        <v>6090</v>
      </c>
    </row>
    <row r="4684">
      <c r="B4684" s="19">
        <v>4676.0</v>
      </c>
      <c r="C4684" s="19" t="s">
        <v>6090</v>
      </c>
    </row>
    <row r="4685">
      <c r="B4685" s="19">
        <v>4677.0</v>
      </c>
      <c r="C4685" s="19" t="s">
        <v>6090</v>
      </c>
    </row>
    <row r="4686">
      <c r="B4686" s="19">
        <v>4678.0</v>
      </c>
      <c r="C4686" s="19" t="s">
        <v>6090</v>
      </c>
    </row>
    <row r="4687">
      <c r="B4687" s="19">
        <v>4679.0</v>
      </c>
      <c r="C4687" s="19" t="s">
        <v>6090</v>
      </c>
    </row>
    <row r="4688">
      <c r="B4688" s="19">
        <v>4680.0</v>
      </c>
      <c r="C4688" s="19" t="s">
        <v>6090</v>
      </c>
    </row>
    <row r="4689">
      <c r="B4689" s="19">
        <v>4681.0</v>
      </c>
      <c r="C4689" s="19" t="s">
        <v>6090</v>
      </c>
    </row>
    <row r="4690">
      <c r="B4690" s="19">
        <v>4682.0</v>
      </c>
      <c r="C4690" s="19" t="s">
        <v>6090</v>
      </c>
    </row>
    <row r="4691">
      <c r="B4691" s="19">
        <v>4683.0</v>
      </c>
      <c r="C4691" s="19" t="s">
        <v>6090</v>
      </c>
    </row>
    <row r="4692">
      <c r="B4692" s="19">
        <v>4684.0</v>
      </c>
      <c r="C4692" s="19" t="s">
        <v>6090</v>
      </c>
    </row>
    <row r="4693">
      <c r="B4693" s="19">
        <v>4685.0</v>
      </c>
      <c r="C4693" s="19" t="s">
        <v>6090</v>
      </c>
    </row>
    <row r="4694">
      <c r="B4694" s="19">
        <v>4686.0</v>
      </c>
      <c r="C4694" s="19" t="s">
        <v>6090</v>
      </c>
    </row>
    <row r="4695">
      <c r="B4695" s="19">
        <v>4687.0</v>
      </c>
      <c r="C4695" s="19" t="s">
        <v>6090</v>
      </c>
    </row>
    <row r="4696">
      <c r="B4696" s="19">
        <v>4688.0</v>
      </c>
      <c r="C4696" s="19" t="s">
        <v>6090</v>
      </c>
    </row>
    <row r="4697">
      <c r="B4697" s="19">
        <v>4689.0</v>
      </c>
      <c r="C4697" s="19" t="s">
        <v>6090</v>
      </c>
    </row>
    <row r="4698">
      <c r="B4698" s="19">
        <v>4690.0</v>
      </c>
      <c r="C4698" s="19" t="s">
        <v>6090</v>
      </c>
    </row>
    <row r="4699">
      <c r="B4699" s="19">
        <v>4691.0</v>
      </c>
      <c r="C4699" s="19" t="s">
        <v>6090</v>
      </c>
    </row>
    <row r="4700">
      <c r="B4700" s="19">
        <v>4692.0</v>
      </c>
      <c r="C4700" s="19" t="s">
        <v>6090</v>
      </c>
    </row>
    <row r="4701">
      <c r="B4701" s="19">
        <v>4693.0</v>
      </c>
      <c r="C4701" s="19" t="s">
        <v>6090</v>
      </c>
    </row>
    <row r="4702">
      <c r="B4702" s="19">
        <v>4694.0</v>
      </c>
      <c r="C4702" s="19" t="s">
        <v>6090</v>
      </c>
    </row>
    <row r="4703">
      <c r="B4703" s="19">
        <v>4695.0</v>
      </c>
      <c r="C4703" s="19" t="s">
        <v>6090</v>
      </c>
    </row>
    <row r="4704">
      <c r="B4704" s="19">
        <v>4696.0</v>
      </c>
      <c r="C4704" s="19" t="s">
        <v>6090</v>
      </c>
    </row>
    <row r="4705">
      <c r="B4705" s="19">
        <v>4697.0</v>
      </c>
      <c r="C4705" s="19" t="s">
        <v>6090</v>
      </c>
    </row>
    <row r="4706">
      <c r="B4706" s="19">
        <v>4698.0</v>
      </c>
      <c r="C4706" s="19" t="s">
        <v>6090</v>
      </c>
    </row>
    <row r="4707">
      <c r="B4707" s="19">
        <v>4699.0</v>
      </c>
      <c r="C4707" s="19" t="s">
        <v>6090</v>
      </c>
    </row>
    <row r="4708">
      <c r="B4708" s="19">
        <v>4700.0</v>
      </c>
      <c r="C4708" s="19" t="s">
        <v>6090</v>
      </c>
    </row>
    <row r="4709">
      <c r="B4709" s="19">
        <v>4701.0</v>
      </c>
      <c r="C4709" s="19" t="s">
        <v>6090</v>
      </c>
    </row>
    <row r="4710">
      <c r="B4710" s="19">
        <v>4702.0</v>
      </c>
      <c r="C4710" s="19" t="s">
        <v>6090</v>
      </c>
    </row>
    <row r="4711">
      <c r="B4711" s="19">
        <v>4703.0</v>
      </c>
      <c r="C4711" s="19" t="s">
        <v>6090</v>
      </c>
    </row>
    <row r="4712">
      <c r="B4712" s="19">
        <v>4704.0</v>
      </c>
      <c r="C4712" s="19" t="s">
        <v>6090</v>
      </c>
    </row>
    <row r="4713">
      <c r="B4713" s="19">
        <v>4705.0</v>
      </c>
      <c r="C4713" s="19" t="s">
        <v>6090</v>
      </c>
    </row>
    <row r="4714">
      <c r="B4714" s="19">
        <v>4706.0</v>
      </c>
      <c r="C4714" s="19" t="s">
        <v>6090</v>
      </c>
    </row>
    <row r="4715">
      <c r="B4715" s="19">
        <v>4707.0</v>
      </c>
      <c r="C4715" s="19" t="s">
        <v>6090</v>
      </c>
    </row>
    <row r="4716">
      <c r="B4716" s="19">
        <v>4708.0</v>
      </c>
      <c r="C4716" s="19" t="s">
        <v>6090</v>
      </c>
    </row>
    <row r="4717">
      <c r="B4717" s="19">
        <v>4709.0</v>
      </c>
      <c r="C4717" s="19" t="s">
        <v>6090</v>
      </c>
    </row>
    <row r="4718">
      <c r="B4718" s="19">
        <v>4710.0</v>
      </c>
      <c r="C4718" s="19" t="s">
        <v>6090</v>
      </c>
    </row>
    <row r="4719">
      <c r="B4719" s="19">
        <v>4711.0</v>
      </c>
      <c r="C4719" s="19" t="s">
        <v>6090</v>
      </c>
    </row>
    <row r="4720">
      <c r="B4720" s="19">
        <v>4712.0</v>
      </c>
      <c r="C4720" s="19" t="s">
        <v>6090</v>
      </c>
    </row>
    <row r="4721">
      <c r="B4721" s="19">
        <v>4713.0</v>
      </c>
      <c r="C4721" s="19" t="s">
        <v>6090</v>
      </c>
    </row>
    <row r="4722">
      <c r="B4722" s="19">
        <v>4714.0</v>
      </c>
      <c r="C4722" s="19" t="s">
        <v>6090</v>
      </c>
    </row>
    <row r="4723">
      <c r="B4723" s="19">
        <v>4715.0</v>
      </c>
      <c r="C4723" s="19" t="s">
        <v>6090</v>
      </c>
    </row>
    <row r="4724">
      <c r="B4724" s="19">
        <v>4716.0</v>
      </c>
      <c r="C4724" s="19" t="s">
        <v>6090</v>
      </c>
    </row>
    <row r="4725">
      <c r="B4725" s="19">
        <v>4717.0</v>
      </c>
      <c r="C4725" s="19" t="s">
        <v>6090</v>
      </c>
    </row>
    <row r="4726">
      <c r="B4726" s="19">
        <v>4718.0</v>
      </c>
      <c r="C4726" s="19" t="s">
        <v>6090</v>
      </c>
    </row>
    <row r="4727">
      <c r="B4727" s="19">
        <v>4719.0</v>
      </c>
      <c r="C4727" s="19" t="s">
        <v>6090</v>
      </c>
    </row>
    <row r="4728">
      <c r="B4728" s="19">
        <v>4720.0</v>
      </c>
      <c r="C4728" s="19" t="s">
        <v>6090</v>
      </c>
    </row>
    <row r="4729">
      <c r="B4729" s="19">
        <v>4721.0</v>
      </c>
      <c r="C4729" s="19" t="s">
        <v>6090</v>
      </c>
    </row>
    <row r="4730">
      <c r="B4730" s="19">
        <v>4722.0</v>
      </c>
      <c r="C4730" s="19" t="s">
        <v>6090</v>
      </c>
    </row>
    <row r="4731">
      <c r="B4731" s="19">
        <v>4723.0</v>
      </c>
      <c r="C4731" s="19" t="s">
        <v>6090</v>
      </c>
    </row>
    <row r="4732">
      <c r="B4732" s="19">
        <v>4724.0</v>
      </c>
      <c r="C4732" s="19" t="s">
        <v>6090</v>
      </c>
    </row>
    <row r="4733">
      <c r="B4733" s="19">
        <v>4725.0</v>
      </c>
      <c r="C4733" s="19" t="s">
        <v>6090</v>
      </c>
    </row>
    <row r="4734">
      <c r="B4734" s="19">
        <v>4726.0</v>
      </c>
      <c r="C4734" s="19" t="s">
        <v>6090</v>
      </c>
    </row>
    <row r="4735">
      <c r="B4735" s="19">
        <v>4727.0</v>
      </c>
      <c r="C4735" s="19" t="s">
        <v>6090</v>
      </c>
    </row>
    <row r="4736">
      <c r="B4736" s="19">
        <v>4728.0</v>
      </c>
      <c r="C4736" s="19" t="s">
        <v>6090</v>
      </c>
    </row>
    <row r="4737">
      <c r="B4737" s="19">
        <v>4729.0</v>
      </c>
      <c r="C4737" s="19" t="s">
        <v>6090</v>
      </c>
    </row>
    <row r="4738">
      <c r="B4738" s="19">
        <v>4730.0</v>
      </c>
      <c r="C4738" s="19" t="s">
        <v>6090</v>
      </c>
    </row>
    <row r="4739">
      <c r="B4739" s="19">
        <v>4731.0</v>
      </c>
      <c r="C4739" s="19" t="s">
        <v>6090</v>
      </c>
    </row>
    <row r="4740">
      <c r="B4740" s="19">
        <v>4732.0</v>
      </c>
      <c r="C4740" s="19" t="s">
        <v>6090</v>
      </c>
    </row>
    <row r="4741">
      <c r="B4741" s="19">
        <v>4733.0</v>
      </c>
      <c r="C4741" s="19" t="s">
        <v>6090</v>
      </c>
    </row>
    <row r="4742">
      <c r="B4742" s="19">
        <v>4734.0</v>
      </c>
      <c r="C4742" s="19" t="s">
        <v>6090</v>
      </c>
    </row>
    <row r="4743">
      <c r="B4743" s="19">
        <v>4735.0</v>
      </c>
      <c r="C4743" s="19" t="s">
        <v>6090</v>
      </c>
    </row>
    <row r="4744">
      <c r="B4744" s="19">
        <v>4736.0</v>
      </c>
      <c r="C4744" s="19" t="s">
        <v>6090</v>
      </c>
    </row>
    <row r="4745">
      <c r="B4745" s="19">
        <v>4737.0</v>
      </c>
      <c r="C4745" s="19" t="s">
        <v>6090</v>
      </c>
    </row>
    <row r="4746">
      <c r="B4746" s="19">
        <v>4738.0</v>
      </c>
      <c r="C4746" s="19" t="s">
        <v>6090</v>
      </c>
    </row>
    <row r="4747">
      <c r="B4747" s="19">
        <v>4739.0</v>
      </c>
      <c r="C4747" s="19" t="s">
        <v>6090</v>
      </c>
    </row>
    <row r="4748">
      <c r="B4748" s="19">
        <v>4740.0</v>
      </c>
      <c r="C4748" s="19" t="s">
        <v>6090</v>
      </c>
    </row>
    <row r="4749">
      <c r="B4749" s="19">
        <v>4741.0</v>
      </c>
      <c r="C4749" s="19" t="s">
        <v>6090</v>
      </c>
    </row>
    <row r="4750">
      <c r="B4750" s="19">
        <v>4742.0</v>
      </c>
      <c r="C4750" s="19" t="s">
        <v>6090</v>
      </c>
    </row>
    <row r="4751">
      <c r="B4751" s="19">
        <v>4743.0</v>
      </c>
      <c r="C4751" s="19" t="s">
        <v>6090</v>
      </c>
    </row>
    <row r="4752">
      <c r="B4752" s="19">
        <v>4744.0</v>
      </c>
      <c r="C4752" s="19" t="s">
        <v>6090</v>
      </c>
    </row>
    <row r="4753">
      <c r="B4753" s="19">
        <v>4745.0</v>
      </c>
      <c r="C4753" s="19" t="s">
        <v>6090</v>
      </c>
    </row>
    <row r="4754">
      <c r="B4754" s="19">
        <v>4746.0</v>
      </c>
      <c r="C4754" s="19" t="s">
        <v>6090</v>
      </c>
    </row>
    <row r="4755">
      <c r="B4755" s="19">
        <v>4747.0</v>
      </c>
      <c r="C4755" s="19" t="s">
        <v>6090</v>
      </c>
    </row>
    <row r="4756">
      <c r="B4756" s="19">
        <v>4748.0</v>
      </c>
      <c r="C4756" s="19" t="s">
        <v>6090</v>
      </c>
    </row>
    <row r="4757">
      <c r="B4757" s="19">
        <v>4749.0</v>
      </c>
      <c r="C4757" s="19" t="s">
        <v>6090</v>
      </c>
    </row>
    <row r="4758">
      <c r="B4758" s="19">
        <v>4750.0</v>
      </c>
      <c r="C4758" s="19" t="s">
        <v>6090</v>
      </c>
    </row>
    <row r="4759">
      <c r="B4759" s="19">
        <v>4751.0</v>
      </c>
      <c r="C4759" s="19" t="s">
        <v>6090</v>
      </c>
    </row>
    <row r="4760">
      <c r="B4760" s="19">
        <v>4752.0</v>
      </c>
      <c r="C4760" s="19" t="s">
        <v>6090</v>
      </c>
    </row>
    <row r="4761">
      <c r="B4761" s="19">
        <v>4753.0</v>
      </c>
      <c r="C4761" s="19" t="s">
        <v>6090</v>
      </c>
    </row>
    <row r="4762">
      <c r="B4762" s="19">
        <v>4754.0</v>
      </c>
      <c r="C4762" s="19" t="s">
        <v>6090</v>
      </c>
    </row>
    <row r="4763">
      <c r="B4763" s="19">
        <v>4755.0</v>
      </c>
      <c r="C4763" s="19" t="s">
        <v>6090</v>
      </c>
    </row>
    <row r="4764">
      <c r="B4764" s="19">
        <v>4756.0</v>
      </c>
      <c r="C4764" s="19" t="s">
        <v>6090</v>
      </c>
    </row>
    <row r="4765">
      <c r="B4765" s="19">
        <v>4757.0</v>
      </c>
      <c r="C4765" s="19" t="s">
        <v>6090</v>
      </c>
    </row>
    <row r="4766">
      <c r="B4766" s="19">
        <v>4758.0</v>
      </c>
      <c r="C4766" s="19" t="s">
        <v>6090</v>
      </c>
    </row>
    <row r="4767">
      <c r="B4767" s="19">
        <v>4759.0</v>
      </c>
      <c r="C4767" s="19" t="s">
        <v>6090</v>
      </c>
    </row>
    <row r="4768">
      <c r="B4768" s="19">
        <v>4760.0</v>
      </c>
      <c r="C4768" s="19" t="s">
        <v>6090</v>
      </c>
    </row>
    <row r="4769">
      <c r="B4769" s="19">
        <v>4761.0</v>
      </c>
      <c r="C4769" s="19" t="s">
        <v>6090</v>
      </c>
    </row>
    <row r="4770">
      <c r="B4770" s="19">
        <v>4762.0</v>
      </c>
      <c r="C4770" s="19" t="s">
        <v>6090</v>
      </c>
    </row>
    <row r="4771">
      <c r="B4771" s="19">
        <v>4763.0</v>
      </c>
      <c r="C4771" s="19" t="s">
        <v>6090</v>
      </c>
    </row>
    <row r="4772">
      <c r="B4772" s="19">
        <v>4764.0</v>
      </c>
      <c r="C4772" s="19" t="s">
        <v>6090</v>
      </c>
    </row>
    <row r="4773">
      <c r="B4773" s="19">
        <v>4765.0</v>
      </c>
      <c r="C4773" s="19" t="s">
        <v>6090</v>
      </c>
    </row>
    <row r="4774">
      <c r="B4774" s="19">
        <v>4766.0</v>
      </c>
      <c r="C4774" s="19" t="s">
        <v>6090</v>
      </c>
    </row>
    <row r="4775">
      <c r="B4775" s="19">
        <v>4767.0</v>
      </c>
      <c r="C4775" s="19" t="s">
        <v>6090</v>
      </c>
    </row>
    <row r="4776">
      <c r="B4776" s="19">
        <v>4768.0</v>
      </c>
      <c r="C4776" s="19" t="s">
        <v>6090</v>
      </c>
    </row>
    <row r="4777">
      <c r="B4777" s="19">
        <v>4769.0</v>
      </c>
      <c r="C4777" s="19" t="s">
        <v>6090</v>
      </c>
    </row>
    <row r="4778">
      <c r="B4778" s="19">
        <v>4770.0</v>
      </c>
      <c r="C4778" s="19" t="s">
        <v>6090</v>
      </c>
    </row>
    <row r="4779">
      <c r="B4779" s="19">
        <v>4771.0</v>
      </c>
      <c r="C4779" s="19" t="s">
        <v>6090</v>
      </c>
    </row>
    <row r="4780">
      <c r="B4780" s="19">
        <v>4772.0</v>
      </c>
      <c r="C4780" s="19" t="s">
        <v>6090</v>
      </c>
    </row>
    <row r="4781">
      <c r="B4781" s="19">
        <v>4773.0</v>
      </c>
      <c r="C4781" s="19" t="s">
        <v>6090</v>
      </c>
    </row>
    <row r="4782">
      <c r="B4782" s="19">
        <v>4774.0</v>
      </c>
      <c r="C4782" s="19" t="s">
        <v>6090</v>
      </c>
    </row>
    <row r="4783">
      <c r="B4783" s="19">
        <v>4775.0</v>
      </c>
      <c r="C4783" s="19" t="s">
        <v>6090</v>
      </c>
    </row>
    <row r="4784">
      <c r="B4784" s="19">
        <v>4776.0</v>
      </c>
      <c r="C4784" s="19" t="s">
        <v>6090</v>
      </c>
    </row>
    <row r="4785">
      <c r="B4785" s="19">
        <v>4777.0</v>
      </c>
      <c r="C4785" s="19" t="s">
        <v>6090</v>
      </c>
    </row>
    <row r="4786">
      <c r="B4786" s="19">
        <v>4778.0</v>
      </c>
      <c r="C4786" s="19" t="s">
        <v>6090</v>
      </c>
    </row>
    <row r="4787">
      <c r="B4787" s="19">
        <v>4779.0</v>
      </c>
      <c r="C4787" s="19" t="s">
        <v>6090</v>
      </c>
    </row>
    <row r="4788">
      <c r="B4788" s="19">
        <v>4780.0</v>
      </c>
      <c r="C4788" s="19" t="s">
        <v>6090</v>
      </c>
    </row>
    <row r="4789">
      <c r="B4789" s="19">
        <v>4781.0</v>
      </c>
      <c r="C4789" s="19" t="s">
        <v>6090</v>
      </c>
    </row>
    <row r="4790">
      <c r="B4790" s="19">
        <v>4782.0</v>
      </c>
      <c r="C4790" s="19" t="s">
        <v>6090</v>
      </c>
    </row>
    <row r="4791">
      <c r="B4791" s="19">
        <v>4783.0</v>
      </c>
      <c r="C4791" s="19" t="s">
        <v>6090</v>
      </c>
    </row>
    <row r="4792">
      <c r="B4792" s="19">
        <v>4784.0</v>
      </c>
      <c r="C4792" s="19" t="s">
        <v>6090</v>
      </c>
    </row>
    <row r="4793">
      <c r="B4793" s="19">
        <v>4785.0</v>
      </c>
      <c r="C4793" s="19" t="s">
        <v>6090</v>
      </c>
    </row>
    <row r="4794">
      <c r="B4794" s="19">
        <v>4786.0</v>
      </c>
      <c r="C4794" s="19" t="s">
        <v>6090</v>
      </c>
    </row>
    <row r="4795">
      <c r="B4795" s="19">
        <v>4787.0</v>
      </c>
      <c r="C4795" s="19" t="s">
        <v>6090</v>
      </c>
    </row>
    <row r="4796">
      <c r="B4796" s="19">
        <v>4788.0</v>
      </c>
      <c r="C4796" s="19" t="s">
        <v>6090</v>
      </c>
    </row>
    <row r="4797">
      <c r="B4797" s="19">
        <v>4789.0</v>
      </c>
      <c r="C4797" s="19" t="s">
        <v>6090</v>
      </c>
    </row>
    <row r="4798">
      <c r="B4798" s="19">
        <v>4790.0</v>
      </c>
      <c r="C4798" s="19" t="s">
        <v>6090</v>
      </c>
    </row>
    <row r="4799">
      <c r="B4799" s="19">
        <v>4791.0</v>
      </c>
      <c r="C4799" s="19" t="s">
        <v>6090</v>
      </c>
    </row>
    <row r="4800">
      <c r="B4800" s="19">
        <v>4792.0</v>
      </c>
      <c r="C4800" s="19" t="s">
        <v>6090</v>
      </c>
    </row>
    <row r="4801">
      <c r="B4801" s="19">
        <v>4793.0</v>
      </c>
      <c r="C4801" s="19" t="s">
        <v>6090</v>
      </c>
    </row>
    <row r="4802">
      <c r="B4802" s="19">
        <v>4794.0</v>
      </c>
      <c r="C4802" s="19" t="s">
        <v>6090</v>
      </c>
    </row>
    <row r="4803">
      <c r="B4803" s="19">
        <v>4795.0</v>
      </c>
      <c r="C4803" s="19" t="s">
        <v>6090</v>
      </c>
    </row>
    <row r="4804">
      <c r="B4804" s="19">
        <v>4796.0</v>
      </c>
      <c r="C4804" s="19" t="s">
        <v>6090</v>
      </c>
    </row>
    <row r="4805">
      <c r="B4805" s="19">
        <v>4797.0</v>
      </c>
      <c r="C4805" s="19" t="s">
        <v>6090</v>
      </c>
    </row>
    <row r="4806">
      <c r="B4806" s="19">
        <v>4798.0</v>
      </c>
      <c r="C4806" s="19" t="s">
        <v>6090</v>
      </c>
    </row>
    <row r="4807">
      <c r="B4807" s="19">
        <v>4799.0</v>
      </c>
      <c r="C4807" s="19" t="s">
        <v>6090</v>
      </c>
    </row>
    <row r="4808">
      <c r="B4808" s="19">
        <v>4800.0</v>
      </c>
      <c r="C4808" s="19" t="s">
        <v>6090</v>
      </c>
    </row>
    <row r="4809">
      <c r="B4809" s="19">
        <v>4801.0</v>
      </c>
      <c r="C4809" s="19" t="s">
        <v>6090</v>
      </c>
    </row>
    <row r="4810">
      <c r="B4810" s="19">
        <v>4802.0</v>
      </c>
      <c r="C4810" s="19" t="s">
        <v>6090</v>
      </c>
    </row>
    <row r="4811">
      <c r="B4811" s="19">
        <v>4803.0</v>
      </c>
      <c r="C4811" s="19" t="s">
        <v>6090</v>
      </c>
    </row>
    <row r="4812">
      <c r="B4812" s="19">
        <v>4804.0</v>
      </c>
      <c r="C4812" s="19" t="s">
        <v>6090</v>
      </c>
    </row>
    <row r="4813">
      <c r="B4813" s="19">
        <v>4805.0</v>
      </c>
      <c r="C4813" s="19" t="s">
        <v>6090</v>
      </c>
    </row>
    <row r="4814">
      <c r="B4814" s="19">
        <v>4806.0</v>
      </c>
      <c r="C4814" s="19" t="s">
        <v>6090</v>
      </c>
    </row>
    <row r="4815">
      <c r="B4815" s="19">
        <v>4807.0</v>
      </c>
      <c r="C4815" s="19" t="s">
        <v>6090</v>
      </c>
    </row>
    <row r="4816">
      <c r="B4816" s="19">
        <v>4808.0</v>
      </c>
      <c r="C4816" s="19" t="s">
        <v>6090</v>
      </c>
    </row>
    <row r="4817">
      <c r="B4817" s="19">
        <v>4809.0</v>
      </c>
      <c r="C4817" s="19" t="s">
        <v>6090</v>
      </c>
    </row>
    <row r="4818">
      <c r="B4818" s="19">
        <v>4810.0</v>
      </c>
      <c r="C4818" s="19" t="s">
        <v>6090</v>
      </c>
    </row>
    <row r="4819">
      <c r="B4819" s="19">
        <v>4811.0</v>
      </c>
      <c r="C4819" s="19" t="s">
        <v>6090</v>
      </c>
    </row>
    <row r="4820">
      <c r="B4820" s="19">
        <v>4812.0</v>
      </c>
      <c r="C4820" s="19" t="s">
        <v>6090</v>
      </c>
    </row>
    <row r="4821">
      <c r="B4821" s="19">
        <v>4813.0</v>
      </c>
      <c r="C4821" s="19" t="s">
        <v>6090</v>
      </c>
    </row>
    <row r="4822">
      <c r="B4822" s="19">
        <v>4814.0</v>
      </c>
      <c r="C4822" s="19" t="s">
        <v>6090</v>
      </c>
    </row>
    <row r="4823">
      <c r="B4823" s="19">
        <v>4815.0</v>
      </c>
      <c r="C4823" s="19" t="s">
        <v>6090</v>
      </c>
    </row>
    <row r="4824">
      <c r="B4824" s="19">
        <v>4816.0</v>
      </c>
      <c r="C4824" s="19" t="s">
        <v>6090</v>
      </c>
    </row>
    <row r="4825">
      <c r="B4825" s="19">
        <v>4817.0</v>
      </c>
      <c r="C4825" s="19" t="s">
        <v>6090</v>
      </c>
    </row>
    <row r="4826">
      <c r="B4826" s="19">
        <v>4818.0</v>
      </c>
      <c r="C4826" s="19" t="s">
        <v>6090</v>
      </c>
    </row>
    <row r="4827">
      <c r="B4827" s="19">
        <v>4819.0</v>
      </c>
      <c r="C4827" s="19" t="s">
        <v>6090</v>
      </c>
    </row>
    <row r="4828">
      <c r="B4828" s="19">
        <v>4820.0</v>
      </c>
      <c r="C4828" s="19" t="s">
        <v>6090</v>
      </c>
    </row>
    <row r="4829">
      <c r="B4829" s="19">
        <v>4821.0</v>
      </c>
      <c r="C4829" s="19" t="s">
        <v>6090</v>
      </c>
    </row>
    <row r="4830">
      <c r="B4830" s="19">
        <v>4822.0</v>
      </c>
      <c r="C4830" s="19" t="s">
        <v>6090</v>
      </c>
    </row>
    <row r="4831">
      <c r="B4831" s="19">
        <v>4823.0</v>
      </c>
      <c r="C4831" s="19" t="s">
        <v>6090</v>
      </c>
    </row>
    <row r="4832">
      <c r="B4832" s="19">
        <v>4824.0</v>
      </c>
      <c r="C4832" s="19" t="s">
        <v>6090</v>
      </c>
    </row>
    <row r="4833">
      <c r="B4833" s="19">
        <v>4825.0</v>
      </c>
      <c r="C4833" s="19" t="s">
        <v>6090</v>
      </c>
    </row>
    <row r="4834">
      <c r="B4834" s="19">
        <v>4826.0</v>
      </c>
      <c r="C4834" s="19" t="s">
        <v>6090</v>
      </c>
    </row>
    <row r="4835">
      <c r="B4835" s="19">
        <v>4827.0</v>
      </c>
      <c r="C4835" s="19" t="s">
        <v>6090</v>
      </c>
    </row>
    <row r="4836">
      <c r="B4836" s="19">
        <v>4828.0</v>
      </c>
      <c r="C4836" s="19" t="s">
        <v>6090</v>
      </c>
    </row>
    <row r="4837">
      <c r="B4837" s="19">
        <v>4829.0</v>
      </c>
      <c r="C4837" s="19" t="s">
        <v>6090</v>
      </c>
    </row>
    <row r="4838">
      <c r="B4838" s="19">
        <v>4830.0</v>
      </c>
      <c r="C4838" s="19" t="s">
        <v>6090</v>
      </c>
    </row>
    <row r="4839">
      <c r="B4839" s="19">
        <v>4831.0</v>
      </c>
      <c r="C4839" s="19" t="s">
        <v>6090</v>
      </c>
    </row>
    <row r="4840">
      <c r="B4840" s="19">
        <v>4832.0</v>
      </c>
      <c r="C4840" s="19" t="s">
        <v>6090</v>
      </c>
    </row>
    <row r="4841">
      <c r="B4841" s="19">
        <v>4833.0</v>
      </c>
      <c r="C4841" s="19" t="s">
        <v>6090</v>
      </c>
    </row>
    <row r="4842">
      <c r="B4842" s="19">
        <v>4834.0</v>
      </c>
      <c r="C4842" s="19" t="s">
        <v>6090</v>
      </c>
    </row>
    <row r="4843">
      <c r="B4843" s="19">
        <v>4835.0</v>
      </c>
      <c r="C4843" s="19" t="s">
        <v>6090</v>
      </c>
    </row>
    <row r="4844">
      <c r="B4844" s="19">
        <v>4836.0</v>
      </c>
      <c r="C4844" s="19" t="s">
        <v>6090</v>
      </c>
    </row>
    <row r="4845">
      <c r="B4845" s="19">
        <v>4837.0</v>
      </c>
      <c r="C4845" s="19" t="s">
        <v>6090</v>
      </c>
    </row>
    <row r="4846">
      <c r="B4846" s="19">
        <v>4838.0</v>
      </c>
      <c r="C4846" s="19" t="s">
        <v>6090</v>
      </c>
    </row>
    <row r="4847">
      <c r="B4847" s="19">
        <v>4839.0</v>
      </c>
      <c r="C4847" s="19" t="s">
        <v>6090</v>
      </c>
    </row>
    <row r="4848">
      <c r="B4848" s="19">
        <v>4840.0</v>
      </c>
      <c r="C4848" s="19" t="s">
        <v>6090</v>
      </c>
    </row>
    <row r="4849">
      <c r="B4849" s="19">
        <v>4841.0</v>
      </c>
      <c r="C4849" s="19" t="s">
        <v>6090</v>
      </c>
    </row>
    <row r="4850">
      <c r="B4850" s="19">
        <v>4842.0</v>
      </c>
      <c r="C4850" s="19" t="s">
        <v>6090</v>
      </c>
    </row>
    <row r="4851">
      <c r="B4851" s="19">
        <v>4843.0</v>
      </c>
      <c r="C4851" s="19" t="s">
        <v>6090</v>
      </c>
    </row>
    <row r="4852">
      <c r="B4852" s="19">
        <v>4844.0</v>
      </c>
      <c r="C4852" s="19" t="s">
        <v>6090</v>
      </c>
    </row>
    <row r="4853">
      <c r="B4853" s="19">
        <v>4845.0</v>
      </c>
      <c r="C4853" s="19" t="s">
        <v>6090</v>
      </c>
    </row>
    <row r="4854">
      <c r="B4854" s="19">
        <v>4846.0</v>
      </c>
      <c r="C4854" s="19" t="s">
        <v>6090</v>
      </c>
    </row>
    <row r="4855">
      <c r="B4855" s="19">
        <v>4847.0</v>
      </c>
      <c r="C4855" s="19" t="s">
        <v>6090</v>
      </c>
    </row>
    <row r="4856">
      <c r="B4856" s="19">
        <v>4848.0</v>
      </c>
      <c r="C4856" s="19" t="s">
        <v>6090</v>
      </c>
    </row>
    <row r="4857">
      <c r="B4857" s="19">
        <v>4849.0</v>
      </c>
      <c r="C4857" s="19" t="s">
        <v>6090</v>
      </c>
    </row>
    <row r="4858">
      <c r="B4858" s="19">
        <v>4850.0</v>
      </c>
      <c r="C4858" s="19" t="s">
        <v>6090</v>
      </c>
    </row>
    <row r="4859">
      <c r="B4859" s="19">
        <v>4851.0</v>
      </c>
      <c r="C4859" s="19" t="s">
        <v>6090</v>
      </c>
    </row>
    <row r="4860">
      <c r="B4860" s="19">
        <v>4852.0</v>
      </c>
      <c r="C4860" s="19" t="s">
        <v>6090</v>
      </c>
    </row>
    <row r="4861">
      <c r="B4861" s="19">
        <v>4853.0</v>
      </c>
      <c r="C4861" s="19" t="s">
        <v>6090</v>
      </c>
    </row>
    <row r="4862">
      <c r="B4862" s="19">
        <v>4854.0</v>
      </c>
      <c r="C4862" s="19" t="s">
        <v>6090</v>
      </c>
    </row>
    <row r="4863">
      <c r="B4863" s="19">
        <v>4855.0</v>
      </c>
      <c r="C4863" s="19" t="s">
        <v>6090</v>
      </c>
    </row>
    <row r="4864">
      <c r="B4864" s="19">
        <v>4856.0</v>
      </c>
      <c r="C4864" s="19" t="s">
        <v>6090</v>
      </c>
    </row>
    <row r="4865">
      <c r="B4865" s="19">
        <v>4857.0</v>
      </c>
      <c r="C4865" s="19" t="s">
        <v>6090</v>
      </c>
    </row>
    <row r="4866">
      <c r="B4866" s="19">
        <v>4858.0</v>
      </c>
      <c r="C4866" s="19" t="s">
        <v>6090</v>
      </c>
    </row>
    <row r="4867">
      <c r="B4867" s="19">
        <v>4859.0</v>
      </c>
      <c r="C4867" s="19" t="s">
        <v>6090</v>
      </c>
    </row>
    <row r="4868">
      <c r="B4868" s="19">
        <v>4860.0</v>
      </c>
      <c r="C4868" s="19" t="s">
        <v>6090</v>
      </c>
    </row>
    <row r="4869">
      <c r="B4869" s="19">
        <v>4861.0</v>
      </c>
      <c r="C4869" s="19" t="s">
        <v>6090</v>
      </c>
    </row>
    <row r="4870">
      <c r="B4870" s="19">
        <v>4862.0</v>
      </c>
      <c r="C4870" s="19" t="s">
        <v>6090</v>
      </c>
    </row>
    <row r="4871">
      <c r="B4871" s="19">
        <v>4863.0</v>
      </c>
      <c r="C4871" s="19" t="s">
        <v>6090</v>
      </c>
    </row>
    <row r="4872">
      <c r="B4872" s="19">
        <v>4864.0</v>
      </c>
      <c r="C4872" s="19" t="s">
        <v>6090</v>
      </c>
    </row>
    <row r="4873">
      <c r="B4873" s="19">
        <v>4865.0</v>
      </c>
      <c r="C4873" s="19" t="s">
        <v>6090</v>
      </c>
    </row>
    <row r="4874">
      <c r="B4874" s="19">
        <v>4866.0</v>
      </c>
      <c r="C4874" s="19" t="s">
        <v>6090</v>
      </c>
    </row>
    <row r="4875">
      <c r="B4875" s="19">
        <v>4867.0</v>
      </c>
      <c r="C4875" s="19" t="s">
        <v>6090</v>
      </c>
    </row>
    <row r="4876">
      <c r="B4876" s="19">
        <v>4868.0</v>
      </c>
      <c r="C4876" s="19" t="s">
        <v>6090</v>
      </c>
    </row>
    <row r="4877">
      <c r="B4877" s="19">
        <v>4869.0</v>
      </c>
      <c r="C4877" s="19" t="s">
        <v>6090</v>
      </c>
    </row>
    <row r="4878">
      <c r="B4878" s="19">
        <v>4870.0</v>
      </c>
      <c r="C4878" s="19" t="s">
        <v>6090</v>
      </c>
    </row>
    <row r="4879">
      <c r="B4879" s="19">
        <v>4871.0</v>
      </c>
      <c r="C4879" s="19" t="s">
        <v>6090</v>
      </c>
    </row>
    <row r="4880">
      <c r="B4880" s="19">
        <v>4872.0</v>
      </c>
      <c r="C4880" s="19" t="s">
        <v>6090</v>
      </c>
    </row>
    <row r="4881">
      <c r="B4881" s="19">
        <v>4873.0</v>
      </c>
      <c r="C4881" s="19" t="s">
        <v>6090</v>
      </c>
    </row>
    <row r="4882">
      <c r="B4882" s="19">
        <v>4874.0</v>
      </c>
      <c r="C4882" s="19" t="s">
        <v>6090</v>
      </c>
    </row>
    <row r="4883">
      <c r="B4883" s="19">
        <v>4875.0</v>
      </c>
      <c r="C4883" s="19" t="s">
        <v>6090</v>
      </c>
    </row>
    <row r="4884">
      <c r="B4884" s="19">
        <v>4876.0</v>
      </c>
      <c r="C4884" s="19" t="s">
        <v>6090</v>
      </c>
    </row>
    <row r="4885">
      <c r="B4885" s="19">
        <v>4877.0</v>
      </c>
      <c r="C4885" s="19" t="s">
        <v>6090</v>
      </c>
    </row>
    <row r="4886">
      <c r="B4886" s="19">
        <v>4878.0</v>
      </c>
      <c r="C4886" s="19" t="s">
        <v>6090</v>
      </c>
    </row>
    <row r="4887">
      <c r="B4887" s="19">
        <v>4879.0</v>
      </c>
      <c r="C4887" s="19" t="s">
        <v>6090</v>
      </c>
    </row>
    <row r="4888">
      <c r="B4888" s="19">
        <v>4880.0</v>
      </c>
      <c r="C4888" s="19" t="s">
        <v>6090</v>
      </c>
    </row>
    <row r="4889">
      <c r="B4889" s="19">
        <v>4881.0</v>
      </c>
      <c r="C4889" s="19" t="s">
        <v>6090</v>
      </c>
    </row>
    <row r="4890">
      <c r="B4890" s="19">
        <v>4882.0</v>
      </c>
      <c r="C4890" s="19" t="s">
        <v>6090</v>
      </c>
    </row>
    <row r="4891">
      <c r="B4891" s="19">
        <v>4883.0</v>
      </c>
      <c r="C4891" s="19" t="s">
        <v>6090</v>
      </c>
    </row>
    <row r="4892">
      <c r="B4892" s="19">
        <v>4884.0</v>
      </c>
      <c r="C4892" s="19" t="s">
        <v>6090</v>
      </c>
    </row>
    <row r="4893">
      <c r="B4893" s="19">
        <v>4885.0</v>
      </c>
      <c r="C4893" s="19" t="s">
        <v>6090</v>
      </c>
    </row>
    <row r="4894">
      <c r="B4894" s="19">
        <v>4886.0</v>
      </c>
      <c r="C4894" s="19" t="s">
        <v>6090</v>
      </c>
    </row>
    <row r="4895">
      <c r="B4895" s="19">
        <v>4887.0</v>
      </c>
      <c r="C4895" s="19" t="s">
        <v>6090</v>
      </c>
    </row>
    <row r="4896">
      <c r="B4896" s="19">
        <v>4888.0</v>
      </c>
      <c r="C4896" s="19" t="s">
        <v>6090</v>
      </c>
    </row>
    <row r="4897">
      <c r="B4897" s="19">
        <v>4889.0</v>
      </c>
      <c r="C4897" s="19" t="s">
        <v>6090</v>
      </c>
    </row>
    <row r="4898">
      <c r="B4898" s="19">
        <v>4890.0</v>
      </c>
      <c r="C4898" s="19" t="s">
        <v>6090</v>
      </c>
    </row>
    <row r="4899">
      <c r="B4899" s="19">
        <v>4891.0</v>
      </c>
      <c r="C4899" s="19" t="s">
        <v>6090</v>
      </c>
    </row>
    <row r="4900">
      <c r="B4900" s="19">
        <v>4892.0</v>
      </c>
      <c r="C4900" s="19" t="s">
        <v>6090</v>
      </c>
    </row>
    <row r="4901">
      <c r="B4901" s="19">
        <v>4893.0</v>
      </c>
      <c r="C4901" s="19" t="s">
        <v>6090</v>
      </c>
    </row>
    <row r="4902">
      <c r="B4902" s="19">
        <v>4894.0</v>
      </c>
      <c r="C4902" s="19" t="s">
        <v>6090</v>
      </c>
    </row>
    <row r="4903">
      <c r="B4903" s="19">
        <v>4895.0</v>
      </c>
      <c r="C4903" s="19" t="s">
        <v>6090</v>
      </c>
    </row>
    <row r="4904">
      <c r="B4904" s="19">
        <v>4896.0</v>
      </c>
      <c r="C4904" s="19" t="s">
        <v>6090</v>
      </c>
    </row>
    <row r="4905">
      <c r="B4905" s="19">
        <v>4897.0</v>
      </c>
      <c r="C4905" s="19" t="s">
        <v>6090</v>
      </c>
    </row>
    <row r="4906">
      <c r="B4906" s="19">
        <v>4898.0</v>
      </c>
      <c r="C4906" s="19" t="s">
        <v>6090</v>
      </c>
    </row>
    <row r="4907">
      <c r="B4907" s="19">
        <v>4899.0</v>
      </c>
      <c r="C4907" s="19" t="s">
        <v>6090</v>
      </c>
    </row>
    <row r="4908">
      <c r="B4908" s="19">
        <v>4900.0</v>
      </c>
      <c r="C4908" s="19" t="s">
        <v>6090</v>
      </c>
    </row>
    <row r="4909">
      <c r="B4909" s="19">
        <v>4901.0</v>
      </c>
      <c r="C4909" s="19" t="s">
        <v>6090</v>
      </c>
    </row>
    <row r="4910">
      <c r="B4910" s="19">
        <v>4902.0</v>
      </c>
      <c r="C4910" s="19" t="s">
        <v>6090</v>
      </c>
    </row>
    <row r="4911">
      <c r="B4911" s="19">
        <v>4903.0</v>
      </c>
      <c r="C4911" s="19" t="s">
        <v>6090</v>
      </c>
    </row>
    <row r="4912">
      <c r="B4912" s="19">
        <v>4904.0</v>
      </c>
      <c r="C4912" s="19" t="s">
        <v>6090</v>
      </c>
    </row>
    <row r="4913">
      <c r="B4913" s="19">
        <v>4905.0</v>
      </c>
      <c r="C4913" s="19" t="s">
        <v>6090</v>
      </c>
    </row>
    <row r="4914">
      <c r="B4914" s="19">
        <v>4906.0</v>
      </c>
      <c r="C4914" s="19" t="s">
        <v>6090</v>
      </c>
    </row>
    <row r="4915">
      <c r="B4915" s="19">
        <v>4907.0</v>
      </c>
      <c r="C4915" s="19" t="s">
        <v>6090</v>
      </c>
    </row>
    <row r="4916">
      <c r="B4916" s="19">
        <v>4908.0</v>
      </c>
      <c r="C4916" s="19" t="s">
        <v>6090</v>
      </c>
    </row>
    <row r="4917">
      <c r="B4917" s="19">
        <v>4909.0</v>
      </c>
      <c r="C4917" s="19" t="s">
        <v>6090</v>
      </c>
    </row>
    <row r="4918">
      <c r="B4918" s="19">
        <v>4910.0</v>
      </c>
      <c r="C4918" s="19" t="s">
        <v>6090</v>
      </c>
    </row>
    <row r="4919">
      <c r="B4919" s="19">
        <v>4911.0</v>
      </c>
      <c r="C4919" s="19" t="s">
        <v>6090</v>
      </c>
    </row>
    <row r="4920">
      <c r="B4920" s="19">
        <v>4912.0</v>
      </c>
      <c r="C4920" s="19" t="s">
        <v>6090</v>
      </c>
    </row>
    <row r="4921">
      <c r="B4921" s="19">
        <v>4913.0</v>
      </c>
      <c r="C4921" s="19" t="s">
        <v>6090</v>
      </c>
    </row>
    <row r="4922">
      <c r="B4922" s="19">
        <v>4914.0</v>
      </c>
      <c r="C4922" s="19" t="s">
        <v>6090</v>
      </c>
    </row>
    <row r="4923">
      <c r="B4923" s="19">
        <v>4915.0</v>
      </c>
      <c r="C4923" s="19" t="s">
        <v>6090</v>
      </c>
    </row>
    <row r="4924">
      <c r="B4924" s="19">
        <v>4916.0</v>
      </c>
      <c r="C4924" s="19" t="s">
        <v>6090</v>
      </c>
    </row>
    <row r="4925">
      <c r="B4925" s="19">
        <v>4917.0</v>
      </c>
      <c r="C4925" s="19" t="s">
        <v>6090</v>
      </c>
    </row>
    <row r="4926">
      <c r="B4926" s="19">
        <v>4918.0</v>
      </c>
      <c r="C4926" s="19" t="s">
        <v>6090</v>
      </c>
    </row>
    <row r="4927">
      <c r="B4927" s="19">
        <v>4919.0</v>
      </c>
      <c r="C4927" s="19" t="s">
        <v>6090</v>
      </c>
    </row>
    <row r="4928">
      <c r="B4928" s="19">
        <v>4920.0</v>
      </c>
      <c r="C4928" s="19" t="s">
        <v>6090</v>
      </c>
    </row>
    <row r="4929">
      <c r="B4929" s="19">
        <v>4921.0</v>
      </c>
      <c r="C4929" s="19" t="s">
        <v>6090</v>
      </c>
    </row>
    <row r="4930">
      <c r="B4930" s="19">
        <v>4922.0</v>
      </c>
      <c r="C4930" s="19" t="s">
        <v>6090</v>
      </c>
    </row>
    <row r="4931">
      <c r="B4931" s="19">
        <v>4923.0</v>
      </c>
      <c r="C4931" s="19" t="s">
        <v>6090</v>
      </c>
    </row>
    <row r="4932">
      <c r="B4932" s="19">
        <v>4924.0</v>
      </c>
      <c r="C4932" s="19" t="s">
        <v>6090</v>
      </c>
    </row>
    <row r="4933">
      <c r="B4933" s="19">
        <v>4925.0</v>
      </c>
      <c r="C4933" s="19" t="s">
        <v>6090</v>
      </c>
    </row>
    <row r="4934">
      <c r="B4934" s="19">
        <v>4926.0</v>
      </c>
      <c r="C4934" s="19" t="s">
        <v>6090</v>
      </c>
    </row>
    <row r="4935">
      <c r="B4935" s="19">
        <v>4927.0</v>
      </c>
      <c r="C4935" s="19" t="s">
        <v>6090</v>
      </c>
    </row>
    <row r="4936">
      <c r="B4936" s="19">
        <v>4928.0</v>
      </c>
      <c r="C4936" s="19" t="s">
        <v>6090</v>
      </c>
    </row>
    <row r="4937">
      <c r="B4937" s="19">
        <v>4929.0</v>
      </c>
      <c r="C4937" s="19" t="s">
        <v>6090</v>
      </c>
    </row>
    <row r="4938">
      <c r="B4938" s="19">
        <v>4930.0</v>
      </c>
      <c r="C4938" s="19" t="s">
        <v>6090</v>
      </c>
    </row>
    <row r="4939">
      <c r="B4939" s="19">
        <v>4931.0</v>
      </c>
      <c r="C4939" s="19" t="s">
        <v>6090</v>
      </c>
    </row>
    <row r="4940">
      <c r="B4940" s="19">
        <v>4932.0</v>
      </c>
      <c r="C4940" s="19" t="s">
        <v>6090</v>
      </c>
    </row>
    <row r="4941">
      <c r="B4941" s="19">
        <v>4933.0</v>
      </c>
      <c r="C4941" s="19" t="s">
        <v>6090</v>
      </c>
    </row>
    <row r="4942">
      <c r="B4942" s="19">
        <v>4934.0</v>
      </c>
      <c r="C4942" s="19" t="s">
        <v>6090</v>
      </c>
    </row>
    <row r="4943">
      <c r="B4943" s="19">
        <v>4935.0</v>
      </c>
      <c r="C4943" s="19" t="s">
        <v>6090</v>
      </c>
    </row>
    <row r="4944">
      <c r="B4944" s="19">
        <v>4936.0</v>
      </c>
      <c r="C4944" s="19" t="s">
        <v>6090</v>
      </c>
    </row>
    <row r="4945">
      <c r="B4945" s="19">
        <v>4937.0</v>
      </c>
      <c r="C4945" s="19" t="s">
        <v>6090</v>
      </c>
    </row>
    <row r="4946">
      <c r="B4946" s="19">
        <v>4938.0</v>
      </c>
      <c r="C4946" s="19" t="s">
        <v>6090</v>
      </c>
    </row>
    <row r="4947">
      <c r="B4947" s="19">
        <v>4939.0</v>
      </c>
      <c r="C4947" s="19" t="s">
        <v>6090</v>
      </c>
    </row>
    <row r="4948">
      <c r="B4948" s="19">
        <v>4940.0</v>
      </c>
      <c r="C4948" s="19" t="s">
        <v>6090</v>
      </c>
    </row>
    <row r="4949">
      <c r="B4949" s="19">
        <v>4941.0</v>
      </c>
      <c r="C4949" s="19" t="s">
        <v>6090</v>
      </c>
    </row>
    <row r="4950">
      <c r="B4950" s="19">
        <v>4942.0</v>
      </c>
      <c r="C4950" s="19" t="s">
        <v>6090</v>
      </c>
    </row>
    <row r="4951">
      <c r="B4951" s="19">
        <v>4943.0</v>
      </c>
      <c r="C4951" s="19" t="s">
        <v>6090</v>
      </c>
    </row>
    <row r="4952">
      <c r="B4952" s="19">
        <v>4944.0</v>
      </c>
      <c r="C4952" s="19" t="s">
        <v>6090</v>
      </c>
    </row>
    <row r="4953">
      <c r="B4953" s="19">
        <v>4945.0</v>
      </c>
      <c r="C4953" s="19" t="s">
        <v>6090</v>
      </c>
    </row>
    <row r="4954">
      <c r="B4954" s="19">
        <v>4946.0</v>
      </c>
      <c r="C4954" s="19" t="s">
        <v>6090</v>
      </c>
    </row>
    <row r="4955">
      <c r="B4955" s="19">
        <v>4947.0</v>
      </c>
      <c r="C4955" s="19" t="s">
        <v>6090</v>
      </c>
    </row>
    <row r="4956">
      <c r="B4956" s="19">
        <v>4948.0</v>
      </c>
      <c r="C4956" s="19" t="s">
        <v>6090</v>
      </c>
    </row>
    <row r="4957">
      <c r="B4957" s="19">
        <v>4949.0</v>
      </c>
      <c r="C4957" s="19" t="s">
        <v>6090</v>
      </c>
    </row>
    <row r="4958">
      <c r="B4958" s="19">
        <v>4950.0</v>
      </c>
      <c r="C4958" s="19" t="s">
        <v>6090</v>
      </c>
    </row>
    <row r="4959">
      <c r="B4959" s="19">
        <v>4951.0</v>
      </c>
      <c r="C4959" s="19" t="s">
        <v>6090</v>
      </c>
    </row>
    <row r="4960">
      <c r="B4960" s="19">
        <v>4952.0</v>
      </c>
      <c r="C4960" s="19" t="s">
        <v>6090</v>
      </c>
    </row>
    <row r="4961">
      <c r="B4961" s="19">
        <v>4953.0</v>
      </c>
      <c r="C4961" s="19" t="s">
        <v>6090</v>
      </c>
    </row>
    <row r="4962">
      <c r="B4962" s="19">
        <v>4954.0</v>
      </c>
      <c r="C4962" s="19" t="s">
        <v>6090</v>
      </c>
    </row>
    <row r="4963">
      <c r="B4963" s="19">
        <v>4955.0</v>
      </c>
      <c r="C4963" s="19" t="s">
        <v>6090</v>
      </c>
    </row>
    <row r="4964">
      <c r="B4964" s="19">
        <v>4956.0</v>
      </c>
      <c r="C4964" s="19" t="s">
        <v>6090</v>
      </c>
    </row>
    <row r="4965">
      <c r="B4965" s="19">
        <v>4957.0</v>
      </c>
      <c r="C4965" s="19" t="s">
        <v>6090</v>
      </c>
    </row>
    <row r="4966">
      <c r="B4966" s="19">
        <v>4958.0</v>
      </c>
      <c r="C4966" s="19" t="s">
        <v>6090</v>
      </c>
    </row>
    <row r="4967">
      <c r="B4967" s="19">
        <v>4959.0</v>
      </c>
      <c r="C4967" s="19" t="s">
        <v>6090</v>
      </c>
    </row>
    <row r="4968">
      <c r="B4968" s="19">
        <v>4960.0</v>
      </c>
      <c r="C4968" s="19" t="s">
        <v>6090</v>
      </c>
    </row>
    <row r="4969">
      <c r="B4969" s="19">
        <v>4961.0</v>
      </c>
      <c r="C4969" s="19" t="s">
        <v>6090</v>
      </c>
    </row>
    <row r="4970">
      <c r="B4970" s="19">
        <v>4962.0</v>
      </c>
      <c r="C4970" s="19" t="s">
        <v>6090</v>
      </c>
    </row>
    <row r="4971">
      <c r="B4971" s="19">
        <v>4963.0</v>
      </c>
      <c r="C4971" s="19" t="s">
        <v>6090</v>
      </c>
    </row>
    <row r="4972">
      <c r="B4972" s="19">
        <v>4964.0</v>
      </c>
      <c r="C4972" s="19" t="s">
        <v>6090</v>
      </c>
    </row>
    <row r="4973">
      <c r="B4973" s="19">
        <v>4965.0</v>
      </c>
      <c r="C4973" s="19" t="s">
        <v>6090</v>
      </c>
    </row>
    <row r="4974">
      <c r="B4974" s="19">
        <v>4966.0</v>
      </c>
      <c r="C4974" s="19" t="s">
        <v>6090</v>
      </c>
    </row>
    <row r="4975">
      <c r="B4975" s="19">
        <v>4967.0</v>
      </c>
      <c r="C4975" s="19" t="s">
        <v>6090</v>
      </c>
    </row>
    <row r="4976">
      <c r="B4976" s="19">
        <v>4968.0</v>
      </c>
      <c r="C4976" s="19" t="s">
        <v>6090</v>
      </c>
    </row>
    <row r="4977">
      <c r="B4977" s="19">
        <v>4969.0</v>
      </c>
      <c r="C4977" s="19" t="s">
        <v>6090</v>
      </c>
    </row>
    <row r="4978">
      <c r="B4978" s="19">
        <v>4970.0</v>
      </c>
      <c r="C4978" s="19" t="s">
        <v>6090</v>
      </c>
    </row>
    <row r="4979">
      <c r="B4979" s="19">
        <v>4971.0</v>
      </c>
      <c r="C4979" s="19" t="s">
        <v>6090</v>
      </c>
    </row>
    <row r="4980">
      <c r="B4980" s="19">
        <v>4972.0</v>
      </c>
      <c r="C4980" s="19" t="s">
        <v>6090</v>
      </c>
    </row>
    <row r="4981">
      <c r="B4981" s="19">
        <v>4973.0</v>
      </c>
      <c r="C4981" s="19" t="s">
        <v>6090</v>
      </c>
    </row>
    <row r="4982">
      <c r="B4982" s="19">
        <v>4974.0</v>
      </c>
      <c r="C4982" s="19" t="s">
        <v>6090</v>
      </c>
    </row>
    <row r="4983">
      <c r="B4983" s="19">
        <v>4975.0</v>
      </c>
      <c r="C4983" s="19" t="s">
        <v>6090</v>
      </c>
    </row>
    <row r="4984">
      <c r="B4984" s="19">
        <v>4976.0</v>
      </c>
      <c r="C4984" s="19" t="s">
        <v>6090</v>
      </c>
    </row>
    <row r="4985">
      <c r="B4985" s="19">
        <v>4977.0</v>
      </c>
      <c r="C4985" s="19" t="s">
        <v>6090</v>
      </c>
    </row>
    <row r="4986">
      <c r="B4986" s="19">
        <v>4978.0</v>
      </c>
      <c r="C4986" s="19" t="s">
        <v>6090</v>
      </c>
    </row>
    <row r="4987">
      <c r="B4987" s="19">
        <v>4979.0</v>
      </c>
      <c r="C4987" s="19" t="s">
        <v>6090</v>
      </c>
    </row>
    <row r="4988">
      <c r="B4988" s="19">
        <v>4980.0</v>
      </c>
      <c r="C4988" s="19" t="s">
        <v>6090</v>
      </c>
    </row>
    <row r="4989">
      <c r="B4989" s="19">
        <v>4981.0</v>
      </c>
      <c r="C4989" s="19" t="s">
        <v>6090</v>
      </c>
    </row>
    <row r="4990">
      <c r="B4990" s="19">
        <v>4982.0</v>
      </c>
      <c r="C4990" s="19" t="s">
        <v>6090</v>
      </c>
    </row>
    <row r="4991">
      <c r="B4991" s="19">
        <v>4983.0</v>
      </c>
      <c r="C4991" s="19" t="s">
        <v>6090</v>
      </c>
    </row>
    <row r="4992">
      <c r="B4992" s="19">
        <v>4984.0</v>
      </c>
      <c r="C4992" s="19" t="s">
        <v>6090</v>
      </c>
    </row>
    <row r="4993">
      <c r="B4993" s="19">
        <v>4985.0</v>
      </c>
      <c r="C4993" s="19" t="s">
        <v>6090</v>
      </c>
    </row>
    <row r="4994">
      <c r="B4994" s="19">
        <v>4986.0</v>
      </c>
      <c r="C4994" s="19" t="s">
        <v>6090</v>
      </c>
    </row>
    <row r="4995">
      <c r="B4995" s="19">
        <v>4987.0</v>
      </c>
      <c r="C4995" s="19" t="s">
        <v>6090</v>
      </c>
    </row>
    <row r="4996">
      <c r="B4996" s="19">
        <v>4988.0</v>
      </c>
      <c r="C4996" s="19" t="s">
        <v>6090</v>
      </c>
    </row>
    <row r="4997">
      <c r="B4997" s="19">
        <v>4989.0</v>
      </c>
      <c r="C4997" s="19" t="s">
        <v>6090</v>
      </c>
    </row>
    <row r="4998">
      <c r="B4998" s="19">
        <v>4990.0</v>
      </c>
      <c r="C4998" s="19" t="s">
        <v>6090</v>
      </c>
    </row>
    <row r="4999">
      <c r="B4999" s="19">
        <v>4991.0</v>
      </c>
      <c r="C4999" s="19" t="s">
        <v>6090</v>
      </c>
    </row>
    <row r="5000">
      <c r="B5000" s="19">
        <v>4992.0</v>
      </c>
      <c r="C5000" s="19" t="s">
        <v>6090</v>
      </c>
    </row>
    <row r="5001">
      <c r="B5001" s="19">
        <v>4993.0</v>
      </c>
      <c r="C5001" s="19" t="s">
        <v>6090</v>
      </c>
    </row>
    <row r="5002">
      <c r="B5002" s="19">
        <v>4994.0</v>
      </c>
      <c r="C5002" s="19" t="s">
        <v>6090</v>
      </c>
    </row>
    <row r="5003">
      <c r="B5003" s="19">
        <v>4995.0</v>
      </c>
      <c r="C5003" s="19" t="s">
        <v>6090</v>
      </c>
    </row>
    <row r="5004">
      <c r="B5004" s="19">
        <v>4996.0</v>
      </c>
      <c r="C5004" s="19" t="s">
        <v>6090</v>
      </c>
    </row>
    <row r="5005">
      <c r="B5005" s="19">
        <v>4997.0</v>
      </c>
      <c r="C5005" s="19" t="s">
        <v>6090</v>
      </c>
    </row>
    <row r="5006">
      <c r="B5006" s="19">
        <v>4998.0</v>
      </c>
      <c r="C5006" s="19" t="s">
        <v>6090</v>
      </c>
    </row>
    <row r="5007">
      <c r="B5007" s="19">
        <v>4999.0</v>
      </c>
      <c r="C5007" s="19" t="s">
        <v>6090</v>
      </c>
    </row>
    <row r="5008">
      <c r="B5008" s="19">
        <v>5000.0</v>
      </c>
      <c r="C5008" s="19" t="s">
        <v>6090</v>
      </c>
    </row>
    <row r="5009">
      <c r="B5009" s="19">
        <v>5001.0</v>
      </c>
      <c r="C5009" s="19" t="s">
        <v>6090</v>
      </c>
    </row>
    <row r="5010">
      <c r="B5010" s="19">
        <v>5002.0</v>
      </c>
      <c r="C5010" s="19" t="s">
        <v>6090</v>
      </c>
    </row>
    <row r="5011">
      <c r="B5011" s="19">
        <v>5003.0</v>
      </c>
      <c r="C5011" s="19" t="s">
        <v>6090</v>
      </c>
    </row>
    <row r="5012">
      <c r="B5012" s="19">
        <v>5004.0</v>
      </c>
      <c r="C5012" s="19" t="s">
        <v>6090</v>
      </c>
    </row>
    <row r="5013">
      <c r="B5013" s="19">
        <v>5005.0</v>
      </c>
      <c r="C5013" s="19" t="s">
        <v>6090</v>
      </c>
    </row>
    <row r="5014">
      <c r="B5014" s="19">
        <v>5006.0</v>
      </c>
      <c r="C5014" s="19" t="s">
        <v>6090</v>
      </c>
    </row>
    <row r="5015">
      <c r="B5015" s="19">
        <v>5007.0</v>
      </c>
      <c r="C5015" s="19" t="s">
        <v>6090</v>
      </c>
    </row>
    <row r="5016">
      <c r="B5016" s="19">
        <v>5008.0</v>
      </c>
      <c r="C5016" s="19" t="s">
        <v>6090</v>
      </c>
    </row>
    <row r="5017">
      <c r="B5017" s="19">
        <v>5009.0</v>
      </c>
      <c r="C5017" s="19" t="s">
        <v>6090</v>
      </c>
    </row>
    <row r="5018">
      <c r="B5018" s="19">
        <v>5010.0</v>
      </c>
      <c r="C5018" s="19" t="s">
        <v>6090</v>
      </c>
    </row>
    <row r="5019">
      <c r="B5019" s="19">
        <v>5011.0</v>
      </c>
      <c r="C5019" s="19" t="s">
        <v>6090</v>
      </c>
    </row>
    <row r="5020">
      <c r="B5020" s="19">
        <v>5012.0</v>
      </c>
      <c r="C5020" s="19" t="s">
        <v>6090</v>
      </c>
    </row>
    <row r="5021">
      <c r="B5021" s="19">
        <v>5013.0</v>
      </c>
      <c r="C5021" s="19" t="s">
        <v>6090</v>
      </c>
    </row>
    <row r="5022">
      <c r="B5022" s="19">
        <v>5014.0</v>
      </c>
      <c r="C5022" s="19" t="s">
        <v>6090</v>
      </c>
    </row>
    <row r="5023">
      <c r="B5023" s="19">
        <v>5015.0</v>
      </c>
      <c r="C5023" s="19" t="s">
        <v>6090</v>
      </c>
    </row>
    <row r="5024">
      <c r="B5024" s="19">
        <v>5016.0</v>
      </c>
      <c r="C5024" s="19" t="s">
        <v>6090</v>
      </c>
    </row>
    <row r="5025">
      <c r="B5025" s="19">
        <v>5017.0</v>
      </c>
      <c r="C5025" s="19" t="s">
        <v>6090</v>
      </c>
    </row>
    <row r="5026">
      <c r="B5026" s="19">
        <v>5018.0</v>
      </c>
      <c r="C5026" s="19" t="s">
        <v>6090</v>
      </c>
    </row>
    <row r="5027">
      <c r="B5027" s="19">
        <v>5019.0</v>
      </c>
      <c r="C5027" s="19" t="s">
        <v>6090</v>
      </c>
    </row>
    <row r="5028">
      <c r="B5028" s="19">
        <v>5020.0</v>
      </c>
      <c r="C5028" s="19" t="s">
        <v>6090</v>
      </c>
    </row>
    <row r="5029">
      <c r="B5029" s="19">
        <v>5021.0</v>
      </c>
      <c r="C5029" s="19" t="s">
        <v>6090</v>
      </c>
    </row>
    <row r="5030">
      <c r="B5030" s="19">
        <v>5022.0</v>
      </c>
      <c r="C5030" s="19" t="s">
        <v>6090</v>
      </c>
    </row>
    <row r="5031">
      <c r="B5031" s="19">
        <v>5023.0</v>
      </c>
      <c r="C5031" s="19" t="s">
        <v>6090</v>
      </c>
    </row>
    <row r="5032">
      <c r="B5032" s="19">
        <v>5024.0</v>
      </c>
      <c r="C5032" s="19" t="s">
        <v>6090</v>
      </c>
    </row>
    <row r="5033">
      <c r="B5033" s="19">
        <v>5025.0</v>
      </c>
      <c r="C5033" s="19" t="s">
        <v>6090</v>
      </c>
    </row>
    <row r="5034">
      <c r="B5034" s="19">
        <v>5026.0</v>
      </c>
      <c r="C5034" s="19" t="s">
        <v>6090</v>
      </c>
    </row>
    <row r="5035">
      <c r="B5035" s="19">
        <v>5027.0</v>
      </c>
      <c r="C5035" s="19" t="s">
        <v>6090</v>
      </c>
    </row>
    <row r="5036">
      <c r="B5036" s="19">
        <v>5028.0</v>
      </c>
      <c r="C5036" s="19" t="s">
        <v>6090</v>
      </c>
    </row>
    <row r="5037">
      <c r="B5037" s="19">
        <v>5029.0</v>
      </c>
      <c r="C5037" s="19" t="s">
        <v>6090</v>
      </c>
    </row>
    <row r="5038">
      <c r="B5038" s="19">
        <v>5030.0</v>
      </c>
      <c r="C5038" s="19" t="s">
        <v>6090</v>
      </c>
    </row>
    <row r="5039">
      <c r="B5039" s="19">
        <v>5031.0</v>
      </c>
      <c r="C5039" s="19" t="s">
        <v>6090</v>
      </c>
    </row>
    <row r="5040">
      <c r="B5040" s="19">
        <v>5032.0</v>
      </c>
      <c r="C5040" s="19" t="s">
        <v>6090</v>
      </c>
    </row>
    <row r="5041">
      <c r="B5041" s="19">
        <v>5033.0</v>
      </c>
      <c r="C5041" s="19" t="s">
        <v>6090</v>
      </c>
    </row>
    <row r="5042">
      <c r="B5042" s="19">
        <v>5034.0</v>
      </c>
      <c r="C5042" s="19" t="s">
        <v>6090</v>
      </c>
    </row>
    <row r="5043">
      <c r="B5043" s="19">
        <v>5035.0</v>
      </c>
      <c r="C5043" s="19" t="s">
        <v>6090</v>
      </c>
    </row>
    <row r="5044">
      <c r="B5044" s="19">
        <v>5036.0</v>
      </c>
      <c r="C5044" s="19" t="s">
        <v>6090</v>
      </c>
    </row>
    <row r="5045">
      <c r="B5045" s="19">
        <v>5037.0</v>
      </c>
      <c r="C5045" s="19" t="s">
        <v>6090</v>
      </c>
    </row>
    <row r="5046">
      <c r="B5046" s="19">
        <v>5038.0</v>
      </c>
      <c r="C5046" s="19" t="s">
        <v>6090</v>
      </c>
    </row>
    <row r="5047">
      <c r="B5047" s="19">
        <v>5039.0</v>
      </c>
      <c r="C5047" s="19" t="s">
        <v>6090</v>
      </c>
    </row>
    <row r="5048">
      <c r="B5048" s="19">
        <v>5040.0</v>
      </c>
      <c r="C5048" s="19" t="s">
        <v>6090</v>
      </c>
    </row>
    <row r="5049">
      <c r="B5049" s="19">
        <v>5041.0</v>
      </c>
      <c r="C5049" s="19" t="s">
        <v>6090</v>
      </c>
    </row>
    <row r="5050">
      <c r="B5050" s="19">
        <v>5042.0</v>
      </c>
      <c r="C5050" s="19" t="s">
        <v>6090</v>
      </c>
    </row>
    <row r="5051">
      <c r="B5051" s="19">
        <v>5043.0</v>
      </c>
      <c r="C5051" s="19" t="s">
        <v>6090</v>
      </c>
    </row>
    <row r="5052">
      <c r="B5052" s="19">
        <v>5044.0</v>
      </c>
      <c r="C5052" s="19" t="s">
        <v>6090</v>
      </c>
    </row>
    <row r="5053">
      <c r="B5053" s="19">
        <v>5045.0</v>
      </c>
      <c r="C5053" s="19" t="s">
        <v>6090</v>
      </c>
    </row>
    <row r="5054">
      <c r="B5054" s="19">
        <v>5046.0</v>
      </c>
      <c r="C5054" s="19" t="s">
        <v>6090</v>
      </c>
    </row>
    <row r="5055">
      <c r="B5055" s="19">
        <v>5047.0</v>
      </c>
      <c r="C5055" s="19" t="s">
        <v>6090</v>
      </c>
    </row>
    <row r="5056">
      <c r="B5056" s="19">
        <v>5048.0</v>
      </c>
      <c r="C5056" s="19" t="s">
        <v>6090</v>
      </c>
    </row>
    <row r="5057">
      <c r="B5057" s="19">
        <v>5049.0</v>
      </c>
      <c r="C5057" s="19" t="s">
        <v>6090</v>
      </c>
    </row>
    <row r="5058">
      <c r="B5058" s="19">
        <v>5050.0</v>
      </c>
      <c r="C5058" s="19" t="s">
        <v>6090</v>
      </c>
    </row>
    <row r="5059">
      <c r="B5059" s="19">
        <v>5051.0</v>
      </c>
      <c r="C5059" s="19" t="s">
        <v>6090</v>
      </c>
    </row>
    <row r="5060">
      <c r="B5060" s="19">
        <v>5052.0</v>
      </c>
      <c r="C5060" s="19" t="s">
        <v>6090</v>
      </c>
    </row>
    <row r="5061">
      <c r="B5061" s="19">
        <v>5053.0</v>
      </c>
      <c r="C5061" s="19" t="s">
        <v>6090</v>
      </c>
    </row>
    <row r="5062">
      <c r="B5062" s="19">
        <v>5054.0</v>
      </c>
      <c r="C5062" s="19" t="s">
        <v>6090</v>
      </c>
    </row>
    <row r="5063">
      <c r="B5063" s="19">
        <v>5055.0</v>
      </c>
      <c r="C5063" s="19" t="s">
        <v>6090</v>
      </c>
    </row>
    <row r="5064">
      <c r="B5064" s="19">
        <v>5056.0</v>
      </c>
      <c r="C5064" s="19" t="s">
        <v>6090</v>
      </c>
    </row>
    <row r="5065">
      <c r="B5065" s="19">
        <v>5057.0</v>
      </c>
      <c r="C5065" s="19" t="s">
        <v>6090</v>
      </c>
    </row>
    <row r="5066">
      <c r="B5066" s="19">
        <v>5058.0</v>
      </c>
      <c r="C5066" s="19" t="s">
        <v>6090</v>
      </c>
    </row>
    <row r="5067">
      <c r="B5067" s="19">
        <v>5059.0</v>
      </c>
      <c r="C5067" s="19" t="s">
        <v>6090</v>
      </c>
    </row>
    <row r="5068">
      <c r="B5068" s="19">
        <v>5060.0</v>
      </c>
      <c r="C5068" s="19" t="s">
        <v>6090</v>
      </c>
    </row>
    <row r="5069">
      <c r="B5069" s="19">
        <v>5061.0</v>
      </c>
      <c r="C5069" s="19" t="s">
        <v>6090</v>
      </c>
    </row>
    <row r="5070">
      <c r="B5070" s="19">
        <v>5062.0</v>
      </c>
      <c r="C5070" s="19" t="s">
        <v>6090</v>
      </c>
    </row>
    <row r="5071">
      <c r="B5071" s="19">
        <v>5063.0</v>
      </c>
      <c r="C5071" s="19" t="s">
        <v>6090</v>
      </c>
    </row>
    <row r="5072">
      <c r="B5072" s="19">
        <v>5064.0</v>
      </c>
      <c r="C5072" s="19" t="s">
        <v>6090</v>
      </c>
    </row>
    <row r="5073">
      <c r="B5073" s="19">
        <v>5065.0</v>
      </c>
      <c r="C5073" s="19" t="s">
        <v>6090</v>
      </c>
    </row>
    <row r="5074">
      <c r="B5074" s="19">
        <v>5066.0</v>
      </c>
      <c r="C5074" s="19" t="s">
        <v>6090</v>
      </c>
    </row>
    <row r="5075">
      <c r="B5075" s="19">
        <v>5067.0</v>
      </c>
      <c r="C5075" s="19" t="s">
        <v>6090</v>
      </c>
    </row>
    <row r="5076">
      <c r="B5076" s="19">
        <v>5068.0</v>
      </c>
      <c r="C5076" s="19" t="s">
        <v>6090</v>
      </c>
    </row>
    <row r="5077">
      <c r="B5077" s="19">
        <v>5069.0</v>
      </c>
      <c r="C5077" s="19" t="s">
        <v>6090</v>
      </c>
    </row>
    <row r="5078">
      <c r="B5078" s="19">
        <v>5070.0</v>
      </c>
      <c r="C5078" s="19" t="s">
        <v>6090</v>
      </c>
    </row>
    <row r="5079">
      <c r="B5079" s="19">
        <v>5071.0</v>
      </c>
      <c r="C5079" s="19" t="s">
        <v>6090</v>
      </c>
    </row>
    <row r="5080">
      <c r="B5080" s="19">
        <v>5072.0</v>
      </c>
      <c r="C5080" s="19" t="s">
        <v>6090</v>
      </c>
    </row>
    <row r="5081">
      <c r="B5081" s="19">
        <v>5073.0</v>
      </c>
      <c r="C5081" s="19" t="s">
        <v>6090</v>
      </c>
    </row>
    <row r="5082">
      <c r="B5082" s="19">
        <v>5074.0</v>
      </c>
      <c r="C5082" s="19" t="s">
        <v>6090</v>
      </c>
    </row>
    <row r="5083">
      <c r="B5083" s="19">
        <v>5075.0</v>
      </c>
      <c r="C5083" s="19" t="s">
        <v>6090</v>
      </c>
    </row>
    <row r="5084">
      <c r="B5084" s="19">
        <v>5076.0</v>
      </c>
      <c r="C5084" s="19" t="s">
        <v>6090</v>
      </c>
    </row>
    <row r="5085">
      <c r="B5085" s="19">
        <v>5077.0</v>
      </c>
      <c r="C5085" s="19" t="s">
        <v>6090</v>
      </c>
    </row>
    <row r="5086">
      <c r="B5086" s="19">
        <v>5078.0</v>
      </c>
      <c r="C5086" s="19" t="s">
        <v>6090</v>
      </c>
    </row>
    <row r="5087">
      <c r="B5087" s="19">
        <v>5079.0</v>
      </c>
      <c r="C5087" s="19" t="s">
        <v>6090</v>
      </c>
    </row>
    <row r="5088">
      <c r="B5088" s="19">
        <v>5080.0</v>
      </c>
      <c r="C5088" s="19" t="s">
        <v>6090</v>
      </c>
    </row>
    <row r="5089">
      <c r="B5089" s="19">
        <v>5081.0</v>
      </c>
      <c r="C5089" s="19" t="s">
        <v>6090</v>
      </c>
    </row>
    <row r="5090">
      <c r="B5090" s="19">
        <v>5082.0</v>
      </c>
      <c r="C5090" s="19" t="s">
        <v>6090</v>
      </c>
    </row>
    <row r="5091">
      <c r="B5091" s="19">
        <v>5083.0</v>
      </c>
      <c r="C5091" s="19" t="s">
        <v>6090</v>
      </c>
    </row>
    <row r="5092">
      <c r="B5092" s="19">
        <v>5084.0</v>
      </c>
      <c r="C5092" s="19" t="s">
        <v>6090</v>
      </c>
    </row>
    <row r="5093">
      <c r="B5093" s="19">
        <v>5085.0</v>
      </c>
      <c r="C5093" s="19" t="s">
        <v>6090</v>
      </c>
    </row>
    <row r="5094">
      <c r="B5094" s="19">
        <v>5086.0</v>
      </c>
      <c r="C5094" s="19" t="s">
        <v>6090</v>
      </c>
    </row>
    <row r="5095">
      <c r="B5095" s="19">
        <v>5087.0</v>
      </c>
      <c r="C5095" s="19" t="s">
        <v>6090</v>
      </c>
    </row>
    <row r="5096">
      <c r="B5096" s="19">
        <v>5088.0</v>
      </c>
      <c r="C5096" s="19" t="s">
        <v>6090</v>
      </c>
    </row>
    <row r="5097">
      <c r="B5097" s="19">
        <v>5089.0</v>
      </c>
      <c r="C5097" s="19" t="s">
        <v>6090</v>
      </c>
    </row>
    <row r="5098">
      <c r="B5098" s="19">
        <v>5090.0</v>
      </c>
      <c r="C5098" s="19" t="s">
        <v>6090</v>
      </c>
    </row>
    <row r="5099">
      <c r="B5099" s="19">
        <v>5091.0</v>
      </c>
      <c r="C5099" s="19" t="s">
        <v>6090</v>
      </c>
    </row>
    <row r="5100">
      <c r="B5100" s="19">
        <v>5092.0</v>
      </c>
      <c r="C5100" s="19" t="s">
        <v>6090</v>
      </c>
    </row>
    <row r="5101">
      <c r="B5101" s="19">
        <v>5093.0</v>
      </c>
      <c r="C5101" s="19" t="s">
        <v>6090</v>
      </c>
    </row>
    <row r="5102">
      <c r="B5102" s="19">
        <v>5094.0</v>
      </c>
      <c r="C5102" s="19" t="s">
        <v>6090</v>
      </c>
    </row>
    <row r="5103">
      <c r="B5103" s="19">
        <v>5095.0</v>
      </c>
      <c r="C5103" s="19" t="s">
        <v>6090</v>
      </c>
    </row>
    <row r="5104">
      <c r="B5104" s="19">
        <v>5096.0</v>
      </c>
      <c r="C5104" s="19" t="s">
        <v>6090</v>
      </c>
    </row>
    <row r="5105">
      <c r="B5105" s="19">
        <v>5097.0</v>
      </c>
      <c r="C5105" s="19" t="s">
        <v>6090</v>
      </c>
    </row>
    <row r="5106">
      <c r="B5106" s="19">
        <v>5098.0</v>
      </c>
      <c r="C5106" s="19" t="s">
        <v>6090</v>
      </c>
    </row>
    <row r="5107">
      <c r="B5107" s="19">
        <v>5099.0</v>
      </c>
      <c r="C5107" s="19" t="s">
        <v>6090</v>
      </c>
    </row>
    <row r="5108">
      <c r="B5108" s="19">
        <v>5100.0</v>
      </c>
      <c r="C5108" s="19" t="s">
        <v>6090</v>
      </c>
    </row>
    <row r="5109">
      <c r="B5109" s="19">
        <v>5101.0</v>
      </c>
      <c r="C5109" s="19" t="s">
        <v>6090</v>
      </c>
    </row>
    <row r="5110">
      <c r="B5110" s="19">
        <v>5102.0</v>
      </c>
      <c r="C5110" s="19" t="s">
        <v>6090</v>
      </c>
    </row>
    <row r="5111">
      <c r="B5111" s="19">
        <v>5103.0</v>
      </c>
      <c r="C5111" s="19" t="s">
        <v>6090</v>
      </c>
    </row>
    <row r="5112">
      <c r="B5112" s="19">
        <v>5104.0</v>
      </c>
      <c r="C5112" s="19" t="s">
        <v>6090</v>
      </c>
    </row>
    <row r="5113">
      <c r="B5113" s="19">
        <v>5105.0</v>
      </c>
      <c r="C5113" s="19" t="s">
        <v>6090</v>
      </c>
    </row>
    <row r="5114">
      <c r="B5114" s="19">
        <v>5106.0</v>
      </c>
      <c r="C5114" s="19" t="s">
        <v>6090</v>
      </c>
    </row>
    <row r="5115">
      <c r="B5115" s="19">
        <v>5107.0</v>
      </c>
      <c r="C5115" s="19" t="s">
        <v>6090</v>
      </c>
    </row>
    <row r="5116">
      <c r="B5116" s="19">
        <v>5108.0</v>
      </c>
      <c r="C5116" s="19" t="s">
        <v>6090</v>
      </c>
    </row>
    <row r="5117">
      <c r="B5117" s="19">
        <v>5109.0</v>
      </c>
      <c r="C5117" s="19" t="s">
        <v>6090</v>
      </c>
    </row>
    <row r="5118">
      <c r="B5118" s="19">
        <v>5110.0</v>
      </c>
      <c r="C5118" s="19" t="s">
        <v>6090</v>
      </c>
    </row>
    <row r="5119">
      <c r="B5119" s="19">
        <v>5111.0</v>
      </c>
      <c r="C5119" s="19" t="s">
        <v>6090</v>
      </c>
    </row>
    <row r="5120">
      <c r="B5120" s="19">
        <v>5112.0</v>
      </c>
      <c r="C5120" s="19" t="s">
        <v>6090</v>
      </c>
    </row>
    <row r="5121">
      <c r="B5121" s="19">
        <v>5113.0</v>
      </c>
      <c r="C5121" s="19" t="s">
        <v>6090</v>
      </c>
    </row>
    <row r="5122">
      <c r="B5122" s="19">
        <v>5114.0</v>
      </c>
      <c r="C5122" s="19" t="s">
        <v>6090</v>
      </c>
    </row>
    <row r="5123">
      <c r="B5123" s="19">
        <v>5115.0</v>
      </c>
      <c r="C5123" s="19" t="s">
        <v>6090</v>
      </c>
    </row>
    <row r="5124">
      <c r="B5124" s="19">
        <v>5116.0</v>
      </c>
      <c r="C5124" s="19" t="s">
        <v>6090</v>
      </c>
    </row>
    <row r="5125">
      <c r="B5125" s="19">
        <v>5117.0</v>
      </c>
      <c r="C5125" s="19" t="s">
        <v>6090</v>
      </c>
    </row>
    <row r="5126">
      <c r="B5126" s="19">
        <v>5118.0</v>
      </c>
      <c r="C5126" s="19" t="s">
        <v>6090</v>
      </c>
    </row>
    <row r="5127">
      <c r="B5127" s="19">
        <v>5119.0</v>
      </c>
      <c r="C5127" s="19" t="s">
        <v>6090</v>
      </c>
    </row>
    <row r="5128">
      <c r="B5128" s="19">
        <v>5120.0</v>
      </c>
      <c r="C5128" s="19" t="s">
        <v>6090</v>
      </c>
    </row>
    <row r="5129">
      <c r="B5129" s="19">
        <v>5121.0</v>
      </c>
      <c r="C5129" s="19" t="s">
        <v>6090</v>
      </c>
    </row>
    <row r="5130">
      <c r="B5130" s="19">
        <v>5122.0</v>
      </c>
      <c r="C5130" s="19" t="s">
        <v>6090</v>
      </c>
    </row>
    <row r="5131">
      <c r="B5131" s="19">
        <v>5123.0</v>
      </c>
      <c r="C5131" s="19" t="s">
        <v>6090</v>
      </c>
    </row>
    <row r="5132">
      <c r="B5132" s="19">
        <v>5124.0</v>
      </c>
      <c r="C5132" s="19" t="s">
        <v>6090</v>
      </c>
    </row>
    <row r="5133">
      <c r="B5133" s="19">
        <v>5125.0</v>
      </c>
      <c r="C5133" s="19" t="s">
        <v>6090</v>
      </c>
    </row>
    <row r="5134">
      <c r="B5134" s="19">
        <v>5126.0</v>
      </c>
      <c r="C5134" s="19" t="s">
        <v>6090</v>
      </c>
    </row>
    <row r="5135">
      <c r="B5135" s="19">
        <v>5127.0</v>
      </c>
      <c r="C5135" s="19" t="s">
        <v>6090</v>
      </c>
    </row>
    <row r="5136">
      <c r="B5136" s="19">
        <v>5128.0</v>
      </c>
      <c r="C5136" s="19" t="s">
        <v>6090</v>
      </c>
    </row>
    <row r="5137">
      <c r="B5137" s="19">
        <v>5129.0</v>
      </c>
      <c r="C5137" s="19" t="s">
        <v>6090</v>
      </c>
    </row>
    <row r="5138">
      <c r="B5138" s="19">
        <v>5130.0</v>
      </c>
      <c r="C5138" s="19" t="s">
        <v>6090</v>
      </c>
    </row>
    <row r="5139">
      <c r="B5139" s="19">
        <v>5131.0</v>
      </c>
      <c r="C5139" s="19" t="s">
        <v>6090</v>
      </c>
    </row>
    <row r="5140">
      <c r="B5140" s="19">
        <v>5132.0</v>
      </c>
      <c r="C5140" s="19" t="s">
        <v>6090</v>
      </c>
    </row>
    <row r="5141">
      <c r="B5141" s="19">
        <v>5133.0</v>
      </c>
      <c r="C5141" s="19" t="s">
        <v>6090</v>
      </c>
    </row>
    <row r="5142">
      <c r="B5142" s="19">
        <v>5134.0</v>
      </c>
      <c r="C5142" s="19" t="s">
        <v>6090</v>
      </c>
    </row>
    <row r="5143">
      <c r="B5143" s="19">
        <v>5135.0</v>
      </c>
      <c r="C5143" s="19" t="s">
        <v>6090</v>
      </c>
    </row>
    <row r="5144">
      <c r="B5144" s="19">
        <v>5136.0</v>
      </c>
      <c r="C5144" s="19" t="s">
        <v>6090</v>
      </c>
    </row>
    <row r="5145">
      <c r="B5145" s="19">
        <v>5137.0</v>
      </c>
      <c r="C5145" s="19" t="s">
        <v>6090</v>
      </c>
    </row>
    <row r="5146">
      <c r="B5146" s="19">
        <v>5138.0</v>
      </c>
      <c r="C5146" s="19" t="s">
        <v>6090</v>
      </c>
    </row>
    <row r="5147">
      <c r="B5147" s="19">
        <v>5139.0</v>
      </c>
      <c r="C5147" s="19" t="s">
        <v>6090</v>
      </c>
    </row>
    <row r="5148">
      <c r="B5148" s="19">
        <v>5140.0</v>
      </c>
      <c r="C5148" s="19" t="s">
        <v>6090</v>
      </c>
    </row>
    <row r="5149">
      <c r="B5149" s="19">
        <v>5141.0</v>
      </c>
      <c r="C5149" s="19" t="s">
        <v>6090</v>
      </c>
    </row>
    <row r="5150">
      <c r="B5150" s="19">
        <v>5142.0</v>
      </c>
      <c r="C5150" s="19" t="s">
        <v>6090</v>
      </c>
    </row>
    <row r="5151">
      <c r="B5151" s="19">
        <v>5143.0</v>
      </c>
      <c r="C5151" s="19" t="s">
        <v>6090</v>
      </c>
    </row>
    <row r="5152">
      <c r="B5152" s="19">
        <v>5144.0</v>
      </c>
      <c r="C5152" s="19" t="s">
        <v>6090</v>
      </c>
    </row>
    <row r="5153">
      <c r="B5153" s="19">
        <v>5145.0</v>
      </c>
      <c r="C5153" s="19" t="s">
        <v>6090</v>
      </c>
    </row>
    <row r="5154">
      <c r="B5154" s="19">
        <v>5146.0</v>
      </c>
      <c r="C5154" s="19" t="s">
        <v>6090</v>
      </c>
    </row>
    <row r="5155">
      <c r="B5155" s="19">
        <v>5147.0</v>
      </c>
      <c r="C5155" s="19" t="s">
        <v>6090</v>
      </c>
    </row>
    <row r="5156">
      <c r="B5156" s="19">
        <v>5148.0</v>
      </c>
      <c r="C5156" s="19" t="s">
        <v>6090</v>
      </c>
    </row>
    <row r="5157">
      <c r="B5157" s="19">
        <v>5149.0</v>
      </c>
      <c r="C5157" s="19" t="s">
        <v>6090</v>
      </c>
    </row>
    <row r="5158">
      <c r="B5158" s="19">
        <v>5150.0</v>
      </c>
      <c r="C5158" s="19" t="s">
        <v>6090</v>
      </c>
    </row>
    <row r="5159">
      <c r="B5159" s="19">
        <v>5151.0</v>
      </c>
      <c r="C5159" s="19" t="s">
        <v>6090</v>
      </c>
    </row>
    <row r="5160">
      <c r="B5160" s="19">
        <v>5152.0</v>
      </c>
      <c r="C5160" s="19" t="s">
        <v>6090</v>
      </c>
    </row>
    <row r="5161">
      <c r="B5161" s="19">
        <v>5153.0</v>
      </c>
      <c r="C5161" s="19" t="s">
        <v>6090</v>
      </c>
    </row>
    <row r="5162">
      <c r="B5162" s="19">
        <v>5154.0</v>
      </c>
      <c r="C5162" s="19" t="s">
        <v>6090</v>
      </c>
    </row>
    <row r="5163">
      <c r="B5163" s="19">
        <v>5155.0</v>
      </c>
      <c r="C5163" s="19" t="s">
        <v>6090</v>
      </c>
    </row>
    <row r="5164">
      <c r="B5164" s="19">
        <v>5156.0</v>
      </c>
      <c r="C5164" s="19" t="s">
        <v>6090</v>
      </c>
    </row>
    <row r="5165">
      <c r="B5165" s="19">
        <v>5157.0</v>
      </c>
      <c r="C5165" s="19" t="s">
        <v>6090</v>
      </c>
    </row>
    <row r="5166">
      <c r="B5166" s="19">
        <v>5158.0</v>
      </c>
      <c r="C5166" s="19" t="s">
        <v>6090</v>
      </c>
    </row>
    <row r="5167">
      <c r="B5167" s="19">
        <v>5159.0</v>
      </c>
      <c r="C5167" s="19" t="s">
        <v>6090</v>
      </c>
    </row>
    <row r="5168">
      <c r="B5168" s="19">
        <v>5160.0</v>
      </c>
      <c r="C5168" s="19" t="s">
        <v>6090</v>
      </c>
    </row>
    <row r="5169">
      <c r="B5169" s="19">
        <v>5161.0</v>
      </c>
      <c r="C5169" s="19" t="s">
        <v>6090</v>
      </c>
    </row>
    <row r="5170">
      <c r="B5170" s="19">
        <v>5162.0</v>
      </c>
      <c r="C5170" s="19" t="s">
        <v>6090</v>
      </c>
    </row>
    <row r="5171">
      <c r="B5171" s="19">
        <v>5163.0</v>
      </c>
      <c r="C5171" s="19" t="s">
        <v>6090</v>
      </c>
    </row>
    <row r="5172">
      <c r="B5172" s="19">
        <v>5164.0</v>
      </c>
      <c r="C5172" s="19" t="s">
        <v>6090</v>
      </c>
    </row>
    <row r="5173">
      <c r="B5173" s="19">
        <v>5165.0</v>
      </c>
      <c r="C5173" s="19" t="s">
        <v>6090</v>
      </c>
    </row>
    <row r="5174">
      <c r="B5174" s="19">
        <v>5166.0</v>
      </c>
      <c r="C5174" s="19" t="s">
        <v>6090</v>
      </c>
    </row>
    <row r="5175">
      <c r="B5175" s="19">
        <v>5167.0</v>
      </c>
      <c r="C5175" s="19" t="s">
        <v>6090</v>
      </c>
    </row>
    <row r="5176">
      <c r="B5176" s="19">
        <v>5168.0</v>
      </c>
      <c r="C5176" s="19" t="s">
        <v>6090</v>
      </c>
    </row>
    <row r="5177">
      <c r="B5177" s="19">
        <v>5169.0</v>
      </c>
      <c r="C5177" s="19" t="s">
        <v>6090</v>
      </c>
    </row>
    <row r="5178">
      <c r="B5178" s="19">
        <v>5170.0</v>
      </c>
      <c r="C5178" s="19" t="s">
        <v>6090</v>
      </c>
    </row>
    <row r="5179">
      <c r="B5179" s="19">
        <v>5171.0</v>
      </c>
      <c r="C5179" s="19" t="s">
        <v>6090</v>
      </c>
    </row>
    <row r="5180">
      <c r="B5180" s="19">
        <v>5172.0</v>
      </c>
      <c r="C5180" s="19" t="s">
        <v>6090</v>
      </c>
    </row>
    <row r="5181">
      <c r="B5181" s="19">
        <v>5173.0</v>
      </c>
      <c r="C5181" s="19" t="s">
        <v>6090</v>
      </c>
    </row>
    <row r="5182">
      <c r="B5182" s="19">
        <v>5174.0</v>
      </c>
      <c r="C5182" s="19" t="s">
        <v>6090</v>
      </c>
    </row>
    <row r="5183">
      <c r="B5183" s="19">
        <v>5175.0</v>
      </c>
      <c r="C5183" s="19" t="s">
        <v>6090</v>
      </c>
    </row>
    <row r="5184">
      <c r="B5184" s="19">
        <v>5176.0</v>
      </c>
      <c r="C5184" s="19" t="s">
        <v>6090</v>
      </c>
    </row>
    <row r="5185">
      <c r="B5185" s="19">
        <v>5177.0</v>
      </c>
      <c r="C5185" s="19" t="s">
        <v>6090</v>
      </c>
    </row>
    <row r="5186">
      <c r="B5186" s="19">
        <v>5178.0</v>
      </c>
      <c r="C5186" s="19" t="s">
        <v>6090</v>
      </c>
    </row>
    <row r="5187">
      <c r="B5187" s="19">
        <v>5179.0</v>
      </c>
      <c r="C5187" s="19" t="s">
        <v>6090</v>
      </c>
    </row>
    <row r="5188">
      <c r="B5188" s="19">
        <v>5180.0</v>
      </c>
      <c r="C5188" s="19" t="s">
        <v>6090</v>
      </c>
    </row>
    <row r="5189">
      <c r="B5189" s="19">
        <v>5181.0</v>
      </c>
      <c r="C5189" s="19" t="s">
        <v>6090</v>
      </c>
    </row>
    <row r="5190">
      <c r="B5190" s="19">
        <v>5182.0</v>
      </c>
      <c r="C5190" s="19" t="s">
        <v>6090</v>
      </c>
    </row>
    <row r="5191">
      <c r="B5191" s="19">
        <v>5183.0</v>
      </c>
      <c r="C5191" s="19" t="s">
        <v>6090</v>
      </c>
    </row>
    <row r="5192">
      <c r="B5192" s="19">
        <v>5184.0</v>
      </c>
      <c r="C5192" s="19" t="s">
        <v>6090</v>
      </c>
    </row>
    <row r="5193">
      <c r="B5193" s="19">
        <v>5185.0</v>
      </c>
      <c r="C5193" s="19" t="s">
        <v>6090</v>
      </c>
    </row>
    <row r="5194">
      <c r="B5194" s="19">
        <v>5186.0</v>
      </c>
      <c r="C5194" s="19" t="s">
        <v>6090</v>
      </c>
    </row>
    <row r="5195">
      <c r="B5195" s="19">
        <v>5187.0</v>
      </c>
      <c r="C5195" s="19" t="s">
        <v>6090</v>
      </c>
    </row>
    <row r="5196">
      <c r="B5196" s="19">
        <v>5188.0</v>
      </c>
      <c r="C5196" s="19" t="s">
        <v>6090</v>
      </c>
    </row>
    <row r="5197">
      <c r="B5197" s="19">
        <v>5189.0</v>
      </c>
      <c r="C5197" s="19" t="s">
        <v>6090</v>
      </c>
    </row>
    <row r="5198">
      <c r="B5198" s="19">
        <v>5190.0</v>
      </c>
      <c r="C5198" s="19" t="s">
        <v>6090</v>
      </c>
    </row>
    <row r="5199">
      <c r="B5199" s="19">
        <v>5191.0</v>
      </c>
      <c r="C5199" s="19" t="s">
        <v>6090</v>
      </c>
    </row>
    <row r="5200">
      <c r="B5200" s="19">
        <v>5192.0</v>
      </c>
      <c r="C5200" s="19" t="s">
        <v>6090</v>
      </c>
    </row>
    <row r="5201">
      <c r="B5201" s="19">
        <v>5193.0</v>
      </c>
      <c r="C5201" s="19" t="s">
        <v>6090</v>
      </c>
    </row>
    <row r="5202">
      <c r="B5202" s="19">
        <v>5194.0</v>
      </c>
      <c r="C5202" s="19" t="s">
        <v>6090</v>
      </c>
    </row>
    <row r="5203">
      <c r="B5203" s="19">
        <v>5195.0</v>
      </c>
      <c r="C5203" s="19" t="s">
        <v>6090</v>
      </c>
    </row>
    <row r="5204">
      <c r="B5204" s="19">
        <v>5196.0</v>
      </c>
      <c r="C5204" s="19" t="s">
        <v>6090</v>
      </c>
    </row>
    <row r="5205">
      <c r="B5205" s="19">
        <v>5197.0</v>
      </c>
      <c r="C5205" s="19" t="s">
        <v>6090</v>
      </c>
    </row>
    <row r="5206">
      <c r="B5206" s="19">
        <v>5198.0</v>
      </c>
      <c r="C5206" s="19" t="s">
        <v>6090</v>
      </c>
    </row>
    <row r="5207">
      <c r="B5207" s="19">
        <v>5199.0</v>
      </c>
      <c r="C5207" s="19" t="s">
        <v>6090</v>
      </c>
    </row>
    <row r="5208">
      <c r="B5208" s="19">
        <v>5200.0</v>
      </c>
      <c r="C5208" s="19" t="s">
        <v>6090</v>
      </c>
    </row>
    <row r="5209">
      <c r="B5209" s="19">
        <v>5201.0</v>
      </c>
      <c r="C5209" s="19" t="s">
        <v>6090</v>
      </c>
    </row>
    <row r="5210">
      <c r="B5210" s="19">
        <v>5202.0</v>
      </c>
      <c r="C5210" s="19" t="s">
        <v>6090</v>
      </c>
    </row>
    <row r="5211">
      <c r="B5211" s="19">
        <v>5203.0</v>
      </c>
      <c r="C5211" s="19" t="s">
        <v>6090</v>
      </c>
    </row>
    <row r="5212">
      <c r="B5212" s="19">
        <v>5204.0</v>
      </c>
      <c r="C5212" s="19" t="s">
        <v>6090</v>
      </c>
    </row>
    <row r="5213">
      <c r="B5213" s="19">
        <v>5205.0</v>
      </c>
      <c r="C5213" s="19" t="s">
        <v>6090</v>
      </c>
    </row>
    <row r="5214">
      <c r="B5214" s="19">
        <v>5206.0</v>
      </c>
      <c r="C5214" s="19" t="s">
        <v>6090</v>
      </c>
    </row>
    <row r="5215">
      <c r="B5215" s="19">
        <v>5207.0</v>
      </c>
      <c r="C5215" s="19" t="s">
        <v>6090</v>
      </c>
    </row>
    <row r="5216">
      <c r="B5216" s="19">
        <v>5208.0</v>
      </c>
      <c r="C5216" s="19" t="s">
        <v>6090</v>
      </c>
    </row>
    <row r="5217">
      <c r="B5217" s="19">
        <v>5209.0</v>
      </c>
      <c r="C5217" s="19" t="s">
        <v>6090</v>
      </c>
    </row>
    <row r="5218">
      <c r="B5218" s="19">
        <v>5210.0</v>
      </c>
      <c r="C5218" s="19" t="s">
        <v>6090</v>
      </c>
    </row>
    <row r="5219">
      <c r="B5219" s="19">
        <v>5211.0</v>
      </c>
      <c r="C5219" s="19" t="s">
        <v>6090</v>
      </c>
    </row>
    <row r="5220">
      <c r="B5220" s="19">
        <v>5212.0</v>
      </c>
      <c r="C5220" s="19" t="s">
        <v>6090</v>
      </c>
    </row>
    <row r="5221">
      <c r="B5221" s="19">
        <v>5213.0</v>
      </c>
      <c r="C5221" s="19" t="s">
        <v>6090</v>
      </c>
    </row>
    <row r="5222">
      <c r="B5222" s="19">
        <v>5214.0</v>
      </c>
      <c r="C5222" s="19" t="s">
        <v>6090</v>
      </c>
    </row>
    <row r="5223">
      <c r="B5223" s="19">
        <v>5215.0</v>
      </c>
      <c r="C5223" s="19" t="s">
        <v>6090</v>
      </c>
    </row>
    <row r="5224">
      <c r="B5224" s="19">
        <v>5216.0</v>
      </c>
      <c r="C5224" s="19" t="s">
        <v>6090</v>
      </c>
    </row>
    <row r="5225">
      <c r="B5225" s="19">
        <v>5217.0</v>
      </c>
      <c r="C5225" s="19" t="s">
        <v>6090</v>
      </c>
    </row>
    <row r="5226">
      <c r="B5226" s="19">
        <v>5218.0</v>
      </c>
      <c r="C5226" s="19" t="s">
        <v>6090</v>
      </c>
    </row>
    <row r="5227">
      <c r="B5227" s="19">
        <v>5219.0</v>
      </c>
      <c r="C5227" s="19" t="s">
        <v>6090</v>
      </c>
    </row>
    <row r="5228">
      <c r="B5228" s="19">
        <v>5220.0</v>
      </c>
      <c r="C5228" s="19" t="s">
        <v>6090</v>
      </c>
    </row>
    <row r="5229">
      <c r="B5229" s="19">
        <v>5221.0</v>
      </c>
      <c r="C5229" s="19" t="s">
        <v>6090</v>
      </c>
    </row>
    <row r="5230">
      <c r="B5230" s="19">
        <v>5222.0</v>
      </c>
      <c r="C5230" s="19" t="s">
        <v>6090</v>
      </c>
    </row>
    <row r="5231">
      <c r="B5231" s="19">
        <v>5223.0</v>
      </c>
      <c r="C5231" s="19" t="s">
        <v>6090</v>
      </c>
    </row>
    <row r="5232">
      <c r="B5232" s="19">
        <v>5224.0</v>
      </c>
      <c r="C5232" s="19" t="s">
        <v>6090</v>
      </c>
    </row>
    <row r="5233">
      <c r="B5233" s="19">
        <v>5225.0</v>
      </c>
      <c r="C5233" s="19" t="s">
        <v>6090</v>
      </c>
    </row>
    <row r="5234">
      <c r="B5234" s="19">
        <v>5226.0</v>
      </c>
      <c r="C5234" s="19" t="s">
        <v>6090</v>
      </c>
    </row>
    <row r="5235">
      <c r="B5235" s="19">
        <v>5227.0</v>
      </c>
      <c r="C5235" s="19" t="s">
        <v>6090</v>
      </c>
    </row>
    <row r="5236">
      <c r="B5236" s="19">
        <v>5228.0</v>
      </c>
      <c r="C5236" s="19" t="s">
        <v>6090</v>
      </c>
    </row>
    <row r="5237">
      <c r="B5237" s="19">
        <v>5229.0</v>
      </c>
      <c r="C5237" s="19" t="s">
        <v>6090</v>
      </c>
    </row>
    <row r="5238">
      <c r="B5238" s="19">
        <v>5230.0</v>
      </c>
      <c r="C5238" s="19" t="s">
        <v>6090</v>
      </c>
    </row>
    <row r="5239">
      <c r="B5239" s="19">
        <v>5231.0</v>
      </c>
      <c r="C5239" s="19" t="s">
        <v>6090</v>
      </c>
    </row>
    <row r="5240">
      <c r="B5240" s="19">
        <v>5232.0</v>
      </c>
      <c r="C5240" s="19" t="s">
        <v>6090</v>
      </c>
    </row>
    <row r="5241">
      <c r="B5241" s="19">
        <v>5233.0</v>
      </c>
      <c r="C5241" s="19" t="s">
        <v>6090</v>
      </c>
    </row>
    <row r="5242">
      <c r="B5242" s="19">
        <v>5234.0</v>
      </c>
      <c r="C5242" s="19" t="s">
        <v>6090</v>
      </c>
    </row>
    <row r="5243">
      <c r="B5243" s="19">
        <v>5235.0</v>
      </c>
      <c r="C5243" s="19" t="s">
        <v>6090</v>
      </c>
    </row>
    <row r="5244">
      <c r="B5244" s="19">
        <v>5236.0</v>
      </c>
      <c r="C5244" s="19" t="s">
        <v>6090</v>
      </c>
    </row>
    <row r="5245">
      <c r="B5245" s="19">
        <v>5237.0</v>
      </c>
      <c r="C5245" s="19" t="s">
        <v>6090</v>
      </c>
    </row>
    <row r="5246">
      <c r="B5246" s="19">
        <v>5238.0</v>
      </c>
      <c r="C5246" s="19" t="s">
        <v>6090</v>
      </c>
    </row>
    <row r="5247">
      <c r="B5247" s="19">
        <v>5239.0</v>
      </c>
      <c r="C5247" s="19" t="s">
        <v>6090</v>
      </c>
    </row>
    <row r="5248">
      <c r="B5248" s="19">
        <v>5240.0</v>
      </c>
      <c r="C5248" s="19" t="s">
        <v>6090</v>
      </c>
    </row>
    <row r="5249">
      <c r="B5249" s="19">
        <v>5241.0</v>
      </c>
      <c r="C5249" s="19" t="s">
        <v>6090</v>
      </c>
    </row>
    <row r="5250">
      <c r="B5250" s="19">
        <v>5242.0</v>
      </c>
      <c r="C5250" s="19" t="s">
        <v>6090</v>
      </c>
    </row>
    <row r="5251">
      <c r="B5251" s="19">
        <v>5243.0</v>
      </c>
      <c r="C5251" s="19" t="s">
        <v>6090</v>
      </c>
    </row>
    <row r="5252">
      <c r="B5252" s="19">
        <v>5244.0</v>
      </c>
      <c r="C5252" s="19" t="s">
        <v>6090</v>
      </c>
    </row>
    <row r="5253">
      <c r="B5253" s="19">
        <v>5245.0</v>
      </c>
      <c r="C5253" s="19" t="s">
        <v>6090</v>
      </c>
    </row>
    <row r="5254">
      <c r="B5254" s="19">
        <v>5246.0</v>
      </c>
      <c r="C5254" s="19" t="s">
        <v>6090</v>
      </c>
    </row>
    <row r="5255">
      <c r="B5255" s="19">
        <v>5247.0</v>
      </c>
      <c r="C5255" s="19" t="s">
        <v>6090</v>
      </c>
    </row>
    <row r="5256">
      <c r="B5256" s="19">
        <v>5248.0</v>
      </c>
      <c r="C5256" s="19" t="s">
        <v>6090</v>
      </c>
    </row>
    <row r="5257">
      <c r="B5257" s="19">
        <v>5249.0</v>
      </c>
      <c r="C5257" s="19" t="s">
        <v>6090</v>
      </c>
    </row>
    <row r="5258">
      <c r="B5258" s="19">
        <v>5250.0</v>
      </c>
      <c r="C5258" s="19" t="s">
        <v>6090</v>
      </c>
    </row>
    <row r="5259">
      <c r="B5259" s="19">
        <v>5251.0</v>
      </c>
      <c r="C5259" s="19" t="s">
        <v>6090</v>
      </c>
    </row>
    <row r="5260">
      <c r="B5260" s="19">
        <v>5252.0</v>
      </c>
      <c r="C5260" s="19" t="s">
        <v>6090</v>
      </c>
    </row>
    <row r="5261">
      <c r="B5261" s="19">
        <v>5253.0</v>
      </c>
      <c r="C5261" s="19" t="s">
        <v>6090</v>
      </c>
    </row>
    <row r="5262">
      <c r="B5262" s="19">
        <v>5254.0</v>
      </c>
      <c r="C5262" s="19" t="s">
        <v>6090</v>
      </c>
    </row>
    <row r="5263">
      <c r="B5263" s="19">
        <v>5255.0</v>
      </c>
      <c r="C5263" s="19" t="s">
        <v>6090</v>
      </c>
    </row>
    <row r="5264">
      <c r="B5264" s="19">
        <v>5256.0</v>
      </c>
      <c r="C5264" s="19" t="s">
        <v>6090</v>
      </c>
    </row>
    <row r="5265">
      <c r="B5265" s="19">
        <v>5257.0</v>
      </c>
      <c r="C5265" s="19" t="s">
        <v>6090</v>
      </c>
    </row>
    <row r="5266">
      <c r="B5266" s="19">
        <v>5258.0</v>
      </c>
      <c r="C5266" s="19" t="s">
        <v>6090</v>
      </c>
    </row>
    <row r="5267">
      <c r="B5267" s="19">
        <v>5259.0</v>
      </c>
      <c r="C5267" s="19" t="s">
        <v>6090</v>
      </c>
    </row>
    <row r="5268">
      <c r="B5268" s="19">
        <v>5260.0</v>
      </c>
      <c r="C5268" s="19" t="s">
        <v>6090</v>
      </c>
    </row>
    <row r="5269">
      <c r="B5269" s="19">
        <v>5261.0</v>
      </c>
      <c r="C5269" s="19" t="s">
        <v>6090</v>
      </c>
    </row>
    <row r="5270">
      <c r="B5270" s="19">
        <v>5262.0</v>
      </c>
      <c r="C5270" s="19" t="s">
        <v>6090</v>
      </c>
    </row>
    <row r="5271">
      <c r="B5271" s="19">
        <v>5263.0</v>
      </c>
      <c r="C5271" s="19" t="s">
        <v>6090</v>
      </c>
    </row>
    <row r="5272">
      <c r="B5272" s="19">
        <v>5264.0</v>
      </c>
      <c r="C5272" s="19" t="s">
        <v>6090</v>
      </c>
    </row>
    <row r="5273">
      <c r="B5273" s="19">
        <v>5265.0</v>
      </c>
      <c r="C5273" s="19" t="s">
        <v>6090</v>
      </c>
    </row>
    <row r="5274">
      <c r="B5274" s="19">
        <v>5266.0</v>
      </c>
      <c r="C5274" s="19" t="s">
        <v>6090</v>
      </c>
    </row>
    <row r="5275">
      <c r="B5275" s="19">
        <v>5267.0</v>
      </c>
      <c r="C5275" s="19" t="s">
        <v>6090</v>
      </c>
    </row>
    <row r="5276">
      <c r="B5276" s="19">
        <v>5268.0</v>
      </c>
      <c r="C5276" s="19" t="s">
        <v>6090</v>
      </c>
    </row>
    <row r="5277">
      <c r="B5277" s="19">
        <v>5269.0</v>
      </c>
      <c r="C5277" s="19" t="s">
        <v>6090</v>
      </c>
    </row>
    <row r="5278">
      <c r="B5278" s="19">
        <v>5270.0</v>
      </c>
      <c r="C5278" s="19" t="s">
        <v>6090</v>
      </c>
    </row>
    <row r="5279">
      <c r="B5279" s="19">
        <v>5271.0</v>
      </c>
      <c r="C5279" s="19" t="s">
        <v>6090</v>
      </c>
    </row>
    <row r="5280">
      <c r="B5280" s="19">
        <v>5272.0</v>
      </c>
      <c r="C5280" s="19" t="s">
        <v>6090</v>
      </c>
    </row>
    <row r="5281">
      <c r="B5281" s="19">
        <v>5273.0</v>
      </c>
      <c r="C5281" s="19" t="s">
        <v>6090</v>
      </c>
    </row>
    <row r="5282">
      <c r="B5282" s="19">
        <v>5274.0</v>
      </c>
      <c r="C5282" s="19" t="s">
        <v>6090</v>
      </c>
    </row>
    <row r="5283">
      <c r="B5283" s="19">
        <v>5275.0</v>
      </c>
      <c r="C5283" s="19" t="s">
        <v>6090</v>
      </c>
    </row>
    <row r="5284">
      <c r="B5284" s="19">
        <v>5276.0</v>
      </c>
      <c r="C5284" s="19" t="s">
        <v>6090</v>
      </c>
    </row>
    <row r="5285">
      <c r="B5285" s="19">
        <v>5277.0</v>
      </c>
      <c r="C5285" s="19" t="s">
        <v>6090</v>
      </c>
    </row>
    <row r="5286">
      <c r="B5286" s="19">
        <v>5278.0</v>
      </c>
      <c r="C5286" s="19" t="s">
        <v>6090</v>
      </c>
    </row>
    <row r="5287">
      <c r="B5287" s="19">
        <v>5279.0</v>
      </c>
      <c r="C5287" s="19" t="s">
        <v>6090</v>
      </c>
    </row>
    <row r="5288">
      <c r="B5288" s="19">
        <v>5280.0</v>
      </c>
      <c r="C5288" s="19" t="s">
        <v>6090</v>
      </c>
    </row>
    <row r="5289">
      <c r="B5289" s="19">
        <v>5281.0</v>
      </c>
      <c r="C5289" s="19" t="s">
        <v>6090</v>
      </c>
    </row>
    <row r="5290">
      <c r="B5290" s="19">
        <v>5282.0</v>
      </c>
      <c r="C5290" s="19" t="s">
        <v>6090</v>
      </c>
    </row>
    <row r="5291">
      <c r="B5291" s="19">
        <v>5283.0</v>
      </c>
      <c r="C5291" s="19" t="s">
        <v>6090</v>
      </c>
    </row>
    <row r="5292">
      <c r="B5292" s="19">
        <v>5284.0</v>
      </c>
      <c r="C5292" s="19" t="s">
        <v>6090</v>
      </c>
    </row>
    <row r="5293">
      <c r="B5293" s="19">
        <v>5285.0</v>
      </c>
      <c r="C5293" s="19" t="s">
        <v>6090</v>
      </c>
    </row>
    <row r="5294">
      <c r="B5294" s="19">
        <v>5286.0</v>
      </c>
      <c r="C5294" s="19" t="s">
        <v>6090</v>
      </c>
    </row>
    <row r="5295">
      <c r="B5295" s="19">
        <v>5287.0</v>
      </c>
      <c r="C5295" s="19" t="s">
        <v>6090</v>
      </c>
    </row>
    <row r="5296">
      <c r="B5296" s="19">
        <v>5288.0</v>
      </c>
      <c r="C5296" s="19" t="s">
        <v>6090</v>
      </c>
    </row>
    <row r="5297">
      <c r="B5297" s="19">
        <v>5289.0</v>
      </c>
      <c r="C5297" s="19" t="s">
        <v>6090</v>
      </c>
    </row>
    <row r="5298">
      <c r="B5298" s="19">
        <v>5290.0</v>
      </c>
      <c r="C5298" s="19" t="s">
        <v>6090</v>
      </c>
    </row>
    <row r="5299">
      <c r="B5299" s="19">
        <v>5291.0</v>
      </c>
      <c r="C5299" s="19" t="s">
        <v>6090</v>
      </c>
    </row>
    <row r="5300">
      <c r="B5300" s="19">
        <v>5292.0</v>
      </c>
      <c r="C5300" s="19" t="s">
        <v>6090</v>
      </c>
    </row>
    <row r="5301">
      <c r="B5301" s="19">
        <v>5293.0</v>
      </c>
      <c r="C5301" s="19" t="s">
        <v>6090</v>
      </c>
    </row>
    <row r="5302">
      <c r="B5302" s="19">
        <v>5294.0</v>
      </c>
      <c r="C5302" s="19" t="s">
        <v>6090</v>
      </c>
    </row>
    <row r="5303">
      <c r="B5303" s="19">
        <v>5295.0</v>
      </c>
      <c r="C5303" s="19" t="s">
        <v>6090</v>
      </c>
    </row>
    <row r="5304">
      <c r="B5304" s="19">
        <v>5296.0</v>
      </c>
      <c r="C5304" s="19" t="s">
        <v>6090</v>
      </c>
    </row>
    <row r="5305">
      <c r="B5305" s="19">
        <v>5297.0</v>
      </c>
      <c r="C5305" s="19" t="s">
        <v>6090</v>
      </c>
    </row>
    <row r="5306">
      <c r="B5306" s="19">
        <v>5298.0</v>
      </c>
      <c r="C5306" s="19" t="s">
        <v>6090</v>
      </c>
    </row>
    <row r="5307">
      <c r="B5307" s="19">
        <v>5299.0</v>
      </c>
      <c r="C5307" s="19" t="s">
        <v>6090</v>
      </c>
    </row>
    <row r="5308">
      <c r="B5308" s="19">
        <v>5300.0</v>
      </c>
      <c r="C5308" s="19" t="s">
        <v>6090</v>
      </c>
    </row>
    <row r="5309">
      <c r="B5309" s="19">
        <v>5301.0</v>
      </c>
      <c r="C5309" s="19" t="s">
        <v>6090</v>
      </c>
    </row>
    <row r="5310">
      <c r="B5310" s="19">
        <v>5302.0</v>
      </c>
      <c r="C5310" s="19" t="s">
        <v>6090</v>
      </c>
    </row>
    <row r="5311">
      <c r="B5311" s="19">
        <v>5303.0</v>
      </c>
      <c r="C5311" s="19" t="s">
        <v>6090</v>
      </c>
    </row>
    <row r="5312">
      <c r="B5312" s="19">
        <v>5304.0</v>
      </c>
      <c r="C5312" s="19" t="s">
        <v>6090</v>
      </c>
    </row>
    <row r="5313">
      <c r="B5313" s="19">
        <v>5305.0</v>
      </c>
      <c r="C5313" s="19" t="s">
        <v>6090</v>
      </c>
    </row>
    <row r="5314">
      <c r="B5314" s="19">
        <v>5306.0</v>
      </c>
      <c r="C5314" s="19" t="s">
        <v>6090</v>
      </c>
    </row>
    <row r="5315">
      <c r="B5315" s="19">
        <v>5307.0</v>
      </c>
      <c r="C5315" s="19" t="s">
        <v>6090</v>
      </c>
    </row>
    <row r="5316">
      <c r="B5316" s="19">
        <v>5308.0</v>
      </c>
      <c r="C5316" s="19" t="s">
        <v>6090</v>
      </c>
    </row>
    <row r="5317">
      <c r="B5317" s="19">
        <v>5309.0</v>
      </c>
      <c r="C5317" s="19" t="s">
        <v>6090</v>
      </c>
    </row>
    <row r="5318">
      <c r="B5318" s="19">
        <v>5310.0</v>
      </c>
      <c r="C5318" s="19" t="s">
        <v>6090</v>
      </c>
    </row>
    <row r="5319">
      <c r="B5319" s="19">
        <v>5311.0</v>
      </c>
      <c r="C5319" s="19" t="s">
        <v>6090</v>
      </c>
    </row>
    <row r="5320">
      <c r="B5320" s="19">
        <v>5312.0</v>
      </c>
      <c r="C5320" s="19" t="s">
        <v>6090</v>
      </c>
    </row>
    <row r="5321">
      <c r="B5321" s="19">
        <v>5313.0</v>
      </c>
      <c r="C5321" s="19" t="s">
        <v>6090</v>
      </c>
    </row>
    <row r="5322">
      <c r="B5322" s="19">
        <v>5314.0</v>
      </c>
      <c r="C5322" s="19" t="s">
        <v>6090</v>
      </c>
    </row>
    <row r="5323">
      <c r="B5323" s="19">
        <v>5315.0</v>
      </c>
      <c r="C5323" s="19" t="s">
        <v>6090</v>
      </c>
    </row>
    <row r="5324">
      <c r="B5324" s="19">
        <v>5316.0</v>
      </c>
      <c r="C5324" s="19" t="s">
        <v>6090</v>
      </c>
    </row>
    <row r="5325">
      <c r="B5325" s="19">
        <v>5317.0</v>
      </c>
      <c r="C5325" s="19" t="s">
        <v>6090</v>
      </c>
    </row>
    <row r="5326">
      <c r="B5326" s="19">
        <v>5318.0</v>
      </c>
      <c r="C5326" s="19" t="s">
        <v>6090</v>
      </c>
    </row>
    <row r="5327">
      <c r="B5327" s="19">
        <v>5319.0</v>
      </c>
      <c r="C5327" s="19" t="s">
        <v>6090</v>
      </c>
    </row>
    <row r="5328">
      <c r="B5328" s="19">
        <v>5320.0</v>
      </c>
      <c r="C5328" s="19" t="s">
        <v>6090</v>
      </c>
    </row>
    <row r="5329">
      <c r="B5329" s="19">
        <v>5321.0</v>
      </c>
      <c r="C5329" s="19" t="s">
        <v>6090</v>
      </c>
    </row>
    <row r="5330">
      <c r="B5330" s="19">
        <v>5322.0</v>
      </c>
      <c r="C5330" s="19" t="s">
        <v>6090</v>
      </c>
    </row>
    <row r="5331">
      <c r="B5331" s="19">
        <v>5323.0</v>
      </c>
      <c r="C5331" s="19" t="s">
        <v>6090</v>
      </c>
    </row>
    <row r="5332">
      <c r="B5332" s="19">
        <v>5324.0</v>
      </c>
      <c r="C5332" s="19" t="s">
        <v>6090</v>
      </c>
    </row>
    <row r="5333">
      <c r="B5333" s="19">
        <v>5325.0</v>
      </c>
      <c r="C5333" s="19" t="s">
        <v>6090</v>
      </c>
    </row>
    <row r="5334">
      <c r="B5334" s="19">
        <v>5326.0</v>
      </c>
      <c r="C5334" s="19" t="s">
        <v>6090</v>
      </c>
    </row>
    <row r="5335">
      <c r="B5335" s="19">
        <v>5327.0</v>
      </c>
      <c r="C5335" s="19" t="s">
        <v>6090</v>
      </c>
    </row>
    <row r="5336">
      <c r="B5336" s="19">
        <v>5328.0</v>
      </c>
      <c r="C5336" s="19" t="s">
        <v>6090</v>
      </c>
    </row>
    <row r="5337">
      <c r="B5337" s="19">
        <v>5329.0</v>
      </c>
      <c r="C5337" s="19" t="s">
        <v>6090</v>
      </c>
    </row>
    <row r="5338">
      <c r="B5338" s="19">
        <v>5330.0</v>
      </c>
      <c r="C5338" s="19" t="s">
        <v>6090</v>
      </c>
    </row>
    <row r="5339">
      <c r="B5339" s="19">
        <v>5331.0</v>
      </c>
      <c r="C5339" s="19" t="s">
        <v>6090</v>
      </c>
    </row>
    <row r="5340">
      <c r="B5340" s="19">
        <v>5332.0</v>
      </c>
      <c r="C5340" s="19" t="s">
        <v>6090</v>
      </c>
    </row>
    <row r="5341">
      <c r="B5341" s="19">
        <v>5333.0</v>
      </c>
      <c r="C5341" s="19" t="s">
        <v>6090</v>
      </c>
    </row>
    <row r="5342">
      <c r="B5342" s="19">
        <v>5334.0</v>
      </c>
      <c r="C5342" s="19" t="s">
        <v>6090</v>
      </c>
    </row>
    <row r="5343">
      <c r="B5343" s="19">
        <v>5335.0</v>
      </c>
      <c r="C5343" s="19" t="s">
        <v>6090</v>
      </c>
    </row>
    <row r="5344">
      <c r="B5344" s="19">
        <v>5336.0</v>
      </c>
      <c r="C5344" s="19" t="s">
        <v>6090</v>
      </c>
    </row>
    <row r="5345">
      <c r="B5345" s="19">
        <v>5337.0</v>
      </c>
      <c r="C5345" s="19" t="s">
        <v>6090</v>
      </c>
    </row>
    <row r="5346">
      <c r="B5346" s="19">
        <v>5338.0</v>
      </c>
      <c r="C5346" s="19" t="s">
        <v>6090</v>
      </c>
    </row>
    <row r="5347">
      <c r="B5347" s="19">
        <v>5339.0</v>
      </c>
      <c r="C5347" s="19" t="s">
        <v>6090</v>
      </c>
    </row>
    <row r="5348">
      <c r="B5348" s="19">
        <v>5340.0</v>
      </c>
      <c r="C5348" s="19" t="s">
        <v>6090</v>
      </c>
    </row>
    <row r="5349">
      <c r="B5349" s="19">
        <v>5341.0</v>
      </c>
      <c r="C5349" s="19" t="s">
        <v>6090</v>
      </c>
    </row>
    <row r="5350">
      <c r="B5350" s="19">
        <v>5342.0</v>
      </c>
      <c r="C5350" s="19" t="s">
        <v>6090</v>
      </c>
    </row>
    <row r="5351">
      <c r="B5351" s="19">
        <v>5343.0</v>
      </c>
      <c r="C5351" s="19" t="s">
        <v>6090</v>
      </c>
    </row>
    <row r="5352">
      <c r="B5352" s="19">
        <v>5344.0</v>
      </c>
      <c r="C5352" s="19" t="s">
        <v>6090</v>
      </c>
    </row>
    <row r="5353">
      <c r="B5353" s="19">
        <v>5345.0</v>
      </c>
      <c r="C5353" s="19" t="s">
        <v>6090</v>
      </c>
    </row>
    <row r="5354">
      <c r="B5354" s="19">
        <v>5346.0</v>
      </c>
      <c r="C5354" s="19" t="s">
        <v>6090</v>
      </c>
    </row>
    <row r="5355">
      <c r="B5355" s="19">
        <v>5347.0</v>
      </c>
      <c r="C5355" s="19" t="s">
        <v>6090</v>
      </c>
    </row>
    <row r="5356">
      <c r="B5356" s="19">
        <v>5348.0</v>
      </c>
      <c r="C5356" s="19" t="s">
        <v>6090</v>
      </c>
    </row>
    <row r="5357">
      <c r="B5357" s="19">
        <v>5349.0</v>
      </c>
      <c r="C5357" s="19" t="s">
        <v>6090</v>
      </c>
    </row>
    <row r="5358">
      <c r="B5358" s="19">
        <v>5350.0</v>
      </c>
      <c r="C5358" s="19" t="s">
        <v>6090</v>
      </c>
    </row>
    <row r="5359">
      <c r="B5359" s="19">
        <v>5351.0</v>
      </c>
      <c r="C5359" s="19" t="s">
        <v>6090</v>
      </c>
    </row>
    <row r="5360">
      <c r="B5360" s="19">
        <v>5352.0</v>
      </c>
      <c r="C5360" s="19" t="s">
        <v>6090</v>
      </c>
    </row>
    <row r="5361">
      <c r="B5361" s="19">
        <v>5353.0</v>
      </c>
      <c r="C5361" s="19" t="s">
        <v>6090</v>
      </c>
    </row>
    <row r="5362">
      <c r="B5362" s="19">
        <v>5354.0</v>
      </c>
      <c r="C5362" s="19" t="s">
        <v>6090</v>
      </c>
    </row>
    <row r="5363">
      <c r="B5363" s="19">
        <v>5355.0</v>
      </c>
      <c r="C5363" s="19" t="s">
        <v>6090</v>
      </c>
    </row>
    <row r="5364">
      <c r="B5364" s="19">
        <v>5356.0</v>
      </c>
      <c r="C5364" s="19" t="s">
        <v>6090</v>
      </c>
    </row>
    <row r="5365">
      <c r="B5365" s="19">
        <v>5357.0</v>
      </c>
      <c r="C5365" s="19" t="s">
        <v>6090</v>
      </c>
    </row>
    <row r="5366">
      <c r="B5366" s="19">
        <v>5358.0</v>
      </c>
      <c r="C5366" s="19" t="s">
        <v>6090</v>
      </c>
    </row>
    <row r="5367">
      <c r="B5367" s="19">
        <v>5359.0</v>
      </c>
      <c r="C5367" s="19" t="s">
        <v>6090</v>
      </c>
    </row>
    <row r="5368">
      <c r="B5368" s="19">
        <v>5360.0</v>
      </c>
      <c r="C5368" s="19" t="s">
        <v>6090</v>
      </c>
    </row>
    <row r="5369">
      <c r="B5369" s="19">
        <v>5361.0</v>
      </c>
      <c r="C5369" s="19" t="s">
        <v>6090</v>
      </c>
    </row>
    <row r="5370">
      <c r="B5370" s="19">
        <v>5362.0</v>
      </c>
      <c r="C5370" s="19" t="s">
        <v>6090</v>
      </c>
    </row>
    <row r="5371">
      <c r="B5371" s="19">
        <v>5363.0</v>
      </c>
      <c r="C5371" s="19" t="s">
        <v>6090</v>
      </c>
    </row>
    <row r="5372">
      <c r="B5372" s="19">
        <v>5364.0</v>
      </c>
      <c r="C5372" s="19" t="s">
        <v>6090</v>
      </c>
    </row>
    <row r="5373">
      <c r="B5373" s="19">
        <v>5365.0</v>
      </c>
      <c r="C5373" s="19" t="s">
        <v>6090</v>
      </c>
    </row>
    <row r="5374">
      <c r="B5374" s="19">
        <v>5366.0</v>
      </c>
      <c r="C5374" s="19" t="s">
        <v>6090</v>
      </c>
    </row>
    <row r="5375">
      <c r="B5375" s="19">
        <v>5367.0</v>
      </c>
      <c r="C5375" s="19" t="s">
        <v>6090</v>
      </c>
    </row>
    <row r="5376">
      <c r="B5376" s="19">
        <v>5368.0</v>
      </c>
      <c r="C5376" s="19" t="s">
        <v>6090</v>
      </c>
    </row>
    <row r="5377">
      <c r="B5377" s="19">
        <v>5369.0</v>
      </c>
      <c r="C5377" s="19" t="s">
        <v>6090</v>
      </c>
    </row>
    <row r="5378">
      <c r="B5378" s="19">
        <v>5370.0</v>
      </c>
      <c r="C5378" s="19" t="s">
        <v>6090</v>
      </c>
    </row>
    <row r="5379">
      <c r="B5379" s="19">
        <v>5371.0</v>
      </c>
      <c r="C5379" s="19" t="s">
        <v>6090</v>
      </c>
    </row>
    <row r="5380">
      <c r="B5380" s="19">
        <v>5372.0</v>
      </c>
      <c r="C5380" s="19" t="s">
        <v>6090</v>
      </c>
    </row>
    <row r="5381">
      <c r="B5381" s="19">
        <v>5373.0</v>
      </c>
      <c r="C5381" s="19" t="s">
        <v>6090</v>
      </c>
    </row>
    <row r="5382">
      <c r="B5382" s="19">
        <v>5374.0</v>
      </c>
      <c r="C5382" s="19" t="s">
        <v>6090</v>
      </c>
    </row>
    <row r="5383">
      <c r="B5383" s="19">
        <v>5375.0</v>
      </c>
      <c r="C5383" s="19" t="s">
        <v>6090</v>
      </c>
    </row>
    <row r="5384">
      <c r="B5384" s="19">
        <v>5376.0</v>
      </c>
      <c r="C5384" s="19" t="s">
        <v>6090</v>
      </c>
    </row>
    <row r="5385">
      <c r="B5385" s="19">
        <v>5377.0</v>
      </c>
      <c r="C5385" s="19" t="s">
        <v>6090</v>
      </c>
    </row>
    <row r="5386">
      <c r="B5386" s="19">
        <v>5378.0</v>
      </c>
      <c r="C5386" s="19" t="s">
        <v>6090</v>
      </c>
    </row>
    <row r="5387">
      <c r="B5387" s="19">
        <v>5379.0</v>
      </c>
      <c r="C5387" s="19" t="s">
        <v>6090</v>
      </c>
    </row>
    <row r="5388">
      <c r="B5388" s="19">
        <v>5380.0</v>
      </c>
      <c r="C5388" s="19" t="s">
        <v>6090</v>
      </c>
    </row>
    <row r="5389">
      <c r="B5389" s="19">
        <v>5381.0</v>
      </c>
      <c r="C5389" s="19" t="s">
        <v>6090</v>
      </c>
    </row>
    <row r="5390">
      <c r="B5390" s="19">
        <v>5382.0</v>
      </c>
      <c r="C5390" s="19" t="s">
        <v>6090</v>
      </c>
    </row>
    <row r="5391">
      <c r="B5391" s="19">
        <v>5383.0</v>
      </c>
      <c r="C5391" s="19" t="s">
        <v>6090</v>
      </c>
    </row>
    <row r="5392">
      <c r="B5392" s="19">
        <v>5384.0</v>
      </c>
      <c r="C5392" s="19" t="s">
        <v>6090</v>
      </c>
    </row>
    <row r="5393">
      <c r="B5393" s="19">
        <v>5385.0</v>
      </c>
      <c r="C5393" s="19" t="s">
        <v>6090</v>
      </c>
    </row>
    <row r="5394">
      <c r="B5394" s="19">
        <v>5386.0</v>
      </c>
      <c r="C5394" s="19" t="s">
        <v>6090</v>
      </c>
    </row>
    <row r="5395">
      <c r="B5395" s="19">
        <v>5387.0</v>
      </c>
      <c r="C5395" s="19" t="s">
        <v>6090</v>
      </c>
    </row>
    <row r="5396">
      <c r="B5396" s="19">
        <v>5388.0</v>
      </c>
      <c r="C5396" s="19" t="s">
        <v>6090</v>
      </c>
    </row>
    <row r="5397">
      <c r="B5397" s="19">
        <v>5389.0</v>
      </c>
      <c r="C5397" s="19" t="s">
        <v>6090</v>
      </c>
    </row>
    <row r="5398">
      <c r="B5398" s="19">
        <v>5390.0</v>
      </c>
      <c r="C5398" s="19" t="s">
        <v>6090</v>
      </c>
    </row>
    <row r="5399">
      <c r="B5399" s="19">
        <v>5391.0</v>
      </c>
      <c r="C5399" s="19" t="s">
        <v>6090</v>
      </c>
    </row>
    <row r="5400">
      <c r="B5400" s="19">
        <v>5392.0</v>
      </c>
      <c r="C5400" s="19" t="s">
        <v>6090</v>
      </c>
    </row>
    <row r="5401">
      <c r="B5401" s="19">
        <v>5393.0</v>
      </c>
      <c r="C5401" s="19" t="s">
        <v>6090</v>
      </c>
    </row>
    <row r="5402">
      <c r="B5402" s="19">
        <v>5394.0</v>
      </c>
      <c r="C5402" s="19" t="s">
        <v>6090</v>
      </c>
    </row>
    <row r="5403">
      <c r="B5403" s="19">
        <v>5395.0</v>
      </c>
      <c r="C5403" s="19" t="s">
        <v>6090</v>
      </c>
    </row>
    <row r="5404">
      <c r="B5404" s="19">
        <v>5396.0</v>
      </c>
      <c r="C5404" s="19" t="s">
        <v>6090</v>
      </c>
    </row>
    <row r="5405">
      <c r="B5405" s="19">
        <v>5397.0</v>
      </c>
      <c r="C5405" s="19" t="s">
        <v>6090</v>
      </c>
    </row>
    <row r="5406">
      <c r="B5406" s="19">
        <v>5398.0</v>
      </c>
      <c r="C5406" s="19" t="s">
        <v>6090</v>
      </c>
    </row>
    <row r="5407">
      <c r="B5407" s="19">
        <v>5399.0</v>
      </c>
      <c r="C5407" s="19" t="s">
        <v>6090</v>
      </c>
    </row>
    <row r="5408">
      <c r="B5408" s="19">
        <v>5400.0</v>
      </c>
      <c r="C5408" s="19" t="s">
        <v>6090</v>
      </c>
    </row>
    <row r="5409">
      <c r="B5409" s="19">
        <v>5401.0</v>
      </c>
      <c r="C5409" s="19" t="s">
        <v>6090</v>
      </c>
    </row>
    <row r="5410">
      <c r="B5410" s="19">
        <v>5402.0</v>
      </c>
      <c r="C5410" s="19" t="s">
        <v>6090</v>
      </c>
    </row>
    <row r="5411">
      <c r="B5411" s="19">
        <v>5403.0</v>
      </c>
      <c r="C5411" s="19" t="s">
        <v>6090</v>
      </c>
    </row>
    <row r="5412">
      <c r="B5412" s="19">
        <v>5404.0</v>
      </c>
      <c r="C5412" s="19" t="s">
        <v>6090</v>
      </c>
    </row>
    <row r="5413">
      <c r="B5413" s="19">
        <v>5405.0</v>
      </c>
      <c r="C5413" s="19" t="s">
        <v>6090</v>
      </c>
    </row>
    <row r="5414">
      <c r="B5414" s="19">
        <v>5406.0</v>
      </c>
      <c r="C5414" s="19" t="s">
        <v>6090</v>
      </c>
    </row>
    <row r="5415">
      <c r="B5415" s="19">
        <v>5407.0</v>
      </c>
      <c r="C5415" s="19" t="s">
        <v>6090</v>
      </c>
    </row>
    <row r="5416">
      <c r="B5416" s="19">
        <v>5408.0</v>
      </c>
      <c r="C5416" s="19" t="s">
        <v>6090</v>
      </c>
    </row>
    <row r="5417">
      <c r="B5417" s="19">
        <v>5409.0</v>
      </c>
      <c r="C5417" s="19" t="s">
        <v>6090</v>
      </c>
    </row>
    <row r="5418">
      <c r="B5418" s="19">
        <v>5410.0</v>
      </c>
      <c r="C5418" s="19" t="s">
        <v>6090</v>
      </c>
    </row>
    <row r="5419">
      <c r="B5419" s="19">
        <v>5411.0</v>
      </c>
      <c r="C5419" s="19" t="s">
        <v>6090</v>
      </c>
    </row>
    <row r="5420">
      <c r="B5420" s="19">
        <v>5412.0</v>
      </c>
      <c r="C5420" s="19" t="s">
        <v>6090</v>
      </c>
    </row>
    <row r="5421">
      <c r="B5421" s="19">
        <v>5413.0</v>
      </c>
      <c r="C5421" s="19" t="s">
        <v>6090</v>
      </c>
    </row>
    <row r="5422">
      <c r="B5422" s="19">
        <v>5414.0</v>
      </c>
      <c r="C5422" s="19" t="s">
        <v>6090</v>
      </c>
    </row>
    <row r="5423">
      <c r="B5423" s="19">
        <v>5415.0</v>
      </c>
      <c r="C5423" s="19" t="s">
        <v>6090</v>
      </c>
    </row>
    <row r="5424">
      <c r="B5424" s="19">
        <v>5416.0</v>
      </c>
      <c r="C5424" s="19" t="s">
        <v>6090</v>
      </c>
    </row>
    <row r="5425">
      <c r="B5425" s="19">
        <v>5417.0</v>
      </c>
      <c r="C5425" s="19" t="s">
        <v>6090</v>
      </c>
    </row>
    <row r="5426">
      <c r="B5426" s="19">
        <v>5418.0</v>
      </c>
      <c r="C5426" s="19" t="s">
        <v>6090</v>
      </c>
    </row>
    <row r="5427">
      <c r="B5427" s="19">
        <v>5419.0</v>
      </c>
      <c r="C5427" s="19" t="s">
        <v>6090</v>
      </c>
    </row>
    <row r="5428">
      <c r="B5428" s="19">
        <v>5420.0</v>
      </c>
      <c r="C5428" s="19" t="s">
        <v>6090</v>
      </c>
    </row>
    <row r="5429">
      <c r="B5429" s="19">
        <v>5421.0</v>
      </c>
      <c r="C5429" s="19" t="s">
        <v>6090</v>
      </c>
    </row>
    <row r="5430">
      <c r="B5430" s="19">
        <v>5422.0</v>
      </c>
      <c r="C5430" s="19" t="s">
        <v>6090</v>
      </c>
    </row>
    <row r="5431">
      <c r="B5431" s="19">
        <v>5423.0</v>
      </c>
      <c r="C5431" s="19" t="s">
        <v>6090</v>
      </c>
    </row>
    <row r="5432">
      <c r="B5432" s="19">
        <v>5424.0</v>
      </c>
      <c r="C5432" s="19" t="s">
        <v>6090</v>
      </c>
    </row>
    <row r="5433">
      <c r="B5433" s="19">
        <v>5425.0</v>
      </c>
      <c r="C5433" s="19" t="s">
        <v>6090</v>
      </c>
    </row>
    <row r="5434">
      <c r="B5434" s="19">
        <v>5426.0</v>
      </c>
      <c r="C5434" s="19" t="s">
        <v>6090</v>
      </c>
    </row>
    <row r="5435">
      <c r="B5435" s="19">
        <v>5427.0</v>
      </c>
      <c r="C5435" s="19" t="s">
        <v>6090</v>
      </c>
    </row>
    <row r="5436">
      <c r="B5436" s="19">
        <v>5428.0</v>
      </c>
      <c r="C5436" s="19" t="s">
        <v>6090</v>
      </c>
    </row>
    <row r="5437">
      <c r="B5437" s="19">
        <v>5429.0</v>
      </c>
      <c r="C5437" s="19" t="s">
        <v>6090</v>
      </c>
    </row>
    <row r="5438">
      <c r="B5438" s="19">
        <v>5430.0</v>
      </c>
      <c r="C5438" s="19" t="s">
        <v>6090</v>
      </c>
    </row>
    <row r="5439">
      <c r="B5439" s="19">
        <v>5431.0</v>
      </c>
      <c r="C5439" s="19" t="s">
        <v>6090</v>
      </c>
    </row>
    <row r="5440">
      <c r="B5440" s="19">
        <v>5432.0</v>
      </c>
      <c r="C5440" s="19" t="s">
        <v>6090</v>
      </c>
    </row>
    <row r="5441">
      <c r="B5441" s="19">
        <v>5433.0</v>
      </c>
      <c r="C5441" s="19" t="s">
        <v>6090</v>
      </c>
    </row>
    <row r="5442">
      <c r="B5442" s="19">
        <v>5434.0</v>
      </c>
      <c r="C5442" s="19" t="s">
        <v>6090</v>
      </c>
    </row>
    <row r="5443">
      <c r="B5443" s="19">
        <v>5435.0</v>
      </c>
      <c r="C5443" s="19" t="s">
        <v>6090</v>
      </c>
    </row>
    <row r="5444">
      <c r="B5444" s="19">
        <v>5436.0</v>
      </c>
      <c r="C5444" s="19" t="s">
        <v>6090</v>
      </c>
    </row>
    <row r="5445">
      <c r="B5445" s="19">
        <v>5437.0</v>
      </c>
      <c r="C5445" s="19" t="s">
        <v>6090</v>
      </c>
    </row>
    <row r="5446">
      <c r="B5446" s="19">
        <v>5438.0</v>
      </c>
      <c r="C5446" s="19" t="s">
        <v>6090</v>
      </c>
    </row>
    <row r="5447">
      <c r="B5447" s="19">
        <v>5439.0</v>
      </c>
      <c r="C5447" s="19" t="s">
        <v>6090</v>
      </c>
    </row>
    <row r="5448">
      <c r="B5448" s="19">
        <v>5440.0</v>
      </c>
      <c r="C5448" s="19" t="s">
        <v>6090</v>
      </c>
    </row>
    <row r="5449">
      <c r="B5449" s="19">
        <v>5441.0</v>
      </c>
      <c r="C5449" s="19" t="s">
        <v>6090</v>
      </c>
    </row>
    <row r="5450">
      <c r="B5450" s="19">
        <v>5442.0</v>
      </c>
      <c r="C5450" s="19" t="s">
        <v>6090</v>
      </c>
    </row>
    <row r="5451">
      <c r="B5451" s="19">
        <v>5443.0</v>
      </c>
      <c r="C5451" s="19" t="s">
        <v>6090</v>
      </c>
    </row>
    <row r="5452">
      <c r="B5452" s="19">
        <v>5444.0</v>
      </c>
      <c r="C5452" s="19" t="s">
        <v>6090</v>
      </c>
    </row>
    <row r="5453">
      <c r="B5453" s="19">
        <v>5445.0</v>
      </c>
      <c r="C5453" s="19" t="s">
        <v>6090</v>
      </c>
    </row>
    <row r="5454">
      <c r="B5454" s="19">
        <v>5446.0</v>
      </c>
      <c r="C5454" s="19" t="s">
        <v>6090</v>
      </c>
    </row>
    <row r="5455">
      <c r="B5455" s="19">
        <v>5447.0</v>
      </c>
      <c r="C5455" s="19" t="s">
        <v>6090</v>
      </c>
    </row>
    <row r="5456">
      <c r="B5456" s="19">
        <v>5448.0</v>
      </c>
      <c r="C5456" s="19" t="s">
        <v>6090</v>
      </c>
    </row>
    <row r="5457">
      <c r="B5457" s="19">
        <v>5449.0</v>
      </c>
      <c r="C5457" s="19" t="s">
        <v>6090</v>
      </c>
    </row>
    <row r="5458">
      <c r="B5458" s="19">
        <v>5450.0</v>
      </c>
      <c r="C5458" s="19" t="s">
        <v>6090</v>
      </c>
    </row>
    <row r="5459">
      <c r="B5459" s="19">
        <v>5451.0</v>
      </c>
      <c r="C5459" s="19" t="s">
        <v>6090</v>
      </c>
    </row>
    <row r="5460">
      <c r="B5460" s="19">
        <v>5452.0</v>
      </c>
      <c r="C5460" s="19" t="s">
        <v>6090</v>
      </c>
    </row>
    <row r="5461">
      <c r="B5461" s="19">
        <v>5453.0</v>
      </c>
      <c r="C5461" s="19" t="s">
        <v>6090</v>
      </c>
    </row>
    <row r="5462">
      <c r="B5462" s="19">
        <v>5454.0</v>
      </c>
      <c r="C5462" s="19" t="s">
        <v>6090</v>
      </c>
    </row>
    <row r="5463">
      <c r="B5463" s="19">
        <v>5455.0</v>
      </c>
      <c r="C5463" s="19" t="s">
        <v>6090</v>
      </c>
    </row>
    <row r="5464">
      <c r="B5464" s="19">
        <v>5456.0</v>
      </c>
      <c r="C5464" s="19" t="s">
        <v>6090</v>
      </c>
    </row>
    <row r="5465">
      <c r="B5465" s="19">
        <v>5457.0</v>
      </c>
      <c r="C5465" s="19" t="s">
        <v>6090</v>
      </c>
    </row>
    <row r="5466">
      <c r="B5466" s="19">
        <v>5458.0</v>
      </c>
      <c r="C5466" s="19" t="s">
        <v>6090</v>
      </c>
    </row>
    <row r="5467">
      <c r="B5467" s="19">
        <v>5459.0</v>
      </c>
      <c r="C5467" s="19" t="s">
        <v>6090</v>
      </c>
    </row>
    <row r="5468">
      <c r="B5468" s="19">
        <v>5460.0</v>
      </c>
      <c r="C5468" s="19" t="s">
        <v>6090</v>
      </c>
    </row>
    <row r="5469">
      <c r="B5469" s="19">
        <v>5461.0</v>
      </c>
      <c r="C5469" s="19" t="s">
        <v>6090</v>
      </c>
    </row>
    <row r="5470">
      <c r="B5470" s="19">
        <v>5462.0</v>
      </c>
      <c r="C5470" s="19" t="s">
        <v>6090</v>
      </c>
    </row>
    <row r="5471">
      <c r="B5471" s="19">
        <v>5463.0</v>
      </c>
      <c r="C5471" s="19" t="s">
        <v>6090</v>
      </c>
    </row>
    <row r="5472">
      <c r="B5472" s="19">
        <v>5464.0</v>
      </c>
      <c r="C5472" s="19" t="s">
        <v>6090</v>
      </c>
    </row>
    <row r="5473">
      <c r="B5473" s="19">
        <v>5465.0</v>
      </c>
      <c r="C5473" s="19" t="s">
        <v>6090</v>
      </c>
    </row>
    <row r="5474">
      <c r="B5474" s="19">
        <v>5466.0</v>
      </c>
      <c r="C5474" s="19" t="s">
        <v>6090</v>
      </c>
    </row>
    <row r="5475">
      <c r="B5475" s="19">
        <v>5467.0</v>
      </c>
      <c r="C5475" s="19" t="s">
        <v>6090</v>
      </c>
    </row>
    <row r="5476">
      <c r="B5476" s="19">
        <v>5468.0</v>
      </c>
      <c r="C5476" s="19" t="s">
        <v>6090</v>
      </c>
    </row>
    <row r="5477">
      <c r="B5477" s="19">
        <v>5469.0</v>
      </c>
      <c r="C5477" s="19" t="s">
        <v>6090</v>
      </c>
    </row>
    <row r="5478">
      <c r="B5478" s="19">
        <v>5470.0</v>
      </c>
      <c r="C5478" s="19" t="s">
        <v>6090</v>
      </c>
    </row>
    <row r="5479">
      <c r="B5479" s="19">
        <v>5471.0</v>
      </c>
      <c r="C5479" s="19" t="s">
        <v>6090</v>
      </c>
    </row>
    <row r="5480">
      <c r="B5480" s="19">
        <v>5472.0</v>
      </c>
      <c r="C5480" s="19" t="s">
        <v>6090</v>
      </c>
    </row>
    <row r="5481">
      <c r="B5481" s="19">
        <v>5473.0</v>
      </c>
      <c r="C5481" s="19" t="s">
        <v>6090</v>
      </c>
    </row>
    <row r="5482">
      <c r="B5482" s="19">
        <v>5474.0</v>
      </c>
      <c r="C5482" s="19" t="s">
        <v>6090</v>
      </c>
    </row>
    <row r="5483">
      <c r="B5483" s="19">
        <v>5475.0</v>
      </c>
      <c r="C5483" s="19" t="s">
        <v>6090</v>
      </c>
    </row>
    <row r="5484">
      <c r="B5484" s="19">
        <v>5476.0</v>
      </c>
      <c r="C5484" s="19" t="s">
        <v>6090</v>
      </c>
    </row>
    <row r="5485">
      <c r="B5485" s="19">
        <v>5477.0</v>
      </c>
      <c r="C5485" s="19" t="s">
        <v>6090</v>
      </c>
    </row>
    <row r="5486">
      <c r="B5486" s="19">
        <v>5478.0</v>
      </c>
      <c r="C5486" s="19" t="s">
        <v>6090</v>
      </c>
    </row>
    <row r="5487">
      <c r="B5487" s="19">
        <v>5479.0</v>
      </c>
      <c r="C5487" s="19" t="s">
        <v>6090</v>
      </c>
    </row>
    <row r="5488">
      <c r="B5488" s="19">
        <v>5480.0</v>
      </c>
      <c r="C5488" s="19" t="s">
        <v>6090</v>
      </c>
    </row>
    <row r="5489">
      <c r="B5489" s="19">
        <v>5481.0</v>
      </c>
      <c r="C5489" s="19" t="s">
        <v>6090</v>
      </c>
    </row>
    <row r="5490">
      <c r="B5490" s="19">
        <v>5482.0</v>
      </c>
      <c r="C5490" s="19" t="s">
        <v>6090</v>
      </c>
    </row>
    <row r="5491">
      <c r="B5491" s="19">
        <v>5483.0</v>
      </c>
      <c r="C5491" s="19" t="s">
        <v>6090</v>
      </c>
    </row>
    <row r="5492">
      <c r="B5492" s="19">
        <v>5484.0</v>
      </c>
      <c r="C5492" s="19" t="s">
        <v>6090</v>
      </c>
    </row>
    <row r="5493">
      <c r="B5493" s="19">
        <v>5485.0</v>
      </c>
      <c r="C5493" s="19" t="s">
        <v>6090</v>
      </c>
    </row>
    <row r="5494">
      <c r="B5494" s="19">
        <v>5486.0</v>
      </c>
      <c r="C5494" s="19" t="s">
        <v>6090</v>
      </c>
    </row>
    <row r="5495">
      <c r="B5495" s="19">
        <v>5487.0</v>
      </c>
      <c r="C5495" s="19" t="s">
        <v>6090</v>
      </c>
    </row>
    <row r="5496">
      <c r="B5496" s="19">
        <v>5488.0</v>
      </c>
      <c r="C5496" s="19" t="s">
        <v>6090</v>
      </c>
    </row>
    <row r="5497">
      <c r="B5497" s="19">
        <v>5489.0</v>
      </c>
      <c r="C5497" s="19" t="s">
        <v>6090</v>
      </c>
    </row>
    <row r="5498">
      <c r="B5498" s="19">
        <v>5490.0</v>
      </c>
      <c r="C5498" s="19" t="s">
        <v>6090</v>
      </c>
    </row>
    <row r="5499">
      <c r="B5499" s="19">
        <v>5491.0</v>
      </c>
      <c r="C5499" s="19" t="s">
        <v>6090</v>
      </c>
    </row>
    <row r="5500">
      <c r="B5500" s="19">
        <v>5492.0</v>
      </c>
      <c r="C5500" s="19" t="s">
        <v>6090</v>
      </c>
    </row>
    <row r="5501">
      <c r="B5501" s="19">
        <v>5493.0</v>
      </c>
      <c r="C5501" s="19" t="s">
        <v>6090</v>
      </c>
    </row>
    <row r="5502">
      <c r="B5502" s="19">
        <v>5494.0</v>
      </c>
      <c r="C5502" s="19" t="s">
        <v>6090</v>
      </c>
    </row>
    <row r="5503">
      <c r="B5503" s="19">
        <v>5495.0</v>
      </c>
      <c r="C5503" s="19" t="s">
        <v>6090</v>
      </c>
    </row>
    <row r="5504">
      <c r="B5504" s="19">
        <v>5496.0</v>
      </c>
      <c r="C5504" s="19" t="s">
        <v>6090</v>
      </c>
    </row>
    <row r="5505">
      <c r="B5505" s="19">
        <v>5497.0</v>
      </c>
      <c r="C5505" s="19" t="s">
        <v>6090</v>
      </c>
    </row>
    <row r="5506">
      <c r="B5506" s="19">
        <v>5498.0</v>
      </c>
      <c r="C5506" s="19" t="s">
        <v>6090</v>
      </c>
    </row>
    <row r="5507">
      <c r="B5507" s="19">
        <v>5499.0</v>
      </c>
      <c r="C5507" s="19" t="s">
        <v>6090</v>
      </c>
    </row>
    <row r="5508">
      <c r="B5508" s="19">
        <v>5500.0</v>
      </c>
      <c r="C5508" s="19" t="s">
        <v>6090</v>
      </c>
    </row>
    <row r="5509">
      <c r="B5509" s="19">
        <v>5501.0</v>
      </c>
      <c r="C5509" s="19" t="s">
        <v>6090</v>
      </c>
    </row>
    <row r="5510">
      <c r="B5510" s="19">
        <v>5502.0</v>
      </c>
      <c r="C5510" s="19" t="s">
        <v>6090</v>
      </c>
    </row>
    <row r="5511">
      <c r="B5511" s="19">
        <v>5503.0</v>
      </c>
      <c r="C5511" s="19" t="s">
        <v>6090</v>
      </c>
    </row>
    <row r="5512">
      <c r="B5512" s="19">
        <v>5504.0</v>
      </c>
      <c r="C5512" s="19" t="s">
        <v>6090</v>
      </c>
    </row>
    <row r="5513">
      <c r="B5513" s="19">
        <v>5505.0</v>
      </c>
      <c r="C5513" s="19" t="s">
        <v>6090</v>
      </c>
    </row>
    <row r="5514">
      <c r="B5514" s="19">
        <v>5506.0</v>
      </c>
      <c r="C5514" s="19" t="s">
        <v>6090</v>
      </c>
    </row>
    <row r="5515">
      <c r="B5515" s="19">
        <v>5507.0</v>
      </c>
      <c r="C5515" s="19" t="s">
        <v>6090</v>
      </c>
    </row>
    <row r="5516">
      <c r="B5516" s="19">
        <v>5508.0</v>
      </c>
      <c r="C5516" s="19" t="s">
        <v>6090</v>
      </c>
    </row>
    <row r="5517">
      <c r="B5517" s="19">
        <v>5509.0</v>
      </c>
      <c r="C5517" s="19" t="s">
        <v>6090</v>
      </c>
    </row>
    <row r="5518">
      <c r="B5518" s="19">
        <v>5510.0</v>
      </c>
      <c r="C5518" s="19" t="s">
        <v>6090</v>
      </c>
    </row>
    <row r="5519">
      <c r="B5519" s="19">
        <v>5511.0</v>
      </c>
      <c r="C5519" s="19" t="s">
        <v>6090</v>
      </c>
    </row>
    <row r="5520">
      <c r="B5520" s="19">
        <v>5512.0</v>
      </c>
      <c r="C5520" s="19" t="s">
        <v>6090</v>
      </c>
    </row>
    <row r="5521">
      <c r="B5521" s="19">
        <v>5513.0</v>
      </c>
      <c r="C5521" s="19" t="s">
        <v>6090</v>
      </c>
    </row>
    <row r="5522">
      <c r="B5522" s="19">
        <v>5514.0</v>
      </c>
      <c r="C5522" s="19" t="s">
        <v>6090</v>
      </c>
    </row>
    <row r="5523">
      <c r="B5523" s="19">
        <v>5515.0</v>
      </c>
      <c r="C5523" s="19" t="s">
        <v>6090</v>
      </c>
    </row>
    <row r="5524">
      <c r="B5524" s="19">
        <v>5516.0</v>
      </c>
      <c r="C5524" s="19" t="s">
        <v>6090</v>
      </c>
    </row>
    <row r="5525">
      <c r="B5525" s="19">
        <v>5517.0</v>
      </c>
      <c r="C5525" s="19" t="s">
        <v>6090</v>
      </c>
    </row>
    <row r="5526">
      <c r="B5526" s="19">
        <v>5518.0</v>
      </c>
      <c r="C5526" s="19" t="s">
        <v>6090</v>
      </c>
    </row>
    <row r="5527">
      <c r="B5527" s="19">
        <v>5519.0</v>
      </c>
      <c r="C5527" s="19" t="s">
        <v>6090</v>
      </c>
    </row>
    <row r="5528">
      <c r="B5528" s="19">
        <v>5520.0</v>
      </c>
      <c r="C5528" s="19" t="s">
        <v>6090</v>
      </c>
    </row>
    <row r="5529">
      <c r="B5529" s="19">
        <v>5521.0</v>
      </c>
      <c r="C5529" s="19" t="s">
        <v>6090</v>
      </c>
    </row>
    <row r="5530">
      <c r="B5530" s="19">
        <v>5522.0</v>
      </c>
      <c r="C5530" s="19" t="s">
        <v>6090</v>
      </c>
    </row>
    <row r="5531">
      <c r="B5531" s="19">
        <v>5523.0</v>
      </c>
      <c r="C5531" s="19" t="s">
        <v>6090</v>
      </c>
    </row>
    <row r="5532">
      <c r="B5532" s="19">
        <v>5524.0</v>
      </c>
      <c r="C5532" s="19" t="s">
        <v>6090</v>
      </c>
    </row>
    <row r="5533">
      <c r="B5533" s="19">
        <v>5525.0</v>
      </c>
      <c r="C5533" s="19" t="s">
        <v>6090</v>
      </c>
    </row>
    <row r="5534">
      <c r="B5534" s="19">
        <v>5526.0</v>
      </c>
      <c r="C5534" s="19" t="s">
        <v>6090</v>
      </c>
    </row>
    <row r="5535">
      <c r="B5535" s="19">
        <v>5527.0</v>
      </c>
      <c r="C5535" s="19" t="s">
        <v>6090</v>
      </c>
    </row>
    <row r="5536">
      <c r="B5536" s="19">
        <v>5528.0</v>
      </c>
      <c r="C5536" s="19" t="s">
        <v>6090</v>
      </c>
    </row>
    <row r="5537">
      <c r="B5537" s="19">
        <v>5529.0</v>
      </c>
      <c r="C5537" s="19" t="s">
        <v>6090</v>
      </c>
    </row>
    <row r="5538">
      <c r="B5538" s="19">
        <v>5530.0</v>
      </c>
      <c r="C5538" s="19" t="s">
        <v>6090</v>
      </c>
    </row>
    <row r="5539">
      <c r="B5539" s="19">
        <v>5531.0</v>
      </c>
      <c r="C5539" s="19" t="s">
        <v>6090</v>
      </c>
    </row>
    <row r="5540">
      <c r="B5540" s="19">
        <v>5532.0</v>
      </c>
      <c r="C5540" s="19" t="s">
        <v>6090</v>
      </c>
    </row>
    <row r="5541">
      <c r="B5541" s="19">
        <v>5533.0</v>
      </c>
      <c r="C5541" s="19" t="s">
        <v>6090</v>
      </c>
    </row>
    <row r="5542">
      <c r="B5542" s="19">
        <v>5534.0</v>
      </c>
      <c r="C5542" s="19" t="s">
        <v>6090</v>
      </c>
    </row>
    <row r="5543">
      <c r="B5543" s="19">
        <v>5535.0</v>
      </c>
      <c r="C5543" s="19" t="s">
        <v>6090</v>
      </c>
    </row>
    <row r="5544">
      <c r="B5544" s="19">
        <v>5536.0</v>
      </c>
      <c r="C5544" s="19" t="s">
        <v>6090</v>
      </c>
    </row>
    <row r="5545">
      <c r="B5545" s="19">
        <v>5537.0</v>
      </c>
      <c r="C5545" s="19" t="s">
        <v>6090</v>
      </c>
    </row>
    <row r="5546">
      <c r="B5546" s="19">
        <v>5538.0</v>
      </c>
      <c r="C5546" s="19" t="s">
        <v>6090</v>
      </c>
    </row>
    <row r="5547">
      <c r="B5547" s="19">
        <v>5539.0</v>
      </c>
      <c r="C5547" s="19" t="s">
        <v>6090</v>
      </c>
    </row>
    <row r="5548">
      <c r="B5548" s="19">
        <v>5540.0</v>
      </c>
      <c r="C5548" s="19" t="s">
        <v>6090</v>
      </c>
    </row>
    <row r="5549">
      <c r="B5549" s="19">
        <v>5541.0</v>
      </c>
      <c r="C5549" s="19" t="s">
        <v>6090</v>
      </c>
    </row>
    <row r="5550">
      <c r="B5550" s="19">
        <v>5542.0</v>
      </c>
      <c r="C5550" s="19" t="s">
        <v>6090</v>
      </c>
    </row>
    <row r="5551">
      <c r="B5551" s="19">
        <v>5543.0</v>
      </c>
      <c r="C5551" s="19" t="s">
        <v>6090</v>
      </c>
    </row>
    <row r="5552">
      <c r="B5552" s="19">
        <v>5544.0</v>
      </c>
      <c r="C5552" s="19" t="s">
        <v>6090</v>
      </c>
    </row>
    <row r="5553">
      <c r="B5553" s="19">
        <v>5545.0</v>
      </c>
      <c r="C5553" s="19" t="s">
        <v>6090</v>
      </c>
    </row>
    <row r="5554">
      <c r="B5554" s="19">
        <v>5546.0</v>
      </c>
      <c r="C5554" s="19" t="s">
        <v>6090</v>
      </c>
    </row>
    <row r="5555">
      <c r="B5555" s="19">
        <v>5547.0</v>
      </c>
      <c r="C5555" s="19" t="s">
        <v>6090</v>
      </c>
    </row>
    <row r="5556">
      <c r="B5556" s="19">
        <v>5548.0</v>
      </c>
      <c r="C5556" s="19" t="s">
        <v>6090</v>
      </c>
    </row>
    <row r="5557">
      <c r="B5557" s="19">
        <v>5549.0</v>
      </c>
      <c r="C5557" s="19" t="s">
        <v>6090</v>
      </c>
    </row>
    <row r="5558">
      <c r="B5558" s="19">
        <v>5550.0</v>
      </c>
      <c r="C5558" s="19" t="s">
        <v>6090</v>
      </c>
    </row>
    <row r="5559">
      <c r="B5559" s="19">
        <v>5551.0</v>
      </c>
      <c r="C5559" s="19" t="s">
        <v>6090</v>
      </c>
    </row>
    <row r="5560">
      <c r="B5560" s="19">
        <v>5552.0</v>
      </c>
      <c r="C5560" s="19" t="s">
        <v>6090</v>
      </c>
    </row>
    <row r="5561">
      <c r="B5561" s="19">
        <v>5553.0</v>
      </c>
      <c r="C5561" s="19" t="s">
        <v>6090</v>
      </c>
    </row>
    <row r="5562">
      <c r="B5562" s="19">
        <v>5554.0</v>
      </c>
      <c r="C5562" s="19" t="s">
        <v>6090</v>
      </c>
    </row>
    <row r="5563">
      <c r="B5563" s="19">
        <v>5555.0</v>
      </c>
      <c r="C5563" s="19" t="s">
        <v>6090</v>
      </c>
    </row>
    <row r="5564">
      <c r="B5564" s="19">
        <v>5556.0</v>
      </c>
      <c r="C5564" s="19" t="s">
        <v>6090</v>
      </c>
    </row>
    <row r="5565">
      <c r="B5565" s="19">
        <v>5557.0</v>
      </c>
      <c r="C5565" s="19" t="s">
        <v>6090</v>
      </c>
    </row>
    <row r="5566">
      <c r="B5566" s="19">
        <v>5558.0</v>
      </c>
      <c r="C5566" s="19" t="s">
        <v>6090</v>
      </c>
    </row>
    <row r="5567">
      <c r="B5567" s="19">
        <v>5559.0</v>
      </c>
      <c r="C5567" s="19" t="s">
        <v>6090</v>
      </c>
    </row>
    <row r="5568">
      <c r="B5568" s="19">
        <v>5560.0</v>
      </c>
      <c r="C5568" s="19" t="s">
        <v>6090</v>
      </c>
    </row>
    <row r="5569">
      <c r="B5569" s="19">
        <v>5561.0</v>
      </c>
      <c r="C5569" s="19" t="s">
        <v>6090</v>
      </c>
    </row>
    <row r="5570">
      <c r="B5570" s="19">
        <v>5562.0</v>
      </c>
      <c r="C5570" s="19" t="s">
        <v>6090</v>
      </c>
    </row>
    <row r="5571">
      <c r="B5571" s="19">
        <v>5563.0</v>
      </c>
      <c r="C5571" s="19" t="s">
        <v>6090</v>
      </c>
    </row>
    <row r="5572">
      <c r="B5572" s="19">
        <v>5564.0</v>
      </c>
      <c r="C5572" s="19" t="s">
        <v>6090</v>
      </c>
    </row>
    <row r="5573">
      <c r="B5573" s="19">
        <v>5565.0</v>
      </c>
      <c r="C5573" s="19" t="s">
        <v>6090</v>
      </c>
    </row>
    <row r="5574">
      <c r="B5574" s="19">
        <v>5566.0</v>
      </c>
      <c r="C5574" s="19" t="s">
        <v>6090</v>
      </c>
    </row>
    <row r="5575">
      <c r="B5575" s="19">
        <v>5567.0</v>
      </c>
      <c r="C5575" s="19" t="s">
        <v>6090</v>
      </c>
    </row>
    <row r="5576">
      <c r="B5576" s="19">
        <v>5568.0</v>
      </c>
      <c r="C5576" s="19" t="s">
        <v>6090</v>
      </c>
    </row>
    <row r="5577">
      <c r="B5577" s="19">
        <v>5569.0</v>
      </c>
      <c r="C5577" s="19" t="s">
        <v>6090</v>
      </c>
    </row>
    <row r="5578">
      <c r="B5578" s="19">
        <v>5570.0</v>
      </c>
      <c r="C5578" s="19" t="s">
        <v>6090</v>
      </c>
    </row>
    <row r="5579">
      <c r="B5579" s="19">
        <v>5571.0</v>
      </c>
      <c r="C5579" s="19" t="s">
        <v>6090</v>
      </c>
    </row>
    <row r="5580">
      <c r="B5580" s="19">
        <v>5572.0</v>
      </c>
      <c r="C5580" s="19" t="s">
        <v>6090</v>
      </c>
    </row>
    <row r="5581">
      <c r="B5581" s="19">
        <v>5573.0</v>
      </c>
      <c r="C5581" s="19" t="s">
        <v>6090</v>
      </c>
    </row>
    <row r="5582">
      <c r="B5582" s="19">
        <v>5574.0</v>
      </c>
      <c r="C5582" s="19" t="s">
        <v>6090</v>
      </c>
    </row>
    <row r="5583">
      <c r="B5583" s="19">
        <v>5575.0</v>
      </c>
      <c r="C5583" s="19" t="s">
        <v>6090</v>
      </c>
    </row>
    <row r="5584">
      <c r="B5584" s="19">
        <v>5576.0</v>
      </c>
      <c r="C5584" s="19" t="s">
        <v>6090</v>
      </c>
    </row>
    <row r="5585">
      <c r="B5585" s="19">
        <v>5577.0</v>
      </c>
      <c r="C5585" s="19" t="s">
        <v>6090</v>
      </c>
    </row>
    <row r="5586">
      <c r="B5586" s="19">
        <v>5578.0</v>
      </c>
      <c r="C5586" s="19" t="s">
        <v>6090</v>
      </c>
    </row>
    <row r="5587">
      <c r="B5587" s="19">
        <v>5579.0</v>
      </c>
      <c r="C5587" s="19" t="s">
        <v>6090</v>
      </c>
    </row>
    <row r="5588">
      <c r="B5588" s="19">
        <v>5580.0</v>
      </c>
      <c r="C5588" s="19" t="s">
        <v>6090</v>
      </c>
    </row>
    <row r="5589">
      <c r="B5589" s="19">
        <v>5581.0</v>
      </c>
      <c r="C5589" s="19" t="s">
        <v>6090</v>
      </c>
    </row>
    <row r="5590">
      <c r="B5590" s="19">
        <v>5582.0</v>
      </c>
      <c r="C5590" s="19" t="s">
        <v>6090</v>
      </c>
    </row>
    <row r="5591">
      <c r="B5591" s="19">
        <v>5583.0</v>
      </c>
      <c r="C5591" s="19" t="s">
        <v>6090</v>
      </c>
    </row>
    <row r="5592">
      <c r="B5592" s="19">
        <v>5584.0</v>
      </c>
      <c r="C5592" s="19" t="s">
        <v>6090</v>
      </c>
    </row>
    <row r="5593">
      <c r="B5593" s="19">
        <v>5585.0</v>
      </c>
      <c r="C5593" s="19" t="s">
        <v>6090</v>
      </c>
    </row>
    <row r="5594">
      <c r="B5594" s="19">
        <v>5586.0</v>
      </c>
      <c r="C5594" s="19" t="s">
        <v>6090</v>
      </c>
    </row>
    <row r="5595">
      <c r="B5595" s="19">
        <v>5587.0</v>
      </c>
      <c r="C5595" s="19" t="s">
        <v>6090</v>
      </c>
    </row>
    <row r="5596">
      <c r="B5596" s="19">
        <v>5588.0</v>
      </c>
      <c r="C5596" s="19" t="s">
        <v>6090</v>
      </c>
    </row>
    <row r="5597">
      <c r="B5597" s="19">
        <v>5589.0</v>
      </c>
      <c r="C5597" s="19" t="s">
        <v>6090</v>
      </c>
    </row>
    <row r="5598">
      <c r="B5598" s="19">
        <v>5590.0</v>
      </c>
      <c r="C5598" s="19" t="s">
        <v>6090</v>
      </c>
    </row>
    <row r="5599">
      <c r="B5599" s="19">
        <v>5591.0</v>
      </c>
      <c r="C5599" s="19" t="s">
        <v>6090</v>
      </c>
    </row>
    <row r="5600">
      <c r="B5600" s="19">
        <v>5592.0</v>
      </c>
      <c r="C5600" s="19" t="s">
        <v>6090</v>
      </c>
    </row>
    <row r="5601">
      <c r="B5601" s="19">
        <v>5593.0</v>
      </c>
      <c r="C5601" s="19" t="s">
        <v>6090</v>
      </c>
    </row>
    <row r="5602">
      <c r="B5602" s="19">
        <v>5594.0</v>
      </c>
      <c r="C5602" s="19" t="s">
        <v>6090</v>
      </c>
    </row>
    <row r="5603">
      <c r="B5603" s="19">
        <v>5595.0</v>
      </c>
      <c r="C5603" s="19" t="s">
        <v>6090</v>
      </c>
    </row>
    <row r="5604">
      <c r="B5604" s="19">
        <v>5596.0</v>
      </c>
      <c r="C5604" s="19" t="s">
        <v>6090</v>
      </c>
    </row>
    <row r="5605">
      <c r="B5605" s="19">
        <v>5597.0</v>
      </c>
      <c r="C5605" s="19" t="s">
        <v>6090</v>
      </c>
    </row>
    <row r="5606">
      <c r="B5606" s="19">
        <v>5598.0</v>
      </c>
      <c r="C5606" s="19" t="s">
        <v>6090</v>
      </c>
    </row>
    <row r="5607">
      <c r="B5607" s="19">
        <v>5599.0</v>
      </c>
      <c r="C5607" s="19" t="s">
        <v>6090</v>
      </c>
    </row>
    <row r="5608">
      <c r="B5608" s="19">
        <v>5600.0</v>
      </c>
      <c r="C5608" s="19" t="s">
        <v>6090</v>
      </c>
    </row>
    <row r="5609">
      <c r="B5609" s="19">
        <v>5601.0</v>
      </c>
      <c r="C5609" s="19" t="s">
        <v>6090</v>
      </c>
    </row>
    <row r="5610">
      <c r="B5610" s="19">
        <v>5602.0</v>
      </c>
      <c r="C5610" s="19" t="s">
        <v>6090</v>
      </c>
    </row>
    <row r="5611">
      <c r="B5611" s="19">
        <v>5603.0</v>
      </c>
      <c r="C5611" s="19" t="s">
        <v>6090</v>
      </c>
    </row>
    <row r="5612">
      <c r="B5612" s="19">
        <v>5604.0</v>
      </c>
      <c r="C5612" s="19" t="s">
        <v>6090</v>
      </c>
    </row>
    <row r="5613">
      <c r="B5613" s="19">
        <v>5605.0</v>
      </c>
      <c r="C5613" s="19" t="s">
        <v>6090</v>
      </c>
    </row>
    <row r="5614">
      <c r="B5614" s="19">
        <v>5606.0</v>
      </c>
      <c r="C5614" s="19" t="s">
        <v>6090</v>
      </c>
    </row>
    <row r="5615">
      <c r="B5615" s="19">
        <v>5607.0</v>
      </c>
      <c r="C5615" s="19" t="s">
        <v>6090</v>
      </c>
    </row>
    <row r="5616">
      <c r="B5616" s="19">
        <v>5608.0</v>
      </c>
      <c r="C5616" s="19" t="s">
        <v>6090</v>
      </c>
    </row>
    <row r="5617">
      <c r="B5617" s="19">
        <v>5609.0</v>
      </c>
      <c r="C5617" s="19" t="s">
        <v>6090</v>
      </c>
    </row>
    <row r="5618">
      <c r="B5618" s="19">
        <v>5610.0</v>
      </c>
      <c r="C5618" s="19" t="s">
        <v>6090</v>
      </c>
    </row>
    <row r="5619">
      <c r="B5619" s="19">
        <v>5611.0</v>
      </c>
      <c r="C5619" s="19" t="s">
        <v>6090</v>
      </c>
    </row>
    <row r="5620">
      <c r="B5620" s="19">
        <v>5612.0</v>
      </c>
      <c r="C5620" s="19" t="s">
        <v>6090</v>
      </c>
    </row>
    <row r="5621">
      <c r="B5621" s="19">
        <v>5613.0</v>
      </c>
      <c r="C5621" s="19" t="s">
        <v>6090</v>
      </c>
    </row>
    <row r="5622">
      <c r="B5622" s="19">
        <v>5614.0</v>
      </c>
      <c r="C5622" s="19" t="s">
        <v>6090</v>
      </c>
    </row>
    <row r="5623">
      <c r="B5623" s="19">
        <v>5615.0</v>
      </c>
      <c r="C5623" s="19" t="s">
        <v>6090</v>
      </c>
    </row>
    <row r="5624">
      <c r="B5624" s="19">
        <v>5616.0</v>
      </c>
      <c r="C5624" s="19" t="s">
        <v>6090</v>
      </c>
    </row>
    <row r="5625">
      <c r="B5625" s="19">
        <v>5617.0</v>
      </c>
      <c r="C5625" s="19" t="s">
        <v>6090</v>
      </c>
    </row>
    <row r="5626">
      <c r="B5626" s="19">
        <v>5618.0</v>
      </c>
      <c r="C5626" s="19" t="s">
        <v>6090</v>
      </c>
    </row>
    <row r="5627">
      <c r="B5627" s="19">
        <v>5619.0</v>
      </c>
      <c r="C5627" s="19" t="s">
        <v>6090</v>
      </c>
    </row>
    <row r="5628">
      <c r="B5628" s="19">
        <v>5620.0</v>
      </c>
      <c r="C5628" s="19" t="s">
        <v>6090</v>
      </c>
    </row>
    <row r="5629">
      <c r="B5629" s="19">
        <v>5621.0</v>
      </c>
      <c r="C5629" s="19" t="s">
        <v>6090</v>
      </c>
    </row>
    <row r="5630">
      <c r="B5630" s="19">
        <v>5622.0</v>
      </c>
      <c r="C5630" s="19" t="s">
        <v>6090</v>
      </c>
    </row>
    <row r="5631">
      <c r="B5631" s="19">
        <v>5623.0</v>
      </c>
      <c r="C5631" s="19" t="s">
        <v>6090</v>
      </c>
    </row>
    <row r="5632">
      <c r="B5632" s="19">
        <v>5624.0</v>
      </c>
      <c r="C5632" s="19" t="s">
        <v>6090</v>
      </c>
    </row>
    <row r="5633">
      <c r="B5633" s="19">
        <v>5625.0</v>
      </c>
      <c r="C5633" s="19" t="s">
        <v>6090</v>
      </c>
    </row>
    <row r="5634">
      <c r="B5634" s="19">
        <v>5626.0</v>
      </c>
      <c r="C5634" s="19" t="s">
        <v>6090</v>
      </c>
    </row>
    <row r="5635">
      <c r="B5635" s="19">
        <v>5627.0</v>
      </c>
      <c r="C5635" s="19" t="s">
        <v>6090</v>
      </c>
    </row>
    <row r="5636">
      <c r="B5636" s="19">
        <v>5628.0</v>
      </c>
      <c r="C5636" s="19" t="s">
        <v>6090</v>
      </c>
    </row>
    <row r="5637">
      <c r="B5637" s="19">
        <v>5629.0</v>
      </c>
      <c r="C5637" s="19" t="s">
        <v>6090</v>
      </c>
    </row>
    <row r="5638">
      <c r="B5638" s="19">
        <v>5630.0</v>
      </c>
      <c r="C5638" s="19" t="s">
        <v>6090</v>
      </c>
    </row>
    <row r="5639">
      <c r="B5639" s="19">
        <v>5631.0</v>
      </c>
      <c r="C5639" s="19" t="s">
        <v>6090</v>
      </c>
    </row>
    <row r="5640">
      <c r="B5640" s="19">
        <v>5632.0</v>
      </c>
      <c r="C5640" s="19" t="s">
        <v>6090</v>
      </c>
    </row>
    <row r="5641">
      <c r="B5641" s="19">
        <v>5633.0</v>
      </c>
      <c r="C5641" s="19" t="s">
        <v>6090</v>
      </c>
    </row>
    <row r="5642">
      <c r="B5642" s="19">
        <v>5634.0</v>
      </c>
      <c r="C5642" s="19" t="s">
        <v>6090</v>
      </c>
    </row>
    <row r="5643">
      <c r="B5643" s="19">
        <v>5635.0</v>
      </c>
      <c r="C5643" s="19" t="s">
        <v>6090</v>
      </c>
    </row>
    <row r="5644">
      <c r="B5644" s="19">
        <v>5636.0</v>
      </c>
      <c r="C5644" s="19" t="s">
        <v>6090</v>
      </c>
    </row>
    <row r="5645">
      <c r="B5645" s="19">
        <v>5637.0</v>
      </c>
      <c r="C5645" s="19" t="s">
        <v>6090</v>
      </c>
    </row>
    <row r="5646">
      <c r="B5646" s="19">
        <v>5638.0</v>
      </c>
      <c r="C5646" s="19" t="s">
        <v>6090</v>
      </c>
    </row>
    <row r="5647">
      <c r="B5647" s="19">
        <v>5639.0</v>
      </c>
      <c r="C5647" s="19" t="s">
        <v>6090</v>
      </c>
    </row>
    <row r="5648">
      <c r="B5648" s="19">
        <v>5640.0</v>
      </c>
      <c r="C5648" s="19" t="s">
        <v>6090</v>
      </c>
    </row>
    <row r="5649">
      <c r="B5649" s="19">
        <v>5641.0</v>
      </c>
      <c r="C5649" s="19" t="s">
        <v>6090</v>
      </c>
    </row>
    <row r="5650">
      <c r="B5650" s="19">
        <v>5642.0</v>
      </c>
      <c r="C5650" s="19" t="s">
        <v>6090</v>
      </c>
    </row>
    <row r="5651">
      <c r="B5651" s="19">
        <v>5643.0</v>
      </c>
      <c r="C5651" s="19" t="s">
        <v>6090</v>
      </c>
    </row>
    <row r="5652">
      <c r="B5652" s="19">
        <v>5644.0</v>
      </c>
      <c r="C5652" s="19" t="s">
        <v>6090</v>
      </c>
    </row>
    <row r="5653">
      <c r="B5653" s="19">
        <v>5645.0</v>
      </c>
      <c r="C5653" s="19" t="s">
        <v>6090</v>
      </c>
    </row>
    <row r="5654">
      <c r="B5654" s="19">
        <v>5646.0</v>
      </c>
      <c r="C5654" s="19" t="s">
        <v>6090</v>
      </c>
    </row>
    <row r="5655">
      <c r="B5655" s="19">
        <v>5647.0</v>
      </c>
      <c r="C5655" s="19" t="s">
        <v>6090</v>
      </c>
    </row>
    <row r="5656">
      <c r="B5656" s="19">
        <v>5648.0</v>
      </c>
      <c r="C5656" s="19" t="s">
        <v>6090</v>
      </c>
    </row>
    <row r="5657">
      <c r="B5657" s="19">
        <v>5649.0</v>
      </c>
      <c r="C5657" s="19" t="s">
        <v>6090</v>
      </c>
    </row>
    <row r="5658">
      <c r="B5658" s="19">
        <v>5650.0</v>
      </c>
      <c r="C5658" s="19" t="s">
        <v>6090</v>
      </c>
    </row>
    <row r="5659">
      <c r="B5659" s="19">
        <v>5651.0</v>
      </c>
      <c r="C5659" s="19" t="s">
        <v>6090</v>
      </c>
    </row>
    <row r="5660">
      <c r="B5660" s="19">
        <v>5652.0</v>
      </c>
      <c r="C5660" s="19" t="s">
        <v>6090</v>
      </c>
    </row>
    <row r="5661">
      <c r="B5661" s="19">
        <v>5653.0</v>
      </c>
      <c r="C5661" s="19" t="s">
        <v>6090</v>
      </c>
    </row>
    <row r="5662">
      <c r="B5662" s="19">
        <v>5654.0</v>
      </c>
      <c r="C5662" s="19" t="s">
        <v>6090</v>
      </c>
    </row>
    <row r="5663">
      <c r="B5663" s="19">
        <v>5655.0</v>
      </c>
      <c r="C5663" s="19" t="s">
        <v>6090</v>
      </c>
    </row>
    <row r="5664">
      <c r="B5664" s="19">
        <v>5656.0</v>
      </c>
      <c r="C5664" s="19" t="s">
        <v>6090</v>
      </c>
    </row>
    <row r="5665">
      <c r="B5665" s="19">
        <v>5657.0</v>
      </c>
      <c r="C5665" s="19" t="s">
        <v>6090</v>
      </c>
    </row>
    <row r="5666">
      <c r="B5666" s="19">
        <v>5658.0</v>
      </c>
      <c r="C5666" s="19" t="s">
        <v>6090</v>
      </c>
    </row>
    <row r="5667">
      <c r="B5667" s="19">
        <v>5659.0</v>
      </c>
      <c r="C5667" s="19" t="s">
        <v>6090</v>
      </c>
    </row>
    <row r="5668">
      <c r="B5668" s="19">
        <v>5660.0</v>
      </c>
      <c r="C5668" s="19" t="s">
        <v>6090</v>
      </c>
    </row>
    <row r="5669">
      <c r="B5669" s="19">
        <v>5661.0</v>
      </c>
      <c r="C5669" s="19" t="s">
        <v>6090</v>
      </c>
    </row>
    <row r="5670">
      <c r="B5670" s="19">
        <v>5662.0</v>
      </c>
      <c r="C5670" s="19" t="s">
        <v>6090</v>
      </c>
    </row>
    <row r="5671">
      <c r="B5671" s="19">
        <v>5663.0</v>
      </c>
      <c r="C5671" s="19" t="s">
        <v>6090</v>
      </c>
    </row>
    <row r="5672">
      <c r="B5672" s="19">
        <v>5664.0</v>
      </c>
      <c r="C5672" s="19" t="s">
        <v>6090</v>
      </c>
    </row>
    <row r="5673">
      <c r="B5673" s="19">
        <v>5665.0</v>
      </c>
      <c r="C5673" s="19" t="s">
        <v>6090</v>
      </c>
    </row>
    <row r="5674">
      <c r="B5674" s="19">
        <v>5666.0</v>
      </c>
      <c r="C5674" s="19" t="s">
        <v>6090</v>
      </c>
    </row>
    <row r="5675">
      <c r="B5675" s="19">
        <v>5667.0</v>
      </c>
      <c r="C5675" s="19" t="s">
        <v>6090</v>
      </c>
    </row>
    <row r="5676">
      <c r="B5676" s="19">
        <v>5668.0</v>
      </c>
      <c r="C5676" s="19" t="s">
        <v>6090</v>
      </c>
    </row>
    <row r="5677">
      <c r="B5677" s="19">
        <v>5669.0</v>
      </c>
      <c r="C5677" s="19" t="s">
        <v>6090</v>
      </c>
    </row>
    <row r="5678">
      <c r="B5678" s="19">
        <v>5670.0</v>
      </c>
      <c r="C5678" s="19" t="s">
        <v>6090</v>
      </c>
    </row>
    <row r="5679">
      <c r="B5679" s="19">
        <v>5671.0</v>
      </c>
      <c r="C5679" s="19" t="s">
        <v>6090</v>
      </c>
    </row>
    <row r="5680">
      <c r="B5680" s="19">
        <v>5672.0</v>
      </c>
      <c r="C5680" s="19" t="s">
        <v>6090</v>
      </c>
    </row>
    <row r="5681">
      <c r="B5681" s="19">
        <v>5673.0</v>
      </c>
      <c r="C5681" s="19" t="s">
        <v>6090</v>
      </c>
    </row>
    <row r="5682">
      <c r="B5682" s="19">
        <v>5674.0</v>
      </c>
      <c r="C5682" s="19" t="s">
        <v>6090</v>
      </c>
    </row>
    <row r="5683">
      <c r="B5683" s="19">
        <v>5675.0</v>
      </c>
      <c r="C5683" s="19" t="s">
        <v>6090</v>
      </c>
    </row>
    <row r="5684">
      <c r="B5684" s="19">
        <v>5676.0</v>
      </c>
      <c r="C5684" s="19" t="s">
        <v>6090</v>
      </c>
    </row>
    <row r="5685">
      <c r="B5685" s="19">
        <v>5677.0</v>
      </c>
      <c r="C5685" s="19" t="s">
        <v>6090</v>
      </c>
    </row>
    <row r="5686">
      <c r="B5686" s="19">
        <v>5678.0</v>
      </c>
      <c r="C5686" s="19" t="s">
        <v>6090</v>
      </c>
    </row>
    <row r="5687">
      <c r="B5687" s="19">
        <v>5679.0</v>
      </c>
      <c r="C5687" s="19" t="s">
        <v>6090</v>
      </c>
    </row>
    <row r="5688">
      <c r="B5688" s="19">
        <v>5680.0</v>
      </c>
      <c r="C5688" s="19" t="s">
        <v>6090</v>
      </c>
    </row>
    <row r="5689">
      <c r="B5689" s="19">
        <v>5681.0</v>
      </c>
      <c r="C5689" s="19" t="s">
        <v>6090</v>
      </c>
    </row>
    <row r="5690">
      <c r="B5690" s="19">
        <v>5682.0</v>
      </c>
      <c r="C5690" s="19" t="s">
        <v>6090</v>
      </c>
    </row>
    <row r="5691">
      <c r="B5691" s="19">
        <v>5683.0</v>
      </c>
      <c r="C5691" s="19" t="s">
        <v>6090</v>
      </c>
    </row>
    <row r="5692">
      <c r="B5692" s="19">
        <v>5684.0</v>
      </c>
      <c r="C5692" s="19" t="s">
        <v>6090</v>
      </c>
    </row>
    <row r="5693">
      <c r="B5693" s="19">
        <v>5685.0</v>
      </c>
      <c r="C5693" s="19" t="s">
        <v>6090</v>
      </c>
    </row>
    <row r="5694">
      <c r="B5694" s="19">
        <v>5686.0</v>
      </c>
      <c r="C5694" s="19" t="s">
        <v>6090</v>
      </c>
    </row>
    <row r="5695">
      <c r="B5695" s="19">
        <v>5687.0</v>
      </c>
      <c r="C5695" s="19" t="s">
        <v>6090</v>
      </c>
    </row>
    <row r="5696">
      <c r="B5696" s="19">
        <v>5688.0</v>
      </c>
      <c r="C5696" s="19" t="s">
        <v>6090</v>
      </c>
    </row>
    <row r="5697">
      <c r="B5697" s="19">
        <v>5689.0</v>
      </c>
      <c r="C5697" s="19" t="s">
        <v>6090</v>
      </c>
    </row>
    <row r="5698">
      <c r="B5698" s="19">
        <v>5690.0</v>
      </c>
      <c r="C5698" s="19" t="s">
        <v>6090</v>
      </c>
    </row>
    <row r="5699">
      <c r="B5699" s="19">
        <v>5691.0</v>
      </c>
      <c r="C5699" s="19" t="s">
        <v>6090</v>
      </c>
    </row>
    <row r="5700">
      <c r="B5700" s="19">
        <v>5692.0</v>
      </c>
      <c r="C5700" s="19" t="s">
        <v>6090</v>
      </c>
    </row>
    <row r="5701">
      <c r="B5701" s="19">
        <v>5693.0</v>
      </c>
      <c r="C5701" s="19" t="s">
        <v>6090</v>
      </c>
    </row>
    <row r="5702">
      <c r="B5702" s="19">
        <v>5694.0</v>
      </c>
      <c r="C5702" s="19" t="s">
        <v>6090</v>
      </c>
    </row>
    <row r="5703">
      <c r="B5703" s="19">
        <v>5695.0</v>
      </c>
      <c r="C5703" s="19" t="s">
        <v>6090</v>
      </c>
    </row>
    <row r="5704">
      <c r="B5704" s="19">
        <v>5696.0</v>
      </c>
      <c r="C5704" s="19" t="s">
        <v>6090</v>
      </c>
    </row>
    <row r="5705">
      <c r="B5705" s="19">
        <v>5697.0</v>
      </c>
      <c r="C5705" s="19" t="s">
        <v>6090</v>
      </c>
    </row>
    <row r="5706">
      <c r="B5706" s="19">
        <v>5698.0</v>
      </c>
      <c r="C5706" s="19" t="s">
        <v>6090</v>
      </c>
    </row>
    <row r="5707">
      <c r="B5707" s="19">
        <v>5699.0</v>
      </c>
      <c r="C5707" s="19" t="s">
        <v>6090</v>
      </c>
    </row>
    <row r="5708">
      <c r="B5708" s="19">
        <v>5700.0</v>
      </c>
      <c r="C5708" s="19" t="s">
        <v>6090</v>
      </c>
    </row>
    <row r="5709">
      <c r="B5709" s="19">
        <v>5701.0</v>
      </c>
      <c r="C5709" s="19" t="s">
        <v>6090</v>
      </c>
    </row>
    <row r="5710">
      <c r="B5710" s="19">
        <v>5702.0</v>
      </c>
      <c r="C5710" s="19" t="s">
        <v>6090</v>
      </c>
    </row>
    <row r="5711">
      <c r="B5711" s="19">
        <v>5703.0</v>
      </c>
      <c r="C5711" s="19" t="s">
        <v>6090</v>
      </c>
    </row>
    <row r="5712">
      <c r="B5712" s="19">
        <v>5704.0</v>
      </c>
      <c r="C5712" s="19" t="s">
        <v>6090</v>
      </c>
    </row>
    <row r="5713">
      <c r="B5713" s="19">
        <v>5705.0</v>
      </c>
      <c r="C5713" s="19" t="s">
        <v>6090</v>
      </c>
    </row>
    <row r="5714">
      <c r="B5714" s="19">
        <v>5706.0</v>
      </c>
      <c r="C5714" s="19" t="s">
        <v>6090</v>
      </c>
    </row>
    <row r="5715">
      <c r="B5715" s="19">
        <v>5707.0</v>
      </c>
      <c r="C5715" s="19" t="s">
        <v>6090</v>
      </c>
    </row>
    <row r="5716">
      <c r="B5716" s="19">
        <v>5708.0</v>
      </c>
      <c r="C5716" s="19" t="s">
        <v>6090</v>
      </c>
    </row>
    <row r="5717">
      <c r="B5717" s="19">
        <v>5709.0</v>
      </c>
      <c r="C5717" s="19" t="s">
        <v>6090</v>
      </c>
    </row>
    <row r="5718">
      <c r="B5718" s="19">
        <v>5710.0</v>
      </c>
      <c r="C5718" s="19" t="s">
        <v>6090</v>
      </c>
    </row>
    <row r="5719">
      <c r="B5719" s="19">
        <v>5711.0</v>
      </c>
      <c r="C5719" s="19" t="s">
        <v>6090</v>
      </c>
    </row>
    <row r="5720">
      <c r="B5720" s="19">
        <v>5712.0</v>
      </c>
      <c r="C5720" s="19" t="s">
        <v>6090</v>
      </c>
    </row>
    <row r="5721">
      <c r="B5721" s="19">
        <v>5713.0</v>
      </c>
      <c r="C5721" s="19" t="s">
        <v>6090</v>
      </c>
    </row>
    <row r="5722">
      <c r="B5722" s="19">
        <v>5714.0</v>
      </c>
      <c r="C5722" s="19" t="s">
        <v>6090</v>
      </c>
    </row>
    <row r="5723">
      <c r="B5723" s="19">
        <v>5715.0</v>
      </c>
      <c r="C5723" s="19" t="s">
        <v>6090</v>
      </c>
    </row>
    <row r="5724">
      <c r="B5724" s="19">
        <v>5716.0</v>
      </c>
      <c r="C5724" s="19" t="s">
        <v>6090</v>
      </c>
    </row>
    <row r="5725">
      <c r="B5725" s="19">
        <v>5717.0</v>
      </c>
      <c r="C5725" s="19" t="s">
        <v>6090</v>
      </c>
    </row>
    <row r="5726">
      <c r="B5726" s="19">
        <v>5718.0</v>
      </c>
      <c r="C5726" s="19" t="s">
        <v>6090</v>
      </c>
    </row>
    <row r="5727">
      <c r="B5727" s="19">
        <v>5719.0</v>
      </c>
      <c r="C5727" s="19" t="s">
        <v>6090</v>
      </c>
    </row>
    <row r="5728">
      <c r="B5728" s="19">
        <v>5720.0</v>
      </c>
      <c r="C5728" s="19" t="s">
        <v>6090</v>
      </c>
    </row>
    <row r="5729">
      <c r="B5729" s="19">
        <v>5721.0</v>
      </c>
      <c r="C5729" s="19" t="s">
        <v>6090</v>
      </c>
    </row>
    <row r="5730">
      <c r="B5730" s="19">
        <v>5722.0</v>
      </c>
      <c r="C5730" s="19" t="s">
        <v>6090</v>
      </c>
    </row>
    <row r="5731">
      <c r="B5731" s="19">
        <v>5723.0</v>
      </c>
      <c r="C5731" s="19" t="s">
        <v>6090</v>
      </c>
    </row>
    <row r="5732">
      <c r="B5732" s="19">
        <v>5724.0</v>
      </c>
      <c r="C5732" s="19" t="s">
        <v>6090</v>
      </c>
    </row>
    <row r="5733">
      <c r="B5733" s="19">
        <v>5725.0</v>
      </c>
      <c r="C5733" s="19" t="s">
        <v>6090</v>
      </c>
    </row>
    <row r="5734">
      <c r="B5734" s="19">
        <v>5726.0</v>
      </c>
      <c r="C5734" s="19" t="s">
        <v>6090</v>
      </c>
    </row>
    <row r="5735">
      <c r="B5735" s="19">
        <v>5727.0</v>
      </c>
      <c r="C5735" s="19" t="s">
        <v>6090</v>
      </c>
    </row>
    <row r="5736">
      <c r="B5736" s="19">
        <v>5728.0</v>
      </c>
      <c r="C5736" s="19" t="s">
        <v>6090</v>
      </c>
    </row>
    <row r="5737">
      <c r="B5737" s="19">
        <v>5729.0</v>
      </c>
      <c r="C5737" s="19" t="s">
        <v>6090</v>
      </c>
    </row>
    <row r="5738">
      <c r="B5738" s="19">
        <v>5730.0</v>
      </c>
      <c r="C5738" s="19" t="s">
        <v>6090</v>
      </c>
    </row>
    <row r="5739">
      <c r="B5739" s="19">
        <v>5731.0</v>
      </c>
      <c r="C5739" s="19" t="s">
        <v>6090</v>
      </c>
    </row>
    <row r="5740">
      <c r="B5740" s="19">
        <v>5732.0</v>
      </c>
      <c r="C5740" s="19" t="s">
        <v>6090</v>
      </c>
    </row>
    <row r="5741">
      <c r="B5741" s="19">
        <v>5733.0</v>
      </c>
      <c r="C5741" s="19" t="s">
        <v>6090</v>
      </c>
    </row>
    <row r="5742">
      <c r="B5742" s="19">
        <v>5734.0</v>
      </c>
      <c r="C5742" s="19" t="s">
        <v>6090</v>
      </c>
    </row>
    <row r="5743">
      <c r="B5743" s="19">
        <v>5735.0</v>
      </c>
      <c r="C5743" s="19" t="s">
        <v>6090</v>
      </c>
    </row>
    <row r="5744">
      <c r="B5744" s="19">
        <v>5736.0</v>
      </c>
      <c r="C5744" s="19" t="s">
        <v>6090</v>
      </c>
    </row>
    <row r="5745">
      <c r="B5745" s="19">
        <v>5737.0</v>
      </c>
      <c r="C5745" s="19" t="s">
        <v>6090</v>
      </c>
    </row>
    <row r="5746">
      <c r="B5746" s="19">
        <v>5738.0</v>
      </c>
      <c r="C5746" s="19" t="s">
        <v>6090</v>
      </c>
    </row>
    <row r="5747">
      <c r="B5747" s="19">
        <v>5739.0</v>
      </c>
      <c r="C5747" s="19" t="s">
        <v>6090</v>
      </c>
    </row>
    <row r="5748">
      <c r="B5748" s="19">
        <v>5740.0</v>
      </c>
      <c r="C5748" s="19" t="s">
        <v>6090</v>
      </c>
    </row>
    <row r="5749">
      <c r="B5749" s="19">
        <v>5741.0</v>
      </c>
      <c r="C5749" s="19" t="s">
        <v>6090</v>
      </c>
    </row>
    <row r="5750">
      <c r="B5750" s="19">
        <v>5742.0</v>
      </c>
      <c r="C5750" s="19" t="s">
        <v>6090</v>
      </c>
    </row>
    <row r="5751">
      <c r="B5751" s="19">
        <v>5743.0</v>
      </c>
      <c r="C5751" s="19" t="s">
        <v>6090</v>
      </c>
    </row>
    <row r="5752">
      <c r="B5752" s="19">
        <v>5744.0</v>
      </c>
      <c r="C5752" s="19" t="s">
        <v>6090</v>
      </c>
    </row>
    <row r="5753">
      <c r="B5753" s="19">
        <v>5745.0</v>
      </c>
      <c r="C5753" s="19" t="s">
        <v>6090</v>
      </c>
    </row>
    <row r="5754">
      <c r="B5754" s="19">
        <v>5746.0</v>
      </c>
      <c r="C5754" s="19" t="s">
        <v>6090</v>
      </c>
    </row>
    <row r="5755">
      <c r="B5755" s="19">
        <v>5747.0</v>
      </c>
      <c r="C5755" s="19" t="s">
        <v>6090</v>
      </c>
    </row>
    <row r="5756">
      <c r="B5756" s="19">
        <v>5748.0</v>
      </c>
      <c r="C5756" s="19" t="s">
        <v>6090</v>
      </c>
    </row>
    <row r="5757">
      <c r="B5757" s="19">
        <v>5749.0</v>
      </c>
      <c r="C5757" s="19" t="s">
        <v>6090</v>
      </c>
    </row>
    <row r="5758">
      <c r="B5758" s="19">
        <v>5750.0</v>
      </c>
      <c r="C5758" s="19" t="s">
        <v>6090</v>
      </c>
    </row>
    <row r="5759">
      <c r="B5759" s="19">
        <v>5751.0</v>
      </c>
      <c r="C5759" s="19" t="s">
        <v>6090</v>
      </c>
    </row>
    <row r="5760">
      <c r="B5760" s="19">
        <v>5752.0</v>
      </c>
      <c r="C5760" s="19" t="s">
        <v>6090</v>
      </c>
    </row>
    <row r="5761">
      <c r="B5761" s="19">
        <v>5753.0</v>
      </c>
      <c r="C5761" s="19" t="s">
        <v>6090</v>
      </c>
    </row>
    <row r="5762">
      <c r="B5762" s="19">
        <v>5754.0</v>
      </c>
      <c r="C5762" s="19" t="s">
        <v>6090</v>
      </c>
    </row>
    <row r="5763">
      <c r="B5763" s="19">
        <v>5755.0</v>
      </c>
      <c r="C5763" s="19" t="s">
        <v>6090</v>
      </c>
    </row>
    <row r="5764">
      <c r="B5764" s="19">
        <v>5756.0</v>
      </c>
      <c r="C5764" s="19" t="s">
        <v>6090</v>
      </c>
    </row>
    <row r="5765">
      <c r="B5765" s="19">
        <v>5757.0</v>
      </c>
      <c r="C5765" s="19" t="s">
        <v>6090</v>
      </c>
    </row>
    <row r="5766">
      <c r="B5766" s="19">
        <v>5758.0</v>
      </c>
      <c r="C5766" s="19" t="s">
        <v>6090</v>
      </c>
    </row>
    <row r="5767">
      <c r="B5767" s="19">
        <v>5759.0</v>
      </c>
      <c r="C5767" s="19" t="s">
        <v>6090</v>
      </c>
    </row>
    <row r="5768">
      <c r="B5768" s="19">
        <v>5760.0</v>
      </c>
      <c r="C5768" s="19" t="s">
        <v>6090</v>
      </c>
    </row>
    <row r="5769">
      <c r="B5769" s="19">
        <v>5761.0</v>
      </c>
      <c r="C5769" s="19" t="s">
        <v>6090</v>
      </c>
    </row>
    <row r="5770">
      <c r="B5770" s="19">
        <v>5762.0</v>
      </c>
      <c r="C5770" s="19" t="s">
        <v>6090</v>
      </c>
    </row>
    <row r="5771">
      <c r="B5771" s="19">
        <v>5763.0</v>
      </c>
      <c r="C5771" s="19" t="s">
        <v>6090</v>
      </c>
    </row>
    <row r="5772">
      <c r="B5772" s="19">
        <v>5764.0</v>
      </c>
      <c r="C5772" s="19" t="s">
        <v>6090</v>
      </c>
    </row>
    <row r="5773">
      <c r="B5773" s="19">
        <v>5765.0</v>
      </c>
      <c r="C5773" s="19" t="s">
        <v>6090</v>
      </c>
    </row>
    <row r="5774">
      <c r="B5774" s="19">
        <v>5766.0</v>
      </c>
      <c r="C5774" s="19" t="s">
        <v>6090</v>
      </c>
    </row>
    <row r="5775">
      <c r="B5775" s="19">
        <v>5767.0</v>
      </c>
      <c r="C5775" s="19" t="s">
        <v>6090</v>
      </c>
    </row>
    <row r="5776">
      <c r="B5776" s="19">
        <v>5768.0</v>
      </c>
      <c r="C5776" s="19" t="s">
        <v>6090</v>
      </c>
    </row>
    <row r="5777">
      <c r="B5777" s="19">
        <v>5769.0</v>
      </c>
      <c r="C5777" s="19" t="s">
        <v>6090</v>
      </c>
    </row>
    <row r="5778">
      <c r="B5778" s="19">
        <v>5770.0</v>
      </c>
      <c r="C5778" s="19" t="s">
        <v>6090</v>
      </c>
    </row>
    <row r="5779">
      <c r="B5779" s="19">
        <v>5771.0</v>
      </c>
      <c r="C5779" s="19" t="s">
        <v>6090</v>
      </c>
    </row>
    <row r="5780">
      <c r="B5780" s="19">
        <v>5772.0</v>
      </c>
      <c r="C5780" s="19" t="s">
        <v>6090</v>
      </c>
    </row>
    <row r="5781">
      <c r="B5781" s="19">
        <v>5773.0</v>
      </c>
      <c r="C5781" s="19" t="s">
        <v>6090</v>
      </c>
    </row>
    <row r="5782">
      <c r="B5782" s="19">
        <v>5774.0</v>
      </c>
      <c r="C5782" s="19" t="s">
        <v>6090</v>
      </c>
    </row>
    <row r="5783">
      <c r="B5783" s="19">
        <v>5775.0</v>
      </c>
      <c r="C5783" s="19" t="s">
        <v>6090</v>
      </c>
    </row>
    <row r="5784">
      <c r="B5784" s="19">
        <v>5776.0</v>
      </c>
      <c r="C5784" s="19" t="s">
        <v>6090</v>
      </c>
    </row>
    <row r="5785">
      <c r="B5785" s="19">
        <v>5777.0</v>
      </c>
      <c r="C5785" s="19" t="s">
        <v>6090</v>
      </c>
    </row>
    <row r="5786">
      <c r="B5786" s="19">
        <v>5778.0</v>
      </c>
      <c r="C5786" s="19" t="s">
        <v>6090</v>
      </c>
    </row>
    <row r="5787">
      <c r="B5787" s="19">
        <v>5779.0</v>
      </c>
      <c r="C5787" s="19" t="s">
        <v>6090</v>
      </c>
    </row>
    <row r="5788">
      <c r="B5788" s="19">
        <v>5780.0</v>
      </c>
      <c r="C5788" s="19" t="s">
        <v>6090</v>
      </c>
    </row>
    <row r="5789">
      <c r="B5789" s="19">
        <v>5781.0</v>
      </c>
      <c r="C5789" s="19" t="s">
        <v>6090</v>
      </c>
    </row>
    <row r="5790">
      <c r="B5790" s="19">
        <v>5782.0</v>
      </c>
      <c r="C5790" s="19" t="s">
        <v>6090</v>
      </c>
    </row>
    <row r="5791">
      <c r="B5791" s="19">
        <v>5783.0</v>
      </c>
      <c r="C5791" s="19" t="s">
        <v>6090</v>
      </c>
    </row>
    <row r="5792">
      <c r="B5792" s="19">
        <v>5784.0</v>
      </c>
      <c r="C5792" s="19" t="s">
        <v>6090</v>
      </c>
    </row>
    <row r="5793">
      <c r="B5793" s="19">
        <v>5785.0</v>
      </c>
      <c r="C5793" s="19" t="s">
        <v>6090</v>
      </c>
    </row>
    <row r="5794">
      <c r="B5794" s="19">
        <v>5786.0</v>
      </c>
      <c r="C5794" s="19" t="s">
        <v>6090</v>
      </c>
    </row>
    <row r="5795">
      <c r="B5795" s="19">
        <v>5787.0</v>
      </c>
      <c r="C5795" s="19" t="s">
        <v>6090</v>
      </c>
    </row>
    <row r="5796">
      <c r="B5796" s="19">
        <v>5788.0</v>
      </c>
      <c r="C5796" s="19" t="s">
        <v>6090</v>
      </c>
    </row>
    <row r="5797">
      <c r="B5797" s="19">
        <v>5789.0</v>
      </c>
      <c r="C5797" s="19" t="s">
        <v>6090</v>
      </c>
    </row>
    <row r="5798">
      <c r="B5798" s="19">
        <v>5790.0</v>
      </c>
      <c r="C5798" s="19" t="s">
        <v>6090</v>
      </c>
    </row>
    <row r="5799">
      <c r="B5799" s="19">
        <v>5791.0</v>
      </c>
      <c r="C5799" s="19" t="s">
        <v>6090</v>
      </c>
    </row>
    <row r="5800">
      <c r="B5800" s="19">
        <v>5792.0</v>
      </c>
      <c r="C5800" s="19" t="s">
        <v>6090</v>
      </c>
    </row>
    <row r="5801">
      <c r="B5801" s="19">
        <v>5793.0</v>
      </c>
      <c r="C5801" s="19" t="s">
        <v>6090</v>
      </c>
    </row>
    <row r="5802">
      <c r="B5802" s="19">
        <v>5794.0</v>
      </c>
      <c r="C5802" s="19" t="s">
        <v>6090</v>
      </c>
    </row>
    <row r="5803">
      <c r="B5803" s="19">
        <v>5795.0</v>
      </c>
      <c r="C5803" s="19" t="s">
        <v>6090</v>
      </c>
    </row>
    <row r="5804">
      <c r="B5804" s="19">
        <v>5796.0</v>
      </c>
      <c r="C5804" s="19" t="s">
        <v>6090</v>
      </c>
    </row>
    <row r="5805">
      <c r="B5805" s="19">
        <v>5797.0</v>
      </c>
      <c r="C5805" s="19" t="s">
        <v>6090</v>
      </c>
    </row>
    <row r="5806">
      <c r="B5806" s="19">
        <v>5798.0</v>
      </c>
      <c r="C5806" s="19" t="s">
        <v>6090</v>
      </c>
    </row>
    <row r="5807">
      <c r="B5807" s="19">
        <v>5799.0</v>
      </c>
      <c r="C5807" s="19" t="s">
        <v>6090</v>
      </c>
    </row>
    <row r="5808">
      <c r="B5808" s="19">
        <v>5800.0</v>
      </c>
      <c r="C5808" s="19" t="s">
        <v>6090</v>
      </c>
    </row>
    <row r="5809">
      <c r="B5809" s="19">
        <v>5801.0</v>
      </c>
      <c r="C5809" s="19" t="s">
        <v>6090</v>
      </c>
    </row>
    <row r="5810">
      <c r="B5810" s="19">
        <v>5802.0</v>
      </c>
      <c r="C5810" s="19" t="s">
        <v>6090</v>
      </c>
    </row>
    <row r="5811">
      <c r="B5811" s="19">
        <v>5803.0</v>
      </c>
      <c r="C5811" s="19" t="s">
        <v>6090</v>
      </c>
    </row>
    <row r="5812">
      <c r="B5812" s="19">
        <v>5804.0</v>
      </c>
      <c r="C5812" s="19" t="s">
        <v>6090</v>
      </c>
    </row>
    <row r="5813">
      <c r="B5813" s="19">
        <v>5805.0</v>
      </c>
      <c r="C5813" s="19" t="s">
        <v>6090</v>
      </c>
    </row>
    <row r="5814">
      <c r="B5814" s="19">
        <v>5806.0</v>
      </c>
      <c r="C5814" s="19" t="s">
        <v>6090</v>
      </c>
    </row>
    <row r="5815">
      <c r="B5815" s="19">
        <v>5807.0</v>
      </c>
      <c r="C5815" s="19" t="s">
        <v>6090</v>
      </c>
    </row>
    <row r="5816">
      <c r="B5816" s="19">
        <v>5808.0</v>
      </c>
      <c r="C5816" s="19" t="s">
        <v>6090</v>
      </c>
    </row>
    <row r="5817">
      <c r="B5817" s="19">
        <v>5809.0</v>
      </c>
      <c r="C5817" s="19" t="s">
        <v>6090</v>
      </c>
    </row>
    <row r="5818">
      <c r="B5818" s="19">
        <v>5810.0</v>
      </c>
      <c r="C5818" s="19" t="s">
        <v>6090</v>
      </c>
    </row>
    <row r="5819">
      <c r="B5819" s="19">
        <v>5811.0</v>
      </c>
      <c r="C5819" s="19" t="s">
        <v>6090</v>
      </c>
    </row>
    <row r="5820">
      <c r="B5820" s="19">
        <v>5812.0</v>
      </c>
      <c r="C5820" s="19" t="s">
        <v>6090</v>
      </c>
    </row>
    <row r="5821">
      <c r="B5821" s="19">
        <v>5813.0</v>
      </c>
      <c r="C5821" s="19" t="s">
        <v>6090</v>
      </c>
    </row>
    <row r="5822">
      <c r="B5822" s="19">
        <v>5814.0</v>
      </c>
      <c r="C5822" s="19" t="s">
        <v>6090</v>
      </c>
    </row>
    <row r="5823">
      <c r="B5823" s="19">
        <v>5815.0</v>
      </c>
      <c r="C5823" s="19" t="s">
        <v>6090</v>
      </c>
    </row>
    <row r="5824">
      <c r="B5824" s="19">
        <v>5816.0</v>
      </c>
      <c r="C5824" s="19" t="s">
        <v>6090</v>
      </c>
    </row>
    <row r="5825">
      <c r="B5825" s="19">
        <v>5817.0</v>
      </c>
      <c r="C5825" s="19" t="s">
        <v>6090</v>
      </c>
    </row>
    <row r="5826">
      <c r="B5826" s="19">
        <v>5818.0</v>
      </c>
      <c r="C5826" s="19" t="s">
        <v>6090</v>
      </c>
    </row>
    <row r="5827">
      <c r="B5827" s="19">
        <v>5819.0</v>
      </c>
      <c r="C5827" s="19" t="s">
        <v>6090</v>
      </c>
    </row>
    <row r="5828">
      <c r="B5828" s="19">
        <v>5820.0</v>
      </c>
      <c r="C5828" s="19" t="s">
        <v>6090</v>
      </c>
    </row>
    <row r="5829">
      <c r="B5829" s="19">
        <v>5821.0</v>
      </c>
      <c r="C5829" s="19" t="s">
        <v>6090</v>
      </c>
    </row>
    <row r="5830">
      <c r="B5830" s="19">
        <v>5822.0</v>
      </c>
      <c r="C5830" s="19" t="s">
        <v>6090</v>
      </c>
    </row>
    <row r="5831">
      <c r="B5831" s="19">
        <v>5823.0</v>
      </c>
      <c r="C5831" s="19" t="s">
        <v>6090</v>
      </c>
    </row>
    <row r="5832">
      <c r="B5832" s="19">
        <v>5824.0</v>
      </c>
      <c r="C5832" s="19" t="s">
        <v>6090</v>
      </c>
    </row>
    <row r="5833">
      <c r="B5833" s="19">
        <v>5825.0</v>
      </c>
      <c r="C5833" s="19" t="s">
        <v>6090</v>
      </c>
    </row>
    <row r="5834">
      <c r="B5834" s="19">
        <v>5826.0</v>
      </c>
      <c r="C5834" s="19" t="s">
        <v>6090</v>
      </c>
    </row>
    <row r="5835">
      <c r="B5835" s="19">
        <v>5827.0</v>
      </c>
      <c r="C5835" s="19" t="s">
        <v>6090</v>
      </c>
    </row>
    <row r="5836">
      <c r="B5836" s="19">
        <v>5828.0</v>
      </c>
      <c r="C5836" s="19" t="s">
        <v>6090</v>
      </c>
    </row>
    <row r="5837">
      <c r="B5837" s="19">
        <v>5829.0</v>
      </c>
      <c r="C5837" s="19" t="s">
        <v>6090</v>
      </c>
    </row>
    <row r="5838">
      <c r="B5838" s="19">
        <v>5830.0</v>
      </c>
      <c r="C5838" s="19" t="s">
        <v>6090</v>
      </c>
    </row>
    <row r="5839">
      <c r="B5839" s="19">
        <v>5831.0</v>
      </c>
      <c r="C5839" s="19" t="s">
        <v>6090</v>
      </c>
    </row>
    <row r="5840">
      <c r="B5840" s="19">
        <v>5832.0</v>
      </c>
      <c r="C5840" s="19" t="s">
        <v>6090</v>
      </c>
    </row>
    <row r="5841">
      <c r="B5841" s="19">
        <v>5833.0</v>
      </c>
      <c r="C5841" s="19" t="s">
        <v>6090</v>
      </c>
    </row>
    <row r="5842">
      <c r="B5842" s="19">
        <v>5834.0</v>
      </c>
      <c r="C5842" s="19" t="s">
        <v>6090</v>
      </c>
    </row>
    <row r="5843">
      <c r="B5843" s="19">
        <v>5835.0</v>
      </c>
      <c r="C5843" s="19" t="s">
        <v>6090</v>
      </c>
    </row>
    <row r="5844">
      <c r="B5844" s="19">
        <v>5836.0</v>
      </c>
      <c r="C5844" s="19" t="s">
        <v>6090</v>
      </c>
    </row>
    <row r="5845">
      <c r="B5845" s="19">
        <v>5837.0</v>
      </c>
      <c r="C5845" s="19" t="s">
        <v>6090</v>
      </c>
    </row>
    <row r="5846">
      <c r="B5846" s="19">
        <v>5838.0</v>
      </c>
      <c r="C5846" s="19" t="s">
        <v>6090</v>
      </c>
    </row>
    <row r="5847">
      <c r="B5847" s="19">
        <v>5839.0</v>
      </c>
      <c r="C5847" s="19" t="s">
        <v>6090</v>
      </c>
    </row>
    <row r="5848">
      <c r="B5848" s="19">
        <v>5840.0</v>
      </c>
      <c r="C5848" s="19" t="s">
        <v>6090</v>
      </c>
    </row>
    <row r="5849">
      <c r="B5849" s="19">
        <v>5841.0</v>
      </c>
      <c r="C5849" s="19" t="s">
        <v>6090</v>
      </c>
    </row>
    <row r="5850">
      <c r="B5850" s="19">
        <v>5842.0</v>
      </c>
      <c r="C5850" s="19" t="s">
        <v>6090</v>
      </c>
    </row>
    <row r="5851">
      <c r="B5851" s="19">
        <v>5843.0</v>
      </c>
      <c r="C5851" s="19" t="s">
        <v>6090</v>
      </c>
    </row>
    <row r="5852">
      <c r="B5852" s="19">
        <v>5844.0</v>
      </c>
      <c r="C5852" s="19" t="s">
        <v>6090</v>
      </c>
    </row>
    <row r="5853">
      <c r="B5853" s="19">
        <v>5845.0</v>
      </c>
      <c r="C5853" s="19" t="s">
        <v>6090</v>
      </c>
    </row>
    <row r="5854">
      <c r="B5854" s="19">
        <v>5846.0</v>
      </c>
      <c r="C5854" s="19" t="s">
        <v>6090</v>
      </c>
    </row>
    <row r="5855">
      <c r="B5855" s="19">
        <v>5847.0</v>
      </c>
      <c r="C5855" s="19" t="s">
        <v>6090</v>
      </c>
    </row>
    <row r="5856">
      <c r="B5856" s="19">
        <v>5848.0</v>
      </c>
      <c r="C5856" s="19" t="s">
        <v>6090</v>
      </c>
    </row>
    <row r="5857">
      <c r="B5857" s="19">
        <v>5849.0</v>
      </c>
      <c r="C5857" s="19" t="s">
        <v>6090</v>
      </c>
    </row>
    <row r="5858">
      <c r="B5858" s="19">
        <v>5850.0</v>
      </c>
      <c r="C5858" s="19" t="s">
        <v>6090</v>
      </c>
    </row>
    <row r="5859">
      <c r="B5859" s="19">
        <v>5851.0</v>
      </c>
      <c r="C5859" s="19" t="s">
        <v>6090</v>
      </c>
    </row>
    <row r="5860">
      <c r="B5860" s="19">
        <v>5852.0</v>
      </c>
      <c r="C5860" s="19" t="s">
        <v>6090</v>
      </c>
    </row>
    <row r="5861">
      <c r="B5861" s="19">
        <v>5853.0</v>
      </c>
      <c r="C5861" s="19" t="s">
        <v>6090</v>
      </c>
    </row>
    <row r="5862">
      <c r="B5862" s="19">
        <v>5854.0</v>
      </c>
      <c r="C5862" s="19" t="s">
        <v>6090</v>
      </c>
    </row>
    <row r="5863">
      <c r="B5863" s="19">
        <v>5855.0</v>
      </c>
      <c r="C5863" s="19" t="s">
        <v>6090</v>
      </c>
    </row>
    <row r="5864">
      <c r="B5864" s="19">
        <v>5856.0</v>
      </c>
      <c r="C5864" s="19" t="s">
        <v>6090</v>
      </c>
    </row>
    <row r="5865">
      <c r="B5865" s="19">
        <v>5857.0</v>
      </c>
      <c r="C5865" s="19" t="s">
        <v>6090</v>
      </c>
    </row>
    <row r="5866">
      <c r="B5866" s="19">
        <v>5858.0</v>
      </c>
      <c r="C5866" s="19" t="s">
        <v>6090</v>
      </c>
    </row>
    <row r="5867">
      <c r="B5867" s="19">
        <v>5859.0</v>
      </c>
      <c r="C5867" s="19" t="s">
        <v>6090</v>
      </c>
    </row>
    <row r="5868">
      <c r="B5868" s="19">
        <v>5860.0</v>
      </c>
      <c r="C5868" s="19" t="s">
        <v>6090</v>
      </c>
    </row>
    <row r="5869">
      <c r="B5869" s="19">
        <v>5861.0</v>
      </c>
      <c r="C5869" s="19" t="s">
        <v>6090</v>
      </c>
    </row>
    <row r="5870">
      <c r="B5870" s="19">
        <v>5862.0</v>
      </c>
      <c r="C5870" s="19" t="s">
        <v>6090</v>
      </c>
    </row>
    <row r="5871">
      <c r="B5871" s="19">
        <v>5863.0</v>
      </c>
      <c r="C5871" s="19" t="s">
        <v>6090</v>
      </c>
    </row>
    <row r="5872">
      <c r="B5872" s="19">
        <v>5864.0</v>
      </c>
      <c r="C5872" s="19" t="s">
        <v>6090</v>
      </c>
    </row>
    <row r="5873">
      <c r="B5873" s="19">
        <v>5865.0</v>
      </c>
      <c r="C5873" s="19" t="s">
        <v>6090</v>
      </c>
    </row>
    <row r="5874">
      <c r="B5874" s="19">
        <v>5866.0</v>
      </c>
      <c r="C5874" s="19" t="s">
        <v>6090</v>
      </c>
    </row>
    <row r="5875">
      <c r="B5875" s="19">
        <v>5867.0</v>
      </c>
      <c r="C5875" s="19" t="s">
        <v>6090</v>
      </c>
    </row>
    <row r="5876">
      <c r="B5876" s="19">
        <v>5868.0</v>
      </c>
      <c r="C5876" s="19" t="s">
        <v>6090</v>
      </c>
    </row>
    <row r="5877">
      <c r="B5877" s="19">
        <v>5869.0</v>
      </c>
      <c r="C5877" s="19" t="s">
        <v>6090</v>
      </c>
    </row>
    <row r="5878">
      <c r="B5878" s="19">
        <v>5870.0</v>
      </c>
      <c r="C5878" s="19" t="s">
        <v>6090</v>
      </c>
    </row>
    <row r="5879">
      <c r="B5879" s="19">
        <v>5871.0</v>
      </c>
      <c r="C5879" s="19" t="s">
        <v>6090</v>
      </c>
    </row>
    <row r="5880">
      <c r="B5880" s="19">
        <v>5872.0</v>
      </c>
      <c r="C5880" s="19" t="s">
        <v>6090</v>
      </c>
    </row>
    <row r="5881">
      <c r="B5881" s="19">
        <v>5873.0</v>
      </c>
      <c r="C5881" s="19" t="s">
        <v>6090</v>
      </c>
    </row>
    <row r="5882">
      <c r="B5882" s="19">
        <v>5874.0</v>
      </c>
      <c r="C5882" s="19" t="s">
        <v>6090</v>
      </c>
    </row>
    <row r="5883">
      <c r="B5883" s="19">
        <v>5875.0</v>
      </c>
      <c r="C5883" s="19" t="s">
        <v>6090</v>
      </c>
    </row>
    <row r="5884">
      <c r="B5884" s="19">
        <v>5876.0</v>
      </c>
      <c r="C5884" s="19" t="s">
        <v>6090</v>
      </c>
    </row>
    <row r="5885">
      <c r="B5885" s="19">
        <v>5877.0</v>
      </c>
      <c r="C5885" s="19" t="s">
        <v>6090</v>
      </c>
    </row>
    <row r="5886">
      <c r="B5886" s="19">
        <v>5878.0</v>
      </c>
      <c r="C5886" s="19" t="s">
        <v>6090</v>
      </c>
    </row>
    <row r="5887">
      <c r="B5887" s="19">
        <v>5879.0</v>
      </c>
      <c r="C5887" s="19" t="s">
        <v>6090</v>
      </c>
    </row>
    <row r="5888">
      <c r="B5888" s="19">
        <v>5880.0</v>
      </c>
      <c r="C5888" s="19" t="s">
        <v>6090</v>
      </c>
    </row>
    <row r="5889">
      <c r="B5889" s="19">
        <v>5881.0</v>
      </c>
      <c r="C5889" s="19" t="s">
        <v>6090</v>
      </c>
    </row>
    <row r="5890">
      <c r="B5890" s="19">
        <v>5882.0</v>
      </c>
      <c r="C5890" s="19" t="s">
        <v>6090</v>
      </c>
    </row>
    <row r="5891">
      <c r="B5891" s="19">
        <v>5883.0</v>
      </c>
      <c r="C5891" s="19" t="s">
        <v>6090</v>
      </c>
    </row>
    <row r="5892">
      <c r="B5892" s="19">
        <v>5884.0</v>
      </c>
      <c r="C5892" s="19" t="s">
        <v>6090</v>
      </c>
    </row>
    <row r="5893">
      <c r="B5893" s="19">
        <v>5885.0</v>
      </c>
      <c r="C5893" s="19" t="s">
        <v>6090</v>
      </c>
    </row>
    <row r="5894">
      <c r="B5894" s="19">
        <v>5886.0</v>
      </c>
      <c r="C5894" s="19" t="s">
        <v>6090</v>
      </c>
    </row>
    <row r="5895">
      <c r="B5895" s="19">
        <v>5887.0</v>
      </c>
      <c r="C5895" s="19" t="s">
        <v>6090</v>
      </c>
    </row>
    <row r="5896">
      <c r="B5896" s="19">
        <v>5888.0</v>
      </c>
      <c r="C5896" s="19" t="s">
        <v>6090</v>
      </c>
    </row>
    <row r="5897">
      <c r="B5897" s="19">
        <v>5889.0</v>
      </c>
      <c r="C5897" s="19" t="s">
        <v>6090</v>
      </c>
    </row>
    <row r="5898">
      <c r="B5898" s="19">
        <v>5890.0</v>
      </c>
      <c r="C5898" s="19" t="s">
        <v>6090</v>
      </c>
    </row>
    <row r="5899">
      <c r="B5899" s="19">
        <v>5891.0</v>
      </c>
      <c r="C5899" s="19" t="s">
        <v>6090</v>
      </c>
    </row>
    <row r="5900">
      <c r="B5900" s="19">
        <v>5892.0</v>
      </c>
      <c r="C5900" s="19" t="s">
        <v>6090</v>
      </c>
    </row>
    <row r="5901">
      <c r="B5901" s="19">
        <v>5893.0</v>
      </c>
      <c r="C5901" s="19" t="s">
        <v>6090</v>
      </c>
    </row>
    <row r="5902">
      <c r="B5902" s="19">
        <v>5894.0</v>
      </c>
      <c r="C5902" s="19" t="s">
        <v>6090</v>
      </c>
    </row>
    <row r="5903">
      <c r="B5903" s="19">
        <v>5895.0</v>
      </c>
      <c r="C5903" s="19" t="s">
        <v>6090</v>
      </c>
    </row>
    <row r="5904">
      <c r="B5904" s="19">
        <v>5896.0</v>
      </c>
      <c r="C5904" s="19" t="s">
        <v>6090</v>
      </c>
    </row>
    <row r="5905">
      <c r="B5905" s="19">
        <v>5897.0</v>
      </c>
      <c r="C5905" s="19" t="s">
        <v>6090</v>
      </c>
    </row>
    <row r="5906">
      <c r="B5906" s="19">
        <v>5898.0</v>
      </c>
      <c r="C5906" s="19" t="s">
        <v>6090</v>
      </c>
    </row>
    <row r="5907">
      <c r="B5907" s="19">
        <v>5899.0</v>
      </c>
      <c r="C5907" s="19" t="s">
        <v>6090</v>
      </c>
    </row>
    <row r="5908">
      <c r="B5908" s="19">
        <v>5900.0</v>
      </c>
      <c r="C5908" s="19" t="s">
        <v>6090</v>
      </c>
    </row>
    <row r="5909">
      <c r="B5909" s="19">
        <v>5901.0</v>
      </c>
      <c r="C5909" s="19" t="s">
        <v>6090</v>
      </c>
    </row>
    <row r="5910">
      <c r="B5910" s="19">
        <v>5902.0</v>
      </c>
      <c r="C5910" s="19" t="s">
        <v>6090</v>
      </c>
    </row>
    <row r="5911">
      <c r="B5911" s="19">
        <v>5903.0</v>
      </c>
      <c r="C5911" s="19" t="s">
        <v>6090</v>
      </c>
    </row>
    <row r="5912">
      <c r="B5912" s="19">
        <v>5904.0</v>
      </c>
      <c r="C5912" s="19" t="s">
        <v>6090</v>
      </c>
    </row>
    <row r="5913">
      <c r="B5913" s="19">
        <v>5905.0</v>
      </c>
      <c r="C5913" s="19" t="s">
        <v>6090</v>
      </c>
    </row>
    <row r="5914">
      <c r="B5914" s="19">
        <v>5906.0</v>
      </c>
      <c r="C5914" s="19" t="s">
        <v>6090</v>
      </c>
    </row>
    <row r="5915">
      <c r="B5915" s="19">
        <v>5907.0</v>
      </c>
      <c r="C5915" s="19" t="s">
        <v>6090</v>
      </c>
    </row>
    <row r="5916">
      <c r="B5916" s="19">
        <v>5908.0</v>
      </c>
      <c r="C5916" s="19" t="s">
        <v>6090</v>
      </c>
    </row>
    <row r="5917">
      <c r="B5917" s="19">
        <v>5909.0</v>
      </c>
      <c r="C5917" s="19" t="s">
        <v>6090</v>
      </c>
    </row>
    <row r="5918">
      <c r="B5918" s="19">
        <v>5910.0</v>
      </c>
      <c r="C5918" s="19" t="s">
        <v>6090</v>
      </c>
    </row>
    <row r="5919">
      <c r="B5919" s="19">
        <v>5911.0</v>
      </c>
      <c r="C5919" s="19" t="s">
        <v>6090</v>
      </c>
    </row>
    <row r="5920">
      <c r="B5920" s="19">
        <v>5912.0</v>
      </c>
      <c r="C5920" s="19" t="s">
        <v>6090</v>
      </c>
    </row>
    <row r="5921">
      <c r="B5921" s="19">
        <v>5913.0</v>
      </c>
      <c r="C5921" s="19" t="s">
        <v>6090</v>
      </c>
    </row>
    <row r="5922">
      <c r="B5922" s="19">
        <v>5914.0</v>
      </c>
      <c r="C5922" s="19" t="s">
        <v>6090</v>
      </c>
    </row>
    <row r="5923">
      <c r="B5923" s="19">
        <v>5915.0</v>
      </c>
      <c r="C5923" s="19" t="s">
        <v>6090</v>
      </c>
    </row>
    <row r="5924">
      <c r="B5924" s="19">
        <v>5916.0</v>
      </c>
      <c r="C5924" s="19" t="s">
        <v>6090</v>
      </c>
    </row>
    <row r="5925">
      <c r="B5925" s="19">
        <v>5917.0</v>
      </c>
      <c r="C5925" s="19" t="s">
        <v>6090</v>
      </c>
    </row>
    <row r="5926">
      <c r="B5926" s="19">
        <v>5918.0</v>
      </c>
      <c r="C5926" s="19" t="s">
        <v>6090</v>
      </c>
    </row>
    <row r="5927">
      <c r="B5927" s="19">
        <v>5919.0</v>
      </c>
      <c r="C5927" s="19" t="s">
        <v>6090</v>
      </c>
    </row>
    <row r="5928">
      <c r="B5928" s="19">
        <v>5920.0</v>
      </c>
      <c r="C5928" s="19" t="s">
        <v>6090</v>
      </c>
    </row>
    <row r="5929">
      <c r="B5929" s="19">
        <v>5921.0</v>
      </c>
      <c r="C5929" s="19" t="s">
        <v>6090</v>
      </c>
    </row>
    <row r="5930">
      <c r="B5930" s="19">
        <v>5922.0</v>
      </c>
      <c r="C5930" s="19" t="s">
        <v>6090</v>
      </c>
    </row>
    <row r="5931">
      <c r="B5931" s="19">
        <v>5923.0</v>
      </c>
      <c r="C5931" s="19" t="s">
        <v>6090</v>
      </c>
    </row>
    <row r="5932">
      <c r="B5932" s="19">
        <v>5924.0</v>
      </c>
      <c r="C5932" s="19" t="s">
        <v>6090</v>
      </c>
    </row>
    <row r="5933">
      <c r="B5933" s="19">
        <v>5925.0</v>
      </c>
      <c r="C5933" s="19" t="s">
        <v>6090</v>
      </c>
    </row>
    <row r="5934">
      <c r="B5934" s="19">
        <v>5926.0</v>
      </c>
      <c r="C5934" s="19" t="s">
        <v>6090</v>
      </c>
    </row>
    <row r="5935">
      <c r="B5935" s="19">
        <v>5927.0</v>
      </c>
      <c r="C5935" s="19" t="s">
        <v>6090</v>
      </c>
    </row>
    <row r="5936">
      <c r="B5936" s="19">
        <v>5928.0</v>
      </c>
      <c r="C5936" s="19" t="s">
        <v>6090</v>
      </c>
    </row>
    <row r="5937">
      <c r="B5937" s="19">
        <v>5929.0</v>
      </c>
      <c r="C5937" s="19" t="s">
        <v>6090</v>
      </c>
    </row>
    <row r="5938">
      <c r="B5938" s="19">
        <v>5930.0</v>
      </c>
      <c r="C5938" s="19" t="s">
        <v>6090</v>
      </c>
    </row>
    <row r="5939">
      <c r="B5939" s="19">
        <v>5931.0</v>
      </c>
      <c r="C5939" s="19" t="s">
        <v>6090</v>
      </c>
    </row>
    <row r="5940">
      <c r="B5940" s="19">
        <v>5932.0</v>
      </c>
      <c r="C5940" s="19" t="s">
        <v>6090</v>
      </c>
    </row>
    <row r="5941">
      <c r="B5941" s="19">
        <v>5933.0</v>
      </c>
      <c r="C5941" s="19" t="s">
        <v>6090</v>
      </c>
    </row>
    <row r="5942">
      <c r="B5942" s="19">
        <v>5934.0</v>
      </c>
      <c r="C5942" s="19" t="s">
        <v>6090</v>
      </c>
    </row>
    <row r="5943">
      <c r="B5943" s="19">
        <v>5935.0</v>
      </c>
      <c r="C5943" s="19" t="s">
        <v>6090</v>
      </c>
    </row>
    <row r="5944">
      <c r="B5944" s="19">
        <v>5936.0</v>
      </c>
      <c r="C5944" s="19" t="s">
        <v>6090</v>
      </c>
    </row>
    <row r="5945">
      <c r="B5945" s="19">
        <v>5937.0</v>
      </c>
      <c r="C5945" s="19" t="s">
        <v>6090</v>
      </c>
    </row>
    <row r="5946">
      <c r="B5946" s="19">
        <v>5938.0</v>
      </c>
      <c r="C5946" s="19" t="s">
        <v>6090</v>
      </c>
    </row>
    <row r="5947">
      <c r="B5947" s="19">
        <v>5939.0</v>
      </c>
      <c r="C5947" s="19" t="s">
        <v>6090</v>
      </c>
    </row>
    <row r="5948">
      <c r="B5948" s="19">
        <v>5940.0</v>
      </c>
      <c r="C5948" s="19" t="s">
        <v>6090</v>
      </c>
    </row>
    <row r="5949">
      <c r="B5949" s="19">
        <v>5941.0</v>
      </c>
      <c r="C5949" s="19" t="s">
        <v>6090</v>
      </c>
    </row>
    <row r="5950">
      <c r="B5950" s="19">
        <v>5942.0</v>
      </c>
      <c r="C5950" s="19" t="s">
        <v>6090</v>
      </c>
    </row>
    <row r="5951">
      <c r="B5951" s="19">
        <v>5943.0</v>
      </c>
      <c r="C5951" s="19" t="s">
        <v>6090</v>
      </c>
    </row>
    <row r="5952">
      <c r="B5952" s="19">
        <v>5944.0</v>
      </c>
      <c r="C5952" s="19" t="s">
        <v>6090</v>
      </c>
    </row>
    <row r="5953">
      <c r="B5953" s="19">
        <v>5945.0</v>
      </c>
      <c r="C5953" s="19" t="s">
        <v>6090</v>
      </c>
    </row>
    <row r="5954">
      <c r="B5954" s="19">
        <v>5946.0</v>
      </c>
      <c r="C5954" s="19" t="s">
        <v>6090</v>
      </c>
    </row>
    <row r="5955">
      <c r="B5955" s="19">
        <v>5947.0</v>
      </c>
      <c r="C5955" s="19" t="s">
        <v>6090</v>
      </c>
    </row>
    <row r="5956">
      <c r="B5956" s="19">
        <v>5948.0</v>
      </c>
      <c r="C5956" s="19" t="s">
        <v>6090</v>
      </c>
    </row>
    <row r="5957">
      <c r="B5957" s="19">
        <v>5949.0</v>
      </c>
      <c r="C5957" s="19" t="s">
        <v>6090</v>
      </c>
    </row>
    <row r="5958">
      <c r="B5958" s="19">
        <v>5950.0</v>
      </c>
      <c r="C5958" s="19" t="s">
        <v>6090</v>
      </c>
    </row>
    <row r="5959">
      <c r="B5959" s="19">
        <v>5951.0</v>
      </c>
      <c r="C5959" s="19" t="s">
        <v>6090</v>
      </c>
    </row>
    <row r="5960">
      <c r="B5960" s="19">
        <v>5952.0</v>
      </c>
      <c r="C5960" s="19" t="s">
        <v>6090</v>
      </c>
    </row>
    <row r="5961">
      <c r="B5961" s="19">
        <v>5953.0</v>
      </c>
      <c r="C5961" s="19" t="s">
        <v>6090</v>
      </c>
    </row>
    <row r="5962">
      <c r="B5962" s="19">
        <v>5954.0</v>
      </c>
      <c r="C5962" s="19" t="s">
        <v>6090</v>
      </c>
    </row>
    <row r="5963">
      <c r="B5963" s="19">
        <v>5955.0</v>
      </c>
      <c r="C5963" s="19" t="s">
        <v>6090</v>
      </c>
    </row>
    <row r="5964">
      <c r="B5964" s="19">
        <v>5956.0</v>
      </c>
      <c r="C5964" s="19" t="s">
        <v>6090</v>
      </c>
    </row>
    <row r="5965">
      <c r="B5965" s="19">
        <v>5957.0</v>
      </c>
      <c r="C5965" s="19" t="s">
        <v>6090</v>
      </c>
    </row>
    <row r="5966">
      <c r="B5966" s="19">
        <v>5958.0</v>
      </c>
      <c r="C5966" s="19" t="s">
        <v>6090</v>
      </c>
    </row>
    <row r="5967">
      <c r="B5967" s="19">
        <v>5959.0</v>
      </c>
      <c r="C5967" s="19" t="s">
        <v>6090</v>
      </c>
    </row>
    <row r="5968">
      <c r="B5968" s="19">
        <v>5960.0</v>
      </c>
      <c r="C5968" s="19" t="s">
        <v>6090</v>
      </c>
    </row>
    <row r="5969">
      <c r="B5969" s="19">
        <v>5961.0</v>
      </c>
      <c r="C5969" s="19" t="s">
        <v>6090</v>
      </c>
    </row>
    <row r="5970">
      <c r="B5970" s="19">
        <v>5962.0</v>
      </c>
      <c r="C5970" s="19" t="s">
        <v>6090</v>
      </c>
    </row>
    <row r="5971">
      <c r="B5971" s="19">
        <v>5963.0</v>
      </c>
      <c r="C5971" s="19" t="s">
        <v>6090</v>
      </c>
    </row>
    <row r="5972">
      <c r="B5972" s="19">
        <v>5964.0</v>
      </c>
      <c r="C5972" s="19" t="s">
        <v>6090</v>
      </c>
    </row>
    <row r="5973">
      <c r="B5973" s="19">
        <v>5965.0</v>
      </c>
      <c r="C5973" s="19" t="s">
        <v>6090</v>
      </c>
    </row>
    <row r="5974">
      <c r="B5974" s="19">
        <v>5966.0</v>
      </c>
      <c r="C5974" s="19" t="s">
        <v>6090</v>
      </c>
    </row>
    <row r="5975">
      <c r="B5975" s="19">
        <v>5967.0</v>
      </c>
      <c r="C5975" s="19" t="s">
        <v>6090</v>
      </c>
    </row>
    <row r="5976">
      <c r="B5976" s="19">
        <v>5968.0</v>
      </c>
      <c r="C5976" s="19" t="s">
        <v>6090</v>
      </c>
    </row>
    <row r="5977">
      <c r="B5977" s="19">
        <v>5969.0</v>
      </c>
      <c r="C5977" s="19" t="s">
        <v>6090</v>
      </c>
    </row>
    <row r="5978">
      <c r="B5978" s="19">
        <v>5970.0</v>
      </c>
      <c r="C5978" s="19" t="s">
        <v>6090</v>
      </c>
    </row>
    <row r="5979">
      <c r="B5979" s="19">
        <v>5971.0</v>
      </c>
      <c r="C5979" s="19" t="s">
        <v>6090</v>
      </c>
    </row>
    <row r="5980">
      <c r="B5980" s="19">
        <v>5972.0</v>
      </c>
      <c r="C5980" s="19" t="s">
        <v>6090</v>
      </c>
    </row>
    <row r="5981">
      <c r="B5981" s="19">
        <v>5973.0</v>
      </c>
      <c r="C5981" s="19" t="s">
        <v>6090</v>
      </c>
    </row>
    <row r="5982">
      <c r="B5982" s="19">
        <v>5974.0</v>
      </c>
      <c r="C5982" s="19" t="s">
        <v>6090</v>
      </c>
    </row>
    <row r="5983">
      <c r="B5983" s="19">
        <v>5975.0</v>
      </c>
      <c r="C5983" s="19" t="s">
        <v>6090</v>
      </c>
    </row>
    <row r="5984">
      <c r="B5984" s="19">
        <v>5976.0</v>
      </c>
      <c r="C5984" s="19" t="s">
        <v>6090</v>
      </c>
    </row>
    <row r="5985">
      <c r="B5985" s="19">
        <v>5977.0</v>
      </c>
      <c r="C5985" s="19" t="s">
        <v>6090</v>
      </c>
    </row>
    <row r="5986">
      <c r="B5986" s="19">
        <v>5978.0</v>
      </c>
      <c r="C5986" s="19" t="s">
        <v>6090</v>
      </c>
    </row>
    <row r="5987">
      <c r="B5987" s="19">
        <v>5979.0</v>
      </c>
      <c r="C5987" s="19" t="s">
        <v>6090</v>
      </c>
    </row>
    <row r="5988">
      <c r="B5988" s="19">
        <v>5980.0</v>
      </c>
      <c r="C5988" s="19" t="s">
        <v>6090</v>
      </c>
    </row>
    <row r="5989">
      <c r="B5989" s="19">
        <v>5981.0</v>
      </c>
      <c r="C5989" s="19" t="s">
        <v>6090</v>
      </c>
    </row>
    <row r="5990">
      <c r="B5990" s="19">
        <v>5982.0</v>
      </c>
      <c r="C5990" s="19" t="s">
        <v>6090</v>
      </c>
    </row>
    <row r="5991">
      <c r="B5991" s="19">
        <v>5983.0</v>
      </c>
      <c r="C5991" s="19" t="s">
        <v>6090</v>
      </c>
    </row>
    <row r="5992">
      <c r="B5992" s="19">
        <v>5984.0</v>
      </c>
      <c r="C5992" s="19" t="s">
        <v>6090</v>
      </c>
    </row>
    <row r="5993">
      <c r="B5993" s="19">
        <v>5985.0</v>
      </c>
      <c r="C5993" s="19" t="s">
        <v>6090</v>
      </c>
    </row>
    <row r="5994">
      <c r="B5994" s="19">
        <v>5986.0</v>
      </c>
      <c r="C5994" s="19" t="s">
        <v>6090</v>
      </c>
    </row>
    <row r="5995">
      <c r="B5995" s="19">
        <v>5987.0</v>
      </c>
      <c r="C5995" s="19" t="s">
        <v>6090</v>
      </c>
    </row>
    <row r="5996">
      <c r="B5996" s="19">
        <v>5988.0</v>
      </c>
      <c r="C5996" s="19" t="s">
        <v>6090</v>
      </c>
    </row>
    <row r="5997">
      <c r="B5997" s="19">
        <v>5989.0</v>
      </c>
      <c r="C5997" s="19" t="s">
        <v>6090</v>
      </c>
    </row>
    <row r="5998">
      <c r="B5998" s="19">
        <v>5990.0</v>
      </c>
      <c r="C5998" s="19" t="s">
        <v>6090</v>
      </c>
    </row>
    <row r="5999">
      <c r="B5999" s="19">
        <v>5991.0</v>
      </c>
      <c r="C5999" s="19" t="s">
        <v>6090</v>
      </c>
    </row>
    <row r="6000">
      <c r="B6000" s="19">
        <v>5992.0</v>
      </c>
      <c r="C6000" s="19" t="s">
        <v>6090</v>
      </c>
    </row>
    <row r="6001">
      <c r="B6001" s="19">
        <v>5993.0</v>
      </c>
      <c r="C6001" s="19" t="s">
        <v>6090</v>
      </c>
    </row>
    <row r="6002">
      <c r="B6002" s="19">
        <v>5994.0</v>
      </c>
      <c r="C6002" s="19" t="s">
        <v>6090</v>
      </c>
    </row>
    <row r="6003">
      <c r="B6003" s="19">
        <v>5995.0</v>
      </c>
      <c r="C6003" s="19" t="s">
        <v>6090</v>
      </c>
    </row>
    <row r="6004">
      <c r="B6004" s="19">
        <v>5996.0</v>
      </c>
      <c r="C6004" s="19" t="s">
        <v>6090</v>
      </c>
    </row>
    <row r="6005">
      <c r="B6005" s="19">
        <v>5997.0</v>
      </c>
      <c r="C6005" s="19" t="s">
        <v>6090</v>
      </c>
    </row>
    <row r="6006">
      <c r="B6006" s="19">
        <v>5998.0</v>
      </c>
      <c r="C6006" s="19" t="s">
        <v>6090</v>
      </c>
    </row>
    <row r="6007">
      <c r="B6007" s="19">
        <v>5999.0</v>
      </c>
      <c r="C6007" s="19" t="s">
        <v>6090</v>
      </c>
    </row>
    <row r="6008">
      <c r="B6008" s="19">
        <v>6000.0</v>
      </c>
      <c r="C6008" s="19" t="s">
        <v>6090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6091</v>
      </c>
    </row>
    <row r="2">
      <c r="A2" s="12" t="s">
        <v>6092</v>
      </c>
      <c r="H2" s="16" t="s">
        <v>24</v>
      </c>
      <c r="K2" s="17" t="s">
        <v>25</v>
      </c>
    </row>
    <row r="3">
      <c r="A3" s="12" t="s">
        <v>6093</v>
      </c>
      <c r="H3" s="18" t="s">
        <v>26</v>
      </c>
      <c r="I3" s="18" t="s">
        <v>27</v>
      </c>
      <c r="J3" s="18" t="s">
        <v>28</v>
      </c>
      <c r="K3" s="18" t="s">
        <v>29</v>
      </c>
      <c r="L3" s="18" t="s">
        <v>30</v>
      </c>
      <c r="M3" s="18" t="s">
        <v>28</v>
      </c>
    </row>
    <row r="4">
      <c r="A4" s="12" t="s">
        <v>6094</v>
      </c>
    </row>
    <row r="5">
      <c r="A5" s="12" t="s">
        <v>6095</v>
      </c>
      <c r="G5" s="19">
        <f>IFERROR(__xludf.DUMMYFUNCTION("SPLIT(A3, "" |"")"),1.0)</f>
        <v>1</v>
      </c>
      <c r="H5" s="19">
        <f>IFERROR(__xludf.DUMMYFUNCTION("""COMPUTED_VALUE"""),0.00224)</f>
        <v>0.00224</v>
      </c>
      <c r="I5" s="19">
        <f>IFERROR(__xludf.DUMMYFUNCTION("""COMPUTED_VALUE"""),0.00191)</f>
        <v>0.00191</v>
      </c>
      <c r="J5" s="19">
        <f>IFERROR(__xludf.DUMMYFUNCTION("""COMPUTED_VALUE"""),0.00193)</f>
        <v>0.00193</v>
      </c>
      <c r="K5" s="19">
        <f>IFERROR(__xludf.DUMMYFUNCTION("""COMPUTED_VALUE"""),0.03886)</f>
        <v>0.03886</v>
      </c>
      <c r="L5" s="19">
        <f>IFERROR(__xludf.DUMMYFUNCTION("""COMPUTED_VALUE"""),0.039)</f>
        <v>0.039</v>
      </c>
      <c r="M5" s="19">
        <f>IFERROR(__xludf.DUMMYFUNCTION("""COMPUTED_VALUE"""),0.03996)</f>
        <v>0.03996</v>
      </c>
    </row>
    <row r="6">
      <c r="A6" s="12" t="s">
        <v>6096</v>
      </c>
      <c r="G6" s="19">
        <f>IFERROR(__xludf.DUMMYFUNCTION("SPLIT(A4, "" |"")"),2.0)</f>
        <v>2</v>
      </c>
      <c r="H6" s="19">
        <f>IFERROR(__xludf.DUMMYFUNCTION("""COMPUTED_VALUE"""),0.00217)</f>
        <v>0.00217</v>
      </c>
      <c r="I6" s="19">
        <f>IFERROR(__xludf.DUMMYFUNCTION("""COMPUTED_VALUE"""),0.00202)</f>
        <v>0.00202</v>
      </c>
      <c r="J6" s="19">
        <f>IFERROR(__xludf.DUMMYFUNCTION("""COMPUTED_VALUE"""),0.00191)</f>
        <v>0.00191</v>
      </c>
      <c r="K6" s="19">
        <f>IFERROR(__xludf.DUMMYFUNCTION("""COMPUTED_VALUE"""),0.03973)</f>
        <v>0.03973</v>
      </c>
      <c r="L6" s="19">
        <f>IFERROR(__xludf.DUMMYFUNCTION("""COMPUTED_VALUE"""),0.03982)</f>
        <v>0.03982</v>
      </c>
      <c r="M6" s="19">
        <f>IFERROR(__xludf.DUMMYFUNCTION("""COMPUTED_VALUE"""),0.03644)</f>
        <v>0.03644</v>
      </c>
    </row>
    <row r="7">
      <c r="A7" s="12" t="s">
        <v>6097</v>
      </c>
      <c r="G7" s="19">
        <f>IFERROR(__xludf.DUMMYFUNCTION("SPLIT(A5, "" |"")"),3.0)</f>
        <v>3</v>
      </c>
      <c r="H7" s="19">
        <f>IFERROR(__xludf.DUMMYFUNCTION("""COMPUTED_VALUE"""),0.00207)</f>
        <v>0.00207</v>
      </c>
      <c r="I7" s="19">
        <f>IFERROR(__xludf.DUMMYFUNCTION("""COMPUTED_VALUE"""),0.00188)</f>
        <v>0.00188</v>
      </c>
      <c r="J7" s="19">
        <f>IFERROR(__xludf.DUMMYFUNCTION("""COMPUTED_VALUE"""),0.00199)</f>
        <v>0.00199</v>
      </c>
      <c r="K7" s="19">
        <f>IFERROR(__xludf.DUMMYFUNCTION("""COMPUTED_VALUE"""),0.03924)</f>
        <v>0.03924</v>
      </c>
      <c r="L7" s="19">
        <f>IFERROR(__xludf.DUMMYFUNCTION("""COMPUTED_VALUE"""),0.03991)</f>
        <v>0.03991</v>
      </c>
      <c r="M7" s="19">
        <f>IFERROR(__xludf.DUMMYFUNCTION("""COMPUTED_VALUE"""),0.03985)</f>
        <v>0.03985</v>
      </c>
    </row>
    <row r="8">
      <c r="A8" s="12" t="s">
        <v>6098</v>
      </c>
      <c r="G8" s="19">
        <f>IFERROR(__xludf.DUMMYFUNCTION("SPLIT(A6, "" |"")"),4.0)</f>
        <v>4</v>
      </c>
      <c r="H8" s="19">
        <f>IFERROR(__xludf.DUMMYFUNCTION("""COMPUTED_VALUE"""),0.00212)</f>
        <v>0.00212</v>
      </c>
      <c r="I8" s="19">
        <f>IFERROR(__xludf.DUMMYFUNCTION("""COMPUTED_VALUE"""),0.00194)</f>
        <v>0.00194</v>
      </c>
      <c r="J8" s="19">
        <f>IFERROR(__xludf.DUMMYFUNCTION("""COMPUTED_VALUE"""),0.00189)</f>
        <v>0.00189</v>
      </c>
      <c r="K8" s="19">
        <f>IFERROR(__xludf.DUMMYFUNCTION("""COMPUTED_VALUE"""),0.03966)</f>
        <v>0.03966</v>
      </c>
      <c r="L8" s="19">
        <f>IFERROR(__xludf.DUMMYFUNCTION("""COMPUTED_VALUE"""),0.03973)</f>
        <v>0.03973</v>
      </c>
      <c r="M8" s="19">
        <f>IFERROR(__xludf.DUMMYFUNCTION("""COMPUTED_VALUE"""),0.03811)</f>
        <v>0.03811</v>
      </c>
    </row>
    <row r="9">
      <c r="A9" s="12" t="s">
        <v>6099</v>
      </c>
      <c r="G9" s="19">
        <f>IFERROR(__xludf.DUMMYFUNCTION("SPLIT(A7, "" |"")"),5.0)</f>
        <v>5</v>
      </c>
      <c r="H9" s="19">
        <f>IFERROR(__xludf.DUMMYFUNCTION("""COMPUTED_VALUE"""),0.00212)</f>
        <v>0.00212</v>
      </c>
      <c r="I9" s="19">
        <f>IFERROR(__xludf.DUMMYFUNCTION("""COMPUTED_VALUE"""),0.00194)</f>
        <v>0.00194</v>
      </c>
      <c r="J9" s="19">
        <f>IFERROR(__xludf.DUMMYFUNCTION("""COMPUTED_VALUE"""),0.00189)</f>
        <v>0.00189</v>
      </c>
      <c r="K9" s="19">
        <f>IFERROR(__xludf.DUMMYFUNCTION("""COMPUTED_VALUE"""),0.03964)</f>
        <v>0.03964</v>
      </c>
      <c r="L9" s="19">
        <f>IFERROR(__xludf.DUMMYFUNCTION("""COMPUTED_VALUE"""),0.03977)</f>
        <v>0.03977</v>
      </c>
      <c r="M9" s="19">
        <f>IFERROR(__xludf.DUMMYFUNCTION("""COMPUTED_VALUE"""),0.03976)</f>
        <v>0.03976</v>
      </c>
    </row>
    <row r="10">
      <c r="A10" s="12" t="s">
        <v>6100</v>
      </c>
      <c r="G10" s="19">
        <f>IFERROR(__xludf.DUMMYFUNCTION("SPLIT(A8, "" |"")"),6.0)</f>
        <v>6</v>
      </c>
      <c r="H10" s="19">
        <f>IFERROR(__xludf.DUMMYFUNCTION("""COMPUTED_VALUE"""),0.00217)</f>
        <v>0.00217</v>
      </c>
      <c r="I10" s="19">
        <f>IFERROR(__xludf.DUMMYFUNCTION("""COMPUTED_VALUE"""),0.00201)</f>
        <v>0.00201</v>
      </c>
      <c r="J10" s="19">
        <f>IFERROR(__xludf.DUMMYFUNCTION("""COMPUTED_VALUE"""),0.00192)</f>
        <v>0.00192</v>
      </c>
      <c r="K10" s="19">
        <f>IFERROR(__xludf.DUMMYFUNCTION("""COMPUTED_VALUE"""),0.03428)</f>
        <v>0.03428</v>
      </c>
      <c r="L10" s="19">
        <f>IFERROR(__xludf.DUMMYFUNCTION("""COMPUTED_VALUE"""),0.03984)</f>
        <v>0.03984</v>
      </c>
      <c r="M10" s="19">
        <f>IFERROR(__xludf.DUMMYFUNCTION("""COMPUTED_VALUE"""),0.03981)</f>
        <v>0.03981</v>
      </c>
    </row>
    <row r="11">
      <c r="A11" s="12" t="s">
        <v>6101</v>
      </c>
      <c r="G11" s="19">
        <f>IFERROR(__xludf.DUMMYFUNCTION("SPLIT(A9, "" |"")"),7.0)</f>
        <v>7</v>
      </c>
      <c r="H11" s="19">
        <f>IFERROR(__xludf.DUMMYFUNCTION("""COMPUTED_VALUE"""),0.00212)</f>
        <v>0.00212</v>
      </c>
      <c r="I11" s="19">
        <f>IFERROR(__xludf.DUMMYFUNCTION("""COMPUTED_VALUE"""),0.00204)</f>
        <v>0.00204</v>
      </c>
      <c r="J11" s="19">
        <f>IFERROR(__xludf.DUMMYFUNCTION("""COMPUTED_VALUE"""),0.00195)</f>
        <v>0.00195</v>
      </c>
      <c r="K11" s="19">
        <f>IFERROR(__xludf.DUMMYFUNCTION("""COMPUTED_VALUE"""),0.03969)</f>
        <v>0.03969</v>
      </c>
      <c r="L11" s="19">
        <f>IFERROR(__xludf.DUMMYFUNCTION("""COMPUTED_VALUE"""),0.03989)</f>
        <v>0.03989</v>
      </c>
      <c r="M11" s="19">
        <f>IFERROR(__xludf.DUMMYFUNCTION("""COMPUTED_VALUE"""),0.03981)</f>
        <v>0.03981</v>
      </c>
    </row>
    <row r="12">
      <c r="A12" s="12" t="s">
        <v>6102</v>
      </c>
      <c r="G12" s="19">
        <f>IFERROR(__xludf.DUMMYFUNCTION("SPLIT(A10, "" |"")"),8.0)</f>
        <v>8</v>
      </c>
      <c r="H12" s="19">
        <f>IFERROR(__xludf.DUMMYFUNCTION("""COMPUTED_VALUE"""),0.0021)</f>
        <v>0.0021</v>
      </c>
      <c r="I12" s="19">
        <f>IFERROR(__xludf.DUMMYFUNCTION("""COMPUTED_VALUE"""),0.00196)</f>
        <v>0.00196</v>
      </c>
      <c r="J12" s="19">
        <f>IFERROR(__xludf.DUMMYFUNCTION("""COMPUTED_VALUE"""),0.00195)</f>
        <v>0.00195</v>
      </c>
      <c r="K12" s="19">
        <f>IFERROR(__xludf.DUMMYFUNCTION("""COMPUTED_VALUE"""),0.03729)</f>
        <v>0.03729</v>
      </c>
      <c r="L12" s="19">
        <f>IFERROR(__xludf.DUMMYFUNCTION("""COMPUTED_VALUE"""),0.03969)</f>
        <v>0.03969</v>
      </c>
      <c r="M12" s="19">
        <f>IFERROR(__xludf.DUMMYFUNCTION("""COMPUTED_VALUE"""),0.03786)</f>
        <v>0.03786</v>
      </c>
    </row>
    <row r="13">
      <c r="A13" s="12" t="s">
        <v>6103</v>
      </c>
      <c r="G13" s="19">
        <f>IFERROR(__xludf.DUMMYFUNCTION("SPLIT(A11, "" |"")"),9.0)</f>
        <v>9</v>
      </c>
      <c r="H13" s="19">
        <f>IFERROR(__xludf.DUMMYFUNCTION("""COMPUTED_VALUE"""),0.00216)</f>
        <v>0.00216</v>
      </c>
      <c r="I13" s="19">
        <f>IFERROR(__xludf.DUMMYFUNCTION("""COMPUTED_VALUE"""),0.00195)</f>
        <v>0.00195</v>
      </c>
      <c r="J13" s="19">
        <f>IFERROR(__xludf.DUMMYFUNCTION("""COMPUTED_VALUE"""),0.00193)</f>
        <v>0.00193</v>
      </c>
      <c r="K13" s="19">
        <f>IFERROR(__xludf.DUMMYFUNCTION("""COMPUTED_VALUE"""),0.0396)</f>
        <v>0.0396</v>
      </c>
      <c r="L13" s="19">
        <f>IFERROR(__xludf.DUMMYFUNCTION("""COMPUTED_VALUE"""),0.03983)</f>
        <v>0.03983</v>
      </c>
      <c r="M13" s="19">
        <f>IFERROR(__xludf.DUMMYFUNCTION("""COMPUTED_VALUE"""),0.03974)</f>
        <v>0.03974</v>
      </c>
    </row>
    <row r="14">
      <c r="A14" s="12" t="s">
        <v>6104</v>
      </c>
      <c r="G14" s="19">
        <f>IFERROR(__xludf.DUMMYFUNCTION("SPLIT(A12, "" |"")"),10.0)</f>
        <v>10</v>
      </c>
      <c r="H14" s="19">
        <f>IFERROR(__xludf.DUMMYFUNCTION("""COMPUTED_VALUE"""),0.00209)</f>
        <v>0.00209</v>
      </c>
      <c r="I14" s="19">
        <f>IFERROR(__xludf.DUMMYFUNCTION("""COMPUTED_VALUE"""),0.00192)</f>
        <v>0.00192</v>
      </c>
      <c r="J14" s="19">
        <f>IFERROR(__xludf.DUMMYFUNCTION("""COMPUTED_VALUE"""),0.00189)</f>
        <v>0.00189</v>
      </c>
      <c r="K14" s="19">
        <f>IFERROR(__xludf.DUMMYFUNCTION("""COMPUTED_VALUE"""),0.03905)</f>
        <v>0.03905</v>
      </c>
      <c r="L14" s="19">
        <f>IFERROR(__xludf.DUMMYFUNCTION("""COMPUTED_VALUE"""),0.03981)</f>
        <v>0.03981</v>
      </c>
      <c r="M14" s="19">
        <f>IFERROR(__xludf.DUMMYFUNCTION("""COMPUTED_VALUE"""),0.04019)</f>
        <v>0.04019</v>
      </c>
    </row>
    <row r="15">
      <c r="A15" s="12" t="s">
        <v>6105</v>
      </c>
      <c r="G15" s="19">
        <f>IFERROR(__xludf.DUMMYFUNCTION("SPLIT(A13, "" |"")"),11.0)</f>
        <v>11</v>
      </c>
      <c r="H15" s="19">
        <f>IFERROR(__xludf.DUMMYFUNCTION("""COMPUTED_VALUE"""),0.00211)</f>
        <v>0.00211</v>
      </c>
      <c r="I15" s="19">
        <f>IFERROR(__xludf.DUMMYFUNCTION("""COMPUTED_VALUE"""),0.00196)</f>
        <v>0.00196</v>
      </c>
      <c r="J15" s="19">
        <f>IFERROR(__xludf.DUMMYFUNCTION("""COMPUTED_VALUE"""),0.00199)</f>
        <v>0.00199</v>
      </c>
      <c r="K15" s="19">
        <f>IFERROR(__xludf.DUMMYFUNCTION("""COMPUTED_VALUE"""),0.03971)</f>
        <v>0.03971</v>
      </c>
      <c r="L15" s="19">
        <f>IFERROR(__xludf.DUMMYFUNCTION("""COMPUTED_VALUE"""),0.03985)</f>
        <v>0.03985</v>
      </c>
      <c r="M15" s="19">
        <f>IFERROR(__xludf.DUMMYFUNCTION("""COMPUTED_VALUE"""),0.03973)</f>
        <v>0.03973</v>
      </c>
    </row>
    <row r="16">
      <c r="A16" s="12" t="s">
        <v>6106</v>
      </c>
      <c r="G16" s="19">
        <f>IFERROR(__xludf.DUMMYFUNCTION("SPLIT(A14, "" |"")"),12.0)</f>
        <v>12</v>
      </c>
      <c r="H16" s="19">
        <f>IFERROR(__xludf.DUMMYFUNCTION("""COMPUTED_VALUE"""),0.00208)</f>
        <v>0.00208</v>
      </c>
      <c r="I16" s="19">
        <f>IFERROR(__xludf.DUMMYFUNCTION("""COMPUTED_VALUE"""),0.00192)</f>
        <v>0.00192</v>
      </c>
      <c r="J16" s="19">
        <f>IFERROR(__xludf.DUMMYFUNCTION("""COMPUTED_VALUE"""),0.0019)</f>
        <v>0.0019</v>
      </c>
      <c r="K16" s="19">
        <f>IFERROR(__xludf.DUMMYFUNCTION("""COMPUTED_VALUE"""),0.0396)</f>
        <v>0.0396</v>
      </c>
      <c r="L16" s="19">
        <f>IFERROR(__xludf.DUMMYFUNCTION("""COMPUTED_VALUE"""),0.04014)</f>
        <v>0.04014</v>
      </c>
      <c r="M16" s="19">
        <f>IFERROR(__xludf.DUMMYFUNCTION("""COMPUTED_VALUE"""),0.03968)</f>
        <v>0.03968</v>
      </c>
    </row>
    <row r="17">
      <c r="A17" s="12" t="s">
        <v>6107</v>
      </c>
      <c r="G17" s="19">
        <f>IFERROR(__xludf.DUMMYFUNCTION("SPLIT(A15, "" |"")"),13.0)</f>
        <v>13</v>
      </c>
      <c r="H17" s="19">
        <f>IFERROR(__xludf.DUMMYFUNCTION("""COMPUTED_VALUE"""),0.00211)</f>
        <v>0.00211</v>
      </c>
      <c r="I17" s="19">
        <f>IFERROR(__xludf.DUMMYFUNCTION("""COMPUTED_VALUE"""),0.00198)</f>
        <v>0.00198</v>
      </c>
      <c r="J17" s="19">
        <f>IFERROR(__xludf.DUMMYFUNCTION("""COMPUTED_VALUE"""),0.00197)</f>
        <v>0.00197</v>
      </c>
      <c r="K17" s="19">
        <f>IFERROR(__xludf.DUMMYFUNCTION("""COMPUTED_VALUE"""),0.03967)</f>
        <v>0.03967</v>
      </c>
      <c r="L17" s="19">
        <f>IFERROR(__xludf.DUMMYFUNCTION("""COMPUTED_VALUE"""),0.03977)</f>
        <v>0.03977</v>
      </c>
      <c r="M17" s="19">
        <f>IFERROR(__xludf.DUMMYFUNCTION("""COMPUTED_VALUE"""),0.03983)</f>
        <v>0.03983</v>
      </c>
    </row>
    <row r="18">
      <c r="A18" s="12" t="s">
        <v>6108</v>
      </c>
      <c r="G18" s="19">
        <f>IFERROR(__xludf.DUMMYFUNCTION("SPLIT(A16, "" |"")"),14.0)</f>
        <v>14</v>
      </c>
      <c r="H18" s="19">
        <f>IFERROR(__xludf.DUMMYFUNCTION("""COMPUTED_VALUE"""),0.00198)</f>
        <v>0.00198</v>
      </c>
      <c r="I18" s="19">
        <f>IFERROR(__xludf.DUMMYFUNCTION("""COMPUTED_VALUE"""),0.00186)</f>
        <v>0.00186</v>
      </c>
      <c r="J18" s="19">
        <f>IFERROR(__xludf.DUMMYFUNCTION("""COMPUTED_VALUE"""),0.00192)</f>
        <v>0.00192</v>
      </c>
      <c r="K18" s="19">
        <f>IFERROR(__xludf.DUMMYFUNCTION("""COMPUTED_VALUE"""),0.03917)</f>
        <v>0.03917</v>
      </c>
      <c r="L18" s="19">
        <f>IFERROR(__xludf.DUMMYFUNCTION("""COMPUTED_VALUE"""),0.03992)</f>
        <v>0.03992</v>
      </c>
      <c r="M18" s="19">
        <f>IFERROR(__xludf.DUMMYFUNCTION("""COMPUTED_VALUE"""),0.03985)</f>
        <v>0.03985</v>
      </c>
    </row>
    <row r="19">
      <c r="A19" s="12" t="s">
        <v>6109</v>
      </c>
      <c r="G19" s="19">
        <f>IFERROR(__xludf.DUMMYFUNCTION("SPLIT(A17, "" |"")"),15.0)</f>
        <v>15</v>
      </c>
      <c r="H19" s="19">
        <f>IFERROR(__xludf.DUMMYFUNCTION("""COMPUTED_VALUE"""),0.00205)</f>
        <v>0.00205</v>
      </c>
      <c r="I19" s="19">
        <f>IFERROR(__xludf.DUMMYFUNCTION("""COMPUTED_VALUE"""),0.00199)</f>
        <v>0.00199</v>
      </c>
      <c r="J19" s="19">
        <f>IFERROR(__xludf.DUMMYFUNCTION("""COMPUTED_VALUE"""),0.00234)</f>
        <v>0.00234</v>
      </c>
      <c r="K19" s="19">
        <f>IFERROR(__xludf.DUMMYFUNCTION("""COMPUTED_VALUE"""),0.03973)</f>
        <v>0.03973</v>
      </c>
      <c r="L19" s="19">
        <f>IFERROR(__xludf.DUMMYFUNCTION("""COMPUTED_VALUE"""),0.03985)</f>
        <v>0.03985</v>
      </c>
      <c r="M19" s="19">
        <f>IFERROR(__xludf.DUMMYFUNCTION("""COMPUTED_VALUE"""),0.03985)</f>
        <v>0.03985</v>
      </c>
    </row>
    <row r="20">
      <c r="A20" s="12" t="s">
        <v>6110</v>
      </c>
      <c r="G20" s="19">
        <f>IFERROR(__xludf.DUMMYFUNCTION("SPLIT(A18, "" |"")"),16.0)</f>
        <v>16</v>
      </c>
      <c r="H20" s="19">
        <f>IFERROR(__xludf.DUMMYFUNCTION("""COMPUTED_VALUE"""),0.00209)</f>
        <v>0.00209</v>
      </c>
      <c r="I20" s="19">
        <f>IFERROR(__xludf.DUMMYFUNCTION("""COMPUTED_VALUE"""),0.00199)</f>
        <v>0.00199</v>
      </c>
      <c r="J20" s="19">
        <f>IFERROR(__xludf.DUMMYFUNCTION("""COMPUTED_VALUE"""),0.00195)</f>
        <v>0.00195</v>
      </c>
      <c r="K20" s="19">
        <f>IFERROR(__xludf.DUMMYFUNCTION("""COMPUTED_VALUE"""),0.03963)</f>
        <v>0.03963</v>
      </c>
      <c r="L20" s="19">
        <f>IFERROR(__xludf.DUMMYFUNCTION("""COMPUTED_VALUE"""),0.03967)</f>
        <v>0.03967</v>
      </c>
      <c r="M20" s="19">
        <f>IFERROR(__xludf.DUMMYFUNCTION("""COMPUTED_VALUE"""),0.03973)</f>
        <v>0.03973</v>
      </c>
    </row>
    <row r="21">
      <c r="A21" s="12" t="s">
        <v>6111</v>
      </c>
      <c r="G21" s="19">
        <f>IFERROR(__xludf.DUMMYFUNCTION("SPLIT(A19, "" |"")"),17.0)</f>
        <v>17</v>
      </c>
      <c r="H21" s="19">
        <f>IFERROR(__xludf.DUMMYFUNCTION("""COMPUTED_VALUE"""),0.00212)</f>
        <v>0.00212</v>
      </c>
      <c r="I21" s="19">
        <f>IFERROR(__xludf.DUMMYFUNCTION("""COMPUTED_VALUE"""),0.00194)</f>
        <v>0.00194</v>
      </c>
      <c r="J21" s="19">
        <f>IFERROR(__xludf.DUMMYFUNCTION("""COMPUTED_VALUE"""),0.00194)</f>
        <v>0.00194</v>
      </c>
      <c r="K21" s="19">
        <f>IFERROR(__xludf.DUMMYFUNCTION("""COMPUTED_VALUE"""),0.03952)</f>
        <v>0.03952</v>
      </c>
      <c r="L21" s="19">
        <f>IFERROR(__xludf.DUMMYFUNCTION("""COMPUTED_VALUE"""),0.04002)</f>
        <v>0.04002</v>
      </c>
      <c r="M21" s="19">
        <f>IFERROR(__xludf.DUMMYFUNCTION("""COMPUTED_VALUE"""),0.04014)</f>
        <v>0.04014</v>
      </c>
    </row>
    <row r="22">
      <c r="A22" s="12" t="s">
        <v>6112</v>
      </c>
      <c r="G22" s="19">
        <f>IFERROR(__xludf.DUMMYFUNCTION("SPLIT(A20, "" |"")"),18.0)</f>
        <v>18</v>
      </c>
      <c r="H22" s="19">
        <f>IFERROR(__xludf.DUMMYFUNCTION("""COMPUTED_VALUE"""),0.0021)</f>
        <v>0.0021</v>
      </c>
      <c r="I22" s="19">
        <f>IFERROR(__xludf.DUMMYFUNCTION("""COMPUTED_VALUE"""),0.00196)</f>
        <v>0.00196</v>
      </c>
      <c r="J22" s="19">
        <f>IFERROR(__xludf.DUMMYFUNCTION("""COMPUTED_VALUE"""),0.00194)</f>
        <v>0.00194</v>
      </c>
      <c r="K22" s="19">
        <f>IFERROR(__xludf.DUMMYFUNCTION("""COMPUTED_VALUE"""),0.03963)</f>
        <v>0.03963</v>
      </c>
      <c r="L22" s="19">
        <f>IFERROR(__xludf.DUMMYFUNCTION("""COMPUTED_VALUE"""),0.04023)</f>
        <v>0.04023</v>
      </c>
      <c r="M22" s="19">
        <f>IFERROR(__xludf.DUMMYFUNCTION("""COMPUTED_VALUE"""),0.03989)</f>
        <v>0.03989</v>
      </c>
    </row>
    <row r="23">
      <c r="A23" s="12" t="s">
        <v>6113</v>
      </c>
      <c r="G23" s="19">
        <f>IFERROR(__xludf.DUMMYFUNCTION("SPLIT(A21, "" |"")"),19.0)</f>
        <v>19</v>
      </c>
      <c r="H23" s="19">
        <f>IFERROR(__xludf.DUMMYFUNCTION("""COMPUTED_VALUE"""),0.00203)</f>
        <v>0.00203</v>
      </c>
      <c r="I23" s="19">
        <f>IFERROR(__xludf.DUMMYFUNCTION("""COMPUTED_VALUE"""),0.00196)</f>
        <v>0.00196</v>
      </c>
      <c r="J23" s="19">
        <f>IFERROR(__xludf.DUMMYFUNCTION("""COMPUTED_VALUE"""),0.00197)</f>
        <v>0.00197</v>
      </c>
      <c r="K23" s="19">
        <f>IFERROR(__xludf.DUMMYFUNCTION("""COMPUTED_VALUE"""),0.03962)</f>
        <v>0.03962</v>
      </c>
      <c r="L23" s="19">
        <f>IFERROR(__xludf.DUMMYFUNCTION("""COMPUTED_VALUE"""),0.03984)</f>
        <v>0.03984</v>
      </c>
      <c r="M23" s="19">
        <f>IFERROR(__xludf.DUMMYFUNCTION("""COMPUTED_VALUE"""),0.0398)</f>
        <v>0.0398</v>
      </c>
    </row>
    <row r="24">
      <c r="A24" s="12" t="s">
        <v>6114</v>
      </c>
      <c r="G24" s="19">
        <f>IFERROR(__xludf.DUMMYFUNCTION("SPLIT(A22, "" |"")"),20.0)</f>
        <v>20</v>
      </c>
      <c r="H24" s="19">
        <f>IFERROR(__xludf.DUMMYFUNCTION("""COMPUTED_VALUE"""),0.00216)</f>
        <v>0.00216</v>
      </c>
      <c r="I24" s="19">
        <f>IFERROR(__xludf.DUMMYFUNCTION("""COMPUTED_VALUE"""),0.00198)</f>
        <v>0.00198</v>
      </c>
      <c r="J24" s="19">
        <f>IFERROR(__xludf.DUMMYFUNCTION("""COMPUTED_VALUE"""),0.00193)</f>
        <v>0.00193</v>
      </c>
      <c r="K24" s="19">
        <f>IFERROR(__xludf.DUMMYFUNCTION("""COMPUTED_VALUE"""),0.03966)</f>
        <v>0.03966</v>
      </c>
      <c r="L24" s="19">
        <f>IFERROR(__xludf.DUMMYFUNCTION("""COMPUTED_VALUE"""),0.0399)</f>
        <v>0.0399</v>
      </c>
      <c r="M24" s="19">
        <f>IFERROR(__xludf.DUMMYFUNCTION("""COMPUTED_VALUE"""),0.0398)</f>
        <v>0.0398</v>
      </c>
    </row>
    <row r="25">
      <c r="A25" s="12" t="s">
        <v>6115</v>
      </c>
      <c r="G25" s="19">
        <f>IFERROR(__xludf.DUMMYFUNCTION("SPLIT(A23, "" |"")"),21.0)</f>
        <v>21</v>
      </c>
      <c r="H25" s="19">
        <f>IFERROR(__xludf.DUMMYFUNCTION("""COMPUTED_VALUE"""),0.00201)</f>
        <v>0.00201</v>
      </c>
      <c r="I25" s="19">
        <f>IFERROR(__xludf.DUMMYFUNCTION("""COMPUTED_VALUE"""),0.00189)</f>
        <v>0.00189</v>
      </c>
      <c r="J25" s="19">
        <f>IFERROR(__xludf.DUMMYFUNCTION("""COMPUTED_VALUE"""),0.00192)</f>
        <v>0.00192</v>
      </c>
      <c r="K25" s="19">
        <f>IFERROR(__xludf.DUMMYFUNCTION("""COMPUTED_VALUE"""),0.03967)</f>
        <v>0.03967</v>
      </c>
      <c r="L25" s="19">
        <f>IFERROR(__xludf.DUMMYFUNCTION("""COMPUTED_VALUE"""),0.03986)</f>
        <v>0.03986</v>
      </c>
      <c r="M25" s="19">
        <f>IFERROR(__xludf.DUMMYFUNCTION("""COMPUTED_VALUE"""),0.03983)</f>
        <v>0.03983</v>
      </c>
    </row>
    <row r="26">
      <c r="A26" s="12" t="s">
        <v>6116</v>
      </c>
      <c r="G26" s="19">
        <f>IFERROR(__xludf.DUMMYFUNCTION("SPLIT(A24, "" |"")"),22.0)</f>
        <v>22</v>
      </c>
      <c r="H26" s="19">
        <f>IFERROR(__xludf.DUMMYFUNCTION("""COMPUTED_VALUE"""),0.00207)</f>
        <v>0.00207</v>
      </c>
      <c r="I26" s="19">
        <f>IFERROR(__xludf.DUMMYFUNCTION("""COMPUTED_VALUE"""),0.00193)</f>
        <v>0.00193</v>
      </c>
      <c r="J26" s="19">
        <f>IFERROR(__xludf.DUMMYFUNCTION("""COMPUTED_VALUE"""),0.00181)</f>
        <v>0.00181</v>
      </c>
      <c r="K26" s="19">
        <f>IFERROR(__xludf.DUMMYFUNCTION("""COMPUTED_VALUE"""),0.03962)</f>
        <v>0.03962</v>
      </c>
      <c r="L26" s="19">
        <f>IFERROR(__xludf.DUMMYFUNCTION("""COMPUTED_VALUE"""),0.03992)</f>
        <v>0.03992</v>
      </c>
      <c r="M26" s="19">
        <f>IFERROR(__xludf.DUMMYFUNCTION("""COMPUTED_VALUE"""),0.03984)</f>
        <v>0.03984</v>
      </c>
    </row>
    <row r="27">
      <c r="A27" s="12" t="s">
        <v>6117</v>
      </c>
      <c r="G27" s="19">
        <f>IFERROR(__xludf.DUMMYFUNCTION("SPLIT(A25, "" |"")"),23.0)</f>
        <v>23</v>
      </c>
      <c r="H27" s="19">
        <f>IFERROR(__xludf.DUMMYFUNCTION("""COMPUTED_VALUE"""),0.00218)</f>
        <v>0.00218</v>
      </c>
      <c r="I27" s="19">
        <f>IFERROR(__xludf.DUMMYFUNCTION("""COMPUTED_VALUE"""),0.00185)</f>
        <v>0.00185</v>
      </c>
      <c r="J27" s="19">
        <f>IFERROR(__xludf.DUMMYFUNCTION("""COMPUTED_VALUE"""),0.00182)</f>
        <v>0.00182</v>
      </c>
      <c r="K27" s="19">
        <f>IFERROR(__xludf.DUMMYFUNCTION("""COMPUTED_VALUE"""),0.03953)</f>
        <v>0.03953</v>
      </c>
      <c r="L27" s="19">
        <f>IFERROR(__xludf.DUMMYFUNCTION("""COMPUTED_VALUE"""),0.0372)</f>
        <v>0.0372</v>
      </c>
      <c r="M27" s="19">
        <f>IFERROR(__xludf.DUMMYFUNCTION("""COMPUTED_VALUE"""),0.03727)</f>
        <v>0.03727</v>
      </c>
    </row>
    <row r="28">
      <c r="A28" s="12" t="s">
        <v>6118</v>
      </c>
      <c r="G28" s="19">
        <f>IFERROR(__xludf.DUMMYFUNCTION("SPLIT(A26, "" |"")"),24.0)</f>
        <v>24</v>
      </c>
      <c r="H28" s="19">
        <f>IFERROR(__xludf.DUMMYFUNCTION("""COMPUTED_VALUE"""),0.00214)</f>
        <v>0.00214</v>
      </c>
      <c r="I28" s="19">
        <f>IFERROR(__xludf.DUMMYFUNCTION("""COMPUTED_VALUE"""),0.00189)</f>
        <v>0.00189</v>
      </c>
      <c r="J28" s="19">
        <f>IFERROR(__xludf.DUMMYFUNCTION("""COMPUTED_VALUE"""),0.00186)</f>
        <v>0.00186</v>
      </c>
      <c r="K28" s="19">
        <f>IFERROR(__xludf.DUMMYFUNCTION("""COMPUTED_VALUE"""),0.03963)</f>
        <v>0.03963</v>
      </c>
      <c r="L28" s="19">
        <f>IFERROR(__xludf.DUMMYFUNCTION("""COMPUTED_VALUE"""),0.07684)</f>
        <v>0.07684</v>
      </c>
      <c r="M28" s="19">
        <f>IFERROR(__xludf.DUMMYFUNCTION("""COMPUTED_VALUE"""),0.03996)</f>
        <v>0.03996</v>
      </c>
    </row>
    <row r="29">
      <c r="A29" s="12" t="s">
        <v>6119</v>
      </c>
      <c r="G29" s="19">
        <f>IFERROR(__xludf.DUMMYFUNCTION("SPLIT(A27, "" |"")"),25.0)</f>
        <v>25</v>
      </c>
      <c r="H29" s="19">
        <f>IFERROR(__xludf.DUMMYFUNCTION("""COMPUTED_VALUE"""),0.00214)</f>
        <v>0.00214</v>
      </c>
      <c r="I29" s="19">
        <f>IFERROR(__xludf.DUMMYFUNCTION("""COMPUTED_VALUE"""),0.00195)</f>
        <v>0.00195</v>
      </c>
      <c r="J29" s="19">
        <f>IFERROR(__xludf.DUMMYFUNCTION("""COMPUTED_VALUE"""),0.00186)</f>
        <v>0.00186</v>
      </c>
      <c r="K29" s="19">
        <f>IFERROR(__xludf.DUMMYFUNCTION("""COMPUTED_VALUE"""),0.03969)</f>
        <v>0.03969</v>
      </c>
      <c r="L29" s="19">
        <f>IFERROR(__xludf.DUMMYFUNCTION("""COMPUTED_VALUE"""),0.07686)</f>
        <v>0.07686</v>
      </c>
      <c r="M29" s="19">
        <f>IFERROR(__xludf.DUMMYFUNCTION("""COMPUTED_VALUE"""),0.03989)</f>
        <v>0.03989</v>
      </c>
    </row>
    <row r="30">
      <c r="A30" s="12" t="s">
        <v>6120</v>
      </c>
      <c r="G30" s="19">
        <f>IFERROR(__xludf.DUMMYFUNCTION("SPLIT(A28, "" |"")"),26.0)</f>
        <v>26</v>
      </c>
      <c r="H30" s="19">
        <f>IFERROR(__xludf.DUMMYFUNCTION("""COMPUTED_VALUE"""),0.00206)</f>
        <v>0.00206</v>
      </c>
      <c r="I30" s="19">
        <f>IFERROR(__xludf.DUMMYFUNCTION("""COMPUTED_VALUE"""),0.00448)</f>
        <v>0.00448</v>
      </c>
      <c r="J30" s="19">
        <f>IFERROR(__xludf.DUMMYFUNCTION("""COMPUTED_VALUE"""),0.00195)</f>
        <v>0.00195</v>
      </c>
      <c r="K30" s="19">
        <f>IFERROR(__xludf.DUMMYFUNCTION("""COMPUTED_VALUE"""),0.03964)</f>
        <v>0.03964</v>
      </c>
      <c r="L30" s="19">
        <f>IFERROR(__xludf.DUMMYFUNCTION("""COMPUTED_VALUE"""),0.07679)</f>
        <v>0.07679</v>
      </c>
      <c r="M30" s="19">
        <f>IFERROR(__xludf.DUMMYFUNCTION("""COMPUTED_VALUE"""),0.03994)</f>
        <v>0.03994</v>
      </c>
    </row>
    <row r="31">
      <c r="A31" s="12" t="s">
        <v>6121</v>
      </c>
      <c r="G31" s="19">
        <f>IFERROR(__xludf.DUMMYFUNCTION("SPLIT(A29, "" |"")"),27.0)</f>
        <v>27</v>
      </c>
      <c r="H31" s="19">
        <f>IFERROR(__xludf.DUMMYFUNCTION("""COMPUTED_VALUE"""),0.00214)</f>
        <v>0.00214</v>
      </c>
      <c r="I31" s="19">
        <f>IFERROR(__xludf.DUMMYFUNCTION("""COMPUTED_VALUE"""),0.0045)</f>
        <v>0.0045</v>
      </c>
      <c r="J31" s="19">
        <f>IFERROR(__xludf.DUMMYFUNCTION("""COMPUTED_VALUE"""),0.00199)</f>
        <v>0.00199</v>
      </c>
      <c r="K31" s="19">
        <f>IFERROR(__xludf.DUMMYFUNCTION("""COMPUTED_VALUE"""),0.03967)</f>
        <v>0.03967</v>
      </c>
      <c r="L31" s="19">
        <f>IFERROR(__xludf.DUMMYFUNCTION("""COMPUTED_VALUE"""),0.13186)</f>
        <v>0.13186</v>
      </c>
      <c r="M31" s="19">
        <f>IFERROR(__xludf.DUMMYFUNCTION("""COMPUTED_VALUE"""),0.03997)</f>
        <v>0.03997</v>
      </c>
    </row>
    <row r="32">
      <c r="A32" s="12" t="s">
        <v>6122</v>
      </c>
      <c r="G32" s="19">
        <f>IFERROR(__xludf.DUMMYFUNCTION("SPLIT(A30, "" |"")"),28.0)</f>
        <v>28</v>
      </c>
      <c r="H32" s="19">
        <f>IFERROR(__xludf.DUMMYFUNCTION("""COMPUTED_VALUE"""),0.00215)</f>
        <v>0.00215</v>
      </c>
      <c r="I32" s="19">
        <f>IFERROR(__xludf.DUMMYFUNCTION("""COMPUTED_VALUE"""),0.00447)</f>
        <v>0.00447</v>
      </c>
      <c r="J32" s="19">
        <f>IFERROR(__xludf.DUMMYFUNCTION("""COMPUTED_VALUE"""),0.00188)</f>
        <v>0.00188</v>
      </c>
      <c r="K32" s="19">
        <f>IFERROR(__xludf.DUMMYFUNCTION("""COMPUTED_VALUE"""),0.03971)</f>
        <v>0.03971</v>
      </c>
      <c r="L32" s="19">
        <f>IFERROR(__xludf.DUMMYFUNCTION("""COMPUTED_VALUE"""),0.13203)</f>
        <v>0.13203</v>
      </c>
      <c r="M32" s="19">
        <f>IFERROR(__xludf.DUMMYFUNCTION("""COMPUTED_VALUE"""),0.04047)</f>
        <v>0.04047</v>
      </c>
    </row>
    <row r="33">
      <c r="A33" s="12" t="s">
        <v>6123</v>
      </c>
      <c r="G33" s="19">
        <f>IFERROR(__xludf.DUMMYFUNCTION("SPLIT(A31, "" |"")"),29.0)</f>
        <v>29</v>
      </c>
      <c r="H33" s="19">
        <f>IFERROR(__xludf.DUMMYFUNCTION("""COMPUTED_VALUE"""),0.00218)</f>
        <v>0.00218</v>
      </c>
      <c r="I33" s="19">
        <f>IFERROR(__xludf.DUMMYFUNCTION("""COMPUTED_VALUE"""),0.0095)</f>
        <v>0.0095</v>
      </c>
      <c r="J33" s="19">
        <f>IFERROR(__xludf.DUMMYFUNCTION("""COMPUTED_VALUE"""),0.00185)</f>
        <v>0.00185</v>
      </c>
      <c r="K33" s="19">
        <f>IFERROR(__xludf.DUMMYFUNCTION("""COMPUTED_VALUE"""),0.03971)</f>
        <v>0.03971</v>
      </c>
      <c r="L33" s="19">
        <f>IFERROR(__xludf.DUMMYFUNCTION("""COMPUTED_VALUE"""),0.18682)</f>
        <v>0.18682</v>
      </c>
      <c r="M33" s="19">
        <f>IFERROR(__xludf.DUMMYFUNCTION("""COMPUTED_VALUE"""),0.04037)</f>
        <v>0.04037</v>
      </c>
    </row>
    <row r="34">
      <c r="A34" s="12" t="s">
        <v>6124</v>
      </c>
      <c r="G34" s="19">
        <f>IFERROR(__xludf.DUMMYFUNCTION("SPLIT(A32, "" |"")"),30.0)</f>
        <v>30</v>
      </c>
      <c r="H34" s="19">
        <f>IFERROR(__xludf.DUMMYFUNCTION("""COMPUTED_VALUE"""),0.00223)</f>
        <v>0.00223</v>
      </c>
      <c r="I34" s="19">
        <f>IFERROR(__xludf.DUMMYFUNCTION("""COMPUTED_VALUE"""),0.00944)</f>
        <v>0.00944</v>
      </c>
      <c r="J34" s="19">
        <f>IFERROR(__xludf.DUMMYFUNCTION("""COMPUTED_VALUE"""),0.00192)</f>
        <v>0.00192</v>
      </c>
      <c r="K34" s="19">
        <f>IFERROR(__xludf.DUMMYFUNCTION("""COMPUTED_VALUE"""),0.03963)</f>
        <v>0.03963</v>
      </c>
      <c r="L34" s="19">
        <f>IFERROR(__xludf.DUMMYFUNCTION("""COMPUTED_VALUE"""),0.29435)</f>
        <v>0.29435</v>
      </c>
      <c r="M34" s="19">
        <f>IFERROR(__xludf.DUMMYFUNCTION("""COMPUTED_VALUE"""),0.03999)</f>
        <v>0.03999</v>
      </c>
    </row>
    <row r="35">
      <c r="A35" s="12" t="s">
        <v>6125</v>
      </c>
      <c r="G35" s="19">
        <f>IFERROR(__xludf.DUMMYFUNCTION("SPLIT(A33, "" |"")"),31.0)</f>
        <v>31</v>
      </c>
      <c r="H35" s="19">
        <f>IFERROR(__xludf.DUMMYFUNCTION("""COMPUTED_VALUE"""),0.00213)</f>
        <v>0.00213</v>
      </c>
      <c r="I35" s="19">
        <f>IFERROR(__xludf.DUMMYFUNCTION("""COMPUTED_VALUE"""),0.01955)</f>
        <v>0.01955</v>
      </c>
      <c r="J35" s="19">
        <f>IFERROR(__xludf.DUMMYFUNCTION("""COMPUTED_VALUE"""),0.00195)</f>
        <v>0.00195</v>
      </c>
      <c r="K35" s="19">
        <f>IFERROR(__xludf.DUMMYFUNCTION("""COMPUTED_VALUE"""),0.0374)</f>
        <v>0.0374</v>
      </c>
      <c r="L35" s="19">
        <f>IFERROR(__xludf.DUMMYFUNCTION("""COMPUTED_VALUE"""),0.462)</f>
        <v>0.462</v>
      </c>
      <c r="M35" s="19">
        <f>IFERROR(__xludf.DUMMYFUNCTION("""COMPUTED_VALUE"""),0.04007)</f>
        <v>0.04007</v>
      </c>
    </row>
    <row r="36">
      <c r="A36" s="12" t="s">
        <v>6126</v>
      </c>
      <c r="G36" s="19">
        <f>IFERROR(__xludf.DUMMYFUNCTION("SPLIT(A34, "" |"")"),32.0)</f>
        <v>32</v>
      </c>
      <c r="H36" s="19">
        <f>IFERROR(__xludf.DUMMYFUNCTION("""COMPUTED_VALUE"""),0.00215)</f>
        <v>0.00215</v>
      </c>
      <c r="I36" s="19">
        <f>IFERROR(__xludf.DUMMYFUNCTION("""COMPUTED_VALUE"""),0.03954)</f>
        <v>0.03954</v>
      </c>
      <c r="J36" s="19">
        <f>IFERROR(__xludf.DUMMYFUNCTION("""COMPUTED_VALUE"""),0.00194)</f>
        <v>0.00194</v>
      </c>
      <c r="K36" s="19">
        <f>IFERROR(__xludf.DUMMYFUNCTION("""COMPUTED_VALUE"""),0.03971)</f>
        <v>0.03971</v>
      </c>
      <c r="L36" s="19">
        <f>IFERROR(__xludf.DUMMYFUNCTION("""COMPUTED_VALUE"""),0.72317)</f>
        <v>0.72317</v>
      </c>
      <c r="M36" s="19">
        <f>IFERROR(__xludf.DUMMYFUNCTION("""COMPUTED_VALUE"""),0.03609)</f>
        <v>0.03609</v>
      </c>
    </row>
    <row r="37">
      <c r="A37" s="12" t="s">
        <v>6127</v>
      </c>
      <c r="G37" s="19">
        <f>IFERROR(__xludf.DUMMYFUNCTION("SPLIT(A35, "" |"")"),33.0)</f>
        <v>33</v>
      </c>
      <c r="H37" s="19">
        <f>IFERROR(__xludf.DUMMYFUNCTION("""COMPUTED_VALUE"""),0.00209)</f>
        <v>0.00209</v>
      </c>
      <c r="I37" s="19">
        <f>IFERROR(__xludf.DUMMYFUNCTION("""COMPUTED_VALUE"""),0.03908)</f>
        <v>0.03908</v>
      </c>
      <c r="J37" s="19">
        <f>IFERROR(__xludf.DUMMYFUNCTION("""COMPUTED_VALUE"""),0.00184)</f>
        <v>0.00184</v>
      </c>
      <c r="K37" s="19">
        <f>IFERROR(__xludf.DUMMYFUNCTION("""COMPUTED_VALUE"""),0.03543)</f>
        <v>0.03543</v>
      </c>
      <c r="L37" s="19">
        <f>IFERROR(__xludf.DUMMYFUNCTION("""COMPUTED_VALUE"""),1.11307)</f>
        <v>1.11307</v>
      </c>
      <c r="M37" s="19">
        <f>IFERROR(__xludf.DUMMYFUNCTION("""COMPUTED_VALUE"""),0.0404)</f>
        <v>0.0404</v>
      </c>
    </row>
    <row r="38">
      <c r="A38" s="12" t="s">
        <v>6128</v>
      </c>
      <c r="G38" s="19">
        <f>IFERROR(__xludf.DUMMYFUNCTION("SPLIT(A36, "" |"")"),34.0)</f>
        <v>34</v>
      </c>
      <c r="H38" s="19">
        <f>IFERROR(__xludf.DUMMYFUNCTION("""COMPUTED_VALUE"""),0.00216)</f>
        <v>0.00216</v>
      </c>
      <c r="I38" s="19">
        <f>IFERROR(__xludf.DUMMYFUNCTION("""COMPUTED_VALUE"""),0.0766)</f>
        <v>0.0766</v>
      </c>
      <c r="J38" s="19">
        <f>IFERROR(__xludf.DUMMYFUNCTION("""COMPUTED_VALUE"""),0.00182)</f>
        <v>0.00182</v>
      </c>
      <c r="K38" s="19">
        <f>IFERROR(__xludf.DUMMYFUNCTION("""COMPUTED_VALUE"""),0.03969)</f>
        <v>0.03969</v>
      </c>
      <c r="L38" s="19">
        <f>IFERROR(__xludf.DUMMYFUNCTION("""COMPUTED_VALUE"""),1.80194)</f>
        <v>1.80194</v>
      </c>
      <c r="M38" s="19">
        <f>IFERROR(__xludf.DUMMYFUNCTION("""COMPUTED_VALUE"""),0.04008)</f>
        <v>0.04008</v>
      </c>
    </row>
    <row r="39">
      <c r="A39" s="12" t="s">
        <v>6129</v>
      </c>
      <c r="G39" s="19">
        <f>IFERROR(__xludf.DUMMYFUNCTION("SPLIT(A37, "" |"")"),35.0)</f>
        <v>35</v>
      </c>
      <c r="H39" s="19">
        <f>IFERROR(__xludf.DUMMYFUNCTION("""COMPUTED_VALUE"""),0.00228)</f>
        <v>0.00228</v>
      </c>
      <c r="I39" s="19">
        <f>IFERROR(__xludf.DUMMYFUNCTION("""COMPUTED_VALUE"""),0.12912)</f>
        <v>0.12912</v>
      </c>
      <c r="J39" s="19">
        <f>IFERROR(__xludf.DUMMYFUNCTION("""COMPUTED_VALUE"""),0.00224)</f>
        <v>0.00224</v>
      </c>
      <c r="K39" s="19">
        <f>IFERROR(__xludf.DUMMYFUNCTION("""COMPUTED_VALUE"""),0.03972)</f>
        <v>0.03972</v>
      </c>
      <c r="L39" s="19">
        <f>IFERROR(__xludf.DUMMYFUNCTION("""COMPUTED_VALUE"""),2.90187)</f>
        <v>2.90187</v>
      </c>
      <c r="M39" s="19">
        <f>IFERROR(__xludf.DUMMYFUNCTION("""COMPUTED_VALUE"""),0.03812)</f>
        <v>0.03812</v>
      </c>
    </row>
    <row r="40">
      <c r="A40" s="12" t="s">
        <v>6130</v>
      </c>
      <c r="G40" s="19">
        <f>IFERROR(__xludf.DUMMYFUNCTION("SPLIT(A38, "" |"")"),36.0)</f>
        <v>36</v>
      </c>
      <c r="H40" s="19">
        <f>IFERROR(__xludf.DUMMYFUNCTION("""COMPUTED_VALUE"""),0.00212)</f>
        <v>0.00212</v>
      </c>
      <c r="I40" s="19">
        <f>IFERROR(__xludf.DUMMYFUNCTION("""COMPUTED_VALUE"""),0.18115)</f>
        <v>0.18115</v>
      </c>
      <c r="J40" s="19">
        <f>IFERROR(__xludf.DUMMYFUNCTION("""COMPUTED_VALUE"""),0.00233)</f>
        <v>0.00233</v>
      </c>
      <c r="K40" s="19">
        <f>IFERROR(__xludf.DUMMYFUNCTION("""COMPUTED_VALUE"""),0.03991)</f>
        <v>0.03991</v>
      </c>
      <c r="L40" s="19">
        <f>IFERROR(__xludf.DUMMYFUNCTION("""COMPUTED_VALUE"""),4.64278)</f>
        <v>4.64278</v>
      </c>
      <c r="M40" s="19">
        <f>IFERROR(__xludf.DUMMYFUNCTION("""COMPUTED_VALUE"""),0.04052)</f>
        <v>0.04052</v>
      </c>
    </row>
    <row r="41">
      <c r="A41" s="12" t="s">
        <v>6131</v>
      </c>
      <c r="G41" s="19">
        <f>IFERROR(__xludf.DUMMYFUNCTION("SPLIT(A39, "" |"")"),37.0)</f>
        <v>37</v>
      </c>
      <c r="H41" s="19">
        <f>IFERROR(__xludf.DUMMYFUNCTION("""COMPUTED_VALUE"""),0.00224)</f>
        <v>0.00224</v>
      </c>
      <c r="I41" s="19">
        <f>IFERROR(__xludf.DUMMYFUNCTION("""COMPUTED_VALUE"""),0.23247)</f>
        <v>0.23247</v>
      </c>
      <c r="J41" s="19">
        <f>IFERROR(__xludf.DUMMYFUNCTION("""COMPUTED_VALUE"""),0.00228)</f>
        <v>0.00228</v>
      </c>
      <c r="K41" s="19">
        <f>IFERROR(__xludf.DUMMYFUNCTION("""COMPUTED_VALUE"""),0.03975)</f>
        <v>0.03975</v>
      </c>
      <c r="L41" s="19">
        <f>IFERROR(__xludf.DUMMYFUNCTION("""COMPUTED_VALUE"""),7.39035)</f>
        <v>7.39035</v>
      </c>
      <c r="M41" s="19">
        <f>IFERROR(__xludf.DUMMYFUNCTION("""COMPUTED_VALUE"""),0.04004)</f>
        <v>0.04004</v>
      </c>
    </row>
    <row r="42">
      <c r="A42" s="12" t="s">
        <v>6132</v>
      </c>
      <c r="G42" s="19">
        <f>IFERROR(__xludf.DUMMYFUNCTION("SPLIT(A40, "" |"")"),38.0)</f>
        <v>38</v>
      </c>
      <c r="H42" s="19">
        <f>IFERROR(__xludf.DUMMYFUNCTION("""COMPUTED_VALUE"""),0.00211)</f>
        <v>0.00211</v>
      </c>
      <c r="I42" s="19">
        <f>IFERROR(__xludf.DUMMYFUNCTION("""COMPUTED_VALUE"""),0.34659)</f>
        <v>0.34659</v>
      </c>
      <c r="J42" s="19">
        <f>IFERROR(__xludf.DUMMYFUNCTION("""COMPUTED_VALUE"""),0.00233)</f>
        <v>0.00233</v>
      </c>
      <c r="K42" s="19">
        <f>IFERROR(__xludf.DUMMYFUNCTION("""COMPUTED_VALUE"""),0.03714)</f>
        <v>0.03714</v>
      </c>
      <c r="L42" s="19">
        <f>IFERROR(__xludf.DUMMYFUNCTION("""COMPUTED_VALUE"""),11.95169)</f>
        <v>11.95169</v>
      </c>
      <c r="M42" s="19">
        <f>IFERROR(__xludf.DUMMYFUNCTION("""COMPUTED_VALUE"""),0.03828)</f>
        <v>0.03828</v>
      </c>
    </row>
    <row r="43">
      <c r="A43" s="12" t="s">
        <v>6133</v>
      </c>
      <c r="G43" s="19">
        <f>IFERROR(__xludf.DUMMYFUNCTION("SPLIT(A41, "" |"")"),39.0)</f>
        <v>39</v>
      </c>
      <c r="H43" s="19">
        <f>IFERROR(__xludf.DUMMYFUNCTION("""COMPUTED_VALUE"""),0.00205)</f>
        <v>0.00205</v>
      </c>
      <c r="I43" s="19">
        <f>IFERROR(__xludf.DUMMYFUNCTION("""COMPUTED_VALUE"""),0.57167)</f>
        <v>0.57167</v>
      </c>
      <c r="J43" s="19">
        <f>IFERROR(__xludf.DUMMYFUNCTION("""COMPUTED_VALUE"""),0.00214)</f>
        <v>0.00214</v>
      </c>
      <c r="K43" s="19">
        <f>IFERROR(__xludf.DUMMYFUNCTION("""COMPUTED_VALUE"""),0.03964)</f>
        <v>0.03964</v>
      </c>
      <c r="L43" s="19">
        <f>IFERROR(__xludf.DUMMYFUNCTION("""COMPUTED_VALUE"""),19.1984)</f>
        <v>19.1984</v>
      </c>
      <c r="M43" s="19">
        <f>IFERROR(__xludf.DUMMYFUNCTION("""COMPUTED_VALUE"""),0.03958)</f>
        <v>0.03958</v>
      </c>
    </row>
    <row r="44">
      <c r="A44" s="12" t="s">
        <v>6134</v>
      </c>
      <c r="G44" s="19">
        <f>IFERROR(__xludf.DUMMYFUNCTION("SPLIT(A42, "" |"")"),40.0)</f>
        <v>40</v>
      </c>
      <c r="H44" s="19">
        <f>IFERROR(__xludf.DUMMYFUNCTION("""COMPUTED_VALUE"""),0.00207)</f>
        <v>0.00207</v>
      </c>
      <c r="I44" s="19">
        <f>IFERROR(__xludf.DUMMYFUNCTION("""COMPUTED_VALUE"""),0.89521)</f>
        <v>0.89521</v>
      </c>
      <c r="J44" s="19">
        <f>IFERROR(__xludf.DUMMYFUNCTION("""COMPUTED_VALUE"""),0.00239)</f>
        <v>0.00239</v>
      </c>
      <c r="K44" s="19">
        <f>IFERROR(__xludf.DUMMYFUNCTION("""COMPUTED_VALUE"""),0.03978)</f>
        <v>0.03978</v>
      </c>
      <c r="L44" s="19">
        <f>IFERROR(__xludf.DUMMYFUNCTION("""COMPUTED_VALUE"""),31.30102)</f>
        <v>31.30102</v>
      </c>
      <c r="M44" s="19">
        <f>IFERROR(__xludf.DUMMYFUNCTION("""COMPUTED_VALUE"""),0.04004)</f>
        <v>0.04004</v>
      </c>
    </row>
    <row r="45">
      <c r="A45" s="12" t="s">
        <v>6135</v>
      </c>
      <c r="G45" s="19">
        <f>IFERROR(__xludf.DUMMYFUNCTION("SPLIT(A43, "" |"")"),41.0)</f>
        <v>41</v>
      </c>
      <c r="H45" s="19">
        <f>IFERROR(__xludf.DUMMYFUNCTION("""COMPUTED_VALUE"""),0.00242)</f>
        <v>0.00242</v>
      </c>
      <c r="I45" s="19">
        <f>IFERROR(__xludf.DUMMYFUNCTION("""COMPUTED_VALUE"""),1.44913)</f>
        <v>1.44913</v>
      </c>
      <c r="J45" s="19">
        <f>IFERROR(__xludf.DUMMYFUNCTION("""COMPUTED_VALUE"""),0.00247)</f>
        <v>0.00247</v>
      </c>
      <c r="K45" s="19">
        <f>IFERROR(__xludf.DUMMYFUNCTION("""COMPUTED_VALUE"""),0.03976)</f>
        <v>0.03976</v>
      </c>
      <c r="L45" s="19">
        <f>IFERROR(__xludf.DUMMYFUNCTION("""COMPUTED_VALUE"""),50.21861)</f>
        <v>50.21861</v>
      </c>
      <c r="M45" s="19">
        <f>IFERROR(__xludf.DUMMYFUNCTION("""COMPUTED_VALUE"""),0.03925)</f>
        <v>0.03925</v>
      </c>
    </row>
    <row r="46">
      <c r="A46" s="12" t="s">
        <v>6136</v>
      </c>
      <c r="G46" s="19">
        <f>IFERROR(__xludf.DUMMYFUNCTION("SPLIT(A44, "" |"")"),42.0)</f>
        <v>42</v>
      </c>
      <c r="H46" s="19">
        <f>IFERROR(__xludf.DUMMYFUNCTION("""COMPUTED_VALUE"""),0.00218)</f>
        <v>0.00218</v>
      </c>
      <c r="I46" s="19">
        <f>IFERROR(__xludf.DUMMYFUNCTION("""COMPUTED_VALUE"""),2.35982)</f>
        <v>2.35982</v>
      </c>
      <c r="J46" s="19">
        <f>IFERROR(__xludf.DUMMYFUNCTION("""COMPUTED_VALUE"""),0.00297)</f>
        <v>0.00297</v>
      </c>
      <c r="K46" s="19">
        <f>IFERROR(__xludf.DUMMYFUNCTION("""COMPUTED_VALUE"""),0.03988)</f>
        <v>0.03988</v>
      </c>
      <c r="L46" s="19" t="str">
        <f>IFERROR(__xludf.DUMMYFUNCTION("""COMPUTED_VALUE"""),"-")</f>
        <v>-</v>
      </c>
      <c r="M46" s="19">
        <f>IFERROR(__xludf.DUMMYFUNCTION("""COMPUTED_VALUE"""),0.04061)</f>
        <v>0.04061</v>
      </c>
    </row>
    <row r="47">
      <c r="A47" s="12" t="s">
        <v>6137</v>
      </c>
      <c r="G47" s="19">
        <f>IFERROR(__xludf.DUMMYFUNCTION("SPLIT(A45, "" |"")"),43.0)</f>
        <v>43</v>
      </c>
      <c r="H47" s="19">
        <f>IFERROR(__xludf.DUMMYFUNCTION("""COMPUTED_VALUE"""),0.0022)</f>
        <v>0.0022</v>
      </c>
      <c r="I47" s="19">
        <f>IFERROR(__xludf.DUMMYFUNCTION("""COMPUTED_VALUE"""),3.76791)</f>
        <v>3.76791</v>
      </c>
      <c r="J47" s="19">
        <f>IFERROR(__xludf.DUMMYFUNCTION("""COMPUTED_VALUE"""),0.00308)</f>
        <v>0.00308</v>
      </c>
      <c r="K47" s="19">
        <f>IFERROR(__xludf.DUMMYFUNCTION("""COMPUTED_VALUE"""),0.04013)</f>
        <v>0.04013</v>
      </c>
      <c r="L47" s="19" t="str">
        <f>IFERROR(__xludf.DUMMYFUNCTION("""COMPUTED_VALUE"""),"-")</f>
        <v>-</v>
      </c>
      <c r="M47" s="19">
        <f>IFERROR(__xludf.DUMMYFUNCTION("""COMPUTED_VALUE"""),0.04024)</f>
        <v>0.04024</v>
      </c>
    </row>
    <row r="48">
      <c r="A48" s="12" t="s">
        <v>6138</v>
      </c>
      <c r="G48" s="19">
        <f>IFERROR(__xludf.DUMMYFUNCTION("SPLIT(A46, "" |"")"),44.0)</f>
        <v>44</v>
      </c>
      <c r="H48" s="19">
        <f>IFERROR(__xludf.DUMMYFUNCTION("""COMPUTED_VALUE"""),0.00202)</f>
        <v>0.00202</v>
      </c>
      <c r="I48" s="19">
        <f>IFERROR(__xludf.DUMMYFUNCTION("""COMPUTED_VALUE"""),6.13398)</f>
        <v>6.13398</v>
      </c>
      <c r="J48" s="19">
        <f>IFERROR(__xludf.DUMMYFUNCTION("""COMPUTED_VALUE"""),0.00303)</f>
        <v>0.00303</v>
      </c>
      <c r="K48" s="19">
        <f>IFERROR(__xludf.DUMMYFUNCTION("""COMPUTED_VALUE"""),0.04015)</f>
        <v>0.04015</v>
      </c>
      <c r="L48" s="19" t="str">
        <f>IFERROR(__xludf.DUMMYFUNCTION("""COMPUTED_VALUE"""),"-")</f>
        <v>-</v>
      </c>
      <c r="M48" s="19">
        <f>IFERROR(__xludf.DUMMYFUNCTION("""COMPUTED_VALUE"""),0.03994)</f>
        <v>0.03994</v>
      </c>
    </row>
    <row r="49">
      <c r="A49" s="12" t="s">
        <v>6139</v>
      </c>
      <c r="G49" s="19">
        <f>IFERROR(__xludf.DUMMYFUNCTION("SPLIT(A47, "" |"")"),45.0)</f>
        <v>45</v>
      </c>
      <c r="H49" s="19">
        <f>IFERROR(__xludf.DUMMYFUNCTION("""COMPUTED_VALUE"""),0.00217)</f>
        <v>0.00217</v>
      </c>
      <c r="I49" s="19">
        <f>IFERROR(__xludf.DUMMYFUNCTION("""COMPUTED_VALUE"""),9.78483)</f>
        <v>9.78483</v>
      </c>
      <c r="J49" s="19">
        <f>IFERROR(__xludf.DUMMYFUNCTION("""COMPUTED_VALUE"""),0.00232)</f>
        <v>0.00232</v>
      </c>
      <c r="K49" s="19">
        <f>IFERROR(__xludf.DUMMYFUNCTION("""COMPUTED_VALUE"""),0.03977)</f>
        <v>0.03977</v>
      </c>
      <c r="L49" s="19" t="str">
        <f>IFERROR(__xludf.DUMMYFUNCTION("""COMPUTED_VALUE"""),"-")</f>
        <v>-</v>
      </c>
      <c r="M49" s="19">
        <f>IFERROR(__xludf.DUMMYFUNCTION("""COMPUTED_VALUE"""),0.04002)</f>
        <v>0.04002</v>
      </c>
    </row>
    <row r="50">
      <c r="A50" s="12" t="s">
        <v>6140</v>
      </c>
      <c r="G50" s="19">
        <f>IFERROR(__xludf.DUMMYFUNCTION("SPLIT(A48, "" |"")"),46.0)</f>
        <v>46</v>
      </c>
      <c r="H50" s="19">
        <f>IFERROR(__xludf.DUMMYFUNCTION("""COMPUTED_VALUE"""),0.00217)</f>
        <v>0.00217</v>
      </c>
      <c r="I50" s="19">
        <f>IFERROR(__xludf.DUMMYFUNCTION("""COMPUTED_VALUE"""),15.86532)</f>
        <v>15.86532</v>
      </c>
      <c r="J50" s="19">
        <f>IFERROR(__xludf.DUMMYFUNCTION("""COMPUTED_VALUE"""),0.00299)</f>
        <v>0.00299</v>
      </c>
      <c r="K50" s="19">
        <f>IFERROR(__xludf.DUMMYFUNCTION("""COMPUTED_VALUE"""),0.04)</f>
        <v>0.04</v>
      </c>
      <c r="L50" s="19" t="str">
        <f>IFERROR(__xludf.DUMMYFUNCTION("""COMPUTED_VALUE"""),"-")</f>
        <v>-</v>
      </c>
      <c r="M50" s="19">
        <f>IFERROR(__xludf.DUMMYFUNCTION("""COMPUTED_VALUE"""),0.03987)</f>
        <v>0.03987</v>
      </c>
    </row>
    <row r="51">
      <c r="A51" s="12" t="s">
        <v>6141</v>
      </c>
      <c r="G51" s="19">
        <f>IFERROR(__xludf.DUMMYFUNCTION("SPLIT(A49, "" |"")"),47.0)</f>
        <v>47</v>
      </c>
      <c r="H51" s="19">
        <f>IFERROR(__xludf.DUMMYFUNCTION("""COMPUTED_VALUE"""),0.00215)</f>
        <v>0.00215</v>
      </c>
      <c r="I51" s="19">
        <f>IFERROR(__xludf.DUMMYFUNCTION("""COMPUTED_VALUE"""),25.72171)</f>
        <v>25.72171</v>
      </c>
      <c r="J51" s="19">
        <f>IFERROR(__xludf.DUMMYFUNCTION("""COMPUTED_VALUE"""),0.00302)</f>
        <v>0.00302</v>
      </c>
      <c r="K51" s="19">
        <f>IFERROR(__xludf.DUMMYFUNCTION("""COMPUTED_VALUE"""),0.03959)</f>
        <v>0.03959</v>
      </c>
      <c r="L51" s="19" t="str">
        <f>IFERROR(__xludf.DUMMYFUNCTION("""COMPUTED_VALUE"""),"-")</f>
        <v>-</v>
      </c>
      <c r="M51" s="19">
        <f>IFERROR(__xludf.DUMMYFUNCTION("""COMPUTED_VALUE"""),0.0398)</f>
        <v>0.0398</v>
      </c>
    </row>
    <row r="52">
      <c r="A52" s="12" t="s">
        <v>6142</v>
      </c>
      <c r="G52" s="19">
        <f>IFERROR(__xludf.DUMMYFUNCTION("SPLIT(A50, "" |"")"),48.0)</f>
        <v>48</v>
      </c>
      <c r="H52" s="19">
        <f>IFERROR(__xludf.DUMMYFUNCTION("""COMPUTED_VALUE"""),0.00196)</f>
        <v>0.00196</v>
      </c>
      <c r="I52" s="19">
        <f>IFERROR(__xludf.DUMMYFUNCTION("""COMPUTED_VALUE"""),41.19545)</f>
        <v>41.19545</v>
      </c>
      <c r="J52" s="19">
        <f>IFERROR(__xludf.DUMMYFUNCTION("""COMPUTED_VALUE"""),0.00291)</f>
        <v>0.00291</v>
      </c>
      <c r="K52" s="19">
        <f>IFERROR(__xludf.DUMMYFUNCTION("""COMPUTED_VALUE"""),0.04014)</f>
        <v>0.04014</v>
      </c>
      <c r="L52" s="19" t="str">
        <f>IFERROR(__xludf.DUMMYFUNCTION("""COMPUTED_VALUE"""),"-")</f>
        <v>-</v>
      </c>
      <c r="M52" s="19">
        <f>IFERROR(__xludf.DUMMYFUNCTION("""COMPUTED_VALUE"""),0.03997)</f>
        <v>0.03997</v>
      </c>
    </row>
    <row r="53">
      <c r="A53" s="12" t="s">
        <v>6143</v>
      </c>
      <c r="G53" s="19">
        <f>IFERROR(__xludf.DUMMYFUNCTION("SPLIT(A51, "" |"")"),49.0)</f>
        <v>49</v>
      </c>
      <c r="H53" s="19">
        <f>IFERROR(__xludf.DUMMYFUNCTION("""COMPUTED_VALUE"""),0.00202)</f>
        <v>0.00202</v>
      </c>
      <c r="I53" s="19" t="str">
        <f>IFERROR(__xludf.DUMMYFUNCTION("""COMPUTED_VALUE"""),"-")</f>
        <v>-</v>
      </c>
      <c r="J53" s="19">
        <f>IFERROR(__xludf.DUMMYFUNCTION("""COMPUTED_VALUE"""),0.00293)</f>
        <v>0.00293</v>
      </c>
      <c r="K53" s="19">
        <f>IFERROR(__xludf.DUMMYFUNCTION("""COMPUTED_VALUE"""),0.03989)</f>
        <v>0.03989</v>
      </c>
      <c r="L53" s="19" t="str">
        <f>IFERROR(__xludf.DUMMYFUNCTION("""COMPUTED_VALUE"""),"-")</f>
        <v>-</v>
      </c>
      <c r="M53" s="19">
        <f>IFERROR(__xludf.DUMMYFUNCTION("""COMPUTED_VALUE"""),0.03982)</f>
        <v>0.03982</v>
      </c>
    </row>
    <row r="54">
      <c r="A54" s="12" t="s">
        <v>6144</v>
      </c>
      <c r="G54" s="19">
        <f>IFERROR(__xludf.DUMMYFUNCTION("SPLIT(A52, "" |"")"),50.0)</f>
        <v>50</v>
      </c>
      <c r="H54" s="19">
        <f>IFERROR(__xludf.DUMMYFUNCTION("""COMPUTED_VALUE"""),0.00206)</f>
        <v>0.00206</v>
      </c>
      <c r="I54" s="19" t="str">
        <f>IFERROR(__xludf.DUMMYFUNCTION("""COMPUTED_VALUE"""),"-")</f>
        <v>-</v>
      </c>
      <c r="J54" s="19">
        <f>IFERROR(__xludf.DUMMYFUNCTION("""COMPUTED_VALUE"""),0.00199)</f>
        <v>0.00199</v>
      </c>
      <c r="K54" s="19">
        <f>IFERROR(__xludf.DUMMYFUNCTION("""COMPUTED_VALUE"""),0.03961)</f>
        <v>0.03961</v>
      </c>
      <c r="L54" s="19" t="str">
        <f>IFERROR(__xludf.DUMMYFUNCTION("""COMPUTED_VALUE"""),"-")</f>
        <v>-</v>
      </c>
      <c r="M54" s="19">
        <f>IFERROR(__xludf.DUMMYFUNCTION("""COMPUTED_VALUE"""),0.03994)</f>
        <v>0.03994</v>
      </c>
    </row>
    <row r="55">
      <c r="A55" s="12" t="s">
        <v>6145</v>
      </c>
      <c r="G55" s="19">
        <f>IFERROR(__xludf.DUMMYFUNCTION("SPLIT(A53, "" |"")"),51.0)</f>
        <v>51</v>
      </c>
      <c r="H55" s="19">
        <f>IFERROR(__xludf.DUMMYFUNCTION("""COMPUTED_VALUE"""),0.00223)</f>
        <v>0.00223</v>
      </c>
      <c r="I55" s="19" t="str">
        <f>IFERROR(__xludf.DUMMYFUNCTION("""COMPUTED_VALUE"""),"-")</f>
        <v>-</v>
      </c>
      <c r="J55" s="19">
        <f>IFERROR(__xludf.DUMMYFUNCTION("""COMPUTED_VALUE"""),0.00205)</f>
        <v>0.00205</v>
      </c>
      <c r="K55" s="19">
        <f>IFERROR(__xludf.DUMMYFUNCTION("""COMPUTED_VALUE"""),0.03914)</f>
        <v>0.03914</v>
      </c>
      <c r="L55" s="19" t="str">
        <f>IFERROR(__xludf.DUMMYFUNCTION("""COMPUTED_VALUE"""),"-")</f>
        <v>-</v>
      </c>
      <c r="M55" s="19">
        <f>IFERROR(__xludf.DUMMYFUNCTION("""COMPUTED_VALUE"""),0.03983)</f>
        <v>0.03983</v>
      </c>
    </row>
    <row r="56">
      <c r="A56" s="12" t="s">
        <v>6146</v>
      </c>
      <c r="G56" s="19">
        <f>IFERROR(__xludf.DUMMYFUNCTION("SPLIT(A54, "" |"")"),52.0)</f>
        <v>52</v>
      </c>
      <c r="H56" s="19">
        <f>IFERROR(__xludf.DUMMYFUNCTION("""COMPUTED_VALUE"""),0.00212)</f>
        <v>0.00212</v>
      </c>
      <c r="I56" s="19" t="str">
        <f>IFERROR(__xludf.DUMMYFUNCTION("""COMPUTED_VALUE"""),"-")</f>
        <v>-</v>
      </c>
      <c r="J56" s="19">
        <f>IFERROR(__xludf.DUMMYFUNCTION("""COMPUTED_VALUE"""),0.00182)</f>
        <v>0.00182</v>
      </c>
      <c r="K56" s="19">
        <f>IFERROR(__xludf.DUMMYFUNCTION("""COMPUTED_VALUE"""),0.04129)</f>
        <v>0.04129</v>
      </c>
      <c r="L56" s="19" t="str">
        <f>IFERROR(__xludf.DUMMYFUNCTION("""COMPUTED_VALUE"""),"-")</f>
        <v>-</v>
      </c>
      <c r="M56" s="19">
        <f>IFERROR(__xludf.DUMMYFUNCTION("""COMPUTED_VALUE"""),0.04004)</f>
        <v>0.04004</v>
      </c>
    </row>
    <row r="57">
      <c r="A57" s="12" t="s">
        <v>6147</v>
      </c>
      <c r="G57" s="19">
        <f>IFERROR(__xludf.DUMMYFUNCTION("SPLIT(A55, "" |"")"),53.0)</f>
        <v>53</v>
      </c>
      <c r="H57" s="19">
        <f>IFERROR(__xludf.DUMMYFUNCTION("""COMPUTED_VALUE"""),0.00215)</f>
        <v>0.00215</v>
      </c>
      <c r="I57" s="19" t="str">
        <f>IFERROR(__xludf.DUMMYFUNCTION("""COMPUTED_VALUE"""),"-")</f>
        <v>-</v>
      </c>
      <c r="J57" s="19">
        <f>IFERROR(__xludf.DUMMYFUNCTION("""COMPUTED_VALUE"""),0.00198)</f>
        <v>0.00198</v>
      </c>
      <c r="K57" s="19">
        <f>IFERROR(__xludf.DUMMYFUNCTION("""COMPUTED_VALUE"""),0.03974)</f>
        <v>0.03974</v>
      </c>
      <c r="L57" s="19" t="str">
        <f>IFERROR(__xludf.DUMMYFUNCTION("""COMPUTED_VALUE"""),"-")</f>
        <v>-</v>
      </c>
      <c r="M57" s="19">
        <f>IFERROR(__xludf.DUMMYFUNCTION("""COMPUTED_VALUE"""),0.03989)</f>
        <v>0.03989</v>
      </c>
    </row>
    <row r="58">
      <c r="A58" s="12" t="s">
        <v>6148</v>
      </c>
      <c r="G58" s="19">
        <f>IFERROR(__xludf.DUMMYFUNCTION("SPLIT(A56, "" |"")"),54.0)</f>
        <v>54</v>
      </c>
      <c r="H58" s="19">
        <f>IFERROR(__xludf.DUMMYFUNCTION("""COMPUTED_VALUE"""),0.00221)</f>
        <v>0.00221</v>
      </c>
      <c r="I58" s="19" t="str">
        <f>IFERROR(__xludf.DUMMYFUNCTION("""COMPUTED_VALUE"""),"-")</f>
        <v>-</v>
      </c>
      <c r="J58" s="19">
        <f>IFERROR(__xludf.DUMMYFUNCTION("""COMPUTED_VALUE"""),0.00198)</f>
        <v>0.00198</v>
      </c>
      <c r="K58" s="19">
        <f>IFERROR(__xludf.DUMMYFUNCTION("""COMPUTED_VALUE"""),0.03971)</f>
        <v>0.03971</v>
      </c>
      <c r="L58" s="19" t="str">
        <f>IFERROR(__xludf.DUMMYFUNCTION("""COMPUTED_VALUE"""),"-")</f>
        <v>-</v>
      </c>
      <c r="M58" s="19">
        <f>IFERROR(__xludf.DUMMYFUNCTION("""COMPUTED_VALUE"""),0.03901)</f>
        <v>0.03901</v>
      </c>
    </row>
    <row r="59">
      <c r="A59" s="12" t="s">
        <v>6149</v>
      </c>
      <c r="G59" s="19">
        <f>IFERROR(__xludf.DUMMYFUNCTION("SPLIT(A57, "" |"")"),55.0)</f>
        <v>55</v>
      </c>
      <c r="H59" s="19">
        <f>IFERROR(__xludf.DUMMYFUNCTION("""COMPUTED_VALUE"""),0.00206)</f>
        <v>0.00206</v>
      </c>
      <c r="I59" s="19" t="str">
        <f>IFERROR(__xludf.DUMMYFUNCTION("""COMPUTED_VALUE"""),"-")</f>
        <v>-</v>
      </c>
      <c r="J59" s="19">
        <f>IFERROR(__xludf.DUMMYFUNCTION("""COMPUTED_VALUE"""),0.00199)</f>
        <v>0.00199</v>
      </c>
      <c r="K59" s="19">
        <f>IFERROR(__xludf.DUMMYFUNCTION("""COMPUTED_VALUE"""),0.03978)</f>
        <v>0.03978</v>
      </c>
      <c r="L59" s="19" t="str">
        <f>IFERROR(__xludf.DUMMYFUNCTION("""COMPUTED_VALUE"""),"-")</f>
        <v>-</v>
      </c>
      <c r="M59" s="19">
        <f>IFERROR(__xludf.DUMMYFUNCTION("""COMPUTED_VALUE"""),0.03984)</f>
        <v>0.03984</v>
      </c>
    </row>
    <row r="60">
      <c r="A60" s="12" t="s">
        <v>6150</v>
      </c>
      <c r="G60" s="19">
        <f>IFERROR(__xludf.DUMMYFUNCTION("SPLIT(A58, "" |"")"),56.0)</f>
        <v>56</v>
      </c>
      <c r="H60" s="19">
        <f>IFERROR(__xludf.DUMMYFUNCTION("""COMPUTED_VALUE"""),0.00214)</f>
        <v>0.00214</v>
      </c>
      <c r="I60" s="19" t="str">
        <f>IFERROR(__xludf.DUMMYFUNCTION("""COMPUTED_VALUE"""),"-")</f>
        <v>-</v>
      </c>
      <c r="J60" s="19">
        <f>IFERROR(__xludf.DUMMYFUNCTION("""COMPUTED_VALUE"""),0.00201)</f>
        <v>0.00201</v>
      </c>
      <c r="K60" s="19">
        <f>IFERROR(__xludf.DUMMYFUNCTION("""COMPUTED_VALUE"""),0.03958)</f>
        <v>0.03958</v>
      </c>
      <c r="L60" s="19" t="str">
        <f>IFERROR(__xludf.DUMMYFUNCTION("""COMPUTED_VALUE"""),"-")</f>
        <v>-</v>
      </c>
      <c r="M60" s="19">
        <f>IFERROR(__xludf.DUMMYFUNCTION("""COMPUTED_VALUE"""),0.03935)</f>
        <v>0.03935</v>
      </c>
    </row>
    <row r="61">
      <c r="A61" s="12" t="s">
        <v>6151</v>
      </c>
      <c r="G61" s="19">
        <f>IFERROR(__xludf.DUMMYFUNCTION("SPLIT(A59, "" |"")"),57.0)</f>
        <v>57</v>
      </c>
      <c r="H61" s="19">
        <f>IFERROR(__xludf.DUMMYFUNCTION("""COMPUTED_VALUE"""),0.00216)</f>
        <v>0.00216</v>
      </c>
      <c r="I61" s="19" t="str">
        <f>IFERROR(__xludf.DUMMYFUNCTION("""COMPUTED_VALUE"""),"-")</f>
        <v>-</v>
      </c>
      <c r="J61" s="19">
        <f>IFERROR(__xludf.DUMMYFUNCTION("""COMPUTED_VALUE"""),0.00206)</f>
        <v>0.00206</v>
      </c>
      <c r="K61" s="19">
        <f>IFERROR(__xludf.DUMMYFUNCTION("""COMPUTED_VALUE"""),0.03978)</f>
        <v>0.03978</v>
      </c>
      <c r="L61" s="19" t="str">
        <f>IFERROR(__xludf.DUMMYFUNCTION("""COMPUTED_VALUE"""),"-")</f>
        <v>-</v>
      </c>
      <c r="M61" s="19">
        <f>IFERROR(__xludf.DUMMYFUNCTION("""COMPUTED_VALUE"""),0.03979)</f>
        <v>0.03979</v>
      </c>
    </row>
    <row r="62">
      <c r="A62" s="12" t="s">
        <v>6152</v>
      </c>
      <c r="G62" s="19">
        <f>IFERROR(__xludf.DUMMYFUNCTION("SPLIT(A60, "" |"")"),58.0)</f>
        <v>58</v>
      </c>
      <c r="H62" s="19">
        <f>IFERROR(__xludf.DUMMYFUNCTION("""COMPUTED_VALUE"""),0.00208)</f>
        <v>0.00208</v>
      </c>
      <c r="I62" s="19" t="str">
        <f>IFERROR(__xludf.DUMMYFUNCTION("""COMPUTED_VALUE"""),"-")</f>
        <v>-</v>
      </c>
      <c r="J62" s="19">
        <f>IFERROR(__xludf.DUMMYFUNCTION("""COMPUTED_VALUE"""),0.00201)</f>
        <v>0.00201</v>
      </c>
      <c r="K62" s="19">
        <f>IFERROR(__xludf.DUMMYFUNCTION("""COMPUTED_VALUE"""),0.03969)</f>
        <v>0.03969</v>
      </c>
      <c r="L62" s="19" t="str">
        <f>IFERROR(__xludf.DUMMYFUNCTION("""COMPUTED_VALUE"""),"-")</f>
        <v>-</v>
      </c>
      <c r="M62" s="19">
        <f>IFERROR(__xludf.DUMMYFUNCTION("""COMPUTED_VALUE"""),0.03918)</f>
        <v>0.03918</v>
      </c>
    </row>
    <row r="63">
      <c r="A63" s="12" t="s">
        <v>6153</v>
      </c>
      <c r="G63" s="19">
        <f>IFERROR(__xludf.DUMMYFUNCTION("SPLIT(A61, "" |"")"),59.0)</f>
        <v>59</v>
      </c>
      <c r="H63" s="19">
        <f>IFERROR(__xludf.DUMMYFUNCTION("""COMPUTED_VALUE"""),0.00197)</f>
        <v>0.00197</v>
      </c>
      <c r="I63" s="19" t="str">
        <f>IFERROR(__xludf.DUMMYFUNCTION("""COMPUTED_VALUE"""),"-")</f>
        <v>-</v>
      </c>
      <c r="J63" s="19">
        <f>IFERROR(__xludf.DUMMYFUNCTION("""COMPUTED_VALUE"""),0.00204)</f>
        <v>0.00204</v>
      </c>
      <c r="K63" s="19">
        <f>IFERROR(__xludf.DUMMYFUNCTION("""COMPUTED_VALUE"""),0.03574)</f>
        <v>0.03574</v>
      </c>
      <c r="L63" s="19" t="str">
        <f>IFERROR(__xludf.DUMMYFUNCTION("""COMPUTED_VALUE"""),"-")</f>
        <v>-</v>
      </c>
      <c r="M63" s="19">
        <f>IFERROR(__xludf.DUMMYFUNCTION("""COMPUTED_VALUE"""),0.03986)</f>
        <v>0.03986</v>
      </c>
    </row>
    <row r="64">
      <c r="A64" s="12" t="s">
        <v>6154</v>
      </c>
      <c r="G64" s="19">
        <f>IFERROR(__xludf.DUMMYFUNCTION("SPLIT(A62, "" |"")"),60.0)</f>
        <v>60</v>
      </c>
      <c r="H64" s="19">
        <f>IFERROR(__xludf.DUMMYFUNCTION("""COMPUTED_VALUE"""),0.00216)</f>
        <v>0.00216</v>
      </c>
      <c r="I64" s="19" t="str">
        <f>IFERROR(__xludf.DUMMYFUNCTION("""COMPUTED_VALUE"""),"-")</f>
        <v>-</v>
      </c>
      <c r="J64" s="19">
        <f>IFERROR(__xludf.DUMMYFUNCTION("""COMPUTED_VALUE"""),0.00203)</f>
        <v>0.00203</v>
      </c>
      <c r="K64" s="19">
        <f>IFERROR(__xludf.DUMMYFUNCTION("""COMPUTED_VALUE"""),0.03976)</f>
        <v>0.03976</v>
      </c>
      <c r="L64" s="19" t="str">
        <f>IFERROR(__xludf.DUMMYFUNCTION("""COMPUTED_VALUE"""),"-")</f>
        <v>-</v>
      </c>
      <c r="M64" s="19">
        <f>IFERROR(__xludf.DUMMYFUNCTION("""COMPUTED_VALUE"""),0.03985)</f>
        <v>0.03985</v>
      </c>
    </row>
    <row r="65">
      <c r="A65" s="12" t="s">
        <v>6155</v>
      </c>
      <c r="G65" s="19">
        <f>IFERROR(__xludf.DUMMYFUNCTION("SPLIT(A63, "" |"")"),61.0)</f>
        <v>61</v>
      </c>
      <c r="H65" s="19">
        <f>IFERROR(__xludf.DUMMYFUNCTION("""COMPUTED_VALUE"""),0.00216)</f>
        <v>0.00216</v>
      </c>
      <c r="I65" s="19" t="str">
        <f>IFERROR(__xludf.DUMMYFUNCTION("""COMPUTED_VALUE"""),"-")</f>
        <v>-</v>
      </c>
      <c r="J65" s="19">
        <f>IFERROR(__xludf.DUMMYFUNCTION("""COMPUTED_VALUE"""),0.00202)</f>
        <v>0.00202</v>
      </c>
      <c r="K65" s="19">
        <f>IFERROR(__xludf.DUMMYFUNCTION("""COMPUTED_VALUE"""),0.03571)</f>
        <v>0.03571</v>
      </c>
      <c r="L65" s="19" t="str">
        <f>IFERROR(__xludf.DUMMYFUNCTION("""COMPUTED_VALUE"""),"-")</f>
        <v>-</v>
      </c>
      <c r="M65" s="19">
        <f>IFERROR(__xludf.DUMMYFUNCTION("""COMPUTED_VALUE"""),0.03982)</f>
        <v>0.03982</v>
      </c>
    </row>
    <row r="66">
      <c r="A66" s="12" t="s">
        <v>6156</v>
      </c>
      <c r="G66" s="19">
        <f>IFERROR(__xludf.DUMMYFUNCTION("SPLIT(A64, "" |"")"),62.0)</f>
        <v>62</v>
      </c>
      <c r="H66" s="19">
        <f>IFERROR(__xludf.DUMMYFUNCTION("""COMPUTED_VALUE"""),0.00208)</f>
        <v>0.00208</v>
      </c>
      <c r="I66" s="19" t="str">
        <f>IFERROR(__xludf.DUMMYFUNCTION("""COMPUTED_VALUE"""),"-")</f>
        <v>-</v>
      </c>
      <c r="J66" s="19">
        <f>IFERROR(__xludf.DUMMYFUNCTION("""COMPUTED_VALUE"""),0.00198)</f>
        <v>0.00198</v>
      </c>
      <c r="K66" s="19">
        <f>IFERROR(__xludf.DUMMYFUNCTION("""COMPUTED_VALUE"""),0.03975)</f>
        <v>0.03975</v>
      </c>
      <c r="L66" s="19" t="str">
        <f>IFERROR(__xludf.DUMMYFUNCTION("""COMPUTED_VALUE"""),"-")</f>
        <v>-</v>
      </c>
      <c r="M66" s="19">
        <f>IFERROR(__xludf.DUMMYFUNCTION("""COMPUTED_VALUE"""),0.04068)</f>
        <v>0.04068</v>
      </c>
    </row>
    <row r="67">
      <c r="A67" s="12" t="s">
        <v>6157</v>
      </c>
      <c r="G67" s="19">
        <f>IFERROR(__xludf.DUMMYFUNCTION("SPLIT(A65, "" |"")"),63.0)</f>
        <v>63</v>
      </c>
      <c r="H67" s="19">
        <f>IFERROR(__xludf.DUMMYFUNCTION("""COMPUTED_VALUE"""),0.0021)</f>
        <v>0.0021</v>
      </c>
      <c r="I67" s="19" t="str">
        <f>IFERROR(__xludf.DUMMYFUNCTION("""COMPUTED_VALUE"""),"-")</f>
        <v>-</v>
      </c>
      <c r="J67" s="19">
        <f>IFERROR(__xludf.DUMMYFUNCTION("""COMPUTED_VALUE"""),0.00197)</f>
        <v>0.00197</v>
      </c>
      <c r="K67" s="19">
        <f>IFERROR(__xludf.DUMMYFUNCTION("""COMPUTED_VALUE"""),0.03802)</f>
        <v>0.03802</v>
      </c>
      <c r="L67" s="19" t="str">
        <f>IFERROR(__xludf.DUMMYFUNCTION("""COMPUTED_VALUE"""),"-")</f>
        <v>-</v>
      </c>
      <c r="M67" s="19">
        <f>IFERROR(__xludf.DUMMYFUNCTION("""COMPUTED_VALUE"""),0.03996)</f>
        <v>0.03996</v>
      </c>
    </row>
    <row r="68">
      <c r="A68" s="12" t="s">
        <v>6158</v>
      </c>
      <c r="G68" s="19">
        <f>IFERROR(__xludf.DUMMYFUNCTION("SPLIT(A66, "" |"")"),64.0)</f>
        <v>64</v>
      </c>
      <c r="H68" s="19">
        <f>IFERROR(__xludf.DUMMYFUNCTION("""COMPUTED_VALUE"""),0.00209)</f>
        <v>0.00209</v>
      </c>
      <c r="I68" s="19" t="str">
        <f>IFERROR(__xludf.DUMMYFUNCTION("""COMPUTED_VALUE"""),"-")</f>
        <v>-</v>
      </c>
      <c r="J68" s="19">
        <f>IFERROR(__xludf.DUMMYFUNCTION("""COMPUTED_VALUE"""),0.00197)</f>
        <v>0.00197</v>
      </c>
      <c r="K68" s="19">
        <f>IFERROR(__xludf.DUMMYFUNCTION("""COMPUTED_VALUE"""),0.03973)</f>
        <v>0.03973</v>
      </c>
      <c r="L68" s="19" t="str">
        <f>IFERROR(__xludf.DUMMYFUNCTION("""COMPUTED_VALUE"""),"-")</f>
        <v>-</v>
      </c>
      <c r="M68" s="19">
        <f>IFERROR(__xludf.DUMMYFUNCTION("""COMPUTED_VALUE"""),0.03986)</f>
        <v>0.03986</v>
      </c>
    </row>
    <row r="69">
      <c r="A69" s="12" t="s">
        <v>6159</v>
      </c>
      <c r="G69" s="19">
        <f>IFERROR(__xludf.DUMMYFUNCTION("SPLIT(A67, "" |"")"),65.0)</f>
        <v>65</v>
      </c>
      <c r="H69" s="19">
        <f>IFERROR(__xludf.DUMMYFUNCTION("""COMPUTED_VALUE"""),0.00229)</f>
        <v>0.00229</v>
      </c>
      <c r="I69" s="19" t="str">
        <f>IFERROR(__xludf.DUMMYFUNCTION("""COMPUTED_VALUE"""),"-")</f>
        <v>-</v>
      </c>
      <c r="J69" s="19">
        <f>IFERROR(__xludf.DUMMYFUNCTION("""COMPUTED_VALUE"""),0.002)</f>
        <v>0.002</v>
      </c>
      <c r="K69" s="19">
        <f>IFERROR(__xludf.DUMMYFUNCTION("""COMPUTED_VALUE"""),0.03972)</f>
        <v>0.03972</v>
      </c>
      <c r="L69" s="19" t="str">
        <f>IFERROR(__xludf.DUMMYFUNCTION("""COMPUTED_VALUE"""),"-")</f>
        <v>-</v>
      </c>
      <c r="M69" s="19">
        <f>IFERROR(__xludf.DUMMYFUNCTION("""COMPUTED_VALUE"""),0.04002)</f>
        <v>0.04002</v>
      </c>
    </row>
    <row r="70">
      <c r="A70" s="12" t="s">
        <v>6160</v>
      </c>
      <c r="G70" s="19">
        <f>IFERROR(__xludf.DUMMYFUNCTION("SPLIT(A68, "" |"")"),66.0)</f>
        <v>66</v>
      </c>
      <c r="H70" s="19">
        <f>IFERROR(__xludf.DUMMYFUNCTION("""COMPUTED_VALUE"""),0.0021)</f>
        <v>0.0021</v>
      </c>
      <c r="I70" s="19" t="str">
        <f>IFERROR(__xludf.DUMMYFUNCTION("""COMPUTED_VALUE"""),"-")</f>
        <v>-</v>
      </c>
      <c r="J70" s="19">
        <f>IFERROR(__xludf.DUMMYFUNCTION("""COMPUTED_VALUE"""),0.00188)</f>
        <v>0.00188</v>
      </c>
      <c r="K70" s="19">
        <f>IFERROR(__xludf.DUMMYFUNCTION("""COMPUTED_VALUE"""),0.03978)</f>
        <v>0.03978</v>
      </c>
      <c r="L70" s="19" t="str">
        <f>IFERROR(__xludf.DUMMYFUNCTION("""COMPUTED_VALUE"""),"-")</f>
        <v>-</v>
      </c>
      <c r="M70" s="19">
        <f>IFERROR(__xludf.DUMMYFUNCTION("""COMPUTED_VALUE"""),0.04049)</f>
        <v>0.04049</v>
      </c>
    </row>
    <row r="71">
      <c r="A71" s="12" t="s">
        <v>6161</v>
      </c>
      <c r="G71" s="19">
        <f>IFERROR(__xludf.DUMMYFUNCTION("SPLIT(A69, "" |"")"),67.0)</f>
        <v>67</v>
      </c>
      <c r="H71" s="19">
        <f>IFERROR(__xludf.DUMMYFUNCTION("""COMPUTED_VALUE"""),0.00217)</f>
        <v>0.00217</v>
      </c>
      <c r="I71" s="19" t="str">
        <f>IFERROR(__xludf.DUMMYFUNCTION("""COMPUTED_VALUE"""),"-")</f>
        <v>-</v>
      </c>
      <c r="J71" s="19">
        <f>IFERROR(__xludf.DUMMYFUNCTION("""COMPUTED_VALUE"""),0.00198)</f>
        <v>0.00198</v>
      </c>
      <c r="K71" s="19">
        <f>IFERROR(__xludf.DUMMYFUNCTION("""COMPUTED_VALUE"""),0.03973)</f>
        <v>0.03973</v>
      </c>
      <c r="L71" s="19" t="str">
        <f>IFERROR(__xludf.DUMMYFUNCTION("""COMPUTED_VALUE"""),"-")</f>
        <v>-</v>
      </c>
      <c r="M71" s="19">
        <f>IFERROR(__xludf.DUMMYFUNCTION("""COMPUTED_VALUE"""),0.04021)</f>
        <v>0.04021</v>
      </c>
    </row>
    <row r="72">
      <c r="A72" s="12" t="s">
        <v>6162</v>
      </c>
      <c r="G72" s="19">
        <f>IFERROR(__xludf.DUMMYFUNCTION("SPLIT(A70, "" |"")"),68.0)</f>
        <v>68</v>
      </c>
      <c r="H72" s="19">
        <f>IFERROR(__xludf.DUMMYFUNCTION("""COMPUTED_VALUE"""),0.00217)</f>
        <v>0.00217</v>
      </c>
      <c r="I72" s="19" t="str">
        <f>IFERROR(__xludf.DUMMYFUNCTION("""COMPUTED_VALUE"""),"-")</f>
        <v>-</v>
      </c>
      <c r="J72" s="19">
        <f>IFERROR(__xludf.DUMMYFUNCTION("""COMPUTED_VALUE"""),0.00204)</f>
        <v>0.00204</v>
      </c>
      <c r="K72" s="19">
        <f>IFERROR(__xludf.DUMMYFUNCTION("""COMPUTED_VALUE"""),0.03969)</f>
        <v>0.03969</v>
      </c>
      <c r="L72" s="19" t="str">
        <f>IFERROR(__xludf.DUMMYFUNCTION("""COMPUTED_VALUE"""),"-")</f>
        <v>-</v>
      </c>
      <c r="M72" s="19">
        <f>IFERROR(__xludf.DUMMYFUNCTION("""COMPUTED_VALUE"""),0.03765)</f>
        <v>0.03765</v>
      </c>
    </row>
    <row r="73">
      <c r="A73" s="12" t="s">
        <v>6163</v>
      </c>
      <c r="G73" s="19">
        <f>IFERROR(__xludf.DUMMYFUNCTION("SPLIT(A71, "" |"")"),69.0)</f>
        <v>69</v>
      </c>
      <c r="H73" s="19">
        <f>IFERROR(__xludf.DUMMYFUNCTION("""COMPUTED_VALUE"""),0.00216)</f>
        <v>0.00216</v>
      </c>
      <c r="I73" s="19" t="str">
        <f>IFERROR(__xludf.DUMMYFUNCTION("""COMPUTED_VALUE"""),"-")</f>
        <v>-</v>
      </c>
      <c r="J73" s="19">
        <f>IFERROR(__xludf.DUMMYFUNCTION("""COMPUTED_VALUE"""),0.00197)</f>
        <v>0.00197</v>
      </c>
      <c r="K73" s="19">
        <f>IFERROR(__xludf.DUMMYFUNCTION("""COMPUTED_VALUE"""),0.04113)</f>
        <v>0.04113</v>
      </c>
      <c r="L73" s="19" t="str">
        <f>IFERROR(__xludf.DUMMYFUNCTION("""COMPUTED_VALUE"""),"-")</f>
        <v>-</v>
      </c>
      <c r="M73" s="19">
        <f>IFERROR(__xludf.DUMMYFUNCTION("""COMPUTED_VALUE"""),0.04006)</f>
        <v>0.04006</v>
      </c>
    </row>
    <row r="74">
      <c r="A74" s="12" t="s">
        <v>6164</v>
      </c>
      <c r="G74" s="19">
        <f>IFERROR(__xludf.DUMMYFUNCTION("SPLIT(A72, "" |"")"),70.0)</f>
        <v>70</v>
      </c>
      <c r="H74" s="19">
        <f>IFERROR(__xludf.DUMMYFUNCTION("""COMPUTED_VALUE"""),0.00215)</f>
        <v>0.00215</v>
      </c>
      <c r="I74" s="19" t="str">
        <f>IFERROR(__xludf.DUMMYFUNCTION("""COMPUTED_VALUE"""),"-")</f>
        <v>-</v>
      </c>
      <c r="J74" s="19">
        <f>IFERROR(__xludf.DUMMYFUNCTION("""COMPUTED_VALUE"""),0.00198)</f>
        <v>0.00198</v>
      </c>
      <c r="K74" s="19">
        <f>IFERROR(__xludf.DUMMYFUNCTION("""COMPUTED_VALUE"""),0.03963)</f>
        <v>0.03963</v>
      </c>
      <c r="L74" s="19" t="str">
        <f>IFERROR(__xludf.DUMMYFUNCTION("""COMPUTED_VALUE"""),"-")</f>
        <v>-</v>
      </c>
      <c r="M74" s="19">
        <f>IFERROR(__xludf.DUMMYFUNCTION("""COMPUTED_VALUE"""),0.04035)</f>
        <v>0.04035</v>
      </c>
    </row>
    <row r="75">
      <c r="A75" s="12" t="s">
        <v>6165</v>
      </c>
      <c r="G75" s="19">
        <f>IFERROR(__xludf.DUMMYFUNCTION("SPLIT(A73, "" |"")"),71.0)</f>
        <v>71</v>
      </c>
      <c r="H75" s="19">
        <f>IFERROR(__xludf.DUMMYFUNCTION("""COMPUTED_VALUE"""),0.00216)</f>
        <v>0.00216</v>
      </c>
      <c r="I75" s="19" t="str">
        <f>IFERROR(__xludf.DUMMYFUNCTION("""COMPUTED_VALUE"""),"-")</f>
        <v>-</v>
      </c>
      <c r="J75" s="19">
        <f>IFERROR(__xludf.DUMMYFUNCTION("""COMPUTED_VALUE"""),0.00207)</f>
        <v>0.00207</v>
      </c>
      <c r="K75" s="19">
        <f>IFERROR(__xludf.DUMMYFUNCTION("""COMPUTED_VALUE"""),0.03976)</f>
        <v>0.03976</v>
      </c>
      <c r="L75" s="19" t="str">
        <f>IFERROR(__xludf.DUMMYFUNCTION("""COMPUTED_VALUE"""),"-")</f>
        <v>-</v>
      </c>
      <c r="M75" s="19">
        <f>IFERROR(__xludf.DUMMYFUNCTION("""COMPUTED_VALUE"""),0.03985)</f>
        <v>0.03985</v>
      </c>
    </row>
    <row r="76">
      <c r="A76" s="12" t="s">
        <v>6166</v>
      </c>
      <c r="G76" s="19">
        <f>IFERROR(__xludf.DUMMYFUNCTION("SPLIT(A74, "" |"")"),72.0)</f>
        <v>72</v>
      </c>
      <c r="H76" s="19">
        <f>IFERROR(__xludf.DUMMYFUNCTION("""COMPUTED_VALUE"""),0.00207)</f>
        <v>0.00207</v>
      </c>
      <c r="I76" s="19" t="str">
        <f>IFERROR(__xludf.DUMMYFUNCTION("""COMPUTED_VALUE"""),"-")</f>
        <v>-</v>
      </c>
      <c r="J76" s="19">
        <f>IFERROR(__xludf.DUMMYFUNCTION("""COMPUTED_VALUE"""),0.002)</f>
        <v>0.002</v>
      </c>
      <c r="K76" s="19">
        <f>IFERROR(__xludf.DUMMYFUNCTION("""COMPUTED_VALUE"""),0.0397)</f>
        <v>0.0397</v>
      </c>
      <c r="L76" s="19" t="str">
        <f>IFERROR(__xludf.DUMMYFUNCTION("""COMPUTED_VALUE"""),"-")</f>
        <v>-</v>
      </c>
      <c r="M76" s="19">
        <f>IFERROR(__xludf.DUMMYFUNCTION("""COMPUTED_VALUE"""),0.03988)</f>
        <v>0.03988</v>
      </c>
    </row>
    <row r="77">
      <c r="A77" s="12" t="s">
        <v>6167</v>
      </c>
      <c r="G77" s="19">
        <f>IFERROR(__xludf.DUMMYFUNCTION("SPLIT(A75, "" |"")"),73.0)</f>
        <v>73</v>
      </c>
      <c r="H77" s="19">
        <f>IFERROR(__xludf.DUMMYFUNCTION("""COMPUTED_VALUE"""),0.00209)</f>
        <v>0.00209</v>
      </c>
      <c r="I77" s="19" t="str">
        <f>IFERROR(__xludf.DUMMYFUNCTION("""COMPUTED_VALUE"""),"-")</f>
        <v>-</v>
      </c>
      <c r="J77" s="19">
        <f>IFERROR(__xludf.DUMMYFUNCTION("""COMPUTED_VALUE"""),0.00189)</f>
        <v>0.00189</v>
      </c>
      <c r="K77" s="19">
        <f>IFERROR(__xludf.DUMMYFUNCTION("""COMPUTED_VALUE"""),0.0386)</f>
        <v>0.0386</v>
      </c>
      <c r="L77" s="19" t="str">
        <f>IFERROR(__xludf.DUMMYFUNCTION("""COMPUTED_VALUE"""),"-")</f>
        <v>-</v>
      </c>
      <c r="M77" s="19">
        <f>IFERROR(__xludf.DUMMYFUNCTION("""COMPUTED_VALUE"""),0.03984)</f>
        <v>0.03984</v>
      </c>
    </row>
    <row r="78">
      <c r="A78" s="12" t="s">
        <v>6168</v>
      </c>
      <c r="G78" s="19">
        <f>IFERROR(__xludf.DUMMYFUNCTION("SPLIT(A76, "" |"")"),74.0)</f>
        <v>74</v>
      </c>
      <c r="H78" s="19">
        <f>IFERROR(__xludf.DUMMYFUNCTION("""COMPUTED_VALUE"""),0.00205)</f>
        <v>0.00205</v>
      </c>
      <c r="I78" s="19" t="str">
        <f>IFERROR(__xludf.DUMMYFUNCTION("""COMPUTED_VALUE"""),"-")</f>
        <v>-</v>
      </c>
      <c r="J78" s="19">
        <f>IFERROR(__xludf.DUMMYFUNCTION("""COMPUTED_VALUE"""),0.00198)</f>
        <v>0.00198</v>
      </c>
      <c r="K78" s="19">
        <f>IFERROR(__xludf.DUMMYFUNCTION("""COMPUTED_VALUE"""),0.03909)</f>
        <v>0.03909</v>
      </c>
      <c r="L78" s="19" t="str">
        <f>IFERROR(__xludf.DUMMYFUNCTION("""COMPUTED_VALUE"""),"-")</f>
        <v>-</v>
      </c>
      <c r="M78" s="19">
        <f>IFERROR(__xludf.DUMMYFUNCTION("""COMPUTED_VALUE"""),0.03622)</f>
        <v>0.03622</v>
      </c>
    </row>
    <row r="79">
      <c r="A79" s="12" t="s">
        <v>6169</v>
      </c>
      <c r="G79" s="19">
        <f>IFERROR(__xludf.DUMMYFUNCTION("SPLIT(A77, "" |"")"),75.0)</f>
        <v>75</v>
      </c>
      <c r="H79" s="19">
        <f>IFERROR(__xludf.DUMMYFUNCTION("""COMPUTED_VALUE"""),0.00219)</f>
        <v>0.00219</v>
      </c>
      <c r="I79" s="19" t="str">
        <f>IFERROR(__xludf.DUMMYFUNCTION("""COMPUTED_VALUE"""),"-")</f>
        <v>-</v>
      </c>
      <c r="J79" s="19">
        <f>IFERROR(__xludf.DUMMYFUNCTION("""COMPUTED_VALUE"""),0.00206)</f>
        <v>0.00206</v>
      </c>
      <c r="K79" s="19">
        <f>IFERROR(__xludf.DUMMYFUNCTION("""COMPUTED_VALUE"""),0.03906)</f>
        <v>0.03906</v>
      </c>
      <c r="L79" s="19" t="str">
        <f>IFERROR(__xludf.DUMMYFUNCTION("""COMPUTED_VALUE"""),"-")</f>
        <v>-</v>
      </c>
      <c r="M79" s="19">
        <f>IFERROR(__xludf.DUMMYFUNCTION("""COMPUTED_VALUE"""),0.03971)</f>
        <v>0.03971</v>
      </c>
    </row>
    <row r="80">
      <c r="A80" s="12" t="s">
        <v>6170</v>
      </c>
      <c r="G80" s="19">
        <f>IFERROR(__xludf.DUMMYFUNCTION("SPLIT(A78, "" |"")"),76.0)</f>
        <v>76</v>
      </c>
      <c r="H80" s="19">
        <f>IFERROR(__xludf.DUMMYFUNCTION("""COMPUTED_VALUE"""),0.00222)</f>
        <v>0.00222</v>
      </c>
      <c r="I80" s="19" t="str">
        <f>IFERROR(__xludf.DUMMYFUNCTION("""COMPUTED_VALUE"""),"-")</f>
        <v>-</v>
      </c>
      <c r="J80" s="19">
        <f>IFERROR(__xludf.DUMMYFUNCTION("""COMPUTED_VALUE"""),0.00204)</f>
        <v>0.00204</v>
      </c>
      <c r="K80" s="19">
        <f>IFERROR(__xludf.DUMMYFUNCTION("""COMPUTED_VALUE"""),0.03449)</f>
        <v>0.03449</v>
      </c>
      <c r="L80" s="19" t="str">
        <f>IFERROR(__xludf.DUMMYFUNCTION("""COMPUTED_VALUE"""),"-")</f>
        <v>-</v>
      </c>
      <c r="M80" s="19">
        <f>IFERROR(__xludf.DUMMYFUNCTION("""COMPUTED_VALUE"""),0.04002)</f>
        <v>0.04002</v>
      </c>
    </row>
    <row r="81">
      <c r="A81" s="12" t="s">
        <v>6171</v>
      </c>
      <c r="G81" s="19">
        <f>IFERROR(__xludf.DUMMYFUNCTION("SPLIT(A79, "" |"")"),77.0)</f>
        <v>77</v>
      </c>
      <c r="H81" s="19">
        <f>IFERROR(__xludf.DUMMYFUNCTION("""COMPUTED_VALUE"""),0.00215)</f>
        <v>0.00215</v>
      </c>
      <c r="I81" s="19" t="str">
        <f>IFERROR(__xludf.DUMMYFUNCTION("""COMPUTED_VALUE"""),"-")</f>
        <v>-</v>
      </c>
      <c r="J81" s="19">
        <f>IFERROR(__xludf.DUMMYFUNCTION("""COMPUTED_VALUE"""),0.00202)</f>
        <v>0.00202</v>
      </c>
      <c r="K81" s="19">
        <f>IFERROR(__xludf.DUMMYFUNCTION("""COMPUTED_VALUE"""),0.03967)</f>
        <v>0.03967</v>
      </c>
      <c r="L81" s="19" t="str">
        <f>IFERROR(__xludf.DUMMYFUNCTION("""COMPUTED_VALUE"""),"-")</f>
        <v>-</v>
      </c>
      <c r="M81" s="19">
        <f>IFERROR(__xludf.DUMMYFUNCTION("""COMPUTED_VALUE"""),0.04014)</f>
        <v>0.04014</v>
      </c>
    </row>
    <row r="82">
      <c r="A82" s="12" t="s">
        <v>6172</v>
      </c>
      <c r="G82" s="19">
        <f>IFERROR(__xludf.DUMMYFUNCTION("SPLIT(A80, "" |"")"),78.0)</f>
        <v>78</v>
      </c>
      <c r="H82" s="19">
        <f>IFERROR(__xludf.DUMMYFUNCTION("""COMPUTED_VALUE"""),0.00222)</f>
        <v>0.00222</v>
      </c>
      <c r="I82" s="19" t="str">
        <f>IFERROR(__xludf.DUMMYFUNCTION("""COMPUTED_VALUE"""),"-")</f>
        <v>-</v>
      </c>
      <c r="J82" s="19">
        <f>IFERROR(__xludf.DUMMYFUNCTION("""COMPUTED_VALUE"""),0.00191)</f>
        <v>0.00191</v>
      </c>
      <c r="K82" s="19">
        <f>IFERROR(__xludf.DUMMYFUNCTION("""COMPUTED_VALUE"""),0.03813)</f>
        <v>0.03813</v>
      </c>
      <c r="L82" s="19" t="str">
        <f>IFERROR(__xludf.DUMMYFUNCTION("""COMPUTED_VALUE"""),"-")</f>
        <v>-</v>
      </c>
      <c r="M82" s="19">
        <f>IFERROR(__xludf.DUMMYFUNCTION("""COMPUTED_VALUE"""),0.04021)</f>
        <v>0.04021</v>
      </c>
    </row>
    <row r="83">
      <c r="A83" s="12" t="s">
        <v>6173</v>
      </c>
      <c r="G83" s="19">
        <f>IFERROR(__xludf.DUMMYFUNCTION("SPLIT(A81, "" |"")"),79.0)</f>
        <v>79</v>
      </c>
      <c r="H83" s="19">
        <f>IFERROR(__xludf.DUMMYFUNCTION("""COMPUTED_VALUE"""),0.00224)</f>
        <v>0.00224</v>
      </c>
      <c r="I83" s="19" t="str">
        <f>IFERROR(__xludf.DUMMYFUNCTION("""COMPUTED_VALUE"""),"-")</f>
        <v>-</v>
      </c>
      <c r="J83" s="19">
        <f>IFERROR(__xludf.DUMMYFUNCTION("""COMPUTED_VALUE"""),0.002)</f>
        <v>0.002</v>
      </c>
      <c r="K83" s="19">
        <f>IFERROR(__xludf.DUMMYFUNCTION("""COMPUTED_VALUE"""),0.0397)</f>
        <v>0.0397</v>
      </c>
      <c r="L83" s="19" t="str">
        <f>IFERROR(__xludf.DUMMYFUNCTION("""COMPUTED_VALUE"""),"-")</f>
        <v>-</v>
      </c>
      <c r="M83" s="19">
        <f>IFERROR(__xludf.DUMMYFUNCTION("""COMPUTED_VALUE"""),0.04006)</f>
        <v>0.04006</v>
      </c>
    </row>
    <row r="84">
      <c r="A84" s="12" t="s">
        <v>6174</v>
      </c>
      <c r="G84" s="19">
        <f>IFERROR(__xludf.DUMMYFUNCTION("SPLIT(A82, "" |"")"),80.0)</f>
        <v>80</v>
      </c>
      <c r="H84" s="19">
        <f>IFERROR(__xludf.DUMMYFUNCTION("""COMPUTED_VALUE"""),0.00221)</f>
        <v>0.00221</v>
      </c>
      <c r="I84" s="19" t="str">
        <f>IFERROR(__xludf.DUMMYFUNCTION("""COMPUTED_VALUE"""),"-")</f>
        <v>-</v>
      </c>
      <c r="J84" s="19">
        <f>IFERROR(__xludf.DUMMYFUNCTION("""COMPUTED_VALUE"""),0.00201)</f>
        <v>0.00201</v>
      </c>
      <c r="K84" s="19">
        <f>IFERROR(__xludf.DUMMYFUNCTION("""COMPUTED_VALUE"""),0.03971)</f>
        <v>0.03971</v>
      </c>
      <c r="L84" s="19" t="str">
        <f>IFERROR(__xludf.DUMMYFUNCTION("""COMPUTED_VALUE"""),"-")</f>
        <v>-</v>
      </c>
      <c r="M84" s="19">
        <f>IFERROR(__xludf.DUMMYFUNCTION("""COMPUTED_VALUE"""),0.04002)</f>
        <v>0.04002</v>
      </c>
    </row>
    <row r="85">
      <c r="A85" s="12" t="s">
        <v>6175</v>
      </c>
      <c r="G85" s="19">
        <f>IFERROR(__xludf.DUMMYFUNCTION("SPLIT(A83, "" |"")"),81.0)</f>
        <v>81</v>
      </c>
      <c r="H85" s="19">
        <f>IFERROR(__xludf.DUMMYFUNCTION("""COMPUTED_VALUE"""),0.00215)</f>
        <v>0.00215</v>
      </c>
      <c r="I85" s="19" t="str">
        <f>IFERROR(__xludf.DUMMYFUNCTION("""COMPUTED_VALUE"""),"-")</f>
        <v>-</v>
      </c>
      <c r="J85" s="19">
        <f>IFERROR(__xludf.DUMMYFUNCTION("""COMPUTED_VALUE"""),0.002)</f>
        <v>0.002</v>
      </c>
      <c r="K85" s="19">
        <f>IFERROR(__xludf.DUMMYFUNCTION("""COMPUTED_VALUE"""),0.03781)</f>
        <v>0.03781</v>
      </c>
      <c r="L85" s="19" t="str">
        <f>IFERROR(__xludf.DUMMYFUNCTION("""COMPUTED_VALUE"""),"-")</f>
        <v>-</v>
      </c>
      <c r="M85" s="19">
        <f>IFERROR(__xludf.DUMMYFUNCTION("""COMPUTED_VALUE"""),0.0407)</f>
        <v>0.0407</v>
      </c>
    </row>
    <row r="86">
      <c r="A86" s="12" t="s">
        <v>6176</v>
      </c>
      <c r="G86" s="19">
        <f>IFERROR(__xludf.DUMMYFUNCTION("SPLIT(A84, "" |"")"),82.0)</f>
        <v>82</v>
      </c>
      <c r="H86" s="19">
        <f>IFERROR(__xludf.DUMMYFUNCTION("""COMPUTED_VALUE"""),0.00222)</f>
        <v>0.00222</v>
      </c>
      <c r="I86" s="19" t="str">
        <f>IFERROR(__xludf.DUMMYFUNCTION("""COMPUTED_VALUE"""),"-")</f>
        <v>-</v>
      </c>
      <c r="J86" s="19">
        <f>IFERROR(__xludf.DUMMYFUNCTION("""COMPUTED_VALUE"""),0.00206)</f>
        <v>0.00206</v>
      </c>
      <c r="K86" s="19">
        <f>IFERROR(__xludf.DUMMYFUNCTION("""COMPUTED_VALUE"""),0.03728)</f>
        <v>0.03728</v>
      </c>
      <c r="L86" s="19" t="str">
        <f>IFERROR(__xludf.DUMMYFUNCTION("""COMPUTED_VALUE"""),"-")</f>
        <v>-</v>
      </c>
      <c r="M86" s="19">
        <f>IFERROR(__xludf.DUMMYFUNCTION("""COMPUTED_VALUE"""),0.03729)</f>
        <v>0.03729</v>
      </c>
    </row>
    <row r="87">
      <c r="A87" s="12" t="s">
        <v>6177</v>
      </c>
      <c r="G87" s="19">
        <f>IFERROR(__xludf.DUMMYFUNCTION("SPLIT(A85, "" |"")"),83.0)</f>
        <v>83</v>
      </c>
      <c r="H87" s="19">
        <f>IFERROR(__xludf.DUMMYFUNCTION("""COMPUTED_VALUE"""),0.00221)</f>
        <v>0.00221</v>
      </c>
      <c r="I87" s="19" t="str">
        <f>IFERROR(__xludf.DUMMYFUNCTION("""COMPUTED_VALUE"""),"-")</f>
        <v>-</v>
      </c>
      <c r="J87" s="19">
        <f>IFERROR(__xludf.DUMMYFUNCTION("""COMPUTED_VALUE"""),0.0018)</f>
        <v>0.0018</v>
      </c>
      <c r="K87" s="19">
        <f>IFERROR(__xludf.DUMMYFUNCTION("""COMPUTED_VALUE"""),0.03881)</f>
        <v>0.03881</v>
      </c>
      <c r="L87" s="19" t="str">
        <f>IFERROR(__xludf.DUMMYFUNCTION("""COMPUTED_VALUE"""),"-")</f>
        <v>-</v>
      </c>
      <c r="M87" s="19">
        <f>IFERROR(__xludf.DUMMYFUNCTION("""COMPUTED_VALUE"""),0.0362)</f>
        <v>0.0362</v>
      </c>
    </row>
    <row r="88">
      <c r="A88" s="12" t="s">
        <v>6178</v>
      </c>
      <c r="G88" s="19">
        <f>IFERROR(__xludf.DUMMYFUNCTION("SPLIT(A86, "" |"")"),84.0)</f>
        <v>84</v>
      </c>
      <c r="H88" s="19">
        <f>IFERROR(__xludf.DUMMYFUNCTION("""COMPUTED_VALUE"""),0.00213)</f>
        <v>0.00213</v>
      </c>
      <c r="I88" s="19" t="str">
        <f>IFERROR(__xludf.DUMMYFUNCTION("""COMPUTED_VALUE"""),"-")</f>
        <v>-</v>
      </c>
      <c r="J88" s="19">
        <f>IFERROR(__xludf.DUMMYFUNCTION("""COMPUTED_VALUE"""),0.00189)</f>
        <v>0.00189</v>
      </c>
      <c r="K88" s="19">
        <f>IFERROR(__xludf.DUMMYFUNCTION("""COMPUTED_VALUE"""),0.03815)</f>
        <v>0.03815</v>
      </c>
      <c r="L88" s="19" t="str">
        <f>IFERROR(__xludf.DUMMYFUNCTION("""COMPUTED_VALUE"""),"-")</f>
        <v>-</v>
      </c>
      <c r="M88" s="19">
        <f>IFERROR(__xludf.DUMMYFUNCTION("""COMPUTED_VALUE"""),0.03692)</f>
        <v>0.03692</v>
      </c>
    </row>
    <row r="89">
      <c r="A89" s="12" t="s">
        <v>6179</v>
      </c>
      <c r="G89" s="19">
        <f>IFERROR(__xludf.DUMMYFUNCTION("SPLIT(A87, "" |"")"),85.0)</f>
        <v>85</v>
      </c>
      <c r="H89" s="19">
        <f>IFERROR(__xludf.DUMMYFUNCTION("""COMPUTED_VALUE"""),0.00219)</f>
        <v>0.00219</v>
      </c>
      <c r="I89" s="19" t="str">
        <f>IFERROR(__xludf.DUMMYFUNCTION("""COMPUTED_VALUE"""),"-")</f>
        <v>-</v>
      </c>
      <c r="J89" s="19">
        <f>IFERROR(__xludf.DUMMYFUNCTION("""COMPUTED_VALUE"""),0.00205)</f>
        <v>0.00205</v>
      </c>
      <c r="K89" s="19">
        <f>IFERROR(__xludf.DUMMYFUNCTION("""COMPUTED_VALUE"""),0.03803)</f>
        <v>0.03803</v>
      </c>
      <c r="L89" s="19" t="str">
        <f>IFERROR(__xludf.DUMMYFUNCTION("""COMPUTED_VALUE"""),"-")</f>
        <v>-</v>
      </c>
      <c r="M89" s="19">
        <f>IFERROR(__xludf.DUMMYFUNCTION("""COMPUTED_VALUE"""),0.04001)</f>
        <v>0.04001</v>
      </c>
    </row>
    <row r="90">
      <c r="A90" s="12" t="s">
        <v>6180</v>
      </c>
      <c r="G90" s="19">
        <f>IFERROR(__xludf.DUMMYFUNCTION("SPLIT(A88, "" |"")"),86.0)</f>
        <v>86</v>
      </c>
      <c r="H90" s="19">
        <f>IFERROR(__xludf.DUMMYFUNCTION("""COMPUTED_VALUE"""),0.0027)</f>
        <v>0.0027</v>
      </c>
      <c r="I90" s="19" t="str">
        <f>IFERROR(__xludf.DUMMYFUNCTION("""COMPUTED_VALUE"""),"-")</f>
        <v>-</v>
      </c>
      <c r="J90" s="19">
        <f>IFERROR(__xludf.DUMMYFUNCTION("""COMPUTED_VALUE"""),0.00219)</f>
        <v>0.00219</v>
      </c>
      <c r="K90" s="19">
        <f>IFERROR(__xludf.DUMMYFUNCTION("""COMPUTED_VALUE"""),0.03848)</f>
        <v>0.03848</v>
      </c>
      <c r="L90" s="19" t="str">
        <f>IFERROR(__xludf.DUMMYFUNCTION("""COMPUTED_VALUE"""),"-")</f>
        <v>-</v>
      </c>
      <c r="M90" s="19">
        <f>IFERROR(__xludf.DUMMYFUNCTION("""COMPUTED_VALUE"""),0.04037)</f>
        <v>0.04037</v>
      </c>
    </row>
    <row r="91">
      <c r="A91" s="12" t="s">
        <v>6181</v>
      </c>
      <c r="G91" s="19">
        <f>IFERROR(__xludf.DUMMYFUNCTION("SPLIT(A89, "" |"")"),87.0)</f>
        <v>87</v>
      </c>
      <c r="H91" s="19">
        <f>IFERROR(__xludf.DUMMYFUNCTION("""COMPUTED_VALUE"""),0.00223)</f>
        <v>0.00223</v>
      </c>
      <c r="I91" s="19" t="str">
        <f>IFERROR(__xludf.DUMMYFUNCTION("""COMPUTED_VALUE"""),"-")</f>
        <v>-</v>
      </c>
      <c r="J91" s="19">
        <f>IFERROR(__xludf.DUMMYFUNCTION("""COMPUTED_VALUE"""),0.00204)</f>
        <v>0.00204</v>
      </c>
      <c r="K91" s="19">
        <f>IFERROR(__xludf.DUMMYFUNCTION("""COMPUTED_VALUE"""),0.03791)</f>
        <v>0.03791</v>
      </c>
      <c r="L91" s="19" t="str">
        <f>IFERROR(__xludf.DUMMYFUNCTION("""COMPUTED_VALUE"""),"-")</f>
        <v>-</v>
      </c>
      <c r="M91" s="19">
        <f>IFERROR(__xludf.DUMMYFUNCTION("""COMPUTED_VALUE"""),0.04031)</f>
        <v>0.04031</v>
      </c>
    </row>
    <row r="92">
      <c r="A92" s="12" t="s">
        <v>6182</v>
      </c>
      <c r="G92" s="19">
        <f>IFERROR(__xludf.DUMMYFUNCTION("SPLIT(A90, "" |"")"),88.0)</f>
        <v>88</v>
      </c>
      <c r="H92" s="19">
        <f>IFERROR(__xludf.DUMMYFUNCTION("""COMPUTED_VALUE"""),0.00214)</f>
        <v>0.00214</v>
      </c>
      <c r="I92" s="19" t="str">
        <f>IFERROR(__xludf.DUMMYFUNCTION("""COMPUTED_VALUE"""),"-")</f>
        <v>-</v>
      </c>
      <c r="J92" s="19">
        <f>IFERROR(__xludf.DUMMYFUNCTION("""COMPUTED_VALUE"""),0.00187)</f>
        <v>0.00187</v>
      </c>
      <c r="K92" s="19">
        <f>IFERROR(__xludf.DUMMYFUNCTION("""COMPUTED_VALUE"""),0.03969)</f>
        <v>0.03969</v>
      </c>
      <c r="L92" s="19" t="str">
        <f>IFERROR(__xludf.DUMMYFUNCTION("""COMPUTED_VALUE"""),"-")</f>
        <v>-</v>
      </c>
      <c r="M92" s="19">
        <f>IFERROR(__xludf.DUMMYFUNCTION("""COMPUTED_VALUE"""),0.03626)</f>
        <v>0.03626</v>
      </c>
    </row>
    <row r="93">
      <c r="A93" s="12" t="s">
        <v>6183</v>
      </c>
      <c r="G93" s="19">
        <f>IFERROR(__xludf.DUMMYFUNCTION("SPLIT(A91, "" |"")"),89.0)</f>
        <v>89</v>
      </c>
      <c r="H93" s="19">
        <f>IFERROR(__xludf.DUMMYFUNCTION("""COMPUTED_VALUE"""),0.00228)</f>
        <v>0.00228</v>
      </c>
      <c r="I93" s="19" t="str">
        <f>IFERROR(__xludf.DUMMYFUNCTION("""COMPUTED_VALUE"""),"-")</f>
        <v>-</v>
      </c>
      <c r="J93" s="19">
        <f>IFERROR(__xludf.DUMMYFUNCTION("""COMPUTED_VALUE"""),0.00206)</f>
        <v>0.00206</v>
      </c>
      <c r="K93" s="19">
        <f>IFERROR(__xludf.DUMMYFUNCTION("""COMPUTED_VALUE"""),0.03724)</f>
        <v>0.03724</v>
      </c>
      <c r="L93" s="19" t="str">
        <f>IFERROR(__xludf.DUMMYFUNCTION("""COMPUTED_VALUE"""),"-")</f>
        <v>-</v>
      </c>
      <c r="M93" s="19">
        <f>IFERROR(__xludf.DUMMYFUNCTION("""COMPUTED_VALUE"""),0.0405)</f>
        <v>0.0405</v>
      </c>
    </row>
    <row r="94">
      <c r="A94" s="12" t="s">
        <v>6184</v>
      </c>
      <c r="G94" s="19">
        <f>IFERROR(__xludf.DUMMYFUNCTION("SPLIT(A92, "" |"")"),90.0)</f>
        <v>90</v>
      </c>
      <c r="H94" s="19">
        <f>IFERROR(__xludf.DUMMYFUNCTION("""COMPUTED_VALUE"""),0.00207)</f>
        <v>0.00207</v>
      </c>
      <c r="I94" s="19" t="str">
        <f>IFERROR(__xludf.DUMMYFUNCTION("""COMPUTED_VALUE"""),"-")</f>
        <v>-</v>
      </c>
      <c r="J94" s="19">
        <f>IFERROR(__xludf.DUMMYFUNCTION("""COMPUTED_VALUE"""),0.00188)</f>
        <v>0.00188</v>
      </c>
      <c r="K94" s="19">
        <f>IFERROR(__xludf.DUMMYFUNCTION("""COMPUTED_VALUE"""),0.0397)</f>
        <v>0.0397</v>
      </c>
      <c r="L94" s="19" t="str">
        <f>IFERROR(__xludf.DUMMYFUNCTION("""COMPUTED_VALUE"""),"-")</f>
        <v>-</v>
      </c>
      <c r="M94" s="19">
        <f>IFERROR(__xludf.DUMMYFUNCTION("""COMPUTED_VALUE"""),0.03978)</f>
        <v>0.03978</v>
      </c>
    </row>
    <row r="95">
      <c r="A95" s="12" t="s">
        <v>6185</v>
      </c>
      <c r="G95" s="19">
        <f>IFERROR(__xludf.DUMMYFUNCTION("SPLIT(A93, "" |"")"),91.0)</f>
        <v>91</v>
      </c>
      <c r="H95" s="19">
        <f>IFERROR(__xludf.DUMMYFUNCTION("""COMPUTED_VALUE"""),0.00211)</f>
        <v>0.00211</v>
      </c>
      <c r="I95" s="19" t="str">
        <f>IFERROR(__xludf.DUMMYFUNCTION("""COMPUTED_VALUE"""),"-")</f>
        <v>-</v>
      </c>
      <c r="J95" s="19">
        <f>IFERROR(__xludf.DUMMYFUNCTION("""COMPUTED_VALUE"""),0.002)</f>
        <v>0.002</v>
      </c>
      <c r="K95" s="19">
        <f>IFERROR(__xludf.DUMMYFUNCTION("""COMPUTED_VALUE"""),0.03968)</f>
        <v>0.03968</v>
      </c>
      <c r="L95" s="19" t="str">
        <f>IFERROR(__xludf.DUMMYFUNCTION("""COMPUTED_VALUE"""),"-")</f>
        <v>-</v>
      </c>
      <c r="M95" s="19">
        <f>IFERROR(__xludf.DUMMYFUNCTION("""COMPUTED_VALUE"""),0.03973)</f>
        <v>0.03973</v>
      </c>
    </row>
    <row r="96">
      <c r="A96" s="12" t="s">
        <v>6186</v>
      </c>
      <c r="G96" s="19">
        <f>IFERROR(__xludf.DUMMYFUNCTION("SPLIT(A94, "" |"")"),92.0)</f>
        <v>92</v>
      </c>
      <c r="H96" s="19">
        <f>IFERROR(__xludf.DUMMYFUNCTION("""COMPUTED_VALUE"""),0.00221)</f>
        <v>0.00221</v>
      </c>
      <c r="I96" s="19" t="str">
        <f>IFERROR(__xludf.DUMMYFUNCTION("""COMPUTED_VALUE"""),"-")</f>
        <v>-</v>
      </c>
      <c r="J96" s="19">
        <f>IFERROR(__xludf.DUMMYFUNCTION("""COMPUTED_VALUE"""),0.00208)</f>
        <v>0.00208</v>
      </c>
      <c r="K96" s="19">
        <f>IFERROR(__xludf.DUMMYFUNCTION("""COMPUTED_VALUE"""),0.03964)</f>
        <v>0.03964</v>
      </c>
      <c r="L96" s="19" t="str">
        <f>IFERROR(__xludf.DUMMYFUNCTION("""COMPUTED_VALUE"""),"-")</f>
        <v>-</v>
      </c>
      <c r="M96" s="19">
        <f>IFERROR(__xludf.DUMMYFUNCTION("""COMPUTED_VALUE"""),0.04035)</f>
        <v>0.04035</v>
      </c>
    </row>
    <row r="97">
      <c r="A97" s="12" t="s">
        <v>6187</v>
      </c>
      <c r="G97" s="19">
        <f>IFERROR(__xludf.DUMMYFUNCTION("SPLIT(A95, "" |"")"),93.0)</f>
        <v>93</v>
      </c>
      <c r="H97" s="19">
        <f>IFERROR(__xludf.DUMMYFUNCTION("""COMPUTED_VALUE"""),0.00215)</f>
        <v>0.00215</v>
      </c>
      <c r="I97" s="19" t="str">
        <f>IFERROR(__xludf.DUMMYFUNCTION("""COMPUTED_VALUE"""),"-")</f>
        <v>-</v>
      </c>
      <c r="J97" s="19">
        <f>IFERROR(__xludf.DUMMYFUNCTION("""COMPUTED_VALUE"""),0.002)</f>
        <v>0.002</v>
      </c>
      <c r="K97" s="19">
        <f>IFERROR(__xludf.DUMMYFUNCTION("""COMPUTED_VALUE"""),0.03965)</f>
        <v>0.03965</v>
      </c>
      <c r="L97" s="19" t="str">
        <f>IFERROR(__xludf.DUMMYFUNCTION("""COMPUTED_VALUE"""),"-")</f>
        <v>-</v>
      </c>
      <c r="M97" s="19">
        <f>IFERROR(__xludf.DUMMYFUNCTION("""COMPUTED_VALUE"""),0.03927)</f>
        <v>0.03927</v>
      </c>
    </row>
    <row r="98">
      <c r="A98" s="12" t="s">
        <v>6188</v>
      </c>
      <c r="G98" s="19">
        <f>IFERROR(__xludf.DUMMYFUNCTION("SPLIT(A96, "" |"")"),94.0)</f>
        <v>94</v>
      </c>
      <c r="H98" s="19">
        <f>IFERROR(__xludf.DUMMYFUNCTION("""COMPUTED_VALUE"""),0.00217)</f>
        <v>0.00217</v>
      </c>
      <c r="I98" s="19" t="str">
        <f>IFERROR(__xludf.DUMMYFUNCTION("""COMPUTED_VALUE"""),"-")</f>
        <v>-</v>
      </c>
      <c r="J98" s="19">
        <f>IFERROR(__xludf.DUMMYFUNCTION("""COMPUTED_VALUE"""),0.00185)</f>
        <v>0.00185</v>
      </c>
      <c r="K98" s="19">
        <f>IFERROR(__xludf.DUMMYFUNCTION("""COMPUTED_VALUE"""),0.04033)</f>
        <v>0.04033</v>
      </c>
      <c r="L98" s="19" t="str">
        <f>IFERROR(__xludf.DUMMYFUNCTION("""COMPUTED_VALUE"""),"-")</f>
        <v>-</v>
      </c>
      <c r="M98" s="19">
        <f>IFERROR(__xludf.DUMMYFUNCTION("""COMPUTED_VALUE"""),0.03481)</f>
        <v>0.03481</v>
      </c>
    </row>
    <row r="99">
      <c r="A99" s="12" t="s">
        <v>6189</v>
      </c>
      <c r="G99" s="19">
        <f>IFERROR(__xludf.DUMMYFUNCTION("SPLIT(A97, "" |"")"),95.0)</f>
        <v>95</v>
      </c>
      <c r="H99" s="19">
        <f>IFERROR(__xludf.DUMMYFUNCTION("""COMPUTED_VALUE"""),0.00219)</f>
        <v>0.00219</v>
      </c>
      <c r="I99" s="19" t="str">
        <f>IFERROR(__xludf.DUMMYFUNCTION("""COMPUTED_VALUE"""),"-")</f>
        <v>-</v>
      </c>
      <c r="J99" s="19">
        <f>IFERROR(__xludf.DUMMYFUNCTION("""COMPUTED_VALUE"""),0.00198)</f>
        <v>0.00198</v>
      </c>
      <c r="K99" s="19">
        <f>IFERROR(__xludf.DUMMYFUNCTION("""COMPUTED_VALUE"""),0.0397)</f>
        <v>0.0397</v>
      </c>
      <c r="L99" s="19" t="str">
        <f>IFERROR(__xludf.DUMMYFUNCTION("""COMPUTED_VALUE"""),"-")</f>
        <v>-</v>
      </c>
      <c r="M99" s="19">
        <f>IFERROR(__xludf.DUMMYFUNCTION("""COMPUTED_VALUE"""),0.04045)</f>
        <v>0.04045</v>
      </c>
    </row>
    <row r="100">
      <c r="A100" s="12" t="s">
        <v>6190</v>
      </c>
      <c r="G100" s="19">
        <f>IFERROR(__xludf.DUMMYFUNCTION("SPLIT(A98, "" |"")"),96.0)</f>
        <v>96</v>
      </c>
      <c r="H100" s="19">
        <f>IFERROR(__xludf.DUMMYFUNCTION("""COMPUTED_VALUE"""),0.0023)</f>
        <v>0.0023</v>
      </c>
      <c r="I100" s="19" t="str">
        <f>IFERROR(__xludf.DUMMYFUNCTION("""COMPUTED_VALUE"""),"-")</f>
        <v>-</v>
      </c>
      <c r="J100" s="19">
        <f>IFERROR(__xludf.DUMMYFUNCTION("""COMPUTED_VALUE"""),0.0022)</f>
        <v>0.0022</v>
      </c>
      <c r="K100" s="19">
        <f>IFERROR(__xludf.DUMMYFUNCTION("""COMPUTED_VALUE"""),0.03983)</f>
        <v>0.03983</v>
      </c>
      <c r="L100" s="19" t="str">
        <f>IFERROR(__xludf.DUMMYFUNCTION("""COMPUTED_VALUE"""),"-")</f>
        <v>-</v>
      </c>
      <c r="M100" s="19">
        <f>IFERROR(__xludf.DUMMYFUNCTION("""COMPUTED_VALUE"""),0.03708)</f>
        <v>0.03708</v>
      </c>
    </row>
    <row r="101">
      <c r="A101" s="12" t="s">
        <v>6191</v>
      </c>
      <c r="G101" s="19">
        <f>IFERROR(__xludf.DUMMYFUNCTION("SPLIT(A99, "" |"")"),97.0)</f>
        <v>97</v>
      </c>
      <c r="H101" s="19">
        <f>IFERROR(__xludf.DUMMYFUNCTION("""COMPUTED_VALUE"""),0.00217)</f>
        <v>0.00217</v>
      </c>
      <c r="I101" s="19" t="str">
        <f>IFERROR(__xludf.DUMMYFUNCTION("""COMPUTED_VALUE"""),"-")</f>
        <v>-</v>
      </c>
      <c r="J101" s="19">
        <f>IFERROR(__xludf.DUMMYFUNCTION("""COMPUTED_VALUE"""),0.00208)</f>
        <v>0.00208</v>
      </c>
      <c r="K101" s="19">
        <f>IFERROR(__xludf.DUMMYFUNCTION("""COMPUTED_VALUE"""),0.03973)</f>
        <v>0.03973</v>
      </c>
      <c r="L101" s="19" t="str">
        <f>IFERROR(__xludf.DUMMYFUNCTION("""COMPUTED_VALUE"""),"-")</f>
        <v>-</v>
      </c>
      <c r="M101" s="19">
        <f>IFERROR(__xludf.DUMMYFUNCTION("""COMPUTED_VALUE"""),0.03863)</f>
        <v>0.03863</v>
      </c>
    </row>
    <row r="102">
      <c r="A102" s="12" t="s">
        <v>6192</v>
      </c>
      <c r="G102" s="19">
        <f>IFERROR(__xludf.DUMMYFUNCTION("SPLIT(A100, "" |"")"),98.0)</f>
        <v>98</v>
      </c>
      <c r="H102" s="19">
        <f>IFERROR(__xludf.DUMMYFUNCTION("""COMPUTED_VALUE"""),0.00225)</f>
        <v>0.00225</v>
      </c>
      <c r="I102" s="19" t="str">
        <f>IFERROR(__xludf.DUMMYFUNCTION("""COMPUTED_VALUE"""),"-")</f>
        <v>-</v>
      </c>
      <c r="J102" s="19">
        <f>IFERROR(__xludf.DUMMYFUNCTION("""COMPUTED_VALUE"""),0.00204)</f>
        <v>0.00204</v>
      </c>
      <c r="K102" s="19">
        <f>IFERROR(__xludf.DUMMYFUNCTION("""COMPUTED_VALUE"""),0.03955)</f>
        <v>0.03955</v>
      </c>
      <c r="L102" s="19" t="str">
        <f>IFERROR(__xludf.DUMMYFUNCTION("""COMPUTED_VALUE"""),"-")</f>
        <v>-</v>
      </c>
      <c r="M102" s="19">
        <f>IFERROR(__xludf.DUMMYFUNCTION("""COMPUTED_VALUE"""),0.03974)</f>
        <v>0.03974</v>
      </c>
    </row>
    <row r="103">
      <c r="A103" s="12" t="s">
        <v>6193</v>
      </c>
      <c r="G103" s="19">
        <f>IFERROR(__xludf.DUMMYFUNCTION("SPLIT(A101, "" |"")"),99.0)</f>
        <v>99</v>
      </c>
      <c r="H103" s="19">
        <f>IFERROR(__xludf.DUMMYFUNCTION("""COMPUTED_VALUE"""),0.0023)</f>
        <v>0.0023</v>
      </c>
      <c r="I103" s="19" t="str">
        <f>IFERROR(__xludf.DUMMYFUNCTION("""COMPUTED_VALUE"""),"-")</f>
        <v>-</v>
      </c>
      <c r="J103" s="19">
        <f>IFERROR(__xludf.DUMMYFUNCTION("""COMPUTED_VALUE"""),0.00203)</f>
        <v>0.00203</v>
      </c>
      <c r="K103" s="19">
        <f>IFERROR(__xludf.DUMMYFUNCTION("""COMPUTED_VALUE"""),0.03615)</f>
        <v>0.03615</v>
      </c>
      <c r="L103" s="19" t="str">
        <f>IFERROR(__xludf.DUMMYFUNCTION("""COMPUTED_VALUE"""),"-")</f>
        <v>-</v>
      </c>
      <c r="M103" s="19">
        <f>IFERROR(__xludf.DUMMYFUNCTION("""COMPUTED_VALUE"""),0.0418)</f>
        <v>0.0418</v>
      </c>
    </row>
    <row r="104">
      <c r="A104" s="12" t="s">
        <v>6194</v>
      </c>
      <c r="G104" s="19">
        <f>IFERROR(__xludf.DUMMYFUNCTION("SPLIT(A102, "" |"")"),100.0)</f>
        <v>100</v>
      </c>
      <c r="H104" s="19">
        <f>IFERROR(__xludf.DUMMYFUNCTION("""COMPUTED_VALUE"""),0.00255)</f>
        <v>0.00255</v>
      </c>
      <c r="I104" s="19" t="str">
        <f>IFERROR(__xludf.DUMMYFUNCTION("""COMPUTED_VALUE"""),"-")</f>
        <v>-</v>
      </c>
      <c r="J104" s="19">
        <f>IFERROR(__xludf.DUMMYFUNCTION("""COMPUTED_VALUE"""),0.00288)</f>
        <v>0.00288</v>
      </c>
      <c r="K104" s="19">
        <f>IFERROR(__xludf.DUMMYFUNCTION("""COMPUTED_VALUE"""),0.03717)</f>
        <v>0.03717</v>
      </c>
      <c r="L104" s="19" t="str">
        <f>IFERROR(__xludf.DUMMYFUNCTION("""COMPUTED_VALUE"""),"-")</f>
        <v>-</v>
      </c>
      <c r="M104" s="19">
        <f>IFERROR(__xludf.DUMMYFUNCTION("""COMPUTED_VALUE"""),0.04004)</f>
        <v>0.04004</v>
      </c>
    </row>
    <row r="105">
      <c r="A105" s="12" t="s">
        <v>6195</v>
      </c>
      <c r="G105" s="19">
        <f>IFERROR(__xludf.DUMMYFUNCTION("SPLIT(A103, "" |"")"),101.0)</f>
        <v>101</v>
      </c>
      <c r="H105" s="19">
        <f>IFERROR(__xludf.DUMMYFUNCTION("""COMPUTED_VALUE"""),0.00219)</f>
        <v>0.00219</v>
      </c>
      <c r="I105" s="19" t="str">
        <f>IFERROR(__xludf.DUMMYFUNCTION("""COMPUTED_VALUE"""),"-")</f>
        <v>-</v>
      </c>
      <c r="J105" s="19">
        <f>IFERROR(__xludf.DUMMYFUNCTION("""COMPUTED_VALUE"""),0.00205)</f>
        <v>0.00205</v>
      </c>
      <c r="K105" s="19">
        <f>IFERROR(__xludf.DUMMYFUNCTION("""COMPUTED_VALUE"""),0.03973)</f>
        <v>0.03973</v>
      </c>
      <c r="L105" s="19" t="str">
        <f>IFERROR(__xludf.DUMMYFUNCTION("""COMPUTED_VALUE"""),"-")</f>
        <v>-</v>
      </c>
      <c r="M105" s="19">
        <f>IFERROR(__xludf.DUMMYFUNCTION("""COMPUTED_VALUE"""),0.0376)</f>
        <v>0.0376</v>
      </c>
    </row>
    <row r="106">
      <c r="A106" s="12" t="s">
        <v>6196</v>
      </c>
      <c r="G106" s="19">
        <f>IFERROR(__xludf.DUMMYFUNCTION("SPLIT(A104, "" |"")"),102.0)</f>
        <v>102</v>
      </c>
      <c r="H106" s="19">
        <f>IFERROR(__xludf.DUMMYFUNCTION("""COMPUTED_VALUE"""),0.00236)</f>
        <v>0.00236</v>
      </c>
      <c r="I106" s="19" t="str">
        <f>IFERROR(__xludf.DUMMYFUNCTION("""COMPUTED_VALUE"""),"-")</f>
        <v>-</v>
      </c>
      <c r="J106" s="19">
        <f>IFERROR(__xludf.DUMMYFUNCTION("""COMPUTED_VALUE"""),0.00215)</f>
        <v>0.00215</v>
      </c>
      <c r="K106" s="19">
        <f>IFERROR(__xludf.DUMMYFUNCTION("""COMPUTED_VALUE"""),0.03982)</f>
        <v>0.03982</v>
      </c>
      <c r="L106" s="19" t="str">
        <f>IFERROR(__xludf.DUMMYFUNCTION("""COMPUTED_VALUE"""),"-")</f>
        <v>-</v>
      </c>
      <c r="M106" s="19">
        <f>IFERROR(__xludf.DUMMYFUNCTION("""COMPUTED_VALUE"""),0.04035)</f>
        <v>0.04035</v>
      </c>
    </row>
    <row r="107">
      <c r="A107" s="12" t="s">
        <v>6197</v>
      </c>
      <c r="G107" s="19">
        <f>IFERROR(__xludf.DUMMYFUNCTION("SPLIT(A105, "" |"")"),103.0)</f>
        <v>103</v>
      </c>
      <c r="H107" s="19">
        <f>IFERROR(__xludf.DUMMYFUNCTION("""COMPUTED_VALUE"""),0.0021)</f>
        <v>0.0021</v>
      </c>
      <c r="I107" s="19" t="str">
        <f>IFERROR(__xludf.DUMMYFUNCTION("""COMPUTED_VALUE"""),"-")</f>
        <v>-</v>
      </c>
      <c r="J107" s="19">
        <f>IFERROR(__xludf.DUMMYFUNCTION("""COMPUTED_VALUE"""),0.00203)</f>
        <v>0.00203</v>
      </c>
      <c r="K107" s="19">
        <f>IFERROR(__xludf.DUMMYFUNCTION("""COMPUTED_VALUE"""),0.03594)</f>
        <v>0.03594</v>
      </c>
      <c r="L107" s="19" t="str">
        <f>IFERROR(__xludf.DUMMYFUNCTION("""COMPUTED_VALUE"""),"-")</f>
        <v>-</v>
      </c>
      <c r="M107" s="19">
        <f>IFERROR(__xludf.DUMMYFUNCTION("""COMPUTED_VALUE"""),0.03989)</f>
        <v>0.03989</v>
      </c>
    </row>
    <row r="108">
      <c r="A108" s="12" t="s">
        <v>6198</v>
      </c>
      <c r="G108" s="19">
        <f>IFERROR(__xludf.DUMMYFUNCTION("SPLIT(A106, "" |"")"),104.0)</f>
        <v>104</v>
      </c>
      <c r="H108" s="19">
        <f>IFERROR(__xludf.DUMMYFUNCTION("""COMPUTED_VALUE"""),0.00213)</f>
        <v>0.00213</v>
      </c>
      <c r="I108" s="19" t="str">
        <f>IFERROR(__xludf.DUMMYFUNCTION("""COMPUTED_VALUE"""),"-")</f>
        <v>-</v>
      </c>
      <c r="J108" s="19">
        <f>IFERROR(__xludf.DUMMYFUNCTION("""COMPUTED_VALUE"""),0.00196)</f>
        <v>0.00196</v>
      </c>
      <c r="K108" s="19">
        <f>IFERROR(__xludf.DUMMYFUNCTION("""COMPUTED_VALUE"""),0.03973)</f>
        <v>0.03973</v>
      </c>
      <c r="L108" s="19" t="str">
        <f>IFERROR(__xludf.DUMMYFUNCTION("""COMPUTED_VALUE"""),"-")</f>
        <v>-</v>
      </c>
      <c r="M108" s="19">
        <f>IFERROR(__xludf.DUMMYFUNCTION("""COMPUTED_VALUE"""),0.03977)</f>
        <v>0.03977</v>
      </c>
    </row>
    <row r="109">
      <c r="A109" s="12" t="s">
        <v>6199</v>
      </c>
      <c r="G109" s="19">
        <f>IFERROR(__xludf.DUMMYFUNCTION("SPLIT(A107, "" |"")"),105.0)</f>
        <v>105</v>
      </c>
      <c r="H109" s="19">
        <f>IFERROR(__xludf.DUMMYFUNCTION("""COMPUTED_VALUE"""),0.00202)</f>
        <v>0.00202</v>
      </c>
      <c r="I109" s="19" t="str">
        <f>IFERROR(__xludf.DUMMYFUNCTION("""COMPUTED_VALUE"""),"-")</f>
        <v>-</v>
      </c>
      <c r="J109" s="19">
        <f>IFERROR(__xludf.DUMMYFUNCTION("""COMPUTED_VALUE"""),0.00205)</f>
        <v>0.00205</v>
      </c>
      <c r="K109" s="19">
        <f>IFERROR(__xludf.DUMMYFUNCTION("""COMPUTED_VALUE"""),0.03863)</f>
        <v>0.03863</v>
      </c>
      <c r="L109" s="19" t="str">
        <f>IFERROR(__xludf.DUMMYFUNCTION("""COMPUTED_VALUE"""),"-")</f>
        <v>-</v>
      </c>
      <c r="M109" s="19">
        <f>IFERROR(__xludf.DUMMYFUNCTION("""COMPUTED_VALUE"""),0.03991)</f>
        <v>0.03991</v>
      </c>
    </row>
    <row r="110">
      <c r="A110" s="12" t="s">
        <v>6200</v>
      </c>
      <c r="G110" s="19">
        <f>IFERROR(__xludf.DUMMYFUNCTION("SPLIT(A108, "" |"")"),106.0)</f>
        <v>106</v>
      </c>
      <c r="H110" s="19">
        <f>IFERROR(__xludf.DUMMYFUNCTION("""COMPUTED_VALUE"""),0.00214)</f>
        <v>0.00214</v>
      </c>
      <c r="I110" s="19" t="str">
        <f>IFERROR(__xludf.DUMMYFUNCTION("""COMPUTED_VALUE"""),"-")</f>
        <v>-</v>
      </c>
      <c r="J110" s="19">
        <f>IFERROR(__xludf.DUMMYFUNCTION("""COMPUTED_VALUE"""),0.00195)</f>
        <v>0.00195</v>
      </c>
      <c r="K110" s="19">
        <f>IFERROR(__xludf.DUMMYFUNCTION("""COMPUTED_VALUE"""),0.03966)</f>
        <v>0.03966</v>
      </c>
      <c r="L110" s="19" t="str">
        <f>IFERROR(__xludf.DUMMYFUNCTION("""COMPUTED_VALUE"""),"-")</f>
        <v>-</v>
      </c>
      <c r="M110" s="19">
        <f>IFERROR(__xludf.DUMMYFUNCTION("""COMPUTED_VALUE"""),0.03978)</f>
        <v>0.03978</v>
      </c>
    </row>
    <row r="111">
      <c r="A111" s="12" t="s">
        <v>6201</v>
      </c>
      <c r="G111" s="19">
        <f>IFERROR(__xludf.DUMMYFUNCTION("SPLIT(A109, "" |"")"),107.0)</f>
        <v>107</v>
      </c>
      <c r="H111" s="19">
        <f>IFERROR(__xludf.DUMMYFUNCTION("""COMPUTED_VALUE"""),0.00217)</f>
        <v>0.00217</v>
      </c>
      <c r="I111" s="19" t="str">
        <f>IFERROR(__xludf.DUMMYFUNCTION("""COMPUTED_VALUE"""),"-")</f>
        <v>-</v>
      </c>
      <c r="J111" s="19">
        <f>IFERROR(__xludf.DUMMYFUNCTION("""COMPUTED_VALUE"""),0.00201)</f>
        <v>0.00201</v>
      </c>
      <c r="K111" s="19">
        <f>IFERROR(__xludf.DUMMYFUNCTION("""COMPUTED_VALUE"""),0.03969)</f>
        <v>0.03969</v>
      </c>
      <c r="L111" s="19" t="str">
        <f>IFERROR(__xludf.DUMMYFUNCTION("""COMPUTED_VALUE"""),"-")</f>
        <v>-</v>
      </c>
      <c r="M111" s="19">
        <f>IFERROR(__xludf.DUMMYFUNCTION("""COMPUTED_VALUE"""),0.03986)</f>
        <v>0.03986</v>
      </c>
    </row>
    <row r="112">
      <c r="A112" s="12" t="s">
        <v>6202</v>
      </c>
      <c r="G112" s="19">
        <f>IFERROR(__xludf.DUMMYFUNCTION("SPLIT(A110, "" |"")"),108.0)</f>
        <v>108</v>
      </c>
      <c r="H112" s="19">
        <f>IFERROR(__xludf.DUMMYFUNCTION("""COMPUTED_VALUE"""),0.00217)</f>
        <v>0.00217</v>
      </c>
      <c r="I112" s="19" t="str">
        <f>IFERROR(__xludf.DUMMYFUNCTION("""COMPUTED_VALUE"""),"-")</f>
        <v>-</v>
      </c>
      <c r="J112" s="19">
        <f>IFERROR(__xludf.DUMMYFUNCTION("""COMPUTED_VALUE"""),0.002)</f>
        <v>0.002</v>
      </c>
      <c r="K112" s="19">
        <f>IFERROR(__xludf.DUMMYFUNCTION("""COMPUTED_VALUE"""),0.03972)</f>
        <v>0.03972</v>
      </c>
      <c r="L112" s="19" t="str">
        <f>IFERROR(__xludf.DUMMYFUNCTION("""COMPUTED_VALUE"""),"-")</f>
        <v>-</v>
      </c>
      <c r="M112" s="19">
        <f>IFERROR(__xludf.DUMMYFUNCTION("""COMPUTED_VALUE"""),0.03982)</f>
        <v>0.03982</v>
      </c>
    </row>
    <row r="113">
      <c r="A113" s="12" t="s">
        <v>6203</v>
      </c>
      <c r="G113" s="19">
        <f>IFERROR(__xludf.DUMMYFUNCTION("SPLIT(A111, "" |"")"),109.0)</f>
        <v>109</v>
      </c>
      <c r="H113" s="19">
        <f>IFERROR(__xludf.DUMMYFUNCTION("""COMPUTED_VALUE"""),0.00213)</f>
        <v>0.00213</v>
      </c>
      <c r="I113" s="19" t="str">
        <f>IFERROR(__xludf.DUMMYFUNCTION("""COMPUTED_VALUE"""),"-")</f>
        <v>-</v>
      </c>
      <c r="J113" s="19">
        <f>IFERROR(__xludf.DUMMYFUNCTION("""COMPUTED_VALUE"""),0.00202)</f>
        <v>0.00202</v>
      </c>
      <c r="K113" s="19">
        <f>IFERROR(__xludf.DUMMYFUNCTION("""COMPUTED_VALUE"""),0.03891)</f>
        <v>0.03891</v>
      </c>
      <c r="L113" s="19" t="str">
        <f>IFERROR(__xludf.DUMMYFUNCTION("""COMPUTED_VALUE"""),"-")</f>
        <v>-</v>
      </c>
      <c r="M113" s="19">
        <f>IFERROR(__xludf.DUMMYFUNCTION("""COMPUTED_VALUE"""),0.03983)</f>
        <v>0.03983</v>
      </c>
    </row>
    <row r="114">
      <c r="A114" s="12" t="s">
        <v>6204</v>
      </c>
      <c r="G114" s="19">
        <f>IFERROR(__xludf.DUMMYFUNCTION("SPLIT(A112, "" |"")"),110.0)</f>
        <v>110</v>
      </c>
      <c r="H114" s="19">
        <f>IFERROR(__xludf.DUMMYFUNCTION("""COMPUTED_VALUE"""),0.00204)</f>
        <v>0.00204</v>
      </c>
      <c r="I114" s="19" t="str">
        <f>IFERROR(__xludf.DUMMYFUNCTION("""COMPUTED_VALUE"""),"-")</f>
        <v>-</v>
      </c>
      <c r="J114" s="19">
        <f>IFERROR(__xludf.DUMMYFUNCTION("""COMPUTED_VALUE"""),0.00203)</f>
        <v>0.00203</v>
      </c>
      <c r="K114" s="19">
        <f>IFERROR(__xludf.DUMMYFUNCTION("""COMPUTED_VALUE"""),0.03974)</f>
        <v>0.03974</v>
      </c>
      <c r="L114" s="19" t="str">
        <f>IFERROR(__xludf.DUMMYFUNCTION("""COMPUTED_VALUE"""),"-")</f>
        <v>-</v>
      </c>
      <c r="M114" s="19">
        <f>IFERROR(__xludf.DUMMYFUNCTION("""COMPUTED_VALUE"""),0.03966)</f>
        <v>0.03966</v>
      </c>
    </row>
    <row r="115">
      <c r="A115" s="12" t="s">
        <v>6205</v>
      </c>
      <c r="G115" s="19">
        <f>IFERROR(__xludf.DUMMYFUNCTION("SPLIT(A113, "" |"")"),111.0)</f>
        <v>111</v>
      </c>
      <c r="H115" s="19">
        <f>IFERROR(__xludf.DUMMYFUNCTION("""COMPUTED_VALUE"""),0.00262)</f>
        <v>0.00262</v>
      </c>
      <c r="I115" s="19" t="str">
        <f>IFERROR(__xludf.DUMMYFUNCTION("""COMPUTED_VALUE"""),"-")</f>
        <v>-</v>
      </c>
      <c r="J115" s="19">
        <f>IFERROR(__xludf.DUMMYFUNCTION("""COMPUTED_VALUE"""),0.00213)</f>
        <v>0.00213</v>
      </c>
      <c r="K115" s="19">
        <f>IFERROR(__xludf.DUMMYFUNCTION("""COMPUTED_VALUE"""),0.03634)</f>
        <v>0.03634</v>
      </c>
      <c r="L115" s="19" t="str">
        <f>IFERROR(__xludf.DUMMYFUNCTION("""COMPUTED_VALUE"""),"-")</f>
        <v>-</v>
      </c>
      <c r="M115" s="19">
        <f>IFERROR(__xludf.DUMMYFUNCTION("""COMPUTED_VALUE"""),0.03994)</f>
        <v>0.03994</v>
      </c>
    </row>
    <row r="116">
      <c r="A116" s="12" t="s">
        <v>6206</v>
      </c>
      <c r="G116" s="19">
        <f>IFERROR(__xludf.DUMMYFUNCTION("SPLIT(A114, "" |"")"),112.0)</f>
        <v>112</v>
      </c>
      <c r="H116" s="19">
        <f>IFERROR(__xludf.DUMMYFUNCTION("""COMPUTED_VALUE"""),0.00211)</f>
        <v>0.00211</v>
      </c>
      <c r="I116" s="19" t="str">
        <f>IFERROR(__xludf.DUMMYFUNCTION("""COMPUTED_VALUE"""),"-")</f>
        <v>-</v>
      </c>
      <c r="J116" s="19">
        <f>IFERROR(__xludf.DUMMYFUNCTION("""COMPUTED_VALUE"""),0.00201)</f>
        <v>0.00201</v>
      </c>
      <c r="K116" s="19">
        <f>IFERROR(__xludf.DUMMYFUNCTION("""COMPUTED_VALUE"""),0.03973)</f>
        <v>0.03973</v>
      </c>
      <c r="L116" s="19" t="str">
        <f>IFERROR(__xludf.DUMMYFUNCTION("""COMPUTED_VALUE"""),"-")</f>
        <v>-</v>
      </c>
      <c r="M116" s="19">
        <f>IFERROR(__xludf.DUMMYFUNCTION("""COMPUTED_VALUE"""),0.03983)</f>
        <v>0.03983</v>
      </c>
    </row>
    <row r="117">
      <c r="A117" s="12" t="s">
        <v>6207</v>
      </c>
      <c r="G117" s="19">
        <f>IFERROR(__xludf.DUMMYFUNCTION("SPLIT(A115, "" |"")"),113.0)</f>
        <v>113</v>
      </c>
      <c r="H117" s="19">
        <f>IFERROR(__xludf.DUMMYFUNCTION("""COMPUTED_VALUE"""),0.00212)</f>
        <v>0.00212</v>
      </c>
      <c r="I117" s="19" t="str">
        <f>IFERROR(__xludf.DUMMYFUNCTION("""COMPUTED_VALUE"""),"-")</f>
        <v>-</v>
      </c>
      <c r="J117" s="19">
        <f>IFERROR(__xludf.DUMMYFUNCTION("""COMPUTED_VALUE"""),0.00198)</f>
        <v>0.00198</v>
      </c>
      <c r="K117" s="19">
        <f>IFERROR(__xludf.DUMMYFUNCTION("""COMPUTED_VALUE"""),0.03966)</f>
        <v>0.03966</v>
      </c>
      <c r="L117" s="19" t="str">
        <f>IFERROR(__xludf.DUMMYFUNCTION("""COMPUTED_VALUE"""),"-")</f>
        <v>-</v>
      </c>
      <c r="M117" s="19">
        <f>IFERROR(__xludf.DUMMYFUNCTION("""COMPUTED_VALUE"""),0.03994)</f>
        <v>0.03994</v>
      </c>
    </row>
    <row r="118">
      <c r="A118" s="12" t="s">
        <v>6208</v>
      </c>
      <c r="G118" s="19">
        <f>IFERROR(__xludf.DUMMYFUNCTION("SPLIT(A116, "" |"")"),114.0)</f>
        <v>114</v>
      </c>
      <c r="H118" s="19">
        <f>IFERROR(__xludf.DUMMYFUNCTION("""COMPUTED_VALUE"""),0.00231)</f>
        <v>0.00231</v>
      </c>
      <c r="I118" s="19" t="str">
        <f>IFERROR(__xludf.DUMMYFUNCTION("""COMPUTED_VALUE"""),"-")</f>
        <v>-</v>
      </c>
      <c r="J118" s="19">
        <f>IFERROR(__xludf.DUMMYFUNCTION("""COMPUTED_VALUE"""),0.00211)</f>
        <v>0.00211</v>
      </c>
      <c r="K118" s="19">
        <f>IFERROR(__xludf.DUMMYFUNCTION("""COMPUTED_VALUE"""),0.03978)</f>
        <v>0.03978</v>
      </c>
      <c r="L118" s="19" t="str">
        <f>IFERROR(__xludf.DUMMYFUNCTION("""COMPUTED_VALUE"""),"-")</f>
        <v>-</v>
      </c>
      <c r="M118" s="19">
        <f>IFERROR(__xludf.DUMMYFUNCTION("""COMPUTED_VALUE"""),0.03982)</f>
        <v>0.03982</v>
      </c>
    </row>
    <row r="119">
      <c r="A119" s="12" t="s">
        <v>6209</v>
      </c>
      <c r="G119" s="19">
        <f>IFERROR(__xludf.DUMMYFUNCTION("SPLIT(A117, "" |"")"),115.0)</f>
        <v>115</v>
      </c>
      <c r="H119" s="19">
        <f>IFERROR(__xludf.DUMMYFUNCTION("""COMPUTED_VALUE"""),0.00209)</f>
        <v>0.00209</v>
      </c>
      <c r="I119" s="19" t="str">
        <f>IFERROR(__xludf.DUMMYFUNCTION("""COMPUTED_VALUE"""),"-")</f>
        <v>-</v>
      </c>
      <c r="J119" s="19">
        <f>IFERROR(__xludf.DUMMYFUNCTION("""COMPUTED_VALUE"""),0.00201)</f>
        <v>0.00201</v>
      </c>
      <c r="K119" s="19">
        <f>IFERROR(__xludf.DUMMYFUNCTION("""COMPUTED_VALUE"""),0.03971)</f>
        <v>0.03971</v>
      </c>
      <c r="L119" s="19" t="str">
        <f>IFERROR(__xludf.DUMMYFUNCTION("""COMPUTED_VALUE"""),"-")</f>
        <v>-</v>
      </c>
      <c r="M119" s="19">
        <f>IFERROR(__xludf.DUMMYFUNCTION("""COMPUTED_VALUE"""),0.03957)</f>
        <v>0.03957</v>
      </c>
    </row>
    <row r="120">
      <c r="A120" s="12" t="s">
        <v>6210</v>
      </c>
      <c r="G120" s="19">
        <f>IFERROR(__xludf.DUMMYFUNCTION("SPLIT(A118, "" |"")"),116.0)</f>
        <v>116</v>
      </c>
      <c r="H120" s="19">
        <f>IFERROR(__xludf.DUMMYFUNCTION("""COMPUTED_VALUE"""),0.00209)</f>
        <v>0.00209</v>
      </c>
      <c r="I120" s="19" t="str">
        <f>IFERROR(__xludf.DUMMYFUNCTION("""COMPUTED_VALUE"""),"-")</f>
        <v>-</v>
      </c>
      <c r="J120" s="19">
        <f>IFERROR(__xludf.DUMMYFUNCTION("""COMPUTED_VALUE"""),0.00196)</f>
        <v>0.00196</v>
      </c>
      <c r="K120" s="19">
        <f>IFERROR(__xludf.DUMMYFUNCTION("""COMPUTED_VALUE"""),0.03962)</f>
        <v>0.03962</v>
      </c>
      <c r="L120" s="19" t="str">
        <f>IFERROR(__xludf.DUMMYFUNCTION("""COMPUTED_VALUE"""),"-")</f>
        <v>-</v>
      </c>
      <c r="M120" s="19">
        <f>IFERROR(__xludf.DUMMYFUNCTION("""COMPUTED_VALUE"""),0.03988)</f>
        <v>0.03988</v>
      </c>
    </row>
    <row r="121">
      <c r="A121" s="12" t="s">
        <v>6211</v>
      </c>
      <c r="G121" s="19">
        <f>IFERROR(__xludf.DUMMYFUNCTION("SPLIT(A119, "" |"")"),117.0)</f>
        <v>117</v>
      </c>
      <c r="H121" s="19">
        <f>IFERROR(__xludf.DUMMYFUNCTION("""COMPUTED_VALUE"""),0.00215)</f>
        <v>0.00215</v>
      </c>
      <c r="I121" s="19" t="str">
        <f>IFERROR(__xludf.DUMMYFUNCTION("""COMPUTED_VALUE"""),"-")</f>
        <v>-</v>
      </c>
      <c r="J121" s="19">
        <f>IFERROR(__xludf.DUMMYFUNCTION("""COMPUTED_VALUE"""),0.002)</f>
        <v>0.002</v>
      </c>
      <c r="K121" s="19">
        <f>IFERROR(__xludf.DUMMYFUNCTION("""COMPUTED_VALUE"""),0.03786)</f>
        <v>0.03786</v>
      </c>
      <c r="L121" s="19" t="str">
        <f>IFERROR(__xludf.DUMMYFUNCTION("""COMPUTED_VALUE"""),"-")</f>
        <v>-</v>
      </c>
      <c r="M121" s="19">
        <f>IFERROR(__xludf.DUMMYFUNCTION("""COMPUTED_VALUE"""),0.03838)</f>
        <v>0.03838</v>
      </c>
    </row>
    <row r="122">
      <c r="A122" s="12" t="s">
        <v>6212</v>
      </c>
      <c r="G122" s="19">
        <f>IFERROR(__xludf.DUMMYFUNCTION("SPLIT(A120, "" |"")"),118.0)</f>
        <v>118</v>
      </c>
      <c r="H122" s="19">
        <f>IFERROR(__xludf.DUMMYFUNCTION("""COMPUTED_VALUE"""),0.00212)</f>
        <v>0.00212</v>
      </c>
      <c r="I122" s="19" t="str">
        <f>IFERROR(__xludf.DUMMYFUNCTION("""COMPUTED_VALUE"""),"-")</f>
        <v>-</v>
      </c>
      <c r="J122" s="19">
        <f>IFERROR(__xludf.DUMMYFUNCTION("""COMPUTED_VALUE"""),0.00201)</f>
        <v>0.00201</v>
      </c>
      <c r="K122" s="19">
        <f>IFERROR(__xludf.DUMMYFUNCTION("""COMPUTED_VALUE"""),0.03966)</f>
        <v>0.03966</v>
      </c>
      <c r="L122" s="19" t="str">
        <f>IFERROR(__xludf.DUMMYFUNCTION("""COMPUTED_VALUE"""),"-")</f>
        <v>-</v>
      </c>
      <c r="M122" s="19">
        <f>IFERROR(__xludf.DUMMYFUNCTION("""COMPUTED_VALUE"""),0.03973)</f>
        <v>0.03973</v>
      </c>
    </row>
    <row r="123">
      <c r="A123" s="12" t="s">
        <v>6213</v>
      </c>
      <c r="G123" s="19">
        <f>IFERROR(__xludf.DUMMYFUNCTION("SPLIT(A121, "" |"")"),119.0)</f>
        <v>119</v>
      </c>
      <c r="H123" s="19">
        <f>IFERROR(__xludf.DUMMYFUNCTION("""COMPUTED_VALUE"""),0.00222)</f>
        <v>0.00222</v>
      </c>
      <c r="I123" s="19" t="str">
        <f>IFERROR(__xludf.DUMMYFUNCTION("""COMPUTED_VALUE"""),"-")</f>
        <v>-</v>
      </c>
      <c r="J123" s="19">
        <f>IFERROR(__xludf.DUMMYFUNCTION("""COMPUTED_VALUE"""),0.00251)</f>
        <v>0.00251</v>
      </c>
      <c r="K123" s="19">
        <f>IFERROR(__xludf.DUMMYFUNCTION("""COMPUTED_VALUE"""),0.04023)</f>
        <v>0.04023</v>
      </c>
      <c r="L123" s="19" t="str">
        <f>IFERROR(__xludf.DUMMYFUNCTION("""COMPUTED_VALUE"""),"-")</f>
        <v>-</v>
      </c>
      <c r="M123" s="19">
        <f>IFERROR(__xludf.DUMMYFUNCTION("""COMPUTED_VALUE"""),0.03998)</f>
        <v>0.03998</v>
      </c>
    </row>
    <row r="124">
      <c r="A124" s="12" t="s">
        <v>6214</v>
      </c>
      <c r="G124" s="19">
        <f>IFERROR(__xludf.DUMMYFUNCTION("SPLIT(A122, "" |"")"),120.0)</f>
        <v>120</v>
      </c>
      <c r="H124" s="19">
        <f>IFERROR(__xludf.DUMMYFUNCTION("""COMPUTED_VALUE"""),0.00218)</f>
        <v>0.00218</v>
      </c>
      <c r="I124" s="19" t="str">
        <f>IFERROR(__xludf.DUMMYFUNCTION("""COMPUTED_VALUE"""),"-")</f>
        <v>-</v>
      </c>
      <c r="J124" s="19">
        <f>IFERROR(__xludf.DUMMYFUNCTION("""COMPUTED_VALUE"""),0.00206)</f>
        <v>0.00206</v>
      </c>
      <c r="K124" s="19">
        <f>IFERROR(__xludf.DUMMYFUNCTION("""COMPUTED_VALUE"""),0.03906)</f>
        <v>0.03906</v>
      </c>
      <c r="L124" s="19" t="str">
        <f>IFERROR(__xludf.DUMMYFUNCTION("""COMPUTED_VALUE"""),"-")</f>
        <v>-</v>
      </c>
      <c r="M124" s="19">
        <f>IFERROR(__xludf.DUMMYFUNCTION("""COMPUTED_VALUE"""),0.04002)</f>
        <v>0.04002</v>
      </c>
    </row>
    <row r="125">
      <c r="A125" s="12" t="s">
        <v>6215</v>
      </c>
      <c r="G125" s="19">
        <f>IFERROR(__xludf.DUMMYFUNCTION("SPLIT(A123, "" |"")"),121.0)</f>
        <v>121</v>
      </c>
      <c r="H125" s="19">
        <f>IFERROR(__xludf.DUMMYFUNCTION("""COMPUTED_VALUE"""),0.00209)</f>
        <v>0.00209</v>
      </c>
      <c r="I125" s="19" t="str">
        <f>IFERROR(__xludf.DUMMYFUNCTION("""COMPUTED_VALUE"""),"-")</f>
        <v>-</v>
      </c>
      <c r="J125" s="19">
        <f>IFERROR(__xludf.DUMMYFUNCTION("""COMPUTED_VALUE"""),0.002)</f>
        <v>0.002</v>
      </c>
      <c r="K125" s="19">
        <f>IFERROR(__xludf.DUMMYFUNCTION("""COMPUTED_VALUE"""),0.0397)</f>
        <v>0.0397</v>
      </c>
      <c r="L125" s="19" t="str">
        <f>IFERROR(__xludf.DUMMYFUNCTION("""COMPUTED_VALUE"""),"-")</f>
        <v>-</v>
      </c>
      <c r="M125" s="19">
        <f>IFERROR(__xludf.DUMMYFUNCTION("""COMPUTED_VALUE"""),0.03979)</f>
        <v>0.03979</v>
      </c>
    </row>
    <row r="126">
      <c r="A126" s="12" t="s">
        <v>6216</v>
      </c>
      <c r="G126" s="19">
        <f>IFERROR(__xludf.DUMMYFUNCTION("SPLIT(A124, "" |"")"),122.0)</f>
        <v>122</v>
      </c>
      <c r="H126" s="19">
        <f>IFERROR(__xludf.DUMMYFUNCTION("""COMPUTED_VALUE"""),0.00212)</f>
        <v>0.00212</v>
      </c>
      <c r="I126" s="19" t="str">
        <f>IFERROR(__xludf.DUMMYFUNCTION("""COMPUTED_VALUE"""),"-")</f>
        <v>-</v>
      </c>
      <c r="J126" s="19">
        <f>IFERROR(__xludf.DUMMYFUNCTION("""COMPUTED_VALUE"""),0.00201)</f>
        <v>0.00201</v>
      </c>
      <c r="K126" s="19">
        <f>IFERROR(__xludf.DUMMYFUNCTION("""COMPUTED_VALUE"""),0.0402)</f>
        <v>0.0402</v>
      </c>
      <c r="L126" s="19" t="str">
        <f>IFERROR(__xludf.DUMMYFUNCTION("""COMPUTED_VALUE"""),"-")</f>
        <v>-</v>
      </c>
      <c r="M126" s="19">
        <f>IFERROR(__xludf.DUMMYFUNCTION("""COMPUTED_VALUE"""),0.03888)</f>
        <v>0.03888</v>
      </c>
    </row>
    <row r="127">
      <c r="A127" s="12" t="s">
        <v>6217</v>
      </c>
      <c r="G127" s="19">
        <f>IFERROR(__xludf.DUMMYFUNCTION("SPLIT(A125, "" |"")"),123.0)</f>
        <v>123</v>
      </c>
      <c r="H127" s="19">
        <f>IFERROR(__xludf.DUMMYFUNCTION("""COMPUTED_VALUE"""),0.00234)</f>
        <v>0.00234</v>
      </c>
      <c r="I127" s="19" t="str">
        <f>IFERROR(__xludf.DUMMYFUNCTION("""COMPUTED_VALUE"""),"-")</f>
        <v>-</v>
      </c>
      <c r="J127" s="19">
        <f>IFERROR(__xludf.DUMMYFUNCTION("""COMPUTED_VALUE"""),0.0017)</f>
        <v>0.0017</v>
      </c>
      <c r="K127" s="19">
        <f>IFERROR(__xludf.DUMMYFUNCTION("""COMPUTED_VALUE"""),0.03716)</f>
        <v>0.03716</v>
      </c>
      <c r="L127" s="19" t="str">
        <f>IFERROR(__xludf.DUMMYFUNCTION("""COMPUTED_VALUE"""),"-")</f>
        <v>-</v>
      </c>
      <c r="M127" s="19">
        <f>IFERROR(__xludf.DUMMYFUNCTION("""COMPUTED_VALUE"""),0.04012)</f>
        <v>0.04012</v>
      </c>
    </row>
    <row r="128">
      <c r="A128" s="12" t="s">
        <v>6218</v>
      </c>
      <c r="G128" s="19">
        <f>IFERROR(__xludf.DUMMYFUNCTION("SPLIT(A126, "" |"")"),124.0)</f>
        <v>124</v>
      </c>
      <c r="H128" s="19">
        <f>IFERROR(__xludf.DUMMYFUNCTION("""COMPUTED_VALUE"""),0.00213)</f>
        <v>0.00213</v>
      </c>
      <c r="I128" s="19" t="str">
        <f>IFERROR(__xludf.DUMMYFUNCTION("""COMPUTED_VALUE"""),"-")</f>
        <v>-</v>
      </c>
      <c r="J128" s="19">
        <f>IFERROR(__xludf.DUMMYFUNCTION("""COMPUTED_VALUE"""),0.00196)</f>
        <v>0.00196</v>
      </c>
      <c r="K128" s="19">
        <f>IFERROR(__xludf.DUMMYFUNCTION("""COMPUTED_VALUE"""),0.03972)</f>
        <v>0.03972</v>
      </c>
      <c r="L128" s="19" t="str">
        <f>IFERROR(__xludf.DUMMYFUNCTION("""COMPUTED_VALUE"""),"-")</f>
        <v>-</v>
      </c>
      <c r="M128" s="19">
        <f>IFERROR(__xludf.DUMMYFUNCTION("""COMPUTED_VALUE"""),0.03983)</f>
        <v>0.03983</v>
      </c>
    </row>
    <row r="129">
      <c r="A129" s="12" t="s">
        <v>6219</v>
      </c>
      <c r="G129" s="19">
        <f>IFERROR(__xludf.DUMMYFUNCTION("SPLIT(A127, "" |"")"),125.0)</f>
        <v>125</v>
      </c>
      <c r="H129" s="19">
        <f>IFERROR(__xludf.DUMMYFUNCTION("""COMPUTED_VALUE"""),0.0022)</f>
        <v>0.0022</v>
      </c>
      <c r="I129" s="19" t="str">
        <f>IFERROR(__xludf.DUMMYFUNCTION("""COMPUTED_VALUE"""),"-")</f>
        <v>-</v>
      </c>
      <c r="J129" s="19">
        <f>IFERROR(__xludf.DUMMYFUNCTION("""COMPUTED_VALUE"""),0.00209)</f>
        <v>0.00209</v>
      </c>
      <c r="K129" s="19">
        <f>IFERROR(__xludf.DUMMYFUNCTION("""COMPUTED_VALUE"""),0.03981)</f>
        <v>0.03981</v>
      </c>
      <c r="L129" s="19" t="str">
        <f>IFERROR(__xludf.DUMMYFUNCTION("""COMPUTED_VALUE"""),"-")</f>
        <v>-</v>
      </c>
      <c r="M129" s="19">
        <f>IFERROR(__xludf.DUMMYFUNCTION("""COMPUTED_VALUE"""),0.03998)</f>
        <v>0.03998</v>
      </c>
    </row>
    <row r="130">
      <c r="A130" s="12" t="s">
        <v>6220</v>
      </c>
      <c r="G130" s="19">
        <f>IFERROR(__xludf.DUMMYFUNCTION("SPLIT(A128, "" |"")"),126.0)</f>
        <v>126</v>
      </c>
      <c r="H130" s="19">
        <f>IFERROR(__xludf.DUMMYFUNCTION("""COMPUTED_VALUE"""),0.00213)</f>
        <v>0.00213</v>
      </c>
      <c r="I130" s="19" t="str">
        <f>IFERROR(__xludf.DUMMYFUNCTION("""COMPUTED_VALUE"""),"-")</f>
        <v>-</v>
      </c>
      <c r="J130" s="19">
        <f>IFERROR(__xludf.DUMMYFUNCTION("""COMPUTED_VALUE"""),0.00199)</f>
        <v>0.00199</v>
      </c>
      <c r="K130" s="19">
        <f>IFERROR(__xludf.DUMMYFUNCTION("""COMPUTED_VALUE"""),0.0397)</f>
        <v>0.0397</v>
      </c>
      <c r="L130" s="19" t="str">
        <f>IFERROR(__xludf.DUMMYFUNCTION("""COMPUTED_VALUE"""),"-")</f>
        <v>-</v>
      </c>
      <c r="M130" s="19">
        <f>IFERROR(__xludf.DUMMYFUNCTION("""COMPUTED_VALUE"""),0.0398)</f>
        <v>0.0398</v>
      </c>
    </row>
    <row r="131">
      <c r="A131" s="12" t="s">
        <v>6221</v>
      </c>
      <c r="G131" s="19">
        <f>IFERROR(__xludf.DUMMYFUNCTION("SPLIT(A129, "" |"")"),127.0)</f>
        <v>127</v>
      </c>
      <c r="H131" s="19">
        <f>IFERROR(__xludf.DUMMYFUNCTION("""COMPUTED_VALUE"""),0.00218)</f>
        <v>0.00218</v>
      </c>
      <c r="I131" s="19" t="str">
        <f>IFERROR(__xludf.DUMMYFUNCTION("""COMPUTED_VALUE"""),"-")</f>
        <v>-</v>
      </c>
      <c r="J131" s="19">
        <f>IFERROR(__xludf.DUMMYFUNCTION("""COMPUTED_VALUE"""),0.00204)</f>
        <v>0.00204</v>
      </c>
      <c r="K131" s="19">
        <f>IFERROR(__xludf.DUMMYFUNCTION("""COMPUTED_VALUE"""),0.03973)</f>
        <v>0.03973</v>
      </c>
      <c r="L131" s="19" t="str">
        <f>IFERROR(__xludf.DUMMYFUNCTION("""COMPUTED_VALUE"""),"-")</f>
        <v>-</v>
      </c>
      <c r="M131" s="19">
        <f>IFERROR(__xludf.DUMMYFUNCTION("""COMPUTED_VALUE"""),0.0398)</f>
        <v>0.0398</v>
      </c>
    </row>
    <row r="132">
      <c r="A132" s="12" t="s">
        <v>6222</v>
      </c>
      <c r="G132" s="19">
        <f>IFERROR(__xludf.DUMMYFUNCTION("SPLIT(A130, "" |"")"),128.0)</f>
        <v>128</v>
      </c>
      <c r="H132" s="19">
        <f>IFERROR(__xludf.DUMMYFUNCTION("""COMPUTED_VALUE"""),0.00211)</f>
        <v>0.00211</v>
      </c>
      <c r="I132" s="19" t="str">
        <f>IFERROR(__xludf.DUMMYFUNCTION("""COMPUTED_VALUE"""),"-")</f>
        <v>-</v>
      </c>
      <c r="J132" s="19">
        <f>IFERROR(__xludf.DUMMYFUNCTION("""COMPUTED_VALUE"""),0.00187)</f>
        <v>0.00187</v>
      </c>
      <c r="K132" s="19">
        <f>IFERROR(__xludf.DUMMYFUNCTION("""COMPUTED_VALUE"""),0.03807)</f>
        <v>0.03807</v>
      </c>
      <c r="L132" s="19" t="str">
        <f>IFERROR(__xludf.DUMMYFUNCTION("""COMPUTED_VALUE"""),"-")</f>
        <v>-</v>
      </c>
      <c r="M132" s="19">
        <f>IFERROR(__xludf.DUMMYFUNCTION("""COMPUTED_VALUE"""),0.03988)</f>
        <v>0.03988</v>
      </c>
    </row>
    <row r="133">
      <c r="A133" s="12" t="s">
        <v>6223</v>
      </c>
      <c r="G133" s="19">
        <f>IFERROR(__xludf.DUMMYFUNCTION("SPLIT(A131, "" |"")"),129.0)</f>
        <v>129</v>
      </c>
      <c r="H133" s="19">
        <f>IFERROR(__xludf.DUMMYFUNCTION("""COMPUTED_VALUE"""),0.00213)</f>
        <v>0.00213</v>
      </c>
      <c r="I133" s="19" t="str">
        <f>IFERROR(__xludf.DUMMYFUNCTION("""COMPUTED_VALUE"""),"-")</f>
        <v>-</v>
      </c>
      <c r="J133" s="19">
        <f>IFERROR(__xludf.DUMMYFUNCTION("""COMPUTED_VALUE"""),0.00203)</f>
        <v>0.00203</v>
      </c>
      <c r="K133" s="19">
        <f>IFERROR(__xludf.DUMMYFUNCTION("""COMPUTED_VALUE"""),0.03907)</f>
        <v>0.03907</v>
      </c>
      <c r="L133" s="19" t="str">
        <f>IFERROR(__xludf.DUMMYFUNCTION("""COMPUTED_VALUE"""),"-")</f>
        <v>-</v>
      </c>
      <c r="M133" s="19">
        <f>IFERROR(__xludf.DUMMYFUNCTION("""COMPUTED_VALUE"""),0.03981)</f>
        <v>0.03981</v>
      </c>
    </row>
    <row r="134">
      <c r="A134" s="12" t="s">
        <v>6224</v>
      </c>
      <c r="G134" s="19">
        <f>IFERROR(__xludf.DUMMYFUNCTION("SPLIT(A132, "" |"")"),130.0)</f>
        <v>130</v>
      </c>
      <c r="H134" s="19">
        <f>IFERROR(__xludf.DUMMYFUNCTION("""COMPUTED_VALUE"""),0.00213)</f>
        <v>0.00213</v>
      </c>
      <c r="I134" s="19" t="str">
        <f>IFERROR(__xludf.DUMMYFUNCTION("""COMPUTED_VALUE"""),"-")</f>
        <v>-</v>
      </c>
      <c r="J134" s="19">
        <f>IFERROR(__xludf.DUMMYFUNCTION("""COMPUTED_VALUE"""),0.00197)</f>
        <v>0.00197</v>
      </c>
      <c r="K134" s="19">
        <f>IFERROR(__xludf.DUMMYFUNCTION("""COMPUTED_VALUE"""),0.03964)</f>
        <v>0.03964</v>
      </c>
      <c r="L134" s="19" t="str">
        <f>IFERROR(__xludf.DUMMYFUNCTION("""COMPUTED_VALUE"""),"-")</f>
        <v>-</v>
      </c>
      <c r="M134" s="19">
        <f>IFERROR(__xludf.DUMMYFUNCTION("""COMPUTED_VALUE"""),0.03961)</f>
        <v>0.03961</v>
      </c>
    </row>
    <row r="135">
      <c r="A135" s="12" t="s">
        <v>6225</v>
      </c>
      <c r="G135" s="19">
        <f>IFERROR(__xludf.DUMMYFUNCTION("SPLIT(A133, "" |"")"),131.0)</f>
        <v>131</v>
      </c>
      <c r="H135" s="19">
        <f>IFERROR(__xludf.DUMMYFUNCTION("""COMPUTED_VALUE"""),0.00211)</f>
        <v>0.00211</v>
      </c>
      <c r="I135" s="19" t="str">
        <f>IFERROR(__xludf.DUMMYFUNCTION("""COMPUTED_VALUE"""),"-")</f>
        <v>-</v>
      </c>
      <c r="J135" s="19">
        <f>IFERROR(__xludf.DUMMYFUNCTION("""COMPUTED_VALUE"""),0.002)</f>
        <v>0.002</v>
      </c>
      <c r="K135" s="19">
        <f>IFERROR(__xludf.DUMMYFUNCTION("""COMPUTED_VALUE"""),0.0397)</f>
        <v>0.0397</v>
      </c>
      <c r="L135" s="19" t="str">
        <f>IFERROR(__xludf.DUMMYFUNCTION("""COMPUTED_VALUE"""),"-")</f>
        <v>-</v>
      </c>
      <c r="M135" s="19">
        <f>IFERROR(__xludf.DUMMYFUNCTION("""COMPUTED_VALUE"""),0.03975)</f>
        <v>0.03975</v>
      </c>
    </row>
    <row r="136">
      <c r="A136" s="12" t="s">
        <v>6226</v>
      </c>
      <c r="G136" s="19">
        <f>IFERROR(__xludf.DUMMYFUNCTION("SPLIT(A134, "" |"")"),132.0)</f>
        <v>132</v>
      </c>
      <c r="H136" s="19">
        <f>IFERROR(__xludf.DUMMYFUNCTION("""COMPUTED_VALUE"""),0.0022)</f>
        <v>0.0022</v>
      </c>
      <c r="I136" s="19" t="str">
        <f>IFERROR(__xludf.DUMMYFUNCTION("""COMPUTED_VALUE"""),"-")</f>
        <v>-</v>
      </c>
      <c r="J136" s="19">
        <f>IFERROR(__xludf.DUMMYFUNCTION("""COMPUTED_VALUE"""),0.002)</f>
        <v>0.002</v>
      </c>
      <c r="K136" s="19">
        <f>IFERROR(__xludf.DUMMYFUNCTION("""COMPUTED_VALUE"""),0.03969)</f>
        <v>0.03969</v>
      </c>
      <c r="L136" s="19" t="str">
        <f>IFERROR(__xludf.DUMMYFUNCTION("""COMPUTED_VALUE"""),"-")</f>
        <v>-</v>
      </c>
      <c r="M136" s="19">
        <f>IFERROR(__xludf.DUMMYFUNCTION("""COMPUTED_VALUE"""),0.03991)</f>
        <v>0.03991</v>
      </c>
    </row>
    <row r="137">
      <c r="A137" s="12" t="s">
        <v>6227</v>
      </c>
      <c r="G137" s="19">
        <f>IFERROR(__xludf.DUMMYFUNCTION("SPLIT(A135, "" |"")"),133.0)</f>
        <v>133</v>
      </c>
      <c r="H137" s="19">
        <f>IFERROR(__xludf.DUMMYFUNCTION("""COMPUTED_VALUE"""),0.00216)</f>
        <v>0.00216</v>
      </c>
      <c r="I137" s="19" t="str">
        <f>IFERROR(__xludf.DUMMYFUNCTION("""COMPUTED_VALUE"""),"-")</f>
        <v>-</v>
      </c>
      <c r="J137" s="19">
        <f>IFERROR(__xludf.DUMMYFUNCTION("""COMPUTED_VALUE"""),0.00206)</f>
        <v>0.00206</v>
      </c>
      <c r="K137" s="19">
        <f>IFERROR(__xludf.DUMMYFUNCTION("""COMPUTED_VALUE"""),0.03971)</f>
        <v>0.03971</v>
      </c>
      <c r="L137" s="19" t="str">
        <f>IFERROR(__xludf.DUMMYFUNCTION("""COMPUTED_VALUE"""),"-")</f>
        <v>-</v>
      </c>
      <c r="M137" s="19">
        <f>IFERROR(__xludf.DUMMYFUNCTION("""COMPUTED_VALUE"""),0.0394)</f>
        <v>0.0394</v>
      </c>
    </row>
    <row r="138">
      <c r="A138" s="12" t="s">
        <v>6228</v>
      </c>
      <c r="G138" s="19">
        <f>IFERROR(__xludf.DUMMYFUNCTION("SPLIT(A136, "" |"")"),134.0)</f>
        <v>134</v>
      </c>
      <c r="H138" s="19">
        <f>IFERROR(__xludf.DUMMYFUNCTION("""COMPUTED_VALUE"""),0.00212)</f>
        <v>0.00212</v>
      </c>
      <c r="I138" s="19" t="str">
        <f>IFERROR(__xludf.DUMMYFUNCTION("""COMPUTED_VALUE"""),"-")</f>
        <v>-</v>
      </c>
      <c r="J138" s="19">
        <f>IFERROR(__xludf.DUMMYFUNCTION("""COMPUTED_VALUE"""),0.00197)</f>
        <v>0.00197</v>
      </c>
      <c r="K138" s="19">
        <f>IFERROR(__xludf.DUMMYFUNCTION("""COMPUTED_VALUE"""),0.0397)</f>
        <v>0.0397</v>
      </c>
      <c r="L138" s="19" t="str">
        <f>IFERROR(__xludf.DUMMYFUNCTION("""COMPUTED_VALUE"""),"-")</f>
        <v>-</v>
      </c>
      <c r="M138" s="19">
        <f>IFERROR(__xludf.DUMMYFUNCTION("""COMPUTED_VALUE"""),0.03938)</f>
        <v>0.03938</v>
      </c>
    </row>
    <row r="139">
      <c r="A139" s="12" t="s">
        <v>6229</v>
      </c>
      <c r="G139" s="19">
        <f>IFERROR(__xludf.DUMMYFUNCTION("SPLIT(A137, "" |"")"),135.0)</f>
        <v>135</v>
      </c>
      <c r="H139" s="19">
        <f>IFERROR(__xludf.DUMMYFUNCTION("""COMPUTED_VALUE"""),0.00222)</f>
        <v>0.00222</v>
      </c>
      <c r="I139" s="19" t="str">
        <f>IFERROR(__xludf.DUMMYFUNCTION("""COMPUTED_VALUE"""),"-")</f>
        <v>-</v>
      </c>
      <c r="J139" s="19">
        <f>IFERROR(__xludf.DUMMYFUNCTION("""COMPUTED_VALUE"""),0.00191)</f>
        <v>0.00191</v>
      </c>
      <c r="K139" s="19">
        <f>IFERROR(__xludf.DUMMYFUNCTION("""COMPUTED_VALUE"""),0.03758)</f>
        <v>0.03758</v>
      </c>
      <c r="L139" s="19" t="str">
        <f>IFERROR(__xludf.DUMMYFUNCTION("""COMPUTED_VALUE"""),"-")</f>
        <v>-</v>
      </c>
      <c r="M139" s="19">
        <f>IFERROR(__xludf.DUMMYFUNCTION("""COMPUTED_VALUE"""),0.03998)</f>
        <v>0.03998</v>
      </c>
    </row>
    <row r="140">
      <c r="A140" s="12" t="s">
        <v>6230</v>
      </c>
      <c r="G140" s="19">
        <f>IFERROR(__xludf.DUMMYFUNCTION("SPLIT(A138, "" |"")"),136.0)</f>
        <v>136</v>
      </c>
      <c r="H140" s="19">
        <f>IFERROR(__xludf.DUMMYFUNCTION("""COMPUTED_VALUE"""),0.00212)</f>
        <v>0.00212</v>
      </c>
      <c r="I140" s="19" t="str">
        <f>IFERROR(__xludf.DUMMYFUNCTION("""COMPUTED_VALUE"""),"-")</f>
        <v>-</v>
      </c>
      <c r="J140" s="19">
        <f>IFERROR(__xludf.DUMMYFUNCTION("""COMPUTED_VALUE"""),0.00203)</f>
        <v>0.00203</v>
      </c>
      <c r="K140" s="19">
        <f>IFERROR(__xludf.DUMMYFUNCTION("""COMPUTED_VALUE"""),0.03961)</f>
        <v>0.03961</v>
      </c>
      <c r="L140" s="19" t="str">
        <f>IFERROR(__xludf.DUMMYFUNCTION("""COMPUTED_VALUE"""),"-")</f>
        <v>-</v>
      </c>
      <c r="M140" s="19">
        <f>IFERROR(__xludf.DUMMYFUNCTION("""COMPUTED_VALUE"""),0.03989)</f>
        <v>0.03989</v>
      </c>
    </row>
    <row r="141">
      <c r="A141" s="12" t="s">
        <v>6231</v>
      </c>
      <c r="G141" s="19">
        <f>IFERROR(__xludf.DUMMYFUNCTION("SPLIT(A139, "" |"")"),137.0)</f>
        <v>137</v>
      </c>
      <c r="H141" s="19">
        <f>IFERROR(__xludf.DUMMYFUNCTION("""COMPUTED_VALUE"""),0.00215)</f>
        <v>0.00215</v>
      </c>
      <c r="I141" s="19" t="str">
        <f>IFERROR(__xludf.DUMMYFUNCTION("""COMPUTED_VALUE"""),"-")</f>
        <v>-</v>
      </c>
      <c r="J141" s="19">
        <f>IFERROR(__xludf.DUMMYFUNCTION("""COMPUTED_VALUE"""),0.00201)</f>
        <v>0.00201</v>
      </c>
      <c r="K141" s="19">
        <f>IFERROR(__xludf.DUMMYFUNCTION("""COMPUTED_VALUE"""),0.03904)</f>
        <v>0.03904</v>
      </c>
      <c r="L141" s="19" t="str">
        <f>IFERROR(__xludf.DUMMYFUNCTION("""COMPUTED_VALUE"""),"-")</f>
        <v>-</v>
      </c>
      <c r="M141" s="19">
        <f>IFERROR(__xludf.DUMMYFUNCTION("""COMPUTED_VALUE"""),0.04027)</f>
        <v>0.04027</v>
      </c>
    </row>
    <row r="142">
      <c r="A142" s="12" t="s">
        <v>6232</v>
      </c>
      <c r="G142" s="19">
        <f>IFERROR(__xludf.DUMMYFUNCTION("SPLIT(A140, "" |"")"),138.0)</f>
        <v>138</v>
      </c>
      <c r="H142" s="19">
        <f>IFERROR(__xludf.DUMMYFUNCTION("""COMPUTED_VALUE"""),0.00229)</f>
        <v>0.00229</v>
      </c>
      <c r="I142" s="19" t="str">
        <f>IFERROR(__xludf.DUMMYFUNCTION("""COMPUTED_VALUE"""),"-")</f>
        <v>-</v>
      </c>
      <c r="J142" s="19">
        <f>IFERROR(__xludf.DUMMYFUNCTION("""COMPUTED_VALUE"""),0.00201)</f>
        <v>0.00201</v>
      </c>
      <c r="K142" s="19">
        <f>IFERROR(__xludf.DUMMYFUNCTION("""COMPUTED_VALUE"""),0.03937)</f>
        <v>0.03937</v>
      </c>
      <c r="L142" s="19" t="str">
        <f>IFERROR(__xludf.DUMMYFUNCTION("""COMPUTED_VALUE"""),"-")</f>
        <v>-</v>
      </c>
      <c r="M142" s="19">
        <f>IFERROR(__xludf.DUMMYFUNCTION("""COMPUTED_VALUE"""),0.03991)</f>
        <v>0.03991</v>
      </c>
    </row>
    <row r="143">
      <c r="A143" s="12" t="s">
        <v>6233</v>
      </c>
      <c r="G143" s="19">
        <f>IFERROR(__xludf.DUMMYFUNCTION("SPLIT(A141, "" |"")"),139.0)</f>
        <v>139</v>
      </c>
      <c r="H143" s="19">
        <f>IFERROR(__xludf.DUMMYFUNCTION("""COMPUTED_VALUE"""),0.00208)</f>
        <v>0.00208</v>
      </c>
      <c r="I143" s="19" t="str">
        <f>IFERROR(__xludf.DUMMYFUNCTION("""COMPUTED_VALUE"""),"-")</f>
        <v>-</v>
      </c>
      <c r="J143" s="19">
        <f>IFERROR(__xludf.DUMMYFUNCTION("""COMPUTED_VALUE"""),0.00189)</f>
        <v>0.00189</v>
      </c>
      <c r="K143" s="19">
        <f>IFERROR(__xludf.DUMMYFUNCTION("""COMPUTED_VALUE"""),0.03843)</f>
        <v>0.03843</v>
      </c>
      <c r="L143" s="19" t="str">
        <f>IFERROR(__xludf.DUMMYFUNCTION("""COMPUTED_VALUE"""),"-")</f>
        <v>-</v>
      </c>
      <c r="M143" s="19">
        <f>IFERROR(__xludf.DUMMYFUNCTION("""COMPUTED_VALUE"""),0.03953)</f>
        <v>0.03953</v>
      </c>
    </row>
    <row r="144">
      <c r="A144" s="12" t="s">
        <v>6234</v>
      </c>
      <c r="G144" s="19">
        <f>IFERROR(__xludf.DUMMYFUNCTION("SPLIT(A142, "" |"")"),140.0)</f>
        <v>140</v>
      </c>
      <c r="H144" s="19">
        <f>IFERROR(__xludf.DUMMYFUNCTION("""COMPUTED_VALUE"""),0.0021)</f>
        <v>0.0021</v>
      </c>
      <c r="I144" s="19" t="str">
        <f>IFERROR(__xludf.DUMMYFUNCTION("""COMPUTED_VALUE"""),"-")</f>
        <v>-</v>
      </c>
      <c r="J144" s="19">
        <f>IFERROR(__xludf.DUMMYFUNCTION("""COMPUTED_VALUE"""),0.00193)</f>
        <v>0.00193</v>
      </c>
      <c r="K144" s="19">
        <f>IFERROR(__xludf.DUMMYFUNCTION("""COMPUTED_VALUE"""),0.03968)</f>
        <v>0.03968</v>
      </c>
      <c r="L144" s="19" t="str">
        <f>IFERROR(__xludf.DUMMYFUNCTION("""COMPUTED_VALUE"""),"-")</f>
        <v>-</v>
      </c>
      <c r="M144" s="19">
        <f>IFERROR(__xludf.DUMMYFUNCTION("""COMPUTED_VALUE"""),0.03729)</f>
        <v>0.03729</v>
      </c>
    </row>
    <row r="145">
      <c r="A145" s="12" t="s">
        <v>6235</v>
      </c>
      <c r="G145" s="19">
        <f>IFERROR(__xludf.DUMMYFUNCTION("SPLIT(A143, "" |"")"),141.0)</f>
        <v>141</v>
      </c>
      <c r="H145" s="19">
        <f>IFERROR(__xludf.DUMMYFUNCTION("""COMPUTED_VALUE"""),0.00219)</f>
        <v>0.00219</v>
      </c>
      <c r="I145" s="19" t="str">
        <f>IFERROR(__xludf.DUMMYFUNCTION("""COMPUTED_VALUE"""),"-")</f>
        <v>-</v>
      </c>
      <c r="J145" s="19">
        <f>IFERROR(__xludf.DUMMYFUNCTION("""COMPUTED_VALUE"""),0.00192)</f>
        <v>0.00192</v>
      </c>
      <c r="K145" s="19">
        <f>IFERROR(__xludf.DUMMYFUNCTION("""COMPUTED_VALUE"""),0.03974)</f>
        <v>0.03974</v>
      </c>
      <c r="L145" s="19" t="str">
        <f>IFERROR(__xludf.DUMMYFUNCTION("""COMPUTED_VALUE"""),"-")</f>
        <v>-</v>
      </c>
      <c r="M145" s="19">
        <f>IFERROR(__xludf.DUMMYFUNCTION("""COMPUTED_VALUE"""),0.03981)</f>
        <v>0.03981</v>
      </c>
    </row>
    <row r="146">
      <c r="A146" s="12" t="s">
        <v>6236</v>
      </c>
      <c r="G146" s="19">
        <f>IFERROR(__xludf.DUMMYFUNCTION("SPLIT(A144, "" |"")"),142.0)</f>
        <v>142</v>
      </c>
      <c r="H146" s="19">
        <f>IFERROR(__xludf.DUMMYFUNCTION("""COMPUTED_VALUE"""),0.00202)</f>
        <v>0.00202</v>
      </c>
      <c r="I146" s="19" t="str">
        <f>IFERROR(__xludf.DUMMYFUNCTION("""COMPUTED_VALUE"""),"-")</f>
        <v>-</v>
      </c>
      <c r="J146" s="19">
        <f>IFERROR(__xludf.DUMMYFUNCTION("""COMPUTED_VALUE"""),0.0019)</f>
        <v>0.0019</v>
      </c>
      <c r="K146" s="19">
        <f>IFERROR(__xludf.DUMMYFUNCTION("""COMPUTED_VALUE"""),0.03703)</f>
        <v>0.03703</v>
      </c>
      <c r="L146" s="19" t="str">
        <f>IFERROR(__xludf.DUMMYFUNCTION("""COMPUTED_VALUE"""),"-")</f>
        <v>-</v>
      </c>
      <c r="M146" s="19">
        <f>IFERROR(__xludf.DUMMYFUNCTION("""COMPUTED_VALUE"""),0.03991)</f>
        <v>0.03991</v>
      </c>
    </row>
    <row r="147">
      <c r="A147" s="12" t="s">
        <v>6237</v>
      </c>
      <c r="G147" s="19">
        <f>IFERROR(__xludf.DUMMYFUNCTION("SPLIT(A145, "" |"")"),143.0)</f>
        <v>143</v>
      </c>
      <c r="H147" s="19">
        <f>IFERROR(__xludf.DUMMYFUNCTION("""COMPUTED_VALUE"""),0.00209)</f>
        <v>0.00209</v>
      </c>
      <c r="I147" s="19" t="str">
        <f>IFERROR(__xludf.DUMMYFUNCTION("""COMPUTED_VALUE"""),"-")</f>
        <v>-</v>
      </c>
      <c r="J147" s="19">
        <f>IFERROR(__xludf.DUMMYFUNCTION("""COMPUTED_VALUE"""),0.00192)</f>
        <v>0.00192</v>
      </c>
      <c r="K147" s="19">
        <f>IFERROR(__xludf.DUMMYFUNCTION("""COMPUTED_VALUE"""),0.04008)</f>
        <v>0.04008</v>
      </c>
      <c r="L147" s="19" t="str">
        <f>IFERROR(__xludf.DUMMYFUNCTION("""COMPUTED_VALUE"""),"-")</f>
        <v>-</v>
      </c>
      <c r="M147" s="19">
        <f>IFERROR(__xludf.DUMMYFUNCTION("""COMPUTED_VALUE"""),0.03946)</f>
        <v>0.03946</v>
      </c>
    </row>
    <row r="148">
      <c r="A148" s="12" t="s">
        <v>6238</v>
      </c>
      <c r="G148" s="19">
        <f>IFERROR(__xludf.DUMMYFUNCTION("SPLIT(A146, "" |"")"),144.0)</f>
        <v>144</v>
      </c>
      <c r="H148" s="19">
        <f>IFERROR(__xludf.DUMMYFUNCTION("""COMPUTED_VALUE"""),0.00212)</f>
        <v>0.00212</v>
      </c>
      <c r="I148" s="19" t="str">
        <f>IFERROR(__xludf.DUMMYFUNCTION("""COMPUTED_VALUE"""),"-")</f>
        <v>-</v>
      </c>
      <c r="J148" s="19">
        <f>IFERROR(__xludf.DUMMYFUNCTION("""COMPUTED_VALUE"""),0.00199)</f>
        <v>0.00199</v>
      </c>
      <c r="K148" s="19">
        <f>IFERROR(__xludf.DUMMYFUNCTION("""COMPUTED_VALUE"""),0.03974)</f>
        <v>0.03974</v>
      </c>
      <c r="L148" s="19" t="str">
        <f>IFERROR(__xludf.DUMMYFUNCTION("""COMPUTED_VALUE"""),"-")</f>
        <v>-</v>
      </c>
      <c r="M148" s="19">
        <f>IFERROR(__xludf.DUMMYFUNCTION("""COMPUTED_VALUE"""),0.0398)</f>
        <v>0.0398</v>
      </c>
    </row>
    <row r="149">
      <c r="A149" s="12" t="s">
        <v>6239</v>
      </c>
      <c r="G149" s="19">
        <f>IFERROR(__xludf.DUMMYFUNCTION("SPLIT(A147, "" |"")"),145.0)</f>
        <v>145</v>
      </c>
      <c r="H149" s="19">
        <f>IFERROR(__xludf.DUMMYFUNCTION("""COMPUTED_VALUE"""),0.00206)</f>
        <v>0.00206</v>
      </c>
      <c r="I149" s="19" t="str">
        <f>IFERROR(__xludf.DUMMYFUNCTION("""COMPUTED_VALUE"""),"-")</f>
        <v>-</v>
      </c>
      <c r="J149" s="19">
        <f>IFERROR(__xludf.DUMMYFUNCTION("""COMPUTED_VALUE"""),0.00195)</f>
        <v>0.00195</v>
      </c>
      <c r="K149" s="19">
        <f>IFERROR(__xludf.DUMMYFUNCTION("""COMPUTED_VALUE"""),0.03968)</f>
        <v>0.03968</v>
      </c>
      <c r="L149" s="19" t="str">
        <f>IFERROR(__xludf.DUMMYFUNCTION("""COMPUTED_VALUE"""),"-")</f>
        <v>-</v>
      </c>
      <c r="M149" s="19">
        <f>IFERROR(__xludf.DUMMYFUNCTION("""COMPUTED_VALUE"""),0.03974)</f>
        <v>0.03974</v>
      </c>
    </row>
    <row r="150">
      <c r="A150" s="12" t="s">
        <v>6240</v>
      </c>
      <c r="G150" s="19">
        <f>IFERROR(__xludf.DUMMYFUNCTION("SPLIT(A148, "" |"")"),146.0)</f>
        <v>146</v>
      </c>
      <c r="H150" s="19">
        <f>IFERROR(__xludf.DUMMYFUNCTION("""COMPUTED_VALUE"""),0.00202)</f>
        <v>0.00202</v>
      </c>
      <c r="I150" s="19" t="str">
        <f>IFERROR(__xludf.DUMMYFUNCTION("""COMPUTED_VALUE"""),"-")</f>
        <v>-</v>
      </c>
      <c r="J150" s="19">
        <f>IFERROR(__xludf.DUMMYFUNCTION("""COMPUTED_VALUE"""),0.00191)</f>
        <v>0.00191</v>
      </c>
      <c r="K150" s="19">
        <f>IFERROR(__xludf.DUMMYFUNCTION("""COMPUTED_VALUE"""),0.03706)</f>
        <v>0.03706</v>
      </c>
      <c r="L150" s="19" t="str">
        <f>IFERROR(__xludf.DUMMYFUNCTION("""COMPUTED_VALUE"""),"-")</f>
        <v>-</v>
      </c>
      <c r="M150" s="19">
        <f>IFERROR(__xludf.DUMMYFUNCTION("""COMPUTED_VALUE"""),0.03845)</f>
        <v>0.03845</v>
      </c>
    </row>
    <row r="151">
      <c r="A151" s="12" t="s">
        <v>6241</v>
      </c>
      <c r="G151" s="19">
        <f>IFERROR(__xludf.DUMMYFUNCTION("SPLIT(A149, "" |"")"),147.0)</f>
        <v>147</v>
      </c>
      <c r="H151" s="19">
        <f>IFERROR(__xludf.DUMMYFUNCTION("""COMPUTED_VALUE"""),0.00227)</f>
        <v>0.00227</v>
      </c>
      <c r="I151" s="19" t="str">
        <f>IFERROR(__xludf.DUMMYFUNCTION("""COMPUTED_VALUE"""),"-")</f>
        <v>-</v>
      </c>
      <c r="J151" s="19">
        <f>IFERROR(__xludf.DUMMYFUNCTION("""COMPUTED_VALUE"""),0.00212)</f>
        <v>0.00212</v>
      </c>
      <c r="K151" s="19">
        <f>IFERROR(__xludf.DUMMYFUNCTION("""COMPUTED_VALUE"""),0.03969)</f>
        <v>0.03969</v>
      </c>
      <c r="L151" s="19" t="str">
        <f>IFERROR(__xludf.DUMMYFUNCTION("""COMPUTED_VALUE"""),"-")</f>
        <v>-</v>
      </c>
      <c r="M151" s="19">
        <f>IFERROR(__xludf.DUMMYFUNCTION("""COMPUTED_VALUE"""),0.03973)</f>
        <v>0.03973</v>
      </c>
    </row>
    <row r="152">
      <c r="A152" s="12" t="s">
        <v>6242</v>
      </c>
      <c r="G152" s="19">
        <f>IFERROR(__xludf.DUMMYFUNCTION("SPLIT(A150, "" |"")"),148.0)</f>
        <v>148</v>
      </c>
      <c r="H152" s="19">
        <f>IFERROR(__xludf.DUMMYFUNCTION("""COMPUTED_VALUE"""),0.00196)</f>
        <v>0.00196</v>
      </c>
      <c r="I152" s="19" t="str">
        <f>IFERROR(__xludf.DUMMYFUNCTION("""COMPUTED_VALUE"""),"-")</f>
        <v>-</v>
      </c>
      <c r="J152" s="19">
        <f>IFERROR(__xludf.DUMMYFUNCTION("""COMPUTED_VALUE"""),0.00187)</f>
        <v>0.00187</v>
      </c>
      <c r="K152" s="19">
        <f>IFERROR(__xludf.DUMMYFUNCTION("""COMPUTED_VALUE"""),0.04063)</f>
        <v>0.04063</v>
      </c>
      <c r="L152" s="19" t="str">
        <f>IFERROR(__xludf.DUMMYFUNCTION("""COMPUTED_VALUE"""),"-")</f>
        <v>-</v>
      </c>
      <c r="M152" s="19">
        <f>IFERROR(__xludf.DUMMYFUNCTION("""COMPUTED_VALUE"""),0.03802)</f>
        <v>0.03802</v>
      </c>
    </row>
    <row r="153">
      <c r="A153" s="12" t="s">
        <v>6243</v>
      </c>
      <c r="G153" s="19">
        <f>IFERROR(__xludf.DUMMYFUNCTION("SPLIT(A151, "" |"")"),149.0)</f>
        <v>149</v>
      </c>
      <c r="H153" s="19">
        <f>IFERROR(__xludf.DUMMYFUNCTION("""COMPUTED_VALUE"""),0.002)</f>
        <v>0.002</v>
      </c>
      <c r="I153" s="19" t="str">
        <f>IFERROR(__xludf.DUMMYFUNCTION("""COMPUTED_VALUE"""),"-")</f>
        <v>-</v>
      </c>
      <c r="J153" s="19">
        <f>IFERROR(__xludf.DUMMYFUNCTION("""COMPUTED_VALUE"""),0.00227)</f>
        <v>0.00227</v>
      </c>
      <c r="K153" s="19">
        <f>IFERROR(__xludf.DUMMYFUNCTION("""COMPUTED_VALUE"""),0.03964)</f>
        <v>0.03964</v>
      </c>
      <c r="L153" s="19" t="str">
        <f>IFERROR(__xludf.DUMMYFUNCTION("""COMPUTED_VALUE"""),"-")</f>
        <v>-</v>
      </c>
      <c r="M153" s="19">
        <f>IFERROR(__xludf.DUMMYFUNCTION("""COMPUTED_VALUE"""),0.03986)</f>
        <v>0.03986</v>
      </c>
    </row>
    <row r="154">
      <c r="A154" s="12" t="s">
        <v>6244</v>
      </c>
      <c r="G154" s="19">
        <f>IFERROR(__xludf.DUMMYFUNCTION("SPLIT(A152, "" |"")"),150.0)</f>
        <v>150</v>
      </c>
      <c r="H154" s="19">
        <f>IFERROR(__xludf.DUMMYFUNCTION("""COMPUTED_VALUE"""),0.0024)</f>
        <v>0.0024</v>
      </c>
      <c r="I154" s="19" t="str">
        <f>IFERROR(__xludf.DUMMYFUNCTION("""COMPUTED_VALUE"""),"-")</f>
        <v>-</v>
      </c>
      <c r="J154" s="19">
        <f>IFERROR(__xludf.DUMMYFUNCTION("""COMPUTED_VALUE"""),0.00212)</f>
        <v>0.00212</v>
      </c>
      <c r="K154" s="19">
        <f>IFERROR(__xludf.DUMMYFUNCTION("""COMPUTED_VALUE"""),0.03599)</f>
        <v>0.03599</v>
      </c>
      <c r="L154" s="19" t="str">
        <f>IFERROR(__xludf.DUMMYFUNCTION("""COMPUTED_VALUE"""),"-")</f>
        <v>-</v>
      </c>
      <c r="M154" s="19">
        <f>IFERROR(__xludf.DUMMYFUNCTION("""COMPUTED_VALUE"""),0.04006)</f>
        <v>0.04006</v>
      </c>
    </row>
    <row r="155">
      <c r="A155" s="12" t="s">
        <v>6245</v>
      </c>
      <c r="G155" s="19">
        <f>IFERROR(__xludf.DUMMYFUNCTION("SPLIT(A153, "" |"")"),151.0)</f>
        <v>151</v>
      </c>
      <c r="H155" s="19">
        <f>IFERROR(__xludf.DUMMYFUNCTION("""COMPUTED_VALUE"""),0.00234)</f>
        <v>0.00234</v>
      </c>
      <c r="I155" s="19" t="str">
        <f>IFERROR(__xludf.DUMMYFUNCTION("""COMPUTED_VALUE"""),"-")</f>
        <v>-</v>
      </c>
      <c r="J155" s="19">
        <f>IFERROR(__xludf.DUMMYFUNCTION("""COMPUTED_VALUE"""),0.00198)</f>
        <v>0.00198</v>
      </c>
      <c r="K155" s="19">
        <f>IFERROR(__xludf.DUMMYFUNCTION("""COMPUTED_VALUE"""),0.03608)</f>
        <v>0.03608</v>
      </c>
      <c r="L155" s="19" t="str">
        <f>IFERROR(__xludf.DUMMYFUNCTION("""COMPUTED_VALUE"""),"-")</f>
        <v>-</v>
      </c>
      <c r="M155" s="19">
        <f>IFERROR(__xludf.DUMMYFUNCTION("""COMPUTED_VALUE"""),0.03661)</f>
        <v>0.03661</v>
      </c>
    </row>
    <row r="156">
      <c r="A156" s="12" t="s">
        <v>6246</v>
      </c>
      <c r="G156" s="19">
        <f>IFERROR(__xludf.DUMMYFUNCTION("SPLIT(A154, "" |"")"),152.0)</f>
        <v>152</v>
      </c>
      <c r="H156" s="19">
        <f>IFERROR(__xludf.DUMMYFUNCTION("""COMPUTED_VALUE"""),0.00229)</f>
        <v>0.00229</v>
      </c>
      <c r="I156" s="19" t="str">
        <f>IFERROR(__xludf.DUMMYFUNCTION("""COMPUTED_VALUE"""),"-")</f>
        <v>-</v>
      </c>
      <c r="J156" s="19">
        <f>IFERROR(__xludf.DUMMYFUNCTION("""COMPUTED_VALUE"""),0.00208)</f>
        <v>0.00208</v>
      </c>
      <c r="K156" s="19">
        <f>IFERROR(__xludf.DUMMYFUNCTION("""COMPUTED_VALUE"""),0.04029)</f>
        <v>0.04029</v>
      </c>
      <c r="L156" s="19" t="str">
        <f>IFERROR(__xludf.DUMMYFUNCTION("""COMPUTED_VALUE"""),"-")</f>
        <v>-</v>
      </c>
      <c r="M156" s="19">
        <f>IFERROR(__xludf.DUMMYFUNCTION("""COMPUTED_VALUE"""),0.04039)</f>
        <v>0.04039</v>
      </c>
    </row>
    <row r="157">
      <c r="A157" s="12" t="s">
        <v>6247</v>
      </c>
      <c r="G157" s="19">
        <f>IFERROR(__xludf.DUMMYFUNCTION("SPLIT(A155, "" |"")"),153.0)</f>
        <v>153</v>
      </c>
      <c r="H157" s="19">
        <f>IFERROR(__xludf.DUMMYFUNCTION("""COMPUTED_VALUE"""),0.00268)</f>
        <v>0.00268</v>
      </c>
      <c r="I157" s="19" t="str">
        <f>IFERROR(__xludf.DUMMYFUNCTION("""COMPUTED_VALUE"""),"-")</f>
        <v>-</v>
      </c>
      <c r="J157" s="19">
        <f>IFERROR(__xludf.DUMMYFUNCTION("""COMPUTED_VALUE"""),0.00218)</f>
        <v>0.00218</v>
      </c>
      <c r="K157" s="19">
        <f>IFERROR(__xludf.DUMMYFUNCTION("""COMPUTED_VALUE"""),0.03878)</f>
        <v>0.03878</v>
      </c>
      <c r="L157" s="19" t="str">
        <f>IFERROR(__xludf.DUMMYFUNCTION("""COMPUTED_VALUE"""),"-")</f>
        <v>-</v>
      </c>
      <c r="M157" s="19">
        <f>IFERROR(__xludf.DUMMYFUNCTION("""COMPUTED_VALUE"""),0.03878)</f>
        <v>0.03878</v>
      </c>
    </row>
    <row r="158">
      <c r="A158" s="12" t="s">
        <v>6248</v>
      </c>
      <c r="G158" s="19">
        <f>IFERROR(__xludf.DUMMYFUNCTION("SPLIT(A156, "" |"")"),154.0)</f>
        <v>154</v>
      </c>
      <c r="H158" s="19">
        <f>IFERROR(__xludf.DUMMYFUNCTION("""COMPUTED_VALUE"""),0.0021)</f>
        <v>0.0021</v>
      </c>
      <c r="I158" s="19" t="str">
        <f>IFERROR(__xludf.DUMMYFUNCTION("""COMPUTED_VALUE"""),"-")</f>
        <v>-</v>
      </c>
      <c r="J158" s="19">
        <f>IFERROR(__xludf.DUMMYFUNCTION("""COMPUTED_VALUE"""),0.00192)</f>
        <v>0.00192</v>
      </c>
      <c r="K158" s="19">
        <f>IFERROR(__xludf.DUMMYFUNCTION("""COMPUTED_VALUE"""),0.03896)</f>
        <v>0.03896</v>
      </c>
      <c r="L158" s="19" t="str">
        <f>IFERROR(__xludf.DUMMYFUNCTION("""COMPUTED_VALUE"""),"-")</f>
        <v>-</v>
      </c>
      <c r="M158" s="19">
        <f>IFERROR(__xludf.DUMMYFUNCTION("""COMPUTED_VALUE"""),0.0403)</f>
        <v>0.0403</v>
      </c>
    </row>
    <row r="159">
      <c r="A159" s="12" t="s">
        <v>6249</v>
      </c>
      <c r="G159" s="19">
        <f>IFERROR(__xludf.DUMMYFUNCTION("SPLIT(A157, "" |"")"),155.0)</f>
        <v>155</v>
      </c>
      <c r="H159" s="19">
        <f>IFERROR(__xludf.DUMMYFUNCTION("""COMPUTED_VALUE"""),0.00233)</f>
        <v>0.00233</v>
      </c>
      <c r="I159" s="19" t="str">
        <f>IFERROR(__xludf.DUMMYFUNCTION("""COMPUTED_VALUE"""),"-")</f>
        <v>-</v>
      </c>
      <c r="J159" s="19">
        <f>IFERROR(__xludf.DUMMYFUNCTION("""COMPUTED_VALUE"""),0.00207)</f>
        <v>0.00207</v>
      </c>
      <c r="K159" s="19">
        <f>IFERROR(__xludf.DUMMYFUNCTION("""COMPUTED_VALUE"""),0.04012)</f>
        <v>0.04012</v>
      </c>
      <c r="L159" s="19" t="str">
        <f>IFERROR(__xludf.DUMMYFUNCTION("""COMPUTED_VALUE"""),"-")</f>
        <v>-</v>
      </c>
      <c r="M159" s="19">
        <f>IFERROR(__xludf.DUMMYFUNCTION("""COMPUTED_VALUE"""),0.03761)</f>
        <v>0.03761</v>
      </c>
    </row>
    <row r="160">
      <c r="A160" s="12" t="s">
        <v>6250</v>
      </c>
      <c r="G160" s="19">
        <f>IFERROR(__xludf.DUMMYFUNCTION("SPLIT(A158, "" |"")"),156.0)</f>
        <v>156</v>
      </c>
      <c r="H160" s="19">
        <f>IFERROR(__xludf.DUMMYFUNCTION("""COMPUTED_VALUE"""),0.0024)</f>
        <v>0.0024</v>
      </c>
      <c r="I160" s="19" t="str">
        <f>IFERROR(__xludf.DUMMYFUNCTION("""COMPUTED_VALUE"""),"-")</f>
        <v>-</v>
      </c>
      <c r="J160" s="19">
        <f>IFERROR(__xludf.DUMMYFUNCTION("""COMPUTED_VALUE"""),0.00244)</f>
        <v>0.00244</v>
      </c>
      <c r="K160" s="19">
        <f>IFERROR(__xludf.DUMMYFUNCTION("""COMPUTED_VALUE"""),0.03935)</f>
        <v>0.03935</v>
      </c>
      <c r="L160" s="19" t="str">
        <f>IFERROR(__xludf.DUMMYFUNCTION("""COMPUTED_VALUE"""),"-")</f>
        <v>-</v>
      </c>
      <c r="M160" s="19">
        <f>IFERROR(__xludf.DUMMYFUNCTION("""COMPUTED_VALUE"""),0.03967)</f>
        <v>0.03967</v>
      </c>
    </row>
    <row r="161">
      <c r="A161" s="12" t="s">
        <v>6251</v>
      </c>
      <c r="G161" s="19">
        <f>IFERROR(__xludf.DUMMYFUNCTION("SPLIT(A159, "" |"")"),157.0)</f>
        <v>157</v>
      </c>
      <c r="H161" s="19">
        <f>IFERROR(__xludf.DUMMYFUNCTION("""COMPUTED_VALUE"""),0.00219)</f>
        <v>0.00219</v>
      </c>
      <c r="I161" s="19" t="str">
        <f>IFERROR(__xludf.DUMMYFUNCTION("""COMPUTED_VALUE"""),"-")</f>
        <v>-</v>
      </c>
      <c r="J161" s="19">
        <f>IFERROR(__xludf.DUMMYFUNCTION("""COMPUTED_VALUE"""),0.00206)</f>
        <v>0.00206</v>
      </c>
      <c r="K161" s="19">
        <f>IFERROR(__xludf.DUMMYFUNCTION("""COMPUTED_VALUE"""),0.03598)</f>
        <v>0.03598</v>
      </c>
      <c r="L161" s="19" t="str">
        <f>IFERROR(__xludf.DUMMYFUNCTION("""COMPUTED_VALUE"""),"-")</f>
        <v>-</v>
      </c>
      <c r="M161" s="19">
        <f>IFERROR(__xludf.DUMMYFUNCTION("""COMPUTED_VALUE"""),0.04)</f>
        <v>0.04</v>
      </c>
    </row>
    <row r="162">
      <c r="A162" s="12" t="s">
        <v>6252</v>
      </c>
      <c r="G162" s="19">
        <f>IFERROR(__xludf.DUMMYFUNCTION("SPLIT(A160, "" |"")"),158.0)</f>
        <v>158</v>
      </c>
      <c r="H162" s="19">
        <f>IFERROR(__xludf.DUMMYFUNCTION("""COMPUTED_VALUE"""),0.00267)</f>
        <v>0.00267</v>
      </c>
      <c r="I162" s="19" t="str">
        <f>IFERROR(__xludf.DUMMYFUNCTION("""COMPUTED_VALUE"""),"-")</f>
        <v>-</v>
      </c>
      <c r="J162" s="19">
        <f>IFERROR(__xludf.DUMMYFUNCTION("""COMPUTED_VALUE"""),0.0021)</f>
        <v>0.0021</v>
      </c>
      <c r="K162" s="19">
        <f>IFERROR(__xludf.DUMMYFUNCTION("""COMPUTED_VALUE"""),0.0397)</f>
        <v>0.0397</v>
      </c>
      <c r="L162" s="19" t="str">
        <f>IFERROR(__xludf.DUMMYFUNCTION("""COMPUTED_VALUE"""),"-")</f>
        <v>-</v>
      </c>
      <c r="M162" s="19">
        <f>IFERROR(__xludf.DUMMYFUNCTION("""COMPUTED_VALUE"""),0.03989)</f>
        <v>0.03989</v>
      </c>
    </row>
    <row r="163">
      <c r="A163" s="12" t="s">
        <v>6253</v>
      </c>
      <c r="G163" s="19">
        <f>IFERROR(__xludf.DUMMYFUNCTION("SPLIT(A161, "" |"")"),159.0)</f>
        <v>159</v>
      </c>
      <c r="H163" s="19">
        <f>IFERROR(__xludf.DUMMYFUNCTION("""COMPUTED_VALUE"""),0.00213)</f>
        <v>0.00213</v>
      </c>
      <c r="I163" s="19" t="str">
        <f>IFERROR(__xludf.DUMMYFUNCTION("""COMPUTED_VALUE"""),"-")</f>
        <v>-</v>
      </c>
      <c r="J163" s="19">
        <f>IFERROR(__xludf.DUMMYFUNCTION("""COMPUTED_VALUE"""),0.00206)</f>
        <v>0.00206</v>
      </c>
      <c r="K163" s="19">
        <f>IFERROR(__xludf.DUMMYFUNCTION("""COMPUTED_VALUE"""),0.03796)</f>
        <v>0.03796</v>
      </c>
      <c r="L163" s="19" t="str">
        <f>IFERROR(__xludf.DUMMYFUNCTION("""COMPUTED_VALUE"""),"-")</f>
        <v>-</v>
      </c>
      <c r="M163" s="19">
        <f>IFERROR(__xludf.DUMMYFUNCTION("""COMPUTED_VALUE"""),0.03984)</f>
        <v>0.03984</v>
      </c>
    </row>
    <row r="164">
      <c r="A164" s="12" t="s">
        <v>6254</v>
      </c>
      <c r="G164" s="19">
        <f>IFERROR(__xludf.DUMMYFUNCTION("SPLIT(A162, "" |"")"),160.0)</f>
        <v>160</v>
      </c>
      <c r="H164" s="19">
        <f>IFERROR(__xludf.DUMMYFUNCTION("""COMPUTED_VALUE"""),0.00211)</f>
        <v>0.00211</v>
      </c>
      <c r="I164" s="19" t="str">
        <f>IFERROR(__xludf.DUMMYFUNCTION("""COMPUTED_VALUE"""),"-")</f>
        <v>-</v>
      </c>
      <c r="J164" s="19">
        <f>IFERROR(__xludf.DUMMYFUNCTION("""COMPUTED_VALUE"""),0.00199)</f>
        <v>0.00199</v>
      </c>
      <c r="K164" s="19">
        <f>IFERROR(__xludf.DUMMYFUNCTION("""COMPUTED_VALUE"""),0.03559)</f>
        <v>0.03559</v>
      </c>
      <c r="L164" s="19" t="str">
        <f>IFERROR(__xludf.DUMMYFUNCTION("""COMPUTED_VALUE"""),"-")</f>
        <v>-</v>
      </c>
      <c r="M164" s="19">
        <f>IFERROR(__xludf.DUMMYFUNCTION("""COMPUTED_VALUE"""),0.03726)</f>
        <v>0.03726</v>
      </c>
    </row>
    <row r="165">
      <c r="A165" s="12" t="s">
        <v>6255</v>
      </c>
      <c r="G165" s="19">
        <f>IFERROR(__xludf.DUMMYFUNCTION("SPLIT(A163, "" |"")"),161.0)</f>
        <v>161</v>
      </c>
      <c r="H165" s="19">
        <f>IFERROR(__xludf.DUMMYFUNCTION("""COMPUTED_VALUE"""),0.00219)</f>
        <v>0.00219</v>
      </c>
      <c r="I165" s="19" t="str">
        <f>IFERROR(__xludf.DUMMYFUNCTION("""COMPUTED_VALUE"""),"-")</f>
        <v>-</v>
      </c>
      <c r="J165" s="19">
        <f>IFERROR(__xludf.DUMMYFUNCTION("""COMPUTED_VALUE"""),0.00186)</f>
        <v>0.00186</v>
      </c>
      <c r="K165" s="19">
        <f>IFERROR(__xludf.DUMMYFUNCTION("""COMPUTED_VALUE"""),0.03758)</f>
        <v>0.03758</v>
      </c>
      <c r="L165" s="19" t="str">
        <f>IFERROR(__xludf.DUMMYFUNCTION("""COMPUTED_VALUE"""),"-")</f>
        <v>-</v>
      </c>
      <c r="M165" s="19">
        <f>IFERROR(__xludf.DUMMYFUNCTION("""COMPUTED_VALUE"""),0.04002)</f>
        <v>0.04002</v>
      </c>
    </row>
    <row r="166">
      <c r="A166" s="12" t="s">
        <v>6256</v>
      </c>
      <c r="G166" s="19">
        <f>IFERROR(__xludf.DUMMYFUNCTION("SPLIT(A164, "" |"")"),162.0)</f>
        <v>162</v>
      </c>
      <c r="H166" s="19">
        <f>IFERROR(__xludf.DUMMYFUNCTION("""COMPUTED_VALUE"""),0.00223)</f>
        <v>0.00223</v>
      </c>
      <c r="I166" s="19" t="str">
        <f>IFERROR(__xludf.DUMMYFUNCTION("""COMPUTED_VALUE"""),"-")</f>
        <v>-</v>
      </c>
      <c r="J166" s="19">
        <f>IFERROR(__xludf.DUMMYFUNCTION("""COMPUTED_VALUE"""),0.00214)</f>
        <v>0.00214</v>
      </c>
      <c r="K166" s="19">
        <f>IFERROR(__xludf.DUMMYFUNCTION("""COMPUTED_VALUE"""),0.03977)</f>
        <v>0.03977</v>
      </c>
      <c r="L166" s="19" t="str">
        <f>IFERROR(__xludf.DUMMYFUNCTION("""COMPUTED_VALUE"""),"-")</f>
        <v>-</v>
      </c>
      <c r="M166" s="19">
        <f>IFERROR(__xludf.DUMMYFUNCTION("""COMPUTED_VALUE"""),0.04007)</f>
        <v>0.04007</v>
      </c>
    </row>
    <row r="167">
      <c r="A167" s="12" t="s">
        <v>6257</v>
      </c>
      <c r="G167" s="19">
        <f>IFERROR(__xludf.DUMMYFUNCTION("SPLIT(A165, "" |"")"),163.0)</f>
        <v>163</v>
      </c>
      <c r="H167" s="19">
        <f>IFERROR(__xludf.DUMMYFUNCTION("""COMPUTED_VALUE"""),0.00225)</f>
        <v>0.00225</v>
      </c>
      <c r="I167" s="19" t="str">
        <f>IFERROR(__xludf.DUMMYFUNCTION("""COMPUTED_VALUE"""),"-")</f>
        <v>-</v>
      </c>
      <c r="J167" s="19">
        <f>IFERROR(__xludf.DUMMYFUNCTION("""COMPUTED_VALUE"""),0.00217)</f>
        <v>0.00217</v>
      </c>
      <c r="K167" s="19">
        <f>IFERROR(__xludf.DUMMYFUNCTION("""COMPUTED_VALUE"""),0.03802)</f>
        <v>0.03802</v>
      </c>
      <c r="L167" s="19" t="str">
        <f>IFERROR(__xludf.DUMMYFUNCTION("""COMPUTED_VALUE"""),"-")</f>
        <v>-</v>
      </c>
      <c r="M167" s="19">
        <f>IFERROR(__xludf.DUMMYFUNCTION("""COMPUTED_VALUE"""),0.03995)</f>
        <v>0.03995</v>
      </c>
    </row>
    <row r="168">
      <c r="A168" s="12" t="s">
        <v>6258</v>
      </c>
      <c r="G168" s="19">
        <f>IFERROR(__xludf.DUMMYFUNCTION("SPLIT(A166, "" |"")"),164.0)</f>
        <v>164</v>
      </c>
      <c r="H168" s="19">
        <f>IFERROR(__xludf.DUMMYFUNCTION("""COMPUTED_VALUE"""),0.00218)</f>
        <v>0.00218</v>
      </c>
      <c r="I168" s="19" t="str">
        <f>IFERROR(__xludf.DUMMYFUNCTION("""COMPUTED_VALUE"""),"-")</f>
        <v>-</v>
      </c>
      <c r="J168" s="19">
        <f>IFERROR(__xludf.DUMMYFUNCTION("""COMPUTED_VALUE"""),0.00195)</f>
        <v>0.00195</v>
      </c>
      <c r="K168" s="19">
        <f>IFERROR(__xludf.DUMMYFUNCTION("""COMPUTED_VALUE"""),0.03972)</f>
        <v>0.03972</v>
      </c>
      <c r="L168" s="19" t="str">
        <f>IFERROR(__xludf.DUMMYFUNCTION("""COMPUTED_VALUE"""),"-")</f>
        <v>-</v>
      </c>
      <c r="M168" s="19">
        <f>IFERROR(__xludf.DUMMYFUNCTION("""COMPUTED_VALUE"""),0.03424)</f>
        <v>0.03424</v>
      </c>
    </row>
    <row r="169">
      <c r="A169" s="12" t="s">
        <v>6259</v>
      </c>
      <c r="G169" s="19">
        <f>IFERROR(__xludf.DUMMYFUNCTION("SPLIT(A167, "" |"")"),165.0)</f>
        <v>165</v>
      </c>
      <c r="H169" s="19">
        <f>IFERROR(__xludf.DUMMYFUNCTION("""COMPUTED_VALUE"""),0.00257)</f>
        <v>0.00257</v>
      </c>
      <c r="I169" s="19" t="str">
        <f>IFERROR(__xludf.DUMMYFUNCTION("""COMPUTED_VALUE"""),"-")</f>
        <v>-</v>
      </c>
      <c r="J169" s="19">
        <f>IFERROR(__xludf.DUMMYFUNCTION("""COMPUTED_VALUE"""),0.00214)</f>
        <v>0.00214</v>
      </c>
      <c r="K169" s="19">
        <f>IFERROR(__xludf.DUMMYFUNCTION("""COMPUTED_VALUE"""),0.03849)</f>
        <v>0.03849</v>
      </c>
      <c r="L169" s="19" t="str">
        <f>IFERROR(__xludf.DUMMYFUNCTION("""COMPUTED_VALUE"""),"-")</f>
        <v>-</v>
      </c>
      <c r="M169" s="19">
        <f>IFERROR(__xludf.DUMMYFUNCTION("""COMPUTED_VALUE"""),0.03802)</f>
        <v>0.03802</v>
      </c>
    </row>
    <row r="170">
      <c r="A170" s="12" t="s">
        <v>6260</v>
      </c>
      <c r="G170" s="19">
        <f>IFERROR(__xludf.DUMMYFUNCTION("SPLIT(A168, "" |"")"),166.0)</f>
        <v>166</v>
      </c>
      <c r="H170" s="19">
        <f>IFERROR(__xludf.DUMMYFUNCTION("""COMPUTED_VALUE"""),0.00231)</f>
        <v>0.00231</v>
      </c>
      <c r="I170" s="19" t="str">
        <f>IFERROR(__xludf.DUMMYFUNCTION("""COMPUTED_VALUE"""),"-")</f>
        <v>-</v>
      </c>
      <c r="J170" s="19">
        <f>IFERROR(__xludf.DUMMYFUNCTION("""COMPUTED_VALUE"""),0.00191)</f>
        <v>0.00191</v>
      </c>
      <c r="K170" s="19">
        <f>IFERROR(__xludf.DUMMYFUNCTION("""COMPUTED_VALUE"""),0.03697)</f>
        <v>0.03697</v>
      </c>
      <c r="L170" s="19" t="str">
        <f>IFERROR(__xludf.DUMMYFUNCTION("""COMPUTED_VALUE"""),"-")</f>
        <v>-</v>
      </c>
      <c r="M170" s="19">
        <f>IFERROR(__xludf.DUMMYFUNCTION("""COMPUTED_VALUE"""),0.03796)</f>
        <v>0.03796</v>
      </c>
    </row>
    <row r="171">
      <c r="A171" s="12" t="s">
        <v>6261</v>
      </c>
      <c r="G171" s="19">
        <f>IFERROR(__xludf.DUMMYFUNCTION("SPLIT(A169, "" |"")"),167.0)</f>
        <v>167</v>
      </c>
      <c r="H171" s="19">
        <f>IFERROR(__xludf.DUMMYFUNCTION("""COMPUTED_VALUE"""),0.00225)</f>
        <v>0.00225</v>
      </c>
      <c r="I171" s="19" t="str">
        <f>IFERROR(__xludf.DUMMYFUNCTION("""COMPUTED_VALUE"""),"-")</f>
        <v>-</v>
      </c>
      <c r="J171" s="19">
        <f>IFERROR(__xludf.DUMMYFUNCTION("""COMPUTED_VALUE"""),0.00204)</f>
        <v>0.00204</v>
      </c>
      <c r="K171" s="19">
        <f>IFERROR(__xludf.DUMMYFUNCTION("""COMPUTED_VALUE"""),0.03976)</f>
        <v>0.03976</v>
      </c>
      <c r="L171" s="19" t="str">
        <f>IFERROR(__xludf.DUMMYFUNCTION("""COMPUTED_VALUE"""),"-")</f>
        <v>-</v>
      </c>
      <c r="M171" s="19">
        <f>IFERROR(__xludf.DUMMYFUNCTION("""COMPUTED_VALUE"""),0.04012)</f>
        <v>0.04012</v>
      </c>
    </row>
    <row r="172">
      <c r="A172" s="12" t="s">
        <v>6262</v>
      </c>
      <c r="G172" s="19">
        <f>IFERROR(__xludf.DUMMYFUNCTION("SPLIT(A170, "" |"")"),168.0)</f>
        <v>168</v>
      </c>
      <c r="H172" s="19">
        <f>IFERROR(__xludf.DUMMYFUNCTION("""COMPUTED_VALUE"""),0.00243)</f>
        <v>0.00243</v>
      </c>
      <c r="I172" s="19" t="str">
        <f>IFERROR(__xludf.DUMMYFUNCTION("""COMPUTED_VALUE"""),"-")</f>
        <v>-</v>
      </c>
      <c r="J172" s="19">
        <f>IFERROR(__xludf.DUMMYFUNCTION("""COMPUTED_VALUE"""),0.00258)</f>
        <v>0.00258</v>
      </c>
      <c r="K172" s="19">
        <f>IFERROR(__xludf.DUMMYFUNCTION("""COMPUTED_VALUE"""),0.04005)</f>
        <v>0.04005</v>
      </c>
      <c r="L172" s="19" t="str">
        <f>IFERROR(__xludf.DUMMYFUNCTION("""COMPUTED_VALUE"""),"-")</f>
        <v>-</v>
      </c>
      <c r="M172" s="19">
        <f>IFERROR(__xludf.DUMMYFUNCTION("""COMPUTED_VALUE"""),0.03653)</f>
        <v>0.03653</v>
      </c>
    </row>
    <row r="173">
      <c r="A173" s="12" t="s">
        <v>6263</v>
      </c>
      <c r="G173" s="19">
        <f>IFERROR(__xludf.DUMMYFUNCTION("SPLIT(A171, "" |"")"),169.0)</f>
        <v>169</v>
      </c>
      <c r="H173" s="19">
        <f>IFERROR(__xludf.DUMMYFUNCTION("""COMPUTED_VALUE"""),0.00215)</f>
        <v>0.00215</v>
      </c>
      <c r="I173" s="19" t="str">
        <f>IFERROR(__xludf.DUMMYFUNCTION("""COMPUTED_VALUE"""),"-")</f>
        <v>-</v>
      </c>
      <c r="J173" s="19">
        <f>IFERROR(__xludf.DUMMYFUNCTION("""COMPUTED_VALUE"""),0.00209)</f>
        <v>0.00209</v>
      </c>
      <c r="K173" s="19">
        <f>IFERROR(__xludf.DUMMYFUNCTION("""COMPUTED_VALUE"""),0.03975)</f>
        <v>0.03975</v>
      </c>
      <c r="L173" s="19" t="str">
        <f>IFERROR(__xludf.DUMMYFUNCTION("""COMPUTED_VALUE"""),"-")</f>
        <v>-</v>
      </c>
      <c r="M173" s="19">
        <f>IFERROR(__xludf.DUMMYFUNCTION("""COMPUTED_VALUE"""),0.03994)</f>
        <v>0.03994</v>
      </c>
    </row>
    <row r="174">
      <c r="A174" s="12" t="s">
        <v>6264</v>
      </c>
      <c r="G174" s="19">
        <f>IFERROR(__xludf.DUMMYFUNCTION("SPLIT(A172, "" |"")"),170.0)</f>
        <v>170</v>
      </c>
      <c r="H174" s="19">
        <f>IFERROR(__xludf.DUMMYFUNCTION("""COMPUTED_VALUE"""),0.00216)</f>
        <v>0.00216</v>
      </c>
      <c r="I174" s="19" t="str">
        <f>IFERROR(__xludf.DUMMYFUNCTION("""COMPUTED_VALUE"""),"-")</f>
        <v>-</v>
      </c>
      <c r="J174" s="19">
        <f>IFERROR(__xludf.DUMMYFUNCTION("""COMPUTED_VALUE"""),0.002)</f>
        <v>0.002</v>
      </c>
      <c r="K174" s="19">
        <f>IFERROR(__xludf.DUMMYFUNCTION("""COMPUTED_VALUE"""),0.03803)</f>
        <v>0.03803</v>
      </c>
      <c r="L174" s="19" t="str">
        <f>IFERROR(__xludf.DUMMYFUNCTION("""COMPUTED_VALUE"""),"-")</f>
        <v>-</v>
      </c>
      <c r="M174" s="19">
        <f>IFERROR(__xludf.DUMMYFUNCTION("""COMPUTED_VALUE"""),0.04016)</f>
        <v>0.04016</v>
      </c>
    </row>
    <row r="175">
      <c r="A175" s="12" t="s">
        <v>6265</v>
      </c>
      <c r="G175" s="19">
        <f>IFERROR(__xludf.DUMMYFUNCTION("SPLIT(A173, "" |"")"),171.0)</f>
        <v>171</v>
      </c>
      <c r="H175" s="19">
        <f>IFERROR(__xludf.DUMMYFUNCTION("""COMPUTED_VALUE"""),0.00214)</f>
        <v>0.00214</v>
      </c>
      <c r="I175" s="19" t="str">
        <f>IFERROR(__xludf.DUMMYFUNCTION("""COMPUTED_VALUE"""),"-")</f>
        <v>-</v>
      </c>
      <c r="J175" s="19">
        <f>IFERROR(__xludf.DUMMYFUNCTION("""COMPUTED_VALUE"""),0.002)</f>
        <v>0.002</v>
      </c>
      <c r="K175" s="19">
        <f>IFERROR(__xludf.DUMMYFUNCTION("""COMPUTED_VALUE"""),0.03967)</f>
        <v>0.03967</v>
      </c>
      <c r="L175" s="19" t="str">
        <f>IFERROR(__xludf.DUMMYFUNCTION("""COMPUTED_VALUE"""),"-")</f>
        <v>-</v>
      </c>
      <c r="M175" s="19">
        <f>IFERROR(__xludf.DUMMYFUNCTION("""COMPUTED_VALUE"""),0.04045)</f>
        <v>0.04045</v>
      </c>
    </row>
    <row r="176">
      <c r="A176" s="12" t="s">
        <v>6266</v>
      </c>
      <c r="G176" s="19">
        <f>IFERROR(__xludf.DUMMYFUNCTION("SPLIT(A174, "" |"")"),172.0)</f>
        <v>172</v>
      </c>
      <c r="H176" s="19">
        <f>IFERROR(__xludf.DUMMYFUNCTION("""COMPUTED_VALUE"""),0.00226)</f>
        <v>0.00226</v>
      </c>
      <c r="I176" s="19" t="str">
        <f>IFERROR(__xludf.DUMMYFUNCTION("""COMPUTED_VALUE"""),"-")</f>
        <v>-</v>
      </c>
      <c r="J176" s="19">
        <f>IFERROR(__xludf.DUMMYFUNCTION("""COMPUTED_VALUE"""),0.002)</f>
        <v>0.002</v>
      </c>
      <c r="K176" s="19">
        <f>IFERROR(__xludf.DUMMYFUNCTION("""COMPUTED_VALUE"""),0.03657)</f>
        <v>0.03657</v>
      </c>
      <c r="L176" s="19" t="str">
        <f>IFERROR(__xludf.DUMMYFUNCTION("""COMPUTED_VALUE"""),"-")</f>
        <v>-</v>
      </c>
      <c r="M176" s="19">
        <f>IFERROR(__xludf.DUMMYFUNCTION("""COMPUTED_VALUE"""),0.0404)</f>
        <v>0.0404</v>
      </c>
    </row>
    <row r="177">
      <c r="A177" s="12" t="s">
        <v>6267</v>
      </c>
      <c r="G177" s="19">
        <f>IFERROR(__xludf.DUMMYFUNCTION("SPLIT(A175, "" |"")"),173.0)</f>
        <v>173</v>
      </c>
      <c r="H177" s="19">
        <f>IFERROR(__xludf.DUMMYFUNCTION("""COMPUTED_VALUE"""),0.00211)</f>
        <v>0.00211</v>
      </c>
      <c r="I177" s="19" t="str">
        <f>IFERROR(__xludf.DUMMYFUNCTION("""COMPUTED_VALUE"""),"-")</f>
        <v>-</v>
      </c>
      <c r="J177" s="19">
        <f>IFERROR(__xludf.DUMMYFUNCTION("""COMPUTED_VALUE"""),0.00199)</f>
        <v>0.00199</v>
      </c>
      <c r="K177" s="19">
        <f>IFERROR(__xludf.DUMMYFUNCTION("""COMPUTED_VALUE"""),0.03968)</f>
        <v>0.03968</v>
      </c>
      <c r="L177" s="19" t="str">
        <f>IFERROR(__xludf.DUMMYFUNCTION("""COMPUTED_VALUE"""),"-")</f>
        <v>-</v>
      </c>
      <c r="M177" s="19">
        <f>IFERROR(__xludf.DUMMYFUNCTION("""COMPUTED_VALUE"""),0.03982)</f>
        <v>0.03982</v>
      </c>
    </row>
    <row r="178">
      <c r="A178" s="12" t="s">
        <v>6268</v>
      </c>
      <c r="G178" s="19">
        <f>IFERROR(__xludf.DUMMYFUNCTION("SPLIT(A176, "" |"")"),174.0)</f>
        <v>174</v>
      </c>
      <c r="H178" s="19">
        <f>IFERROR(__xludf.DUMMYFUNCTION("""COMPUTED_VALUE"""),0.00206)</f>
        <v>0.00206</v>
      </c>
      <c r="I178" s="19" t="str">
        <f>IFERROR(__xludf.DUMMYFUNCTION("""COMPUTED_VALUE"""),"-")</f>
        <v>-</v>
      </c>
      <c r="J178" s="19">
        <f>IFERROR(__xludf.DUMMYFUNCTION("""COMPUTED_VALUE"""),0.00182)</f>
        <v>0.00182</v>
      </c>
      <c r="K178" s="19">
        <f>IFERROR(__xludf.DUMMYFUNCTION("""COMPUTED_VALUE"""),0.03959)</f>
        <v>0.03959</v>
      </c>
      <c r="L178" s="19" t="str">
        <f>IFERROR(__xludf.DUMMYFUNCTION("""COMPUTED_VALUE"""),"-")</f>
        <v>-</v>
      </c>
      <c r="M178" s="19">
        <f>IFERROR(__xludf.DUMMYFUNCTION("""COMPUTED_VALUE"""),0.03975)</f>
        <v>0.03975</v>
      </c>
    </row>
    <row r="179">
      <c r="A179" s="12" t="s">
        <v>6269</v>
      </c>
      <c r="G179" s="19">
        <f>IFERROR(__xludf.DUMMYFUNCTION("SPLIT(A177, "" |"")"),175.0)</f>
        <v>175</v>
      </c>
      <c r="H179" s="19">
        <f>IFERROR(__xludf.DUMMYFUNCTION("""COMPUTED_VALUE"""),0.00209)</f>
        <v>0.00209</v>
      </c>
      <c r="I179" s="19" t="str">
        <f>IFERROR(__xludf.DUMMYFUNCTION("""COMPUTED_VALUE"""),"-")</f>
        <v>-</v>
      </c>
      <c r="J179" s="19">
        <f>IFERROR(__xludf.DUMMYFUNCTION("""COMPUTED_VALUE"""),0.00196)</f>
        <v>0.00196</v>
      </c>
      <c r="K179" s="19">
        <f>IFERROR(__xludf.DUMMYFUNCTION("""COMPUTED_VALUE"""),0.03927)</f>
        <v>0.03927</v>
      </c>
      <c r="L179" s="19" t="str">
        <f>IFERROR(__xludf.DUMMYFUNCTION("""COMPUTED_VALUE"""),"-")</f>
        <v>-</v>
      </c>
      <c r="M179" s="19">
        <f>IFERROR(__xludf.DUMMYFUNCTION("""COMPUTED_VALUE"""),0.03992)</f>
        <v>0.03992</v>
      </c>
    </row>
    <row r="180">
      <c r="A180" s="12" t="s">
        <v>6270</v>
      </c>
      <c r="G180" s="19">
        <f>IFERROR(__xludf.DUMMYFUNCTION("SPLIT(A178, "" |"")"),176.0)</f>
        <v>176</v>
      </c>
      <c r="H180" s="19">
        <f>IFERROR(__xludf.DUMMYFUNCTION("""COMPUTED_VALUE"""),0.00216)</f>
        <v>0.00216</v>
      </c>
      <c r="I180" s="19" t="str">
        <f>IFERROR(__xludf.DUMMYFUNCTION("""COMPUTED_VALUE"""),"-")</f>
        <v>-</v>
      </c>
      <c r="J180" s="19">
        <f>IFERROR(__xludf.DUMMYFUNCTION("""COMPUTED_VALUE"""),0.002)</f>
        <v>0.002</v>
      </c>
      <c r="K180" s="19">
        <f>IFERROR(__xludf.DUMMYFUNCTION("""COMPUTED_VALUE"""),0.03968)</f>
        <v>0.03968</v>
      </c>
      <c r="L180" s="19" t="str">
        <f>IFERROR(__xludf.DUMMYFUNCTION("""COMPUTED_VALUE"""),"-")</f>
        <v>-</v>
      </c>
      <c r="M180" s="19">
        <f>IFERROR(__xludf.DUMMYFUNCTION("""COMPUTED_VALUE"""),0.03937)</f>
        <v>0.03937</v>
      </c>
    </row>
    <row r="181">
      <c r="A181" s="12" t="s">
        <v>6271</v>
      </c>
      <c r="G181" s="19">
        <f>IFERROR(__xludf.DUMMYFUNCTION("SPLIT(A179, "" |"")"),177.0)</f>
        <v>177</v>
      </c>
      <c r="H181" s="19">
        <f>IFERROR(__xludf.DUMMYFUNCTION("""COMPUTED_VALUE"""),0.00212)</f>
        <v>0.00212</v>
      </c>
      <c r="I181" s="19" t="str">
        <f>IFERROR(__xludf.DUMMYFUNCTION("""COMPUTED_VALUE"""),"-")</f>
        <v>-</v>
      </c>
      <c r="J181" s="19">
        <f>IFERROR(__xludf.DUMMYFUNCTION("""COMPUTED_VALUE"""),0.00194)</f>
        <v>0.00194</v>
      </c>
      <c r="K181" s="19">
        <f>IFERROR(__xludf.DUMMYFUNCTION("""COMPUTED_VALUE"""),0.03959)</f>
        <v>0.03959</v>
      </c>
      <c r="L181" s="19" t="str">
        <f>IFERROR(__xludf.DUMMYFUNCTION("""COMPUTED_VALUE"""),"-")</f>
        <v>-</v>
      </c>
      <c r="M181" s="19">
        <f>IFERROR(__xludf.DUMMYFUNCTION("""COMPUTED_VALUE"""),0.03748)</f>
        <v>0.03748</v>
      </c>
    </row>
    <row r="182">
      <c r="A182" s="12" t="s">
        <v>6272</v>
      </c>
      <c r="G182" s="19">
        <f>IFERROR(__xludf.DUMMYFUNCTION("SPLIT(A180, "" |"")"),178.0)</f>
        <v>178</v>
      </c>
      <c r="H182" s="19">
        <f>IFERROR(__xludf.DUMMYFUNCTION("""COMPUTED_VALUE"""),0.00216)</f>
        <v>0.00216</v>
      </c>
      <c r="I182" s="19" t="str">
        <f>IFERROR(__xludf.DUMMYFUNCTION("""COMPUTED_VALUE"""),"-")</f>
        <v>-</v>
      </c>
      <c r="J182" s="19">
        <f>IFERROR(__xludf.DUMMYFUNCTION("""COMPUTED_VALUE"""),0.00201)</f>
        <v>0.00201</v>
      </c>
      <c r="K182" s="19">
        <f>IFERROR(__xludf.DUMMYFUNCTION("""COMPUTED_VALUE"""),0.03973)</f>
        <v>0.03973</v>
      </c>
      <c r="L182" s="19" t="str">
        <f>IFERROR(__xludf.DUMMYFUNCTION("""COMPUTED_VALUE"""),"-")</f>
        <v>-</v>
      </c>
      <c r="M182" s="19">
        <f>IFERROR(__xludf.DUMMYFUNCTION("""COMPUTED_VALUE"""),0.03985)</f>
        <v>0.03985</v>
      </c>
    </row>
    <row r="183">
      <c r="A183" s="12" t="s">
        <v>6273</v>
      </c>
      <c r="G183" s="19">
        <f>IFERROR(__xludf.DUMMYFUNCTION("SPLIT(A181, "" |"")"),179.0)</f>
        <v>179</v>
      </c>
      <c r="H183" s="19">
        <f>IFERROR(__xludf.DUMMYFUNCTION("""COMPUTED_VALUE"""),0.00219)</f>
        <v>0.00219</v>
      </c>
      <c r="I183" s="19" t="str">
        <f>IFERROR(__xludf.DUMMYFUNCTION("""COMPUTED_VALUE"""),"-")</f>
        <v>-</v>
      </c>
      <c r="J183" s="19">
        <f>IFERROR(__xludf.DUMMYFUNCTION("""COMPUTED_VALUE"""),0.00201)</f>
        <v>0.00201</v>
      </c>
      <c r="K183" s="19">
        <f>IFERROR(__xludf.DUMMYFUNCTION("""COMPUTED_VALUE"""),0.03657)</f>
        <v>0.03657</v>
      </c>
      <c r="L183" s="19" t="str">
        <f>IFERROR(__xludf.DUMMYFUNCTION("""COMPUTED_VALUE"""),"-")</f>
        <v>-</v>
      </c>
      <c r="M183" s="19">
        <f>IFERROR(__xludf.DUMMYFUNCTION("""COMPUTED_VALUE"""),0.03979)</f>
        <v>0.03979</v>
      </c>
    </row>
    <row r="184">
      <c r="A184" s="12" t="s">
        <v>6274</v>
      </c>
      <c r="G184" s="19">
        <f>IFERROR(__xludf.DUMMYFUNCTION("SPLIT(A182, "" |"")"),180.0)</f>
        <v>180</v>
      </c>
      <c r="H184" s="19">
        <f>IFERROR(__xludf.DUMMYFUNCTION("""COMPUTED_VALUE"""),0.0021)</f>
        <v>0.0021</v>
      </c>
      <c r="I184" s="19" t="str">
        <f>IFERROR(__xludf.DUMMYFUNCTION("""COMPUTED_VALUE"""),"-")</f>
        <v>-</v>
      </c>
      <c r="J184" s="19">
        <f>IFERROR(__xludf.DUMMYFUNCTION("""COMPUTED_VALUE"""),0.00199)</f>
        <v>0.00199</v>
      </c>
      <c r="K184" s="19">
        <f>IFERROR(__xludf.DUMMYFUNCTION("""COMPUTED_VALUE"""),0.03828)</f>
        <v>0.03828</v>
      </c>
      <c r="L184" s="19" t="str">
        <f>IFERROR(__xludf.DUMMYFUNCTION("""COMPUTED_VALUE"""),"-")</f>
        <v>-</v>
      </c>
      <c r="M184" s="19">
        <f>IFERROR(__xludf.DUMMYFUNCTION("""COMPUTED_VALUE"""),0.04015)</f>
        <v>0.04015</v>
      </c>
    </row>
    <row r="185">
      <c r="A185" s="12" t="s">
        <v>6275</v>
      </c>
      <c r="G185" s="19">
        <f>IFERROR(__xludf.DUMMYFUNCTION("SPLIT(A183, "" |"")"),181.0)</f>
        <v>181</v>
      </c>
      <c r="H185" s="19">
        <f>IFERROR(__xludf.DUMMYFUNCTION("""COMPUTED_VALUE"""),0.00216)</f>
        <v>0.00216</v>
      </c>
      <c r="I185" s="19" t="str">
        <f>IFERROR(__xludf.DUMMYFUNCTION("""COMPUTED_VALUE"""),"-")</f>
        <v>-</v>
      </c>
      <c r="J185" s="19">
        <f>IFERROR(__xludf.DUMMYFUNCTION("""COMPUTED_VALUE"""),0.00189)</f>
        <v>0.00189</v>
      </c>
      <c r="K185" s="19">
        <f>IFERROR(__xludf.DUMMYFUNCTION("""COMPUTED_VALUE"""),0.03968)</f>
        <v>0.03968</v>
      </c>
      <c r="L185" s="19" t="str">
        <f>IFERROR(__xludf.DUMMYFUNCTION("""COMPUTED_VALUE"""),"-")</f>
        <v>-</v>
      </c>
      <c r="M185" s="19">
        <f>IFERROR(__xludf.DUMMYFUNCTION("""COMPUTED_VALUE"""),0.04001)</f>
        <v>0.04001</v>
      </c>
    </row>
    <row r="186">
      <c r="A186" s="12" t="s">
        <v>6276</v>
      </c>
      <c r="G186" s="19">
        <f>IFERROR(__xludf.DUMMYFUNCTION("SPLIT(A184, "" |"")"),182.0)</f>
        <v>182</v>
      </c>
      <c r="H186" s="19">
        <f>IFERROR(__xludf.DUMMYFUNCTION("""COMPUTED_VALUE"""),0.00215)</f>
        <v>0.00215</v>
      </c>
      <c r="I186" s="19" t="str">
        <f>IFERROR(__xludf.DUMMYFUNCTION("""COMPUTED_VALUE"""),"-")</f>
        <v>-</v>
      </c>
      <c r="J186" s="19">
        <f>IFERROR(__xludf.DUMMYFUNCTION("""COMPUTED_VALUE"""),0.002)</f>
        <v>0.002</v>
      </c>
      <c r="K186" s="19">
        <f>IFERROR(__xludf.DUMMYFUNCTION("""COMPUTED_VALUE"""),0.03976)</f>
        <v>0.03976</v>
      </c>
      <c r="L186" s="19" t="str">
        <f>IFERROR(__xludf.DUMMYFUNCTION("""COMPUTED_VALUE"""),"-")</f>
        <v>-</v>
      </c>
      <c r="M186" s="19">
        <f>IFERROR(__xludf.DUMMYFUNCTION("""COMPUTED_VALUE"""),0.03975)</f>
        <v>0.03975</v>
      </c>
    </row>
    <row r="187">
      <c r="A187" s="12" t="s">
        <v>6277</v>
      </c>
      <c r="G187" s="19">
        <f>IFERROR(__xludf.DUMMYFUNCTION("SPLIT(A185, "" |"")"),183.0)</f>
        <v>183</v>
      </c>
      <c r="H187" s="19">
        <f>IFERROR(__xludf.DUMMYFUNCTION("""COMPUTED_VALUE"""),0.0021)</f>
        <v>0.0021</v>
      </c>
      <c r="I187" s="19" t="str">
        <f>IFERROR(__xludf.DUMMYFUNCTION("""COMPUTED_VALUE"""),"-")</f>
        <v>-</v>
      </c>
      <c r="J187" s="19">
        <f>IFERROR(__xludf.DUMMYFUNCTION("""COMPUTED_VALUE"""),0.00199)</f>
        <v>0.00199</v>
      </c>
      <c r="K187" s="19">
        <f>IFERROR(__xludf.DUMMYFUNCTION("""COMPUTED_VALUE"""),0.03969)</f>
        <v>0.03969</v>
      </c>
      <c r="L187" s="19" t="str">
        <f>IFERROR(__xludf.DUMMYFUNCTION("""COMPUTED_VALUE"""),"-")</f>
        <v>-</v>
      </c>
      <c r="M187" s="19">
        <f>IFERROR(__xludf.DUMMYFUNCTION("""COMPUTED_VALUE"""),0.03986)</f>
        <v>0.03986</v>
      </c>
    </row>
    <row r="188">
      <c r="A188" s="12" t="s">
        <v>6278</v>
      </c>
      <c r="G188" s="19">
        <f>IFERROR(__xludf.DUMMYFUNCTION("SPLIT(A186, "" |"")"),184.0)</f>
        <v>184</v>
      </c>
      <c r="H188" s="19">
        <f>IFERROR(__xludf.DUMMYFUNCTION("""COMPUTED_VALUE"""),0.00218)</f>
        <v>0.00218</v>
      </c>
      <c r="I188" s="19" t="str">
        <f>IFERROR(__xludf.DUMMYFUNCTION("""COMPUTED_VALUE"""),"-")</f>
        <v>-</v>
      </c>
      <c r="J188" s="19">
        <f>IFERROR(__xludf.DUMMYFUNCTION("""COMPUTED_VALUE"""),0.00207)</f>
        <v>0.00207</v>
      </c>
      <c r="K188" s="19">
        <f>IFERROR(__xludf.DUMMYFUNCTION("""COMPUTED_VALUE"""),0.0397)</f>
        <v>0.0397</v>
      </c>
      <c r="L188" s="19" t="str">
        <f>IFERROR(__xludf.DUMMYFUNCTION("""COMPUTED_VALUE"""),"-")</f>
        <v>-</v>
      </c>
      <c r="M188" s="19">
        <f>IFERROR(__xludf.DUMMYFUNCTION("""COMPUTED_VALUE"""),0.03983)</f>
        <v>0.03983</v>
      </c>
    </row>
    <row r="189">
      <c r="A189" s="12" t="s">
        <v>6279</v>
      </c>
      <c r="G189" s="19">
        <f>IFERROR(__xludf.DUMMYFUNCTION("SPLIT(A187, "" |"")"),185.0)</f>
        <v>185</v>
      </c>
      <c r="H189" s="19">
        <f>IFERROR(__xludf.DUMMYFUNCTION("""COMPUTED_VALUE"""),0.00212)</f>
        <v>0.00212</v>
      </c>
      <c r="I189" s="19" t="str">
        <f>IFERROR(__xludf.DUMMYFUNCTION("""COMPUTED_VALUE"""),"-")</f>
        <v>-</v>
      </c>
      <c r="J189" s="19">
        <f>IFERROR(__xludf.DUMMYFUNCTION("""COMPUTED_VALUE"""),0.00198)</f>
        <v>0.00198</v>
      </c>
      <c r="K189" s="19">
        <f>IFERROR(__xludf.DUMMYFUNCTION("""COMPUTED_VALUE"""),0.03971)</f>
        <v>0.03971</v>
      </c>
      <c r="L189" s="19" t="str">
        <f>IFERROR(__xludf.DUMMYFUNCTION("""COMPUTED_VALUE"""),"-")</f>
        <v>-</v>
      </c>
      <c r="M189" s="19">
        <f>IFERROR(__xludf.DUMMYFUNCTION("""COMPUTED_VALUE"""),0.04001)</f>
        <v>0.04001</v>
      </c>
    </row>
    <row r="190">
      <c r="A190" s="12" t="s">
        <v>6280</v>
      </c>
      <c r="G190" s="19">
        <f>IFERROR(__xludf.DUMMYFUNCTION("SPLIT(A188, "" |"")"),186.0)</f>
        <v>186</v>
      </c>
      <c r="H190" s="19">
        <f>IFERROR(__xludf.DUMMYFUNCTION("""COMPUTED_VALUE"""),0.00218)</f>
        <v>0.00218</v>
      </c>
      <c r="I190" s="19" t="str">
        <f>IFERROR(__xludf.DUMMYFUNCTION("""COMPUTED_VALUE"""),"-")</f>
        <v>-</v>
      </c>
      <c r="J190" s="19">
        <f>IFERROR(__xludf.DUMMYFUNCTION("""COMPUTED_VALUE"""),0.00199)</f>
        <v>0.00199</v>
      </c>
      <c r="K190" s="19">
        <f>IFERROR(__xludf.DUMMYFUNCTION("""COMPUTED_VALUE"""),0.03972)</f>
        <v>0.03972</v>
      </c>
      <c r="L190" s="19" t="str">
        <f>IFERROR(__xludf.DUMMYFUNCTION("""COMPUTED_VALUE"""),"-")</f>
        <v>-</v>
      </c>
      <c r="M190" s="19">
        <f>IFERROR(__xludf.DUMMYFUNCTION("""COMPUTED_VALUE"""),0.04017)</f>
        <v>0.04017</v>
      </c>
    </row>
    <row r="191">
      <c r="A191" s="12" t="s">
        <v>6281</v>
      </c>
      <c r="G191" s="19">
        <f>IFERROR(__xludf.DUMMYFUNCTION("SPLIT(A189, "" |"")"),187.0)</f>
        <v>187</v>
      </c>
      <c r="H191" s="19">
        <f>IFERROR(__xludf.DUMMYFUNCTION("""COMPUTED_VALUE"""),0.00213)</f>
        <v>0.00213</v>
      </c>
      <c r="I191" s="19" t="str">
        <f>IFERROR(__xludf.DUMMYFUNCTION("""COMPUTED_VALUE"""),"-")</f>
        <v>-</v>
      </c>
      <c r="J191" s="19">
        <f>IFERROR(__xludf.DUMMYFUNCTION("""COMPUTED_VALUE"""),0.00198)</f>
        <v>0.00198</v>
      </c>
      <c r="K191" s="19">
        <f>IFERROR(__xludf.DUMMYFUNCTION("""COMPUTED_VALUE"""),0.03971)</f>
        <v>0.03971</v>
      </c>
      <c r="L191" s="19" t="str">
        <f>IFERROR(__xludf.DUMMYFUNCTION("""COMPUTED_VALUE"""),"-")</f>
        <v>-</v>
      </c>
      <c r="M191" s="19">
        <f>IFERROR(__xludf.DUMMYFUNCTION("""COMPUTED_VALUE"""),0.03973)</f>
        <v>0.03973</v>
      </c>
    </row>
    <row r="192">
      <c r="A192" s="12" t="s">
        <v>6282</v>
      </c>
      <c r="G192" s="19">
        <f>IFERROR(__xludf.DUMMYFUNCTION("SPLIT(A190, "" |"")"),188.0)</f>
        <v>188</v>
      </c>
      <c r="H192" s="19">
        <f>IFERROR(__xludf.DUMMYFUNCTION("""COMPUTED_VALUE"""),0.00215)</f>
        <v>0.00215</v>
      </c>
      <c r="I192" s="19" t="str">
        <f>IFERROR(__xludf.DUMMYFUNCTION("""COMPUTED_VALUE"""),"-")</f>
        <v>-</v>
      </c>
      <c r="J192" s="19">
        <f>IFERROR(__xludf.DUMMYFUNCTION("""COMPUTED_VALUE"""),0.00202)</f>
        <v>0.00202</v>
      </c>
      <c r="K192" s="19">
        <f>IFERROR(__xludf.DUMMYFUNCTION("""COMPUTED_VALUE"""),0.0397)</f>
        <v>0.0397</v>
      </c>
      <c r="L192" s="19" t="str">
        <f>IFERROR(__xludf.DUMMYFUNCTION("""COMPUTED_VALUE"""),"-")</f>
        <v>-</v>
      </c>
      <c r="M192" s="19">
        <f>IFERROR(__xludf.DUMMYFUNCTION("""COMPUTED_VALUE"""),0.03979)</f>
        <v>0.03979</v>
      </c>
    </row>
    <row r="193">
      <c r="A193" s="12" t="s">
        <v>6283</v>
      </c>
      <c r="G193" s="19">
        <f>IFERROR(__xludf.DUMMYFUNCTION("SPLIT(A191, "" |"")"),189.0)</f>
        <v>189</v>
      </c>
      <c r="H193" s="19">
        <f>IFERROR(__xludf.DUMMYFUNCTION("""COMPUTED_VALUE"""),0.00212)</f>
        <v>0.00212</v>
      </c>
      <c r="I193" s="19" t="str">
        <f>IFERROR(__xludf.DUMMYFUNCTION("""COMPUTED_VALUE"""),"-")</f>
        <v>-</v>
      </c>
      <c r="J193" s="19">
        <f>IFERROR(__xludf.DUMMYFUNCTION("""COMPUTED_VALUE"""),0.00201)</f>
        <v>0.00201</v>
      </c>
      <c r="K193" s="19">
        <f>IFERROR(__xludf.DUMMYFUNCTION("""COMPUTED_VALUE"""),0.03975)</f>
        <v>0.03975</v>
      </c>
      <c r="L193" s="19" t="str">
        <f>IFERROR(__xludf.DUMMYFUNCTION("""COMPUTED_VALUE"""),"-")</f>
        <v>-</v>
      </c>
      <c r="M193" s="19">
        <f>IFERROR(__xludf.DUMMYFUNCTION("""COMPUTED_VALUE"""),0.03972)</f>
        <v>0.03972</v>
      </c>
    </row>
    <row r="194">
      <c r="A194" s="12" t="s">
        <v>6284</v>
      </c>
      <c r="G194" s="19">
        <f>IFERROR(__xludf.DUMMYFUNCTION("SPLIT(A192, "" |"")"),190.0)</f>
        <v>190</v>
      </c>
      <c r="H194" s="19">
        <f>IFERROR(__xludf.DUMMYFUNCTION("""COMPUTED_VALUE"""),0.00215)</f>
        <v>0.00215</v>
      </c>
      <c r="I194" s="19" t="str">
        <f>IFERROR(__xludf.DUMMYFUNCTION("""COMPUTED_VALUE"""),"-")</f>
        <v>-</v>
      </c>
      <c r="J194" s="19">
        <f>IFERROR(__xludf.DUMMYFUNCTION("""COMPUTED_VALUE"""),0.00196)</f>
        <v>0.00196</v>
      </c>
      <c r="K194" s="19">
        <f>IFERROR(__xludf.DUMMYFUNCTION("""COMPUTED_VALUE"""),0.03808)</f>
        <v>0.03808</v>
      </c>
      <c r="L194" s="19" t="str">
        <f>IFERROR(__xludf.DUMMYFUNCTION("""COMPUTED_VALUE"""),"-")</f>
        <v>-</v>
      </c>
      <c r="M194" s="19">
        <f>IFERROR(__xludf.DUMMYFUNCTION("""COMPUTED_VALUE"""),0.03985)</f>
        <v>0.03985</v>
      </c>
    </row>
    <row r="195">
      <c r="A195" s="12" t="s">
        <v>6285</v>
      </c>
      <c r="G195" s="19">
        <f>IFERROR(__xludf.DUMMYFUNCTION("SPLIT(A193, "" |"")"),191.0)</f>
        <v>191</v>
      </c>
      <c r="H195" s="19">
        <f>IFERROR(__xludf.DUMMYFUNCTION("""COMPUTED_VALUE"""),0.00215)</f>
        <v>0.00215</v>
      </c>
      <c r="I195" s="19" t="str">
        <f>IFERROR(__xludf.DUMMYFUNCTION("""COMPUTED_VALUE"""),"-")</f>
        <v>-</v>
      </c>
      <c r="J195" s="19">
        <f>IFERROR(__xludf.DUMMYFUNCTION("""COMPUTED_VALUE"""),0.00202)</f>
        <v>0.00202</v>
      </c>
      <c r="K195" s="19">
        <f>IFERROR(__xludf.DUMMYFUNCTION("""COMPUTED_VALUE"""),0.03787)</f>
        <v>0.03787</v>
      </c>
      <c r="L195" s="19" t="str">
        <f>IFERROR(__xludf.DUMMYFUNCTION("""COMPUTED_VALUE"""),"-")</f>
        <v>-</v>
      </c>
      <c r="M195" s="19">
        <f>IFERROR(__xludf.DUMMYFUNCTION("""COMPUTED_VALUE"""),0.0398)</f>
        <v>0.0398</v>
      </c>
    </row>
    <row r="196">
      <c r="A196" s="12" t="s">
        <v>6286</v>
      </c>
      <c r="G196" s="19">
        <f>IFERROR(__xludf.DUMMYFUNCTION("SPLIT(A194, "" |"")"),192.0)</f>
        <v>192</v>
      </c>
      <c r="H196" s="19">
        <f>IFERROR(__xludf.DUMMYFUNCTION("""COMPUTED_VALUE"""),0.00209)</f>
        <v>0.00209</v>
      </c>
      <c r="I196" s="19" t="str">
        <f>IFERROR(__xludf.DUMMYFUNCTION("""COMPUTED_VALUE"""),"-")</f>
        <v>-</v>
      </c>
      <c r="J196" s="19">
        <f>IFERROR(__xludf.DUMMYFUNCTION("""COMPUTED_VALUE"""),0.00199)</f>
        <v>0.00199</v>
      </c>
      <c r="K196" s="19">
        <f>IFERROR(__xludf.DUMMYFUNCTION("""COMPUTED_VALUE"""),0.03661)</f>
        <v>0.03661</v>
      </c>
      <c r="L196" s="19" t="str">
        <f>IFERROR(__xludf.DUMMYFUNCTION("""COMPUTED_VALUE"""),"-")</f>
        <v>-</v>
      </c>
      <c r="M196" s="19">
        <f>IFERROR(__xludf.DUMMYFUNCTION("""COMPUTED_VALUE"""),0.03991)</f>
        <v>0.03991</v>
      </c>
    </row>
    <row r="197">
      <c r="A197" s="12" t="s">
        <v>6287</v>
      </c>
      <c r="G197" s="19">
        <f>IFERROR(__xludf.DUMMYFUNCTION("SPLIT(A195, "" |"")"),193.0)</f>
        <v>193</v>
      </c>
      <c r="H197" s="19">
        <f>IFERROR(__xludf.DUMMYFUNCTION("""COMPUTED_VALUE"""),0.00213)</f>
        <v>0.00213</v>
      </c>
      <c r="I197" s="19" t="str">
        <f>IFERROR(__xludf.DUMMYFUNCTION("""COMPUTED_VALUE"""),"-")</f>
        <v>-</v>
      </c>
      <c r="J197" s="19">
        <f>IFERROR(__xludf.DUMMYFUNCTION("""COMPUTED_VALUE"""),0.002)</f>
        <v>0.002</v>
      </c>
      <c r="K197" s="19">
        <f>IFERROR(__xludf.DUMMYFUNCTION("""COMPUTED_VALUE"""),0.03968)</f>
        <v>0.03968</v>
      </c>
      <c r="L197" s="19" t="str">
        <f>IFERROR(__xludf.DUMMYFUNCTION("""COMPUTED_VALUE"""),"-")</f>
        <v>-</v>
      </c>
      <c r="M197" s="19">
        <f>IFERROR(__xludf.DUMMYFUNCTION("""COMPUTED_VALUE"""),0.03982)</f>
        <v>0.03982</v>
      </c>
    </row>
    <row r="198">
      <c r="A198" s="12" t="s">
        <v>6288</v>
      </c>
      <c r="G198" s="19">
        <f>IFERROR(__xludf.DUMMYFUNCTION("SPLIT(A196, "" |"")"),194.0)</f>
        <v>194</v>
      </c>
      <c r="H198" s="19">
        <f>IFERROR(__xludf.DUMMYFUNCTION("""COMPUTED_VALUE"""),0.00212)</f>
        <v>0.00212</v>
      </c>
      <c r="I198" s="19" t="str">
        <f>IFERROR(__xludf.DUMMYFUNCTION("""COMPUTED_VALUE"""),"-")</f>
        <v>-</v>
      </c>
      <c r="J198" s="19">
        <f>IFERROR(__xludf.DUMMYFUNCTION("""COMPUTED_VALUE"""),0.002)</f>
        <v>0.002</v>
      </c>
      <c r="K198" s="19">
        <f>IFERROR(__xludf.DUMMYFUNCTION("""COMPUTED_VALUE"""),0.04014)</f>
        <v>0.04014</v>
      </c>
      <c r="L198" s="19" t="str">
        <f>IFERROR(__xludf.DUMMYFUNCTION("""COMPUTED_VALUE"""),"-")</f>
        <v>-</v>
      </c>
      <c r="M198" s="19">
        <f>IFERROR(__xludf.DUMMYFUNCTION("""COMPUTED_VALUE"""),0.0363)</f>
        <v>0.0363</v>
      </c>
    </row>
    <row r="199">
      <c r="A199" s="12" t="s">
        <v>6289</v>
      </c>
      <c r="G199" s="19">
        <f>IFERROR(__xludf.DUMMYFUNCTION("SPLIT(A197, "" |"")"),195.0)</f>
        <v>195</v>
      </c>
      <c r="H199" s="19">
        <f>IFERROR(__xludf.DUMMYFUNCTION("""COMPUTED_VALUE"""),0.00209)</f>
        <v>0.00209</v>
      </c>
      <c r="I199" s="19" t="str">
        <f>IFERROR(__xludf.DUMMYFUNCTION("""COMPUTED_VALUE"""),"-")</f>
        <v>-</v>
      </c>
      <c r="J199" s="19">
        <f>IFERROR(__xludf.DUMMYFUNCTION("""COMPUTED_VALUE"""),0.00197)</f>
        <v>0.00197</v>
      </c>
      <c r="K199" s="19">
        <f>IFERROR(__xludf.DUMMYFUNCTION("""COMPUTED_VALUE"""),0.0396)</f>
        <v>0.0396</v>
      </c>
      <c r="L199" s="19" t="str">
        <f>IFERROR(__xludf.DUMMYFUNCTION("""COMPUTED_VALUE"""),"-")</f>
        <v>-</v>
      </c>
      <c r="M199" s="19">
        <f>IFERROR(__xludf.DUMMYFUNCTION("""COMPUTED_VALUE"""),0.03554)</f>
        <v>0.03554</v>
      </c>
    </row>
    <row r="200">
      <c r="A200" s="12" t="s">
        <v>6290</v>
      </c>
      <c r="G200" s="19">
        <f>IFERROR(__xludf.DUMMYFUNCTION("SPLIT(A198, "" |"")"),196.0)</f>
        <v>196</v>
      </c>
      <c r="H200" s="19">
        <f>IFERROR(__xludf.DUMMYFUNCTION("""COMPUTED_VALUE"""),0.00232)</f>
        <v>0.00232</v>
      </c>
      <c r="I200" s="19" t="str">
        <f>IFERROR(__xludf.DUMMYFUNCTION("""COMPUTED_VALUE"""),"-")</f>
        <v>-</v>
      </c>
      <c r="J200" s="19">
        <f>IFERROR(__xludf.DUMMYFUNCTION("""COMPUTED_VALUE"""),0.00203)</f>
        <v>0.00203</v>
      </c>
      <c r="K200" s="19">
        <f>IFERROR(__xludf.DUMMYFUNCTION("""COMPUTED_VALUE"""),0.03753)</f>
        <v>0.03753</v>
      </c>
      <c r="L200" s="19" t="str">
        <f>IFERROR(__xludf.DUMMYFUNCTION("""COMPUTED_VALUE"""),"-")</f>
        <v>-</v>
      </c>
      <c r="M200" s="19">
        <f>IFERROR(__xludf.DUMMYFUNCTION("""COMPUTED_VALUE"""),0.03981)</f>
        <v>0.03981</v>
      </c>
    </row>
    <row r="201">
      <c r="A201" s="12" t="s">
        <v>6291</v>
      </c>
      <c r="G201" s="19">
        <f>IFERROR(__xludf.DUMMYFUNCTION("SPLIT(A199, "" |"")"),197.0)</f>
        <v>197</v>
      </c>
      <c r="H201" s="19">
        <f>IFERROR(__xludf.DUMMYFUNCTION("""COMPUTED_VALUE"""),0.00211)</f>
        <v>0.00211</v>
      </c>
      <c r="I201" s="19" t="str">
        <f>IFERROR(__xludf.DUMMYFUNCTION("""COMPUTED_VALUE"""),"-")</f>
        <v>-</v>
      </c>
      <c r="J201" s="19">
        <f>IFERROR(__xludf.DUMMYFUNCTION("""COMPUTED_VALUE"""),0.002)</f>
        <v>0.002</v>
      </c>
      <c r="K201" s="19">
        <f>IFERROR(__xludf.DUMMYFUNCTION("""COMPUTED_VALUE"""),0.03893)</f>
        <v>0.03893</v>
      </c>
      <c r="L201" s="19" t="str">
        <f>IFERROR(__xludf.DUMMYFUNCTION("""COMPUTED_VALUE"""),"-")</f>
        <v>-</v>
      </c>
      <c r="M201" s="19">
        <f>IFERROR(__xludf.DUMMYFUNCTION("""COMPUTED_VALUE"""),0.03994)</f>
        <v>0.03994</v>
      </c>
    </row>
    <row r="202">
      <c r="A202" s="12" t="s">
        <v>6292</v>
      </c>
      <c r="G202" s="19">
        <f>IFERROR(__xludf.DUMMYFUNCTION("SPLIT(A200, "" |"")"),198.0)</f>
        <v>198</v>
      </c>
      <c r="H202" s="19">
        <f>IFERROR(__xludf.DUMMYFUNCTION("""COMPUTED_VALUE"""),0.00213)</f>
        <v>0.00213</v>
      </c>
      <c r="I202" s="19" t="str">
        <f>IFERROR(__xludf.DUMMYFUNCTION("""COMPUTED_VALUE"""),"-")</f>
        <v>-</v>
      </c>
      <c r="J202" s="19">
        <f>IFERROR(__xludf.DUMMYFUNCTION("""COMPUTED_VALUE"""),0.00199)</f>
        <v>0.00199</v>
      </c>
      <c r="K202" s="19">
        <f>IFERROR(__xludf.DUMMYFUNCTION("""COMPUTED_VALUE"""),0.0396)</f>
        <v>0.0396</v>
      </c>
      <c r="L202" s="19" t="str">
        <f>IFERROR(__xludf.DUMMYFUNCTION("""COMPUTED_VALUE"""),"-")</f>
        <v>-</v>
      </c>
      <c r="M202" s="19">
        <f>IFERROR(__xludf.DUMMYFUNCTION("""COMPUTED_VALUE"""),0.03992)</f>
        <v>0.03992</v>
      </c>
    </row>
    <row r="203">
      <c r="A203" s="12" t="s">
        <v>6293</v>
      </c>
      <c r="G203" s="19">
        <f>IFERROR(__xludf.DUMMYFUNCTION("SPLIT(A201, "" |"")"),199.0)</f>
        <v>199</v>
      </c>
      <c r="H203" s="19">
        <f>IFERROR(__xludf.DUMMYFUNCTION("""COMPUTED_VALUE"""),0.00202)</f>
        <v>0.00202</v>
      </c>
      <c r="I203" s="19" t="str">
        <f>IFERROR(__xludf.DUMMYFUNCTION("""COMPUTED_VALUE"""),"-")</f>
        <v>-</v>
      </c>
      <c r="J203" s="19">
        <f>IFERROR(__xludf.DUMMYFUNCTION("""COMPUTED_VALUE"""),0.00194)</f>
        <v>0.00194</v>
      </c>
      <c r="K203" s="19">
        <f>IFERROR(__xludf.DUMMYFUNCTION("""COMPUTED_VALUE"""),0.03963)</f>
        <v>0.03963</v>
      </c>
      <c r="L203" s="19" t="str">
        <f>IFERROR(__xludf.DUMMYFUNCTION("""COMPUTED_VALUE"""),"-")</f>
        <v>-</v>
      </c>
      <c r="M203" s="19">
        <f>IFERROR(__xludf.DUMMYFUNCTION("""COMPUTED_VALUE"""),0.03643)</f>
        <v>0.03643</v>
      </c>
    </row>
    <row r="204">
      <c r="A204" s="12" t="s">
        <v>6294</v>
      </c>
      <c r="G204" s="19">
        <f>IFERROR(__xludf.DUMMYFUNCTION("SPLIT(A202, "" |"")"),200.0)</f>
        <v>200</v>
      </c>
      <c r="H204" s="19">
        <f>IFERROR(__xludf.DUMMYFUNCTION("""COMPUTED_VALUE"""),0.00211)</f>
        <v>0.00211</v>
      </c>
      <c r="I204" s="19" t="str">
        <f>IFERROR(__xludf.DUMMYFUNCTION("""COMPUTED_VALUE"""),"-")</f>
        <v>-</v>
      </c>
      <c r="J204" s="19">
        <f>IFERROR(__xludf.DUMMYFUNCTION("""COMPUTED_VALUE"""),0.00199)</f>
        <v>0.00199</v>
      </c>
      <c r="K204" s="19">
        <f>IFERROR(__xludf.DUMMYFUNCTION("""COMPUTED_VALUE"""),0.03869)</f>
        <v>0.03869</v>
      </c>
      <c r="L204" s="19" t="str">
        <f>IFERROR(__xludf.DUMMYFUNCTION("""COMPUTED_VALUE"""),"-")</f>
        <v>-</v>
      </c>
      <c r="M204" s="19">
        <f>IFERROR(__xludf.DUMMYFUNCTION("""COMPUTED_VALUE"""),0.03993)</f>
        <v>0.03993</v>
      </c>
    </row>
    <row r="205">
      <c r="A205" s="12" t="s">
        <v>6295</v>
      </c>
      <c r="G205" s="19">
        <f>IFERROR(__xludf.DUMMYFUNCTION("SPLIT(A203, "" |"")"),201.0)</f>
        <v>201</v>
      </c>
      <c r="H205" s="19">
        <f>IFERROR(__xludf.DUMMYFUNCTION("""COMPUTED_VALUE"""),0.00223)</f>
        <v>0.00223</v>
      </c>
      <c r="I205" s="19" t="str">
        <f>IFERROR(__xludf.DUMMYFUNCTION("""COMPUTED_VALUE"""),"-")</f>
        <v>-</v>
      </c>
      <c r="J205" s="19">
        <f>IFERROR(__xludf.DUMMYFUNCTION("""COMPUTED_VALUE"""),0.002)</f>
        <v>0.002</v>
      </c>
      <c r="K205" s="19">
        <f>IFERROR(__xludf.DUMMYFUNCTION("""COMPUTED_VALUE"""),0.03972)</f>
        <v>0.03972</v>
      </c>
      <c r="L205" s="19" t="str">
        <f>IFERROR(__xludf.DUMMYFUNCTION("""COMPUTED_VALUE"""),"-")</f>
        <v>-</v>
      </c>
      <c r="M205" s="19">
        <f>IFERROR(__xludf.DUMMYFUNCTION("""COMPUTED_VALUE"""),0.0399)</f>
        <v>0.0399</v>
      </c>
    </row>
    <row r="206">
      <c r="A206" s="12" t="s">
        <v>6296</v>
      </c>
      <c r="G206" s="19">
        <f>IFERROR(__xludf.DUMMYFUNCTION("SPLIT(A204, "" |"")"),202.0)</f>
        <v>202</v>
      </c>
      <c r="H206" s="19">
        <f>IFERROR(__xludf.DUMMYFUNCTION("""COMPUTED_VALUE"""),0.00204)</f>
        <v>0.00204</v>
      </c>
      <c r="I206" s="19" t="str">
        <f>IFERROR(__xludf.DUMMYFUNCTION("""COMPUTED_VALUE"""),"-")</f>
        <v>-</v>
      </c>
      <c r="J206" s="19">
        <f>IFERROR(__xludf.DUMMYFUNCTION("""COMPUTED_VALUE"""),0.00184)</f>
        <v>0.00184</v>
      </c>
      <c r="K206" s="19">
        <f>IFERROR(__xludf.DUMMYFUNCTION("""COMPUTED_VALUE"""),0.03776)</f>
        <v>0.03776</v>
      </c>
      <c r="L206" s="19" t="str">
        <f>IFERROR(__xludf.DUMMYFUNCTION("""COMPUTED_VALUE"""),"-")</f>
        <v>-</v>
      </c>
      <c r="M206" s="19">
        <f>IFERROR(__xludf.DUMMYFUNCTION("""COMPUTED_VALUE"""),0.0398)</f>
        <v>0.0398</v>
      </c>
    </row>
    <row r="207">
      <c r="A207" s="12" t="s">
        <v>6297</v>
      </c>
      <c r="G207" s="19">
        <f>IFERROR(__xludf.DUMMYFUNCTION("SPLIT(A205, "" |"")"),203.0)</f>
        <v>203</v>
      </c>
      <c r="H207" s="19">
        <f>IFERROR(__xludf.DUMMYFUNCTION("""COMPUTED_VALUE"""),0.00213)</f>
        <v>0.00213</v>
      </c>
      <c r="I207" s="19" t="str">
        <f>IFERROR(__xludf.DUMMYFUNCTION("""COMPUTED_VALUE"""),"-")</f>
        <v>-</v>
      </c>
      <c r="J207" s="19">
        <f>IFERROR(__xludf.DUMMYFUNCTION("""COMPUTED_VALUE"""),0.0019)</f>
        <v>0.0019</v>
      </c>
      <c r="K207" s="19">
        <f>IFERROR(__xludf.DUMMYFUNCTION("""COMPUTED_VALUE"""),0.03946)</f>
        <v>0.03946</v>
      </c>
      <c r="L207" s="19" t="str">
        <f>IFERROR(__xludf.DUMMYFUNCTION("""COMPUTED_VALUE"""),"-")</f>
        <v>-</v>
      </c>
      <c r="M207" s="19">
        <f>IFERROR(__xludf.DUMMYFUNCTION("""COMPUTED_VALUE"""),0.03992)</f>
        <v>0.03992</v>
      </c>
    </row>
    <row r="208">
      <c r="A208" s="12" t="s">
        <v>6298</v>
      </c>
      <c r="G208" s="19">
        <f>IFERROR(__xludf.DUMMYFUNCTION("SPLIT(A206, "" |"")"),204.0)</f>
        <v>204</v>
      </c>
      <c r="H208" s="19">
        <f>IFERROR(__xludf.DUMMYFUNCTION("""COMPUTED_VALUE"""),0.00209)</f>
        <v>0.00209</v>
      </c>
      <c r="I208" s="19" t="str">
        <f>IFERROR(__xludf.DUMMYFUNCTION("""COMPUTED_VALUE"""),"-")</f>
        <v>-</v>
      </c>
      <c r="J208" s="19">
        <f>IFERROR(__xludf.DUMMYFUNCTION("""COMPUTED_VALUE"""),0.00198)</f>
        <v>0.00198</v>
      </c>
      <c r="K208" s="19">
        <f>IFERROR(__xludf.DUMMYFUNCTION("""COMPUTED_VALUE"""),0.03974)</f>
        <v>0.03974</v>
      </c>
      <c r="L208" s="19" t="str">
        <f>IFERROR(__xludf.DUMMYFUNCTION("""COMPUTED_VALUE"""),"-")</f>
        <v>-</v>
      </c>
      <c r="M208" s="19">
        <f>IFERROR(__xludf.DUMMYFUNCTION("""COMPUTED_VALUE"""),0.03988)</f>
        <v>0.03988</v>
      </c>
    </row>
    <row r="209">
      <c r="A209" s="12" t="s">
        <v>6299</v>
      </c>
      <c r="G209" s="19">
        <f>IFERROR(__xludf.DUMMYFUNCTION("SPLIT(A207, "" |"")"),205.0)</f>
        <v>205</v>
      </c>
      <c r="H209" s="19">
        <f>IFERROR(__xludf.DUMMYFUNCTION("""COMPUTED_VALUE"""),0.00216)</f>
        <v>0.00216</v>
      </c>
      <c r="I209" s="19" t="str">
        <f>IFERROR(__xludf.DUMMYFUNCTION("""COMPUTED_VALUE"""),"-")</f>
        <v>-</v>
      </c>
      <c r="J209" s="19">
        <f>IFERROR(__xludf.DUMMYFUNCTION("""COMPUTED_VALUE"""),0.002)</f>
        <v>0.002</v>
      </c>
      <c r="K209" s="19">
        <f>IFERROR(__xludf.DUMMYFUNCTION("""COMPUTED_VALUE"""),0.03978)</f>
        <v>0.03978</v>
      </c>
      <c r="L209" s="19" t="str">
        <f>IFERROR(__xludf.DUMMYFUNCTION("""COMPUTED_VALUE"""),"-")</f>
        <v>-</v>
      </c>
      <c r="M209" s="19">
        <f>IFERROR(__xludf.DUMMYFUNCTION("""COMPUTED_VALUE"""),0.03952)</f>
        <v>0.03952</v>
      </c>
    </row>
    <row r="210">
      <c r="A210" s="12" t="s">
        <v>6300</v>
      </c>
      <c r="G210" s="19">
        <f>IFERROR(__xludf.DUMMYFUNCTION("SPLIT(A208, "" |"")"),206.0)</f>
        <v>206</v>
      </c>
      <c r="H210" s="19">
        <f>IFERROR(__xludf.DUMMYFUNCTION("""COMPUTED_VALUE"""),0.00214)</f>
        <v>0.00214</v>
      </c>
      <c r="I210" s="19" t="str">
        <f>IFERROR(__xludf.DUMMYFUNCTION("""COMPUTED_VALUE"""),"-")</f>
        <v>-</v>
      </c>
      <c r="J210" s="19">
        <f>IFERROR(__xludf.DUMMYFUNCTION("""COMPUTED_VALUE"""),0.00198)</f>
        <v>0.00198</v>
      </c>
      <c r="K210" s="19">
        <f>IFERROR(__xludf.DUMMYFUNCTION("""COMPUTED_VALUE"""),0.03967)</f>
        <v>0.03967</v>
      </c>
      <c r="L210" s="19" t="str">
        <f>IFERROR(__xludf.DUMMYFUNCTION("""COMPUTED_VALUE"""),"-")</f>
        <v>-</v>
      </c>
      <c r="M210" s="19">
        <f>IFERROR(__xludf.DUMMYFUNCTION("""COMPUTED_VALUE"""),0.0402)</f>
        <v>0.0402</v>
      </c>
    </row>
    <row r="211">
      <c r="A211" s="12" t="s">
        <v>6301</v>
      </c>
      <c r="G211" s="19">
        <f>IFERROR(__xludf.DUMMYFUNCTION("SPLIT(A209, "" |"")"),207.0)</f>
        <v>207</v>
      </c>
      <c r="H211" s="19">
        <f>IFERROR(__xludf.DUMMYFUNCTION("""COMPUTED_VALUE"""),0.00215)</f>
        <v>0.00215</v>
      </c>
      <c r="I211" s="19" t="str">
        <f>IFERROR(__xludf.DUMMYFUNCTION("""COMPUTED_VALUE"""),"-")</f>
        <v>-</v>
      </c>
      <c r="J211" s="19">
        <f>IFERROR(__xludf.DUMMYFUNCTION("""COMPUTED_VALUE"""),0.00194)</f>
        <v>0.00194</v>
      </c>
      <c r="K211" s="19">
        <f>IFERROR(__xludf.DUMMYFUNCTION("""COMPUTED_VALUE"""),0.03967)</f>
        <v>0.03967</v>
      </c>
      <c r="L211" s="19" t="str">
        <f>IFERROR(__xludf.DUMMYFUNCTION("""COMPUTED_VALUE"""),"-")</f>
        <v>-</v>
      </c>
      <c r="M211" s="19">
        <f>IFERROR(__xludf.DUMMYFUNCTION("""COMPUTED_VALUE"""),0.03537)</f>
        <v>0.03537</v>
      </c>
    </row>
    <row r="212">
      <c r="A212" s="12" t="s">
        <v>6302</v>
      </c>
      <c r="G212" s="19">
        <f>IFERROR(__xludf.DUMMYFUNCTION("SPLIT(A210, "" |"")"),208.0)</f>
        <v>208</v>
      </c>
      <c r="H212" s="19">
        <f>IFERROR(__xludf.DUMMYFUNCTION("""COMPUTED_VALUE"""),0.00219)</f>
        <v>0.00219</v>
      </c>
      <c r="I212" s="19" t="str">
        <f>IFERROR(__xludf.DUMMYFUNCTION("""COMPUTED_VALUE"""),"-")</f>
        <v>-</v>
      </c>
      <c r="J212" s="19">
        <f>IFERROR(__xludf.DUMMYFUNCTION("""COMPUTED_VALUE"""),0.00203)</f>
        <v>0.00203</v>
      </c>
      <c r="K212" s="19">
        <f>IFERROR(__xludf.DUMMYFUNCTION("""COMPUTED_VALUE"""),0.03796)</f>
        <v>0.03796</v>
      </c>
      <c r="L212" s="19" t="str">
        <f>IFERROR(__xludf.DUMMYFUNCTION("""COMPUTED_VALUE"""),"-")</f>
        <v>-</v>
      </c>
      <c r="M212" s="19">
        <f>IFERROR(__xludf.DUMMYFUNCTION("""COMPUTED_VALUE"""),0.03734)</f>
        <v>0.03734</v>
      </c>
    </row>
    <row r="213">
      <c r="A213" s="12" t="s">
        <v>6303</v>
      </c>
      <c r="G213" s="19">
        <f>IFERROR(__xludf.DUMMYFUNCTION("SPLIT(A211, "" |"")"),209.0)</f>
        <v>209</v>
      </c>
      <c r="H213" s="19">
        <f>IFERROR(__xludf.DUMMYFUNCTION("""COMPUTED_VALUE"""),0.002)</f>
        <v>0.002</v>
      </c>
      <c r="I213" s="19" t="str">
        <f>IFERROR(__xludf.DUMMYFUNCTION("""COMPUTED_VALUE"""),"-")</f>
        <v>-</v>
      </c>
      <c r="J213" s="19">
        <f>IFERROR(__xludf.DUMMYFUNCTION("""COMPUTED_VALUE"""),0.00185)</f>
        <v>0.00185</v>
      </c>
      <c r="K213" s="19">
        <f>IFERROR(__xludf.DUMMYFUNCTION("""COMPUTED_VALUE"""),0.0396)</f>
        <v>0.0396</v>
      </c>
      <c r="L213" s="19" t="str">
        <f>IFERROR(__xludf.DUMMYFUNCTION("""COMPUTED_VALUE"""),"-")</f>
        <v>-</v>
      </c>
      <c r="M213" s="19">
        <f>IFERROR(__xludf.DUMMYFUNCTION("""COMPUTED_VALUE"""),0.03802)</f>
        <v>0.03802</v>
      </c>
    </row>
    <row r="214">
      <c r="A214" s="12" t="s">
        <v>6304</v>
      </c>
      <c r="G214" s="19">
        <f>IFERROR(__xludf.DUMMYFUNCTION("SPLIT(A212, "" |"")"),210.0)</f>
        <v>210</v>
      </c>
      <c r="H214" s="19">
        <f>IFERROR(__xludf.DUMMYFUNCTION("""COMPUTED_VALUE"""),0.00203)</f>
        <v>0.00203</v>
      </c>
      <c r="I214" s="19" t="str">
        <f>IFERROR(__xludf.DUMMYFUNCTION("""COMPUTED_VALUE"""),"-")</f>
        <v>-</v>
      </c>
      <c r="J214" s="19">
        <f>IFERROR(__xludf.DUMMYFUNCTION("""COMPUTED_VALUE"""),0.00199)</f>
        <v>0.00199</v>
      </c>
      <c r="K214" s="19">
        <f>IFERROR(__xludf.DUMMYFUNCTION("""COMPUTED_VALUE"""),0.03969)</f>
        <v>0.03969</v>
      </c>
      <c r="L214" s="19" t="str">
        <f>IFERROR(__xludf.DUMMYFUNCTION("""COMPUTED_VALUE"""),"-")</f>
        <v>-</v>
      </c>
      <c r="M214" s="19">
        <f>IFERROR(__xludf.DUMMYFUNCTION("""COMPUTED_VALUE"""),0.0362)</f>
        <v>0.0362</v>
      </c>
    </row>
    <row r="215">
      <c r="A215" s="12" t="s">
        <v>6305</v>
      </c>
      <c r="G215" s="19">
        <f>IFERROR(__xludf.DUMMYFUNCTION("SPLIT(A213, "" |"")"),211.0)</f>
        <v>211</v>
      </c>
      <c r="H215" s="19">
        <f>IFERROR(__xludf.DUMMYFUNCTION("""COMPUTED_VALUE"""),0.00213)</f>
        <v>0.00213</v>
      </c>
      <c r="I215" s="19" t="str">
        <f>IFERROR(__xludf.DUMMYFUNCTION("""COMPUTED_VALUE"""),"-")</f>
        <v>-</v>
      </c>
      <c r="J215" s="19">
        <f>IFERROR(__xludf.DUMMYFUNCTION("""COMPUTED_VALUE"""),0.00186)</f>
        <v>0.00186</v>
      </c>
      <c r="K215" s="19">
        <f>IFERROR(__xludf.DUMMYFUNCTION("""COMPUTED_VALUE"""),0.04022)</f>
        <v>0.04022</v>
      </c>
      <c r="L215" s="19" t="str">
        <f>IFERROR(__xludf.DUMMYFUNCTION("""COMPUTED_VALUE"""),"-")</f>
        <v>-</v>
      </c>
      <c r="M215" s="19">
        <f>IFERROR(__xludf.DUMMYFUNCTION("""COMPUTED_VALUE"""),0.03763)</f>
        <v>0.03763</v>
      </c>
    </row>
    <row r="216">
      <c r="A216" s="12" t="s">
        <v>6306</v>
      </c>
      <c r="G216" s="19">
        <f>IFERROR(__xludf.DUMMYFUNCTION("SPLIT(A214, "" |"")"),212.0)</f>
        <v>212</v>
      </c>
      <c r="H216" s="19">
        <f>IFERROR(__xludf.DUMMYFUNCTION("""COMPUTED_VALUE"""),0.00208)</f>
        <v>0.00208</v>
      </c>
      <c r="I216" s="19" t="str">
        <f>IFERROR(__xludf.DUMMYFUNCTION("""COMPUTED_VALUE"""),"-")</f>
        <v>-</v>
      </c>
      <c r="J216" s="19">
        <f>IFERROR(__xludf.DUMMYFUNCTION("""COMPUTED_VALUE"""),0.00204)</f>
        <v>0.00204</v>
      </c>
      <c r="K216" s="19">
        <f>IFERROR(__xludf.DUMMYFUNCTION("""COMPUTED_VALUE"""),0.0381)</f>
        <v>0.0381</v>
      </c>
      <c r="L216" s="19" t="str">
        <f>IFERROR(__xludf.DUMMYFUNCTION("""COMPUTED_VALUE"""),"-")</f>
        <v>-</v>
      </c>
      <c r="M216" s="19">
        <f>IFERROR(__xludf.DUMMYFUNCTION("""COMPUTED_VALUE"""),0.0399)</f>
        <v>0.0399</v>
      </c>
    </row>
    <row r="217">
      <c r="A217" s="12" t="s">
        <v>6307</v>
      </c>
      <c r="G217" s="19">
        <f>IFERROR(__xludf.DUMMYFUNCTION("SPLIT(A215, "" |"")"),213.0)</f>
        <v>213</v>
      </c>
      <c r="H217" s="19">
        <f>IFERROR(__xludf.DUMMYFUNCTION("""COMPUTED_VALUE"""),0.00216)</f>
        <v>0.00216</v>
      </c>
      <c r="I217" s="19" t="str">
        <f>IFERROR(__xludf.DUMMYFUNCTION("""COMPUTED_VALUE"""),"-")</f>
        <v>-</v>
      </c>
      <c r="J217" s="19">
        <f>IFERROR(__xludf.DUMMYFUNCTION("""COMPUTED_VALUE"""),0.002)</f>
        <v>0.002</v>
      </c>
      <c r="K217" s="19">
        <f>IFERROR(__xludf.DUMMYFUNCTION("""COMPUTED_VALUE"""),0.03939)</f>
        <v>0.03939</v>
      </c>
      <c r="L217" s="19" t="str">
        <f>IFERROR(__xludf.DUMMYFUNCTION("""COMPUTED_VALUE"""),"-")</f>
        <v>-</v>
      </c>
      <c r="M217" s="19">
        <f>IFERROR(__xludf.DUMMYFUNCTION("""COMPUTED_VALUE"""),0.03946)</f>
        <v>0.03946</v>
      </c>
    </row>
    <row r="218">
      <c r="A218" s="12" t="s">
        <v>6308</v>
      </c>
      <c r="G218" s="19">
        <f>IFERROR(__xludf.DUMMYFUNCTION("SPLIT(A216, "" |"")"),214.0)</f>
        <v>214</v>
      </c>
      <c r="H218" s="19">
        <f>IFERROR(__xludf.DUMMYFUNCTION("""COMPUTED_VALUE"""),0.00217)</f>
        <v>0.00217</v>
      </c>
      <c r="I218" s="19" t="str">
        <f>IFERROR(__xludf.DUMMYFUNCTION("""COMPUTED_VALUE"""),"-")</f>
        <v>-</v>
      </c>
      <c r="J218" s="19">
        <f>IFERROR(__xludf.DUMMYFUNCTION("""COMPUTED_VALUE"""),0.00214)</f>
        <v>0.00214</v>
      </c>
      <c r="K218" s="19">
        <f>IFERROR(__xludf.DUMMYFUNCTION("""COMPUTED_VALUE"""),0.03979)</f>
        <v>0.03979</v>
      </c>
      <c r="L218" s="19" t="str">
        <f>IFERROR(__xludf.DUMMYFUNCTION("""COMPUTED_VALUE"""),"-")</f>
        <v>-</v>
      </c>
      <c r="M218" s="19">
        <f>IFERROR(__xludf.DUMMYFUNCTION("""COMPUTED_VALUE"""),0.04004)</f>
        <v>0.04004</v>
      </c>
    </row>
    <row r="219">
      <c r="A219" s="12" t="s">
        <v>6309</v>
      </c>
      <c r="G219" s="19">
        <f>IFERROR(__xludf.DUMMYFUNCTION("SPLIT(A217, "" |"")"),215.0)</f>
        <v>215</v>
      </c>
      <c r="H219" s="19">
        <f>IFERROR(__xludf.DUMMYFUNCTION("""COMPUTED_VALUE"""),0.00221)</f>
        <v>0.00221</v>
      </c>
      <c r="I219" s="19" t="str">
        <f>IFERROR(__xludf.DUMMYFUNCTION("""COMPUTED_VALUE"""),"-")</f>
        <v>-</v>
      </c>
      <c r="J219" s="19">
        <f>IFERROR(__xludf.DUMMYFUNCTION("""COMPUTED_VALUE"""),0.00195)</f>
        <v>0.00195</v>
      </c>
      <c r="K219" s="19">
        <f>IFERROR(__xludf.DUMMYFUNCTION("""COMPUTED_VALUE"""),0.03979)</f>
        <v>0.03979</v>
      </c>
      <c r="L219" s="19" t="str">
        <f>IFERROR(__xludf.DUMMYFUNCTION("""COMPUTED_VALUE"""),"-")</f>
        <v>-</v>
      </c>
      <c r="M219" s="19">
        <f>IFERROR(__xludf.DUMMYFUNCTION("""COMPUTED_VALUE"""),0.037)</f>
        <v>0.037</v>
      </c>
    </row>
    <row r="220">
      <c r="A220" s="12" t="s">
        <v>6310</v>
      </c>
      <c r="G220" s="19">
        <f>IFERROR(__xludf.DUMMYFUNCTION("SPLIT(A218, "" |"")"),216.0)</f>
        <v>216</v>
      </c>
      <c r="H220" s="19">
        <f>IFERROR(__xludf.DUMMYFUNCTION("""COMPUTED_VALUE"""),0.00217)</f>
        <v>0.00217</v>
      </c>
      <c r="I220" s="19" t="str">
        <f>IFERROR(__xludf.DUMMYFUNCTION("""COMPUTED_VALUE"""),"-")</f>
        <v>-</v>
      </c>
      <c r="J220" s="19">
        <f>IFERROR(__xludf.DUMMYFUNCTION("""COMPUTED_VALUE"""),0.00228)</f>
        <v>0.00228</v>
      </c>
      <c r="K220" s="19">
        <f>IFERROR(__xludf.DUMMYFUNCTION("""COMPUTED_VALUE"""),0.03986)</f>
        <v>0.03986</v>
      </c>
      <c r="L220" s="19" t="str">
        <f>IFERROR(__xludf.DUMMYFUNCTION("""COMPUTED_VALUE"""),"-")</f>
        <v>-</v>
      </c>
      <c r="M220" s="19">
        <f>IFERROR(__xludf.DUMMYFUNCTION("""COMPUTED_VALUE"""),0.04009)</f>
        <v>0.04009</v>
      </c>
    </row>
    <row r="221">
      <c r="A221" s="12" t="s">
        <v>6311</v>
      </c>
      <c r="G221" s="19">
        <f>IFERROR(__xludf.DUMMYFUNCTION("SPLIT(A219, "" |"")"),217.0)</f>
        <v>217</v>
      </c>
      <c r="H221" s="19">
        <f>IFERROR(__xludf.DUMMYFUNCTION("""COMPUTED_VALUE"""),0.00265)</f>
        <v>0.00265</v>
      </c>
      <c r="I221" s="19" t="str">
        <f>IFERROR(__xludf.DUMMYFUNCTION("""COMPUTED_VALUE"""),"-")</f>
        <v>-</v>
      </c>
      <c r="J221" s="19">
        <f>IFERROR(__xludf.DUMMYFUNCTION("""COMPUTED_VALUE"""),0.00196)</f>
        <v>0.00196</v>
      </c>
      <c r="K221" s="19">
        <f>IFERROR(__xludf.DUMMYFUNCTION("""COMPUTED_VALUE"""),0.03615)</f>
        <v>0.03615</v>
      </c>
      <c r="L221" s="19" t="str">
        <f>IFERROR(__xludf.DUMMYFUNCTION("""COMPUTED_VALUE"""),"-")</f>
        <v>-</v>
      </c>
      <c r="M221" s="19">
        <f>IFERROR(__xludf.DUMMYFUNCTION("""COMPUTED_VALUE"""),0.03976)</f>
        <v>0.03976</v>
      </c>
    </row>
    <row r="222">
      <c r="A222" s="12" t="s">
        <v>6312</v>
      </c>
      <c r="G222" s="19">
        <f>IFERROR(__xludf.DUMMYFUNCTION("SPLIT(A220, "" |"")"),218.0)</f>
        <v>218</v>
      </c>
      <c r="H222" s="19">
        <f>IFERROR(__xludf.DUMMYFUNCTION("""COMPUTED_VALUE"""),0.00214)</f>
        <v>0.00214</v>
      </c>
      <c r="I222" s="19" t="str">
        <f>IFERROR(__xludf.DUMMYFUNCTION("""COMPUTED_VALUE"""),"-")</f>
        <v>-</v>
      </c>
      <c r="J222" s="19">
        <f>IFERROR(__xludf.DUMMYFUNCTION("""COMPUTED_VALUE"""),0.00203)</f>
        <v>0.00203</v>
      </c>
      <c r="K222" s="19">
        <f>IFERROR(__xludf.DUMMYFUNCTION("""COMPUTED_VALUE"""),0.03977)</f>
        <v>0.03977</v>
      </c>
      <c r="L222" s="19" t="str">
        <f>IFERROR(__xludf.DUMMYFUNCTION("""COMPUTED_VALUE"""),"-")</f>
        <v>-</v>
      </c>
      <c r="M222" s="19">
        <f>IFERROR(__xludf.DUMMYFUNCTION("""COMPUTED_VALUE"""),0.03989)</f>
        <v>0.03989</v>
      </c>
    </row>
    <row r="223">
      <c r="A223" s="12" t="s">
        <v>6313</v>
      </c>
      <c r="G223" s="19">
        <f>IFERROR(__xludf.DUMMYFUNCTION("SPLIT(A221, "" |"")"),219.0)</f>
        <v>219</v>
      </c>
      <c r="H223" s="19">
        <f>IFERROR(__xludf.DUMMYFUNCTION("""COMPUTED_VALUE"""),0.00212)</f>
        <v>0.00212</v>
      </c>
      <c r="I223" s="19" t="str">
        <f>IFERROR(__xludf.DUMMYFUNCTION("""COMPUTED_VALUE"""),"-")</f>
        <v>-</v>
      </c>
      <c r="J223" s="19">
        <f>IFERROR(__xludf.DUMMYFUNCTION("""COMPUTED_VALUE"""),0.00198)</f>
        <v>0.00198</v>
      </c>
      <c r="K223" s="19">
        <f>IFERROR(__xludf.DUMMYFUNCTION("""COMPUTED_VALUE"""),0.03734)</f>
        <v>0.03734</v>
      </c>
      <c r="L223" s="19" t="str">
        <f>IFERROR(__xludf.DUMMYFUNCTION("""COMPUTED_VALUE"""),"-")</f>
        <v>-</v>
      </c>
      <c r="M223" s="19">
        <f>IFERROR(__xludf.DUMMYFUNCTION("""COMPUTED_VALUE"""),0.03866)</f>
        <v>0.03866</v>
      </c>
    </row>
    <row r="224">
      <c r="A224" s="12" t="s">
        <v>6314</v>
      </c>
      <c r="G224" s="19">
        <f>IFERROR(__xludf.DUMMYFUNCTION("SPLIT(A222, "" |"")"),220.0)</f>
        <v>220</v>
      </c>
      <c r="H224" s="19">
        <f>IFERROR(__xludf.DUMMYFUNCTION("""COMPUTED_VALUE"""),0.00216)</f>
        <v>0.00216</v>
      </c>
      <c r="I224" s="19" t="str">
        <f>IFERROR(__xludf.DUMMYFUNCTION("""COMPUTED_VALUE"""),"-")</f>
        <v>-</v>
      </c>
      <c r="J224" s="19">
        <f>IFERROR(__xludf.DUMMYFUNCTION("""COMPUTED_VALUE"""),0.00203)</f>
        <v>0.00203</v>
      </c>
      <c r="K224" s="19">
        <f>IFERROR(__xludf.DUMMYFUNCTION("""COMPUTED_VALUE"""),0.03774)</f>
        <v>0.03774</v>
      </c>
      <c r="L224" s="19" t="str">
        <f>IFERROR(__xludf.DUMMYFUNCTION("""COMPUTED_VALUE"""),"-")</f>
        <v>-</v>
      </c>
      <c r="M224" s="19">
        <f>IFERROR(__xludf.DUMMYFUNCTION("""COMPUTED_VALUE"""),0.03975)</f>
        <v>0.03975</v>
      </c>
    </row>
    <row r="225">
      <c r="A225" s="12" t="s">
        <v>6315</v>
      </c>
      <c r="G225" s="19">
        <f>IFERROR(__xludf.DUMMYFUNCTION("SPLIT(A223, "" |"")"),221.0)</f>
        <v>221</v>
      </c>
      <c r="H225" s="19">
        <f>IFERROR(__xludf.DUMMYFUNCTION("""COMPUTED_VALUE"""),0.0022)</f>
        <v>0.0022</v>
      </c>
      <c r="I225" s="19" t="str">
        <f>IFERROR(__xludf.DUMMYFUNCTION("""COMPUTED_VALUE"""),"-")</f>
        <v>-</v>
      </c>
      <c r="J225" s="19">
        <f>IFERROR(__xludf.DUMMYFUNCTION("""COMPUTED_VALUE"""),0.00197)</f>
        <v>0.00197</v>
      </c>
      <c r="K225" s="19">
        <f>IFERROR(__xludf.DUMMYFUNCTION("""COMPUTED_VALUE"""),0.03968)</f>
        <v>0.03968</v>
      </c>
      <c r="L225" s="19" t="str">
        <f>IFERROR(__xludf.DUMMYFUNCTION("""COMPUTED_VALUE"""),"-")</f>
        <v>-</v>
      </c>
      <c r="M225" s="19">
        <f>IFERROR(__xludf.DUMMYFUNCTION("""COMPUTED_VALUE"""),0.03978)</f>
        <v>0.03978</v>
      </c>
    </row>
    <row r="226">
      <c r="A226" s="12" t="s">
        <v>6316</v>
      </c>
      <c r="G226" s="19">
        <f>IFERROR(__xludf.DUMMYFUNCTION("SPLIT(A224, "" |"")"),222.0)</f>
        <v>222</v>
      </c>
      <c r="H226" s="19">
        <f>IFERROR(__xludf.DUMMYFUNCTION("""COMPUTED_VALUE"""),0.00202)</f>
        <v>0.00202</v>
      </c>
      <c r="I226" s="19" t="str">
        <f>IFERROR(__xludf.DUMMYFUNCTION("""COMPUTED_VALUE"""),"-")</f>
        <v>-</v>
      </c>
      <c r="J226" s="19">
        <f>IFERROR(__xludf.DUMMYFUNCTION("""COMPUTED_VALUE"""),0.00191)</f>
        <v>0.00191</v>
      </c>
      <c r="K226" s="19">
        <f>IFERROR(__xludf.DUMMYFUNCTION("""COMPUTED_VALUE"""),0.03967)</f>
        <v>0.03967</v>
      </c>
      <c r="L226" s="19" t="str">
        <f>IFERROR(__xludf.DUMMYFUNCTION("""COMPUTED_VALUE"""),"-")</f>
        <v>-</v>
      </c>
      <c r="M226" s="19">
        <f>IFERROR(__xludf.DUMMYFUNCTION("""COMPUTED_VALUE"""),0.03986)</f>
        <v>0.03986</v>
      </c>
    </row>
    <row r="227">
      <c r="A227" s="12" t="s">
        <v>6317</v>
      </c>
      <c r="G227" s="19">
        <f>IFERROR(__xludf.DUMMYFUNCTION("SPLIT(A225, "" |"")"),223.0)</f>
        <v>223</v>
      </c>
      <c r="H227" s="19">
        <f>IFERROR(__xludf.DUMMYFUNCTION("""COMPUTED_VALUE"""),0.00214)</f>
        <v>0.00214</v>
      </c>
      <c r="I227" s="19" t="str">
        <f>IFERROR(__xludf.DUMMYFUNCTION("""COMPUTED_VALUE"""),"-")</f>
        <v>-</v>
      </c>
      <c r="J227" s="19">
        <f>IFERROR(__xludf.DUMMYFUNCTION("""COMPUTED_VALUE"""),0.00194)</f>
        <v>0.00194</v>
      </c>
      <c r="K227" s="19">
        <f>IFERROR(__xludf.DUMMYFUNCTION("""COMPUTED_VALUE"""),0.03971)</f>
        <v>0.03971</v>
      </c>
      <c r="L227" s="19" t="str">
        <f>IFERROR(__xludf.DUMMYFUNCTION("""COMPUTED_VALUE"""),"-")</f>
        <v>-</v>
      </c>
      <c r="M227" s="19">
        <f>IFERROR(__xludf.DUMMYFUNCTION("""COMPUTED_VALUE"""),0.03984)</f>
        <v>0.03984</v>
      </c>
    </row>
    <row r="228">
      <c r="A228" s="12" t="s">
        <v>6318</v>
      </c>
      <c r="G228" s="19">
        <f>IFERROR(__xludf.DUMMYFUNCTION("SPLIT(A226, "" |"")"),224.0)</f>
        <v>224</v>
      </c>
      <c r="H228" s="19">
        <f>IFERROR(__xludf.DUMMYFUNCTION("""COMPUTED_VALUE"""),0.00214)</f>
        <v>0.00214</v>
      </c>
      <c r="I228" s="19" t="str">
        <f>IFERROR(__xludf.DUMMYFUNCTION("""COMPUTED_VALUE"""),"-")</f>
        <v>-</v>
      </c>
      <c r="J228" s="19">
        <f>IFERROR(__xludf.DUMMYFUNCTION("""COMPUTED_VALUE"""),0.00194)</f>
        <v>0.00194</v>
      </c>
      <c r="K228" s="19">
        <f>IFERROR(__xludf.DUMMYFUNCTION("""COMPUTED_VALUE"""),0.03968)</f>
        <v>0.03968</v>
      </c>
      <c r="L228" s="19" t="str">
        <f>IFERROR(__xludf.DUMMYFUNCTION("""COMPUTED_VALUE"""),"-")</f>
        <v>-</v>
      </c>
      <c r="M228" s="19">
        <f>IFERROR(__xludf.DUMMYFUNCTION("""COMPUTED_VALUE"""),0.03985)</f>
        <v>0.03985</v>
      </c>
    </row>
    <row r="229">
      <c r="A229" s="12" t="s">
        <v>6319</v>
      </c>
      <c r="G229" s="19">
        <f>IFERROR(__xludf.DUMMYFUNCTION("SPLIT(A227, "" |"")"),225.0)</f>
        <v>225</v>
      </c>
      <c r="H229" s="19">
        <f>IFERROR(__xludf.DUMMYFUNCTION("""COMPUTED_VALUE"""),0.00212)</f>
        <v>0.00212</v>
      </c>
      <c r="I229" s="19" t="str">
        <f>IFERROR(__xludf.DUMMYFUNCTION("""COMPUTED_VALUE"""),"-")</f>
        <v>-</v>
      </c>
      <c r="J229" s="19">
        <f>IFERROR(__xludf.DUMMYFUNCTION("""COMPUTED_VALUE"""),0.00202)</f>
        <v>0.00202</v>
      </c>
      <c r="K229" s="19">
        <f>IFERROR(__xludf.DUMMYFUNCTION("""COMPUTED_VALUE"""),0.03971)</f>
        <v>0.03971</v>
      </c>
      <c r="L229" s="19" t="str">
        <f>IFERROR(__xludf.DUMMYFUNCTION("""COMPUTED_VALUE"""),"-")</f>
        <v>-</v>
      </c>
      <c r="M229" s="19">
        <f>IFERROR(__xludf.DUMMYFUNCTION("""COMPUTED_VALUE"""),0.03976)</f>
        <v>0.03976</v>
      </c>
    </row>
    <row r="230">
      <c r="A230" s="12" t="s">
        <v>6320</v>
      </c>
      <c r="G230" s="19">
        <f>IFERROR(__xludf.DUMMYFUNCTION("SPLIT(A228, "" |"")"),226.0)</f>
        <v>226</v>
      </c>
      <c r="H230" s="19">
        <f>IFERROR(__xludf.DUMMYFUNCTION("""COMPUTED_VALUE"""),0.00203)</f>
        <v>0.00203</v>
      </c>
      <c r="I230" s="19" t="str">
        <f>IFERROR(__xludf.DUMMYFUNCTION("""COMPUTED_VALUE"""),"-")</f>
        <v>-</v>
      </c>
      <c r="J230" s="19">
        <f>IFERROR(__xludf.DUMMYFUNCTION("""COMPUTED_VALUE"""),0.00184)</f>
        <v>0.00184</v>
      </c>
      <c r="K230" s="19">
        <f>IFERROR(__xludf.DUMMYFUNCTION("""COMPUTED_VALUE"""),0.03981)</f>
        <v>0.03981</v>
      </c>
      <c r="L230" s="19" t="str">
        <f>IFERROR(__xludf.DUMMYFUNCTION("""COMPUTED_VALUE"""),"-")</f>
        <v>-</v>
      </c>
      <c r="M230" s="19">
        <f>IFERROR(__xludf.DUMMYFUNCTION("""COMPUTED_VALUE"""),0.03979)</f>
        <v>0.03979</v>
      </c>
    </row>
    <row r="231">
      <c r="A231" s="12" t="s">
        <v>6321</v>
      </c>
      <c r="G231" s="19">
        <f>IFERROR(__xludf.DUMMYFUNCTION("SPLIT(A229, "" |"")"),227.0)</f>
        <v>227</v>
      </c>
      <c r="H231" s="19">
        <f>IFERROR(__xludf.DUMMYFUNCTION("""COMPUTED_VALUE"""),0.00216)</f>
        <v>0.00216</v>
      </c>
      <c r="I231" s="19" t="str">
        <f>IFERROR(__xludf.DUMMYFUNCTION("""COMPUTED_VALUE"""),"-")</f>
        <v>-</v>
      </c>
      <c r="J231" s="19">
        <f>IFERROR(__xludf.DUMMYFUNCTION("""COMPUTED_VALUE"""),0.00193)</f>
        <v>0.00193</v>
      </c>
      <c r="K231" s="19">
        <f>IFERROR(__xludf.DUMMYFUNCTION("""COMPUTED_VALUE"""),0.03945)</f>
        <v>0.03945</v>
      </c>
      <c r="L231" s="19" t="str">
        <f>IFERROR(__xludf.DUMMYFUNCTION("""COMPUTED_VALUE"""),"-")</f>
        <v>-</v>
      </c>
      <c r="M231" s="19">
        <f>IFERROR(__xludf.DUMMYFUNCTION("""COMPUTED_VALUE"""),0.03956)</f>
        <v>0.03956</v>
      </c>
    </row>
    <row r="232">
      <c r="A232" s="12" t="s">
        <v>6322</v>
      </c>
      <c r="G232" s="19">
        <f>IFERROR(__xludf.DUMMYFUNCTION("SPLIT(A230, "" |"")"),228.0)</f>
        <v>228</v>
      </c>
      <c r="H232" s="19">
        <f>IFERROR(__xludf.DUMMYFUNCTION("""COMPUTED_VALUE"""),0.0022)</f>
        <v>0.0022</v>
      </c>
      <c r="I232" s="19" t="str">
        <f>IFERROR(__xludf.DUMMYFUNCTION("""COMPUTED_VALUE"""),"-")</f>
        <v>-</v>
      </c>
      <c r="J232" s="19">
        <f>IFERROR(__xludf.DUMMYFUNCTION("""COMPUTED_VALUE"""),0.00204)</f>
        <v>0.00204</v>
      </c>
      <c r="K232" s="19">
        <f>IFERROR(__xludf.DUMMYFUNCTION("""COMPUTED_VALUE"""),0.03971)</f>
        <v>0.03971</v>
      </c>
      <c r="L232" s="19" t="str">
        <f>IFERROR(__xludf.DUMMYFUNCTION("""COMPUTED_VALUE"""),"-")</f>
        <v>-</v>
      </c>
      <c r="M232" s="19">
        <f>IFERROR(__xludf.DUMMYFUNCTION("""COMPUTED_VALUE"""),0.03989)</f>
        <v>0.03989</v>
      </c>
    </row>
    <row r="233">
      <c r="A233" s="12" t="s">
        <v>6323</v>
      </c>
      <c r="G233" s="19">
        <f>IFERROR(__xludf.DUMMYFUNCTION("SPLIT(A231, "" |"")"),229.0)</f>
        <v>229</v>
      </c>
      <c r="H233" s="19">
        <f>IFERROR(__xludf.DUMMYFUNCTION("""COMPUTED_VALUE"""),0.00213)</f>
        <v>0.00213</v>
      </c>
      <c r="I233" s="19" t="str">
        <f>IFERROR(__xludf.DUMMYFUNCTION("""COMPUTED_VALUE"""),"-")</f>
        <v>-</v>
      </c>
      <c r="J233" s="19">
        <f>IFERROR(__xludf.DUMMYFUNCTION("""COMPUTED_VALUE"""),0.00193)</f>
        <v>0.00193</v>
      </c>
      <c r="K233" s="19">
        <f>IFERROR(__xludf.DUMMYFUNCTION("""COMPUTED_VALUE"""),0.03965)</f>
        <v>0.03965</v>
      </c>
      <c r="L233" s="19" t="str">
        <f>IFERROR(__xludf.DUMMYFUNCTION("""COMPUTED_VALUE"""),"-")</f>
        <v>-</v>
      </c>
      <c r="M233" s="19">
        <f>IFERROR(__xludf.DUMMYFUNCTION("""COMPUTED_VALUE"""),0.03981)</f>
        <v>0.03981</v>
      </c>
    </row>
    <row r="234">
      <c r="A234" s="12" t="s">
        <v>6324</v>
      </c>
      <c r="G234" s="19">
        <f>IFERROR(__xludf.DUMMYFUNCTION("SPLIT(A232, "" |"")"),230.0)</f>
        <v>230</v>
      </c>
      <c r="H234" s="19">
        <f>IFERROR(__xludf.DUMMYFUNCTION("""COMPUTED_VALUE"""),0.00213)</f>
        <v>0.00213</v>
      </c>
      <c r="I234" s="19" t="str">
        <f>IFERROR(__xludf.DUMMYFUNCTION("""COMPUTED_VALUE"""),"-")</f>
        <v>-</v>
      </c>
      <c r="J234" s="19">
        <f>IFERROR(__xludf.DUMMYFUNCTION("""COMPUTED_VALUE"""),0.00199)</f>
        <v>0.00199</v>
      </c>
      <c r="K234" s="19">
        <f>IFERROR(__xludf.DUMMYFUNCTION("""COMPUTED_VALUE"""),0.03966)</f>
        <v>0.03966</v>
      </c>
      <c r="L234" s="19" t="str">
        <f>IFERROR(__xludf.DUMMYFUNCTION("""COMPUTED_VALUE"""),"-")</f>
        <v>-</v>
      </c>
      <c r="M234" s="19">
        <f>IFERROR(__xludf.DUMMYFUNCTION("""COMPUTED_VALUE"""),0.03989)</f>
        <v>0.03989</v>
      </c>
    </row>
    <row r="235">
      <c r="A235" s="12" t="s">
        <v>6325</v>
      </c>
      <c r="G235" s="19">
        <f>IFERROR(__xludf.DUMMYFUNCTION("SPLIT(A233, "" |"")"),231.0)</f>
        <v>231</v>
      </c>
      <c r="H235" s="19">
        <f>IFERROR(__xludf.DUMMYFUNCTION("""COMPUTED_VALUE"""),0.00207)</f>
        <v>0.00207</v>
      </c>
      <c r="I235" s="19" t="str">
        <f>IFERROR(__xludf.DUMMYFUNCTION("""COMPUTED_VALUE"""),"-")</f>
        <v>-</v>
      </c>
      <c r="J235" s="19">
        <f>IFERROR(__xludf.DUMMYFUNCTION("""COMPUTED_VALUE"""),0.00193)</f>
        <v>0.00193</v>
      </c>
      <c r="K235" s="19">
        <f>IFERROR(__xludf.DUMMYFUNCTION("""COMPUTED_VALUE"""),0.03963)</f>
        <v>0.03963</v>
      </c>
      <c r="L235" s="19" t="str">
        <f>IFERROR(__xludf.DUMMYFUNCTION("""COMPUTED_VALUE"""),"-")</f>
        <v>-</v>
      </c>
      <c r="M235" s="19">
        <f>IFERROR(__xludf.DUMMYFUNCTION("""COMPUTED_VALUE"""),0.03736)</f>
        <v>0.03736</v>
      </c>
    </row>
    <row r="236">
      <c r="A236" s="12" t="s">
        <v>6326</v>
      </c>
      <c r="G236" s="19">
        <f>IFERROR(__xludf.DUMMYFUNCTION("SPLIT(A234, "" |"")"),232.0)</f>
        <v>232</v>
      </c>
      <c r="H236" s="19">
        <f>IFERROR(__xludf.DUMMYFUNCTION("""COMPUTED_VALUE"""),0.00221)</f>
        <v>0.00221</v>
      </c>
      <c r="I236" s="19" t="str">
        <f>IFERROR(__xludf.DUMMYFUNCTION("""COMPUTED_VALUE"""),"-")</f>
        <v>-</v>
      </c>
      <c r="J236" s="19">
        <f>IFERROR(__xludf.DUMMYFUNCTION("""COMPUTED_VALUE"""),0.00198)</f>
        <v>0.00198</v>
      </c>
      <c r="K236" s="19">
        <f>IFERROR(__xludf.DUMMYFUNCTION("""COMPUTED_VALUE"""),0.03825)</f>
        <v>0.03825</v>
      </c>
      <c r="L236" s="19" t="str">
        <f>IFERROR(__xludf.DUMMYFUNCTION("""COMPUTED_VALUE"""),"-")</f>
        <v>-</v>
      </c>
      <c r="M236" s="19">
        <f>IFERROR(__xludf.DUMMYFUNCTION("""COMPUTED_VALUE"""),0.03997)</f>
        <v>0.03997</v>
      </c>
    </row>
    <row r="237">
      <c r="A237" s="12" t="s">
        <v>6327</v>
      </c>
      <c r="G237" s="19">
        <f>IFERROR(__xludf.DUMMYFUNCTION("SPLIT(A235, "" |"")"),233.0)</f>
        <v>233</v>
      </c>
      <c r="H237" s="19">
        <f>IFERROR(__xludf.DUMMYFUNCTION("""COMPUTED_VALUE"""),0.00218)</f>
        <v>0.00218</v>
      </c>
      <c r="I237" s="19" t="str">
        <f>IFERROR(__xludf.DUMMYFUNCTION("""COMPUTED_VALUE"""),"-")</f>
        <v>-</v>
      </c>
      <c r="J237" s="19">
        <f>IFERROR(__xludf.DUMMYFUNCTION("""COMPUTED_VALUE"""),0.00197)</f>
        <v>0.00197</v>
      </c>
      <c r="K237" s="19">
        <f>IFERROR(__xludf.DUMMYFUNCTION("""COMPUTED_VALUE"""),0.03958)</f>
        <v>0.03958</v>
      </c>
      <c r="L237" s="19" t="str">
        <f>IFERROR(__xludf.DUMMYFUNCTION("""COMPUTED_VALUE"""),"-")</f>
        <v>-</v>
      </c>
      <c r="M237" s="19">
        <f>IFERROR(__xludf.DUMMYFUNCTION("""COMPUTED_VALUE"""),0.03986)</f>
        <v>0.03986</v>
      </c>
    </row>
    <row r="238">
      <c r="A238" s="12" t="s">
        <v>6328</v>
      </c>
      <c r="G238" s="19">
        <f>IFERROR(__xludf.DUMMYFUNCTION("SPLIT(A236, "" |"")"),234.0)</f>
        <v>234</v>
      </c>
      <c r="H238" s="19">
        <f>IFERROR(__xludf.DUMMYFUNCTION("""COMPUTED_VALUE"""),0.00212)</f>
        <v>0.00212</v>
      </c>
      <c r="I238" s="19" t="str">
        <f>IFERROR(__xludf.DUMMYFUNCTION("""COMPUTED_VALUE"""),"-")</f>
        <v>-</v>
      </c>
      <c r="J238" s="19">
        <f>IFERROR(__xludf.DUMMYFUNCTION("""COMPUTED_VALUE"""),0.00196)</f>
        <v>0.00196</v>
      </c>
      <c r="K238" s="19">
        <f>IFERROR(__xludf.DUMMYFUNCTION("""COMPUTED_VALUE"""),0.03971)</f>
        <v>0.03971</v>
      </c>
      <c r="L238" s="19" t="str">
        <f>IFERROR(__xludf.DUMMYFUNCTION("""COMPUTED_VALUE"""),"-")</f>
        <v>-</v>
      </c>
      <c r="M238" s="19">
        <f>IFERROR(__xludf.DUMMYFUNCTION("""COMPUTED_VALUE"""),0.03977)</f>
        <v>0.03977</v>
      </c>
    </row>
    <row r="239">
      <c r="A239" s="12" t="s">
        <v>6329</v>
      </c>
      <c r="G239" s="19">
        <f>IFERROR(__xludf.DUMMYFUNCTION("SPLIT(A237, "" |"")"),235.0)</f>
        <v>235</v>
      </c>
      <c r="H239" s="19">
        <f>IFERROR(__xludf.DUMMYFUNCTION("""COMPUTED_VALUE"""),0.00202)</f>
        <v>0.00202</v>
      </c>
      <c r="I239" s="19" t="str">
        <f>IFERROR(__xludf.DUMMYFUNCTION("""COMPUTED_VALUE"""),"-")</f>
        <v>-</v>
      </c>
      <c r="J239" s="19">
        <f>IFERROR(__xludf.DUMMYFUNCTION("""COMPUTED_VALUE"""),0.00189)</f>
        <v>0.00189</v>
      </c>
      <c r="K239" s="19">
        <f>IFERROR(__xludf.DUMMYFUNCTION("""COMPUTED_VALUE"""),0.03975)</f>
        <v>0.03975</v>
      </c>
      <c r="L239" s="19" t="str">
        <f>IFERROR(__xludf.DUMMYFUNCTION("""COMPUTED_VALUE"""),"-")</f>
        <v>-</v>
      </c>
      <c r="M239" s="19">
        <f>IFERROR(__xludf.DUMMYFUNCTION("""COMPUTED_VALUE"""),0.03666)</f>
        <v>0.03666</v>
      </c>
    </row>
    <row r="240">
      <c r="A240" s="12" t="s">
        <v>6330</v>
      </c>
      <c r="G240" s="19">
        <f>IFERROR(__xludf.DUMMYFUNCTION("SPLIT(A238, "" |"")"),236.0)</f>
        <v>236</v>
      </c>
      <c r="H240" s="19">
        <f>IFERROR(__xludf.DUMMYFUNCTION("""COMPUTED_VALUE"""),0.00212)</f>
        <v>0.00212</v>
      </c>
      <c r="I240" s="19" t="str">
        <f>IFERROR(__xludf.DUMMYFUNCTION("""COMPUTED_VALUE"""),"-")</f>
        <v>-</v>
      </c>
      <c r="J240" s="19">
        <f>IFERROR(__xludf.DUMMYFUNCTION("""COMPUTED_VALUE"""),0.00196)</f>
        <v>0.00196</v>
      </c>
      <c r="K240" s="19">
        <f>IFERROR(__xludf.DUMMYFUNCTION("""COMPUTED_VALUE"""),0.03972)</f>
        <v>0.03972</v>
      </c>
      <c r="L240" s="19" t="str">
        <f>IFERROR(__xludf.DUMMYFUNCTION("""COMPUTED_VALUE"""),"-")</f>
        <v>-</v>
      </c>
      <c r="M240" s="19">
        <f>IFERROR(__xludf.DUMMYFUNCTION("""COMPUTED_VALUE"""),0.03988)</f>
        <v>0.03988</v>
      </c>
    </row>
    <row r="241">
      <c r="A241" s="12" t="s">
        <v>6331</v>
      </c>
      <c r="G241" s="19">
        <f>IFERROR(__xludf.DUMMYFUNCTION("SPLIT(A239, "" |"")"),237.0)</f>
        <v>237</v>
      </c>
      <c r="H241" s="19">
        <f>IFERROR(__xludf.DUMMYFUNCTION("""COMPUTED_VALUE"""),0.00211)</f>
        <v>0.00211</v>
      </c>
      <c r="I241" s="19" t="str">
        <f>IFERROR(__xludf.DUMMYFUNCTION("""COMPUTED_VALUE"""),"-")</f>
        <v>-</v>
      </c>
      <c r="J241" s="19">
        <f>IFERROR(__xludf.DUMMYFUNCTION("""COMPUTED_VALUE"""),0.002)</f>
        <v>0.002</v>
      </c>
      <c r="K241" s="19">
        <f>IFERROR(__xludf.DUMMYFUNCTION("""COMPUTED_VALUE"""),0.03552)</f>
        <v>0.03552</v>
      </c>
      <c r="L241" s="19" t="str">
        <f>IFERROR(__xludf.DUMMYFUNCTION("""COMPUTED_VALUE"""),"-")</f>
        <v>-</v>
      </c>
      <c r="M241" s="19">
        <f>IFERROR(__xludf.DUMMYFUNCTION("""COMPUTED_VALUE"""),0.03978)</f>
        <v>0.03978</v>
      </c>
    </row>
    <row r="242">
      <c r="A242" s="12" t="s">
        <v>6332</v>
      </c>
      <c r="G242" s="19">
        <f>IFERROR(__xludf.DUMMYFUNCTION("SPLIT(A240, "" |"")"),238.0)</f>
        <v>238</v>
      </c>
      <c r="H242" s="19">
        <f>IFERROR(__xludf.DUMMYFUNCTION("""COMPUTED_VALUE"""),0.00203)</f>
        <v>0.00203</v>
      </c>
      <c r="I242" s="19" t="str">
        <f>IFERROR(__xludf.DUMMYFUNCTION("""COMPUTED_VALUE"""),"-")</f>
        <v>-</v>
      </c>
      <c r="J242" s="19">
        <f>IFERROR(__xludf.DUMMYFUNCTION("""COMPUTED_VALUE"""),0.0019)</f>
        <v>0.0019</v>
      </c>
      <c r="K242" s="19">
        <f>IFERROR(__xludf.DUMMYFUNCTION("""COMPUTED_VALUE"""),0.03592)</f>
        <v>0.03592</v>
      </c>
      <c r="L242" s="19" t="str">
        <f>IFERROR(__xludf.DUMMYFUNCTION("""COMPUTED_VALUE"""),"-")</f>
        <v>-</v>
      </c>
      <c r="M242" s="19">
        <f>IFERROR(__xludf.DUMMYFUNCTION("""COMPUTED_VALUE"""),0.04017)</f>
        <v>0.04017</v>
      </c>
    </row>
    <row r="243">
      <c r="A243" s="12" t="s">
        <v>6333</v>
      </c>
      <c r="G243" s="19">
        <f>IFERROR(__xludf.DUMMYFUNCTION("SPLIT(A241, "" |"")"),239.0)</f>
        <v>239</v>
      </c>
      <c r="H243" s="19">
        <f>IFERROR(__xludf.DUMMYFUNCTION("""COMPUTED_VALUE"""),0.00213)</f>
        <v>0.00213</v>
      </c>
      <c r="I243" s="19" t="str">
        <f>IFERROR(__xludf.DUMMYFUNCTION("""COMPUTED_VALUE"""),"-")</f>
        <v>-</v>
      </c>
      <c r="J243" s="19">
        <f>IFERROR(__xludf.DUMMYFUNCTION("""COMPUTED_VALUE"""),0.00201)</f>
        <v>0.00201</v>
      </c>
      <c r="K243" s="19">
        <f>IFERROR(__xludf.DUMMYFUNCTION("""COMPUTED_VALUE"""),0.03965)</f>
        <v>0.03965</v>
      </c>
      <c r="L243" s="19" t="str">
        <f>IFERROR(__xludf.DUMMYFUNCTION("""COMPUTED_VALUE"""),"-")</f>
        <v>-</v>
      </c>
      <c r="M243" s="19">
        <f>IFERROR(__xludf.DUMMYFUNCTION("""COMPUTED_VALUE"""),0.03974)</f>
        <v>0.03974</v>
      </c>
    </row>
    <row r="244">
      <c r="A244" s="12" t="s">
        <v>6334</v>
      </c>
      <c r="G244" s="19">
        <f>IFERROR(__xludf.DUMMYFUNCTION("SPLIT(A242, "" |"")"),240.0)</f>
        <v>240</v>
      </c>
      <c r="H244" s="19">
        <f>IFERROR(__xludf.DUMMYFUNCTION("""COMPUTED_VALUE"""),0.00204)</f>
        <v>0.00204</v>
      </c>
      <c r="I244" s="19" t="str">
        <f>IFERROR(__xludf.DUMMYFUNCTION("""COMPUTED_VALUE"""),"-")</f>
        <v>-</v>
      </c>
      <c r="J244" s="19">
        <f>IFERROR(__xludf.DUMMYFUNCTION("""COMPUTED_VALUE"""),0.00189)</f>
        <v>0.00189</v>
      </c>
      <c r="K244" s="19">
        <f>IFERROR(__xludf.DUMMYFUNCTION("""COMPUTED_VALUE"""),0.03964)</f>
        <v>0.03964</v>
      </c>
      <c r="L244" s="19" t="str">
        <f>IFERROR(__xludf.DUMMYFUNCTION("""COMPUTED_VALUE"""),"-")</f>
        <v>-</v>
      </c>
      <c r="M244" s="19">
        <f>IFERROR(__xludf.DUMMYFUNCTION("""COMPUTED_VALUE"""),0.04032)</f>
        <v>0.04032</v>
      </c>
    </row>
    <row r="245">
      <c r="A245" s="12" t="s">
        <v>6335</v>
      </c>
      <c r="G245" s="19">
        <f>IFERROR(__xludf.DUMMYFUNCTION("SPLIT(A243, "" |"")"),241.0)</f>
        <v>241</v>
      </c>
      <c r="H245" s="19">
        <f>IFERROR(__xludf.DUMMYFUNCTION("""COMPUTED_VALUE"""),0.0021)</f>
        <v>0.0021</v>
      </c>
      <c r="I245" s="19" t="str">
        <f>IFERROR(__xludf.DUMMYFUNCTION("""COMPUTED_VALUE"""),"-")</f>
        <v>-</v>
      </c>
      <c r="J245" s="19">
        <f>IFERROR(__xludf.DUMMYFUNCTION("""COMPUTED_VALUE"""),0.0019)</f>
        <v>0.0019</v>
      </c>
      <c r="K245" s="19">
        <f>IFERROR(__xludf.DUMMYFUNCTION("""COMPUTED_VALUE"""),0.03964)</f>
        <v>0.03964</v>
      </c>
      <c r="L245" s="19" t="str">
        <f>IFERROR(__xludf.DUMMYFUNCTION("""COMPUTED_VALUE"""),"-")</f>
        <v>-</v>
      </c>
      <c r="M245" s="19">
        <f>IFERROR(__xludf.DUMMYFUNCTION("""COMPUTED_VALUE"""),0.03983)</f>
        <v>0.03983</v>
      </c>
    </row>
    <row r="246">
      <c r="A246" s="12" t="s">
        <v>6336</v>
      </c>
      <c r="G246" s="19">
        <f>IFERROR(__xludf.DUMMYFUNCTION("SPLIT(A244, "" |"")"),242.0)</f>
        <v>242</v>
      </c>
      <c r="H246" s="19">
        <f>IFERROR(__xludf.DUMMYFUNCTION("""COMPUTED_VALUE"""),0.00209)</f>
        <v>0.00209</v>
      </c>
      <c r="I246" s="19" t="str">
        <f>IFERROR(__xludf.DUMMYFUNCTION("""COMPUTED_VALUE"""),"-")</f>
        <v>-</v>
      </c>
      <c r="J246" s="19">
        <f>IFERROR(__xludf.DUMMYFUNCTION("""COMPUTED_VALUE"""),0.00184)</f>
        <v>0.00184</v>
      </c>
      <c r="K246" s="19">
        <f>IFERROR(__xludf.DUMMYFUNCTION("""COMPUTED_VALUE"""),0.0397)</f>
        <v>0.0397</v>
      </c>
      <c r="L246" s="19" t="str">
        <f>IFERROR(__xludf.DUMMYFUNCTION("""COMPUTED_VALUE"""),"-")</f>
        <v>-</v>
      </c>
      <c r="M246" s="19">
        <f>IFERROR(__xludf.DUMMYFUNCTION("""COMPUTED_VALUE"""),0.03981)</f>
        <v>0.03981</v>
      </c>
    </row>
    <row r="247">
      <c r="A247" s="12" t="s">
        <v>6337</v>
      </c>
      <c r="G247" s="19">
        <f>IFERROR(__xludf.DUMMYFUNCTION("SPLIT(A245, "" |"")"),243.0)</f>
        <v>243</v>
      </c>
      <c r="H247" s="19">
        <f>IFERROR(__xludf.DUMMYFUNCTION("""COMPUTED_VALUE"""),0.00207)</f>
        <v>0.00207</v>
      </c>
      <c r="I247" s="19" t="str">
        <f>IFERROR(__xludf.DUMMYFUNCTION("""COMPUTED_VALUE"""),"-")</f>
        <v>-</v>
      </c>
      <c r="J247" s="19">
        <f>IFERROR(__xludf.DUMMYFUNCTION("""COMPUTED_VALUE"""),0.00198)</f>
        <v>0.00198</v>
      </c>
      <c r="K247" s="19">
        <f>IFERROR(__xludf.DUMMYFUNCTION("""COMPUTED_VALUE"""),0.03969)</f>
        <v>0.03969</v>
      </c>
      <c r="L247" s="19" t="str">
        <f>IFERROR(__xludf.DUMMYFUNCTION("""COMPUTED_VALUE"""),"-")</f>
        <v>-</v>
      </c>
      <c r="M247" s="19">
        <f>IFERROR(__xludf.DUMMYFUNCTION("""COMPUTED_VALUE"""),0.03984)</f>
        <v>0.03984</v>
      </c>
    </row>
    <row r="248">
      <c r="A248" s="12" t="s">
        <v>6338</v>
      </c>
      <c r="G248" s="19">
        <f>IFERROR(__xludf.DUMMYFUNCTION("SPLIT(A246, "" |"")"),244.0)</f>
        <v>244</v>
      </c>
      <c r="H248" s="19">
        <f>IFERROR(__xludf.DUMMYFUNCTION("""COMPUTED_VALUE"""),0.00254)</f>
        <v>0.00254</v>
      </c>
      <c r="I248" s="19" t="str">
        <f>IFERROR(__xludf.DUMMYFUNCTION("""COMPUTED_VALUE"""),"-")</f>
        <v>-</v>
      </c>
      <c r="J248" s="19">
        <f>IFERROR(__xludf.DUMMYFUNCTION("""COMPUTED_VALUE"""),0.00204)</f>
        <v>0.00204</v>
      </c>
      <c r="K248" s="19">
        <f>IFERROR(__xludf.DUMMYFUNCTION("""COMPUTED_VALUE"""),0.03651)</f>
        <v>0.03651</v>
      </c>
      <c r="L248" s="19" t="str">
        <f>IFERROR(__xludf.DUMMYFUNCTION("""COMPUTED_VALUE"""),"-")</f>
        <v>-</v>
      </c>
      <c r="M248" s="19">
        <f>IFERROR(__xludf.DUMMYFUNCTION("""COMPUTED_VALUE"""),0.04037)</f>
        <v>0.04037</v>
      </c>
    </row>
    <row r="249">
      <c r="A249" s="12" t="s">
        <v>6339</v>
      </c>
      <c r="G249" s="19">
        <f>IFERROR(__xludf.DUMMYFUNCTION("SPLIT(A247, "" |"")"),245.0)</f>
        <v>245</v>
      </c>
      <c r="H249" s="19">
        <f>IFERROR(__xludf.DUMMYFUNCTION("""COMPUTED_VALUE"""),0.00218)</f>
        <v>0.00218</v>
      </c>
      <c r="I249" s="19" t="str">
        <f>IFERROR(__xludf.DUMMYFUNCTION("""COMPUTED_VALUE"""),"-")</f>
        <v>-</v>
      </c>
      <c r="J249" s="19">
        <f>IFERROR(__xludf.DUMMYFUNCTION("""COMPUTED_VALUE"""),0.00199)</f>
        <v>0.00199</v>
      </c>
      <c r="K249" s="19">
        <f>IFERROR(__xludf.DUMMYFUNCTION("""COMPUTED_VALUE"""),0.03972)</f>
        <v>0.03972</v>
      </c>
      <c r="L249" s="19" t="str">
        <f>IFERROR(__xludf.DUMMYFUNCTION("""COMPUTED_VALUE"""),"-")</f>
        <v>-</v>
      </c>
      <c r="M249" s="19">
        <f>IFERROR(__xludf.DUMMYFUNCTION("""COMPUTED_VALUE"""),0.03982)</f>
        <v>0.03982</v>
      </c>
    </row>
    <row r="250">
      <c r="A250" s="12" t="s">
        <v>6340</v>
      </c>
      <c r="G250" s="19">
        <f>IFERROR(__xludf.DUMMYFUNCTION("SPLIT(A248, "" |"")"),246.0)</f>
        <v>246</v>
      </c>
      <c r="H250" s="19">
        <f>IFERROR(__xludf.DUMMYFUNCTION("""COMPUTED_VALUE"""),0.00205)</f>
        <v>0.00205</v>
      </c>
      <c r="I250" s="19" t="str">
        <f>IFERROR(__xludf.DUMMYFUNCTION("""COMPUTED_VALUE"""),"-")</f>
        <v>-</v>
      </c>
      <c r="J250" s="19">
        <f>IFERROR(__xludf.DUMMYFUNCTION("""COMPUTED_VALUE"""),0.00198)</f>
        <v>0.00198</v>
      </c>
      <c r="K250" s="19">
        <f>IFERROR(__xludf.DUMMYFUNCTION("""COMPUTED_VALUE"""),0.03972)</f>
        <v>0.03972</v>
      </c>
      <c r="L250" s="19" t="str">
        <f>IFERROR(__xludf.DUMMYFUNCTION("""COMPUTED_VALUE"""),"-")</f>
        <v>-</v>
      </c>
      <c r="M250" s="19">
        <f>IFERROR(__xludf.DUMMYFUNCTION("""COMPUTED_VALUE"""),0.03986)</f>
        <v>0.03986</v>
      </c>
    </row>
    <row r="251">
      <c r="A251" s="12" t="s">
        <v>6341</v>
      </c>
      <c r="G251" s="19">
        <f>IFERROR(__xludf.DUMMYFUNCTION("SPLIT(A249, "" |"")"),247.0)</f>
        <v>247</v>
      </c>
      <c r="H251" s="19">
        <f>IFERROR(__xludf.DUMMYFUNCTION("""COMPUTED_VALUE"""),0.00211)</f>
        <v>0.00211</v>
      </c>
      <c r="I251" s="19" t="str">
        <f>IFERROR(__xludf.DUMMYFUNCTION("""COMPUTED_VALUE"""),"-")</f>
        <v>-</v>
      </c>
      <c r="J251" s="19">
        <f>IFERROR(__xludf.DUMMYFUNCTION("""COMPUTED_VALUE"""),0.00195)</f>
        <v>0.00195</v>
      </c>
      <c r="K251" s="19">
        <f>IFERROR(__xludf.DUMMYFUNCTION("""COMPUTED_VALUE"""),0.0397)</f>
        <v>0.0397</v>
      </c>
      <c r="L251" s="19" t="str">
        <f>IFERROR(__xludf.DUMMYFUNCTION("""COMPUTED_VALUE"""),"-")</f>
        <v>-</v>
      </c>
      <c r="M251" s="19">
        <f>IFERROR(__xludf.DUMMYFUNCTION("""COMPUTED_VALUE"""),0.0399)</f>
        <v>0.0399</v>
      </c>
    </row>
    <row r="252">
      <c r="A252" s="12" t="s">
        <v>6342</v>
      </c>
      <c r="G252" s="19">
        <f>IFERROR(__xludf.DUMMYFUNCTION("SPLIT(A250, "" |"")"),248.0)</f>
        <v>248</v>
      </c>
      <c r="H252" s="19">
        <f>IFERROR(__xludf.DUMMYFUNCTION("""COMPUTED_VALUE"""),0.00205)</f>
        <v>0.00205</v>
      </c>
      <c r="I252" s="19" t="str">
        <f>IFERROR(__xludf.DUMMYFUNCTION("""COMPUTED_VALUE"""),"-")</f>
        <v>-</v>
      </c>
      <c r="J252" s="19">
        <f>IFERROR(__xludf.DUMMYFUNCTION("""COMPUTED_VALUE"""),0.00196)</f>
        <v>0.00196</v>
      </c>
      <c r="K252" s="19">
        <f>IFERROR(__xludf.DUMMYFUNCTION("""COMPUTED_VALUE"""),0.03974)</f>
        <v>0.03974</v>
      </c>
      <c r="L252" s="19" t="str">
        <f>IFERROR(__xludf.DUMMYFUNCTION("""COMPUTED_VALUE"""),"-")</f>
        <v>-</v>
      </c>
      <c r="M252" s="19">
        <f>IFERROR(__xludf.DUMMYFUNCTION("""COMPUTED_VALUE"""),0.03984)</f>
        <v>0.03984</v>
      </c>
    </row>
    <row r="253">
      <c r="A253" s="12" t="s">
        <v>6343</v>
      </c>
      <c r="G253" s="19">
        <f>IFERROR(__xludf.DUMMYFUNCTION("SPLIT(A251, "" |"")"),249.0)</f>
        <v>249</v>
      </c>
      <c r="H253" s="19">
        <f>IFERROR(__xludf.DUMMYFUNCTION("""COMPUTED_VALUE"""),0.00204)</f>
        <v>0.00204</v>
      </c>
      <c r="I253" s="19" t="str">
        <f>IFERROR(__xludf.DUMMYFUNCTION("""COMPUTED_VALUE"""),"-")</f>
        <v>-</v>
      </c>
      <c r="J253" s="19">
        <f>IFERROR(__xludf.DUMMYFUNCTION("""COMPUTED_VALUE"""),0.00199)</f>
        <v>0.00199</v>
      </c>
      <c r="K253" s="19">
        <f>IFERROR(__xludf.DUMMYFUNCTION("""COMPUTED_VALUE"""),0.03964)</f>
        <v>0.03964</v>
      </c>
      <c r="L253" s="19" t="str">
        <f>IFERROR(__xludf.DUMMYFUNCTION("""COMPUTED_VALUE"""),"-")</f>
        <v>-</v>
      </c>
      <c r="M253" s="19">
        <f>IFERROR(__xludf.DUMMYFUNCTION("""COMPUTED_VALUE"""),0.03986)</f>
        <v>0.03986</v>
      </c>
    </row>
    <row r="254">
      <c r="A254" s="12" t="s">
        <v>6344</v>
      </c>
      <c r="G254" s="19">
        <f>IFERROR(__xludf.DUMMYFUNCTION("SPLIT(A252, "" |"")"),250.0)</f>
        <v>250</v>
      </c>
      <c r="H254" s="19">
        <f>IFERROR(__xludf.DUMMYFUNCTION("""COMPUTED_VALUE"""),0.00207)</f>
        <v>0.00207</v>
      </c>
      <c r="I254" s="19" t="str">
        <f>IFERROR(__xludf.DUMMYFUNCTION("""COMPUTED_VALUE"""),"-")</f>
        <v>-</v>
      </c>
      <c r="J254" s="19">
        <f>IFERROR(__xludf.DUMMYFUNCTION("""COMPUTED_VALUE"""),0.00199)</f>
        <v>0.00199</v>
      </c>
      <c r="K254" s="19">
        <f>IFERROR(__xludf.DUMMYFUNCTION("""COMPUTED_VALUE"""),0.03577)</f>
        <v>0.03577</v>
      </c>
      <c r="L254" s="19" t="str">
        <f>IFERROR(__xludf.DUMMYFUNCTION("""COMPUTED_VALUE"""),"-")</f>
        <v>-</v>
      </c>
      <c r="M254" s="19">
        <f>IFERROR(__xludf.DUMMYFUNCTION("""COMPUTED_VALUE"""),0.03991)</f>
        <v>0.03991</v>
      </c>
    </row>
    <row r="255">
      <c r="A255" s="12" t="s">
        <v>6345</v>
      </c>
      <c r="G255" s="19">
        <f>IFERROR(__xludf.DUMMYFUNCTION("SPLIT(A253, "" |"")"),251.0)</f>
        <v>251</v>
      </c>
      <c r="H255" s="19">
        <f>IFERROR(__xludf.DUMMYFUNCTION("""COMPUTED_VALUE"""),0.00215)</f>
        <v>0.00215</v>
      </c>
      <c r="I255" s="19" t="str">
        <f>IFERROR(__xludf.DUMMYFUNCTION("""COMPUTED_VALUE"""),"-")</f>
        <v>-</v>
      </c>
      <c r="J255" s="19">
        <f>IFERROR(__xludf.DUMMYFUNCTION("""COMPUTED_VALUE"""),0.00194)</f>
        <v>0.00194</v>
      </c>
      <c r="K255" s="19">
        <f>IFERROR(__xludf.DUMMYFUNCTION("""COMPUTED_VALUE"""),0.03971)</f>
        <v>0.03971</v>
      </c>
      <c r="L255" s="19" t="str">
        <f>IFERROR(__xludf.DUMMYFUNCTION("""COMPUTED_VALUE"""),"-")</f>
        <v>-</v>
      </c>
      <c r="M255" s="19">
        <f>IFERROR(__xludf.DUMMYFUNCTION("""COMPUTED_VALUE"""),0.03984)</f>
        <v>0.03984</v>
      </c>
    </row>
    <row r="256">
      <c r="A256" s="12" t="s">
        <v>6346</v>
      </c>
      <c r="G256" s="19">
        <f>IFERROR(__xludf.DUMMYFUNCTION("SPLIT(A254, "" |"")"),252.0)</f>
        <v>252</v>
      </c>
      <c r="H256" s="19">
        <f>IFERROR(__xludf.DUMMYFUNCTION("""COMPUTED_VALUE"""),0.00214)</f>
        <v>0.00214</v>
      </c>
      <c r="I256" s="19" t="str">
        <f>IFERROR(__xludf.DUMMYFUNCTION("""COMPUTED_VALUE"""),"-")</f>
        <v>-</v>
      </c>
      <c r="J256" s="19">
        <f>IFERROR(__xludf.DUMMYFUNCTION("""COMPUTED_VALUE"""),0.00194)</f>
        <v>0.00194</v>
      </c>
      <c r="K256" s="19">
        <f>IFERROR(__xludf.DUMMYFUNCTION("""COMPUTED_VALUE"""),0.03968)</f>
        <v>0.03968</v>
      </c>
      <c r="L256" s="19" t="str">
        <f>IFERROR(__xludf.DUMMYFUNCTION("""COMPUTED_VALUE"""),"-")</f>
        <v>-</v>
      </c>
      <c r="M256" s="19">
        <f>IFERROR(__xludf.DUMMYFUNCTION("""COMPUTED_VALUE"""),0.03968)</f>
        <v>0.03968</v>
      </c>
    </row>
    <row r="257">
      <c r="A257" s="12" t="s">
        <v>6347</v>
      </c>
      <c r="G257" s="19">
        <f>IFERROR(__xludf.DUMMYFUNCTION("SPLIT(A255, "" |"")"),253.0)</f>
        <v>253</v>
      </c>
      <c r="H257" s="19">
        <f>IFERROR(__xludf.DUMMYFUNCTION("""COMPUTED_VALUE"""),0.0021)</f>
        <v>0.0021</v>
      </c>
      <c r="I257" s="19" t="str">
        <f>IFERROR(__xludf.DUMMYFUNCTION("""COMPUTED_VALUE"""),"-")</f>
        <v>-</v>
      </c>
      <c r="J257" s="19">
        <f>IFERROR(__xludf.DUMMYFUNCTION("""COMPUTED_VALUE"""),0.00197)</f>
        <v>0.00197</v>
      </c>
      <c r="K257" s="19">
        <f>IFERROR(__xludf.DUMMYFUNCTION("""COMPUTED_VALUE"""),0.03971)</f>
        <v>0.03971</v>
      </c>
      <c r="L257" s="19" t="str">
        <f>IFERROR(__xludf.DUMMYFUNCTION("""COMPUTED_VALUE"""),"-")</f>
        <v>-</v>
      </c>
      <c r="M257" s="19">
        <f>IFERROR(__xludf.DUMMYFUNCTION("""COMPUTED_VALUE"""),0.03984)</f>
        <v>0.03984</v>
      </c>
    </row>
    <row r="258">
      <c r="A258" s="12" t="s">
        <v>6348</v>
      </c>
      <c r="G258" s="19">
        <f>IFERROR(__xludf.DUMMYFUNCTION("SPLIT(A256, "" |"")"),254.0)</f>
        <v>254</v>
      </c>
      <c r="H258" s="19">
        <f>IFERROR(__xludf.DUMMYFUNCTION("""COMPUTED_VALUE"""),0.00211)</f>
        <v>0.00211</v>
      </c>
      <c r="I258" s="19" t="str">
        <f>IFERROR(__xludf.DUMMYFUNCTION("""COMPUTED_VALUE"""),"-")</f>
        <v>-</v>
      </c>
      <c r="J258" s="19">
        <f>IFERROR(__xludf.DUMMYFUNCTION("""COMPUTED_VALUE"""),0.00193)</f>
        <v>0.00193</v>
      </c>
      <c r="K258" s="19">
        <f>IFERROR(__xludf.DUMMYFUNCTION("""COMPUTED_VALUE"""),0.03971)</f>
        <v>0.03971</v>
      </c>
      <c r="L258" s="19" t="str">
        <f>IFERROR(__xludf.DUMMYFUNCTION("""COMPUTED_VALUE"""),"-")</f>
        <v>-</v>
      </c>
      <c r="M258" s="19">
        <f>IFERROR(__xludf.DUMMYFUNCTION("""COMPUTED_VALUE"""),0.03979)</f>
        <v>0.03979</v>
      </c>
    </row>
    <row r="259">
      <c r="A259" s="12" t="s">
        <v>6349</v>
      </c>
      <c r="G259" s="19">
        <f>IFERROR(__xludf.DUMMYFUNCTION("SPLIT(A257, "" |"")"),255.0)</f>
        <v>255</v>
      </c>
      <c r="H259" s="19">
        <f>IFERROR(__xludf.DUMMYFUNCTION("""COMPUTED_VALUE"""),0.00205)</f>
        <v>0.00205</v>
      </c>
      <c r="I259" s="19" t="str">
        <f>IFERROR(__xludf.DUMMYFUNCTION("""COMPUTED_VALUE"""),"-")</f>
        <v>-</v>
      </c>
      <c r="J259" s="19">
        <f>IFERROR(__xludf.DUMMYFUNCTION("""COMPUTED_VALUE"""),0.00202)</f>
        <v>0.00202</v>
      </c>
      <c r="K259" s="19">
        <f>IFERROR(__xludf.DUMMYFUNCTION("""COMPUTED_VALUE"""),0.0397)</f>
        <v>0.0397</v>
      </c>
      <c r="L259" s="19" t="str">
        <f>IFERROR(__xludf.DUMMYFUNCTION("""COMPUTED_VALUE"""),"-")</f>
        <v>-</v>
      </c>
      <c r="M259" s="19">
        <f>IFERROR(__xludf.DUMMYFUNCTION("""COMPUTED_VALUE"""),0.03983)</f>
        <v>0.03983</v>
      </c>
    </row>
    <row r="260">
      <c r="A260" s="12" t="s">
        <v>6350</v>
      </c>
      <c r="G260" s="19">
        <f>IFERROR(__xludf.DUMMYFUNCTION("SPLIT(A258, "" |"")"),256.0)</f>
        <v>256</v>
      </c>
      <c r="H260" s="19">
        <f>IFERROR(__xludf.DUMMYFUNCTION("""COMPUTED_VALUE"""),0.00235)</f>
        <v>0.00235</v>
      </c>
      <c r="I260" s="19" t="str">
        <f>IFERROR(__xludf.DUMMYFUNCTION("""COMPUTED_VALUE"""),"-")</f>
        <v>-</v>
      </c>
      <c r="J260" s="19">
        <f>IFERROR(__xludf.DUMMYFUNCTION("""COMPUTED_VALUE"""),0.00215)</f>
        <v>0.00215</v>
      </c>
      <c r="K260" s="19">
        <f>IFERROR(__xludf.DUMMYFUNCTION("""COMPUTED_VALUE"""),0.04026)</f>
        <v>0.04026</v>
      </c>
      <c r="L260" s="19" t="str">
        <f>IFERROR(__xludf.DUMMYFUNCTION("""COMPUTED_VALUE"""),"-")</f>
        <v>-</v>
      </c>
      <c r="M260" s="19">
        <f>IFERROR(__xludf.DUMMYFUNCTION("""COMPUTED_VALUE"""),0.03743)</f>
        <v>0.03743</v>
      </c>
    </row>
    <row r="261">
      <c r="A261" s="12" t="s">
        <v>6351</v>
      </c>
      <c r="G261" s="19">
        <f>IFERROR(__xludf.DUMMYFUNCTION("SPLIT(A259, "" |"")"),257.0)</f>
        <v>257</v>
      </c>
      <c r="H261" s="19">
        <f>IFERROR(__xludf.DUMMYFUNCTION("""COMPUTED_VALUE"""),0.00221)</f>
        <v>0.00221</v>
      </c>
      <c r="I261" s="19" t="str">
        <f>IFERROR(__xludf.DUMMYFUNCTION("""COMPUTED_VALUE"""),"-")</f>
        <v>-</v>
      </c>
      <c r="J261" s="19">
        <f>IFERROR(__xludf.DUMMYFUNCTION("""COMPUTED_VALUE"""),0.00196)</f>
        <v>0.00196</v>
      </c>
      <c r="K261" s="19">
        <f>IFERROR(__xludf.DUMMYFUNCTION("""COMPUTED_VALUE"""),0.03955)</f>
        <v>0.03955</v>
      </c>
      <c r="L261" s="19" t="str">
        <f>IFERROR(__xludf.DUMMYFUNCTION("""COMPUTED_VALUE"""),"-")</f>
        <v>-</v>
      </c>
      <c r="M261" s="19">
        <f>IFERROR(__xludf.DUMMYFUNCTION("""COMPUTED_VALUE"""),0.03979)</f>
        <v>0.03979</v>
      </c>
    </row>
    <row r="262">
      <c r="A262" s="12" t="s">
        <v>6352</v>
      </c>
      <c r="G262" s="19">
        <f>IFERROR(__xludf.DUMMYFUNCTION("SPLIT(A260, "" |"")"),258.0)</f>
        <v>258</v>
      </c>
      <c r="H262" s="19">
        <f>IFERROR(__xludf.DUMMYFUNCTION("""COMPUTED_VALUE"""),0.00212)</f>
        <v>0.00212</v>
      </c>
      <c r="I262" s="19" t="str">
        <f>IFERROR(__xludf.DUMMYFUNCTION("""COMPUTED_VALUE"""),"-")</f>
        <v>-</v>
      </c>
      <c r="J262" s="19">
        <f>IFERROR(__xludf.DUMMYFUNCTION("""COMPUTED_VALUE"""),0.00194)</f>
        <v>0.00194</v>
      </c>
      <c r="K262" s="19">
        <f>IFERROR(__xludf.DUMMYFUNCTION("""COMPUTED_VALUE"""),0.03979)</f>
        <v>0.03979</v>
      </c>
      <c r="L262" s="19" t="str">
        <f>IFERROR(__xludf.DUMMYFUNCTION("""COMPUTED_VALUE"""),"-")</f>
        <v>-</v>
      </c>
      <c r="M262" s="19">
        <f>IFERROR(__xludf.DUMMYFUNCTION("""COMPUTED_VALUE"""),0.03988)</f>
        <v>0.03988</v>
      </c>
    </row>
    <row r="263">
      <c r="A263" s="12" t="s">
        <v>6353</v>
      </c>
      <c r="G263" s="19">
        <f>IFERROR(__xludf.DUMMYFUNCTION("SPLIT(A261, "" |"")"),259.0)</f>
        <v>259</v>
      </c>
      <c r="H263" s="19">
        <f>IFERROR(__xludf.DUMMYFUNCTION("""COMPUTED_VALUE"""),0.00217)</f>
        <v>0.00217</v>
      </c>
      <c r="I263" s="19" t="str">
        <f>IFERROR(__xludf.DUMMYFUNCTION("""COMPUTED_VALUE"""),"-")</f>
        <v>-</v>
      </c>
      <c r="J263" s="19">
        <f>IFERROR(__xludf.DUMMYFUNCTION("""COMPUTED_VALUE"""),0.00201)</f>
        <v>0.00201</v>
      </c>
      <c r="K263" s="19">
        <f>IFERROR(__xludf.DUMMYFUNCTION("""COMPUTED_VALUE"""),0.03969)</f>
        <v>0.03969</v>
      </c>
      <c r="L263" s="19" t="str">
        <f>IFERROR(__xludf.DUMMYFUNCTION("""COMPUTED_VALUE"""),"-")</f>
        <v>-</v>
      </c>
      <c r="M263" s="19">
        <f>IFERROR(__xludf.DUMMYFUNCTION("""COMPUTED_VALUE"""),0.03994)</f>
        <v>0.03994</v>
      </c>
    </row>
    <row r="264">
      <c r="A264" s="12" t="s">
        <v>6354</v>
      </c>
      <c r="G264" s="19">
        <f>IFERROR(__xludf.DUMMYFUNCTION("SPLIT(A262, "" |"")"),260.0)</f>
        <v>260</v>
      </c>
      <c r="H264" s="19">
        <f>IFERROR(__xludf.DUMMYFUNCTION("""COMPUTED_VALUE"""),0.0022)</f>
        <v>0.0022</v>
      </c>
      <c r="I264" s="19" t="str">
        <f>IFERROR(__xludf.DUMMYFUNCTION("""COMPUTED_VALUE"""),"-")</f>
        <v>-</v>
      </c>
      <c r="J264" s="19">
        <f>IFERROR(__xludf.DUMMYFUNCTION("""COMPUTED_VALUE"""),0.002)</f>
        <v>0.002</v>
      </c>
      <c r="K264" s="19">
        <f>IFERROR(__xludf.DUMMYFUNCTION("""COMPUTED_VALUE"""),0.0388)</f>
        <v>0.0388</v>
      </c>
      <c r="L264" s="19" t="str">
        <f>IFERROR(__xludf.DUMMYFUNCTION("""COMPUTED_VALUE"""),"-")</f>
        <v>-</v>
      </c>
      <c r="M264" s="19">
        <f>IFERROR(__xludf.DUMMYFUNCTION("""COMPUTED_VALUE"""),0.03988)</f>
        <v>0.03988</v>
      </c>
    </row>
    <row r="265">
      <c r="A265" s="12" t="s">
        <v>6355</v>
      </c>
      <c r="G265" s="19">
        <f>IFERROR(__xludf.DUMMYFUNCTION("SPLIT(A263, "" |"")"),261.0)</f>
        <v>261</v>
      </c>
      <c r="H265" s="19">
        <f>IFERROR(__xludf.DUMMYFUNCTION("""COMPUTED_VALUE"""),0.00218)</f>
        <v>0.00218</v>
      </c>
      <c r="I265" s="19" t="str">
        <f>IFERROR(__xludf.DUMMYFUNCTION("""COMPUTED_VALUE"""),"-")</f>
        <v>-</v>
      </c>
      <c r="J265" s="19">
        <f>IFERROR(__xludf.DUMMYFUNCTION("""COMPUTED_VALUE"""),0.002)</f>
        <v>0.002</v>
      </c>
      <c r="K265" s="19">
        <f>IFERROR(__xludf.DUMMYFUNCTION("""COMPUTED_VALUE"""),0.03596)</f>
        <v>0.03596</v>
      </c>
      <c r="L265" s="19" t="str">
        <f>IFERROR(__xludf.DUMMYFUNCTION("""COMPUTED_VALUE"""),"-")</f>
        <v>-</v>
      </c>
      <c r="M265" s="19">
        <f>IFERROR(__xludf.DUMMYFUNCTION("""COMPUTED_VALUE"""),0.03986)</f>
        <v>0.03986</v>
      </c>
    </row>
    <row r="266">
      <c r="A266" s="12" t="s">
        <v>6356</v>
      </c>
      <c r="G266" s="19">
        <f>IFERROR(__xludf.DUMMYFUNCTION("SPLIT(A264, "" |"")"),262.0)</f>
        <v>262</v>
      </c>
      <c r="H266" s="19">
        <f>IFERROR(__xludf.DUMMYFUNCTION("""COMPUTED_VALUE"""),0.00206)</f>
        <v>0.00206</v>
      </c>
      <c r="I266" s="19" t="str">
        <f>IFERROR(__xludf.DUMMYFUNCTION("""COMPUTED_VALUE"""),"-")</f>
        <v>-</v>
      </c>
      <c r="J266" s="19">
        <f>IFERROR(__xludf.DUMMYFUNCTION("""COMPUTED_VALUE"""),0.00197)</f>
        <v>0.00197</v>
      </c>
      <c r="K266" s="19">
        <f>IFERROR(__xludf.DUMMYFUNCTION("""COMPUTED_VALUE"""),0.0397)</f>
        <v>0.0397</v>
      </c>
      <c r="L266" s="19" t="str">
        <f>IFERROR(__xludf.DUMMYFUNCTION("""COMPUTED_VALUE"""),"-")</f>
        <v>-</v>
      </c>
      <c r="M266" s="19">
        <f>IFERROR(__xludf.DUMMYFUNCTION("""COMPUTED_VALUE"""),0.03994)</f>
        <v>0.03994</v>
      </c>
    </row>
    <row r="267">
      <c r="A267" s="12" t="s">
        <v>6357</v>
      </c>
      <c r="G267" s="19">
        <f>IFERROR(__xludf.DUMMYFUNCTION("SPLIT(A265, "" |"")"),263.0)</f>
        <v>263</v>
      </c>
      <c r="H267" s="19">
        <f>IFERROR(__xludf.DUMMYFUNCTION("""COMPUTED_VALUE"""),0.00212)</f>
        <v>0.00212</v>
      </c>
      <c r="I267" s="19" t="str">
        <f>IFERROR(__xludf.DUMMYFUNCTION("""COMPUTED_VALUE"""),"-")</f>
        <v>-</v>
      </c>
      <c r="J267" s="19">
        <f>IFERROR(__xludf.DUMMYFUNCTION("""COMPUTED_VALUE"""),0.00202)</f>
        <v>0.00202</v>
      </c>
      <c r="K267" s="19">
        <f>IFERROR(__xludf.DUMMYFUNCTION("""COMPUTED_VALUE"""),0.03975)</f>
        <v>0.03975</v>
      </c>
      <c r="L267" s="19" t="str">
        <f>IFERROR(__xludf.DUMMYFUNCTION("""COMPUTED_VALUE"""),"-")</f>
        <v>-</v>
      </c>
      <c r="M267" s="19">
        <f>IFERROR(__xludf.DUMMYFUNCTION("""COMPUTED_VALUE"""),0.03983)</f>
        <v>0.03983</v>
      </c>
    </row>
    <row r="268">
      <c r="A268" s="12" t="s">
        <v>6358</v>
      </c>
      <c r="G268" s="19">
        <f>IFERROR(__xludf.DUMMYFUNCTION("SPLIT(A266, "" |"")"),264.0)</f>
        <v>264</v>
      </c>
      <c r="H268" s="19">
        <f>IFERROR(__xludf.DUMMYFUNCTION("""COMPUTED_VALUE"""),0.00228)</f>
        <v>0.00228</v>
      </c>
      <c r="I268" s="19" t="str">
        <f>IFERROR(__xludf.DUMMYFUNCTION("""COMPUTED_VALUE"""),"-")</f>
        <v>-</v>
      </c>
      <c r="J268" s="19">
        <f>IFERROR(__xludf.DUMMYFUNCTION("""COMPUTED_VALUE"""),0.00194)</f>
        <v>0.00194</v>
      </c>
      <c r="K268" s="19">
        <f>IFERROR(__xludf.DUMMYFUNCTION("""COMPUTED_VALUE"""),0.03967)</f>
        <v>0.03967</v>
      </c>
      <c r="L268" s="19" t="str">
        <f>IFERROR(__xludf.DUMMYFUNCTION("""COMPUTED_VALUE"""),"-")</f>
        <v>-</v>
      </c>
      <c r="M268" s="19">
        <f>IFERROR(__xludf.DUMMYFUNCTION("""COMPUTED_VALUE"""),0.03983)</f>
        <v>0.03983</v>
      </c>
    </row>
    <row r="269">
      <c r="A269" s="12" t="s">
        <v>6359</v>
      </c>
      <c r="G269" s="19">
        <f>IFERROR(__xludf.DUMMYFUNCTION("SPLIT(A267, "" |"")"),265.0)</f>
        <v>265</v>
      </c>
      <c r="H269" s="19">
        <f>IFERROR(__xludf.DUMMYFUNCTION("""COMPUTED_VALUE"""),0.00213)</f>
        <v>0.00213</v>
      </c>
      <c r="I269" s="19" t="str">
        <f>IFERROR(__xludf.DUMMYFUNCTION("""COMPUTED_VALUE"""),"-")</f>
        <v>-</v>
      </c>
      <c r="J269" s="19">
        <f>IFERROR(__xludf.DUMMYFUNCTION("""COMPUTED_VALUE"""),0.00196)</f>
        <v>0.00196</v>
      </c>
      <c r="K269" s="19">
        <f>IFERROR(__xludf.DUMMYFUNCTION("""COMPUTED_VALUE"""),0.03973)</f>
        <v>0.03973</v>
      </c>
      <c r="L269" s="19" t="str">
        <f>IFERROR(__xludf.DUMMYFUNCTION("""COMPUTED_VALUE"""),"-")</f>
        <v>-</v>
      </c>
      <c r="M269" s="19">
        <f>IFERROR(__xludf.DUMMYFUNCTION("""COMPUTED_VALUE"""),0.03985)</f>
        <v>0.03985</v>
      </c>
    </row>
    <row r="270">
      <c r="A270" s="12" t="s">
        <v>6360</v>
      </c>
      <c r="G270" s="19">
        <f>IFERROR(__xludf.DUMMYFUNCTION("SPLIT(A268, "" |"")"),266.0)</f>
        <v>266</v>
      </c>
      <c r="H270" s="19">
        <f>IFERROR(__xludf.DUMMYFUNCTION("""COMPUTED_VALUE"""),0.00214)</f>
        <v>0.00214</v>
      </c>
      <c r="I270" s="19" t="str">
        <f>IFERROR(__xludf.DUMMYFUNCTION("""COMPUTED_VALUE"""),"-")</f>
        <v>-</v>
      </c>
      <c r="J270" s="19">
        <f>IFERROR(__xludf.DUMMYFUNCTION("""COMPUTED_VALUE"""),0.002)</f>
        <v>0.002</v>
      </c>
      <c r="K270" s="19">
        <f>IFERROR(__xludf.DUMMYFUNCTION("""COMPUTED_VALUE"""),0.03975)</f>
        <v>0.03975</v>
      </c>
      <c r="L270" s="19" t="str">
        <f>IFERROR(__xludf.DUMMYFUNCTION("""COMPUTED_VALUE"""),"-")</f>
        <v>-</v>
      </c>
      <c r="M270" s="19">
        <f>IFERROR(__xludf.DUMMYFUNCTION("""COMPUTED_VALUE"""),0.04035)</f>
        <v>0.04035</v>
      </c>
    </row>
    <row r="271">
      <c r="A271" s="12" t="s">
        <v>6361</v>
      </c>
      <c r="G271" s="19">
        <f>IFERROR(__xludf.DUMMYFUNCTION("SPLIT(A269, "" |"")"),267.0)</f>
        <v>267</v>
      </c>
      <c r="H271" s="19">
        <f>IFERROR(__xludf.DUMMYFUNCTION("""COMPUTED_VALUE"""),0.00214)</f>
        <v>0.00214</v>
      </c>
      <c r="I271" s="19" t="str">
        <f>IFERROR(__xludf.DUMMYFUNCTION("""COMPUTED_VALUE"""),"-")</f>
        <v>-</v>
      </c>
      <c r="J271" s="19">
        <f>IFERROR(__xludf.DUMMYFUNCTION("""COMPUTED_VALUE"""),0.00199)</f>
        <v>0.00199</v>
      </c>
      <c r="K271" s="19">
        <f>IFERROR(__xludf.DUMMYFUNCTION("""COMPUTED_VALUE"""),0.03973)</f>
        <v>0.03973</v>
      </c>
      <c r="L271" s="19" t="str">
        <f>IFERROR(__xludf.DUMMYFUNCTION("""COMPUTED_VALUE"""),"-")</f>
        <v>-</v>
      </c>
      <c r="M271" s="19">
        <f>IFERROR(__xludf.DUMMYFUNCTION("""COMPUTED_VALUE"""),0.03795)</f>
        <v>0.03795</v>
      </c>
    </row>
    <row r="272">
      <c r="A272" s="12" t="s">
        <v>6362</v>
      </c>
      <c r="G272" s="19">
        <f>IFERROR(__xludf.DUMMYFUNCTION("SPLIT(A270, "" |"")"),268.0)</f>
        <v>268</v>
      </c>
      <c r="H272" s="19">
        <f>IFERROR(__xludf.DUMMYFUNCTION("""COMPUTED_VALUE"""),0.00204)</f>
        <v>0.00204</v>
      </c>
      <c r="I272" s="19" t="str">
        <f>IFERROR(__xludf.DUMMYFUNCTION("""COMPUTED_VALUE"""),"-")</f>
        <v>-</v>
      </c>
      <c r="J272" s="19">
        <f>IFERROR(__xludf.DUMMYFUNCTION("""COMPUTED_VALUE"""),0.00189)</f>
        <v>0.00189</v>
      </c>
      <c r="K272" s="19">
        <f>IFERROR(__xludf.DUMMYFUNCTION("""COMPUTED_VALUE"""),0.0381)</f>
        <v>0.0381</v>
      </c>
      <c r="L272" s="19" t="str">
        <f>IFERROR(__xludf.DUMMYFUNCTION("""COMPUTED_VALUE"""),"-")</f>
        <v>-</v>
      </c>
      <c r="M272" s="19">
        <f>IFERROR(__xludf.DUMMYFUNCTION("""COMPUTED_VALUE"""),0.03994)</f>
        <v>0.03994</v>
      </c>
    </row>
    <row r="273">
      <c r="A273" s="12" t="s">
        <v>6363</v>
      </c>
      <c r="G273" s="19">
        <f>IFERROR(__xludf.DUMMYFUNCTION("SPLIT(A271, "" |"")"),269.0)</f>
        <v>269</v>
      </c>
      <c r="H273" s="19">
        <f>IFERROR(__xludf.DUMMYFUNCTION("""COMPUTED_VALUE"""),0.00196)</f>
        <v>0.00196</v>
      </c>
      <c r="I273" s="19" t="str">
        <f>IFERROR(__xludf.DUMMYFUNCTION("""COMPUTED_VALUE"""),"-")</f>
        <v>-</v>
      </c>
      <c r="J273" s="19">
        <f>IFERROR(__xludf.DUMMYFUNCTION("""COMPUTED_VALUE"""),0.00183)</f>
        <v>0.00183</v>
      </c>
      <c r="K273" s="19">
        <f>IFERROR(__xludf.DUMMYFUNCTION("""COMPUTED_VALUE"""),0.03958)</f>
        <v>0.03958</v>
      </c>
      <c r="L273" s="19" t="str">
        <f>IFERROR(__xludf.DUMMYFUNCTION("""COMPUTED_VALUE"""),"-")</f>
        <v>-</v>
      </c>
      <c r="M273" s="19">
        <f>IFERROR(__xludf.DUMMYFUNCTION("""COMPUTED_VALUE"""),0.03979)</f>
        <v>0.03979</v>
      </c>
    </row>
    <row r="274">
      <c r="A274" s="12" t="s">
        <v>6364</v>
      </c>
      <c r="G274" s="19">
        <f>IFERROR(__xludf.DUMMYFUNCTION("SPLIT(A272, "" |"")"),270.0)</f>
        <v>270</v>
      </c>
      <c r="H274" s="19">
        <f>IFERROR(__xludf.DUMMYFUNCTION("""COMPUTED_VALUE"""),0.00211)</f>
        <v>0.00211</v>
      </c>
      <c r="I274" s="19" t="str">
        <f>IFERROR(__xludf.DUMMYFUNCTION("""COMPUTED_VALUE"""),"-")</f>
        <v>-</v>
      </c>
      <c r="J274" s="19">
        <f>IFERROR(__xludf.DUMMYFUNCTION("""COMPUTED_VALUE"""),0.00198)</f>
        <v>0.00198</v>
      </c>
      <c r="K274" s="19">
        <f>IFERROR(__xludf.DUMMYFUNCTION("""COMPUTED_VALUE"""),0.03966)</f>
        <v>0.03966</v>
      </c>
      <c r="L274" s="19" t="str">
        <f>IFERROR(__xludf.DUMMYFUNCTION("""COMPUTED_VALUE"""),"-")</f>
        <v>-</v>
      </c>
      <c r="M274" s="19">
        <f>IFERROR(__xludf.DUMMYFUNCTION("""COMPUTED_VALUE"""),0.03979)</f>
        <v>0.03979</v>
      </c>
    </row>
    <row r="275">
      <c r="A275" s="12" t="s">
        <v>6365</v>
      </c>
      <c r="G275" s="19">
        <f>IFERROR(__xludf.DUMMYFUNCTION("SPLIT(A273, "" |"")"),271.0)</f>
        <v>271</v>
      </c>
      <c r="H275" s="19">
        <f>IFERROR(__xludf.DUMMYFUNCTION("""COMPUTED_VALUE"""),0.00216)</f>
        <v>0.00216</v>
      </c>
      <c r="I275" s="19" t="str">
        <f>IFERROR(__xludf.DUMMYFUNCTION("""COMPUTED_VALUE"""),"-")</f>
        <v>-</v>
      </c>
      <c r="J275" s="19">
        <f>IFERROR(__xludf.DUMMYFUNCTION("""COMPUTED_VALUE"""),0.00188)</f>
        <v>0.00188</v>
      </c>
      <c r="K275" s="19">
        <f>IFERROR(__xludf.DUMMYFUNCTION("""COMPUTED_VALUE"""),0.03934)</f>
        <v>0.03934</v>
      </c>
      <c r="L275" s="19" t="str">
        <f>IFERROR(__xludf.DUMMYFUNCTION("""COMPUTED_VALUE"""),"-")</f>
        <v>-</v>
      </c>
      <c r="M275" s="19">
        <f>IFERROR(__xludf.DUMMYFUNCTION("""COMPUTED_VALUE"""),0.04038)</f>
        <v>0.04038</v>
      </c>
    </row>
    <row r="276">
      <c r="A276" s="12" t="s">
        <v>6366</v>
      </c>
      <c r="G276" s="19">
        <f>IFERROR(__xludf.DUMMYFUNCTION("SPLIT(A274, "" |"")"),272.0)</f>
        <v>272</v>
      </c>
      <c r="H276" s="19">
        <f>IFERROR(__xludf.DUMMYFUNCTION("""COMPUTED_VALUE"""),0.00219)</f>
        <v>0.00219</v>
      </c>
      <c r="I276" s="19" t="str">
        <f>IFERROR(__xludf.DUMMYFUNCTION("""COMPUTED_VALUE"""),"-")</f>
        <v>-</v>
      </c>
      <c r="J276" s="19">
        <f>IFERROR(__xludf.DUMMYFUNCTION("""COMPUTED_VALUE"""),0.00212)</f>
        <v>0.00212</v>
      </c>
      <c r="K276" s="19">
        <f>IFERROR(__xludf.DUMMYFUNCTION("""COMPUTED_VALUE"""),0.03907)</f>
        <v>0.03907</v>
      </c>
      <c r="L276" s="19" t="str">
        <f>IFERROR(__xludf.DUMMYFUNCTION("""COMPUTED_VALUE"""),"-")</f>
        <v>-</v>
      </c>
      <c r="M276" s="19">
        <f>IFERROR(__xludf.DUMMYFUNCTION("""COMPUTED_VALUE"""),0.04059)</f>
        <v>0.04059</v>
      </c>
    </row>
    <row r="277">
      <c r="A277" s="12" t="s">
        <v>6367</v>
      </c>
      <c r="G277" s="19">
        <f>IFERROR(__xludf.DUMMYFUNCTION("SPLIT(A275, "" |"")"),273.0)</f>
        <v>273</v>
      </c>
      <c r="H277" s="19">
        <f>IFERROR(__xludf.DUMMYFUNCTION("""COMPUTED_VALUE"""),0.00219)</f>
        <v>0.00219</v>
      </c>
      <c r="I277" s="19" t="str">
        <f>IFERROR(__xludf.DUMMYFUNCTION("""COMPUTED_VALUE"""),"-")</f>
        <v>-</v>
      </c>
      <c r="J277" s="19">
        <f>IFERROR(__xludf.DUMMYFUNCTION("""COMPUTED_VALUE"""),0.00202)</f>
        <v>0.00202</v>
      </c>
      <c r="K277" s="19">
        <f>IFERROR(__xludf.DUMMYFUNCTION("""COMPUTED_VALUE"""),0.04022)</f>
        <v>0.04022</v>
      </c>
      <c r="L277" s="19" t="str">
        <f>IFERROR(__xludf.DUMMYFUNCTION("""COMPUTED_VALUE"""),"-")</f>
        <v>-</v>
      </c>
      <c r="M277" s="19">
        <f>IFERROR(__xludf.DUMMYFUNCTION("""COMPUTED_VALUE"""),0.0398)</f>
        <v>0.0398</v>
      </c>
    </row>
    <row r="278">
      <c r="A278" s="12" t="s">
        <v>6368</v>
      </c>
      <c r="G278" s="19">
        <f>IFERROR(__xludf.DUMMYFUNCTION("SPLIT(A276, "" |"")"),274.0)</f>
        <v>274</v>
      </c>
      <c r="H278" s="19">
        <f>IFERROR(__xludf.DUMMYFUNCTION("""COMPUTED_VALUE"""),0.0021)</f>
        <v>0.0021</v>
      </c>
      <c r="I278" s="19" t="str">
        <f>IFERROR(__xludf.DUMMYFUNCTION("""COMPUTED_VALUE"""),"-")</f>
        <v>-</v>
      </c>
      <c r="J278" s="19">
        <f>IFERROR(__xludf.DUMMYFUNCTION("""COMPUTED_VALUE"""),0.00197)</f>
        <v>0.00197</v>
      </c>
      <c r="K278" s="19">
        <f>IFERROR(__xludf.DUMMYFUNCTION("""COMPUTED_VALUE"""),0.03835)</f>
        <v>0.03835</v>
      </c>
      <c r="L278" s="19" t="str">
        <f>IFERROR(__xludf.DUMMYFUNCTION("""COMPUTED_VALUE"""),"-")</f>
        <v>-</v>
      </c>
      <c r="M278" s="19">
        <f>IFERROR(__xludf.DUMMYFUNCTION("""COMPUTED_VALUE"""),0.03988)</f>
        <v>0.03988</v>
      </c>
    </row>
    <row r="279">
      <c r="A279" s="12" t="s">
        <v>6369</v>
      </c>
      <c r="G279" s="19">
        <f>IFERROR(__xludf.DUMMYFUNCTION("SPLIT(A277, "" |"")"),275.0)</f>
        <v>275</v>
      </c>
      <c r="H279" s="19">
        <f>IFERROR(__xludf.DUMMYFUNCTION("""COMPUTED_VALUE"""),0.00209)</f>
        <v>0.00209</v>
      </c>
      <c r="I279" s="19" t="str">
        <f>IFERROR(__xludf.DUMMYFUNCTION("""COMPUTED_VALUE"""),"-")</f>
        <v>-</v>
      </c>
      <c r="J279" s="19">
        <f>IFERROR(__xludf.DUMMYFUNCTION("""COMPUTED_VALUE"""),0.002)</f>
        <v>0.002</v>
      </c>
      <c r="K279" s="19">
        <f>IFERROR(__xludf.DUMMYFUNCTION("""COMPUTED_VALUE"""),0.03972)</f>
        <v>0.03972</v>
      </c>
      <c r="L279" s="19" t="str">
        <f>IFERROR(__xludf.DUMMYFUNCTION("""COMPUTED_VALUE"""),"-")</f>
        <v>-</v>
      </c>
      <c r="M279" s="19">
        <f>IFERROR(__xludf.DUMMYFUNCTION("""COMPUTED_VALUE"""),0.0403)</f>
        <v>0.0403</v>
      </c>
    </row>
    <row r="280">
      <c r="A280" s="12" t="s">
        <v>6370</v>
      </c>
      <c r="G280" s="19">
        <f>IFERROR(__xludf.DUMMYFUNCTION("SPLIT(A278, "" |"")"),276.0)</f>
        <v>276</v>
      </c>
      <c r="H280" s="19">
        <f>IFERROR(__xludf.DUMMYFUNCTION("""COMPUTED_VALUE"""),0.00217)</f>
        <v>0.00217</v>
      </c>
      <c r="I280" s="19" t="str">
        <f>IFERROR(__xludf.DUMMYFUNCTION("""COMPUTED_VALUE"""),"-")</f>
        <v>-</v>
      </c>
      <c r="J280" s="19">
        <f>IFERROR(__xludf.DUMMYFUNCTION("""COMPUTED_VALUE"""),0.00202)</f>
        <v>0.00202</v>
      </c>
      <c r="K280" s="19">
        <f>IFERROR(__xludf.DUMMYFUNCTION("""COMPUTED_VALUE"""),0.03964)</f>
        <v>0.03964</v>
      </c>
      <c r="L280" s="19" t="str">
        <f>IFERROR(__xludf.DUMMYFUNCTION("""COMPUTED_VALUE"""),"-")</f>
        <v>-</v>
      </c>
      <c r="M280" s="19">
        <f>IFERROR(__xludf.DUMMYFUNCTION("""COMPUTED_VALUE"""),0.03992)</f>
        <v>0.03992</v>
      </c>
    </row>
    <row r="281">
      <c r="A281" s="12" t="s">
        <v>6371</v>
      </c>
      <c r="G281" s="19">
        <f>IFERROR(__xludf.DUMMYFUNCTION("SPLIT(A279, "" |"")"),277.0)</f>
        <v>277</v>
      </c>
      <c r="H281" s="19">
        <f>IFERROR(__xludf.DUMMYFUNCTION("""COMPUTED_VALUE"""),0.00218)</f>
        <v>0.00218</v>
      </c>
      <c r="I281" s="19" t="str">
        <f>IFERROR(__xludf.DUMMYFUNCTION("""COMPUTED_VALUE"""),"-")</f>
        <v>-</v>
      </c>
      <c r="J281" s="19">
        <f>IFERROR(__xludf.DUMMYFUNCTION("""COMPUTED_VALUE"""),0.00195)</f>
        <v>0.00195</v>
      </c>
      <c r="K281" s="19">
        <f>IFERROR(__xludf.DUMMYFUNCTION("""COMPUTED_VALUE"""),0.03706)</f>
        <v>0.03706</v>
      </c>
      <c r="L281" s="19" t="str">
        <f>IFERROR(__xludf.DUMMYFUNCTION("""COMPUTED_VALUE"""),"-")</f>
        <v>-</v>
      </c>
      <c r="M281" s="19">
        <f>IFERROR(__xludf.DUMMYFUNCTION("""COMPUTED_VALUE"""),0.03977)</f>
        <v>0.03977</v>
      </c>
    </row>
    <row r="282">
      <c r="A282" s="12" t="s">
        <v>6372</v>
      </c>
      <c r="G282" s="19">
        <f>IFERROR(__xludf.DUMMYFUNCTION("SPLIT(A280, "" |"")"),278.0)</f>
        <v>278</v>
      </c>
      <c r="H282" s="19">
        <f>IFERROR(__xludf.DUMMYFUNCTION("""COMPUTED_VALUE"""),0.00216)</f>
        <v>0.00216</v>
      </c>
      <c r="I282" s="19" t="str">
        <f>IFERROR(__xludf.DUMMYFUNCTION("""COMPUTED_VALUE"""),"-")</f>
        <v>-</v>
      </c>
      <c r="J282" s="19">
        <f>IFERROR(__xludf.DUMMYFUNCTION("""COMPUTED_VALUE"""),0.00196)</f>
        <v>0.00196</v>
      </c>
      <c r="K282" s="19">
        <f>IFERROR(__xludf.DUMMYFUNCTION("""COMPUTED_VALUE"""),0.03841)</f>
        <v>0.03841</v>
      </c>
      <c r="L282" s="19" t="str">
        <f>IFERROR(__xludf.DUMMYFUNCTION("""COMPUTED_VALUE"""),"-")</f>
        <v>-</v>
      </c>
      <c r="M282" s="19">
        <f>IFERROR(__xludf.DUMMYFUNCTION("""COMPUTED_VALUE"""),0.0404)</f>
        <v>0.0404</v>
      </c>
    </row>
    <row r="283">
      <c r="A283" s="12" t="s">
        <v>6373</v>
      </c>
      <c r="G283" s="19">
        <f>IFERROR(__xludf.DUMMYFUNCTION("SPLIT(A281, "" |"")"),279.0)</f>
        <v>279</v>
      </c>
      <c r="H283" s="19">
        <f>IFERROR(__xludf.DUMMYFUNCTION("""COMPUTED_VALUE"""),0.00212)</f>
        <v>0.00212</v>
      </c>
      <c r="I283" s="19" t="str">
        <f>IFERROR(__xludf.DUMMYFUNCTION("""COMPUTED_VALUE"""),"-")</f>
        <v>-</v>
      </c>
      <c r="J283" s="19">
        <f>IFERROR(__xludf.DUMMYFUNCTION("""COMPUTED_VALUE"""),0.00199)</f>
        <v>0.00199</v>
      </c>
      <c r="K283" s="19">
        <f>IFERROR(__xludf.DUMMYFUNCTION("""COMPUTED_VALUE"""),0.03887)</f>
        <v>0.03887</v>
      </c>
      <c r="L283" s="19" t="str">
        <f>IFERROR(__xludf.DUMMYFUNCTION("""COMPUTED_VALUE"""),"-")</f>
        <v>-</v>
      </c>
      <c r="M283" s="19">
        <f>IFERROR(__xludf.DUMMYFUNCTION("""COMPUTED_VALUE"""),0.03412)</f>
        <v>0.03412</v>
      </c>
    </row>
    <row r="284">
      <c r="A284" s="12" t="s">
        <v>6374</v>
      </c>
      <c r="G284" s="19">
        <f>IFERROR(__xludf.DUMMYFUNCTION("SPLIT(A282, "" |"")"),280.0)</f>
        <v>280</v>
      </c>
      <c r="H284" s="19">
        <f>IFERROR(__xludf.DUMMYFUNCTION("""COMPUTED_VALUE"""),0.00229)</f>
        <v>0.00229</v>
      </c>
      <c r="I284" s="19" t="str">
        <f>IFERROR(__xludf.DUMMYFUNCTION("""COMPUTED_VALUE"""),"-")</f>
        <v>-</v>
      </c>
      <c r="J284" s="19">
        <f>IFERROR(__xludf.DUMMYFUNCTION("""COMPUTED_VALUE"""),0.00221)</f>
        <v>0.00221</v>
      </c>
      <c r="K284" s="19">
        <f>IFERROR(__xludf.DUMMYFUNCTION("""COMPUTED_VALUE"""),0.03663)</f>
        <v>0.03663</v>
      </c>
      <c r="L284" s="19" t="str">
        <f>IFERROR(__xludf.DUMMYFUNCTION("""COMPUTED_VALUE"""),"-")</f>
        <v>-</v>
      </c>
      <c r="M284" s="19">
        <f>IFERROR(__xludf.DUMMYFUNCTION("""COMPUTED_VALUE"""),0.04032)</f>
        <v>0.04032</v>
      </c>
    </row>
    <row r="285">
      <c r="A285" s="12" t="s">
        <v>6375</v>
      </c>
      <c r="G285" s="19">
        <f>IFERROR(__xludf.DUMMYFUNCTION("SPLIT(A283, "" |"")"),281.0)</f>
        <v>281</v>
      </c>
      <c r="H285" s="19">
        <f>IFERROR(__xludf.DUMMYFUNCTION("""COMPUTED_VALUE"""),0.00216)</f>
        <v>0.00216</v>
      </c>
      <c r="I285" s="19" t="str">
        <f>IFERROR(__xludf.DUMMYFUNCTION("""COMPUTED_VALUE"""),"-")</f>
        <v>-</v>
      </c>
      <c r="J285" s="19">
        <f>IFERROR(__xludf.DUMMYFUNCTION("""COMPUTED_VALUE"""),0.00195)</f>
        <v>0.00195</v>
      </c>
      <c r="K285" s="19">
        <f>IFERROR(__xludf.DUMMYFUNCTION("""COMPUTED_VALUE"""),0.03947)</f>
        <v>0.03947</v>
      </c>
      <c r="L285" s="19" t="str">
        <f>IFERROR(__xludf.DUMMYFUNCTION("""COMPUTED_VALUE"""),"-")</f>
        <v>-</v>
      </c>
      <c r="M285" s="19">
        <f>IFERROR(__xludf.DUMMYFUNCTION("""COMPUTED_VALUE"""),0.03655)</f>
        <v>0.03655</v>
      </c>
    </row>
    <row r="286">
      <c r="A286" s="12" t="s">
        <v>6376</v>
      </c>
      <c r="G286" s="19">
        <f>IFERROR(__xludf.DUMMYFUNCTION("SPLIT(A284, "" |"")"),282.0)</f>
        <v>282</v>
      </c>
      <c r="H286" s="19">
        <f>IFERROR(__xludf.DUMMYFUNCTION("""COMPUTED_VALUE"""),0.0023)</f>
        <v>0.0023</v>
      </c>
      <c r="I286" s="19" t="str">
        <f>IFERROR(__xludf.DUMMYFUNCTION("""COMPUTED_VALUE"""),"-")</f>
        <v>-</v>
      </c>
      <c r="J286" s="19">
        <f>IFERROR(__xludf.DUMMYFUNCTION("""COMPUTED_VALUE"""),0.00208)</f>
        <v>0.00208</v>
      </c>
      <c r="K286" s="19">
        <f>IFERROR(__xludf.DUMMYFUNCTION("""COMPUTED_VALUE"""),0.03932)</f>
        <v>0.03932</v>
      </c>
      <c r="L286" s="19" t="str">
        <f>IFERROR(__xludf.DUMMYFUNCTION("""COMPUTED_VALUE"""),"-")</f>
        <v>-</v>
      </c>
      <c r="M286" s="19">
        <f>IFERROR(__xludf.DUMMYFUNCTION("""COMPUTED_VALUE"""),0.0396)</f>
        <v>0.0396</v>
      </c>
    </row>
    <row r="287">
      <c r="A287" s="12" t="s">
        <v>6377</v>
      </c>
      <c r="G287" s="19">
        <f>IFERROR(__xludf.DUMMYFUNCTION("SPLIT(A285, "" |"")"),283.0)</f>
        <v>283</v>
      </c>
      <c r="H287" s="19">
        <f>IFERROR(__xludf.DUMMYFUNCTION("""COMPUTED_VALUE"""),0.00215)</f>
        <v>0.00215</v>
      </c>
      <c r="I287" s="19" t="str">
        <f>IFERROR(__xludf.DUMMYFUNCTION("""COMPUTED_VALUE"""),"-")</f>
        <v>-</v>
      </c>
      <c r="J287" s="19">
        <f>IFERROR(__xludf.DUMMYFUNCTION("""COMPUTED_VALUE"""),0.00218)</f>
        <v>0.00218</v>
      </c>
      <c r="K287" s="19">
        <f>IFERROR(__xludf.DUMMYFUNCTION("""COMPUTED_VALUE"""),0.03926)</f>
        <v>0.03926</v>
      </c>
      <c r="L287" s="19" t="str">
        <f>IFERROR(__xludf.DUMMYFUNCTION("""COMPUTED_VALUE"""),"-")</f>
        <v>-</v>
      </c>
      <c r="M287" s="19">
        <f>IFERROR(__xludf.DUMMYFUNCTION("""COMPUTED_VALUE"""),0.03584)</f>
        <v>0.03584</v>
      </c>
    </row>
    <row r="288">
      <c r="A288" s="12" t="s">
        <v>6378</v>
      </c>
      <c r="G288" s="19">
        <f>IFERROR(__xludf.DUMMYFUNCTION("SPLIT(A286, "" |"")"),284.0)</f>
        <v>284</v>
      </c>
      <c r="H288" s="19">
        <f>IFERROR(__xludf.DUMMYFUNCTION("""COMPUTED_VALUE"""),0.0022)</f>
        <v>0.0022</v>
      </c>
      <c r="I288" s="19" t="str">
        <f>IFERROR(__xludf.DUMMYFUNCTION("""COMPUTED_VALUE"""),"-")</f>
        <v>-</v>
      </c>
      <c r="J288" s="19">
        <f>IFERROR(__xludf.DUMMYFUNCTION("""COMPUTED_VALUE"""),0.00219)</f>
        <v>0.00219</v>
      </c>
      <c r="K288" s="19">
        <f>IFERROR(__xludf.DUMMYFUNCTION("""COMPUTED_VALUE"""),0.03712)</f>
        <v>0.03712</v>
      </c>
      <c r="L288" s="19" t="str">
        <f>IFERROR(__xludf.DUMMYFUNCTION("""COMPUTED_VALUE"""),"-")</f>
        <v>-</v>
      </c>
      <c r="M288" s="19">
        <f>IFERROR(__xludf.DUMMYFUNCTION("""COMPUTED_VALUE"""),0.03973)</f>
        <v>0.03973</v>
      </c>
    </row>
    <row r="289">
      <c r="A289" s="12" t="s">
        <v>6379</v>
      </c>
      <c r="G289" s="19">
        <f>IFERROR(__xludf.DUMMYFUNCTION("SPLIT(A287, "" |"")"),285.0)</f>
        <v>285</v>
      </c>
      <c r="H289" s="19">
        <f>IFERROR(__xludf.DUMMYFUNCTION("""COMPUTED_VALUE"""),0.00222)</f>
        <v>0.00222</v>
      </c>
      <c r="I289" s="19" t="str">
        <f>IFERROR(__xludf.DUMMYFUNCTION("""COMPUTED_VALUE"""),"-")</f>
        <v>-</v>
      </c>
      <c r="J289" s="19">
        <f>IFERROR(__xludf.DUMMYFUNCTION("""COMPUTED_VALUE"""),0.00205)</f>
        <v>0.00205</v>
      </c>
      <c r="K289" s="19">
        <f>IFERROR(__xludf.DUMMYFUNCTION("""COMPUTED_VALUE"""),0.03695)</f>
        <v>0.03695</v>
      </c>
      <c r="L289" s="19" t="str">
        <f>IFERROR(__xludf.DUMMYFUNCTION("""COMPUTED_VALUE"""),"-")</f>
        <v>-</v>
      </c>
      <c r="M289" s="19">
        <f>IFERROR(__xludf.DUMMYFUNCTION("""COMPUTED_VALUE"""),0.04003)</f>
        <v>0.04003</v>
      </c>
    </row>
    <row r="290">
      <c r="A290" s="12" t="s">
        <v>6380</v>
      </c>
      <c r="G290" s="19">
        <f>IFERROR(__xludf.DUMMYFUNCTION("SPLIT(A288, "" |"")"),286.0)</f>
        <v>286</v>
      </c>
      <c r="H290" s="19">
        <f>IFERROR(__xludf.DUMMYFUNCTION("""COMPUTED_VALUE"""),0.00219)</f>
        <v>0.00219</v>
      </c>
      <c r="I290" s="19" t="str">
        <f>IFERROR(__xludf.DUMMYFUNCTION("""COMPUTED_VALUE"""),"-")</f>
        <v>-</v>
      </c>
      <c r="J290" s="19">
        <f>IFERROR(__xludf.DUMMYFUNCTION("""COMPUTED_VALUE"""),0.00198)</f>
        <v>0.00198</v>
      </c>
      <c r="K290" s="19">
        <f>IFERROR(__xludf.DUMMYFUNCTION("""COMPUTED_VALUE"""),0.03963)</f>
        <v>0.03963</v>
      </c>
      <c r="L290" s="19" t="str">
        <f>IFERROR(__xludf.DUMMYFUNCTION("""COMPUTED_VALUE"""),"-")</f>
        <v>-</v>
      </c>
      <c r="M290" s="19">
        <f>IFERROR(__xludf.DUMMYFUNCTION("""COMPUTED_VALUE"""),0.03987)</f>
        <v>0.03987</v>
      </c>
    </row>
    <row r="291">
      <c r="A291" s="12" t="s">
        <v>6381</v>
      </c>
      <c r="G291" s="19">
        <f>IFERROR(__xludf.DUMMYFUNCTION("SPLIT(A289, "" |"")"),287.0)</f>
        <v>287</v>
      </c>
      <c r="H291" s="19">
        <f>IFERROR(__xludf.DUMMYFUNCTION("""COMPUTED_VALUE"""),0.00222)</f>
        <v>0.00222</v>
      </c>
      <c r="I291" s="19" t="str">
        <f>IFERROR(__xludf.DUMMYFUNCTION("""COMPUTED_VALUE"""),"-")</f>
        <v>-</v>
      </c>
      <c r="J291" s="19">
        <f>IFERROR(__xludf.DUMMYFUNCTION("""COMPUTED_VALUE"""),0.00198)</f>
        <v>0.00198</v>
      </c>
      <c r="K291" s="19">
        <f>IFERROR(__xludf.DUMMYFUNCTION("""COMPUTED_VALUE"""),0.03937)</f>
        <v>0.03937</v>
      </c>
      <c r="L291" s="19" t="str">
        <f>IFERROR(__xludf.DUMMYFUNCTION("""COMPUTED_VALUE"""),"-")</f>
        <v>-</v>
      </c>
      <c r="M291" s="19">
        <f>IFERROR(__xludf.DUMMYFUNCTION("""COMPUTED_VALUE"""),0.04013)</f>
        <v>0.04013</v>
      </c>
    </row>
    <row r="292">
      <c r="A292" s="12" t="s">
        <v>6382</v>
      </c>
      <c r="G292" s="19">
        <f>IFERROR(__xludf.DUMMYFUNCTION("SPLIT(A290, "" |"")"),288.0)</f>
        <v>288</v>
      </c>
      <c r="H292" s="19">
        <f>IFERROR(__xludf.DUMMYFUNCTION("""COMPUTED_VALUE"""),0.00213)</f>
        <v>0.00213</v>
      </c>
      <c r="I292" s="19" t="str">
        <f>IFERROR(__xludf.DUMMYFUNCTION("""COMPUTED_VALUE"""),"-")</f>
        <v>-</v>
      </c>
      <c r="J292" s="19">
        <f>IFERROR(__xludf.DUMMYFUNCTION("""COMPUTED_VALUE"""),0.00198)</f>
        <v>0.00198</v>
      </c>
      <c r="K292" s="19">
        <f>IFERROR(__xludf.DUMMYFUNCTION("""COMPUTED_VALUE"""),0.03972)</f>
        <v>0.03972</v>
      </c>
      <c r="L292" s="19" t="str">
        <f>IFERROR(__xludf.DUMMYFUNCTION("""COMPUTED_VALUE"""),"-")</f>
        <v>-</v>
      </c>
      <c r="M292" s="19">
        <f>IFERROR(__xludf.DUMMYFUNCTION("""COMPUTED_VALUE"""),0.03774)</f>
        <v>0.03774</v>
      </c>
    </row>
    <row r="293">
      <c r="A293" s="12" t="s">
        <v>6383</v>
      </c>
      <c r="G293" s="19">
        <f>IFERROR(__xludf.DUMMYFUNCTION("SPLIT(A291, "" |"")"),289.0)</f>
        <v>289</v>
      </c>
      <c r="H293" s="19">
        <f>IFERROR(__xludf.DUMMYFUNCTION("""COMPUTED_VALUE"""),0.00218)</f>
        <v>0.00218</v>
      </c>
      <c r="I293" s="19" t="str">
        <f>IFERROR(__xludf.DUMMYFUNCTION("""COMPUTED_VALUE"""),"-")</f>
        <v>-</v>
      </c>
      <c r="J293" s="19">
        <f>IFERROR(__xludf.DUMMYFUNCTION("""COMPUTED_VALUE"""),0.00194)</f>
        <v>0.00194</v>
      </c>
      <c r="K293" s="19">
        <f>IFERROR(__xludf.DUMMYFUNCTION("""COMPUTED_VALUE"""),0.03946)</f>
        <v>0.03946</v>
      </c>
      <c r="L293" s="19" t="str">
        <f>IFERROR(__xludf.DUMMYFUNCTION("""COMPUTED_VALUE"""),"-")</f>
        <v>-</v>
      </c>
      <c r="M293" s="19">
        <f>IFERROR(__xludf.DUMMYFUNCTION("""COMPUTED_VALUE"""),0.03925)</f>
        <v>0.03925</v>
      </c>
    </row>
    <row r="294">
      <c r="A294" s="12" t="s">
        <v>6384</v>
      </c>
      <c r="G294" s="19">
        <f>IFERROR(__xludf.DUMMYFUNCTION("SPLIT(A292, "" |"")"),290.0)</f>
        <v>290</v>
      </c>
      <c r="H294" s="19">
        <f>IFERROR(__xludf.DUMMYFUNCTION("""COMPUTED_VALUE"""),0.00226)</f>
        <v>0.00226</v>
      </c>
      <c r="I294" s="19" t="str">
        <f>IFERROR(__xludf.DUMMYFUNCTION("""COMPUTED_VALUE"""),"-")</f>
        <v>-</v>
      </c>
      <c r="J294" s="19">
        <f>IFERROR(__xludf.DUMMYFUNCTION("""COMPUTED_VALUE"""),0.00204)</f>
        <v>0.00204</v>
      </c>
      <c r="K294" s="19">
        <f>IFERROR(__xludf.DUMMYFUNCTION("""COMPUTED_VALUE"""),0.03976)</f>
        <v>0.03976</v>
      </c>
      <c r="L294" s="19" t="str">
        <f>IFERROR(__xludf.DUMMYFUNCTION("""COMPUTED_VALUE"""),"-")</f>
        <v>-</v>
      </c>
      <c r="M294" s="19">
        <f>IFERROR(__xludf.DUMMYFUNCTION("""COMPUTED_VALUE"""),0.03988)</f>
        <v>0.03988</v>
      </c>
    </row>
    <row r="295">
      <c r="A295" s="12" t="s">
        <v>6385</v>
      </c>
      <c r="G295" s="19">
        <f>IFERROR(__xludf.DUMMYFUNCTION("SPLIT(A293, "" |"")"),291.0)</f>
        <v>291</v>
      </c>
      <c r="H295" s="19">
        <f>IFERROR(__xludf.DUMMYFUNCTION("""COMPUTED_VALUE"""),0.00201)</f>
        <v>0.00201</v>
      </c>
      <c r="I295" s="19" t="str">
        <f>IFERROR(__xludf.DUMMYFUNCTION("""COMPUTED_VALUE"""),"-")</f>
        <v>-</v>
      </c>
      <c r="J295" s="19">
        <f>IFERROR(__xludf.DUMMYFUNCTION("""COMPUTED_VALUE"""),0.00188)</f>
        <v>0.00188</v>
      </c>
      <c r="K295" s="19">
        <f>IFERROR(__xludf.DUMMYFUNCTION("""COMPUTED_VALUE"""),0.03975)</f>
        <v>0.03975</v>
      </c>
      <c r="L295" s="19" t="str">
        <f>IFERROR(__xludf.DUMMYFUNCTION("""COMPUTED_VALUE"""),"-")</f>
        <v>-</v>
      </c>
      <c r="M295" s="19">
        <f>IFERROR(__xludf.DUMMYFUNCTION("""COMPUTED_VALUE"""),0.03888)</f>
        <v>0.03888</v>
      </c>
    </row>
    <row r="296">
      <c r="A296" s="12" t="s">
        <v>6386</v>
      </c>
      <c r="G296" s="19">
        <f>IFERROR(__xludf.DUMMYFUNCTION("SPLIT(A294, "" |"")"),292.0)</f>
        <v>292</v>
      </c>
      <c r="H296" s="19">
        <f>IFERROR(__xludf.DUMMYFUNCTION("""COMPUTED_VALUE"""),0.00198)</f>
        <v>0.00198</v>
      </c>
      <c r="I296" s="19" t="str">
        <f>IFERROR(__xludf.DUMMYFUNCTION("""COMPUTED_VALUE"""),"-")</f>
        <v>-</v>
      </c>
      <c r="J296" s="19">
        <f>IFERROR(__xludf.DUMMYFUNCTION("""COMPUTED_VALUE"""),0.00182)</f>
        <v>0.00182</v>
      </c>
      <c r="K296" s="19">
        <f>IFERROR(__xludf.DUMMYFUNCTION("""COMPUTED_VALUE"""),0.03947)</f>
        <v>0.03947</v>
      </c>
      <c r="L296" s="19" t="str">
        <f>IFERROR(__xludf.DUMMYFUNCTION("""COMPUTED_VALUE"""),"-")</f>
        <v>-</v>
      </c>
      <c r="M296" s="19">
        <f>IFERROR(__xludf.DUMMYFUNCTION("""COMPUTED_VALUE"""),0.03853)</f>
        <v>0.03853</v>
      </c>
    </row>
    <row r="297">
      <c r="A297" s="12" t="s">
        <v>6387</v>
      </c>
      <c r="G297" s="19">
        <f>IFERROR(__xludf.DUMMYFUNCTION("SPLIT(A295, "" |"")"),293.0)</f>
        <v>293</v>
      </c>
      <c r="H297" s="19">
        <f>IFERROR(__xludf.DUMMYFUNCTION("""COMPUTED_VALUE"""),0.00215)</f>
        <v>0.00215</v>
      </c>
      <c r="I297" s="19" t="str">
        <f>IFERROR(__xludf.DUMMYFUNCTION("""COMPUTED_VALUE"""),"-")</f>
        <v>-</v>
      </c>
      <c r="J297" s="19">
        <f>IFERROR(__xludf.DUMMYFUNCTION("""COMPUTED_VALUE"""),0.00198)</f>
        <v>0.00198</v>
      </c>
      <c r="K297" s="19">
        <f>IFERROR(__xludf.DUMMYFUNCTION("""COMPUTED_VALUE"""),0.03976)</f>
        <v>0.03976</v>
      </c>
      <c r="L297" s="19" t="str">
        <f>IFERROR(__xludf.DUMMYFUNCTION("""COMPUTED_VALUE"""),"-")</f>
        <v>-</v>
      </c>
      <c r="M297" s="19">
        <f>IFERROR(__xludf.DUMMYFUNCTION("""COMPUTED_VALUE"""),0.03994)</f>
        <v>0.03994</v>
      </c>
    </row>
    <row r="298">
      <c r="A298" s="12" t="s">
        <v>6388</v>
      </c>
      <c r="G298" s="19">
        <f>IFERROR(__xludf.DUMMYFUNCTION("SPLIT(A296, "" |"")"),294.0)</f>
        <v>294</v>
      </c>
      <c r="H298" s="19">
        <f>IFERROR(__xludf.DUMMYFUNCTION("""COMPUTED_VALUE"""),0.00211)</f>
        <v>0.00211</v>
      </c>
      <c r="I298" s="19" t="str">
        <f>IFERROR(__xludf.DUMMYFUNCTION("""COMPUTED_VALUE"""),"-")</f>
        <v>-</v>
      </c>
      <c r="J298" s="19">
        <f>IFERROR(__xludf.DUMMYFUNCTION("""COMPUTED_VALUE"""),0.00198)</f>
        <v>0.00198</v>
      </c>
      <c r="K298" s="19">
        <f>IFERROR(__xludf.DUMMYFUNCTION("""COMPUTED_VALUE"""),0.03969)</f>
        <v>0.03969</v>
      </c>
      <c r="L298" s="19" t="str">
        <f>IFERROR(__xludf.DUMMYFUNCTION("""COMPUTED_VALUE"""),"-")</f>
        <v>-</v>
      </c>
      <c r="M298" s="19">
        <f>IFERROR(__xludf.DUMMYFUNCTION("""COMPUTED_VALUE"""),0.03974)</f>
        <v>0.03974</v>
      </c>
    </row>
    <row r="299">
      <c r="A299" s="12" t="s">
        <v>6389</v>
      </c>
      <c r="G299" s="19">
        <f>IFERROR(__xludf.DUMMYFUNCTION("SPLIT(A297, "" |"")"),295.0)</f>
        <v>295</v>
      </c>
      <c r="H299" s="19">
        <f>IFERROR(__xludf.DUMMYFUNCTION("""COMPUTED_VALUE"""),0.00216)</f>
        <v>0.00216</v>
      </c>
      <c r="I299" s="19" t="str">
        <f>IFERROR(__xludf.DUMMYFUNCTION("""COMPUTED_VALUE"""),"-")</f>
        <v>-</v>
      </c>
      <c r="J299" s="19">
        <f>IFERROR(__xludf.DUMMYFUNCTION("""COMPUTED_VALUE"""),0.00203)</f>
        <v>0.00203</v>
      </c>
      <c r="K299" s="19">
        <f>IFERROR(__xludf.DUMMYFUNCTION("""COMPUTED_VALUE"""),0.03973)</f>
        <v>0.03973</v>
      </c>
      <c r="L299" s="19" t="str">
        <f>IFERROR(__xludf.DUMMYFUNCTION("""COMPUTED_VALUE"""),"-")</f>
        <v>-</v>
      </c>
      <c r="M299" s="19">
        <f>IFERROR(__xludf.DUMMYFUNCTION("""COMPUTED_VALUE"""),0.03979)</f>
        <v>0.03979</v>
      </c>
    </row>
    <row r="300">
      <c r="A300" s="12" t="s">
        <v>6390</v>
      </c>
      <c r="G300" s="19">
        <f>IFERROR(__xludf.DUMMYFUNCTION("SPLIT(A298, "" |"")"),296.0)</f>
        <v>296</v>
      </c>
      <c r="H300" s="19">
        <f>IFERROR(__xludf.DUMMYFUNCTION("""COMPUTED_VALUE"""),0.00212)</f>
        <v>0.00212</v>
      </c>
      <c r="I300" s="19" t="str">
        <f>IFERROR(__xludf.DUMMYFUNCTION("""COMPUTED_VALUE"""),"-")</f>
        <v>-</v>
      </c>
      <c r="J300" s="19">
        <f>IFERROR(__xludf.DUMMYFUNCTION("""COMPUTED_VALUE"""),0.00202)</f>
        <v>0.00202</v>
      </c>
      <c r="K300" s="19">
        <f>IFERROR(__xludf.DUMMYFUNCTION("""COMPUTED_VALUE"""),0.03965)</f>
        <v>0.03965</v>
      </c>
      <c r="L300" s="19" t="str">
        <f>IFERROR(__xludf.DUMMYFUNCTION("""COMPUTED_VALUE"""),"-")</f>
        <v>-</v>
      </c>
      <c r="M300" s="19">
        <f>IFERROR(__xludf.DUMMYFUNCTION("""COMPUTED_VALUE"""),0.04026)</f>
        <v>0.04026</v>
      </c>
    </row>
    <row r="301">
      <c r="A301" s="12" t="s">
        <v>6391</v>
      </c>
      <c r="G301" s="19">
        <f>IFERROR(__xludf.DUMMYFUNCTION("SPLIT(A299, "" |"")"),297.0)</f>
        <v>297</v>
      </c>
      <c r="H301" s="19">
        <f>IFERROR(__xludf.DUMMYFUNCTION("""COMPUTED_VALUE"""),0.00224)</f>
        <v>0.00224</v>
      </c>
      <c r="I301" s="19" t="str">
        <f>IFERROR(__xludf.DUMMYFUNCTION("""COMPUTED_VALUE"""),"-")</f>
        <v>-</v>
      </c>
      <c r="J301" s="19">
        <f>IFERROR(__xludf.DUMMYFUNCTION("""COMPUTED_VALUE"""),0.00195)</f>
        <v>0.00195</v>
      </c>
      <c r="K301" s="19">
        <f>IFERROR(__xludf.DUMMYFUNCTION("""COMPUTED_VALUE"""),0.03969)</f>
        <v>0.03969</v>
      </c>
      <c r="L301" s="19" t="str">
        <f>IFERROR(__xludf.DUMMYFUNCTION("""COMPUTED_VALUE"""),"-")</f>
        <v>-</v>
      </c>
      <c r="M301" s="19">
        <f>IFERROR(__xludf.DUMMYFUNCTION("""COMPUTED_VALUE"""),0.04015)</f>
        <v>0.04015</v>
      </c>
    </row>
    <row r="302">
      <c r="A302" s="12" t="s">
        <v>6392</v>
      </c>
      <c r="G302" s="19">
        <f>IFERROR(__xludf.DUMMYFUNCTION("SPLIT(A300, "" |"")"),298.0)</f>
        <v>298</v>
      </c>
      <c r="H302" s="19">
        <f>IFERROR(__xludf.DUMMYFUNCTION("""COMPUTED_VALUE"""),0.00218)</f>
        <v>0.00218</v>
      </c>
      <c r="I302" s="19" t="str">
        <f>IFERROR(__xludf.DUMMYFUNCTION("""COMPUTED_VALUE"""),"-")</f>
        <v>-</v>
      </c>
      <c r="J302" s="19">
        <f>IFERROR(__xludf.DUMMYFUNCTION("""COMPUTED_VALUE"""),0.0021)</f>
        <v>0.0021</v>
      </c>
      <c r="K302" s="19">
        <f>IFERROR(__xludf.DUMMYFUNCTION("""COMPUTED_VALUE"""),0.03979)</f>
        <v>0.03979</v>
      </c>
      <c r="L302" s="19" t="str">
        <f>IFERROR(__xludf.DUMMYFUNCTION("""COMPUTED_VALUE"""),"-")</f>
        <v>-</v>
      </c>
      <c r="M302" s="19">
        <f>IFERROR(__xludf.DUMMYFUNCTION("""COMPUTED_VALUE"""),0.0399)</f>
        <v>0.0399</v>
      </c>
    </row>
    <row r="303">
      <c r="A303" s="12" t="s">
        <v>6393</v>
      </c>
      <c r="G303" s="19">
        <f>IFERROR(__xludf.DUMMYFUNCTION("SPLIT(A301, "" |"")"),299.0)</f>
        <v>299</v>
      </c>
      <c r="H303" s="19">
        <f>IFERROR(__xludf.DUMMYFUNCTION("""COMPUTED_VALUE"""),0.00209)</f>
        <v>0.00209</v>
      </c>
      <c r="I303" s="19" t="str">
        <f>IFERROR(__xludf.DUMMYFUNCTION("""COMPUTED_VALUE"""),"-")</f>
        <v>-</v>
      </c>
      <c r="J303" s="19">
        <f>IFERROR(__xludf.DUMMYFUNCTION("""COMPUTED_VALUE"""),0.002)</f>
        <v>0.002</v>
      </c>
      <c r="K303" s="19">
        <f>IFERROR(__xludf.DUMMYFUNCTION("""COMPUTED_VALUE"""),0.03971)</f>
        <v>0.03971</v>
      </c>
      <c r="L303" s="19" t="str">
        <f>IFERROR(__xludf.DUMMYFUNCTION("""COMPUTED_VALUE"""),"-")</f>
        <v>-</v>
      </c>
      <c r="M303" s="19">
        <f>IFERROR(__xludf.DUMMYFUNCTION("""COMPUTED_VALUE"""),0.03985)</f>
        <v>0.03985</v>
      </c>
    </row>
    <row r="304">
      <c r="A304" s="12" t="s">
        <v>6394</v>
      </c>
      <c r="G304" s="19">
        <f>IFERROR(__xludf.DUMMYFUNCTION("SPLIT(A302, "" |"")"),300.0)</f>
        <v>300</v>
      </c>
      <c r="H304" s="19">
        <f>IFERROR(__xludf.DUMMYFUNCTION("""COMPUTED_VALUE"""),0.00216)</f>
        <v>0.00216</v>
      </c>
      <c r="I304" s="19" t="str">
        <f>IFERROR(__xludf.DUMMYFUNCTION("""COMPUTED_VALUE"""),"-")</f>
        <v>-</v>
      </c>
      <c r="J304" s="19">
        <f>IFERROR(__xludf.DUMMYFUNCTION("""COMPUTED_VALUE"""),0.00193)</f>
        <v>0.00193</v>
      </c>
      <c r="K304" s="19">
        <f>IFERROR(__xludf.DUMMYFUNCTION("""COMPUTED_VALUE"""),0.03975)</f>
        <v>0.03975</v>
      </c>
      <c r="L304" s="19" t="str">
        <f>IFERROR(__xludf.DUMMYFUNCTION("""COMPUTED_VALUE"""),"-")</f>
        <v>-</v>
      </c>
      <c r="M304" s="19">
        <f>IFERROR(__xludf.DUMMYFUNCTION("""COMPUTED_VALUE"""),0.03988)</f>
        <v>0.03988</v>
      </c>
    </row>
    <row r="305">
      <c r="A305" s="12" t="s">
        <v>6395</v>
      </c>
      <c r="G305" s="19">
        <f>IFERROR(__xludf.DUMMYFUNCTION("SPLIT(A303, "" |"")"),301.0)</f>
        <v>301</v>
      </c>
      <c r="H305" s="19">
        <f>IFERROR(__xludf.DUMMYFUNCTION("""COMPUTED_VALUE"""),0.00216)</f>
        <v>0.00216</v>
      </c>
      <c r="I305" s="19" t="str">
        <f>IFERROR(__xludf.DUMMYFUNCTION("""COMPUTED_VALUE"""),"-")</f>
        <v>-</v>
      </c>
      <c r="J305" s="19">
        <f>IFERROR(__xludf.DUMMYFUNCTION("""COMPUTED_VALUE"""),0.00194)</f>
        <v>0.00194</v>
      </c>
      <c r="K305" s="19">
        <f>IFERROR(__xludf.DUMMYFUNCTION("""COMPUTED_VALUE"""),0.039)</f>
        <v>0.039</v>
      </c>
      <c r="L305" s="19" t="str">
        <f>IFERROR(__xludf.DUMMYFUNCTION("""COMPUTED_VALUE"""),"-")</f>
        <v>-</v>
      </c>
      <c r="M305" s="19">
        <f>IFERROR(__xludf.DUMMYFUNCTION("""COMPUTED_VALUE"""),0.04014)</f>
        <v>0.04014</v>
      </c>
    </row>
    <row r="306">
      <c r="A306" s="12" t="s">
        <v>6396</v>
      </c>
      <c r="G306" s="19">
        <f>IFERROR(__xludf.DUMMYFUNCTION("SPLIT(A304, "" |"")"),302.0)</f>
        <v>302</v>
      </c>
      <c r="H306" s="19">
        <f>IFERROR(__xludf.DUMMYFUNCTION("""COMPUTED_VALUE"""),0.00221)</f>
        <v>0.00221</v>
      </c>
      <c r="I306" s="19" t="str">
        <f>IFERROR(__xludf.DUMMYFUNCTION("""COMPUTED_VALUE"""),"-")</f>
        <v>-</v>
      </c>
      <c r="J306" s="19">
        <f>IFERROR(__xludf.DUMMYFUNCTION("""COMPUTED_VALUE"""),0.00213)</f>
        <v>0.00213</v>
      </c>
      <c r="K306" s="19">
        <f>IFERROR(__xludf.DUMMYFUNCTION("""COMPUTED_VALUE"""),0.03978)</f>
        <v>0.03978</v>
      </c>
      <c r="L306" s="19" t="str">
        <f>IFERROR(__xludf.DUMMYFUNCTION("""COMPUTED_VALUE"""),"-")</f>
        <v>-</v>
      </c>
      <c r="M306" s="19">
        <f>IFERROR(__xludf.DUMMYFUNCTION("""COMPUTED_VALUE"""),0.03904)</f>
        <v>0.03904</v>
      </c>
    </row>
    <row r="307">
      <c r="A307" s="12" t="s">
        <v>6397</v>
      </c>
      <c r="G307" s="19">
        <f>IFERROR(__xludf.DUMMYFUNCTION("SPLIT(A305, "" |"")"),303.0)</f>
        <v>303</v>
      </c>
      <c r="H307" s="19">
        <f>IFERROR(__xludf.DUMMYFUNCTION("""COMPUTED_VALUE"""),0.00258)</f>
        <v>0.00258</v>
      </c>
      <c r="I307" s="19" t="str">
        <f>IFERROR(__xludf.DUMMYFUNCTION("""COMPUTED_VALUE"""),"-")</f>
        <v>-</v>
      </c>
      <c r="J307" s="19">
        <f>IFERROR(__xludf.DUMMYFUNCTION("""COMPUTED_VALUE"""),0.00203)</f>
        <v>0.00203</v>
      </c>
      <c r="K307" s="19">
        <f>IFERROR(__xludf.DUMMYFUNCTION("""COMPUTED_VALUE"""),0.0377)</f>
        <v>0.0377</v>
      </c>
      <c r="L307" s="19" t="str">
        <f>IFERROR(__xludf.DUMMYFUNCTION("""COMPUTED_VALUE"""),"-")</f>
        <v>-</v>
      </c>
      <c r="M307" s="19">
        <f>IFERROR(__xludf.DUMMYFUNCTION("""COMPUTED_VALUE"""),0.03745)</f>
        <v>0.03745</v>
      </c>
    </row>
    <row r="308">
      <c r="A308" s="12" t="s">
        <v>6398</v>
      </c>
      <c r="G308" s="19">
        <f>IFERROR(__xludf.DUMMYFUNCTION("SPLIT(A306, "" |"")"),304.0)</f>
        <v>304</v>
      </c>
      <c r="H308" s="19">
        <f>IFERROR(__xludf.DUMMYFUNCTION("""COMPUTED_VALUE"""),0.00216)</f>
        <v>0.00216</v>
      </c>
      <c r="I308" s="19" t="str">
        <f>IFERROR(__xludf.DUMMYFUNCTION("""COMPUTED_VALUE"""),"-")</f>
        <v>-</v>
      </c>
      <c r="J308" s="19">
        <f>IFERROR(__xludf.DUMMYFUNCTION("""COMPUTED_VALUE"""),0.00182)</f>
        <v>0.00182</v>
      </c>
      <c r="K308" s="19">
        <f>IFERROR(__xludf.DUMMYFUNCTION("""COMPUTED_VALUE"""),0.04075)</f>
        <v>0.04075</v>
      </c>
      <c r="L308" s="19" t="str">
        <f>IFERROR(__xludf.DUMMYFUNCTION("""COMPUTED_VALUE"""),"-")</f>
        <v>-</v>
      </c>
      <c r="M308" s="19">
        <f>IFERROR(__xludf.DUMMYFUNCTION("""COMPUTED_VALUE"""),0.03426)</f>
        <v>0.03426</v>
      </c>
    </row>
    <row r="309">
      <c r="A309" s="12" t="s">
        <v>6399</v>
      </c>
      <c r="G309" s="19">
        <f>IFERROR(__xludf.DUMMYFUNCTION("SPLIT(A307, "" |"")"),305.0)</f>
        <v>305</v>
      </c>
      <c r="H309" s="19">
        <f>IFERROR(__xludf.DUMMYFUNCTION("""COMPUTED_VALUE"""),0.00266)</f>
        <v>0.00266</v>
      </c>
      <c r="I309" s="19" t="str">
        <f>IFERROR(__xludf.DUMMYFUNCTION("""COMPUTED_VALUE"""),"-")</f>
        <v>-</v>
      </c>
      <c r="J309" s="19">
        <f>IFERROR(__xludf.DUMMYFUNCTION("""COMPUTED_VALUE"""),0.0022)</f>
        <v>0.0022</v>
      </c>
      <c r="K309" s="19">
        <f>IFERROR(__xludf.DUMMYFUNCTION("""COMPUTED_VALUE"""),0.03722)</f>
        <v>0.03722</v>
      </c>
      <c r="L309" s="19" t="str">
        <f>IFERROR(__xludf.DUMMYFUNCTION("""COMPUTED_VALUE"""),"-")</f>
        <v>-</v>
      </c>
      <c r="M309" s="19">
        <f>IFERROR(__xludf.DUMMYFUNCTION("""COMPUTED_VALUE"""),0.04007)</f>
        <v>0.04007</v>
      </c>
    </row>
    <row r="310">
      <c r="A310" s="12" t="s">
        <v>6400</v>
      </c>
      <c r="G310" s="19">
        <f>IFERROR(__xludf.DUMMYFUNCTION("SPLIT(A308, "" |"")"),306.0)</f>
        <v>306</v>
      </c>
      <c r="H310" s="19">
        <f>IFERROR(__xludf.DUMMYFUNCTION("""COMPUTED_VALUE"""),0.00221)</f>
        <v>0.00221</v>
      </c>
      <c r="I310" s="19" t="str">
        <f>IFERROR(__xludf.DUMMYFUNCTION("""COMPUTED_VALUE"""),"-")</f>
        <v>-</v>
      </c>
      <c r="J310" s="19">
        <f>IFERROR(__xludf.DUMMYFUNCTION("""COMPUTED_VALUE"""),0.00191)</f>
        <v>0.00191</v>
      </c>
      <c r="K310" s="19">
        <f>IFERROR(__xludf.DUMMYFUNCTION("""COMPUTED_VALUE"""),0.03972)</f>
        <v>0.03972</v>
      </c>
      <c r="L310" s="19" t="str">
        <f>IFERROR(__xludf.DUMMYFUNCTION("""COMPUTED_VALUE"""),"-")</f>
        <v>-</v>
      </c>
      <c r="M310" s="19">
        <f>IFERROR(__xludf.DUMMYFUNCTION("""COMPUTED_VALUE"""),0.04004)</f>
        <v>0.04004</v>
      </c>
    </row>
    <row r="311">
      <c r="A311" s="12" t="s">
        <v>6401</v>
      </c>
      <c r="G311" s="19">
        <f>IFERROR(__xludf.DUMMYFUNCTION("SPLIT(A309, "" |"")"),307.0)</f>
        <v>307</v>
      </c>
      <c r="H311" s="19">
        <f>IFERROR(__xludf.DUMMYFUNCTION("""COMPUTED_VALUE"""),0.00218)</f>
        <v>0.00218</v>
      </c>
      <c r="I311" s="19" t="str">
        <f>IFERROR(__xludf.DUMMYFUNCTION("""COMPUTED_VALUE"""),"-")</f>
        <v>-</v>
      </c>
      <c r="J311" s="19">
        <f>IFERROR(__xludf.DUMMYFUNCTION("""COMPUTED_VALUE"""),0.00206)</f>
        <v>0.00206</v>
      </c>
      <c r="K311" s="19">
        <f>IFERROR(__xludf.DUMMYFUNCTION("""COMPUTED_VALUE"""),0.03799)</f>
        <v>0.03799</v>
      </c>
      <c r="L311" s="19" t="str">
        <f>IFERROR(__xludf.DUMMYFUNCTION("""COMPUTED_VALUE"""),"-")</f>
        <v>-</v>
      </c>
      <c r="M311" s="19">
        <f>IFERROR(__xludf.DUMMYFUNCTION("""COMPUTED_VALUE"""),0.03711)</f>
        <v>0.03711</v>
      </c>
    </row>
    <row r="312">
      <c r="A312" s="12" t="s">
        <v>6402</v>
      </c>
      <c r="G312" s="19">
        <f>IFERROR(__xludf.DUMMYFUNCTION("SPLIT(A310, "" |"")"),308.0)</f>
        <v>308</v>
      </c>
      <c r="H312" s="19">
        <f>IFERROR(__xludf.DUMMYFUNCTION("""COMPUTED_VALUE"""),0.00226)</f>
        <v>0.00226</v>
      </c>
      <c r="I312" s="19" t="str">
        <f>IFERROR(__xludf.DUMMYFUNCTION("""COMPUTED_VALUE"""),"-")</f>
        <v>-</v>
      </c>
      <c r="J312" s="19">
        <f>IFERROR(__xludf.DUMMYFUNCTION("""COMPUTED_VALUE"""),0.00207)</f>
        <v>0.00207</v>
      </c>
      <c r="K312" s="19">
        <f>IFERROR(__xludf.DUMMYFUNCTION("""COMPUTED_VALUE"""),0.04009)</f>
        <v>0.04009</v>
      </c>
      <c r="L312" s="19" t="str">
        <f>IFERROR(__xludf.DUMMYFUNCTION("""COMPUTED_VALUE"""),"-")</f>
        <v>-</v>
      </c>
      <c r="M312" s="19">
        <f>IFERROR(__xludf.DUMMYFUNCTION("""COMPUTED_VALUE"""),0.03993)</f>
        <v>0.03993</v>
      </c>
    </row>
    <row r="313">
      <c r="A313" s="12" t="s">
        <v>6403</v>
      </c>
      <c r="G313" s="19">
        <f>IFERROR(__xludf.DUMMYFUNCTION("SPLIT(A311, "" |"")"),309.0)</f>
        <v>309</v>
      </c>
      <c r="H313" s="19">
        <f>IFERROR(__xludf.DUMMYFUNCTION("""COMPUTED_VALUE"""),0.00217)</f>
        <v>0.00217</v>
      </c>
      <c r="I313" s="19" t="str">
        <f>IFERROR(__xludf.DUMMYFUNCTION("""COMPUTED_VALUE"""),"-")</f>
        <v>-</v>
      </c>
      <c r="J313" s="19">
        <f>IFERROR(__xludf.DUMMYFUNCTION("""COMPUTED_VALUE"""),0.002)</f>
        <v>0.002</v>
      </c>
      <c r="K313" s="19">
        <f>IFERROR(__xludf.DUMMYFUNCTION("""COMPUTED_VALUE"""),0.03972)</f>
        <v>0.03972</v>
      </c>
      <c r="L313" s="19" t="str">
        <f>IFERROR(__xludf.DUMMYFUNCTION("""COMPUTED_VALUE"""),"-")</f>
        <v>-</v>
      </c>
      <c r="M313" s="19">
        <f>IFERROR(__xludf.DUMMYFUNCTION("""COMPUTED_VALUE"""),0.04012)</f>
        <v>0.04012</v>
      </c>
    </row>
    <row r="314">
      <c r="A314" s="12" t="s">
        <v>6404</v>
      </c>
      <c r="G314" s="19">
        <f>IFERROR(__xludf.DUMMYFUNCTION("SPLIT(A312, "" |"")"),310.0)</f>
        <v>310</v>
      </c>
      <c r="H314" s="19">
        <f>IFERROR(__xludf.DUMMYFUNCTION("""COMPUTED_VALUE"""),0.0022)</f>
        <v>0.0022</v>
      </c>
      <c r="I314" s="19" t="str">
        <f>IFERROR(__xludf.DUMMYFUNCTION("""COMPUTED_VALUE"""),"-")</f>
        <v>-</v>
      </c>
      <c r="J314" s="19">
        <f>IFERROR(__xludf.DUMMYFUNCTION("""COMPUTED_VALUE"""),0.00196)</f>
        <v>0.00196</v>
      </c>
      <c r="K314" s="19">
        <f>IFERROR(__xludf.DUMMYFUNCTION("""COMPUTED_VALUE"""),0.03975)</f>
        <v>0.03975</v>
      </c>
      <c r="L314" s="19" t="str">
        <f>IFERROR(__xludf.DUMMYFUNCTION("""COMPUTED_VALUE"""),"-")</f>
        <v>-</v>
      </c>
      <c r="M314" s="19">
        <f>IFERROR(__xludf.DUMMYFUNCTION("""COMPUTED_VALUE"""),0.03999)</f>
        <v>0.03999</v>
      </c>
    </row>
    <row r="315">
      <c r="A315" s="12" t="s">
        <v>6405</v>
      </c>
      <c r="G315" s="19">
        <f>IFERROR(__xludf.DUMMYFUNCTION("SPLIT(A313, "" |"")"),311.0)</f>
        <v>311</v>
      </c>
      <c r="H315" s="19">
        <f>IFERROR(__xludf.DUMMYFUNCTION("""COMPUTED_VALUE"""),0.00203)</f>
        <v>0.00203</v>
      </c>
      <c r="I315" s="19" t="str">
        <f>IFERROR(__xludf.DUMMYFUNCTION("""COMPUTED_VALUE"""),"-")</f>
        <v>-</v>
      </c>
      <c r="J315" s="19">
        <f>IFERROR(__xludf.DUMMYFUNCTION("""COMPUTED_VALUE"""),0.00197)</f>
        <v>0.00197</v>
      </c>
      <c r="K315" s="19">
        <f>IFERROR(__xludf.DUMMYFUNCTION("""COMPUTED_VALUE"""),0.0397)</f>
        <v>0.0397</v>
      </c>
      <c r="L315" s="19" t="str">
        <f>IFERROR(__xludf.DUMMYFUNCTION("""COMPUTED_VALUE"""),"-")</f>
        <v>-</v>
      </c>
      <c r="M315" s="19">
        <f>IFERROR(__xludf.DUMMYFUNCTION("""COMPUTED_VALUE"""),0.03829)</f>
        <v>0.03829</v>
      </c>
    </row>
    <row r="316">
      <c r="A316" s="12" t="s">
        <v>6406</v>
      </c>
      <c r="G316" s="19">
        <f>IFERROR(__xludf.DUMMYFUNCTION("SPLIT(A314, "" |"")"),312.0)</f>
        <v>312</v>
      </c>
      <c r="H316" s="19">
        <f>IFERROR(__xludf.DUMMYFUNCTION("""COMPUTED_VALUE"""),0.00207)</f>
        <v>0.00207</v>
      </c>
      <c r="I316" s="19" t="str">
        <f>IFERROR(__xludf.DUMMYFUNCTION("""COMPUTED_VALUE"""),"-")</f>
        <v>-</v>
      </c>
      <c r="J316" s="19">
        <f>IFERROR(__xludf.DUMMYFUNCTION("""COMPUTED_VALUE"""),0.00194)</f>
        <v>0.00194</v>
      </c>
      <c r="K316" s="19">
        <f>IFERROR(__xludf.DUMMYFUNCTION("""COMPUTED_VALUE"""),0.03964)</f>
        <v>0.03964</v>
      </c>
      <c r="L316" s="19" t="str">
        <f>IFERROR(__xludf.DUMMYFUNCTION("""COMPUTED_VALUE"""),"-")</f>
        <v>-</v>
      </c>
      <c r="M316" s="19">
        <f>IFERROR(__xludf.DUMMYFUNCTION("""COMPUTED_VALUE"""),0.03988)</f>
        <v>0.03988</v>
      </c>
    </row>
    <row r="317">
      <c r="A317" s="12" t="s">
        <v>6407</v>
      </c>
      <c r="G317" s="19">
        <f>IFERROR(__xludf.DUMMYFUNCTION("SPLIT(A315, "" |"")"),313.0)</f>
        <v>313</v>
      </c>
      <c r="H317" s="19">
        <f>IFERROR(__xludf.DUMMYFUNCTION("""COMPUTED_VALUE"""),0.00209)</f>
        <v>0.00209</v>
      </c>
      <c r="I317" s="19" t="str">
        <f>IFERROR(__xludf.DUMMYFUNCTION("""COMPUTED_VALUE"""),"-")</f>
        <v>-</v>
      </c>
      <c r="J317" s="19">
        <f>IFERROR(__xludf.DUMMYFUNCTION("""COMPUTED_VALUE"""),0.00198)</f>
        <v>0.00198</v>
      </c>
      <c r="K317" s="19">
        <f>IFERROR(__xludf.DUMMYFUNCTION("""COMPUTED_VALUE"""),0.03967)</f>
        <v>0.03967</v>
      </c>
      <c r="L317" s="19" t="str">
        <f>IFERROR(__xludf.DUMMYFUNCTION("""COMPUTED_VALUE"""),"-")</f>
        <v>-</v>
      </c>
      <c r="M317" s="19">
        <f>IFERROR(__xludf.DUMMYFUNCTION("""COMPUTED_VALUE"""),0.03976)</f>
        <v>0.03976</v>
      </c>
    </row>
    <row r="318">
      <c r="A318" s="12" t="s">
        <v>6408</v>
      </c>
      <c r="G318" s="19">
        <f>IFERROR(__xludf.DUMMYFUNCTION("SPLIT(A316, "" |"")"),314.0)</f>
        <v>314</v>
      </c>
      <c r="H318" s="19">
        <f>IFERROR(__xludf.DUMMYFUNCTION("""COMPUTED_VALUE"""),0.00216)</f>
        <v>0.00216</v>
      </c>
      <c r="I318" s="19" t="str">
        <f>IFERROR(__xludf.DUMMYFUNCTION("""COMPUTED_VALUE"""),"-")</f>
        <v>-</v>
      </c>
      <c r="J318" s="19">
        <f>IFERROR(__xludf.DUMMYFUNCTION("""COMPUTED_VALUE"""),0.00201)</f>
        <v>0.00201</v>
      </c>
      <c r="K318" s="19">
        <f>IFERROR(__xludf.DUMMYFUNCTION("""COMPUTED_VALUE"""),0.03966)</f>
        <v>0.03966</v>
      </c>
      <c r="L318" s="19" t="str">
        <f>IFERROR(__xludf.DUMMYFUNCTION("""COMPUTED_VALUE"""),"-")</f>
        <v>-</v>
      </c>
      <c r="M318" s="19">
        <f>IFERROR(__xludf.DUMMYFUNCTION("""COMPUTED_VALUE"""),0.03987)</f>
        <v>0.03987</v>
      </c>
    </row>
    <row r="319">
      <c r="A319" s="12" t="s">
        <v>6409</v>
      </c>
      <c r="G319" s="19">
        <f>IFERROR(__xludf.DUMMYFUNCTION("SPLIT(A317, "" |"")"),315.0)</f>
        <v>315</v>
      </c>
      <c r="H319" s="19">
        <f>IFERROR(__xludf.DUMMYFUNCTION("""COMPUTED_VALUE"""),0.00203)</f>
        <v>0.00203</v>
      </c>
      <c r="I319" s="19" t="str">
        <f>IFERROR(__xludf.DUMMYFUNCTION("""COMPUTED_VALUE"""),"-")</f>
        <v>-</v>
      </c>
      <c r="J319" s="19">
        <f>IFERROR(__xludf.DUMMYFUNCTION("""COMPUTED_VALUE"""),0.00211)</f>
        <v>0.00211</v>
      </c>
      <c r="K319" s="19">
        <f>IFERROR(__xludf.DUMMYFUNCTION("""COMPUTED_VALUE"""),0.03472)</f>
        <v>0.03472</v>
      </c>
      <c r="L319" s="19" t="str">
        <f>IFERROR(__xludf.DUMMYFUNCTION("""COMPUTED_VALUE"""),"-")</f>
        <v>-</v>
      </c>
      <c r="M319" s="19">
        <f>IFERROR(__xludf.DUMMYFUNCTION("""COMPUTED_VALUE"""),0.03778)</f>
        <v>0.03778</v>
      </c>
    </row>
    <row r="320">
      <c r="A320" s="12" t="s">
        <v>6410</v>
      </c>
      <c r="G320" s="19">
        <f>IFERROR(__xludf.DUMMYFUNCTION("SPLIT(A318, "" |"")"),316.0)</f>
        <v>316</v>
      </c>
      <c r="H320" s="19">
        <f>IFERROR(__xludf.DUMMYFUNCTION("""COMPUTED_VALUE"""),0.00241)</f>
        <v>0.00241</v>
      </c>
      <c r="I320" s="19" t="str">
        <f>IFERROR(__xludf.DUMMYFUNCTION("""COMPUTED_VALUE"""),"-")</f>
        <v>-</v>
      </c>
      <c r="J320" s="19">
        <f>IFERROR(__xludf.DUMMYFUNCTION("""COMPUTED_VALUE"""),0.00223)</f>
        <v>0.00223</v>
      </c>
      <c r="K320" s="19">
        <f>IFERROR(__xludf.DUMMYFUNCTION("""COMPUTED_VALUE"""),0.03689)</f>
        <v>0.03689</v>
      </c>
      <c r="L320" s="19" t="str">
        <f>IFERROR(__xludf.DUMMYFUNCTION("""COMPUTED_VALUE"""),"-")</f>
        <v>-</v>
      </c>
      <c r="M320" s="19">
        <f>IFERROR(__xludf.DUMMYFUNCTION("""COMPUTED_VALUE"""),0.0407)</f>
        <v>0.0407</v>
      </c>
    </row>
    <row r="321">
      <c r="A321" s="12" t="s">
        <v>6411</v>
      </c>
      <c r="G321" s="19">
        <f>IFERROR(__xludf.DUMMYFUNCTION("SPLIT(A319, "" |"")"),317.0)</f>
        <v>317</v>
      </c>
      <c r="H321" s="19">
        <f>IFERROR(__xludf.DUMMYFUNCTION("""COMPUTED_VALUE"""),0.00227)</f>
        <v>0.00227</v>
      </c>
      <c r="I321" s="19" t="str">
        <f>IFERROR(__xludf.DUMMYFUNCTION("""COMPUTED_VALUE"""),"-")</f>
        <v>-</v>
      </c>
      <c r="J321" s="19">
        <f>IFERROR(__xludf.DUMMYFUNCTION("""COMPUTED_VALUE"""),0.00192)</f>
        <v>0.00192</v>
      </c>
      <c r="K321" s="19">
        <f>IFERROR(__xludf.DUMMYFUNCTION("""COMPUTED_VALUE"""),0.03971)</f>
        <v>0.03971</v>
      </c>
      <c r="L321" s="19" t="str">
        <f>IFERROR(__xludf.DUMMYFUNCTION("""COMPUTED_VALUE"""),"-")</f>
        <v>-</v>
      </c>
      <c r="M321" s="19">
        <f>IFERROR(__xludf.DUMMYFUNCTION("""COMPUTED_VALUE"""),0.03987)</f>
        <v>0.03987</v>
      </c>
    </row>
    <row r="322">
      <c r="A322" s="12" t="s">
        <v>6412</v>
      </c>
      <c r="G322" s="19">
        <f>IFERROR(__xludf.DUMMYFUNCTION("SPLIT(A320, "" |"")"),318.0)</f>
        <v>318</v>
      </c>
      <c r="H322" s="19">
        <f>IFERROR(__xludf.DUMMYFUNCTION("""COMPUTED_VALUE"""),0.00217)</f>
        <v>0.00217</v>
      </c>
      <c r="I322" s="19" t="str">
        <f>IFERROR(__xludf.DUMMYFUNCTION("""COMPUTED_VALUE"""),"-")</f>
        <v>-</v>
      </c>
      <c r="J322" s="19">
        <f>IFERROR(__xludf.DUMMYFUNCTION("""COMPUTED_VALUE"""),0.00202)</f>
        <v>0.00202</v>
      </c>
      <c r="K322" s="19">
        <f>IFERROR(__xludf.DUMMYFUNCTION("""COMPUTED_VALUE"""),0.03741)</f>
        <v>0.03741</v>
      </c>
      <c r="L322" s="19" t="str">
        <f>IFERROR(__xludf.DUMMYFUNCTION("""COMPUTED_VALUE"""),"-")</f>
        <v>-</v>
      </c>
      <c r="M322" s="19">
        <f>IFERROR(__xludf.DUMMYFUNCTION("""COMPUTED_VALUE"""),0.03995)</f>
        <v>0.03995</v>
      </c>
    </row>
    <row r="323">
      <c r="A323" s="12" t="s">
        <v>6413</v>
      </c>
      <c r="G323" s="19">
        <f>IFERROR(__xludf.DUMMYFUNCTION("SPLIT(A321, "" |"")"),319.0)</f>
        <v>319</v>
      </c>
      <c r="H323" s="19">
        <f>IFERROR(__xludf.DUMMYFUNCTION("""COMPUTED_VALUE"""),0.00217)</f>
        <v>0.00217</v>
      </c>
      <c r="I323" s="19" t="str">
        <f>IFERROR(__xludf.DUMMYFUNCTION("""COMPUTED_VALUE"""),"-")</f>
        <v>-</v>
      </c>
      <c r="J323" s="19">
        <f>IFERROR(__xludf.DUMMYFUNCTION("""COMPUTED_VALUE"""),0.00197)</f>
        <v>0.00197</v>
      </c>
      <c r="K323" s="19">
        <f>IFERROR(__xludf.DUMMYFUNCTION("""COMPUTED_VALUE"""),0.03617)</f>
        <v>0.03617</v>
      </c>
      <c r="L323" s="19" t="str">
        <f>IFERROR(__xludf.DUMMYFUNCTION("""COMPUTED_VALUE"""),"-")</f>
        <v>-</v>
      </c>
      <c r="M323" s="19">
        <f>IFERROR(__xludf.DUMMYFUNCTION("""COMPUTED_VALUE"""),0.04002)</f>
        <v>0.04002</v>
      </c>
    </row>
    <row r="324">
      <c r="A324" s="12" t="s">
        <v>6414</v>
      </c>
      <c r="G324" s="19">
        <f>IFERROR(__xludf.DUMMYFUNCTION("SPLIT(A322, "" |"")"),320.0)</f>
        <v>320</v>
      </c>
      <c r="H324" s="19">
        <f>IFERROR(__xludf.DUMMYFUNCTION("""COMPUTED_VALUE"""),0.0023)</f>
        <v>0.0023</v>
      </c>
      <c r="I324" s="19" t="str">
        <f>IFERROR(__xludf.DUMMYFUNCTION("""COMPUTED_VALUE"""),"-")</f>
        <v>-</v>
      </c>
      <c r="J324" s="19">
        <f>IFERROR(__xludf.DUMMYFUNCTION("""COMPUTED_VALUE"""),0.00221)</f>
        <v>0.00221</v>
      </c>
      <c r="K324" s="19">
        <f>IFERROR(__xludf.DUMMYFUNCTION("""COMPUTED_VALUE"""),0.03984)</f>
        <v>0.03984</v>
      </c>
      <c r="L324" s="19" t="str">
        <f>IFERROR(__xludf.DUMMYFUNCTION("""COMPUTED_VALUE"""),"-")</f>
        <v>-</v>
      </c>
      <c r="M324" s="19">
        <f>IFERROR(__xludf.DUMMYFUNCTION("""COMPUTED_VALUE"""),0.04001)</f>
        <v>0.04001</v>
      </c>
    </row>
    <row r="325">
      <c r="A325" s="12" t="s">
        <v>6415</v>
      </c>
      <c r="G325" s="19">
        <f>IFERROR(__xludf.DUMMYFUNCTION("SPLIT(A323, "" |"")"),321.0)</f>
        <v>321</v>
      </c>
      <c r="H325" s="19">
        <f>IFERROR(__xludf.DUMMYFUNCTION("""COMPUTED_VALUE"""),0.0021)</f>
        <v>0.0021</v>
      </c>
      <c r="I325" s="19" t="str">
        <f>IFERROR(__xludf.DUMMYFUNCTION("""COMPUTED_VALUE"""),"-")</f>
        <v>-</v>
      </c>
      <c r="J325" s="19">
        <f>IFERROR(__xludf.DUMMYFUNCTION("""COMPUTED_VALUE"""),0.002)</f>
        <v>0.002</v>
      </c>
      <c r="K325" s="19">
        <f>IFERROR(__xludf.DUMMYFUNCTION("""COMPUTED_VALUE"""),0.04018)</f>
        <v>0.04018</v>
      </c>
      <c r="L325" s="19" t="str">
        <f>IFERROR(__xludf.DUMMYFUNCTION("""COMPUTED_VALUE"""),"-")</f>
        <v>-</v>
      </c>
      <c r="M325" s="19">
        <f>IFERROR(__xludf.DUMMYFUNCTION("""COMPUTED_VALUE"""),0.03991)</f>
        <v>0.03991</v>
      </c>
    </row>
    <row r="326">
      <c r="A326" s="12" t="s">
        <v>6416</v>
      </c>
      <c r="G326" s="19">
        <f>IFERROR(__xludf.DUMMYFUNCTION("SPLIT(A324, "" |"")"),322.0)</f>
        <v>322</v>
      </c>
      <c r="H326" s="19">
        <f>IFERROR(__xludf.DUMMYFUNCTION("""COMPUTED_VALUE"""),0.00213)</f>
        <v>0.00213</v>
      </c>
      <c r="I326" s="19" t="str">
        <f>IFERROR(__xludf.DUMMYFUNCTION("""COMPUTED_VALUE"""),"-")</f>
        <v>-</v>
      </c>
      <c r="J326" s="19">
        <f>IFERROR(__xludf.DUMMYFUNCTION("""COMPUTED_VALUE"""),0.00199)</f>
        <v>0.00199</v>
      </c>
      <c r="K326" s="19">
        <f>IFERROR(__xludf.DUMMYFUNCTION("""COMPUTED_VALUE"""),0.03972)</f>
        <v>0.03972</v>
      </c>
      <c r="L326" s="19" t="str">
        <f>IFERROR(__xludf.DUMMYFUNCTION("""COMPUTED_VALUE"""),"-")</f>
        <v>-</v>
      </c>
      <c r="M326" s="19">
        <f>IFERROR(__xludf.DUMMYFUNCTION("""COMPUTED_VALUE"""),0.03984)</f>
        <v>0.03984</v>
      </c>
    </row>
    <row r="327">
      <c r="A327" s="12" t="s">
        <v>6417</v>
      </c>
      <c r="G327" s="19">
        <f>IFERROR(__xludf.DUMMYFUNCTION("SPLIT(A325, "" |"")"),323.0)</f>
        <v>323</v>
      </c>
      <c r="H327" s="19">
        <f>IFERROR(__xludf.DUMMYFUNCTION("""COMPUTED_VALUE"""),0.0021)</f>
        <v>0.0021</v>
      </c>
      <c r="I327" s="19" t="str">
        <f>IFERROR(__xludf.DUMMYFUNCTION("""COMPUTED_VALUE"""),"-")</f>
        <v>-</v>
      </c>
      <c r="J327" s="19">
        <f>IFERROR(__xludf.DUMMYFUNCTION("""COMPUTED_VALUE"""),0.00198)</f>
        <v>0.00198</v>
      </c>
      <c r="K327" s="19">
        <f>IFERROR(__xludf.DUMMYFUNCTION("""COMPUTED_VALUE"""),0.03974)</f>
        <v>0.03974</v>
      </c>
      <c r="L327" s="19" t="str">
        <f>IFERROR(__xludf.DUMMYFUNCTION("""COMPUTED_VALUE"""),"-")</f>
        <v>-</v>
      </c>
      <c r="M327" s="19">
        <f>IFERROR(__xludf.DUMMYFUNCTION("""COMPUTED_VALUE"""),0.03836)</f>
        <v>0.03836</v>
      </c>
    </row>
    <row r="328">
      <c r="A328" s="12" t="s">
        <v>6418</v>
      </c>
      <c r="G328" s="19">
        <f>IFERROR(__xludf.DUMMYFUNCTION("SPLIT(A326, "" |"")"),324.0)</f>
        <v>324</v>
      </c>
      <c r="H328" s="19">
        <f>IFERROR(__xludf.DUMMYFUNCTION("""COMPUTED_VALUE"""),0.00213)</f>
        <v>0.00213</v>
      </c>
      <c r="I328" s="19" t="str">
        <f>IFERROR(__xludf.DUMMYFUNCTION("""COMPUTED_VALUE"""),"-")</f>
        <v>-</v>
      </c>
      <c r="J328" s="19">
        <f>IFERROR(__xludf.DUMMYFUNCTION("""COMPUTED_VALUE"""),0.00196)</f>
        <v>0.00196</v>
      </c>
      <c r="K328" s="19">
        <f>IFERROR(__xludf.DUMMYFUNCTION("""COMPUTED_VALUE"""),0.03971)</f>
        <v>0.03971</v>
      </c>
      <c r="L328" s="19" t="str">
        <f>IFERROR(__xludf.DUMMYFUNCTION("""COMPUTED_VALUE"""),"-")</f>
        <v>-</v>
      </c>
      <c r="M328" s="19">
        <f>IFERROR(__xludf.DUMMYFUNCTION("""COMPUTED_VALUE"""),0.03982)</f>
        <v>0.03982</v>
      </c>
    </row>
    <row r="329">
      <c r="A329" s="12" t="s">
        <v>6419</v>
      </c>
      <c r="G329" s="19">
        <f>IFERROR(__xludf.DUMMYFUNCTION("SPLIT(A327, "" |"")"),325.0)</f>
        <v>325</v>
      </c>
      <c r="H329" s="19">
        <f>IFERROR(__xludf.DUMMYFUNCTION("""COMPUTED_VALUE"""),0.00212)</f>
        <v>0.00212</v>
      </c>
      <c r="I329" s="19" t="str">
        <f>IFERROR(__xludf.DUMMYFUNCTION("""COMPUTED_VALUE"""),"-")</f>
        <v>-</v>
      </c>
      <c r="J329" s="19">
        <f>IFERROR(__xludf.DUMMYFUNCTION("""COMPUTED_VALUE"""),0.00207)</f>
        <v>0.00207</v>
      </c>
      <c r="K329" s="19">
        <f>IFERROR(__xludf.DUMMYFUNCTION("""COMPUTED_VALUE"""),0.0398)</f>
        <v>0.0398</v>
      </c>
      <c r="L329" s="19" t="str">
        <f>IFERROR(__xludf.DUMMYFUNCTION("""COMPUTED_VALUE"""),"-")</f>
        <v>-</v>
      </c>
      <c r="M329" s="19">
        <f>IFERROR(__xludf.DUMMYFUNCTION("""COMPUTED_VALUE"""),0.03968)</f>
        <v>0.03968</v>
      </c>
    </row>
    <row r="330">
      <c r="A330" s="12" t="s">
        <v>6420</v>
      </c>
      <c r="G330" s="19">
        <f>IFERROR(__xludf.DUMMYFUNCTION("SPLIT(A328, "" |"")"),326.0)</f>
        <v>326</v>
      </c>
      <c r="H330" s="19">
        <f>IFERROR(__xludf.DUMMYFUNCTION("""COMPUTED_VALUE"""),0.00217)</f>
        <v>0.00217</v>
      </c>
      <c r="I330" s="19" t="str">
        <f>IFERROR(__xludf.DUMMYFUNCTION("""COMPUTED_VALUE"""),"-")</f>
        <v>-</v>
      </c>
      <c r="J330" s="19">
        <f>IFERROR(__xludf.DUMMYFUNCTION("""COMPUTED_VALUE"""),0.00202)</f>
        <v>0.00202</v>
      </c>
      <c r="K330" s="19">
        <f>IFERROR(__xludf.DUMMYFUNCTION("""COMPUTED_VALUE"""),0.03973)</f>
        <v>0.03973</v>
      </c>
      <c r="L330" s="19" t="str">
        <f>IFERROR(__xludf.DUMMYFUNCTION("""COMPUTED_VALUE"""),"-")</f>
        <v>-</v>
      </c>
      <c r="M330" s="19">
        <f>IFERROR(__xludf.DUMMYFUNCTION("""COMPUTED_VALUE"""),0.03914)</f>
        <v>0.03914</v>
      </c>
    </row>
    <row r="331">
      <c r="A331" s="12" t="s">
        <v>6421</v>
      </c>
      <c r="G331" s="19">
        <f>IFERROR(__xludf.DUMMYFUNCTION("SPLIT(A329, "" |"")"),327.0)</f>
        <v>327</v>
      </c>
      <c r="H331" s="19">
        <f>IFERROR(__xludf.DUMMYFUNCTION("""COMPUTED_VALUE"""),0.00215)</f>
        <v>0.00215</v>
      </c>
      <c r="I331" s="19" t="str">
        <f>IFERROR(__xludf.DUMMYFUNCTION("""COMPUTED_VALUE"""),"-")</f>
        <v>-</v>
      </c>
      <c r="J331" s="19">
        <f>IFERROR(__xludf.DUMMYFUNCTION("""COMPUTED_VALUE"""),0.002)</f>
        <v>0.002</v>
      </c>
      <c r="K331" s="19">
        <f>IFERROR(__xludf.DUMMYFUNCTION("""COMPUTED_VALUE"""),0.0399)</f>
        <v>0.0399</v>
      </c>
      <c r="L331" s="19" t="str">
        <f>IFERROR(__xludf.DUMMYFUNCTION("""COMPUTED_VALUE"""),"-")</f>
        <v>-</v>
      </c>
      <c r="M331" s="19">
        <f>IFERROR(__xludf.DUMMYFUNCTION("""COMPUTED_VALUE"""),0.03992)</f>
        <v>0.03992</v>
      </c>
    </row>
    <row r="332">
      <c r="A332" s="12" t="s">
        <v>6422</v>
      </c>
      <c r="G332" s="19">
        <f>IFERROR(__xludf.DUMMYFUNCTION("SPLIT(A330, "" |"")"),328.0)</f>
        <v>328</v>
      </c>
      <c r="H332" s="19">
        <f>IFERROR(__xludf.DUMMYFUNCTION("""COMPUTED_VALUE"""),0.00212)</f>
        <v>0.00212</v>
      </c>
      <c r="I332" s="19" t="str">
        <f>IFERROR(__xludf.DUMMYFUNCTION("""COMPUTED_VALUE"""),"-")</f>
        <v>-</v>
      </c>
      <c r="J332" s="19">
        <f>IFERROR(__xludf.DUMMYFUNCTION("""COMPUTED_VALUE"""),0.00203)</f>
        <v>0.00203</v>
      </c>
      <c r="K332" s="19">
        <f>IFERROR(__xludf.DUMMYFUNCTION("""COMPUTED_VALUE"""),0.03678)</f>
        <v>0.03678</v>
      </c>
      <c r="L332" s="19" t="str">
        <f>IFERROR(__xludf.DUMMYFUNCTION("""COMPUTED_VALUE"""),"-")</f>
        <v>-</v>
      </c>
      <c r="M332" s="19">
        <f>IFERROR(__xludf.DUMMYFUNCTION("""COMPUTED_VALUE"""),0.03989)</f>
        <v>0.03989</v>
      </c>
    </row>
    <row r="333">
      <c r="A333" s="12" t="s">
        <v>6423</v>
      </c>
      <c r="G333" s="19">
        <f>IFERROR(__xludf.DUMMYFUNCTION("SPLIT(A331, "" |"")"),329.0)</f>
        <v>329</v>
      </c>
      <c r="H333" s="19">
        <f>IFERROR(__xludf.DUMMYFUNCTION("""COMPUTED_VALUE"""),0.0022)</f>
        <v>0.0022</v>
      </c>
      <c r="I333" s="19" t="str">
        <f>IFERROR(__xludf.DUMMYFUNCTION("""COMPUTED_VALUE"""),"-")</f>
        <v>-</v>
      </c>
      <c r="J333" s="19">
        <f>IFERROR(__xludf.DUMMYFUNCTION("""COMPUTED_VALUE"""),0.00185)</f>
        <v>0.00185</v>
      </c>
      <c r="K333" s="19">
        <f>IFERROR(__xludf.DUMMYFUNCTION("""COMPUTED_VALUE"""),0.04004)</f>
        <v>0.04004</v>
      </c>
      <c r="L333" s="19" t="str">
        <f>IFERROR(__xludf.DUMMYFUNCTION("""COMPUTED_VALUE"""),"-")</f>
        <v>-</v>
      </c>
      <c r="M333" s="19">
        <f>IFERROR(__xludf.DUMMYFUNCTION("""COMPUTED_VALUE"""),0.04024)</f>
        <v>0.04024</v>
      </c>
    </row>
    <row r="334">
      <c r="A334" s="12" t="s">
        <v>6424</v>
      </c>
      <c r="G334" s="19">
        <f>IFERROR(__xludf.DUMMYFUNCTION("SPLIT(A332, "" |"")"),330.0)</f>
        <v>330</v>
      </c>
      <c r="H334" s="19">
        <f>IFERROR(__xludf.DUMMYFUNCTION("""COMPUTED_VALUE"""),0.00215)</f>
        <v>0.00215</v>
      </c>
      <c r="I334" s="19" t="str">
        <f>IFERROR(__xludf.DUMMYFUNCTION("""COMPUTED_VALUE"""),"-")</f>
        <v>-</v>
      </c>
      <c r="J334" s="19">
        <f>IFERROR(__xludf.DUMMYFUNCTION("""COMPUTED_VALUE"""),0.00191)</f>
        <v>0.00191</v>
      </c>
      <c r="K334" s="19">
        <f>IFERROR(__xludf.DUMMYFUNCTION("""COMPUTED_VALUE"""),0.03962)</f>
        <v>0.03962</v>
      </c>
      <c r="L334" s="19" t="str">
        <f>IFERROR(__xludf.DUMMYFUNCTION("""COMPUTED_VALUE"""),"-")</f>
        <v>-</v>
      </c>
      <c r="M334" s="19">
        <f>IFERROR(__xludf.DUMMYFUNCTION("""COMPUTED_VALUE"""),0.03883)</f>
        <v>0.03883</v>
      </c>
    </row>
    <row r="335">
      <c r="A335" s="12" t="s">
        <v>6425</v>
      </c>
      <c r="G335" s="19">
        <f>IFERROR(__xludf.DUMMYFUNCTION("SPLIT(A333, "" |"")"),331.0)</f>
        <v>331</v>
      </c>
      <c r="H335" s="19">
        <f>IFERROR(__xludf.DUMMYFUNCTION("""COMPUTED_VALUE"""),0.00206)</f>
        <v>0.00206</v>
      </c>
      <c r="I335" s="19" t="str">
        <f>IFERROR(__xludf.DUMMYFUNCTION("""COMPUTED_VALUE"""),"-")</f>
        <v>-</v>
      </c>
      <c r="J335" s="19">
        <f>IFERROR(__xludf.DUMMYFUNCTION("""COMPUTED_VALUE"""),0.00189)</f>
        <v>0.00189</v>
      </c>
      <c r="K335" s="19">
        <f>IFERROR(__xludf.DUMMYFUNCTION("""COMPUTED_VALUE"""),0.03974)</f>
        <v>0.03974</v>
      </c>
      <c r="L335" s="19" t="str">
        <f>IFERROR(__xludf.DUMMYFUNCTION("""COMPUTED_VALUE"""),"-")</f>
        <v>-</v>
      </c>
      <c r="M335" s="19">
        <f>IFERROR(__xludf.DUMMYFUNCTION("""COMPUTED_VALUE"""),0.03764)</f>
        <v>0.03764</v>
      </c>
    </row>
    <row r="336">
      <c r="A336" s="12" t="s">
        <v>6426</v>
      </c>
      <c r="G336" s="19">
        <f>IFERROR(__xludf.DUMMYFUNCTION("SPLIT(A334, "" |"")"),332.0)</f>
        <v>332</v>
      </c>
      <c r="H336" s="19">
        <f>IFERROR(__xludf.DUMMYFUNCTION("""COMPUTED_VALUE"""),0.00209)</f>
        <v>0.00209</v>
      </c>
      <c r="I336" s="19" t="str">
        <f>IFERROR(__xludf.DUMMYFUNCTION("""COMPUTED_VALUE"""),"-")</f>
        <v>-</v>
      </c>
      <c r="J336" s="19">
        <f>IFERROR(__xludf.DUMMYFUNCTION("""COMPUTED_VALUE"""),0.00202)</f>
        <v>0.00202</v>
      </c>
      <c r="K336" s="19">
        <f>IFERROR(__xludf.DUMMYFUNCTION("""COMPUTED_VALUE"""),0.03977)</f>
        <v>0.03977</v>
      </c>
      <c r="L336" s="19" t="str">
        <f>IFERROR(__xludf.DUMMYFUNCTION("""COMPUTED_VALUE"""),"-")</f>
        <v>-</v>
      </c>
      <c r="M336" s="19">
        <f>IFERROR(__xludf.DUMMYFUNCTION("""COMPUTED_VALUE"""),0.03662)</f>
        <v>0.03662</v>
      </c>
    </row>
    <row r="337">
      <c r="A337" s="12" t="s">
        <v>6427</v>
      </c>
      <c r="G337" s="19">
        <f>IFERROR(__xludf.DUMMYFUNCTION("SPLIT(A335, "" |"")"),333.0)</f>
        <v>333</v>
      </c>
      <c r="H337" s="19">
        <f>IFERROR(__xludf.DUMMYFUNCTION("""COMPUTED_VALUE"""),0.00208)</f>
        <v>0.00208</v>
      </c>
      <c r="I337" s="19" t="str">
        <f>IFERROR(__xludf.DUMMYFUNCTION("""COMPUTED_VALUE"""),"-")</f>
        <v>-</v>
      </c>
      <c r="J337" s="19">
        <f>IFERROR(__xludf.DUMMYFUNCTION("""COMPUTED_VALUE"""),0.00184)</f>
        <v>0.00184</v>
      </c>
      <c r="K337" s="19">
        <f>IFERROR(__xludf.DUMMYFUNCTION("""COMPUTED_VALUE"""),0.03702)</f>
        <v>0.03702</v>
      </c>
      <c r="L337" s="19" t="str">
        <f>IFERROR(__xludf.DUMMYFUNCTION("""COMPUTED_VALUE"""),"-")</f>
        <v>-</v>
      </c>
      <c r="M337" s="19">
        <f>IFERROR(__xludf.DUMMYFUNCTION("""COMPUTED_VALUE"""),0.04032)</f>
        <v>0.04032</v>
      </c>
    </row>
    <row r="338">
      <c r="A338" s="12" t="s">
        <v>6428</v>
      </c>
      <c r="G338" s="19">
        <f>IFERROR(__xludf.DUMMYFUNCTION("SPLIT(A336, "" |"")"),334.0)</f>
        <v>334</v>
      </c>
      <c r="H338" s="19">
        <f>IFERROR(__xludf.DUMMYFUNCTION("""COMPUTED_VALUE"""),0.00211)</f>
        <v>0.00211</v>
      </c>
      <c r="I338" s="19" t="str">
        <f>IFERROR(__xludf.DUMMYFUNCTION("""COMPUTED_VALUE"""),"-")</f>
        <v>-</v>
      </c>
      <c r="J338" s="19">
        <f>IFERROR(__xludf.DUMMYFUNCTION("""COMPUTED_VALUE"""),0.0019)</f>
        <v>0.0019</v>
      </c>
      <c r="K338" s="19">
        <f>IFERROR(__xludf.DUMMYFUNCTION("""COMPUTED_VALUE"""),0.03997)</f>
        <v>0.03997</v>
      </c>
      <c r="L338" s="19" t="str">
        <f>IFERROR(__xludf.DUMMYFUNCTION("""COMPUTED_VALUE"""),"-")</f>
        <v>-</v>
      </c>
      <c r="M338" s="19">
        <f>IFERROR(__xludf.DUMMYFUNCTION("""COMPUTED_VALUE"""),0.03589)</f>
        <v>0.03589</v>
      </c>
    </row>
    <row r="339">
      <c r="A339" s="12" t="s">
        <v>6429</v>
      </c>
      <c r="G339" s="19">
        <f>IFERROR(__xludf.DUMMYFUNCTION("SPLIT(A337, "" |"")"),335.0)</f>
        <v>335</v>
      </c>
      <c r="H339" s="19">
        <f>IFERROR(__xludf.DUMMYFUNCTION("""COMPUTED_VALUE"""),0.00212)</f>
        <v>0.00212</v>
      </c>
      <c r="I339" s="19" t="str">
        <f>IFERROR(__xludf.DUMMYFUNCTION("""COMPUTED_VALUE"""),"-")</f>
        <v>-</v>
      </c>
      <c r="J339" s="19">
        <f>IFERROR(__xludf.DUMMYFUNCTION("""COMPUTED_VALUE"""),0.00203)</f>
        <v>0.00203</v>
      </c>
      <c r="K339" s="19">
        <f>IFERROR(__xludf.DUMMYFUNCTION("""COMPUTED_VALUE"""),0.03975)</f>
        <v>0.03975</v>
      </c>
      <c r="L339" s="19" t="str">
        <f>IFERROR(__xludf.DUMMYFUNCTION("""COMPUTED_VALUE"""),"-")</f>
        <v>-</v>
      </c>
      <c r="M339" s="19">
        <f>IFERROR(__xludf.DUMMYFUNCTION("""COMPUTED_VALUE"""),0.03979)</f>
        <v>0.03979</v>
      </c>
    </row>
    <row r="340">
      <c r="A340" s="12" t="s">
        <v>6430</v>
      </c>
      <c r="G340" s="19">
        <f>IFERROR(__xludf.DUMMYFUNCTION("SPLIT(A338, "" |"")"),336.0)</f>
        <v>336</v>
      </c>
      <c r="H340" s="19">
        <f>IFERROR(__xludf.DUMMYFUNCTION("""COMPUTED_VALUE"""),0.00216)</f>
        <v>0.00216</v>
      </c>
      <c r="I340" s="19" t="str">
        <f>IFERROR(__xludf.DUMMYFUNCTION("""COMPUTED_VALUE"""),"-")</f>
        <v>-</v>
      </c>
      <c r="J340" s="19">
        <f>IFERROR(__xludf.DUMMYFUNCTION("""COMPUTED_VALUE"""),0.00192)</f>
        <v>0.00192</v>
      </c>
      <c r="K340" s="19">
        <f>IFERROR(__xludf.DUMMYFUNCTION("""COMPUTED_VALUE"""),0.03969)</f>
        <v>0.03969</v>
      </c>
      <c r="L340" s="19" t="str">
        <f>IFERROR(__xludf.DUMMYFUNCTION("""COMPUTED_VALUE"""),"-")</f>
        <v>-</v>
      </c>
      <c r="M340" s="19">
        <f>IFERROR(__xludf.DUMMYFUNCTION("""COMPUTED_VALUE"""),0.03921)</f>
        <v>0.03921</v>
      </c>
    </row>
    <row r="341">
      <c r="A341" s="12" t="s">
        <v>6431</v>
      </c>
      <c r="G341" s="19">
        <f>IFERROR(__xludf.DUMMYFUNCTION("SPLIT(A339, "" |"")"),337.0)</f>
        <v>337</v>
      </c>
      <c r="H341" s="19">
        <f>IFERROR(__xludf.DUMMYFUNCTION("""COMPUTED_VALUE"""),0.0021)</f>
        <v>0.0021</v>
      </c>
      <c r="I341" s="19" t="str">
        <f>IFERROR(__xludf.DUMMYFUNCTION("""COMPUTED_VALUE"""),"-")</f>
        <v>-</v>
      </c>
      <c r="J341" s="19">
        <f>IFERROR(__xludf.DUMMYFUNCTION("""COMPUTED_VALUE"""),0.00199)</f>
        <v>0.00199</v>
      </c>
      <c r="K341" s="19">
        <f>IFERROR(__xludf.DUMMYFUNCTION("""COMPUTED_VALUE"""),0.03969)</f>
        <v>0.03969</v>
      </c>
      <c r="L341" s="19" t="str">
        <f>IFERROR(__xludf.DUMMYFUNCTION("""COMPUTED_VALUE"""),"-")</f>
        <v>-</v>
      </c>
      <c r="M341" s="19">
        <f>IFERROR(__xludf.DUMMYFUNCTION("""COMPUTED_VALUE"""),0.03992)</f>
        <v>0.03992</v>
      </c>
    </row>
    <row r="342">
      <c r="A342" s="12" t="s">
        <v>6432</v>
      </c>
      <c r="G342" s="19">
        <f>IFERROR(__xludf.DUMMYFUNCTION("SPLIT(A340, "" |"")"),338.0)</f>
        <v>338</v>
      </c>
      <c r="H342" s="19">
        <f>IFERROR(__xludf.DUMMYFUNCTION("""COMPUTED_VALUE"""),0.0021)</f>
        <v>0.0021</v>
      </c>
      <c r="I342" s="19" t="str">
        <f>IFERROR(__xludf.DUMMYFUNCTION("""COMPUTED_VALUE"""),"-")</f>
        <v>-</v>
      </c>
      <c r="J342" s="19">
        <f>IFERROR(__xludf.DUMMYFUNCTION("""COMPUTED_VALUE"""),0.00203)</f>
        <v>0.00203</v>
      </c>
      <c r="K342" s="19">
        <f>IFERROR(__xludf.DUMMYFUNCTION("""COMPUTED_VALUE"""),0.03808)</f>
        <v>0.03808</v>
      </c>
      <c r="L342" s="19" t="str">
        <f>IFERROR(__xludf.DUMMYFUNCTION("""COMPUTED_VALUE"""),"-")</f>
        <v>-</v>
      </c>
      <c r="M342" s="19">
        <f>IFERROR(__xludf.DUMMYFUNCTION("""COMPUTED_VALUE"""),0.03688)</f>
        <v>0.03688</v>
      </c>
    </row>
    <row r="343">
      <c r="A343" s="12" t="s">
        <v>6433</v>
      </c>
      <c r="G343" s="19">
        <f>IFERROR(__xludf.DUMMYFUNCTION("SPLIT(A341, "" |"")"),339.0)</f>
        <v>339</v>
      </c>
      <c r="H343" s="19">
        <f>IFERROR(__xludf.DUMMYFUNCTION("""COMPUTED_VALUE"""),0.00193)</f>
        <v>0.00193</v>
      </c>
      <c r="I343" s="19" t="str">
        <f>IFERROR(__xludf.DUMMYFUNCTION("""COMPUTED_VALUE"""),"-")</f>
        <v>-</v>
      </c>
      <c r="J343" s="19">
        <f>IFERROR(__xludf.DUMMYFUNCTION("""COMPUTED_VALUE"""),0.00206)</f>
        <v>0.00206</v>
      </c>
      <c r="K343" s="19">
        <f>IFERROR(__xludf.DUMMYFUNCTION("""COMPUTED_VALUE"""),0.0398)</f>
        <v>0.0398</v>
      </c>
      <c r="L343" s="19" t="str">
        <f>IFERROR(__xludf.DUMMYFUNCTION("""COMPUTED_VALUE"""),"-")</f>
        <v>-</v>
      </c>
      <c r="M343" s="19">
        <f>IFERROR(__xludf.DUMMYFUNCTION("""COMPUTED_VALUE"""),0.03898)</f>
        <v>0.03898</v>
      </c>
    </row>
    <row r="344">
      <c r="A344" s="12" t="s">
        <v>6434</v>
      </c>
      <c r="G344" s="19">
        <f>IFERROR(__xludf.DUMMYFUNCTION("SPLIT(A342, "" |"")"),340.0)</f>
        <v>340</v>
      </c>
      <c r="H344" s="19">
        <f>IFERROR(__xludf.DUMMYFUNCTION("""COMPUTED_VALUE"""),0.00225)</f>
        <v>0.00225</v>
      </c>
      <c r="I344" s="19" t="str">
        <f>IFERROR(__xludf.DUMMYFUNCTION("""COMPUTED_VALUE"""),"-")</f>
        <v>-</v>
      </c>
      <c r="J344" s="19">
        <f>IFERROR(__xludf.DUMMYFUNCTION("""COMPUTED_VALUE"""),0.00202)</f>
        <v>0.00202</v>
      </c>
      <c r="K344" s="19">
        <f>IFERROR(__xludf.DUMMYFUNCTION("""COMPUTED_VALUE"""),0.03767)</f>
        <v>0.03767</v>
      </c>
      <c r="L344" s="19" t="str">
        <f>IFERROR(__xludf.DUMMYFUNCTION("""COMPUTED_VALUE"""),"-")</f>
        <v>-</v>
      </c>
      <c r="M344" s="19">
        <f>IFERROR(__xludf.DUMMYFUNCTION("""COMPUTED_VALUE"""),0.03984)</f>
        <v>0.03984</v>
      </c>
    </row>
    <row r="345">
      <c r="A345" s="12" t="s">
        <v>6435</v>
      </c>
      <c r="G345" s="19">
        <f>IFERROR(__xludf.DUMMYFUNCTION("SPLIT(A343, "" |"")"),341.0)</f>
        <v>341</v>
      </c>
      <c r="H345" s="19">
        <f>IFERROR(__xludf.DUMMYFUNCTION("""COMPUTED_VALUE"""),0.00194)</f>
        <v>0.00194</v>
      </c>
      <c r="I345" s="19" t="str">
        <f>IFERROR(__xludf.DUMMYFUNCTION("""COMPUTED_VALUE"""),"-")</f>
        <v>-</v>
      </c>
      <c r="J345" s="19">
        <f>IFERROR(__xludf.DUMMYFUNCTION("""COMPUTED_VALUE"""),0.00215)</f>
        <v>0.00215</v>
      </c>
      <c r="K345" s="19">
        <f>IFERROR(__xludf.DUMMYFUNCTION("""COMPUTED_VALUE"""),0.03961)</f>
        <v>0.03961</v>
      </c>
      <c r="L345" s="19" t="str">
        <f>IFERROR(__xludf.DUMMYFUNCTION("""COMPUTED_VALUE"""),"-")</f>
        <v>-</v>
      </c>
      <c r="M345" s="19">
        <f>IFERROR(__xludf.DUMMYFUNCTION("""COMPUTED_VALUE"""),0.03986)</f>
        <v>0.03986</v>
      </c>
    </row>
    <row r="346">
      <c r="A346" s="12" t="s">
        <v>6436</v>
      </c>
      <c r="G346" s="19">
        <f>IFERROR(__xludf.DUMMYFUNCTION("SPLIT(A344, "" |"")"),342.0)</f>
        <v>342</v>
      </c>
      <c r="H346" s="19">
        <f>IFERROR(__xludf.DUMMYFUNCTION("""COMPUTED_VALUE"""),0.00215)</f>
        <v>0.00215</v>
      </c>
      <c r="I346" s="19" t="str">
        <f>IFERROR(__xludf.DUMMYFUNCTION("""COMPUTED_VALUE"""),"-")</f>
        <v>-</v>
      </c>
      <c r="J346" s="19">
        <f>IFERROR(__xludf.DUMMYFUNCTION("""COMPUTED_VALUE"""),0.002)</f>
        <v>0.002</v>
      </c>
      <c r="K346" s="19">
        <f>IFERROR(__xludf.DUMMYFUNCTION("""COMPUTED_VALUE"""),0.03973)</f>
        <v>0.03973</v>
      </c>
      <c r="L346" s="19" t="str">
        <f>IFERROR(__xludf.DUMMYFUNCTION("""COMPUTED_VALUE"""),"-")</f>
        <v>-</v>
      </c>
      <c r="M346" s="19">
        <f>IFERROR(__xludf.DUMMYFUNCTION("""COMPUTED_VALUE"""),0.03986)</f>
        <v>0.03986</v>
      </c>
    </row>
    <row r="347">
      <c r="A347" s="12" t="s">
        <v>6437</v>
      </c>
      <c r="G347" s="19">
        <f>IFERROR(__xludf.DUMMYFUNCTION("SPLIT(A345, "" |"")"),343.0)</f>
        <v>343</v>
      </c>
      <c r="H347" s="19">
        <f>IFERROR(__xludf.DUMMYFUNCTION("""COMPUTED_VALUE"""),0.00214)</f>
        <v>0.00214</v>
      </c>
      <c r="I347" s="19" t="str">
        <f>IFERROR(__xludf.DUMMYFUNCTION("""COMPUTED_VALUE"""),"-")</f>
        <v>-</v>
      </c>
      <c r="J347" s="19">
        <f>IFERROR(__xludf.DUMMYFUNCTION("""COMPUTED_VALUE"""),0.00203)</f>
        <v>0.00203</v>
      </c>
      <c r="K347" s="19">
        <f>IFERROR(__xludf.DUMMYFUNCTION("""COMPUTED_VALUE"""),0.03974)</f>
        <v>0.03974</v>
      </c>
      <c r="L347" s="19" t="str">
        <f>IFERROR(__xludf.DUMMYFUNCTION("""COMPUTED_VALUE"""),"-")</f>
        <v>-</v>
      </c>
      <c r="M347" s="19">
        <f>IFERROR(__xludf.DUMMYFUNCTION("""COMPUTED_VALUE"""),0.0399)</f>
        <v>0.0399</v>
      </c>
    </row>
    <row r="348">
      <c r="A348" s="12" t="s">
        <v>6438</v>
      </c>
      <c r="G348" s="19">
        <f>IFERROR(__xludf.DUMMYFUNCTION("SPLIT(A346, "" |"")"),344.0)</f>
        <v>344</v>
      </c>
      <c r="H348" s="19">
        <f>IFERROR(__xludf.DUMMYFUNCTION("""COMPUTED_VALUE"""),0.00207)</f>
        <v>0.00207</v>
      </c>
      <c r="I348" s="19" t="str">
        <f>IFERROR(__xludf.DUMMYFUNCTION("""COMPUTED_VALUE"""),"-")</f>
        <v>-</v>
      </c>
      <c r="J348" s="19">
        <f>IFERROR(__xludf.DUMMYFUNCTION("""COMPUTED_VALUE"""),0.00201)</f>
        <v>0.00201</v>
      </c>
      <c r="K348" s="19">
        <f>IFERROR(__xludf.DUMMYFUNCTION("""COMPUTED_VALUE"""),0.03975)</f>
        <v>0.03975</v>
      </c>
      <c r="L348" s="19" t="str">
        <f>IFERROR(__xludf.DUMMYFUNCTION("""COMPUTED_VALUE"""),"-")</f>
        <v>-</v>
      </c>
      <c r="M348" s="19">
        <f>IFERROR(__xludf.DUMMYFUNCTION("""COMPUTED_VALUE"""),0.03972)</f>
        <v>0.03972</v>
      </c>
    </row>
    <row r="349">
      <c r="A349" s="12" t="s">
        <v>6439</v>
      </c>
      <c r="G349" s="19">
        <f>IFERROR(__xludf.DUMMYFUNCTION("SPLIT(A347, "" |"")"),345.0)</f>
        <v>345</v>
      </c>
      <c r="H349" s="19">
        <f>IFERROR(__xludf.DUMMYFUNCTION("""COMPUTED_VALUE"""),0.00205)</f>
        <v>0.00205</v>
      </c>
      <c r="I349" s="19" t="str">
        <f>IFERROR(__xludf.DUMMYFUNCTION("""COMPUTED_VALUE"""),"-")</f>
        <v>-</v>
      </c>
      <c r="J349" s="19">
        <f>IFERROR(__xludf.DUMMYFUNCTION("""COMPUTED_VALUE"""),0.00189)</f>
        <v>0.00189</v>
      </c>
      <c r="K349" s="19">
        <f>IFERROR(__xludf.DUMMYFUNCTION("""COMPUTED_VALUE"""),0.0396)</f>
        <v>0.0396</v>
      </c>
      <c r="L349" s="19" t="str">
        <f>IFERROR(__xludf.DUMMYFUNCTION("""COMPUTED_VALUE"""),"-")</f>
        <v>-</v>
      </c>
      <c r="M349" s="19">
        <f>IFERROR(__xludf.DUMMYFUNCTION("""COMPUTED_VALUE"""),0.03969)</f>
        <v>0.03969</v>
      </c>
    </row>
    <row r="350">
      <c r="A350" s="12" t="s">
        <v>6440</v>
      </c>
      <c r="G350" s="19">
        <f>IFERROR(__xludf.DUMMYFUNCTION("SPLIT(A348, "" |"")"),346.0)</f>
        <v>346</v>
      </c>
      <c r="H350" s="19">
        <f>IFERROR(__xludf.DUMMYFUNCTION("""COMPUTED_VALUE"""),0.0021)</f>
        <v>0.0021</v>
      </c>
      <c r="I350" s="19" t="str">
        <f>IFERROR(__xludf.DUMMYFUNCTION("""COMPUTED_VALUE"""),"-")</f>
        <v>-</v>
      </c>
      <c r="J350" s="19">
        <f>IFERROR(__xludf.DUMMYFUNCTION("""COMPUTED_VALUE"""),0.00201)</f>
        <v>0.00201</v>
      </c>
      <c r="K350" s="19">
        <f>IFERROR(__xludf.DUMMYFUNCTION("""COMPUTED_VALUE"""),0.03778)</f>
        <v>0.03778</v>
      </c>
      <c r="L350" s="19" t="str">
        <f>IFERROR(__xludf.DUMMYFUNCTION("""COMPUTED_VALUE"""),"-")</f>
        <v>-</v>
      </c>
      <c r="M350" s="19">
        <f>IFERROR(__xludf.DUMMYFUNCTION("""COMPUTED_VALUE"""),0.0401)</f>
        <v>0.0401</v>
      </c>
    </row>
    <row r="351">
      <c r="A351" s="12" t="s">
        <v>6441</v>
      </c>
      <c r="G351" s="19">
        <f>IFERROR(__xludf.DUMMYFUNCTION("SPLIT(A349, "" |"")"),347.0)</f>
        <v>347</v>
      </c>
      <c r="H351" s="19">
        <f>IFERROR(__xludf.DUMMYFUNCTION("""COMPUTED_VALUE"""),0.00216)</f>
        <v>0.00216</v>
      </c>
      <c r="I351" s="19" t="str">
        <f>IFERROR(__xludf.DUMMYFUNCTION("""COMPUTED_VALUE"""),"-")</f>
        <v>-</v>
      </c>
      <c r="J351" s="19">
        <f>IFERROR(__xludf.DUMMYFUNCTION("""COMPUTED_VALUE"""),0.00185)</f>
        <v>0.00185</v>
      </c>
      <c r="K351" s="19">
        <f>IFERROR(__xludf.DUMMYFUNCTION("""COMPUTED_VALUE"""),0.03924)</f>
        <v>0.03924</v>
      </c>
      <c r="L351" s="19" t="str">
        <f>IFERROR(__xludf.DUMMYFUNCTION("""COMPUTED_VALUE"""),"-")</f>
        <v>-</v>
      </c>
      <c r="M351" s="19">
        <f>IFERROR(__xludf.DUMMYFUNCTION("""COMPUTED_VALUE"""),0.04002)</f>
        <v>0.04002</v>
      </c>
    </row>
    <row r="352">
      <c r="A352" s="12" t="s">
        <v>6442</v>
      </c>
      <c r="G352" s="19">
        <f>IFERROR(__xludf.DUMMYFUNCTION("SPLIT(A350, "" |"")"),348.0)</f>
        <v>348</v>
      </c>
      <c r="H352" s="19">
        <f>IFERROR(__xludf.DUMMYFUNCTION("""COMPUTED_VALUE"""),0.00215)</f>
        <v>0.00215</v>
      </c>
      <c r="I352" s="19" t="str">
        <f>IFERROR(__xludf.DUMMYFUNCTION("""COMPUTED_VALUE"""),"-")</f>
        <v>-</v>
      </c>
      <c r="J352" s="19">
        <f>IFERROR(__xludf.DUMMYFUNCTION("""COMPUTED_VALUE"""),0.00209)</f>
        <v>0.00209</v>
      </c>
      <c r="K352" s="19">
        <f>IFERROR(__xludf.DUMMYFUNCTION("""COMPUTED_VALUE"""),0.03888)</f>
        <v>0.03888</v>
      </c>
      <c r="L352" s="19" t="str">
        <f>IFERROR(__xludf.DUMMYFUNCTION("""COMPUTED_VALUE"""),"-")</f>
        <v>-</v>
      </c>
      <c r="M352" s="19">
        <f>IFERROR(__xludf.DUMMYFUNCTION("""COMPUTED_VALUE"""),0.03674)</f>
        <v>0.03674</v>
      </c>
    </row>
    <row r="353">
      <c r="A353" s="12" t="s">
        <v>6443</v>
      </c>
      <c r="G353" s="19">
        <f>IFERROR(__xludf.DUMMYFUNCTION("SPLIT(A351, "" |"")"),349.0)</f>
        <v>349</v>
      </c>
      <c r="H353" s="19">
        <f>IFERROR(__xludf.DUMMYFUNCTION("""COMPUTED_VALUE"""),0.00201)</f>
        <v>0.00201</v>
      </c>
      <c r="I353" s="19" t="str">
        <f>IFERROR(__xludf.DUMMYFUNCTION("""COMPUTED_VALUE"""),"-")</f>
        <v>-</v>
      </c>
      <c r="J353" s="19">
        <f>IFERROR(__xludf.DUMMYFUNCTION("""COMPUTED_VALUE"""),0.00212)</f>
        <v>0.00212</v>
      </c>
      <c r="K353" s="19">
        <f>IFERROR(__xludf.DUMMYFUNCTION("""COMPUTED_VALUE"""),0.03786)</f>
        <v>0.03786</v>
      </c>
      <c r="L353" s="19" t="str">
        <f>IFERROR(__xludf.DUMMYFUNCTION("""COMPUTED_VALUE"""),"-")</f>
        <v>-</v>
      </c>
      <c r="M353" s="19">
        <f>IFERROR(__xludf.DUMMYFUNCTION("""COMPUTED_VALUE"""),0.03989)</f>
        <v>0.03989</v>
      </c>
    </row>
    <row r="354">
      <c r="A354" s="12" t="s">
        <v>6444</v>
      </c>
      <c r="G354" s="19">
        <f>IFERROR(__xludf.DUMMYFUNCTION("SPLIT(A352, "" |"")"),350.0)</f>
        <v>350</v>
      </c>
      <c r="H354" s="19">
        <f>IFERROR(__xludf.DUMMYFUNCTION("""COMPUTED_VALUE"""),0.00216)</f>
        <v>0.00216</v>
      </c>
      <c r="I354" s="19" t="str">
        <f>IFERROR(__xludf.DUMMYFUNCTION("""COMPUTED_VALUE"""),"-")</f>
        <v>-</v>
      </c>
      <c r="J354" s="19">
        <f>IFERROR(__xludf.DUMMYFUNCTION("""COMPUTED_VALUE"""),0.0021)</f>
        <v>0.0021</v>
      </c>
      <c r="K354" s="19">
        <f>IFERROR(__xludf.DUMMYFUNCTION("""COMPUTED_VALUE"""),0.03881)</f>
        <v>0.03881</v>
      </c>
      <c r="L354" s="19" t="str">
        <f>IFERROR(__xludf.DUMMYFUNCTION("""COMPUTED_VALUE"""),"-")</f>
        <v>-</v>
      </c>
      <c r="M354" s="19">
        <f>IFERROR(__xludf.DUMMYFUNCTION("""COMPUTED_VALUE"""),0.0399)</f>
        <v>0.0399</v>
      </c>
    </row>
    <row r="355">
      <c r="A355" s="12" t="s">
        <v>6445</v>
      </c>
      <c r="G355" s="19">
        <f>IFERROR(__xludf.DUMMYFUNCTION("SPLIT(A353, "" |"")"),351.0)</f>
        <v>351</v>
      </c>
      <c r="H355" s="19">
        <f>IFERROR(__xludf.DUMMYFUNCTION("""COMPUTED_VALUE"""),0.00214)</f>
        <v>0.00214</v>
      </c>
      <c r="I355" s="19" t="str">
        <f>IFERROR(__xludf.DUMMYFUNCTION("""COMPUTED_VALUE"""),"-")</f>
        <v>-</v>
      </c>
      <c r="J355" s="19">
        <f>IFERROR(__xludf.DUMMYFUNCTION("""COMPUTED_VALUE"""),0.00187)</f>
        <v>0.00187</v>
      </c>
      <c r="K355" s="19">
        <f>IFERROR(__xludf.DUMMYFUNCTION("""COMPUTED_VALUE"""),0.03962)</f>
        <v>0.03962</v>
      </c>
      <c r="L355" s="19" t="str">
        <f>IFERROR(__xludf.DUMMYFUNCTION("""COMPUTED_VALUE"""),"-")</f>
        <v>-</v>
      </c>
      <c r="M355" s="19">
        <f>IFERROR(__xludf.DUMMYFUNCTION("""COMPUTED_VALUE"""),0.04019)</f>
        <v>0.04019</v>
      </c>
    </row>
    <row r="356">
      <c r="A356" s="12" t="s">
        <v>6446</v>
      </c>
      <c r="G356" s="19">
        <f>IFERROR(__xludf.DUMMYFUNCTION("SPLIT(A354, "" |"")"),352.0)</f>
        <v>352</v>
      </c>
      <c r="H356" s="19">
        <f>IFERROR(__xludf.DUMMYFUNCTION("""COMPUTED_VALUE"""),0.00215)</f>
        <v>0.00215</v>
      </c>
      <c r="I356" s="19" t="str">
        <f>IFERROR(__xludf.DUMMYFUNCTION("""COMPUTED_VALUE"""),"-")</f>
        <v>-</v>
      </c>
      <c r="J356" s="19">
        <f>IFERROR(__xludf.DUMMYFUNCTION("""COMPUTED_VALUE"""),0.002)</f>
        <v>0.002</v>
      </c>
      <c r="K356" s="19">
        <f>IFERROR(__xludf.DUMMYFUNCTION("""COMPUTED_VALUE"""),0.03975)</f>
        <v>0.03975</v>
      </c>
      <c r="L356" s="19" t="str">
        <f>IFERROR(__xludf.DUMMYFUNCTION("""COMPUTED_VALUE"""),"-")</f>
        <v>-</v>
      </c>
      <c r="M356" s="19">
        <f>IFERROR(__xludf.DUMMYFUNCTION("""COMPUTED_VALUE"""),0.03833)</f>
        <v>0.03833</v>
      </c>
    </row>
    <row r="357">
      <c r="A357" s="12" t="s">
        <v>6447</v>
      </c>
      <c r="G357" s="19">
        <f>IFERROR(__xludf.DUMMYFUNCTION("SPLIT(A355, "" |"")"),353.0)</f>
        <v>353</v>
      </c>
      <c r="H357" s="19">
        <f>IFERROR(__xludf.DUMMYFUNCTION("""COMPUTED_VALUE"""),0.00227)</f>
        <v>0.00227</v>
      </c>
      <c r="I357" s="19" t="str">
        <f>IFERROR(__xludf.DUMMYFUNCTION("""COMPUTED_VALUE"""),"-")</f>
        <v>-</v>
      </c>
      <c r="J357" s="19">
        <f>IFERROR(__xludf.DUMMYFUNCTION("""COMPUTED_VALUE"""),0.00193)</f>
        <v>0.00193</v>
      </c>
      <c r="K357" s="19">
        <f>IFERROR(__xludf.DUMMYFUNCTION("""COMPUTED_VALUE"""),0.03971)</f>
        <v>0.03971</v>
      </c>
      <c r="L357" s="19" t="str">
        <f>IFERROR(__xludf.DUMMYFUNCTION("""COMPUTED_VALUE"""),"-")</f>
        <v>-</v>
      </c>
      <c r="M357" s="19">
        <f>IFERROR(__xludf.DUMMYFUNCTION("""COMPUTED_VALUE"""),0.04026)</f>
        <v>0.04026</v>
      </c>
    </row>
    <row r="358">
      <c r="A358" s="12" t="s">
        <v>6448</v>
      </c>
      <c r="G358" s="19">
        <f>IFERROR(__xludf.DUMMYFUNCTION("SPLIT(A356, "" |"")"),354.0)</f>
        <v>354</v>
      </c>
      <c r="H358" s="19">
        <f>IFERROR(__xludf.DUMMYFUNCTION("""COMPUTED_VALUE"""),0.00214)</f>
        <v>0.00214</v>
      </c>
      <c r="I358" s="19" t="str">
        <f>IFERROR(__xludf.DUMMYFUNCTION("""COMPUTED_VALUE"""),"-")</f>
        <v>-</v>
      </c>
      <c r="J358" s="19">
        <f>IFERROR(__xludf.DUMMYFUNCTION("""COMPUTED_VALUE"""),0.00201)</f>
        <v>0.00201</v>
      </c>
      <c r="K358" s="19">
        <f>IFERROR(__xludf.DUMMYFUNCTION("""COMPUTED_VALUE"""),0.04021)</f>
        <v>0.04021</v>
      </c>
      <c r="L358" s="19" t="str">
        <f>IFERROR(__xludf.DUMMYFUNCTION("""COMPUTED_VALUE"""),"-")</f>
        <v>-</v>
      </c>
      <c r="M358" s="19">
        <f>IFERROR(__xludf.DUMMYFUNCTION("""COMPUTED_VALUE"""),0.03699)</f>
        <v>0.03699</v>
      </c>
    </row>
    <row r="359">
      <c r="A359" s="12" t="s">
        <v>6449</v>
      </c>
      <c r="G359" s="19">
        <f>IFERROR(__xludf.DUMMYFUNCTION("SPLIT(A357, "" |"")"),355.0)</f>
        <v>355</v>
      </c>
      <c r="H359" s="19">
        <f>IFERROR(__xludf.DUMMYFUNCTION("""COMPUTED_VALUE"""),0.0022)</f>
        <v>0.0022</v>
      </c>
      <c r="I359" s="19" t="str">
        <f>IFERROR(__xludf.DUMMYFUNCTION("""COMPUTED_VALUE"""),"-")</f>
        <v>-</v>
      </c>
      <c r="J359" s="19">
        <f>IFERROR(__xludf.DUMMYFUNCTION("""COMPUTED_VALUE"""),0.00201)</f>
        <v>0.00201</v>
      </c>
      <c r="K359" s="19">
        <f>IFERROR(__xludf.DUMMYFUNCTION("""COMPUTED_VALUE"""),0.03858)</f>
        <v>0.03858</v>
      </c>
      <c r="L359" s="19" t="str">
        <f>IFERROR(__xludf.DUMMYFUNCTION("""COMPUTED_VALUE"""),"-")</f>
        <v>-</v>
      </c>
      <c r="M359" s="19">
        <f>IFERROR(__xludf.DUMMYFUNCTION("""COMPUTED_VALUE"""),0.03974)</f>
        <v>0.03974</v>
      </c>
    </row>
    <row r="360">
      <c r="A360" s="12" t="s">
        <v>6450</v>
      </c>
      <c r="G360" s="19">
        <f>IFERROR(__xludf.DUMMYFUNCTION("SPLIT(A358, "" |"")"),356.0)</f>
        <v>356</v>
      </c>
      <c r="H360" s="19">
        <f>IFERROR(__xludf.DUMMYFUNCTION("""COMPUTED_VALUE"""),0.00206)</f>
        <v>0.00206</v>
      </c>
      <c r="I360" s="19" t="str">
        <f>IFERROR(__xludf.DUMMYFUNCTION("""COMPUTED_VALUE"""),"-")</f>
        <v>-</v>
      </c>
      <c r="J360" s="19">
        <f>IFERROR(__xludf.DUMMYFUNCTION("""COMPUTED_VALUE"""),0.00199)</f>
        <v>0.00199</v>
      </c>
      <c r="K360" s="19">
        <f>IFERROR(__xludf.DUMMYFUNCTION("""COMPUTED_VALUE"""),0.03855)</f>
        <v>0.03855</v>
      </c>
      <c r="L360" s="19" t="str">
        <f>IFERROR(__xludf.DUMMYFUNCTION("""COMPUTED_VALUE"""),"-")</f>
        <v>-</v>
      </c>
      <c r="M360" s="19">
        <f>IFERROR(__xludf.DUMMYFUNCTION("""COMPUTED_VALUE"""),0.03987)</f>
        <v>0.03987</v>
      </c>
    </row>
    <row r="361">
      <c r="A361" s="12" t="s">
        <v>6451</v>
      </c>
      <c r="G361" s="19">
        <f>IFERROR(__xludf.DUMMYFUNCTION("SPLIT(A359, "" |"")"),357.0)</f>
        <v>357</v>
      </c>
      <c r="H361" s="19">
        <f>IFERROR(__xludf.DUMMYFUNCTION("""COMPUTED_VALUE"""),0.00209)</f>
        <v>0.00209</v>
      </c>
      <c r="I361" s="19" t="str">
        <f>IFERROR(__xludf.DUMMYFUNCTION("""COMPUTED_VALUE"""),"-")</f>
        <v>-</v>
      </c>
      <c r="J361" s="19">
        <f>IFERROR(__xludf.DUMMYFUNCTION("""COMPUTED_VALUE"""),0.00199)</f>
        <v>0.00199</v>
      </c>
      <c r="K361" s="19">
        <f>IFERROR(__xludf.DUMMYFUNCTION("""COMPUTED_VALUE"""),0.03974)</f>
        <v>0.03974</v>
      </c>
      <c r="L361" s="19" t="str">
        <f>IFERROR(__xludf.DUMMYFUNCTION("""COMPUTED_VALUE"""),"-")</f>
        <v>-</v>
      </c>
      <c r="M361" s="19">
        <f>IFERROR(__xludf.DUMMYFUNCTION("""COMPUTED_VALUE"""),0.03982)</f>
        <v>0.03982</v>
      </c>
    </row>
    <row r="362">
      <c r="A362" s="12" t="s">
        <v>6452</v>
      </c>
      <c r="G362" s="19">
        <f>IFERROR(__xludf.DUMMYFUNCTION("SPLIT(A360, "" |"")"),358.0)</f>
        <v>358</v>
      </c>
      <c r="H362" s="19">
        <f>IFERROR(__xludf.DUMMYFUNCTION("""COMPUTED_VALUE"""),0.00211)</f>
        <v>0.00211</v>
      </c>
      <c r="I362" s="19" t="str">
        <f>IFERROR(__xludf.DUMMYFUNCTION("""COMPUTED_VALUE"""),"-")</f>
        <v>-</v>
      </c>
      <c r="J362" s="19">
        <f>IFERROR(__xludf.DUMMYFUNCTION("""COMPUTED_VALUE"""),0.00198)</f>
        <v>0.00198</v>
      </c>
      <c r="K362" s="19">
        <f>IFERROR(__xludf.DUMMYFUNCTION("""COMPUTED_VALUE"""),0.03968)</f>
        <v>0.03968</v>
      </c>
      <c r="L362" s="19" t="str">
        <f>IFERROR(__xludf.DUMMYFUNCTION("""COMPUTED_VALUE"""),"-")</f>
        <v>-</v>
      </c>
      <c r="M362" s="19">
        <f>IFERROR(__xludf.DUMMYFUNCTION("""COMPUTED_VALUE"""),0.03965)</f>
        <v>0.03965</v>
      </c>
    </row>
    <row r="363">
      <c r="A363" s="12" t="s">
        <v>6453</v>
      </c>
      <c r="G363" s="19">
        <f>IFERROR(__xludf.DUMMYFUNCTION("SPLIT(A361, "" |"")"),359.0)</f>
        <v>359</v>
      </c>
      <c r="H363" s="19">
        <f>IFERROR(__xludf.DUMMYFUNCTION("""COMPUTED_VALUE"""),0.00202)</f>
        <v>0.00202</v>
      </c>
      <c r="I363" s="19" t="str">
        <f>IFERROR(__xludf.DUMMYFUNCTION("""COMPUTED_VALUE"""),"-")</f>
        <v>-</v>
      </c>
      <c r="J363" s="19">
        <f>IFERROR(__xludf.DUMMYFUNCTION("""COMPUTED_VALUE"""),0.00201)</f>
        <v>0.00201</v>
      </c>
      <c r="K363" s="19">
        <f>IFERROR(__xludf.DUMMYFUNCTION("""COMPUTED_VALUE"""),0.03976)</f>
        <v>0.03976</v>
      </c>
      <c r="L363" s="19" t="str">
        <f>IFERROR(__xludf.DUMMYFUNCTION("""COMPUTED_VALUE"""),"-")</f>
        <v>-</v>
      </c>
      <c r="M363" s="19">
        <f>IFERROR(__xludf.DUMMYFUNCTION("""COMPUTED_VALUE"""),0.03986)</f>
        <v>0.03986</v>
      </c>
    </row>
    <row r="364">
      <c r="A364" s="12" t="s">
        <v>6454</v>
      </c>
      <c r="G364" s="19">
        <f>IFERROR(__xludf.DUMMYFUNCTION("SPLIT(A362, "" |"")"),360.0)</f>
        <v>360</v>
      </c>
      <c r="H364" s="19">
        <f>IFERROR(__xludf.DUMMYFUNCTION("""COMPUTED_VALUE"""),0.00205)</f>
        <v>0.00205</v>
      </c>
      <c r="I364" s="19" t="str">
        <f>IFERROR(__xludf.DUMMYFUNCTION("""COMPUTED_VALUE"""),"-")</f>
        <v>-</v>
      </c>
      <c r="J364" s="19">
        <f>IFERROR(__xludf.DUMMYFUNCTION("""COMPUTED_VALUE"""),0.00195)</f>
        <v>0.00195</v>
      </c>
      <c r="K364" s="19">
        <f>IFERROR(__xludf.DUMMYFUNCTION("""COMPUTED_VALUE"""),0.03933)</f>
        <v>0.03933</v>
      </c>
      <c r="L364" s="19" t="str">
        <f>IFERROR(__xludf.DUMMYFUNCTION("""COMPUTED_VALUE"""),"-")</f>
        <v>-</v>
      </c>
      <c r="M364" s="19">
        <f>IFERROR(__xludf.DUMMYFUNCTION("""COMPUTED_VALUE"""),0.03978)</f>
        <v>0.03978</v>
      </c>
    </row>
    <row r="365">
      <c r="A365" s="12" t="s">
        <v>6455</v>
      </c>
      <c r="G365" s="19">
        <f>IFERROR(__xludf.DUMMYFUNCTION("SPLIT(A363, "" |"")"),361.0)</f>
        <v>361</v>
      </c>
      <c r="H365" s="19">
        <f>IFERROR(__xludf.DUMMYFUNCTION("""COMPUTED_VALUE"""),0.00205)</f>
        <v>0.00205</v>
      </c>
      <c r="I365" s="19" t="str">
        <f>IFERROR(__xludf.DUMMYFUNCTION("""COMPUTED_VALUE"""),"-")</f>
        <v>-</v>
      </c>
      <c r="J365" s="19">
        <f>IFERROR(__xludf.DUMMYFUNCTION("""COMPUTED_VALUE"""),0.00198)</f>
        <v>0.00198</v>
      </c>
      <c r="K365" s="19">
        <f>IFERROR(__xludf.DUMMYFUNCTION("""COMPUTED_VALUE"""),0.03935)</f>
        <v>0.03935</v>
      </c>
      <c r="L365" s="19" t="str">
        <f>IFERROR(__xludf.DUMMYFUNCTION("""COMPUTED_VALUE"""),"-")</f>
        <v>-</v>
      </c>
      <c r="M365" s="19">
        <f>IFERROR(__xludf.DUMMYFUNCTION("""COMPUTED_VALUE"""),0.03974)</f>
        <v>0.03974</v>
      </c>
    </row>
    <row r="366">
      <c r="A366" s="12" t="s">
        <v>6456</v>
      </c>
      <c r="G366" s="19">
        <f>IFERROR(__xludf.DUMMYFUNCTION("SPLIT(A364, "" |"")"),362.0)</f>
        <v>362</v>
      </c>
      <c r="H366" s="19">
        <f>IFERROR(__xludf.DUMMYFUNCTION("""COMPUTED_VALUE"""),0.0021)</f>
        <v>0.0021</v>
      </c>
      <c r="I366" s="19" t="str">
        <f>IFERROR(__xludf.DUMMYFUNCTION("""COMPUTED_VALUE"""),"-")</f>
        <v>-</v>
      </c>
      <c r="J366" s="19">
        <f>IFERROR(__xludf.DUMMYFUNCTION("""COMPUTED_VALUE"""),0.00198)</f>
        <v>0.00198</v>
      </c>
      <c r="K366" s="19">
        <f>IFERROR(__xludf.DUMMYFUNCTION("""COMPUTED_VALUE"""),0.03924)</f>
        <v>0.03924</v>
      </c>
      <c r="L366" s="19" t="str">
        <f>IFERROR(__xludf.DUMMYFUNCTION("""COMPUTED_VALUE"""),"-")</f>
        <v>-</v>
      </c>
      <c r="M366" s="19">
        <f>IFERROR(__xludf.DUMMYFUNCTION("""COMPUTED_VALUE"""),0.04022)</f>
        <v>0.04022</v>
      </c>
    </row>
    <row r="367">
      <c r="A367" s="12" t="s">
        <v>6457</v>
      </c>
      <c r="G367" s="19">
        <f>IFERROR(__xludf.DUMMYFUNCTION("SPLIT(A365, "" |"")"),363.0)</f>
        <v>363</v>
      </c>
      <c r="H367" s="19">
        <f>IFERROR(__xludf.DUMMYFUNCTION("""COMPUTED_VALUE"""),0.0021)</f>
        <v>0.0021</v>
      </c>
      <c r="I367" s="19" t="str">
        <f>IFERROR(__xludf.DUMMYFUNCTION("""COMPUTED_VALUE"""),"-")</f>
        <v>-</v>
      </c>
      <c r="J367" s="19">
        <f>IFERROR(__xludf.DUMMYFUNCTION("""COMPUTED_VALUE"""),0.002)</f>
        <v>0.002</v>
      </c>
      <c r="K367" s="19">
        <f>IFERROR(__xludf.DUMMYFUNCTION("""COMPUTED_VALUE"""),0.03973)</f>
        <v>0.03973</v>
      </c>
      <c r="L367" s="19" t="str">
        <f>IFERROR(__xludf.DUMMYFUNCTION("""COMPUTED_VALUE"""),"-")</f>
        <v>-</v>
      </c>
      <c r="M367" s="19">
        <f>IFERROR(__xludf.DUMMYFUNCTION("""COMPUTED_VALUE"""),0.03987)</f>
        <v>0.03987</v>
      </c>
    </row>
    <row r="368">
      <c r="A368" s="12" t="s">
        <v>6458</v>
      </c>
      <c r="G368" s="19">
        <f>IFERROR(__xludf.DUMMYFUNCTION("SPLIT(A366, "" |"")"),364.0)</f>
        <v>364</v>
      </c>
      <c r="H368" s="19">
        <f>IFERROR(__xludf.DUMMYFUNCTION("""COMPUTED_VALUE"""),0.00213)</f>
        <v>0.00213</v>
      </c>
      <c r="I368" s="19" t="str">
        <f>IFERROR(__xludf.DUMMYFUNCTION("""COMPUTED_VALUE"""),"-")</f>
        <v>-</v>
      </c>
      <c r="J368" s="19">
        <f>IFERROR(__xludf.DUMMYFUNCTION("""COMPUTED_VALUE"""),0.00201)</f>
        <v>0.00201</v>
      </c>
      <c r="K368" s="19">
        <f>IFERROR(__xludf.DUMMYFUNCTION("""COMPUTED_VALUE"""),0.03974)</f>
        <v>0.03974</v>
      </c>
      <c r="L368" s="19" t="str">
        <f>IFERROR(__xludf.DUMMYFUNCTION("""COMPUTED_VALUE"""),"-")</f>
        <v>-</v>
      </c>
      <c r="M368" s="19">
        <f>IFERROR(__xludf.DUMMYFUNCTION("""COMPUTED_VALUE"""),0.03653)</f>
        <v>0.03653</v>
      </c>
    </row>
    <row r="369">
      <c r="A369" s="12" t="s">
        <v>6459</v>
      </c>
      <c r="G369" s="19">
        <f>IFERROR(__xludf.DUMMYFUNCTION("SPLIT(A367, "" |"")"),365.0)</f>
        <v>365</v>
      </c>
      <c r="H369" s="19">
        <f>IFERROR(__xludf.DUMMYFUNCTION("""COMPUTED_VALUE"""),0.0022)</f>
        <v>0.0022</v>
      </c>
      <c r="I369" s="19" t="str">
        <f>IFERROR(__xludf.DUMMYFUNCTION("""COMPUTED_VALUE"""),"-")</f>
        <v>-</v>
      </c>
      <c r="J369" s="19">
        <f>IFERROR(__xludf.DUMMYFUNCTION("""COMPUTED_VALUE"""),0.00197)</f>
        <v>0.00197</v>
      </c>
      <c r="K369" s="19">
        <f>IFERROR(__xludf.DUMMYFUNCTION("""COMPUTED_VALUE"""),0.03846)</f>
        <v>0.03846</v>
      </c>
      <c r="L369" s="19" t="str">
        <f>IFERROR(__xludf.DUMMYFUNCTION("""COMPUTED_VALUE"""),"-")</f>
        <v>-</v>
      </c>
      <c r="M369" s="19">
        <f>IFERROR(__xludf.DUMMYFUNCTION("""COMPUTED_VALUE"""),0.03971)</f>
        <v>0.03971</v>
      </c>
    </row>
    <row r="370">
      <c r="A370" s="12" t="s">
        <v>6460</v>
      </c>
      <c r="G370" s="19">
        <f>IFERROR(__xludf.DUMMYFUNCTION("SPLIT(A368, "" |"")"),366.0)</f>
        <v>366</v>
      </c>
      <c r="H370" s="19">
        <f>IFERROR(__xludf.DUMMYFUNCTION("""COMPUTED_VALUE"""),0.00211)</f>
        <v>0.00211</v>
      </c>
      <c r="I370" s="19" t="str">
        <f>IFERROR(__xludf.DUMMYFUNCTION("""COMPUTED_VALUE"""),"-")</f>
        <v>-</v>
      </c>
      <c r="J370" s="19">
        <f>IFERROR(__xludf.DUMMYFUNCTION("""COMPUTED_VALUE"""),0.00181)</f>
        <v>0.00181</v>
      </c>
      <c r="K370" s="19">
        <f>IFERROR(__xludf.DUMMYFUNCTION("""COMPUTED_VALUE"""),0.03969)</f>
        <v>0.03969</v>
      </c>
      <c r="L370" s="19" t="str">
        <f>IFERROR(__xludf.DUMMYFUNCTION("""COMPUTED_VALUE"""),"-")</f>
        <v>-</v>
      </c>
      <c r="M370" s="19">
        <f>IFERROR(__xludf.DUMMYFUNCTION("""COMPUTED_VALUE"""),0.03975)</f>
        <v>0.03975</v>
      </c>
    </row>
    <row r="371">
      <c r="A371" s="12" t="s">
        <v>6461</v>
      </c>
      <c r="G371" s="19">
        <f>IFERROR(__xludf.DUMMYFUNCTION("SPLIT(A369, "" |"")"),367.0)</f>
        <v>367</v>
      </c>
      <c r="H371" s="19">
        <f>IFERROR(__xludf.DUMMYFUNCTION("""COMPUTED_VALUE"""),0.00214)</f>
        <v>0.00214</v>
      </c>
      <c r="I371" s="19" t="str">
        <f>IFERROR(__xludf.DUMMYFUNCTION("""COMPUTED_VALUE"""),"-")</f>
        <v>-</v>
      </c>
      <c r="J371" s="19">
        <f>IFERROR(__xludf.DUMMYFUNCTION("""COMPUTED_VALUE"""),0.002)</f>
        <v>0.002</v>
      </c>
      <c r="K371" s="19">
        <f>IFERROR(__xludf.DUMMYFUNCTION("""COMPUTED_VALUE"""),0.03972)</f>
        <v>0.03972</v>
      </c>
      <c r="L371" s="19" t="str">
        <f>IFERROR(__xludf.DUMMYFUNCTION("""COMPUTED_VALUE"""),"-")</f>
        <v>-</v>
      </c>
      <c r="M371" s="19">
        <f>IFERROR(__xludf.DUMMYFUNCTION("""COMPUTED_VALUE"""),0.04)</f>
        <v>0.04</v>
      </c>
    </row>
    <row r="372">
      <c r="A372" s="12" t="s">
        <v>6462</v>
      </c>
      <c r="G372" s="19">
        <f>IFERROR(__xludf.DUMMYFUNCTION("SPLIT(A370, "" |"")"),368.0)</f>
        <v>368</v>
      </c>
      <c r="H372" s="19">
        <f>IFERROR(__xludf.DUMMYFUNCTION("""COMPUTED_VALUE"""),0.00212)</f>
        <v>0.00212</v>
      </c>
      <c r="I372" s="19" t="str">
        <f>IFERROR(__xludf.DUMMYFUNCTION("""COMPUTED_VALUE"""),"-")</f>
        <v>-</v>
      </c>
      <c r="J372" s="19">
        <f>IFERROR(__xludf.DUMMYFUNCTION("""COMPUTED_VALUE"""),0.00198)</f>
        <v>0.00198</v>
      </c>
      <c r="K372" s="19">
        <f>IFERROR(__xludf.DUMMYFUNCTION("""COMPUTED_VALUE"""),0.03981)</f>
        <v>0.03981</v>
      </c>
      <c r="L372" s="19" t="str">
        <f>IFERROR(__xludf.DUMMYFUNCTION("""COMPUTED_VALUE"""),"-")</f>
        <v>-</v>
      </c>
      <c r="M372" s="19">
        <f>IFERROR(__xludf.DUMMYFUNCTION("""COMPUTED_VALUE"""),0.03981)</f>
        <v>0.03981</v>
      </c>
    </row>
    <row r="373">
      <c r="A373" s="12" t="s">
        <v>6463</v>
      </c>
      <c r="G373" s="19">
        <f>IFERROR(__xludf.DUMMYFUNCTION("SPLIT(A371, "" |"")"),369.0)</f>
        <v>369</v>
      </c>
      <c r="H373" s="19">
        <f>IFERROR(__xludf.DUMMYFUNCTION("""COMPUTED_VALUE"""),0.00203)</f>
        <v>0.00203</v>
      </c>
      <c r="I373" s="19" t="str">
        <f>IFERROR(__xludf.DUMMYFUNCTION("""COMPUTED_VALUE"""),"-")</f>
        <v>-</v>
      </c>
      <c r="J373" s="19">
        <f>IFERROR(__xludf.DUMMYFUNCTION("""COMPUTED_VALUE"""),0.00193)</f>
        <v>0.00193</v>
      </c>
      <c r="K373" s="19">
        <f>IFERROR(__xludf.DUMMYFUNCTION("""COMPUTED_VALUE"""),0.03965)</f>
        <v>0.03965</v>
      </c>
      <c r="L373" s="19" t="str">
        <f>IFERROR(__xludf.DUMMYFUNCTION("""COMPUTED_VALUE"""),"-")</f>
        <v>-</v>
      </c>
      <c r="M373" s="19">
        <f>IFERROR(__xludf.DUMMYFUNCTION("""COMPUTED_VALUE"""),0.03879)</f>
        <v>0.03879</v>
      </c>
    </row>
    <row r="374">
      <c r="A374" s="12" t="s">
        <v>6464</v>
      </c>
      <c r="G374" s="19">
        <f>IFERROR(__xludf.DUMMYFUNCTION("SPLIT(A372, "" |"")"),370.0)</f>
        <v>370</v>
      </c>
      <c r="H374" s="19">
        <f>IFERROR(__xludf.DUMMYFUNCTION("""COMPUTED_VALUE"""),0.00216)</f>
        <v>0.00216</v>
      </c>
      <c r="I374" s="19" t="str">
        <f>IFERROR(__xludf.DUMMYFUNCTION("""COMPUTED_VALUE"""),"-")</f>
        <v>-</v>
      </c>
      <c r="J374" s="19">
        <f>IFERROR(__xludf.DUMMYFUNCTION("""COMPUTED_VALUE"""),0.00197)</f>
        <v>0.00197</v>
      </c>
      <c r="K374" s="19">
        <f>IFERROR(__xludf.DUMMYFUNCTION("""COMPUTED_VALUE"""),0.03973)</f>
        <v>0.03973</v>
      </c>
      <c r="L374" s="19" t="str">
        <f>IFERROR(__xludf.DUMMYFUNCTION("""COMPUTED_VALUE"""),"-")</f>
        <v>-</v>
      </c>
      <c r="M374" s="19">
        <f>IFERROR(__xludf.DUMMYFUNCTION("""COMPUTED_VALUE"""),0.03987)</f>
        <v>0.03987</v>
      </c>
    </row>
    <row r="375">
      <c r="A375" s="12" t="s">
        <v>6465</v>
      </c>
      <c r="G375" s="19">
        <f>IFERROR(__xludf.DUMMYFUNCTION("SPLIT(A373, "" |"")"),371.0)</f>
        <v>371</v>
      </c>
      <c r="H375" s="19">
        <f>IFERROR(__xludf.DUMMYFUNCTION("""COMPUTED_VALUE"""),0.00206)</f>
        <v>0.00206</v>
      </c>
      <c r="I375" s="19" t="str">
        <f>IFERROR(__xludf.DUMMYFUNCTION("""COMPUTED_VALUE"""),"-")</f>
        <v>-</v>
      </c>
      <c r="J375" s="19">
        <f>IFERROR(__xludf.DUMMYFUNCTION("""COMPUTED_VALUE"""),0.00199)</f>
        <v>0.00199</v>
      </c>
      <c r="K375" s="19">
        <f>IFERROR(__xludf.DUMMYFUNCTION("""COMPUTED_VALUE"""),0.04014)</f>
        <v>0.04014</v>
      </c>
      <c r="L375" s="19" t="str">
        <f>IFERROR(__xludf.DUMMYFUNCTION("""COMPUTED_VALUE"""),"-")</f>
        <v>-</v>
      </c>
      <c r="M375" s="19">
        <f>IFERROR(__xludf.DUMMYFUNCTION("""COMPUTED_VALUE"""),0.0399)</f>
        <v>0.0399</v>
      </c>
    </row>
    <row r="376">
      <c r="A376" s="12" t="s">
        <v>6466</v>
      </c>
      <c r="G376" s="19">
        <f>IFERROR(__xludf.DUMMYFUNCTION("SPLIT(A374, "" |"")"),372.0)</f>
        <v>372</v>
      </c>
      <c r="H376" s="19">
        <f>IFERROR(__xludf.DUMMYFUNCTION("""COMPUTED_VALUE"""),0.00207)</f>
        <v>0.00207</v>
      </c>
      <c r="I376" s="19" t="str">
        <f>IFERROR(__xludf.DUMMYFUNCTION("""COMPUTED_VALUE"""),"-")</f>
        <v>-</v>
      </c>
      <c r="J376" s="19">
        <f>IFERROR(__xludf.DUMMYFUNCTION("""COMPUTED_VALUE"""),0.00199)</f>
        <v>0.00199</v>
      </c>
      <c r="K376" s="19">
        <f>IFERROR(__xludf.DUMMYFUNCTION("""COMPUTED_VALUE"""),0.03966)</f>
        <v>0.03966</v>
      </c>
      <c r="L376" s="19" t="str">
        <f>IFERROR(__xludf.DUMMYFUNCTION("""COMPUTED_VALUE"""),"-")</f>
        <v>-</v>
      </c>
      <c r="M376" s="19">
        <f>IFERROR(__xludf.DUMMYFUNCTION("""COMPUTED_VALUE"""),0.03994)</f>
        <v>0.03994</v>
      </c>
    </row>
    <row r="377">
      <c r="A377" s="12" t="s">
        <v>6467</v>
      </c>
      <c r="G377" s="19">
        <f>IFERROR(__xludf.DUMMYFUNCTION("SPLIT(A375, "" |"")"),373.0)</f>
        <v>373</v>
      </c>
      <c r="H377" s="19">
        <f>IFERROR(__xludf.DUMMYFUNCTION("""COMPUTED_VALUE"""),0.00213)</f>
        <v>0.00213</v>
      </c>
      <c r="I377" s="19" t="str">
        <f>IFERROR(__xludf.DUMMYFUNCTION("""COMPUTED_VALUE"""),"-")</f>
        <v>-</v>
      </c>
      <c r="J377" s="19">
        <f>IFERROR(__xludf.DUMMYFUNCTION("""COMPUTED_VALUE"""),0.002)</f>
        <v>0.002</v>
      </c>
      <c r="K377" s="19">
        <f>IFERROR(__xludf.DUMMYFUNCTION("""COMPUTED_VALUE"""),0.03973)</f>
        <v>0.03973</v>
      </c>
      <c r="L377" s="19" t="str">
        <f>IFERROR(__xludf.DUMMYFUNCTION("""COMPUTED_VALUE"""),"-")</f>
        <v>-</v>
      </c>
      <c r="M377" s="19">
        <f>IFERROR(__xludf.DUMMYFUNCTION("""COMPUTED_VALUE"""),0.0399)</f>
        <v>0.0399</v>
      </c>
    </row>
    <row r="378">
      <c r="A378" s="12" t="s">
        <v>6468</v>
      </c>
      <c r="G378" s="19">
        <f>IFERROR(__xludf.DUMMYFUNCTION("SPLIT(A376, "" |"")"),374.0)</f>
        <v>374</v>
      </c>
      <c r="H378" s="19">
        <f>IFERROR(__xludf.DUMMYFUNCTION("""COMPUTED_VALUE"""),0.00208)</f>
        <v>0.00208</v>
      </c>
      <c r="I378" s="19" t="str">
        <f>IFERROR(__xludf.DUMMYFUNCTION("""COMPUTED_VALUE"""),"-")</f>
        <v>-</v>
      </c>
      <c r="J378" s="19">
        <f>IFERROR(__xludf.DUMMYFUNCTION("""COMPUTED_VALUE"""),0.00195)</f>
        <v>0.00195</v>
      </c>
      <c r="K378" s="19">
        <f>IFERROR(__xludf.DUMMYFUNCTION("""COMPUTED_VALUE"""),0.03816)</f>
        <v>0.03816</v>
      </c>
      <c r="L378" s="19" t="str">
        <f>IFERROR(__xludf.DUMMYFUNCTION("""COMPUTED_VALUE"""),"-")</f>
        <v>-</v>
      </c>
      <c r="M378" s="19">
        <f>IFERROR(__xludf.DUMMYFUNCTION("""COMPUTED_VALUE"""),0.04001)</f>
        <v>0.04001</v>
      </c>
    </row>
    <row r="379">
      <c r="A379" s="12" t="s">
        <v>6469</v>
      </c>
      <c r="G379" s="19">
        <f>IFERROR(__xludf.DUMMYFUNCTION("SPLIT(A377, "" |"")"),375.0)</f>
        <v>375</v>
      </c>
      <c r="H379" s="19">
        <f>IFERROR(__xludf.DUMMYFUNCTION("""COMPUTED_VALUE"""),0.0022)</f>
        <v>0.0022</v>
      </c>
      <c r="I379" s="19" t="str">
        <f>IFERROR(__xludf.DUMMYFUNCTION("""COMPUTED_VALUE"""),"-")</f>
        <v>-</v>
      </c>
      <c r="J379" s="19">
        <f>IFERROR(__xludf.DUMMYFUNCTION("""COMPUTED_VALUE"""),0.00202)</f>
        <v>0.00202</v>
      </c>
      <c r="K379" s="19">
        <f>IFERROR(__xludf.DUMMYFUNCTION("""COMPUTED_VALUE"""),0.03975)</f>
        <v>0.03975</v>
      </c>
      <c r="L379" s="19" t="str">
        <f>IFERROR(__xludf.DUMMYFUNCTION("""COMPUTED_VALUE"""),"-")</f>
        <v>-</v>
      </c>
      <c r="M379" s="19">
        <f>IFERROR(__xludf.DUMMYFUNCTION("""COMPUTED_VALUE"""),0.03989)</f>
        <v>0.03989</v>
      </c>
    </row>
    <row r="380">
      <c r="A380" s="12" t="s">
        <v>6470</v>
      </c>
      <c r="G380" s="19">
        <f>IFERROR(__xludf.DUMMYFUNCTION("SPLIT(A378, "" |"")"),376.0)</f>
        <v>376</v>
      </c>
      <c r="H380" s="19">
        <f>IFERROR(__xludf.DUMMYFUNCTION("""COMPUTED_VALUE"""),0.00213)</f>
        <v>0.00213</v>
      </c>
      <c r="I380" s="19" t="str">
        <f>IFERROR(__xludf.DUMMYFUNCTION("""COMPUTED_VALUE"""),"-")</f>
        <v>-</v>
      </c>
      <c r="J380" s="19">
        <f>IFERROR(__xludf.DUMMYFUNCTION("""COMPUTED_VALUE"""),0.00201)</f>
        <v>0.00201</v>
      </c>
      <c r="K380" s="19">
        <f>IFERROR(__xludf.DUMMYFUNCTION("""COMPUTED_VALUE"""),0.03967)</f>
        <v>0.03967</v>
      </c>
      <c r="L380" s="19" t="str">
        <f>IFERROR(__xludf.DUMMYFUNCTION("""COMPUTED_VALUE"""),"-")</f>
        <v>-</v>
      </c>
      <c r="M380" s="19">
        <f>IFERROR(__xludf.DUMMYFUNCTION("""COMPUTED_VALUE"""),0.03983)</f>
        <v>0.03983</v>
      </c>
    </row>
    <row r="381">
      <c r="A381" s="12" t="s">
        <v>6471</v>
      </c>
      <c r="G381" s="19">
        <f>IFERROR(__xludf.DUMMYFUNCTION("SPLIT(A379, "" |"")"),377.0)</f>
        <v>377</v>
      </c>
      <c r="H381" s="19">
        <f>IFERROR(__xludf.DUMMYFUNCTION("""COMPUTED_VALUE"""),0.00225)</f>
        <v>0.00225</v>
      </c>
      <c r="I381" s="19" t="str">
        <f>IFERROR(__xludf.DUMMYFUNCTION("""COMPUTED_VALUE"""),"-")</f>
        <v>-</v>
      </c>
      <c r="J381" s="19">
        <f>IFERROR(__xludf.DUMMYFUNCTION("""COMPUTED_VALUE"""),0.002)</f>
        <v>0.002</v>
      </c>
      <c r="K381" s="19">
        <f>IFERROR(__xludf.DUMMYFUNCTION("""COMPUTED_VALUE"""),0.03974)</f>
        <v>0.03974</v>
      </c>
      <c r="L381" s="19" t="str">
        <f>IFERROR(__xludf.DUMMYFUNCTION("""COMPUTED_VALUE"""),"-")</f>
        <v>-</v>
      </c>
      <c r="M381" s="19">
        <f>IFERROR(__xludf.DUMMYFUNCTION("""COMPUTED_VALUE"""),0.04036)</f>
        <v>0.04036</v>
      </c>
    </row>
    <row r="382">
      <c r="A382" s="12" t="s">
        <v>6472</v>
      </c>
      <c r="G382" s="19">
        <f>IFERROR(__xludf.DUMMYFUNCTION("SPLIT(A380, "" |"")"),378.0)</f>
        <v>378</v>
      </c>
      <c r="H382" s="19">
        <f>IFERROR(__xludf.DUMMYFUNCTION("""COMPUTED_VALUE"""),0.00219)</f>
        <v>0.00219</v>
      </c>
      <c r="I382" s="19" t="str">
        <f>IFERROR(__xludf.DUMMYFUNCTION("""COMPUTED_VALUE"""),"-")</f>
        <v>-</v>
      </c>
      <c r="J382" s="19">
        <f>IFERROR(__xludf.DUMMYFUNCTION("""COMPUTED_VALUE"""),0.00194)</f>
        <v>0.00194</v>
      </c>
      <c r="K382" s="19">
        <f>IFERROR(__xludf.DUMMYFUNCTION("""COMPUTED_VALUE"""),0.03968)</f>
        <v>0.03968</v>
      </c>
      <c r="L382" s="19" t="str">
        <f>IFERROR(__xludf.DUMMYFUNCTION("""COMPUTED_VALUE"""),"-")</f>
        <v>-</v>
      </c>
      <c r="M382" s="19">
        <f>IFERROR(__xludf.DUMMYFUNCTION("""COMPUTED_VALUE"""),0.03991)</f>
        <v>0.03991</v>
      </c>
    </row>
    <row r="383">
      <c r="A383" s="12" t="s">
        <v>6473</v>
      </c>
      <c r="G383" s="19">
        <f>IFERROR(__xludf.DUMMYFUNCTION("SPLIT(A381, "" |"")"),379.0)</f>
        <v>379</v>
      </c>
      <c r="H383" s="19">
        <f>IFERROR(__xludf.DUMMYFUNCTION("""COMPUTED_VALUE"""),0.00206)</f>
        <v>0.00206</v>
      </c>
      <c r="I383" s="19" t="str">
        <f>IFERROR(__xludf.DUMMYFUNCTION("""COMPUTED_VALUE"""),"-")</f>
        <v>-</v>
      </c>
      <c r="J383" s="19">
        <f>IFERROR(__xludf.DUMMYFUNCTION("""COMPUTED_VALUE"""),0.00198)</f>
        <v>0.00198</v>
      </c>
      <c r="K383" s="19">
        <f>IFERROR(__xludf.DUMMYFUNCTION("""COMPUTED_VALUE"""),0.03734)</f>
        <v>0.03734</v>
      </c>
      <c r="L383" s="19" t="str">
        <f>IFERROR(__xludf.DUMMYFUNCTION("""COMPUTED_VALUE"""),"-")</f>
        <v>-</v>
      </c>
      <c r="M383" s="19">
        <f>IFERROR(__xludf.DUMMYFUNCTION("""COMPUTED_VALUE"""),0.04016)</f>
        <v>0.04016</v>
      </c>
    </row>
    <row r="384">
      <c r="A384" s="12" t="s">
        <v>6474</v>
      </c>
      <c r="G384" s="19">
        <f>IFERROR(__xludf.DUMMYFUNCTION("SPLIT(A382, "" |"")"),380.0)</f>
        <v>380</v>
      </c>
      <c r="H384" s="19">
        <f>IFERROR(__xludf.DUMMYFUNCTION("""COMPUTED_VALUE"""),0.00213)</f>
        <v>0.00213</v>
      </c>
      <c r="I384" s="19" t="str">
        <f>IFERROR(__xludf.DUMMYFUNCTION("""COMPUTED_VALUE"""),"-")</f>
        <v>-</v>
      </c>
      <c r="J384" s="19">
        <f>IFERROR(__xludf.DUMMYFUNCTION("""COMPUTED_VALUE"""),0.00199)</f>
        <v>0.00199</v>
      </c>
      <c r="K384" s="19">
        <f>IFERROR(__xludf.DUMMYFUNCTION("""COMPUTED_VALUE"""),0.03972)</f>
        <v>0.03972</v>
      </c>
      <c r="L384" s="19" t="str">
        <f>IFERROR(__xludf.DUMMYFUNCTION("""COMPUTED_VALUE"""),"-")</f>
        <v>-</v>
      </c>
      <c r="M384" s="19">
        <f>IFERROR(__xludf.DUMMYFUNCTION("""COMPUTED_VALUE"""),0.03977)</f>
        <v>0.03977</v>
      </c>
    </row>
    <row r="385">
      <c r="A385" s="12" t="s">
        <v>6475</v>
      </c>
      <c r="G385" s="19">
        <f>IFERROR(__xludf.DUMMYFUNCTION("SPLIT(A383, "" |"")"),381.0)</f>
        <v>381</v>
      </c>
      <c r="H385" s="19">
        <f>IFERROR(__xludf.DUMMYFUNCTION("""COMPUTED_VALUE"""),0.00207)</f>
        <v>0.00207</v>
      </c>
      <c r="I385" s="19" t="str">
        <f>IFERROR(__xludf.DUMMYFUNCTION("""COMPUTED_VALUE"""),"-")</f>
        <v>-</v>
      </c>
      <c r="J385" s="19">
        <f>IFERROR(__xludf.DUMMYFUNCTION("""COMPUTED_VALUE"""),0.002)</f>
        <v>0.002</v>
      </c>
      <c r="K385" s="19">
        <f>IFERROR(__xludf.DUMMYFUNCTION("""COMPUTED_VALUE"""),0.03973)</f>
        <v>0.03973</v>
      </c>
      <c r="L385" s="19" t="str">
        <f>IFERROR(__xludf.DUMMYFUNCTION("""COMPUTED_VALUE"""),"-")</f>
        <v>-</v>
      </c>
      <c r="M385" s="19">
        <f>IFERROR(__xludf.DUMMYFUNCTION("""COMPUTED_VALUE"""),0.0398)</f>
        <v>0.0398</v>
      </c>
    </row>
    <row r="386">
      <c r="A386" s="12" t="s">
        <v>6476</v>
      </c>
      <c r="G386" s="19">
        <f>IFERROR(__xludf.DUMMYFUNCTION("SPLIT(A384, "" |"")"),382.0)</f>
        <v>382</v>
      </c>
      <c r="H386" s="19">
        <f>IFERROR(__xludf.DUMMYFUNCTION("""COMPUTED_VALUE"""),0.00198)</f>
        <v>0.00198</v>
      </c>
      <c r="I386" s="19" t="str">
        <f>IFERROR(__xludf.DUMMYFUNCTION("""COMPUTED_VALUE"""),"-")</f>
        <v>-</v>
      </c>
      <c r="J386" s="19">
        <f>IFERROR(__xludf.DUMMYFUNCTION("""COMPUTED_VALUE"""),0.00187)</f>
        <v>0.00187</v>
      </c>
      <c r="K386" s="19">
        <f>IFERROR(__xludf.DUMMYFUNCTION("""COMPUTED_VALUE"""),0.0398)</f>
        <v>0.0398</v>
      </c>
      <c r="L386" s="19" t="str">
        <f>IFERROR(__xludf.DUMMYFUNCTION("""COMPUTED_VALUE"""),"-")</f>
        <v>-</v>
      </c>
      <c r="M386" s="19">
        <f>IFERROR(__xludf.DUMMYFUNCTION("""COMPUTED_VALUE"""),0.03975)</f>
        <v>0.03975</v>
      </c>
    </row>
    <row r="387">
      <c r="A387" s="12" t="s">
        <v>6477</v>
      </c>
      <c r="G387" s="19">
        <f>IFERROR(__xludf.DUMMYFUNCTION("SPLIT(A385, "" |"")"),383.0)</f>
        <v>383</v>
      </c>
      <c r="H387" s="19">
        <f>IFERROR(__xludf.DUMMYFUNCTION("""COMPUTED_VALUE"""),0.00208)</f>
        <v>0.00208</v>
      </c>
      <c r="I387" s="19" t="str">
        <f>IFERROR(__xludf.DUMMYFUNCTION("""COMPUTED_VALUE"""),"-")</f>
        <v>-</v>
      </c>
      <c r="J387" s="19">
        <f>IFERROR(__xludf.DUMMYFUNCTION("""COMPUTED_VALUE"""),0.00196)</f>
        <v>0.00196</v>
      </c>
      <c r="K387" s="19">
        <f>IFERROR(__xludf.DUMMYFUNCTION("""COMPUTED_VALUE"""),0.0397)</f>
        <v>0.0397</v>
      </c>
      <c r="L387" s="19" t="str">
        <f>IFERROR(__xludf.DUMMYFUNCTION("""COMPUTED_VALUE"""),"-")</f>
        <v>-</v>
      </c>
      <c r="M387" s="19">
        <f>IFERROR(__xludf.DUMMYFUNCTION("""COMPUTED_VALUE"""),0.03988)</f>
        <v>0.03988</v>
      </c>
    </row>
    <row r="388">
      <c r="A388" s="12" t="s">
        <v>6478</v>
      </c>
      <c r="G388" s="19">
        <f>IFERROR(__xludf.DUMMYFUNCTION("SPLIT(A386, "" |"")"),384.0)</f>
        <v>384</v>
      </c>
      <c r="H388" s="19">
        <f>IFERROR(__xludf.DUMMYFUNCTION("""COMPUTED_VALUE"""),0.00211)</f>
        <v>0.00211</v>
      </c>
      <c r="I388" s="19" t="str">
        <f>IFERROR(__xludf.DUMMYFUNCTION("""COMPUTED_VALUE"""),"-")</f>
        <v>-</v>
      </c>
      <c r="J388" s="19">
        <f>IFERROR(__xludf.DUMMYFUNCTION("""COMPUTED_VALUE"""),0.00199)</f>
        <v>0.00199</v>
      </c>
      <c r="K388" s="19">
        <f>IFERROR(__xludf.DUMMYFUNCTION("""COMPUTED_VALUE"""),0.03781)</f>
        <v>0.03781</v>
      </c>
      <c r="L388" s="19" t="str">
        <f>IFERROR(__xludf.DUMMYFUNCTION("""COMPUTED_VALUE"""),"-")</f>
        <v>-</v>
      </c>
      <c r="M388" s="19">
        <f>IFERROR(__xludf.DUMMYFUNCTION("""COMPUTED_VALUE"""),0.0402)</f>
        <v>0.0402</v>
      </c>
    </row>
    <row r="389">
      <c r="A389" s="12" t="s">
        <v>6479</v>
      </c>
      <c r="G389" s="19">
        <f>IFERROR(__xludf.DUMMYFUNCTION("SPLIT(A387, "" |"")"),385.0)</f>
        <v>385</v>
      </c>
      <c r="H389" s="19">
        <f>IFERROR(__xludf.DUMMYFUNCTION("""COMPUTED_VALUE"""),0.00211)</f>
        <v>0.00211</v>
      </c>
      <c r="I389" s="19" t="str">
        <f>IFERROR(__xludf.DUMMYFUNCTION("""COMPUTED_VALUE"""),"-")</f>
        <v>-</v>
      </c>
      <c r="J389" s="19">
        <f>IFERROR(__xludf.DUMMYFUNCTION("""COMPUTED_VALUE"""),0.002)</f>
        <v>0.002</v>
      </c>
      <c r="K389" s="19">
        <f>IFERROR(__xludf.DUMMYFUNCTION("""COMPUTED_VALUE"""),0.03964)</f>
        <v>0.03964</v>
      </c>
      <c r="L389" s="19" t="str">
        <f>IFERROR(__xludf.DUMMYFUNCTION("""COMPUTED_VALUE"""),"-")</f>
        <v>-</v>
      </c>
      <c r="M389" s="19">
        <f>IFERROR(__xludf.DUMMYFUNCTION("""COMPUTED_VALUE"""),0.03989)</f>
        <v>0.03989</v>
      </c>
    </row>
    <row r="390">
      <c r="A390" s="12" t="s">
        <v>6480</v>
      </c>
      <c r="G390" s="19">
        <f>IFERROR(__xludf.DUMMYFUNCTION("SPLIT(A388, "" |"")"),386.0)</f>
        <v>386</v>
      </c>
      <c r="H390" s="19">
        <f>IFERROR(__xludf.DUMMYFUNCTION("""COMPUTED_VALUE"""),0.00214)</f>
        <v>0.00214</v>
      </c>
      <c r="I390" s="19" t="str">
        <f>IFERROR(__xludf.DUMMYFUNCTION("""COMPUTED_VALUE"""),"-")</f>
        <v>-</v>
      </c>
      <c r="J390" s="19">
        <f>IFERROR(__xludf.DUMMYFUNCTION("""COMPUTED_VALUE"""),0.00201)</f>
        <v>0.00201</v>
      </c>
      <c r="K390" s="19">
        <f>IFERROR(__xludf.DUMMYFUNCTION("""COMPUTED_VALUE"""),0.03818)</f>
        <v>0.03818</v>
      </c>
      <c r="L390" s="19" t="str">
        <f>IFERROR(__xludf.DUMMYFUNCTION("""COMPUTED_VALUE"""),"-")</f>
        <v>-</v>
      </c>
      <c r="M390" s="19">
        <f>IFERROR(__xludf.DUMMYFUNCTION("""COMPUTED_VALUE"""),0.03984)</f>
        <v>0.03984</v>
      </c>
    </row>
    <row r="391">
      <c r="A391" s="12" t="s">
        <v>6481</v>
      </c>
      <c r="G391" s="19">
        <f>IFERROR(__xludf.DUMMYFUNCTION("SPLIT(A389, "" |"")"),387.0)</f>
        <v>387</v>
      </c>
      <c r="H391" s="19">
        <f>IFERROR(__xludf.DUMMYFUNCTION("""COMPUTED_VALUE"""),0.00211)</f>
        <v>0.00211</v>
      </c>
      <c r="I391" s="19" t="str">
        <f>IFERROR(__xludf.DUMMYFUNCTION("""COMPUTED_VALUE"""),"-")</f>
        <v>-</v>
      </c>
      <c r="J391" s="19">
        <f>IFERROR(__xludf.DUMMYFUNCTION("""COMPUTED_VALUE"""),0.00197)</f>
        <v>0.00197</v>
      </c>
      <c r="K391" s="19">
        <f>IFERROR(__xludf.DUMMYFUNCTION("""COMPUTED_VALUE"""),0.03965)</f>
        <v>0.03965</v>
      </c>
      <c r="L391" s="19" t="str">
        <f>IFERROR(__xludf.DUMMYFUNCTION("""COMPUTED_VALUE"""),"-")</f>
        <v>-</v>
      </c>
      <c r="M391" s="19">
        <f>IFERROR(__xludf.DUMMYFUNCTION("""COMPUTED_VALUE"""),0.03985)</f>
        <v>0.03985</v>
      </c>
    </row>
    <row r="392">
      <c r="A392" s="12" t="s">
        <v>6482</v>
      </c>
      <c r="G392" s="19">
        <f>IFERROR(__xludf.DUMMYFUNCTION("SPLIT(A390, "" |"")"),388.0)</f>
        <v>388</v>
      </c>
      <c r="H392" s="19">
        <f>IFERROR(__xludf.DUMMYFUNCTION("""COMPUTED_VALUE"""),0.00217)</f>
        <v>0.00217</v>
      </c>
      <c r="I392" s="19" t="str">
        <f>IFERROR(__xludf.DUMMYFUNCTION("""COMPUTED_VALUE"""),"-")</f>
        <v>-</v>
      </c>
      <c r="J392" s="19">
        <f>IFERROR(__xludf.DUMMYFUNCTION("""COMPUTED_VALUE"""),0.00198)</f>
        <v>0.00198</v>
      </c>
      <c r="K392" s="19">
        <f>IFERROR(__xludf.DUMMYFUNCTION("""COMPUTED_VALUE"""),0.03973)</f>
        <v>0.03973</v>
      </c>
      <c r="L392" s="19" t="str">
        <f>IFERROR(__xludf.DUMMYFUNCTION("""COMPUTED_VALUE"""),"-")</f>
        <v>-</v>
      </c>
      <c r="M392" s="19">
        <f>IFERROR(__xludf.DUMMYFUNCTION("""COMPUTED_VALUE"""),0.03989)</f>
        <v>0.03989</v>
      </c>
    </row>
    <row r="393">
      <c r="A393" s="12" t="s">
        <v>6483</v>
      </c>
      <c r="G393" s="19">
        <f>IFERROR(__xludf.DUMMYFUNCTION("SPLIT(A391, "" |"")"),389.0)</f>
        <v>389</v>
      </c>
      <c r="H393" s="19">
        <f>IFERROR(__xludf.DUMMYFUNCTION("""COMPUTED_VALUE"""),0.00221)</f>
        <v>0.00221</v>
      </c>
      <c r="I393" s="19" t="str">
        <f>IFERROR(__xludf.DUMMYFUNCTION("""COMPUTED_VALUE"""),"-")</f>
        <v>-</v>
      </c>
      <c r="J393" s="19">
        <f>IFERROR(__xludf.DUMMYFUNCTION("""COMPUTED_VALUE"""),0.0019)</f>
        <v>0.0019</v>
      </c>
      <c r="K393" s="19">
        <f>IFERROR(__xludf.DUMMYFUNCTION("""COMPUTED_VALUE"""),0.03973)</f>
        <v>0.03973</v>
      </c>
      <c r="L393" s="19" t="str">
        <f>IFERROR(__xludf.DUMMYFUNCTION("""COMPUTED_VALUE"""),"-")</f>
        <v>-</v>
      </c>
      <c r="M393" s="19">
        <f>IFERROR(__xludf.DUMMYFUNCTION("""COMPUTED_VALUE"""),0.03957)</f>
        <v>0.03957</v>
      </c>
    </row>
    <row r="394">
      <c r="A394" s="12" t="s">
        <v>6484</v>
      </c>
      <c r="G394" s="19">
        <f>IFERROR(__xludf.DUMMYFUNCTION("SPLIT(A392, "" |"")"),390.0)</f>
        <v>390</v>
      </c>
      <c r="H394" s="19">
        <f>IFERROR(__xludf.DUMMYFUNCTION("""COMPUTED_VALUE"""),0.002)</f>
        <v>0.002</v>
      </c>
      <c r="I394" s="19" t="str">
        <f>IFERROR(__xludf.DUMMYFUNCTION("""COMPUTED_VALUE"""),"-")</f>
        <v>-</v>
      </c>
      <c r="J394" s="19">
        <f>IFERROR(__xludf.DUMMYFUNCTION("""COMPUTED_VALUE"""),0.00201)</f>
        <v>0.00201</v>
      </c>
      <c r="K394" s="19">
        <f>IFERROR(__xludf.DUMMYFUNCTION("""COMPUTED_VALUE"""),0.03957)</f>
        <v>0.03957</v>
      </c>
      <c r="L394" s="19" t="str">
        <f>IFERROR(__xludf.DUMMYFUNCTION("""COMPUTED_VALUE"""),"-")</f>
        <v>-</v>
      </c>
      <c r="M394" s="19">
        <f>IFERROR(__xludf.DUMMYFUNCTION("""COMPUTED_VALUE"""),0.03773)</f>
        <v>0.03773</v>
      </c>
    </row>
    <row r="395">
      <c r="A395" s="12" t="s">
        <v>6485</v>
      </c>
      <c r="G395" s="19">
        <f>IFERROR(__xludf.DUMMYFUNCTION("SPLIT(A393, "" |"")"),391.0)</f>
        <v>391</v>
      </c>
      <c r="H395" s="19">
        <f>IFERROR(__xludf.DUMMYFUNCTION("""COMPUTED_VALUE"""),0.0021)</f>
        <v>0.0021</v>
      </c>
      <c r="I395" s="19" t="str">
        <f>IFERROR(__xludf.DUMMYFUNCTION("""COMPUTED_VALUE"""),"-")</f>
        <v>-</v>
      </c>
      <c r="J395" s="19">
        <f>IFERROR(__xludf.DUMMYFUNCTION("""COMPUTED_VALUE"""),0.00196)</f>
        <v>0.00196</v>
      </c>
      <c r="K395" s="19">
        <f>IFERROR(__xludf.DUMMYFUNCTION("""COMPUTED_VALUE"""),0.03755)</f>
        <v>0.03755</v>
      </c>
      <c r="L395" s="19" t="str">
        <f>IFERROR(__xludf.DUMMYFUNCTION("""COMPUTED_VALUE"""),"-")</f>
        <v>-</v>
      </c>
      <c r="M395" s="19">
        <f>IFERROR(__xludf.DUMMYFUNCTION("""COMPUTED_VALUE"""),0.0398)</f>
        <v>0.0398</v>
      </c>
    </row>
    <row r="396">
      <c r="A396" s="12" t="s">
        <v>6486</v>
      </c>
      <c r="G396" s="19">
        <f>IFERROR(__xludf.DUMMYFUNCTION("SPLIT(A394, "" |"")"),392.0)</f>
        <v>392</v>
      </c>
      <c r="H396" s="19">
        <f>IFERROR(__xludf.DUMMYFUNCTION("""COMPUTED_VALUE"""),0.00217)</f>
        <v>0.00217</v>
      </c>
      <c r="I396" s="19" t="str">
        <f>IFERROR(__xludf.DUMMYFUNCTION("""COMPUTED_VALUE"""),"-")</f>
        <v>-</v>
      </c>
      <c r="J396" s="19">
        <f>IFERROR(__xludf.DUMMYFUNCTION("""COMPUTED_VALUE"""),0.00203)</f>
        <v>0.00203</v>
      </c>
      <c r="K396" s="19">
        <f>IFERROR(__xludf.DUMMYFUNCTION("""COMPUTED_VALUE"""),0.03906)</f>
        <v>0.03906</v>
      </c>
      <c r="L396" s="19" t="str">
        <f>IFERROR(__xludf.DUMMYFUNCTION("""COMPUTED_VALUE"""),"-")</f>
        <v>-</v>
      </c>
      <c r="M396" s="19">
        <f>IFERROR(__xludf.DUMMYFUNCTION("""COMPUTED_VALUE"""),0.03729)</f>
        <v>0.03729</v>
      </c>
    </row>
    <row r="397">
      <c r="A397" s="12" t="s">
        <v>6487</v>
      </c>
      <c r="G397" s="19">
        <f>IFERROR(__xludf.DUMMYFUNCTION("SPLIT(A395, "" |"")"),393.0)</f>
        <v>393</v>
      </c>
      <c r="H397" s="19">
        <f>IFERROR(__xludf.DUMMYFUNCTION("""COMPUTED_VALUE"""),0.00209)</f>
        <v>0.00209</v>
      </c>
      <c r="I397" s="19" t="str">
        <f>IFERROR(__xludf.DUMMYFUNCTION("""COMPUTED_VALUE"""),"-")</f>
        <v>-</v>
      </c>
      <c r="J397" s="19">
        <f>IFERROR(__xludf.DUMMYFUNCTION("""COMPUTED_VALUE"""),0.00206)</f>
        <v>0.00206</v>
      </c>
      <c r="K397" s="19">
        <f>IFERROR(__xludf.DUMMYFUNCTION("""COMPUTED_VALUE"""),0.03409)</f>
        <v>0.03409</v>
      </c>
      <c r="L397" s="19" t="str">
        <f>IFERROR(__xludf.DUMMYFUNCTION("""COMPUTED_VALUE"""),"-")</f>
        <v>-</v>
      </c>
      <c r="M397" s="19">
        <f>IFERROR(__xludf.DUMMYFUNCTION("""COMPUTED_VALUE"""),0.03993)</f>
        <v>0.03993</v>
      </c>
    </row>
    <row r="398">
      <c r="A398" s="12" t="s">
        <v>6488</v>
      </c>
      <c r="G398" s="19">
        <f>IFERROR(__xludf.DUMMYFUNCTION("SPLIT(A396, "" |"")"),394.0)</f>
        <v>394</v>
      </c>
      <c r="H398" s="19">
        <f>IFERROR(__xludf.DUMMYFUNCTION("""COMPUTED_VALUE"""),0.00217)</f>
        <v>0.00217</v>
      </c>
      <c r="I398" s="19" t="str">
        <f>IFERROR(__xludf.DUMMYFUNCTION("""COMPUTED_VALUE"""),"-")</f>
        <v>-</v>
      </c>
      <c r="J398" s="19">
        <f>IFERROR(__xludf.DUMMYFUNCTION("""COMPUTED_VALUE"""),0.00191)</f>
        <v>0.00191</v>
      </c>
      <c r="K398" s="19">
        <f>IFERROR(__xludf.DUMMYFUNCTION("""COMPUTED_VALUE"""),0.03973)</f>
        <v>0.03973</v>
      </c>
      <c r="L398" s="19" t="str">
        <f>IFERROR(__xludf.DUMMYFUNCTION("""COMPUTED_VALUE"""),"-")</f>
        <v>-</v>
      </c>
      <c r="M398" s="19">
        <f>IFERROR(__xludf.DUMMYFUNCTION("""COMPUTED_VALUE"""),0.03998)</f>
        <v>0.03998</v>
      </c>
    </row>
    <row r="399">
      <c r="A399" s="12" t="s">
        <v>6489</v>
      </c>
      <c r="G399" s="19">
        <f>IFERROR(__xludf.DUMMYFUNCTION("SPLIT(A397, "" |"")"),395.0)</f>
        <v>395</v>
      </c>
      <c r="H399" s="19">
        <f>IFERROR(__xludf.DUMMYFUNCTION("""COMPUTED_VALUE"""),0.00214)</f>
        <v>0.00214</v>
      </c>
      <c r="I399" s="19" t="str">
        <f>IFERROR(__xludf.DUMMYFUNCTION("""COMPUTED_VALUE"""),"-")</f>
        <v>-</v>
      </c>
      <c r="J399" s="19">
        <f>IFERROR(__xludf.DUMMYFUNCTION("""COMPUTED_VALUE"""),0.00201)</f>
        <v>0.00201</v>
      </c>
      <c r="K399" s="19">
        <f>IFERROR(__xludf.DUMMYFUNCTION("""COMPUTED_VALUE"""),0.03973)</f>
        <v>0.03973</v>
      </c>
      <c r="L399" s="19" t="str">
        <f>IFERROR(__xludf.DUMMYFUNCTION("""COMPUTED_VALUE"""),"-")</f>
        <v>-</v>
      </c>
      <c r="M399" s="19">
        <f>IFERROR(__xludf.DUMMYFUNCTION("""COMPUTED_VALUE"""),0.03962)</f>
        <v>0.03962</v>
      </c>
    </row>
    <row r="400">
      <c r="A400" s="12" t="s">
        <v>6490</v>
      </c>
      <c r="G400" s="19">
        <f>IFERROR(__xludf.DUMMYFUNCTION("SPLIT(A398, "" |"")"),396.0)</f>
        <v>396</v>
      </c>
      <c r="H400" s="19">
        <f>IFERROR(__xludf.DUMMYFUNCTION("""COMPUTED_VALUE"""),0.00209)</f>
        <v>0.00209</v>
      </c>
      <c r="I400" s="19" t="str">
        <f>IFERROR(__xludf.DUMMYFUNCTION("""COMPUTED_VALUE"""),"-")</f>
        <v>-</v>
      </c>
      <c r="J400" s="19">
        <f>IFERROR(__xludf.DUMMYFUNCTION("""COMPUTED_VALUE"""),0.00198)</f>
        <v>0.00198</v>
      </c>
      <c r="K400" s="19">
        <f>IFERROR(__xludf.DUMMYFUNCTION("""COMPUTED_VALUE"""),0.03967)</f>
        <v>0.03967</v>
      </c>
      <c r="L400" s="19" t="str">
        <f>IFERROR(__xludf.DUMMYFUNCTION("""COMPUTED_VALUE"""),"-")</f>
        <v>-</v>
      </c>
      <c r="M400" s="19">
        <f>IFERROR(__xludf.DUMMYFUNCTION("""COMPUTED_VALUE"""),0.03977)</f>
        <v>0.03977</v>
      </c>
    </row>
    <row r="401">
      <c r="A401" s="12" t="s">
        <v>6491</v>
      </c>
      <c r="G401" s="19">
        <f>IFERROR(__xludf.DUMMYFUNCTION("SPLIT(A399, "" |"")"),397.0)</f>
        <v>397</v>
      </c>
      <c r="H401" s="19">
        <f>IFERROR(__xludf.DUMMYFUNCTION("""COMPUTED_VALUE"""),0.00202)</f>
        <v>0.00202</v>
      </c>
      <c r="I401" s="19" t="str">
        <f>IFERROR(__xludf.DUMMYFUNCTION("""COMPUTED_VALUE"""),"-")</f>
        <v>-</v>
      </c>
      <c r="J401" s="19">
        <f>IFERROR(__xludf.DUMMYFUNCTION("""COMPUTED_VALUE"""),0.00201)</f>
        <v>0.00201</v>
      </c>
      <c r="K401" s="19">
        <f>IFERROR(__xludf.DUMMYFUNCTION("""COMPUTED_VALUE"""),0.03969)</f>
        <v>0.03969</v>
      </c>
      <c r="L401" s="19" t="str">
        <f>IFERROR(__xludf.DUMMYFUNCTION("""COMPUTED_VALUE"""),"-")</f>
        <v>-</v>
      </c>
      <c r="M401" s="19">
        <f>IFERROR(__xludf.DUMMYFUNCTION("""COMPUTED_VALUE"""),0.03988)</f>
        <v>0.03988</v>
      </c>
    </row>
    <row r="402">
      <c r="A402" s="12" t="s">
        <v>6492</v>
      </c>
      <c r="G402" s="19">
        <f>IFERROR(__xludf.DUMMYFUNCTION("SPLIT(A400, "" |"")"),398.0)</f>
        <v>398</v>
      </c>
      <c r="H402" s="19">
        <f>IFERROR(__xludf.DUMMYFUNCTION("""COMPUTED_VALUE"""),0.00218)</f>
        <v>0.00218</v>
      </c>
      <c r="I402" s="19" t="str">
        <f>IFERROR(__xludf.DUMMYFUNCTION("""COMPUTED_VALUE"""),"-")</f>
        <v>-</v>
      </c>
      <c r="J402" s="19">
        <f>IFERROR(__xludf.DUMMYFUNCTION("""COMPUTED_VALUE"""),0.00203)</f>
        <v>0.00203</v>
      </c>
      <c r="K402" s="19">
        <f>IFERROR(__xludf.DUMMYFUNCTION("""COMPUTED_VALUE"""),0.03976)</f>
        <v>0.03976</v>
      </c>
      <c r="L402" s="19" t="str">
        <f>IFERROR(__xludf.DUMMYFUNCTION("""COMPUTED_VALUE"""),"-")</f>
        <v>-</v>
      </c>
      <c r="M402" s="19">
        <f>IFERROR(__xludf.DUMMYFUNCTION("""COMPUTED_VALUE"""),0.03984)</f>
        <v>0.03984</v>
      </c>
    </row>
    <row r="403">
      <c r="A403" s="12" t="s">
        <v>6493</v>
      </c>
      <c r="G403" s="19">
        <f>IFERROR(__xludf.DUMMYFUNCTION("SPLIT(A401, "" |"")"),399.0)</f>
        <v>399</v>
      </c>
      <c r="H403" s="19">
        <f>IFERROR(__xludf.DUMMYFUNCTION("""COMPUTED_VALUE"""),0.00211)</f>
        <v>0.00211</v>
      </c>
      <c r="I403" s="19" t="str">
        <f>IFERROR(__xludf.DUMMYFUNCTION("""COMPUTED_VALUE"""),"-")</f>
        <v>-</v>
      </c>
      <c r="J403" s="19">
        <f>IFERROR(__xludf.DUMMYFUNCTION("""COMPUTED_VALUE"""),0.00199)</f>
        <v>0.00199</v>
      </c>
      <c r="K403" s="19">
        <f>IFERROR(__xludf.DUMMYFUNCTION("""COMPUTED_VALUE"""),0.03971)</f>
        <v>0.03971</v>
      </c>
      <c r="L403" s="19" t="str">
        <f>IFERROR(__xludf.DUMMYFUNCTION("""COMPUTED_VALUE"""),"-")</f>
        <v>-</v>
      </c>
      <c r="M403" s="19">
        <f>IFERROR(__xludf.DUMMYFUNCTION("""COMPUTED_VALUE"""),0.03843)</f>
        <v>0.03843</v>
      </c>
    </row>
    <row r="404">
      <c r="A404" s="12" t="s">
        <v>6494</v>
      </c>
      <c r="G404" s="19">
        <f>IFERROR(__xludf.DUMMYFUNCTION("SPLIT(A402, "" |"")"),400.0)</f>
        <v>400</v>
      </c>
      <c r="H404" s="19">
        <f>IFERROR(__xludf.DUMMYFUNCTION("""COMPUTED_VALUE"""),0.00206)</f>
        <v>0.00206</v>
      </c>
      <c r="I404" s="19" t="str">
        <f>IFERROR(__xludf.DUMMYFUNCTION("""COMPUTED_VALUE"""),"-")</f>
        <v>-</v>
      </c>
      <c r="J404" s="19">
        <f>IFERROR(__xludf.DUMMYFUNCTION("""COMPUTED_VALUE"""),0.00202)</f>
        <v>0.00202</v>
      </c>
      <c r="K404" s="19">
        <f>IFERROR(__xludf.DUMMYFUNCTION("""COMPUTED_VALUE"""),0.03977)</f>
        <v>0.03977</v>
      </c>
      <c r="L404" s="19" t="str">
        <f>IFERROR(__xludf.DUMMYFUNCTION("""COMPUTED_VALUE"""),"-")</f>
        <v>-</v>
      </c>
      <c r="M404" s="19">
        <f>IFERROR(__xludf.DUMMYFUNCTION("""COMPUTED_VALUE"""),0.03981)</f>
        <v>0.03981</v>
      </c>
    </row>
    <row r="405">
      <c r="A405" s="12" t="s">
        <v>6495</v>
      </c>
      <c r="G405" s="19">
        <f>IFERROR(__xludf.DUMMYFUNCTION("SPLIT(A403, "" |"")"),401.0)</f>
        <v>401</v>
      </c>
      <c r="H405" s="19">
        <f>IFERROR(__xludf.DUMMYFUNCTION("""COMPUTED_VALUE"""),0.00206)</f>
        <v>0.00206</v>
      </c>
      <c r="I405" s="19" t="str">
        <f>IFERROR(__xludf.DUMMYFUNCTION("""COMPUTED_VALUE"""),"-")</f>
        <v>-</v>
      </c>
      <c r="J405" s="19">
        <f>IFERROR(__xludf.DUMMYFUNCTION("""COMPUTED_VALUE"""),0.002)</f>
        <v>0.002</v>
      </c>
      <c r="K405" s="19">
        <f>IFERROR(__xludf.DUMMYFUNCTION("""COMPUTED_VALUE"""),0.03971)</f>
        <v>0.03971</v>
      </c>
      <c r="L405" s="19" t="str">
        <f>IFERROR(__xludf.DUMMYFUNCTION("""COMPUTED_VALUE"""),"-")</f>
        <v>-</v>
      </c>
      <c r="M405" s="19">
        <f>IFERROR(__xludf.DUMMYFUNCTION("""COMPUTED_VALUE"""),0.03911)</f>
        <v>0.03911</v>
      </c>
    </row>
    <row r="406">
      <c r="A406" s="12" t="s">
        <v>6496</v>
      </c>
      <c r="G406" s="19">
        <f>IFERROR(__xludf.DUMMYFUNCTION("SPLIT(A404, "" |"")"),402.0)</f>
        <v>402</v>
      </c>
      <c r="H406" s="19">
        <f>IFERROR(__xludf.DUMMYFUNCTION("""COMPUTED_VALUE"""),0.00212)</f>
        <v>0.00212</v>
      </c>
      <c r="I406" s="19" t="str">
        <f>IFERROR(__xludf.DUMMYFUNCTION("""COMPUTED_VALUE"""),"-")</f>
        <v>-</v>
      </c>
      <c r="J406" s="19">
        <f>IFERROR(__xludf.DUMMYFUNCTION("""COMPUTED_VALUE"""),0.00207)</f>
        <v>0.00207</v>
      </c>
      <c r="K406" s="19">
        <f>IFERROR(__xludf.DUMMYFUNCTION("""COMPUTED_VALUE"""),0.03972)</f>
        <v>0.03972</v>
      </c>
      <c r="L406" s="19" t="str">
        <f>IFERROR(__xludf.DUMMYFUNCTION("""COMPUTED_VALUE"""),"-")</f>
        <v>-</v>
      </c>
      <c r="M406" s="19">
        <f>IFERROR(__xludf.DUMMYFUNCTION("""COMPUTED_VALUE"""),0.03658)</f>
        <v>0.03658</v>
      </c>
    </row>
    <row r="407">
      <c r="A407" s="12" t="s">
        <v>6497</v>
      </c>
      <c r="G407" s="19">
        <f>IFERROR(__xludf.DUMMYFUNCTION("SPLIT(A405, "" |"")"),403.0)</f>
        <v>403</v>
      </c>
      <c r="H407" s="19">
        <f>IFERROR(__xludf.DUMMYFUNCTION("""COMPUTED_VALUE"""),0.0021)</f>
        <v>0.0021</v>
      </c>
      <c r="I407" s="19" t="str">
        <f>IFERROR(__xludf.DUMMYFUNCTION("""COMPUTED_VALUE"""),"-")</f>
        <v>-</v>
      </c>
      <c r="J407" s="19">
        <f>IFERROR(__xludf.DUMMYFUNCTION("""COMPUTED_VALUE"""),0.00199)</f>
        <v>0.00199</v>
      </c>
      <c r="K407" s="19">
        <f>IFERROR(__xludf.DUMMYFUNCTION("""COMPUTED_VALUE"""),0.03972)</f>
        <v>0.03972</v>
      </c>
      <c r="L407" s="19" t="str">
        <f>IFERROR(__xludf.DUMMYFUNCTION("""COMPUTED_VALUE"""),"-")</f>
        <v>-</v>
      </c>
      <c r="M407" s="19">
        <f>IFERROR(__xludf.DUMMYFUNCTION("""COMPUTED_VALUE"""),0.03985)</f>
        <v>0.03985</v>
      </c>
    </row>
    <row r="408">
      <c r="A408" s="12" t="s">
        <v>6498</v>
      </c>
      <c r="G408" s="19">
        <f>IFERROR(__xludf.DUMMYFUNCTION("SPLIT(A406, "" |"")"),404.0)</f>
        <v>404</v>
      </c>
      <c r="H408" s="19">
        <f>IFERROR(__xludf.DUMMYFUNCTION("""COMPUTED_VALUE"""),0.00214)</f>
        <v>0.00214</v>
      </c>
      <c r="I408" s="19" t="str">
        <f>IFERROR(__xludf.DUMMYFUNCTION("""COMPUTED_VALUE"""),"-")</f>
        <v>-</v>
      </c>
      <c r="J408" s="19">
        <f>IFERROR(__xludf.DUMMYFUNCTION("""COMPUTED_VALUE"""),0.002)</f>
        <v>0.002</v>
      </c>
      <c r="K408" s="19">
        <f>IFERROR(__xludf.DUMMYFUNCTION("""COMPUTED_VALUE"""),0.03969)</f>
        <v>0.03969</v>
      </c>
      <c r="L408" s="19" t="str">
        <f>IFERROR(__xludf.DUMMYFUNCTION("""COMPUTED_VALUE"""),"-")</f>
        <v>-</v>
      </c>
      <c r="M408" s="19">
        <f>IFERROR(__xludf.DUMMYFUNCTION("""COMPUTED_VALUE"""),0.03992)</f>
        <v>0.03992</v>
      </c>
    </row>
    <row r="409">
      <c r="A409" s="12" t="s">
        <v>6499</v>
      </c>
      <c r="G409" s="19">
        <f>IFERROR(__xludf.DUMMYFUNCTION("SPLIT(A407, "" |"")"),405.0)</f>
        <v>405</v>
      </c>
      <c r="H409" s="19">
        <f>IFERROR(__xludf.DUMMYFUNCTION("""COMPUTED_VALUE"""),0.00207)</f>
        <v>0.00207</v>
      </c>
      <c r="I409" s="19" t="str">
        <f>IFERROR(__xludf.DUMMYFUNCTION("""COMPUTED_VALUE"""),"-")</f>
        <v>-</v>
      </c>
      <c r="J409" s="19">
        <f>IFERROR(__xludf.DUMMYFUNCTION("""COMPUTED_VALUE"""),0.00199)</f>
        <v>0.00199</v>
      </c>
      <c r="K409" s="19">
        <f>IFERROR(__xludf.DUMMYFUNCTION("""COMPUTED_VALUE"""),0.03964)</f>
        <v>0.03964</v>
      </c>
      <c r="L409" s="19" t="str">
        <f>IFERROR(__xludf.DUMMYFUNCTION("""COMPUTED_VALUE"""),"-")</f>
        <v>-</v>
      </c>
      <c r="M409" s="19">
        <f>IFERROR(__xludf.DUMMYFUNCTION("""COMPUTED_VALUE"""),0.03989)</f>
        <v>0.03989</v>
      </c>
    </row>
    <row r="410">
      <c r="A410" s="12" t="s">
        <v>6500</v>
      </c>
      <c r="G410" s="19">
        <f>IFERROR(__xludf.DUMMYFUNCTION("SPLIT(A408, "" |"")"),406.0)</f>
        <v>406</v>
      </c>
      <c r="H410" s="19">
        <f>IFERROR(__xludf.DUMMYFUNCTION("""COMPUTED_VALUE"""),0.00211)</f>
        <v>0.00211</v>
      </c>
      <c r="I410" s="19" t="str">
        <f>IFERROR(__xludf.DUMMYFUNCTION("""COMPUTED_VALUE"""),"-")</f>
        <v>-</v>
      </c>
      <c r="J410" s="19">
        <f>IFERROR(__xludf.DUMMYFUNCTION("""COMPUTED_VALUE"""),0.00198)</f>
        <v>0.00198</v>
      </c>
      <c r="K410" s="19">
        <f>IFERROR(__xludf.DUMMYFUNCTION("""COMPUTED_VALUE"""),0.03973)</f>
        <v>0.03973</v>
      </c>
      <c r="L410" s="19" t="str">
        <f>IFERROR(__xludf.DUMMYFUNCTION("""COMPUTED_VALUE"""),"-")</f>
        <v>-</v>
      </c>
      <c r="M410" s="19">
        <f>IFERROR(__xludf.DUMMYFUNCTION("""COMPUTED_VALUE"""),0.03985)</f>
        <v>0.03985</v>
      </c>
    </row>
    <row r="411">
      <c r="A411" s="12" t="s">
        <v>6501</v>
      </c>
      <c r="G411" s="19">
        <f>IFERROR(__xludf.DUMMYFUNCTION("SPLIT(A409, "" |"")"),407.0)</f>
        <v>407</v>
      </c>
      <c r="H411" s="19">
        <f>IFERROR(__xludf.DUMMYFUNCTION("""COMPUTED_VALUE"""),0.00218)</f>
        <v>0.00218</v>
      </c>
      <c r="I411" s="19" t="str">
        <f>IFERROR(__xludf.DUMMYFUNCTION("""COMPUTED_VALUE"""),"-")</f>
        <v>-</v>
      </c>
      <c r="J411" s="19">
        <f>IFERROR(__xludf.DUMMYFUNCTION("""COMPUTED_VALUE"""),0.00199)</f>
        <v>0.00199</v>
      </c>
      <c r="K411" s="19">
        <f>IFERROR(__xludf.DUMMYFUNCTION("""COMPUTED_VALUE"""),0.03967)</f>
        <v>0.03967</v>
      </c>
      <c r="L411" s="19" t="str">
        <f>IFERROR(__xludf.DUMMYFUNCTION("""COMPUTED_VALUE"""),"-")</f>
        <v>-</v>
      </c>
      <c r="M411" s="19">
        <f>IFERROR(__xludf.DUMMYFUNCTION("""COMPUTED_VALUE"""),0.03984)</f>
        <v>0.03984</v>
      </c>
    </row>
    <row r="412">
      <c r="A412" s="12" t="s">
        <v>6502</v>
      </c>
      <c r="G412" s="19">
        <f>IFERROR(__xludf.DUMMYFUNCTION("SPLIT(A410, "" |"")"),408.0)</f>
        <v>408</v>
      </c>
      <c r="H412" s="19">
        <f>IFERROR(__xludf.DUMMYFUNCTION("""COMPUTED_VALUE"""),0.00209)</f>
        <v>0.00209</v>
      </c>
      <c r="I412" s="19" t="str">
        <f>IFERROR(__xludf.DUMMYFUNCTION("""COMPUTED_VALUE"""),"-")</f>
        <v>-</v>
      </c>
      <c r="J412" s="19">
        <f>IFERROR(__xludf.DUMMYFUNCTION("""COMPUTED_VALUE"""),0.00199)</f>
        <v>0.00199</v>
      </c>
      <c r="K412" s="19">
        <f>IFERROR(__xludf.DUMMYFUNCTION("""COMPUTED_VALUE"""),0.03925)</f>
        <v>0.03925</v>
      </c>
      <c r="L412" s="19" t="str">
        <f>IFERROR(__xludf.DUMMYFUNCTION("""COMPUTED_VALUE"""),"-")</f>
        <v>-</v>
      </c>
      <c r="M412" s="19">
        <f>IFERROR(__xludf.DUMMYFUNCTION("""COMPUTED_VALUE"""),0.03983)</f>
        <v>0.03983</v>
      </c>
    </row>
    <row r="413">
      <c r="A413" s="12" t="s">
        <v>6503</v>
      </c>
      <c r="G413" s="19">
        <f>IFERROR(__xludf.DUMMYFUNCTION("SPLIT(A411, "" |"")"),409.0)</f>
        <v>409</v>
      </c>
      <c r="H413" s="19">
        <f>IFERROR(__xludf.DUMMYFUNCTION("""COMPUTED_VALUE"""),0.00213)</f>
        <v>0.00213</v>
      </c>
      <c r="I413" s="19" t="str">
        <f>IFERROR(__xludf.DUMMYFUNCTION("""COMPUTED_VALUE"""),"-")</f>
        <v>-</v>
      </c>
      <c r="J413" s="19">
        <f>IFERROR(__xludf.DUMMYFUNCTION("""COMPUTED_VALUE"""),0.002)</f>
        <v>0.002</v>
      </c>
      <c r="K413" s="19">
        <f>IFERROR(__xludf.DUMMYFUNCTION("""COMPUTED_VALUE"""),0.03931)</f>
        <v>0.03931</v>
      </c>
      <c r="L413" s="19" t="str">
        <f>IFERROR(__xludf.DUMMYFUNCTION("""COMPUTED_VALUE"""),"-")</f>
        <v>-</v>
      </c>
      <c r="M413" s="19">
        <f>IFERROR(__xludf.DUMMYFUNCTION("""COMPUTED_VALUE"""),0.03979)</f>
        <v>0.03979</v>
      </c>
    </row>
    <row r="414">
      <c r="A414" s="12" t="s">
        <v>6504</v>
      </c>
      <c r="G414" s="19">
        <f>IFERROR(__xludf.DUMMYFUNCTION("SPLIT(A412, "" |"")"),410.0)</f>
        <v>410</v>
      </c>
      <c r="H414" s="19">
        <f>IFERROR(__xludf.DUMMYFUNCTION("""COMPUTED_VALUE"""),0.00206)</f>
        <v>0.00206</v>
      </c>
      <c r="I414" s="19" t="str">
        <f>IFERROR(__xludf.DUMMYFUNCTION("""COMPUTED_VALUE"""),"-")</f>
        <v>-</v>
      </c>
      <c r="J414" s="19">
        <f>IFERROR(__xludf.DUMMYFUNCTION("""COMPUTED_VALUE"""),0.00197)</f>
        <v>0.00197</v>
      </c>
      <c r="K414" s="19">
        <f>IFERROR(__xludf.DUMMYFUNCTION("""COMPUTED_VALUE"""),0.03967)</f>
        <v>0.03967</v>
      </c>
      <c r="L414" s="19" t="str">
        <f>IFERROR(__xludf.DUMMYFUNCTION("""COMPUTED_VALUE"""),"-")</f>
        <v>-</v>
      </c>
      <c r="M414" s="19">
        <f>IFERROR(__xludf.DUMMYFUNCTION("""COMPUTED_VALUE"""),0.03878)</f>
        <v>0.03878</v>
      </c>
    </row>
    <row r="415">
      <c r="A415" s="12" t="s">
        <v>6505</v>
      </c>
      <c r="G415" s="19">
        <f>IFERROR(__xludf.DUMMYFUNCTION("SPLIT(A413, "" |"")"),411.0)</f>
        <v>411</v>
      </c>
      <c r="H415" s="19">
        <f>IFERROR(__xludf.DUMMYFUNCTION("""COMPUTED_VALUE"""),0.0021)</f>
        <v>0.0021</v>
      </c>
      <c r="I415" s="19" t="str">
        <f>IFERROR(__xludf.DUMMYFUNCTION("""COMPUTED_VALUE"""),"-")</f>
        <v>-</v>
      </c>
      <c r="J415" s="19">
        <f>IFERROR(__xludf.DUMMYFUNCTION("""COMPUTED_VALUE"""),0.002)</f>
        <v>0.002</v>
      </c>
      <c r="K415" s="19">
        <f>IFERROR(__xludf.DUMMYFUNCTION("""COMPUTED_VALUE"""),0.03967)</f>
        <v>0.03967</v>
      </c>
      <c r="L415" s="19" t="str">
        <f>IFERROR(__xludf.DUMMYFUNCTION("""COMPUTED_VALUE"""),"-")</f>
        <v>-</v>
      </c>
      <c r="M415" s="19">
        <f>IFERROR(__xludf.DUMMYFUNCTION("""COMPUTED_VALUE"""),0.03978)</f>
        <v>0.03978</v>
      </c>
    </row>
    <row r="416">
      <c r="A416" s="12" t="s">
        <v>6506</v>
      </c>
      <c r="G416" s="19">
        <f>IFERROR(__xludf.DUMMYFUNCTION("SPLIT(A414, "" |"")"),412.0)</f>
        <v>412</v>
      </c>
      <c r="H416" s="19">
        <f>IFERROR(__xludf.DUMMYFUNCTION("""COMPUTED_VALUE"""),0.00212)</f>
        <v>0.00212</v>
      </c>
      <c r="I416" s="19" t="str">
        <f>IFERROR(__xludf.DUMMYFUNCTION("""COMPUTED_VALUE"""),"-")</f>
        <v>-</v>
      </c>
      <c r="J416" s="19">
        <f>IFERROR(__xludf.DUMMYFUNCTION("""COMPUTED_VALUE"""),0.00199)</f>
        <v>0.00199</v>
      </c>
      <c r="K416" s="19">
        <f>IFERROR(__xludf.DUMMYFUNCTION("""COMPUTED_VALUE"""),0.03972)</f>
        <v>0.03972</v>
      </c>
      <c r="L416" s="19" t="str">
        <f>IFERROR(__xludf.DUMMYFUNCTION("""COMPUTED_VALUE"""),"-")</f>
        <v>-</v>
      </c>
      <c r="M416" s="19">
        <f>IFERROR(__xludf.DUMMYFUNCTION("""COMPUTED_VALUE"""),0.0398)</f>
        <v>0.0398</v>
      </c>
    </row>
    <row r="417">
      <c r="A417" s="12" t="s">
        <v>6507</v>
      </c>
      <c r="G417" s="19">
        <f>IFERROR(__xludf.DUMMYFUNCTION("SPLIT(A415, "" |"")"),413.0)</f>
        <v>413</v>
      </c>
      <c r="H417" s="19">
        <f>IFERROR(__xludf.DUMMYFUNCTION("""COMPUTED_VALUE"""),0.00204)</f>
        <v>0.00204</v>
      </c>
      <c r="I417" s="19" t="str">
        <f>IFERROR(__xludf.DUMMYFUNCTION("""COMPUTED_VALUE"""),"-")</f>
        <v>-</v>
      </c>
      <c r="J417" s="19">
        <f>IFERROR(__xludf.DUMMYFUNCTION("""COMPUTED_VALUE"""),0.00198)</f>
        <v>0.00198</v>
      </c>
      <c r="K417" s="19">
        <f>IFERROR(__xludf.DUMMYFUNCTION("""COMPUTED_VALUE"""),0.03981)</f>
        <v>0.03981</v>
      </c>
      <c r="L417" s="19" t="str">
        <f>IFERROR(__xludf.DUMMYFUNCTION("""COMPUTED_VALUE"""),"-")</f>
        <v>-</v>
      </c>
      <c r="M417" s="19">
        <f>IFERROR(__xludf.DUMMYFUNCTION("""COMPUTED_VALUE"""),0.03991)</f>
        <v>0.03991</v>
      </c>
    </row>
    <row r="418">
      <c r="A418" s="12" t="s">
        <v>6508</v>
      </c>
      <c r="G418" s="19">
        <f>IFERROR(__xludf.DUMMYFUNCTION("SPLIT(A416, "" |"")"),414.0)</f>
        <v>414</v>
      </c>
      <c r="H418" s="19">
        <f>IFERROR(__xludf.DUMMYFUNCTION("""COMPUTED_VALUE"""),0.00216)</f>
        <v>0.00216</v>
      </c>
      <c r="I418" s="19" t="str">
        <f>IFERROR(__xludf.DUMMYFUNCTION("""COMPUTED_VALUE"""),"-")</f>
        <v>-</v>
      </c>
      <c r="J418" s="19">
        <f>IFERROR(__xludf.DUMMYFUNCTION("""COMPUTED_VALUE"""),0.00196)</f>
        <v>0.00196</v>
      </c>
      <c r="K418" s="19">
        <f>IFERROR(__xludf.DUMMYFUNCTION("""COMPUTED_VALUE"""),0.03616)</f>
        <v>0.03616</v>
      </c>
      <c r="L418" s="19" t="str">
        <f>IFERROR(__xludf.DUMMYFUNCTION("""COMPUTED_VALUE"""),"-")</f>
        <v>-</v>
      </c>
      <c r="M418" s="19">
        <f>IFERROR(__xludf.DUMMYFUNCTION("""COMPUTED_VALUE"""),0.0392)</f>
        <v>0.0392</v>
      </c>
    </row>
    <row r="419">
      <c r="A419" s="12" t="s">
        <v>6509</v>
      </c>
      <c r="G419" s="19">
        <f>IFERROR(__xludf.DUMMYFUNCTION("SPLIT(A417, "" |"")"),415.0)</f>
        <v>415</v>
      </c>
      <c r="H419" s="19">
        <f>IFERROR(__xludf.DUMMYFUNCTION("""COMPUTED_VALUE"""),0.00229)</f>
        <v>0.00229</v>
      </c>
      <c r="I419" s="19" t="str">
        <f>IFERROR(__xludf.DUMMYFUNCTION("""COMPUTED_VALUE"""),"-")</f>
        <v>-</v>
      </c>
      <c r="J419" s="19">
        <f>IFERROR(__xludf.DUMMYFUNCTION("""COMPUTED_VALUE"""),0.00208)</f>
        <v>0.00208</v>
      </c>
      <c r="K419" s="19">
        <f>IFERROR(__xludf.DUMMYFUNCTION("""COMPUTED_VALUE"""),0.03976)</f>
        <v>0.03976</v>
      </c>
      <c r="L419" s="19" t="str">
        <f>IFERROR(__xludf.DUMMYFUNCTION("""COMPUTED_VALUE"""),"-")</f>
        <v>-</v>
      </c>
      <c r="M419" s="19">
        <f>IFERROR(__xludf.DUMMYFUNCTION("""COMPUTED_VALUE"""),0.03965)</f>
        <v>0.03965</v>
      </c>
    </row>
    <row r="420">
      <c r="A420" s="12" t="s">
        <v>6510</v>
      </c>
      <c r="G420" s="19">
        <f>IFERROR(__xludf.DUMMYFUNCTION("SPLIT(A418, "" |"")"),416.0)</f>
        <v>416</v>
      </c>
      <c r="H420" s="19">
        <f>IFERROR(__xludf.DUMMYFUNCTION("""COMPUTED_VALUE"""),0.00209)</f>
        <v>0.00209</v>
      </c>
      <c r="I420" s="19" t="str">
        <f>IFERROR(__xludf.DUMMYFUNCTION("""COMPUTED_VALUE"""),"-")</f>
        <v>-</v>
      </c>
      <c r="J420" s="19">
        <f>IFERROR(__xludf.DUMMYFUNCTION("""COMPUTED_VALUE"""),0.00203)</f>
        <v>0.00203</v>
      </c>
      <c r="K420" s="19">
        <f>IFERROR(__xludf.DUMMYFUNCTION("""COMPUTED_VALUE"""),0.03889)</f>
        <v>0.03889</v>
      </c>
      <c r="L420" s="19" t="str">
        <f>IFERROR(__xludf.DUMMYFUNCTION("""COMPUTED_VALUE"""),"-")</f>
        <v>-</v>
      </c>
      <c r="M420" s="19">
        <f>IFERROR(__xludf.DUMMYFUNCTION("""COMPUTED_VALUE"""),0.03989)</f>
        <v>0.03989</v>
      </c>
    </row>
    <row r="421">
      <c r="A421" s="12" t="s">
        <v>6511</v>
      </c>
      <c r="G421" s="19">
        <f>IFERROR(__xludf.DUMMYFUNCTION("SPLIT(A419, "" |"")"),417.0)</f>
        <v>417</v>
      </c>
      <c r="H421" s="19">
        <f>IFERROR(__xludf.DUMMYFUNCTION("""COMPUTED_VALUE"""),0.00221)</f>
        <v>0.00221</v>
      </c>
      <c r="I421" s="19" t="str">
        <f>IFERROR(__xludf.DUMMYFUNCTION("""COMPUTED_VALUE"""),"-")</f>
        <v>-</v>
      </c>
      <c r="J421" s="19">
        <f>IFERROR(__xludf.DUMMYFUNCTION("""COMPUTED_VALUE"""),0.00201)</f>
        <v>0.00201</v>
      </c>
      <c r="K421" s="19">
        <f>IFERROR(__xludf.DUMMYFUNCTION("""COMPUTED_VALUE"""),0.03968)</f>
        <v>0.03968</v>
      </c>
      <c r="L421" s="19" t="str">
        <f>IFERROR(__xludf.DUMMYFUNCTION("""COMPUTED_VALUE"""),"-")</f>
        <v>-</v>
      </c>
      <c r="M421" s="19">
        <f>IFERROR(__xludf.DUMMYFUNCTION("""COMPUTED_VALUE"""),0.03695)</f>
        <v>0.03695</v>
      </c>
    </row>
    <row r="422">
      <c r="A422" s="12" t="s">
        <v>6512</v>
      </c>
      <c r="G422" s="19">
        <f>IFERROR(__xludf.DUMMYFUNCTION("SPLIT(A420, "" |"")"),418.0)</f>
        <v>418</v>
      </c>
      <c r="H422" s="19">
        <f>IFERROR(__xludf.DUMMYFUNCTION("""COMPUTED_VALUE"""),0.00205)</f>
        <v>0.00205</v>
      </c>
      <c r="I422" s="19" t="str">
        <f>IFERROR(__xludf.DUMMYFUNCTION("""COMPUTED_VALUE"""),"-")</f>
        <v>-</v>
      </c>
      <c r="J422" s="19">
        <f>IFERROR(__xludf.DUMMYFUNCTION("""COMPUTED_VALUE"""),0.002)</f>
        <v>0.002</v>
      </c>
      <c r="K422" s="19">
        <f>IFERROR(__xludf.DUMMYFUNCTION("""COMPUTED_VALUE"""),0.03974)</f>
        <v>0.03974</v>
      </c>
      <c r="L422" s="19" t="str">
        <f>IFERROR(__xludf.DUMMYFUNCTION("""COMPUTED_VALUE"""),"-")</f>
        <v>-</v>
      </c>
      <c r="M422" s="19">
        <f>IFERROR(__xludf.DUMMYFUNCTION("""COMPUTED_VALUE"""),0.04016)</f>
        <v>0.04016</v>
      </c>
    </row>
    <row r="423">
      <c r="A423" s="12" t="s">
        <v>6513</v>
      </c>
      <c r="G423" s="19">
        <f>IFERROR(__xludf.DUMMYFUNCTION("SPLIT(A421, "" |"")"),419.0)</f>
        <v>419</v>
      </c>
      <c r="H423" s="19">
        <f>IFERROR(__xludf.DUMMYFUNCTION("""COMPUTED_VALUE"""),0.00208)</f>
        <v>0.00208</v>
      </c>
      <c r="I423" s="19" t="str">
        <f>IFERROR(__xludf.DUMMYFUNCTION("""COMPUTED_VALUE"""),"-")</f>
        <v>-</v>
      </c>
      <c r="J423" s="19">
        <f>IFERROR(__xludf.DUMMYFUNCTION("""COMPUTED_VALUE"""),0.002)</f>
        <v>0.002</v>
      </c>
      <c r="K423" s="19">
        <f>IFERROR(__xludf.DUMMYFUNCTION("""COMPUTED_VALUE"""),0.03881)</f>
        <v>0.03881</v>
      </c>
      <c r="L423" s="19" t="str">
        <f>IFERROR(__xludf.DUMMYFUNCTION("""COMPUTED_VALUE"""),"-")</f>
        <v>-</v>
      </c>
      <c r="M423" s="19">
        <f>IFERROR(__xludf.DUMMYFUNCTION("""COMPUTED_VALUE"""),0.03982)</f>
        <v>0.03982</v>
      </c>
    </row>
    <row r="424">
      <c r="A424" s="12" t="s">
        <v>6514</v>
      </c>
      <c r="G424" s="19">
        <f>IFERROR(__xludf.DUMMYFUNCTION("SPLIT(A422, "" |"")"),420.0)</f>
        <v>420</v>
      </c>
      <c r="H424" s="19">
        <f>IFERROR(__xludf.DUMMYFUNCTION("""COMPUTED_VALUE"""),0.00209)</f>
        <v>0.00209</v>
      </c>
      <c r="I424" s="19" t="str">
        <f>IFERROR(__xludf.DUMMYFUNCTION("""COMPUTED_VALUE"""),"-")</f>
        <v>-</v>
      </c>
      <c r="J424" s="19">
        <f>IFERROR(__xludf.DUMMYFUNCTION("""COMPUTED_VALUE"""),0.00199)</f>
        <v>0.00199</v>
      </c>
      <c r="K424" s="19">
        <f>IFERROR(__xludf.DUMMYFUNCTION("""COMPUTED_VALUE"""),0.03972)</f>
        <v>0.03972</v>
      </c>
      <c r="L424" s="19" t="str">
        <f>IFERROR(__xludf.DUMMYFUNCTION("""COMPUTED_VALUE"""),"-")</f>
        <v>-</v>
      </c>
      <c r="M424" s="19">
        <f>IFERROR(__xludf.DUMMYFUNCTION("""COMPUTED_VALUE"""),0.03917)</f>
        <v>0.03917</v>
      </c>
    </row>
    <row r="425">
      <c r="A425" s="12" t="s">
        <v>6515</v>
      </c>
      <c r="G425" s="19">
        <f>IFERROR(__xludf.DUMMYFUNCTION("SPLIT(A423, "" |"")"),421.0)</f>
        <v>421</v>
      </c>
      <c r="H425" s="19">
        <f>IFERROR(__xludf.DUMMYFUNCTION("""COMPUTED_VALUE"""),0.00212)</f>
        <v>0.00212</v>
      </c>
      <c r="I425" s="19" t="str">
        <f>IFERROR(__xludf.DUMMYFUNCTION("""COMPUTED_VALUE"""),"-")</f>
        <v>-</v>
      </c>
      <c r="J425" s="19">
        <f>IFERROR(__xludf.DUMMYFUNCTION("""COMPUTED_VALUE"""),0.00198)</f>
        <v>0.00198</v>
      </c>
      <c r="K425" s="19">
        <f>IFERROR(__xludf.DUMMYFUNCTION("""COMPUTED_VALUE"""),0.03972)</f>
        <v>0.03972</v>
      </c>
      <c r="L425" s="19" t="str">
        <f>IFERROR(__xludf.DUMMYFUNCTION("""COMPUTED_VALUE"""),"-")</f>
        <v>-</v>
      </c>
      <c r="M425" s="19">
        <f>IFERROR(__xludf.DUMMYFUNCTION("""COMPUTED_VALUE"""),0.03981)</f>
        <v>0.03981</v>
      </c>
    </row>
    <row r="426">
      <c r="A426" s="12" t="s">
        <v>6516</v>
      </c>
      <c r="G426" s="19">
        <f>IFERROR(__xludf.DUMMYFUNCTION("SPLIT(A424, "" |"")"),422.0)</f>
        <v>422</v>
      </c>
      <c r="H426" s="19">
        <f>IFERROR(__xludf.DUMMYFUNCTION("""COMPUTED_VALUE"""),0.00204)</f>
        <v>0.00204</v>
      </c>
      <c r="I426" s="19" t="str">
        <f>IFERROR(__xludf.DUMMYFUNCTION("""COMPUTED_VALUE"""),"-")</f>
        <v>-</v>
      </c>
      <c r="J426" s="19">
        <f>IFERROR(__xludf.DUMMYFUNCTION("""COMPUTED_VALUE"""),0.00197)</f>
        <v>0.00197</v>
      </c>
      <c r="K426" s="19">
        <f>IFERROR(__xludf.DUMMYFUNCTION("""COMPUTED_VALUE"""),0.03972)</f>
        <v>0.03972</v>
      </c>
      <c r="L426" s="19" t="str">
        <f>IFERROR(__xludf.DUMMYFUNCTION("""COMPUTED_VALUE"""),"-")</f>
        <v>-</v>
      </c>
      <c r="M426" s="19">
        <f>IFERROR(__xludf.DUMMYFUNCTION("""COMPUTED_VALUE"""),0.03971)</f>
        <v>0.03971</v>
      </c>
    </row>
    <row r="427">
      <c r="A427" s="12" t="s">
        <v>6517</v>
      </c>
      <c r="G427" s="19">
        <f>IFERROR(__xludf.DUMMYFUNCTION("SPLIT(A425, "" |"")"),423.0)</f>
        <v>423</v>
      </c>
      <c r="H427" s="19">
        <f>IFERROR(__xludf.DUMMYFUNCTION("""COMPUTED_VALUE"""),0.00197)</f>
        <v>0.00197</v>
      </c>
      <c r="I427" s="19" t="str">
        <f>IFERROR(__xludf.DUMMYFUNCTION("""COMPUTED_VALUE"""),"-")</f>
        <v>-</v>
      </c>
      <c r="J427" s="19">
        <f>IFERROR(__xludf.DUMMYFUNCTION("""COMPUTED_VALUE"""),0.00185)</f>
        <v>0.00185</v>
      </c>
      <c r="K427" s="19">
        <f>IFERROR(__xludf.DUMMYFUNCTION("""COMPUTED_VALUE"""),0.0395)</f>
        <v>0.0395</v>
      </c>
      <c r="L427" s="19" t="str">
        <f>IFERROR(__xludf.DUMMYFUNCTION("""COMPUTED_VALUE"""),"-")</f>
        <v>-</v>
      </c>
      <c r="M427" s="19">
        <f>IFERROR(__xludf.DUMMYFUNCTION("""COMPUTED_VALUE"""),0.03981)</f>
        <v>0.03981</v>
      </c>
    </row>
    <row r="428">
      <c r="A428" s="12" t="s">
        <v>6518</v>
      </c>
      <c r="G428" s="19">
        <f>IFERROR(__xludf.DUMMYFUNCTION("SPLIT(A426, "" |"")"),424.0)</f>
        <v>424</v>
      </c>
      <c r="H428" s="19">
        <f>IFERROR(__xludf.DUMMYFUNCTION("""COMPUTED_VALUE"""),0.00204)</f>
        <v>0.00204</v>
      </c>
      <c r="I428" s="19" t="str">
        <f>IFERROR(__xludf.DUMMYFUNCTION("""COMPUTED_VALUE"""),"-")</f>
        <v>-</v>
      </c>
      <c r="J428" s="19">
        <f>IFERROR(__xludf.DUMMYFUNCTION("""COMPUTED_VALUE"""),0.00188)</f>
        <v>0.00188</v>
      </c>
      <c r="K428" s="19">
        <f>IFERROR(__xludf.DUMMYFUNCTION("""COMPUTED_VALUE"""),0.04008)</f>
        <v>0.04008</v>
      </c>
      <c r="L428" s="19" t="str">
        <f>IFERROR(__xludf.DUMMYFUNCTION("""COMPUTED_VALUE"""),"-")</f>
        <v>-</v>
      </c>
      <c r="M428" s="19">
        <f>IFERROR(__xludf.DUMMYFUNCTION("""COMPUTED_VALUE"""),0.03972)</f>
        <v>0.03972</v>
      </c>
    </row>
    <row r="429">
      <c r="A429" s="12" t="s">
        <v>6519</v>
      </c>
      <c r="G429" s="19">
        <f>IFERROR(__xludf.DUMMYFUNCTION("SPLIT(A427, "" |"")"),425.0)</f>
        <v>425</v>
      </c>
      <c r="H429" s="19">
        <f>IFERROR(__xludf.DUMMYFUNCTION("""COMPUTED_VALUE"""),0.00211)</f>
        <v>0.00211</v>
      </c>
      <c r="I429" s="19" t="str">
        <f>IFERROR(__xludf.DUMMYFUNCTION("""COMPUTED_VALUE"""),"-")</f>
        <v>-</v>
      </c>
      <c r="J429" s="19">
        <f>IFERROR(__xludf.DUMMYFUNCTION("""COMPUTED_VALUE"""),0.00188)</f>
        <v>0.00188</v>
      </c>
      <c r="K429" s="19">
        <f>IFERROR(__xludf.DUMMYFUNCTION("""COMPUTED_VALUE"""),0.03966)</f>
        <v>0.03966</v>
      </c>
      <c r="L429" s="19" t="str">
        <f>IFERROR(__xludf.DUMMYFUNCTION("""COMPUTED_VALUE"""),"-")</f>
        <v>-</v>
      </c>
      <c r="M429" s="19">
        <f>IFERROR(__xludf.DUMMYFUNCTION("""COMPUTED_VALUE"""),0.03984)</f>
        <v>0.03984</v>
      </c>
    </row>
    <row r="430">
      <c r="A430" s="12" t="s">
        <v>6520</v>
      </c>
      <c r="G430" s="19">
        <f>IFERROR(__xludf.DUMMYFUNCTION("SPLIT(A428, "" |"")"),426.0)</f>
        <v>426</v>
      </c>
      <c r="H430" s="19">
        <f>IFERROR(__xludf.DUMMYFUNCTION("""COMPUTED_VALUE"""),0.00213)</f>
        <v>0.00213</v>
      </c>
      <c r="I430" s="19" t="str">
        <f>IFERROR(__xludf.DUMMYFUNCTION("""COMPUTED_VALUE"""),"-")</f>
        <v>-</v>
      </c>
      <c r="J430" s="19">
        <f>IFERROR(__xludf.DUMMYFUNCTION("""COMPUTED_VALUE"""),0.00202)</f>
        <v>0.00202</v>
      </c>
      <c r="K430" s="19">
        <f>IFERROR(__xludf.DUMMYFUNCTION("""COMPUTED_VALUE"""),0.03968)</f>
        <v>0.03968</v>
      </c>
      <c r="L430" s="19" t="str">
        <f>IFERROR(__xludf.DUMMYFUNCTION("""COMPUTED_VALUE"""),"-")</f>
        <v>-</v>
      </c>
      <c r="M430" s="19">
        <f>IFERROR(__xludf.DUMMYFUNCTION("""COMPUTED_VALUE"""),0.04029)</f>
        <v>0.04029</v>
      </c>
    </row>
    <row r="431">
      <c r="A431" s="12" t="s">
        <v>6521</v>
      </c>
      <c r="G431" s="19">
        <f>IFERROR(__xludf.DUMMYFUNCTION("SPLIT(A429, "" |"")"),427.0)</f>
        <v>427</v>
      </c>
      <c r="H431" s="19">
        <f>IFERROR(__xludf.DUMMYFUNCTION("""COMPUTED_VALUE"""),0.0022)</f>
        <v>0.0022</v>
      </c>
      <c r="I431" s="19" t="str">
        <f>IFERROR(__xludf.DUMMYFUNCTION("""COMPUTED_VALUE"""),"-")</f>
        <v>-</v>
      </c>
      <c r="J431" s="19">
        <f>IFERROR(__xludf.DUMMYFUNCTION("""COMPUTED_VALUE"""),0.00199)</f>
        <v>0.00199</v>
      </c>
      <c r="K431" s="19">
        <f>IFERROR(__xludf.DUMMYFUNCTION("""COMPUTED_VALUE"""),0.03973)</f>
        <v>0.03973</v>
      </c>
      <c r="L431" s="19" t="str">
        <f>IFERROR(__xludf.DUMMYFUNCTION("""COMPUTED_VALUE"""),"-")</f>
        <v>-</v>
      </c>
      <c r="M431" s="19">
        <f>IFERROR(__xludf.DUMMYFUNCTION("""COMPUTED_VALUE"""),0.03992)</f>
        <v>0.03992</v>
      </c>
    </row>
    <row r="432">
      <c r="A432" s="12" t="s">
        <v>6522</v>
      </c>
      <c r="G432" s="19">
        <f>IFERROR(__xludf.DUMMYFUNCTION("SPLIT(A430, "" |"")"),428.0)</f>
        <v>428</v>
      </c>
      <c r="H432" s="19">
        <f>IFERROR(__xludf.DUMMYFUNCTION("""COMPUTED_VALUE"""),0.00216)</f>
        <v>0.00216</v>
      </c>
      <c r="I432" s="19" t="str">
        <f>IFERROR(__xludf.DUMMYFUNCTION("""COMPUTED_VALUE"""),"-")</f>
        <v>-</v>
      </c>
      <c r="J432" s="19">
        <f>IFERROR(__xludf.DUMMYFUNCTION("""COMPUTED_VALUE"""),0.00195)</f>
        <v>0.00195</v>
      </c>
      <c r="K432" s="19">
        <f>IFERROR(__xludf.DUMMYFUNCTION("""COMPUTED_VALUE"""),0.03974)</f>
        <v>0.03974</v>
      </c>
      <c r="L432" s="19" t="str">
        <f>IFERROR(__xludf.DUMMYFUNCTION("""COMPUTED_VALUE"""),"-")</f>
        <v>-</v>
      </c>
      <c r="M432" s="19">
        <f>IFERROR(__xludf.DUMMYFUNCTION("""COMPUTED_VALUE"""),0.03981)</f>
        <v>0.03981</v>
      </c>
    </row>
    <row r="433">
      <c r="A433" s="12" t="s">
        <v>6523</v>
      </c>
      <c r="G433" s="19">
        <f>IFERROR(__xludf.DUMMYFUNCTION("SPLIT(A431, "" |"")"),429.0)</f>
        <v>429</v>
      </c>
      <c r="H433" s="19">
        <f>IFERROR(__xludf.DUMMYFUNCTION("""COMPUTED_VALUE"""),0.0021)</f>
        <v>0.0021</v>
      </c>
      <c r="I433" s="19" t="str">
        <f>IFERROR(__xludf.DUMMYFUNCTION("""COMPUTED_VALUE"""),"-")</f>
        <v>-</v>
      </c>
      <c r="J433" s="19">
        <f>IFERROR(__xludf.DUMMYFUNCTION("""COMPUTED_VALUE"""),0.00187)</f>
        <v>0.00187</v>
      </c>
      <c r="K433" s="19">
        <f>IFERROR(__xludf.DUMMYFUNCTION("""COMPUTED_VALUE"""),0.03962)</f>
        <v>0.03962</v>
      </c>
      <c r="L433" s="19" t="str">
        <f>IFERROR(__xludf.DUMMYFUNCTION("""COMPUTED_VALUE"""),"-")</f>
        <v>-</v>
      </c>
      <c r="M433" s="19">
        <f>IFERROR(__xludf.DUMMYFUNCTION("""COMPUTED_VALUE"""),0.03984)</f>
        <v>0.03984</v>
      </c>
    </row>
    <row r="434">
      <c r="A434" s="12" t="s">
        <v>6524</v>
      </c>
      <c r="G434" s="19">
        <f>IFERROR(__xludf.DUMMYFUNCTION("SPLIT(A432, "" |"")"),430.0)</f>
        <v>430</v>
      </c>
      <c r="H434" s="19">
        <f>IFERROR(__xludf.DUMMYFUNCTION("""COMPUTED_VALUE"""),0.00211)</f>
        <v>0.00211</v>
      </c>
      <c r="I434" s="19" t="str">
        <f>IFERROR(__xludf.DUMMYFUNCTION("""COMPUTED_VALUE"""),"-")</f>
        <v>-</v>
      </c>
      <c r="J434" s="19">
        <f>IFERROR(__xludf.DUMMYFUNCTION("""COMPUTED_VALUE"""),0.00206)</f>
        <v>0.00206</v>
      </c>
      <c r="K434" s="19">
        <f>IFERROR(__xludf.DUMMYFUNCTION("""COMPUTED_VALUE"""),0.03971)</f>
        <v>0.03971</v>
      </c>
      <c r="L434" s="19" t="str">
        <f>IFERROR(__xludf.DUMMYFUNCTION("""COMPUTED_VALUE"""),"-")</f>
        <v>-</v>
      </c>
      <c r="M434" s="19">
        <f>IFERROR(__xludf.DUMMYFUNCTION("""COMPUTED_VALUE"""),0.03981)</f>
        <v>0.03981</v>
      </c>
    </row>
    <row r="435">
      <c r="A435" s="12" t="s">
        <v>6525</v>
      </c>
      <c r="G435" s="19">
        <f>IFERROR(__xludf.DUMMYFUNCTION("SPLIT(A433, "" |"")"),431.0)</f>
        <v>431</v>
      </c>
      <c r="H435" s="19">
        <f>IFERROR(__xludf.DUMMYFUNCTION("""COMPUTED_VALUE"""),0.0021)</f>
        <v>0.0021</v>
      </c>
      <c r="I435" s="19" t="str">
        <f>IFERROR(__xludf.DUMMYFUNCTION("""COMPUTED_VALUE"""),"-")</f>
        <v>-</v>
      </c>
      <c r="J435" s="19">
        <f>IFERROR(__xludf.DUMMYFUNCTION("""COMPUTED_VALUE"""),0.002)</f>
        <v>0.002</v>
      </c>
      <c r="K435" s="19">
        <f>IFERROR(__xludf.DUMMYFUNCTION("""COMPUTED_VALUE"""),0.03974)</f>
        <v>0.03974</v>
      </c>
      <c r="L435" s="19" t="str">
        <f>IFERROR(__xludf.DUMMYFUNCTION("""COMPUTED_VALUE"""),"-")</f>
        <v>-</v>
      </c>
      <c r="M435" s="19">
        <f>IFERROR(__xludf.DUMMYFUNCTION("""COMPUTED_VALUE"""),0.03985)</f>
        <v>0.03985</v>
      </c>
    </row>
    <row r="436">
      <c r="A436" s="12" t="s">
        <v>6526</v>
      </c>
      <c r="G436" s="19">
        <f>IFERROR(__xludf.DUMMYFUNCTION("SPLIT(A434, "" |"")"),432.0)</f>
        <v>432</v>
      </c>
      <c r="H436" s="19">
        <f>IFERROR(__xludf.DUMMYFUNCTION("""COMPUTED_VALUE"""),0.00201)</f>
        <v>0.00201</v>
      </c>
      <c r="I436" s="19" t="str">
        <f>IFERROR(__xludf.DUMMYFUNCTION("""COMPUTED_VALUE"""),"-")</f>
        <v>-</v>
      </c>
      <c r="J436" s="19">
        <f>IFERROR(__xludf.DUMMYFUNCTION("""COMPUTED_VALUE"""),0.00187)</f>
        <v>0.00187</v>
      </c>
      <c r="K436" s="19">
        <f>IFERROR(__xludf.DUMMYFUNCTION("""COMPUTED_VALUE"""),0.0397)</f>
        <v>0.0397</v>
      </c>
      <c r="L436" s="19" t="str">
        <f>IFERROR(__xludf.DUMMYFUNCTION("""COMPUTED_VALUE"""),"-")</f>
        <v>-</v>
      </c>
      <c r="M436" s="19">
        <f>IFERROR(__xludf.DUMMYFUNCTION("""COMPUTED_VALUE"""),0.03977)</f>
        <v>0.03977</v>
      </c>
    </row>
    <row r="437">
      <c r="A437" s="12" t="s">
        <v>6527</v>
      </c>
      <c r="G437" s="19">
        <f>IFERROR(__xludf.DUMMYFUNCTION("SPLIT(A435, "" |"")"),433.0)</f>
        <v>433</v>
      </c>
      <c r="H437" s="19">
        <f>IFERROR(__xludf.DUMMYFUNCTION("""COMPUTED_VALUE"""),0.00218)</f>
        <v>0.00218</v>
      </c>
      <c r="I437" s="19" t="str">
        <f>IFERROR(__xludf.DUMMYFUNCTION("""COMPUTED_VALUE"""),"-")</f>
        <v>-</v>
      </c>
      <c r="J437" s="19">
        <f>IFERROR(__xludf.DUMMYFUNCTION("""COMPUTED_VALUE"""),0.00192)</f>
        <v>0.00192</v>
      </c>
      <c r="K437" s="19">
        <f>IFERROR(__xludf.DUMMYFUNCTION("""COMPUTED_VALUE"""),0.03975)</f>
        <v>0.03975</v>
      </c>
      <c r="L437" s="19" t="str">
        <f>IFERROR(__xludf.DUMMYFUNCTION("""COMPUTED_VALUE"""),"-")</f>
        <v>-</v>
      </c>
      <c r="M437" s="19">
        <f>IFERROR(__xludf.DUMMYFUNCTION("""COMPUTED_VALUE"""),0.03977)</f>
        <v>0.03977</v>
      </c>
    </row>
    <row r="438">
      <c r="A438" s="12" t="s">
        <v>6528</v>
      </c>
      <c r="G438" s="19">
        <f>IFERROR(__xludf.DUMMYFUNCTION("SPLIT(A436, "" |"")"),434.0)</f>
        <v>434</v>
      </c>
      <c r="H438" s="19">
        <f>IFERROR(__xludf.DUMMYFUNCTION("""COMPUTED_VALUE"""),0.00208)</f>
        <v>0.00208</v>
      </c>
      <c r="I438" s="19" t="str">
        <f>IFERROR(__xludf.DUMMYFUNCTION("""COMPUTED_VALUE"""),"-")</f>
        <v>-</v>
      </c>
      <c r="J438" s="19">
        <f>IFERROR(__xludf.DUMMYFUNCTION("""COMPUTED_VALUE"""),0.00197)</f>
        <v>0.00197</v>
      </c>
      <c r="K438" s="19">
        <f>IFERROR(__xludf.DUMMYFUNCTION("""COMPUTED_VALUE"""),0.0397)</f>
        <v>0.0397</v>
      </c>
      <c r="L438" s="19" t="str">
        <f>IFERROR(__xludf.DUMMYFUNCTION("""COMPUTED_VALUE"""),"-")</f>
        <v>-</v>
      </c>
      <c r="M438" s="19">
        <f>IFERROR(__xludf.DUMMYFUNCTION("""COMPUTED_VALUE"""),0.03983)</f>
        <v>0.03983</v>
      </c>
    </row>
    <row r="439">
      <c r="A439" s="12" t="s">
        <v>6529</v>
      </c>
      <c r="G439" s="19">
        <f>IFERROR(__xludf.DUMMYFUNCTION("SPLIT(A437, "" |"")"),435.0)</f>
        <v>435</v>
      </c>
      <c r="H439" s="19">
        <f>IFERROR(__xludf.DUMMYFUNCTION("""COMPUTED_VALUE"""),0.00212)</f>
        <v>0.00212</v>
      </c>
      <c r="I439" s="19" t="str">
        <f>IFERROR(__xludf.DUMMYFUNCTION("""COMPUTED_VALUE"""),"-")</f>
        <v>-</v>
      </c>
      <c r="J439" s="19">
        <f>IFERROR(__xludf.DUMMYFUNCTION("""COMPUTED_VALUE"""),0.00199)</f>
        <v>0.00199</v>
      </c>
      <c r="K439" s="19">
        <f>IFERROR(__xludf.DUMMYFUNCTION("""COMPUTED_VALUE"""),0.03966)</f>
        <v>0.03966</v>
      </c>
      <c r="L439" s="19" t="str">
        <f>IFERROR(__xludf.DUMMYFUNCTION("""COMPUTED_VALUE"""),"-")</f>
        <v>-</v>
      </c>
      <c r="M439" s="19">
        <f>IFERROR(__xludf.DUMMYFUNCTION("""COMPUTED_VALUE"""),0.03976)</f>
        <v>0.03976</v>
      </c>
    </row>
    <row r="440">
      <c r="A440" s="12" t="s">
        <v>6530</v>
      </c>
      <c r="G440" s="19">
        <f>IFERROR(__xludf.DUMMYFUNCTION("SPLIT(A438, "" |"")"),436.0)</f>
        <v>436</v>
      </c>
      <c r="H440" s="19">
        <f>IFERROR(__xludf.DUMMYFUNCTION("""COMPUTED_VALUE"""),0.00211)</f>
        <v>0.00211</v>
      </c>
      <c r="I440" s="19" t="str">
        <f>IFERROR(__xludf.DUMMYFUNCTION("""COMPUTED_VALUE"""),"-")</f>
        <v>-</v>
      </c>
      <c r="J440" s="19">
        <f>IFERROR(__xludf.DUMMYFUNCTION("""COMPUTED_VALUE"""),0.00197)</f>
        <v>0.00197</v>
      </c>
      <c r="K440" s="19">
        <f>IFERROR(__xludf.DUMMYFUNCTION("""COMPUTED_VALUE"""),0.03961)</f>
        <v>0.03961</v>
      </c>
      <c r="L440" s="19" t="str">
        <f>IFERROR(__xludf.DUMMYFUNCTION("""COMPUTED_VALUE"""),"-")</f>
        <v>-</v>
      </c>
      <c r="M440" s="19">
        <f>IFERROR(__xludf.DUMMYFUNCTION("""COMPUTED_VALUE"""),0.03973)</f>
        <v>0.03973</v>
      </c>
    </row>
    <row r="441">
      <c r="A441" s="12" t="s">
        <v>6531</v>
      </c>
      <c r="G441" s="19">
        <f>IFERROR(__xludf.DUMMYFUNCTION("SPLIT(A439, "" |"")"),437.0)</f>
        <v>437</v>
      </c>
      <c r="H441" s="19">
        <f>IFERROR(__xludf.DUMMYFUNCTION("""COMPUTED_VALUE"""),0.00203)</f>
        <v>0.00203</v>
      </c>
      <c r="I441" s="19" t="str">
        <f>IFERROR(__xludf.DUMMYFUNCTION("""COMPUTED_VALUE"""),"-")</f>
        <v>-</v>
      </c>
      <c r="J441" s="19">
        <f>IFERROR(__xludf.DUMMYFUNCTION("""COMPUTED_VALUE"""),0.00191)</f>
        <v>0.00191</v>
      </c>
      <c r="K441" s="19">
        <f>IFERROR(__xludf.DUMMYFUNCTION("""COMPUTED_VALUE"""),0.0397)</f>
        <v>0.0397</v>
      </c>
      <c r="L441" s="19" t="str">
        <f>IFERROR(__xludf.DUMMYFUNCTION("""COMPUTED_VALUE"""),"-")</f>
        <v>-</v>
      </c>
      <c r="M441" s="19">
        <f>IFERROR(__xludf.DUMMYFUNCTION("""COMPUTED_VALUE"""),0.04046)</f>
        <v>0.04046</v>
      </c>
    </row>
    <row r="442">
      <c r="A442" s="12" t="s">
        <v>6532</v>
      </c>
      <c r="G442" s="19">
        <f>IFERROR(__xludf.DUMMYFUNCTION("SPLIT(A440, "" |"")"),438.0)</f>
        <v>438</v>
      </c>
      <c r="H442" s="19">
        <f>IFERROR(__xludf.DUMMYFUNCTION("""COMPUTED_VALUE"""),0.00212)</f>
        <v>0.00212</v>
      </c>
      <c r="I442" s="19" t="str">
        <f>IFERROR(__xludf.DUMMYFUNCTION("""COMPUTED_VALUE"""),"-")</f>
        <v>-</v>
      </c>
      <c r="J442" s="19">
        <f>IFERROR(__xludf.DUMMYFUNCTION("""COMPUTED_VALUE"""),0.00199)</f>
        <v>0.00199</v>
      </c>
      <c r="K442" s="19">
        <f>IFERROR(__xludf.DUMMYFUNCTION("""COMPUTED_VALUE"""),0.0397)</f>
        <v>0.0397</v>
      </c>
      <c r="L442" s="19" t="str">
        <f>IFERROR(__xludf.DUMMYFUNCTION("""COMPUTED_VALUE"""),"-")</f>
        <v>-</v>
      </c>
      <c r="M442" s="19">
        <f>IFERROR(__xludf.DUMMYFUNCTION("""COMPUTED_VALUE"""),0.03989)</f>
        <v>0.03989</v>
      </c>
    </row>
    <row r="443">
      <c r="A443" s="12" t="s">
        <v>6533</v>
      </c>
      <c r="G443" s="19">
        <f>IFERROR(__xludf.DUMMYFUNCTION("SPLIT(A441, "" |"")"),439.0)</f>
        <v>439</v>
      </c>
      <c r="H443" s="19">
        <f>IFERROR(__xludf.DUMMYFUNCTION("""COMPUTED_VALUE"""),0.00212)</f>
        <v>0.00212</v>
      </c>
      <c r="I443" s="19" t="str">
        <f>IFERROR(__xludf.DUMMYFUNCTION("""COMPUTED_VALUE"""),"-")</f>
        <v>-</v>
      </c>
      <c r="J443" s="19">
        <f>IFERROR(__xludf.DUMMYFUNCTION("""COMPUTED_VALUE"""),0.00202)</f>
        <v>0.00202</v>
      </c>
      <c r="K443" s="19">
        <f>IFERROR(__xludf.DUMMYFUNCTION("""COMPUTED_VALUE"""),0.03981)</f>
        <v>0.03981</v>
      </c>
      <c r="L443" s="19" t="str">
        <f>IFERROR(__xludf.DUMMYFUNCTION("""COMPUTED_VALUE"""),"-")</f>
        <v>-</v>
      </c>
      <c r="M443" s="19">
        <f>IFERROR(__xludf.DUMMYFUNCTION("""COMPUTED_VALUE"""),0.04023)</f>
        <v>0.04023</v>
      </c>
    </row>
    <row r="444">
      <c r="A444" s="12" t="s">
        <v>6534</v>
      </c>
      <c r="G444" s="19">
        <f>IFERROR(__xludf.DUMMYFUNCTION("SPLIT(A442, "" |"")"),440.0)</f>
        <v>440</v>
      </c>
      <c r="H444" s="19">
        <f>IFERROR(__xludf.DUMMYFUNCTION("""COMPUTED_VALUE"""),0.002)</f>
        <v>0.002</v>
      </c>
      <c r="I444" s="19" t="str">
        <f>IFERROR(__xludf.DUMMYFUNCTION("""COMPUTED_VALUE"""),"-")</f>
        <v>-</v>
      </c>
      <c r="J444" s="19">
        <f>IFERROR(__xludf.DUMMYFUNCTION("""COMPUTED_VALUE"""),0.00187)</f>
        <v>0.00187</v>
      </c>
      <c r="K444" s="19">
        <f>IFERROR(__xludf.DUMMYFUNCTION("""COMPUTED_VALUE"""),0.0397)</f>
        <v>0.0397</v>
      </c>
      <c r="L444" s="19" t="str">
        <f>IFERROR(__xludf.DUMMYFUNCTION("""COMPUTED_VALUE"""),"-")</f>
        <v>-</v>
      </c>
      <c r="M444" s="19">
        <f>IFERROR(__xludf.DUMMYFUNCTION("""COMPUTED_VALUE"""),0.03981)</f>
        <v>0.03981</v>
      </c>
    </row>
    <row r="445">
      <c r="A445" s="12" t="s">
        <v>6535</v>
      </c>
      <c r="G445" s="19">
        <f>IFERROR(__xludf.DUMMYFUNCTION("SPLIT(A443, "" |"")"),441.0)</f>
        <v>441</v>
      </c>
      <c r="H445" s="19">
        <f>IFERROR(__xludf.DUMMYFUNCTION("""COMPUTED_VALUE"""),0.00226)</f>
        <v>0.00226</v>
      </c>
      <c r="I445" s="19" t="str">
        <f>IFERROR(__xludf.DUMMYFUNCTION("""COMPUTED_VALUE"""),"-")</f>
        <v>-</v>
      </c>
      <c r="J445" s="19">
        <f>IFERROR(__xludf.DUMMYFUNCTION("""COMPUTED_VALUE"""),0.00195)</f>
        <v>0.00195</v>
      </c>
      <c r="K445" s="19">
        <f>IFERROR(__xludf.DUMMYFUNCTION("""COMPUTED_VALUE"""),0.03977)</f>
        <v>0.03977</v>
      </c>
      <c r="L445" s="19" t="str">
        <f>IFERROR(__xludf.DUMMYFUNCTION("""COMPUTED_VALUE"""),"-")</f>
        <v>-</v>
      </c>
      <c r="M445" s="19">
        <f>IFERROR(__xludf.DUMMYFUNCTION("""COMPUTED_VALUE"""),0.0399)</f>
        <v>0.0399</v>
      </c>
    </row>
    <row r="446">
      <c r="A446" s="12" t="s">
        <v>6536</v>
      </c>
      <c r="G446" s="19">
        <f>IFERROR(__xludf.DUMMYFUNCTION("SPLIT(A444, "" |"")"),442.0)</f>
        <v>442</v>
      </c>
      <c r="H446" s="19">
        <f>IFERROR(__xludf.DUMMYFUNCTION("""COMPUTED_VALUE"""),0.0021)</f>
        <v>0.0021</v>
      </c>
      <c r="I446" s="19" t="str">
        <f>IFERROR(__xludf.DUMMYFUNCTION("""COMPUTED_VALUE"""),"-")</f>
        <v>-</v>
      </c>
      <c r="J446" s="19">
        <f>IFERROR(__xludf.DUMMYFUNCTION("""COMPUTED_VALUE"""),0.00187)</f>
        <v>0.00187</v>
      </c>
      <c r="K446" s="19">
        <f>IFERROR(__xludf.DUMMYFUNCTION("""COMPUTED_VALUE"""),0.03966)</f>
        <v>0.03966</v>
      </c>
      <c r="L446" s="19" t="str">
        <f>IFERROR(__xludf.DUMMYFUNCTION("""COMPUTED_VALUE"""),"-")</f>
        <v>-</v>
      </c>
      <c r="M446" s="19">
        <f>IFERROR(__xludf.DUMMYFUNCTION("""COMPUTED_VALUE"""),0.03884)</f>
        <v>0.03884</v>
      </c>
    </row>
    <row r="447">
      <c r="A447" s="12" t="s">
        <v>6537</v>
      </c>
      <c r="G447" s="19">
        <f>IFERROR(__xludf.DUMMYFUNCTION("SPLIT(A445, "" |"")"),443.0)</f>
        <v>443</v>
      </c>
      <c r="H447" s="19">
        <f>IFERROR(__xludf.DUMMYFUNCTION("""COMPUTED_VALUE"""),0.00212)</f>
        <v>0.00212</v>
      </c>
      <c r="I447" s="19" t="str">
        <f>IFERROR(__xludf.DUMMYFUNCTION("""COMPUTED_VALUE"""),"-")</f>
        <v>-</v>
      </c>
      <c r="J447" s="19">
        <f>IFERROR(__xludf.DUMMYFUNCTION("""COMPUTED_VALUE"""),0.00201)</f>
        <v>0.00201</v>
      </c>
      <c r="K447" s="19">
        <f>IFERROR(__xludf.DUMMYFUNCTION("""COMPUTED_VALUE"""),0.036)</f>
        <v>0.036</v>
      </c>
      <c r="L447" s="19" t="str">
        <f>IFERROR(__xludf.DUMMYFUNCTION("""COMPUTED_VALUE"""),"-")</f>
        <v>-</v>
      </c>
      <c r="M447" s="19">
        <f>IFERROR(__xludf.DUMMYFUNCTION("""COMPUTED_VALUE"""),0.03985)</f>
        <v>0.03985</v>
      </c>
    </row>
    <row r="448">
      <c r="A448" s="12" t="s">
        <v>6538</v>
      </c>
      <c r="G448" s="19">
        <f>IFERROR(__xludf.DUMMYFUNCTION("SPLIT(A446, "" |"")"),444.0)</f>
        <v>444</v>
      </c>
      <c r="H448" s="19">
        <f>IFERROR(__xludf.DUMMYFUNCTION("""COMPUTED_VALUE"""),0.00214)</f>
        <v>0.00214</v>
      </c>
      <c r="I448" s="19" t="str">
        <f>IFERROR(__xludf.DUMMYFUNCTION("""COMPUTED_VALUE"""),"-")</f>
        <v>-</v>
      </c>
      <c r="J448" s="19">
        <f>IFERROR(__xludf.DUMMYFUNCTION("""COMPUTED_VALUE"""),0.002)</f>
        <v>0.002</v>
      </c>
      <c r="K448" s="19">
        <f>IFERROR(__xludf.DUMMYFUNCTION("""COMPUTED_VALUE"""),0.03971)</f>
        <v>0.03971</v>
      </c>
      <c r="L448" s="19" t="str">
        <f>IFERROR(__xludf.DUMMYFUNCTION("""COMPUTED_VALUE"""),"-")</f>
        <v>-</v>
      </c>
      <c r="M448" s="19">
        <f>IFERROR(__xludf.DUMMYFUNCTION("""COMPUTED_VALUE"""),0.03983)</f>
        <v>0.03983</v>
      </c>
    </row>
    <row r="449">
      <c r="A449" s="12" t="s">
        <v>6539</v>
      </c>
      <c r="G449" s="19">
        <f>IFERROR(__xludf.DUMMYFUNCTION("SPLIT(A447, "" |"")"),445.0)</f>
        <v>445</v>
      </c>
      <c r="H449" s="19">
        <f>IFERROR(__xludf.DUMMYFUNCTION("""COMPUTED_VALUE"""),0.00211)</f>
        <v>0.00211</v>
      </c>
      <c r="I449" s="19" t="str">
        <f>IFERROR(__xludf.DUMMYFUNCTION("""COMPUTED_VALUE"""),"-")</f>
        <v>-</v>
      </c>
      <c r="J449" s="19">
        <f>IFERROR(__xludf.DUMMYFUNCTION("""COMPUTED_VALUE"""),0.00198)</f>
        <v>0.00198</v>
      </c>
      <c r="K449" s="19">
        <f>IFERROR(__xludf.DUMMYFUNCTION("""COMPUTED_VALUE"""),0.03973)</f>
        <v>0.03973</v>
      </c>
      <c r="L449" s="19" t="str">
        <f>IFERROR(__xludf.DUMMYFUNCTION("""COMPUTED_VALUE"""),"-")</f>
        <v>-</v>
      </c>
      <c r="M449" s="19">
        <f>IFERROR(__xludf.DUMMYFUNCTION("""COMPUTED_VALUE"""),0.0389)</f>
        <v>0.0389</v>
      </c>
    </row>
    <row r="450">
      <c r="A450" s="12" t="s">
        <v>6540</v>
      </c>
      <c r="G450" s="19">
        <f>IFERROR(__xludf.DUMMYFUNCTION("SPLIT(A448, "" |"")"),446.0)</f>
        <v>446</v>
      </c>
      <c r="H450" s="19">
        <f>IFERROR(__xludf.DUMMYFUNCTION("""COMPUTED_VALUE"""),0.0021)</f>
        <v>0.0021</v>
      </c>
      <c r="I450" s="19" t="str">
        <f>IFERROR(__xludf.DUMMYFUNCTION("""COMPUTED_VALUE"""),"-")</f>
        <v>-</v>
      </c>
      <c r="J450" s="19">
        <f>IFERROR(__xludf.DUMMYFUNCTION("""COMPUTED_VALUE"""),0.00197)</f>
        <v>0.00197</v>
      </c>
      <c r="K450" s="19">
        <f>IFERROR(__xludf.DUMMYFUNCTION("""COMPUTED_VALUE"""),0.03966)</f>
        <v>0.03966</v>
      </c>
      <c r="L450" s="19" t="str">
        <f>IFERROR(__xludf.DUMMYFUNCTION("""COMPUTED_VALUE"""),"-")</f>
        <v>-</v>
      </c>
      <c r="M450" s="19">
        <f>IFERROR(__xludf.DUMMYFUNCTION("""COMPUTED_VALUE"""),0.03989)</f>
        <v>0.03989</v>
      </c>
    </row>
    <row r="451">
      <c r="A451" s="12" t="s">
        <v>6541</v>
      </c>
      <c r="G451" s="19">
        <f>IFERROR(__xludf.DUMMYFUNCTION("SPLIT(A449, "" |"")"),447.0)</f>
        <v>447</v>
      </c>
      <c r="H451" s="19">
        <f>IFERROR(__xludf.DUMMYFUNCTION("""COMPUTED_VALUE"""),0.00209)</f>
        <v>0.00209</v>
      </c>
      <c r="I451" s="19" t="str">
        <f>IFERROR(__xludf.DUMMYFUNCTION("""COMPUTED_VALUE"""),"-")</f>
        <v>-</v>
      </c>
      <c r="J451" s="19">
        <f>IFERROR(__xludf.DUMMYFUNCTION("""COMPUTED_VALUE"""),0.00195)</f>
        <v>0.00195</v>
      </c>
      <c r="K451" s="19">
        <f>IFERROR(__xludf.DUMMYFUNCTION("""COMPUTED_VALUE"""),0.03948)</f>
        <v>0.03948</v>
      </c>
      <c r="L451" s="19" t="str">
        <f>IFERROR(__xludf.DUMMYFUNCTION("""COMPUTED_VALUE"""),"-")</f>
        <v>-</v>
      </c>
      <c r="M451" s="19">
        <f>IFERROR(__xludf.DUMMYFUNCTION("""COMPUTED_VALUE"""),0.03895)</f>
        <v>0.03895</v>
      </c>
    </row>
    <row r="452">
      <c r="A452" s="12" t="s">
        <v>6542</v>
      </c>
      <c r="G452" s="19">
        <f>IFERROR(__xludf.DUMMYFUNCTION("SPLIT(A450, "" |"")"),448.0)</f>
        <v>448</v>
      </c>
      <c r="H452" s="19">
        <f>IFERROR(__xludf.DUMMYFUNCTION("""COMPUTED_VALUE"""),0.00205)</f>
        <v>0.00205</v>
      </c>
      <c r="I452" s="19" t="str">
        <f>IFERROR(__xludf.DUMMYFUNCTION("""COMPUTED_VALUE"""),"-")</f>
        <v>-</v>
      </c>
      <c r="J452" s="19">
        <f>IFERROR(__xludf.DUMMYFUNCTION("""COMPUTED_VALUE"""),0.00203)</f>
        <v>0.00203</v>
      </c>
      <c r="K452" s="19">
        <f>IFERROR(__xludf.DUMMYFUNCTION("""COMPUTED_VALUE"""),0.03976)</f>
        <v>0.03976</v>
      </c>
      <c r="L452" s="19" t="str">
        <f>IFERROR(__xludf.DUMMYFUNCTION("""COMPUTED_VALUE"""),"-")</f>
        <v>-</v>
      </c>
      <c r="M452" s="19">
        <f>IFERROR(__xludf.DUMMYFUNCTION("""COMPUTED_VALUE"""),0.03982)</f>
        <v>0.03982</v>
      </c>
    </row>
    <row r="453">
      <c r="A453" s="12" t="s">
        <v>6543</v>
      </c>
      <c r="G453" s="19">
        <f>IFERROR(__xludf.DUMMYFUNCTION("SPLIT(A451, "" |"")"),449.0)</f>
        <v>449</v>
      </c>
      <c r="H453" s="19">
        <f>IFERROR(__xludf.DUMMYFUNCTION("""COMPUTED_VALUE"""),0.00204)</f>
        <v>0.00204</v>
      </c>
      <c r="I453" s="19" t="str">
        <f>IFERROR(__xludf.DUMMYFUNCTION("""COMPUTED_VALUE"""),"-")</f>
        <v>-</v>
      </c>
      <c r="J453" s="19">
        <f>IFERROR(__xludf.DUMMYFUNCTION("""COMPUTED_VALUE"""),0.00189)</f>
        <v>0.00189</v>
      </c>
      <c r="K453" s="19">
        <f>IFERROR(__xludf.DUMMYFUNCTION("""COMPUTED_VALUE"""),0.03954)</f>
        <v>0.03954</v>
      </c>
      <c r="L453" s="19" t="str">
        <f>IFERROR(__xludf.DUMMYFUNCTION("""COMPUTED_VALUE"""),"-")</f>
        <v>-</v>
      </c>
      <c r="M453" s="19">
        <f>IFERROR(__xludf.DUMMYFUNCTION("""COMPUTED_VALUE"""),0.03984)</f>
        <v>0.03984</v>
      </c>
    </row>
    <row r="454">
      <c r="A454" s="12" t="s">
        <v>6544</v>
      </c>
      <c r="G454" s="19">
        <f>IFERROR(__xludf.DUMMYFUNCTION("SPLIT(A452, "" |"")"),450.0)</f>
        <v>450</v>
      </c>
      <c r="H454" s="19">
        <f>IFERROR(__xludf.DUMMYFUNCTION("""COMPUTED_VALUE"""),0.00233)</f>
        <v>0.00233</v>
      </c>
      <c r="I454" s="19" t="str">
        <f>IFERROR(__xludf.DUMMYFUNCTION("""COMPUTED_VALUE"""),"-")</f>
        <v>-</v>
      </c>
      <c r="J454" s="19">
        <f>IFERROR(__xludf.DUMMYFUNCTION("""COMPUTED_VALUE"""),0.00216)</f>
        <v>0.00216</v>
      </c>
      <c r="K454" s="19">
        <f>IFERROR(__xludf.DUMMYFUNCTION("""COMPUTED_VALUE"""),0.03948)</f>
        <v>0.03948</v>
      </c>
      <c r="L454" s="19" t="str">
        <f>IFERROR(__xludf.DUMMYFUNCTION("""COMPUTED_VALUE"""),"-")</f>
        <v>-</v>
      </c>
      <c r="M454" s="19">
        <f>IFERROR(__xludf.DUMMYFUNCTION("""COMPUTED_VALUE"""),0.03918)</f>
        <v>0.03918</v>
      </c>
    </row>
    <row r="455">
      <c r="A455" s="12" t="s">
        <v>6545</v>
      </c>
      <c r="G455" s="19">
        <f>IFERROR(__xludf.DUMMYFUNCTION("SPLIT(A453, "" |"")"),451.0)</f>
        <v>451</v>
      </c>
      <c r="H455" s="19">
        <f>IFERROR(__xludf.DUMMYFUNCTION("""COMPUTED_VALUE"""),0.00209)</f>
        <v>0.00209</v>
      </c>
      <c r="I455" s="19" t="str">
        <f>IFERROR(__xludf.DUMMYFUNCTION("""COMPUTED_VALUE"""),"-")</f>
        <v>-</v>
      </c>
      <c r="J455" s="19">
        <f>IFERROR(__xludf.DUMMYFUNCTION("""COMPUTED_VALUE"""),0.00203)</f>
        <v>0.00203</v>
      </c>
      <c r="K455" s="19">
        <f>IFERROR(__xludf.DUMMYFUNCTION("""COMPUTED_VALUE"""),0.03613)</f>
        <v>0.03613</v>
      </c>
      <c r="L455" s="19" t="str">
        <f>IFERROR(__xludf.DUMMYFUNCTION("""COMPUTED_VALUE"""),"-")</f>
        <v>-</v>
      </c>
      <c r="M455" s="19">
        <f>IFERROR(__xludf.DUMMYFUNCTION("""COMPUTED_VALUE"""),0.03784)</f>
        <v>0.03784</v>
      </c>
    </row>
    <row r="456">
      <c r="A456" s="12" t="s">
        <v>6546</v>
      </c>
      <c r="G456" s="19">
        <f>IFERROR(__xludf.DUMMYFUNCTION("SPLIT(A454, "" |"")"),452.0)</f>
        <v>452</v>
      </c>
      <c r="H456" s="19">
        <f>IFERROR(__xludf.DUMMYFUNCTION("""COMPUTED_VALUE"""),0.00221)</f>
        <v>0.00221</v>
      </c>
      <c r="I456" s="19" t="str">
        <f>IFERROR(__xludf.DUMMYFUNCTION("""COMPUTED_VALUE"""),"-")</f>
        <v>-</v>
      </c>
      <c r="J456" s="19">
        <f>IFERROR(__xludf.DUMMYFUNCTION("""COMPUTED_VALUE"""),0.0018)</f>
        <v>0.0018</v>
      </c>
      <c r="K456" s="19">
        <f>IFERROR(__xludf.DUMMYFUNCTION("""COMPUTED_VALUE"""),0.0399)</f>
        <v>0.0399</v>
      </c>
      <c r="L456" s="19" t="str">
        <f>IFERROR(__xludf.DUMMYFUNCTION("""COMPUTED_VALUE"""),"-")</f>
        <v>-</v>
      </c>
      <c r="M456" s="19">
        <f>IFERROR(__xludf.DUMMYFUNCTION("""COMPUTED_VALUE"""),0.03928)</f>
        <v>0.03928</v>
      </c>
    </row>
    <row r="457">
      <c r="A457" s="12" t="s">
        <v>6547</v>
      </c>
      <c r="G457" s="19">
        <f>IFERROR(__xludf.DUMMYFUNCTION("SPLIT(A455, "" |"")"),453.0)</f>
        <v>453</v>
      </c>
      <c r="H457" s="19">
        <f>IFERROR(__xludf.DUMMYFUNCTION("""COMPUTED_VALUE"""),0.00223)</f>
        <v>0.00223</v>
      </c>
      <c r="I457" s="19" t="str">
        <f>IFERROR(__xludf.DUMMYFUNCTION("""COMPUTED_VALUE"""),"-")</f>
        <v>-</v>
      </c>
      <c r="J457" s="19">
        <f>IFERROR(__xludf.DUMMYFUNCTION("""COMPUTED_VALUE"""),0.00191)</f>
        <v>0.00191</v>
      </c>
      <c r="K457" s="19">
        <f>IFERROR(__xludf.DUMMYFUNCTION("""COMPUTED_VALUE"""),0.04012)</f>
        <v>0.04012</v>
      </c>
      <c r="L457" s="19" t="str">
        <f>IFERROR(__xludf.DUMMYFUNCTION("""COMPUTED_VALUE"""),"-")</f>
        <v>-</v>
      </c>
      <c r="M457" s="19">
        <f>IFERROR(__xludf.DUMMYFUNCTION("""COMPUTED_VALUE"""),0.03805)</f>
        <v>0.03805</v>
      </c>
    </row>
    <row r="458">
      <c r="A458" s="12" t="s">
        <v>6548</v>
      </c>
      <c r="G458" s="19">
        <f>IFERROR(__xludf.DUMMYFUNCTION("SPLIT(A456, "" |"")"),454.0)</f>
        <v>454</v>
      </c>
      <c r="H458" s="19">
        <f>IFERROR(__xludf.DUMMYFUNCTION("""COMPUTED_VALUE"""),0.0021)</f>
        <v>0.0021</v>
      </c>
      <c r="I458" s="19" t="str">
        <f>IFERROR(__xludf.DUMMYFUNCTION("""COMPUTED_VALUE"""),"-")</f>
        <v>-</v>
      </c>
      <c r="J458" s="19">
        <f>IFERROR(__xludf.DUMMYFUNCTION("""COMPUTED_VALUE"""),0.00206)</f>
        <v>0.00206</v>
      </c>
      <c r="K458" s="19">
        <f>IFERROR(__xludf.DUMMYFUNCTION("""COMPUTED_VALUE"""),0.03817)</f>
        <v>0.03817</v>
      </c>
      <c r="L458" s="19" t="str">
        <f>IFERROR(__xludf.DUMMYFUNCTION("""COMPUTED_VALUE"""),"-")</f>
        <v>-</v>
      </c>
      <c r="M458" s="19">
        <f>IFERROR(__xludf.DUMMYFUNCTION("""COMPUTED_VALUE"""),0.03739)</f>
        <v>0.03739</v>
      </c>
    </row>
    <row r="459">
      <c r="A459" s="12" t="s">
        <v>6549</v>
      </c>
      <c r="G459" s="19">
        <f>IFERROR(__xludf.DUMMYFUNCTION("SPLIT(A457, "" |"")"),455.0)</f>
        <v>455</v>
      </c>
      <c r="H459" s="19">
        <f>IFERROR(__xludf.DUMMYFUNCTION("""COMPUTED_VALUE"""),0.00232)</f>
        <v>0.00232</v>
      </c>
      <c r="I459" s="19" t="str">
        <f>IFERROR(__xludf.DUMMYFUNCTION("""COMPUTED_VALUE"""),"-")</f>
        <v>-</v>
      </c>
      <c r="J459" s="19">
        <f>IFERROR(__xludf.DUMMYFUNCTION("""COMPUTED_VALUE"""),0.00262)</f>
        <v>0.00262</v>
      </c>
      <c r="K459" s="19">
        <f>IFERROR(__xludf.DUMMYFUNCTION("""COMPUTED_VALUE"""),0.03776)</f>
        <v>0.03776</v>
      </c>
      <c r="L459" s="19" t="str">
        <f>IFERROR(__xludf.DUMMYFUNCTION("""COMPUTED_VALUE"""),"-")</f>
        <v>-</v>
      </c>
      <c r="M459" s="19">
        <f>IFERROR(__xludf.DUMMYFUNCTION("""COMPUTED_VALUE"""),0.03989)</f>
        <v>0.03989</v>
      </c>
    </row>
    <row r="460">
      <c r="A460" s="12" t="s">
        <v>6550</v>
      </c>
      <c r="G460" s="19">
        <f>IFERROR(__xludf.DUMMYFUNCTION("SPLIT(A458, "" |"")"),456.0)</f>
        <v>456</v>
      </c>
      <c r="H460" s="19">
        <f>IFERROR(__xludf.DUMMYFUNCTION("""COMPUTED_VALUE"""),0.00225)</f>
        <v>0.00225</v>
      </c>
      <c r="I460" s="19" t="str">
        <f>IFERROR(__xludf.DUMMYFUNCTION("""COMPUTED_VALUE"""),"-")</f>
        <v>-</v>
      </c>
      <c r="J460" s="19">
        <f>IFERROR(__xludf.DUMMYFUNCTION("""COMPUTED_VALUE"""),0.00194)</f>
        <v>0.00194</v>
      </c>
      <c r="K460" s="19">
        <f>IFERROR(__xludf.DUMMYFUNCTION("""COMPUTED_VALUE"""),0.03813)</f>
        <v>0.03813</v>
      </c>
      <c r="L460" s="19" t="str">
        <f>IFERROR(__xludf.DUMMYFUNCTION("""COMPUTED_VALUE"""),"-")</f>
        <v>-</v>
      </c>
      <c r="M460" s="19">
        <f>IFERROR(__xludf.DUMMYFUNCTION("""COMPUTED_VALUE"""),0.04007)</f>
        <v>0.04007</v>
      </c>
    </row>
    <row r="461">
      <c r="A461" s="12" t="s">
        <v>6551</v>
      </c>
      <c r="G461" s="19">
        <f>IFERROR(__xludf.DUMMYFUNCTION("SPLIT(A459, "" |"")"),457.0)</f>
        <v>457</v>
      </c>
      <c r="H461" s="19">
        <f>IFERROR(__xludf.DUMMYFUNCTION("""COMPUTED_VALUE"""),0.00242)</f>
        <v>0.00242</v>
      </c>
      <c r="I461" s="19" t="str">
        <f>IFERROR(__xludf.DUMMYFUNCTION("""COMPUTED_VALUE"""),"-")</f>
        <v>-</v>
      </c>
      <c r="J461" s="19">
        <f>IFERROR(__xludf.DUMMYFUNCTION("""COMPUTED_VALUE"""),0.00208)</f>
        <v>0.00208</v>
      </c>
      <c r="K461" s="19">
        <f>IFERROR(__xludf.DUMMYFUNCTION("""COMPUTED_VALUE"""),0.03825)</f>
        <v>0.03825</v>
      </c>
      <c r="L461" s="19" t="str">
        <f>IFERROR(__xludf.DUMMYFUNCTION("""COMPUTED_VALUE"""),"-")</f>
        <v>-</v>
      </c>
      <c r="M461" s="19">
        <f>IFERROR(__xludf.DUMMYFUNCTION("""COMPUTED_VALUE"""),0.03997)</f>
        <v>0.03997</v>
      </c>
    </row>
    <row r="462">
      <c r="A462" s="12" t="s">
        <v>6552</v>
      </c>
      <c r="G462" s="19">
        <f>IFERROR(__xludf.DUMMYFUNCTION("SPLIT(A460, "" |"")"),458.0)</f>
        <v>458</v>
      </c>
      <c r="H462" s="19">
        <f>IFERROR(__xludf.DUMMYFUNCTION("""COMPUTED_VALUE"""),0.00222)</f>
        <v>0.00222</v>
      </c>
      <c r="I462" s="19" t="str">
        <f>IFERROR(__xludf.DUMMYFUNCTION("""COMPUTED_VALUE"""),"-")</f>
        <v>-</v>
      </c>
      <c r="J462" s="19">
        <f>IFERROR(__xludf.DUMMYFUNCTION("""COMPUTED_VALUE"""),0.00198)</f>
        <v>0.00198</v>
      </c>
      <c r="K462" s="19">
        <f>IFERROR(__xludf.DUMMYFUNCTION("""COMPUTED_VALUE"""),0.03969)</f>
        <v>0.03969</v>
      </c>
      <c r="L462" s="19" t="str">
        <f>IFERROR(__xludf.DUMMYFUNCTION("""COMPUTED_VALUE"""),"-")</f>
        <v>-</v>
      </c>
      <c r="M462" s="19">
        <f>IFERROR(__xludf.DUMMYFUNCTION("""COMPUTED_VALUE"""),0.03989)</f>
        <v>0.03989</v>
      </c>
    </row>
    <row r="463">
      <c r="A463" s="12" t="s">
        <v>6553</v>
      </c>
      <c r="G463" s="19">
        <f>IFERROR(__xludf.DUMMYFUNCTION("SPLIT(A461, "" |"")"),459.0)</f>
        <v>459</v>
      </c>
      <c r="H463" s="19">
        <f>IFERROR(__xludf.DUMMYFUNCTION("""COMPUTED_VALUE"""),0.00214)</f>
        <v>0.00214</v>
      </c>
      <c r="I463" s="19" t="str">
        <f>IFERROR(__xludf.DUMMYFUNCTION("""COMPUTED_VALUE"""),"-")</f>
        <v>-</v>
      </c>
      <c r="J463" s="19">
        <f>IFERROR(__xludf.DUMMYFUNCTION("""COMPUTED_VALUE"""),0.002)</f>
        <v>0.002</v>
      </c>
      <c r="K463" s="19">
        <f>IFERROR(__xludf.DUMMYFUNCTION("""COMPUTED_VALUE"""),0.0397)</f>
        <v>0.0397</v>
      </c>
      <c r="L463" s="19" t="str">
        <f>IFERROR(__xludf.DUMMYFUNCTION("""COMPUTED_VALUE"""),"-")</f>
        <v>-</v>
      </c>
      <c r="M463" s="19">
        <f>IFERROR(__xludf.DUMMYFUNCTION("""COMPUTED_VALUE"""),0.0398)</f>
        <v>0.0398</v>
      </c>
    </row>
    <row r="464">
      <c r="A464" s="12" t="s">
        <v>6554</v>
      </c>
      <c r="G464" s="19">
        <f>IFERROR(__xludf.DUMMYFUNCTION("SPLIT(A462, "" |"")"),460.0)</f>
        <v>460</v>
      </c>
      <c r="H464" s="19">
        <f>IFERROR(__xludf.DUMMYFUNCTION("""COMPUTED_VALUE"""),0.00218)</f>
        <v>0.00218</v>
      </c>
      <c r="I464" s="19" t="str">
        <f>IFERROR(__xludf.DUMMYFUNCTION("""COMPUTED_VALUE"""),"-")</f>
        <v>-</v>
      </c>
      <c r="J464" s="19">
        <f>IFERROR(__xludf.DUMMYFUNCTION("""COMPUTED_VALUE"""),0.00205)</f>
        <v>0.00205</v>
      </c>
      <c r="K464" s="19">
        <f>IFERROR(__xludf.DUMMYFUNCTION("""COMPUTED_VALUE"""),0.03971)</f>
        <v>0.03971</v>
      </c>
      <c r="L464" s="19" t="str">
        <f>IFERROR(__xludf.DUMMYFUNCTION("""COMPUTED_VALUE"""),"-")</f>
        <v>-</v>
      </c>
      <c r="M464" s="19">
        <f>IFERROR(__xludf.DUMMYFUNCTION("""COMPUTED_VALUE"""),0.04022)</f>
        <v>0.04022</v>
      </c>
    </row>
    <row r="465">
      <c r="A465" s="12" t="s">
        <v>6555</v>
      </c>
      <c r="G465" s="19">
        <f>IFERROR(__xludf.DUMMYFUNCTION("SPLIT(A463, "" |"")"),461.0)</f>
        <v>461</v>
      </c>
      <c r="H465" s="19">
        <f>IFERROR(__xludf.DUMMYFUNCTION("""COMPUTED_VALUE"""),0.0021)</f>
        <v>0.0021</v>
      </c>
      <c r="I465" s="19" t="str">
        <f>IFERROR(__xludf.DUMMYFUNCTION("""COMPUTED_VALUE"""),"-")</f>
        <v>-</v>
      </c>
      <c r="J465" s="19">
        <f>IFERROR(__xludf.DUMMYFUNCTION("""COMPUTED_VALUE"""),0.00199)</f>
        <v>0.00199</v>
      </c>
      <c r="K465" s="19">
        <f>IFERROR(__xludf.DUMMYFUNCTION("""COMPUTED_VALUE"""),0.03956)</f>
        <v>0.03956</v>
      </c>
      <c r="L465" s="19" t="str">
        <f>IFERROR(__xludf.DUMMYFUNCTION("""COMPUTED_VALUE"""),"-")</f>
        <v>-</v>
      </c>
      <c r="M465" s="19">
        <f>IFERROR(__xludf.DUMMYFUNCTION("""COMPUTED_VALUE"""),0.03981)</f>
        <v>0.03981</v>
      </c>
    </row>
    <row r="466">
      <c r="A466" s="12" t="s">
        <v>6556</v>
      </c>
      <c r="G466" s="19">
        <f>IFERROR(__xludf.DUMMYFUNCTION("SPLIT(A464, "" |"")"),462.0)</f>
        <v>462</v>
      </c>
      <c r="H466" s="19">
        <f>IFERROR(__xludf.DUMMYFUNCTION("""COMPUTED_VALUE"""),0.00207)</f>
        <v>0.00207</v>
      </c>
      <c r="I466" s="19" t="str">
        <f>IFERROR(__xludf.DUMMYFUNCTION("""COMPUTED_VALUE"""),"-")</f>
        <v>-</v>
      </c>
      <c r="J466" s="19">
        <f>IFERROR(__xludf.DUMMYFUNCTION("""COMPUTED_VALUE"""),0.002)</f>
        <v>0.002</v>
      </c>
      <c r="K466" s="19">
        <f>IFERROR(__xludf.DUMMYFUNCTION("""COMPUTED_VALUE"""),0.03975)</f>
        <v>0.03975</v>
      </c>
      <c r="L466" s="19" t="str">
        <f>IFERROR(__xludf.DUMMYFUNCTION("""COMPUTED_VALUE"""),"-")</f>
        <v>-</v>
      </c>
      <c r="M466" s="19">
        <f>IFERROR(__xludf.DUMMYFUNCTION("""COMPUTED_VALUE"""),0.03985)</f>
        <v>0.03985</v>
      </c>
    </row>
    <row r="467">
      <c r="A467" s="12" t="s">
        <v>6557</v>
      </c>
      <c r="G467" s="19">
        <f>IFERROR(__xludf.DUMMYFUNCTION("SPLIT(A465, "" |"")"),463.0)</f>
        <v>463</v>
      </c>
      <c r="H467" s="19">
        <f>IFERROR(__xludf.DUMMYFUNCTION("""COMPUTED_VALUE"""),0.00208)</f>
        <v>0.00208</v>
      </c>
      <c r="I467" s="19" t="str">
        <f>IFERROR(__xludf.DUMMYFUNCTION("""COMPUTED_VALUE"""),"-")</f>
        <v>-</v>
      </c>
      <c r="J467" s="19">
        <f>IFERROR(__xludf.DUMMYFUNCTION("""COMPUTED_VALUE"""),0.00195)</f>
        <v>0.00195</v>
      </c>
      <c r="K467" s="19">
        <f>IFERROR(__xludf.DUMMYFUNCTION("""COMPUTED_VALUE"""),0.03974)</f>
        <v>0.03974</v>
      </c>
      <c r="L467" s="19" t="str">
        <f>IFERROR(__xludf.DUMMYFUNCTION("""COMPUTED_VALUE"""),"-")</f>
        <v>-</v>
      </c>
      <c r="M467" s="19">
        <f>IFERROR(__xludf.DUMMYFUNCTION("""COMPUTED_VALUE"""),0.03978)</f>
        <v>0.03978</v>
      </c>
    </row>
    <row r="468">
      <c r="A468" s="12" t="s">
        <v>6558</v>
      </c>
      <c r="G468" s="19">
        <f>IFERROR(__xludf.DUMMYFUNCTION("SPLIT(A466, "" |"")"),464.0)</f>
        <v>464</v>
      </c>
      <c r="H468" s="19">
        <f>IFERROR(__xludf.DUMMYFUNCTION("""COMPUTED_VALUE"""),0.00203)</f>
        <v>0.00203</v>
      </c>
      <c r="I468" s="19" t="str">
        <f>IFERROR(__xludf.DUMMYFUNCTION("""COMPUTED_VALUE"""),"-")</f>
        <v>-</v>
      </c>
      <c r="J468" s="19">
        <f>IFERROR(__xludf.DUMMYFUNCTION("""COMPUTED_VALUE"""),0.00203)</f>
        <v>0.00203</v>
      </c>
      <c r="K468" s="19">
        <f>IFERROR(__xludf.DUMMYFUNCTION("""COMPUTED_VALUE"""),0.03903)</f>
        <v>0.03903</v>
      </c>
      <c r="L468" s="19" t="str">
        <f>IFERROR(__xludf.DUMMYFUNCTION("""COMPUTED_VALUE"""),"-")</f>
        <v>-</v>
      </c>
      <c r="M468" s="19">
        <f>IFERROR(__xludf.DUMMYFUNCTION("""COMPUTED_VALUE"""),0.03876)</f>
        <v>0.03876</v>
      </c>
    </row>
    <row r="469">
      <c r="A469" s="12" t="s">
        <v>6559</v>
      </c>
      <c r="G469" s="19">
        <f>IFERROR(__xludf.DUMMYFUNCTION("SPLIT(A467, "" |"")"),465.0)</f>
        <v>465</v>
      </c>
      <c r="H469" s="19">
        <f>IFERROR(__xludf.DUMMYFUNCTION("""COMPUTED_VALUE"""),0.0021)</f>
        <v>0.0021</v>
      </c>
      <c r="I469" s="19" t="str">
        <f>IFERROR(__xludf.DUMMYFUNCTION("""COMPUTED_VALUE"""),"-")</f>
        <v>-</v>
      </c>
      <c r="J469" s="19">
        <f>IFERROR(__xludf.DUMMYFUNCTION("""COMPUTED_VALUE"""),0.00196)</f>
        <v>0.00196</v>
      </c>
      <c r="K469" s="19">
        <f>IFERROR(__xludf.DUMMYFUNCTION("""COMPUTED_VALUE"""),0.03965)</f>
        <v>0.03965</v>
      </c>
      <c r="L469" s="19" t="str">
        <f>IFERROR(__xludf.DUMMYFUNCTION("""COMPUTED_VALUE"""),"-")</f>
        <v>-</v>
      </c>
      <c r="M469" s="19">
        <f>IFERROR(__xludf.DUMMYFUNCTION("""COMPUTED_VALUE"""),0.03983)</f>
        <v>0.03983</v>
      </c>
    </row>
    <row r="470">
      <c r="A470" s="12" t="s">
        <v>6560</v>
      </c>
      <c r="G470" s="19">
        <f>IFERROR(__xludf.DUMMYFUNCTION("SPLIT(A468, "" |"")"),466.0)</f>
        <v>466</v>
      </c>
      <c r="H470" s="19">
        <f>IFERROR(__xludf.DUMMYFUNCTION("""COMPUTED_VALUE"""),0.00214)</f>
        <v>0.00214</v>
      </c>
      <c r="I470" s="19" t="str">
        <f>IFERROR(__xludf.DUMMYFUNCTION("""COMPUTED_VALUE"""),"-")</f>
        <v>-</v>
      </c>
      <c r="J470" s="19">
        <f>IFERROR(__xludf.DUMMYFUNCTION("""COMPUTED_VALUE"""),0.00197)</f>
        <v>0.00197</v>
      </c>
      <c r="K470" s="19">
        <f>IFERROR(__xludf.DUMMYFUNCTION("""COMPUTED_VALUE"""),0.03973)</f>
        <v>0.03973</v>
      </c>
      <c r="L470" s="19" t="str">
        <f>IFERROR(__xludf.DUMMYFUNCTION("""COMPUTED_VALUE"""),"-")</f>
        <v>-</v>
      </c>
      <c r="M470" s="19">
        <f>IFERROR(__xludf.DUMMYFUNCTION("""COMPUTED_VALUE"""),0.03983)</f>
        <v>0.03983</v>
      </c>
    </row>
    <row r="471">
      <c r="A471" s="12" t="s">
        <v>6561</v>
      </c>
      <c r="G471" s="19">
        <f>IFERROR(__xludf.DUMMYFUNCTION("SPLIT(A469, "" |"")"),467.0)</f>
        <v>467</v>
      </c>
      <c r="H471" s="19">
        <f>IFERROR(__xludf.DUMMYFUNCTION("""COMPUTED_VALUE"""),0.00209)</f>
        <v>0.00209</v>
      </c>
      <c r="I471" s="19" t="str">
        <f>IFERROR(__xludf.DUMMYFUNCTION("""COMPUTED_VALUE"""),"-")</f>
        <v>-</v>
      </c>
      <c r="J471" s="19">
        <f>IFERROR(__xludf.DUMMYFUNCTION("""COMPUTED_VALUE"""),0.002)</f>
        <v>0.002</v>
      </c>
      <c r="K471" s="19">
        <f>IFERROR(__xludf.DUMMYFUNCTION("""COMPUTED_VALUE"""),0.03969)</f>
        <v>0.03969</v>
      </c>
      <c r="L471" s="19" t="str">
        <f>IFERROR(__xludf.DUMMYFUNCTION("""COMPUTED_VALUE"""),"-")</f>
        <v>-</v>
      </c>
      <c r="M471" s="19">
        <f>IFERROR(__xludf.DUMMYFUNCTION("""COMPUTED_VALUE"""),0.0396)</f>
        <v>0.0396</v>
      </c>
    </row>
    <row r="472">
      <c r="A472" s="12" t="s">
        <v>6562</v>
      </c>
      <c r="G472" s="19">
        <f>IFERROR(__xludf.DUMMYFUNCTION("SPLIT(A470, "" |"")"),468.0)</f>
        <v>468</v>
      </c>
      <c r="H472" s="19">
        <f>IFERROR(__xludf.DUMMYFUNCTION("""COMPUTED_VALUE"""),0.00225)</f>
        <v>0.00225</v>
      </c>
      <c r="I472" s="19" t="str">
        <f>IFERROR(__xludf.DUMMYFUNCTION("""COMPUTED_VALUE"""),"-")</f>
        <v>-</v>
      </c>
      <c r="J472" s="19">
        <f>IFERROR(__xludf.DUMMYFUNCTION("""COMPUTED_VALUE"""),0.00227)</f>
        <v>0.00227</v>
      </c>
      <c r="K472" s="19">
        <f>IFERROR(__xludf.DUMMYFUNCTION("""COMPUTED_VALUE"""),0.04005)</f>
        <v>0.04005</v>
      </c>
      <c r="L472" s="19" t="str">
        <f>IFERROR(__xludf.DUMMYFUNCTION("""COMPUTED_VALUE"""),"-")</f>
        <v>-</v>
      </c>
      <c r="M472" s="19">
        <f>IFERROR(__xludf.DUMMYFUNCTION("""COMPUTED_VALUE"""),0.03721)</f>
        <v>0.03721</v>
      </c>
    </row>
    <row r="473">
      <c r="A473" s="12" t="s">
        <v>6563</v>
      </c>
      <c r="G473" s="19">
        <f>IFERROR(__xludf.DUMMYFUNCTION("SPLIT(A471, "" |"")"),469.0)</f>
        <v>469</v>
      </c>
      <c r="H473" s="19">
        <f>IFERROR(__xludf.DUMMYFUNCTION("""COMPUTED_VALUE"""),0.00203)</f>
        <v>0.00203</v>
      </c>
      <c r="I473" s="19" t="str">
        <f>IFERROR(__xludf.DUMMYFUNCTION("""COMPUTED_VALUE"""),"-")</f>
        <v>-</v>
      </c>
      <c r="J473" s="19">
        <f>IFERROR(__xludf.DUMMYFUNCTION("""COMPUTED_VALUE"""),0.00202)</f>
        <v>0.00202</v>
      </c>
      <c r="K473" s="19">
        <f>IFERROR(__xludf.DUMMYFUNCTION("""COMPUTED_VALUE"""),0.03978)</f>
        <v>0.03978</v>
      </c>
      <c r="L473" s="19" t="str">
        <f>IFERROR(__xludf.DUMMYFUNCTION("""COMPUTED_VALUE"""),"-")</f>
        <v>-</v>
      </c>
      <c r="M473" s="19">
        <f>IFERROR(__xludf.DUMMYFUNCTION("""COMPUTED_VALUE"""),0.04025)</f>
        <v>0.04025</v>
      </c>
    </row>
    <row r="474">
      <c r="A474" s="12" t="s">
        <v>6564</v>
      </c>
      <c r="G474" s="19">
        <f>IFERROR(__xludf.DUMMYFUNCTION("SPLIT(A472, "" |"")"),470.0)</f>
        <v>470</v>
      </c>
      <c r="H474" s="19">
        <f>IFERROR(__xludf.DUMMYFUNCTION("""COMPUTED_VALUE"""),0.00207)</f>
        <v>0.00207</v>
      </c>
      <c r="I474" s="19" t="str">
        <f>IFERROR(__xludf.DUMMYFUNCTION("""COMPUTED_VALUE"""),"-")</f>
        <v>-</v>
      </c>
      <c r="J474" s="19">
        <f>IFERROR(__xludf.DUMMYFUNCTION("""COMPUTED_VALUE"""),0.00198)</f>
        <v>0.00198</v>
      </c>
      <c r="K474" s="19">
        <f>IFERROR(__xludf.DUMMYFUNCTION("""COMPUTED_VALUE"""),0.03964)</f>
        <v>0.03964</v>
      </c>
      <c r="L474" s="19" t="str">
        <f>IFERROR(__xludf.DUMMYFUNCTION("""COMPUTED_VALUE"""),"-")</f>
        <v>-</v>
      </c>
      <c r="M474" s="19">
        <f>IFERROR(__xludf.DUMMYFUNCTION("""COMPUTED_VALUE"""),0.0399)</f>
        <v>0.0399</v>
      </c>
    </row>
    <row r="475">
      <c r="A475" s="12" t="s">
        <v>6565</v>
      </c>
      <c r="G475" s="19">
        <f>IFERROR(__xludf.DUMMYFUNCTION("SPLIT(A473, "" |"")"),471.0)</f>
        <v>471</v>
      </c>
      <c r="H475" s="19">
        <f>IFERROR(__xludf.DUMMYFUNCTION("""COMPUTED_VALUE"""),0.00209)</f>
        <v>0.00209</v>
      </c>
      <c r="I475" s="19" t="str">
        <f>IFERROR(__xludf.DUMMYFUNCTION("""COMPUTED_VALUE"""),"-")</f>
        <v>-</v>
      </c>
      <c r="J475" s="19">
        <f>IFERROR(__xludf.DUMMYFUNCTION("""COMPUTED_VALUE"""),0.00203)</f>
        <v>0.00203</v>
      </c>
      <c r="K475" s="19">
        <f>IFERROR(__xludf.DUMMYFUNCTION("""COMPUTED_VALUE"""),0.04013)</f>
        <v>0.04013</v>
      </c>
      <c r="L475" s="19" t="str">
        <f>IFERROR(__xludf.DUMMYFUNCTION("""COMPUTED_VALUE"""),"-")</f>
        <v>-</v>
      </c>
      <c r="M475" s="19">
        <f>IFERROR(__xludf.DUMMYFUNCTION("""COMPUTED_VALUE"""),0.0394)</f>
        <v>0.0394</v>
      </c>
    </row>
    <row r="476">
      <c r="A476" s="12" t="s">
        <v>6566</v>
      </c>
      <c r="G476" s="19">
        <f>IFERROR(__xludf.DUMMYFUNCTION("SPLIT(A474, "" |"")"),472.0)</f>
        <v>472</v>
      </c>
      <c r="H476" s="19">
        <f>IFERROR(__xludf.DUMMYFUNCTION("""COMPUTED_VALUE"""),0.00211)</f>
        <v>0.00211</v>
      </c>
      <c r="I476" s="19" t="str">
        <f>IFERROR(__xludf.DUMMYFUNCTION("""COMPUTED_VALUE"""),"-")</f>
        <v>-</v>
      </c>
      <c r="J476" s="19">
        <f>IFERROR(__xludf.DUMMYFUNCTION("""COMPUTED_VALUE"""),0.00198)</f>
        <v>0.00198</v>
      </c>
      <c r="K476" s="19">
        <f>IFERROR(__xludf.DUMMYFUNCTION("""COMPUTED_VALUE"""),0.03969)</f>
        <v>0.03969</v>
      </c>
      <c r="L476" s="19" t="str">
        <f>IFERROR(__xludf.DUMMYFUNCTION("""COMPUTED_VALUE"""),"-")</f>
        <v>-</v>
      </c>
      <c r="M476" s="19">
        <f>IFERROR(__xludf.DUMMYFUNCTION("""COMPUTED_VALUE"""),0.03976)</f>
        <v>0.03976</v>
      </c>
    </row>
    <row r="477">
      <c r="A477" s="12" t="s">
        <v>6567</v>
      </c>
      <c r="G477" s="19">
        <f>IFERROR(__xludf.DUMMYFUNCTION("SPLIT(A475, "" |"")"),473.0)</f>
        <v>473</v>
      </c>
      <c r="H477" s="19">
        <f>IFERROR(__xludf.DUMMYFUNCTION("""COMPUTED_VALUE"""),0.00209)</f>
        <v>0.00209</v>
      </c>
      <c r="I477" s="19" t="str">
        <f>IFERROR(__xludf.DUMMYFUNCTION("""COMPUTED_VALUE"""),"-")</f>
        <v>-</v>
      </c>
      <c r="J477" s="19">
        <f>IFERROR(__xludf.DUMMYFUNCTION("""COMPUTED_VALUE"""),0.00193)</f>
        <v>0.00193</v>
      </c>
      <c r="K477" s="19">
        <f>IFERROR(__xludf.DUMMYFUNCTION("""COMPUTED_VALUE"""),0.03964)</f>
        <v>0.03964</v>
      </c>
      <c r="L477" s="19" t="str">
        <f>IFERROR(__xludf.DUMMYFUNCTION("""COMPUTED_VALUE"""),"-")</f>
        <v>-</v>
      </c>
      <c r="M477" s="19">
        <f>IFERROR(__xludf.DUMMYFUNCTION("""COMPUTED_VALUE"""),0.03856)</f>
        <v>0.03856</v>
      </c>
    </row>
    <row r="478">
      <c r="A478" s="12" t="s">
        <v>6568</v>
      </c>
      <c r="G478" s="19">
        <f>IFERROR(__xludf.DUMMYFUNCTION("SPLIT(A476, "" |"")"),474.0)</f>
        <v>474</v>
      </c>
      <c r="H478" s="19">
        <f>IFERROR(__xludf.DUMMYFUNCTION("""COMPUTED_VALUE"""),0.00215)</f>
        <v>0.00215</v>
      </c>
      <c r="I478" s="19" t="str">
        <f>IFERROR(__xludf.DUMMYFUNCTION("""COMPUTED_VALUE"""),"-")</f>
        <v>-</v>
      </c>
      <c r="J478" s="19">
        <f>IFERROR(__xludf.DUMMYFUNCTION("""COMPUTED_VALUE"""),0.00197)</f>
        <v>0.00197</v>
      </c>
      <c r="K478" s="19">
        <f>IFERROR(__xludf.DUMMYFUNCTION("""COMPUTED_VALUE"""),0.0397)</f>
        <v>0.0397</v>
      </c>
      <c r="L478" s="19" t="str">
        <f>IFERROR(__xludf.DUMMYFUNCTION("""COMPUTED_VALUE"""),"-")</f>
        <v>-</v>
      </c>
      <c r="M478" s="19">
        <f>IFERROR(__xludf.DUMMYFUNCTION("""COMPUTED_VALUE"""),0.03933)</f>
        <v>0.03933</v>
      </c>
    </row>
    <row r="479">
      <c r="A479" s="12" t="s">
        <v>6569</v>
      </c>
      <c r="G479" s="19">
        <f>IFERROR(__xludf.DUMMYFUNCTION("SPLIT(A477, "" |"")"),475.0)</f>
        <v>475</v>
      </c>
      <c r="H479" s="19">
        <f>IFERROR(__xludf.DUMMYFUNCTION("""COMPUTED_VALUE"""),0.00216)</f>
        <v>0.00216</v>
      </c>
      <c r="I479" s="19" t="str">
        <f>IFERROR(__xludf.DUMMYFUNCTION("""COMPUTED_VALUE"""),"-")</f>
        <v>-</v>
      </c>
      <c r="J479" s="19">
        <f>IFERROR(__xludf.DUMMYFUNCTION("""COMPUTED_VALUE"""),0.00199)</f>
        <v>0.00199</v>
      </c>
      <c r="K479" s="19">
        <f>IFERROR(__xludf.DUMMYFUNCTION("""COMPUTED_VALUE"""),0.04021)</f>
        <v>0.04021</v>
      </c>
      <c r="L479" s="19" t="str">
        <f>IFERROR(__xludf.DUMMYFUNCTION("""COMPUTED_VALUE"""),"-")</f>
        <v>-</v>
      </c>
      <c r="M479" s="19">
        <f>IFERROR(__xludf.DUMMYFUNCTION("""COMPUTED_VALUE"""),0.03982)</f>
        <v>0.03982</v>
      </c>
    </row>
    <row r="480">
      <c r="A480" s="12" t="s">
        <v>6570</v>
      </c>
      <c r="G480" s="19">
        <f>IFERROR(__xludf.DUMMYFUNCTION("SPLIT(A478, "" |"")"),476.0)</f>
        <v>476</v>
      </c>
      <c r="H480" s="19">
        <f>IFERROR(__xludf.DUMMYFUNCTION("""COMPUTED_VALUE"""),0.00196)</f>
        <v>0.00196</v>
      </c>
      <c r="I480" s="19" t="str">
        <f>IFERROR(__xludf.DUMMYFUNCTION("""COMPUTED_VALUE"""),"-")</f>
        <v>-</v>
      </c>
      <c r="J480" s="19">
        <f>IFERROR(__xludf.DUMMYFUNCTION("""COMPUTED_VALUE"""),0.00204)</f>
        <v>0.00204</v>
      </c>
      <c r="K480" s="19">
        <f>IFERROR(__xludf.DUMMYFUNCTION("""COMPUTED_VALUE"""),0.03959)</f>
        <v>0.03959</v>
      </c>
      <c r="L480" s="19" t="str">
        <f>IFERROR(__xludf.DUMMYFUNCTION("""COMPUTED_VALUE"""),"-")</f>
        <v>-</v>
      </c>
      <c r="M480" s="19">
        <f>IFERROR(__xludf.DUMMYFUNCTION("""COMPUTED_VALUE"""),0.03983)</f>
        <v>0.03983</v>
      </c>
    </row>
    <row r="481">
      <c r="A481" s="12" t="s">
        <v>6571</v>
      </c>
      <c r="G481" s="19">
        <f>IFERROR(__xludf.DUMMYFUNCTION("SPLIT(A479, "" |"")"),477.0)</f>
        <v>477</v>
      </c>
      <c r="H481" s="19">
        <f>IFERROR(__xludf.DUMMYFUNCTION("""COMPUTED_VALUE"""),0.00215)</f>
        <v>0.00215</v>
      </c>
      <c r="I481" s="19" t="str">
        <f>IFERROR(__xludf.DUMMYFUNCTION("""COMPUTED_VALUE"""),"-")</f>
        <v>-</v>
      </c>
      <c r="J481" s="19">
        <f>IFERROR(__xludf.DUMMYFUNCTION("""COMPUTED_VALUE"""),0.00202)</f>
        <v>0.00202</v>
      </c>
      <c r="K481" s="19">
        <f>IFERROR(__xludf.DUMMYFUNCTION("""COMPUTED_VALUE"""),0.03969)</f>
        <v>0.03969</v>
      </c>
      <c r="L481" s="19" t="str">
        <f>IFERROR(__xludf.DUMMYFUNCTION("""COMPUTED_VALUE"""),"-")</f>
        <v>-</v>
      </c>
      <c r="M481" s="19">
        <f>IFERROR(__xludf.DUMMYFUNCTION("""COMPUTED_VALUE"""),0.03934)</f>
        <v>0.03934</v>
      </c>
    </row>
    <row r="482">
      <c r="A482" s="12" t="s">
        <v>6572</v>
      </c>
      <c r="G482" s="19">
        <f>IFERROR(__xludf.DUMMYFUNCTION("SPLIT(A480, "" |"")"),478.0)</f>
        <v>478</v>
      </c>
      <c r="H482" s="19">
        <f>IFERROR(__xludf.DUMMYFUNCTION("""COMPUTED_VALUE"""),0.00221)</f>
        <v>0.00221</v>
      </c>
      <c r="I482" s="19" t="str">
        <f>IFERROR(__xludf.DUMMYFUNCTION("""COMPUTED_VALUE"""),"-")</f>
        <v>-</v>
      </c>
      <c r="J482" s="19">
        <f>IFERROR(__xludf.DUMMYFUNCTION("""COMPUTED_VALUE"""),0.002)</f>
        <v>0.002</v>
      </c>
      <c r="K482" s="19">
        <f>IFERROR(__xludf.DUMMYFUNCTION("""COMPUTED_VALUE"""),0.03973)</f>
        <v>0.03973</v>
      </c>
      <c r="L482" s="19" t="str">
        <f>IFERROR(__xludf.DUMMYFUNCTION("""COMPUTED_VALUE"""),"-")</f>
        <v>-</v>
      </c>
      <c r="M482" s="19">
        <f>IFERROR(__xludf.DUMMYFUNCTION("""COMPUTED_VALUE"""),0.03977)</f>
        <v>0.03977</v>
      </c>
    </row>
    <row r="483">
      <c r="A483" s="12" t="s">
        <v>6573</v>
      </c>
      <c r="G483" s="19">
        <f>IFERROR(__xludf.DUMMYFUNCTION("SPLIT(A481, "" |"")"),479.0)</f>
        <v>479</v>
      </c>
      <c r="H483" s="19">
        <f>IFERROR(__xludf.DUMMYFUNCTION("""COMPUTED_VALUE"""),0.00213)</f>
        <v>0.00213</v>
      </c>
      <c r="I483" s="19" t="str">
        <f>IFERROR(__xludf.DUMMYFUNCTION("""COMPUTED_VALUE"""),"-")</f>
        <v>-</v>
      </c>
      <c r="J483" s="19">
        <f>IFERROR(__xludf.DUMMYFUNCTION("""COMPUTED_VALUE"""),0.002)</f>
        <v>0.002</v>
      </c>
      <c r="K483" s="19">
        <f>IFERROR(__xludf.DUMMYFUNCTION("""COMPUTED_VALUE"""),0.03988)</f>
        <v>0.03988</v>
      </c>
      <c r="L483" s="19" t="str">
        <f>IFERROR(__xludf.DUMMYFUNCTION("""COMPUTED_VALUE"""),"-")</f>
        <v>-</v>
      </c>
      <c r="M483" s="19">
        <f>IFERROR(__xludf.DUMMYFUNCTION("""COMPUTED_VALUE"""),0.03958)</f>
        <v>0.03958</v>
      </c>
    </row>
    <row r="484">
      <c r="A484" s="12" t="s">
        <v>6574</v>
      </c>
      <c r="G484" s="19">
        <f>IFERROR(__xludf.DUMMYFUNCTION("SPLIT(A482, "" |"")"),480.0)</f>
        <v>480</v>
      </c>
      <c r="H484" s="19">
        <f>IFERROR(__xludf.DUMMYFUNCTION("""COMPUTED_VALUE"""),0.00209)</f>
        <v>0.00209</v>
      </c>
      <c r="I484" s="19" t="str">
        <f>IFERROR(__xludf.DUMMYFUNCTION("""COMPUTED_VALUE"""),"-")</f>
        <v>-</v>
      </c>
      <c r="J484" s="19">
        <f>IFERROR(__xludf.DUMMYFUNCTION("""COMPUTED_VALUE"""),0.00196)</f>
        <v>0.00196</v>
      </c>
      <c r="K484" s="19">
        <f>IFERROR(__xludf.DUMMYFUNCTION("""COMPUTED_VALUE"""),0.0395)</f>
        <v>0.0395</v>
      </c>
      <c r="L484" s="19" t="str">
        <f>IFERROR(__xludf.DUMMYFUNCTION("""COMPUTED_VALUE"""),"-")</f>
        <v>-</v>
      </c>
      <c r="M484" s="19">
        <f>IFERROR(__xludf.DUMMYFUNCTION("""COMPUTED_VALUE"""),0.03738)</f>
        <v>0.03738</v>
      </c>
    </row>
    <row r="485">
      <c r="A485" s="12" t="s">
        <v>6575</v>
      </c>
      <c r="G485" s="19">
        <f>IFERROR(__xludf.DUMMYFUNCTION("SPLIT(A483, "" |"")"),481.0)</f>
        <v>481</v>
      </c>
      <c r="H485" s="19">
        <f>IFERROR(__xludf.DUMMYFUNCTION("""COMPUTED_VALUE"""),0.00214)</f>
        <v>0.00214</v>
      </c>
      <c r="I485" s="19" t="str">
        <f>IFERROR(__xludf.DUMMYFUNCTION("""COMPUTED_VALUE"""),"-")</f>
        <v>-</v>
      </c>
      <c r="J485" s="19">
        <f>IFERROR(__xludf.DUMMYFUNCTION("""COMPUTED_VALUE"""),0.00199)</f>
        <v>0.00199</v>
      </c>
      <c r="K485" s="19">
        <f>IFERROR(__xludf.DUMMYFUNCTION("""COMPUTED_VALUE"""),0.03961)</f>
        <v>0.03961</v>
      </c>
      <c r="L485" s="19" t="str">
        <f>IFERROR(__xludf.DUMMYFUNCTION("""COMPUTED_VALUE"""),"-")</f>
        <v>-</v>
      </c>
      <c r="M485" s="19">
        <f>IFERROR(__xludf.DUMMYFUNCTION("""COMPUTED_VALUE"""),0.03976)</f>
        <v>0.03976</v>
      </c>
    </row>
    <row r="486">
      <c r="A486" s="12" t="s">
        <v>6576</v>
      </c>
      <c r="G486" s="19">
        <f>IFERROR(__xludf.DUMMYFUNCTION("SPLIT(A484, "" |"")"),482.0)</f>
        <v>482</v>
      </c>
      <c r="H486" s="19">
        <f>IFERROR(__xludf.DUMMYFUNCTION("""COMPUTED_VALUE"""),0.00199)</f>
        <v>0.00199</v>
      </c>
      <c r="I486" s="19" t="str">
        <f>IFERROR(__xludf.DUMMYFUNCTION("""COMPUTED_VALUE"""),"-")</f>
        <v>-</v>
      </c>
      <c r="J486" s="19">
        <f>IFERROR(__xludf.DUMMYFUNCTION("""COMPUTED_VALUE"""),0.00211)</f>
        <v>0.00211</v>
      </c>
      <c r="K486" s="19">
        <f>IFERROR(__xludf.DUMMYFUNCTION("""COMPUTED_VALUE"""),0.03992)</f>
        <v>0.03992</v>
      </c>
      <c r="L486" s="19" t="str">
        <f>IFERROR(__xludf.DUMMYFUNCTION("""COMPUTED_VALUE"""),"-")</f>
        <v>-</v>
      </c>
      <c r="M486" s="19">
        <f>IFERROR(__xludf.DUMMYFUNCTION("""COMPUTED_VALUE"""),0.03996)</f>
        <v>0.03996</v>
      </c>
    </row>
    <row r="487">
      <c r="A487" s="12" t="s">
        <v>6577</v>
      </c>
      <c r="G487" s="19">
        <f>IFERROR(__xludf.DUMMYFUNCTION("SPLIT(A485, "" |"")"),483.0)</f>
        <v>483</v>
      </c>
      <c r="H487" s="19">
        <f>IFERROR(__xludf.DUMMYFUNCTION("""COMPUTED_VALUE"""),0.00218)</f>
        <v>0.00218</v>
      </c>
      <c r="I487" s="19" t="str">
        <f>IFERROR(__xludf.DUMMYFUNCTION("""COMPUTED_VALUE"""),"-")</f>
        <v>-</v>
      </c>
      <c r="J487" s="19">
        <f>IFERROR(__xludf.DUMMYFUNCTION("""COMPUTED_VALUE"""),0.00214)</f>
        <v>0.00214</v>
      </c>
      <c r="K487" s="19">
        <f>IFERROR(__xludf.DUMMYFUNCTION("""COMPUTED_VALUE"""),0.03974)</f>
        <v>0.03974</v>
      </c>
      <c r="L487" s="19" t="str">
        <f>IFERROR(__xludf.DUMMYFUNCTION("""COMPUTED_VALUE"""),"-")</f>
        <v>-</v>
      </c>
      <c r="M487" s="19">
        <f>IFERROR(__xludf.DUMMYFUNCTION("""COMPUTED_VALUE"""),0.03904)</f>
        <v>0.03904</v>
      </c>
    </row>
    <row r="488">
      <c r="A488" s="12" t="s">
        <v>6578</v>
      </c>
      <c r="G488" s="19">
        <f>IFERROR(__xludf.DUMMYFUNCTION("SPLIT(A486, "" |"")"),484.0)</f>
        <v>484</v>
      </c>
      <c r="H488" s="19">
        <f>IFERROR(__xludf.DUMMYFUNCTION("""COMPUTED_VALUE"""),0.00219)</f>
        <v>0.00219</v>
      </c>
      <c r="I488" s="19" t="str">
        <f>IFERROR(__xludf.DUMMYFUNCTION("""COMPUTED_VALUE"""),"-")</f>
        <v>-</v>
      </c>
      <c r="J488" s="19">
        <f>IFERROR(__xludf.DUMMYFUNCTION("""COMPUTED_VALUE"""),0.00205)</f>
        <v>0.00205</v>
      </c>
      <c r="K488" s="19">
        <f>IFERROR(__xludf.DUMMYFUNCTION("""COMPUTED_VALUE"""),0.03969)</f>
        <v>0.03969</v>
      </c>
      <c r="L488" s="19" t="str">
        <f>IFERROR(__xludf.DUMMYFUNCTION("""COMPUTED_VALUE"""),"-")</f>
        <v>-</v>
      </c>
      <c r="M488" s="19">
        <f>IFERROR(__xludf.DUMMYFUNCTION("""COMPUTED_VALUE"""),0.03989)</f>
        <v>0.03989</v>
      </c>
    </row>
    <row r="489">
      <c r="A489" s="12" t="s">
        <v>6579</v>
      </c>
      <c r="G489" s="19">
        <f>IFERROR(__xludf.DUMMYFUNCTION("SPLIT(A487, "" |"")"),485.0)</f>
        <v>485</v>
      </c>
      <c r="H489" s="19">
        <f>IFERROR(__xludf.DUMMYFUNCTION("""COMPUTED_VALUE"""),0.00205)</f>
        <v>0.00205</v>
      </c>
      <c r="I489" s="19" t="str">
        <f>IFERROR(__xludf.DUMMYFUNCTION("""COMPUTED_VALUE"""),"-")</f>
        <v>-</v>
      </c>
      <c r="J489" s="19">
        <f>IFERROR(__xludf.DUMMYFUNCTION("""COMPUTED_VALUE"""),0.0019)</f>
        <v>0.0019</v>
      </c>
      <c r="K489" s="19">
        <f>IFERROR(__xludf.DUMMYFUNCTION("""COMPUTED_VALUE"""),0.03969)</f>
        <v>0.03969</v>
      </c>
      <c r="L489" s="19" t="str">
        <f>IFERROR(__xludf.DUMMYFUNCTION("""COMPUTED_VALUE"""),"-")</f>
        <v>-</v>
      </c>
      <c r="M489" s="19">
        <f>IFERROR(__xludf.DUMMYFUNCTION("""COMPUTED_VALUE"""),0.04001)</f>
        <v>0.04001</v>
      </c>
    </row>
    <row r="490">
      <c r="A490" s="12" t="s">
        <v>6580</v>
      </c>
      <c r="G490" s="19">
        <f>IFERROR(__xludf.DUMMYFUNCTION("SPLIT(A488, "" |"")"),486.0)</f>
        <v>486</v>
      </c>
      <c r="H490" s="19">
        <f>IFERROR(__xludf.DUMMYFUNCTION("""COMPUTED_VALUE"""),0.00209)</f>
        <v>0.00209</v>
      </c>
      <c r="I490" s="19" t="str">
        <f>IFERROR(__xludf.DUMMYFUNCTION("""COMPUTED_VALUE"""),"-")</f>
        <v>-</v>
      </c>
      <c r="J490" s="19">
        <f>IFERROR(__xludf.DUMMYFUNCTION("""COMPUTED_VALUE"""),0.00188)</f>
        <v>0.00188</v>
      </c>
      <c r="K490" s="19">
        <f>IFERROR(__xludf.DUMMYFUNCTION("""COMPUTED_VALUE"""),0.03972)</f>
        <v>0.03972</v>
      </c>
      <c r="L490" s="19" t="str">
        <f>IFERROR(__xludf.DUMMYFUNCTION("""COMPUTED_VALUE"""),"-")</f>
        <v>-</v>
      </c>
      <c r="M490" s="19">
        <f>IFERROR(__xludf.DUMMYFUNCTION("""COMPUTED_VALUE"""),0.03976)</f>
        <v>0.03976</v>
      </c>
    </row>
    <row r="491">
      <c r="A491" s="12" t="s">
        <v>6581</v>
      </c>
      <c r="G491" s="19">
        <f>IFERROR(__xludf.DUMMYFUNCTION("SPLIT(A489, "" |"")"),487.0)</f>
        <v>487</v>
      </c>
      <c r="H491" s="19">
        <f>IFERROR(__xludf.DUMMYFUNCTION("""COMPUTED_VALUE"""),0.00217)</f>
        <v>0.00217</v>
      </c>
      <c r="I491" s="19" t="str">
        <f>IFERROR(__xludf.DUMMYFUNCTION("""COMPUTED_VALUE"""),"-")</f>
        <v>-</v>
      </c>
      <c r="J491" s="19">
        <f>IFERROR(__xludf.DUMMYFUNCTION("""COMPUTED_VALUE"""),0.002)</f>
        <v>0.002</v>
      </c>
      <c r="K491" s="19">
        <f>IFERROR(__xludf.DUMMYFUNCTION("""COMPUTED_VALUE"""),0.04022)</f>
        <v>0.04022</v>
      </c>
      <c r="L491" s="19" t="str">
        <f>IFERROR(__xludf.DUMMYFUNCTION("""COMPUTED_VALUE"""),"-")</f>
        <v>-</v>
      </c>
      <c r="M491" s="19">
        <f>IFERROR(__xludf.DUMMYFUNCTION("""COMPUTED_VALUE"""),0.04003)</f>
        <v>0.04003</v>
      </c>
    </row>
    <row r="492">
      <c r="A492" s="12" t="s">
        <v>6582</v>
      </c>
      <c r="G492" s="19">
        <f>IFERROR(__xludf.DUMMYFUNCTION("SPLIT(A490, "" |"")"),488.0)</f>
        <v>488</v>
      </c>
      <c r="H492" s="19">
        <f>IFERROR(__xludf.DUMMYFUNCTION("""COMPUTED_VALUE"""),0.00213)</f>
        <v>0.00213</v>
      </c>
      <c r="I492" s="19" t="str">
        <f>IFERROR(__xludf.DUMMYFUNCTION("""COMPUTED_VALUE"""),"-")</f>
        <v>-</v>
      </c>
      <c r="J492" s="19">
        <f>IFERROR(__xludf.DUMMYFUNCTION("""COMPUTED_VALUE"""),0.00201)</f>
        <v>0.00201</v>
      </c>
      <c r="K492" s="19">
        <f>IFERROR(__xludf.DUMMYFUNCTION("""COMPUTED_VALUE"""),0.03966)</f>
        <v>0.03966</v>
      </c>
      <c r="L492" s="19" t="str">
        <f>IFERROR(__xludf.DUMMYFUNCTION("""COMPUTED_VALUE"""),"-")</f>
        <v>-</v>
      </c>
      <c r="M492" s="19">
        <f>IFERROR(__xludf.DUMMYFUNCTION("""COMPUTED_VALUE"""),0.04003)</f>
        <v>0.04003</v>
      </c>
    </row>
    <row r="493">
      <c r="A493" s="12" t="s">
        <v>6583</v>
      </c>
      <c r="G493" s="19">
        <f>IFERROR(__xludf.DUMMYFUNCTION("SPLIT(A491, "" |"")"),489.0)</f>
        <v>489</v>
      </c>
      <c r="H493" s="19">
        <f>IFERROR(__xludf.DUMMYFUNCTION("""COMPUTED_VALUE"""),0.00208)</f>
        <v>0.00208</v>
      </c>
      <c r="I493" s="19" t="str">
        <f>IFERROR(__xludf.DUMMYFUNCTION("""COMPUTED_VALUE"""),"-")</f>
        <v>-</v>
      </c>
      <c r="J493" s="19">
        <f>IFERROR(__xludf.DUMMYFUNCTION("""COMPUTED_VALUE"""),0.00198)</f>
        <v>0.00198</v>
      </c>
      <c r="K493" s="19">
        <f>IFERROR(__xludf.DUMMYFUNCTION("""COMPUTED_VALUE"""),0.03968)</f>
        <v>0.03968</v>
      </c>
      <c r="L493" s="19" t="str">
        <f>IFERROR(__xludf.DUMMYFUNCTION("""COMPUTED_VALUE"""),"-")</f>
        <v>-</v>
      </c>
      <c r="M493" s="19">
        <f>IFERROR(__xludf.DUMMYFUNCTION("""COMPUTED_VALUE"""),0.03647)</f>
        <v>0.03647</v>
      </c>
    </row>
    <row r="494">
      <c r="A494" s="12" t="s">
        <v>6584</v>
      </c>
      <c r="G494" s="19">
        <f>IFERROR(__xludf.DUMMYFUNCTION("SPLIT(A492, "" |"")"),490.0)</f>
        <v>490</v>
      </c>
      <c r="H494" s="19">
        <f>IFERROR(__xludf.DUMMYFUNCTION("""COMPUTED_VALUE"""),0.00204)</f>
        <v>0.00204</v>
      </c>
      <c r="I494" s="19" t="str">
        <f>IFERROR(__xludf.DUMMYFUNCTION("""COMPUTED_VALUE"""),"-")</f>
        <v>-</v>
      </c>
      <c r="J494" s="19">
        <f>IFERROR(__xludf.DUMMYFUNCTION("""COMPUTED_VALUE"""),0.00186)</f>
        <v>0.00186</v>
      </c>
      <c r="K494" s="19">
        <f>IFERROR(__xludf.DUMMYFUNCTION("""COMPUTED_VALUE"""),0.03737)</f>
        <v>0.03737</v>
      </c>
      <c r="L494" s="19" t="str">
        <f>IFERROR(__xludf.DUMMYFUNCTION("""COMPUTED_VALUE"""),"-")</f>
        <v>-</v>
      </c>
      <c r="M494" s="19">
        <f>IFERROR(__xludf.DUMMYFUNCTION("""COMPUTED_VALUE"""),0.04031)</f>
        <v>0.04031</v>
      </c>
    </row>
    <row r="495">
      <c r="A495" s="12" t="s">
        <v>6585</v>
      </c>
      <c r="G495" s="19">
        <f>IFERROR(__xludf.DUMMYFUNCTION("SPLIT(A493, "" |"")"),491.0)</f>
        <v>491</v>
      </c>
      <c r="H495" s="19">
        <f>IFERROR(__xludf.DUMMYFUNCTION("""COMPUTED_VALUE"""),0.00208)</f>
        <v>0.00208</v>
      </c>
      <c r="I495" s="19" t="str">
        <f>IFERROR(__xludf.DUMMYFUNCTION("""COMPUTED_VALUE"""),"-")</f>
        <v>-</v>
      </c>
      <c r="J495" s="19">
        <f>IFERROR(__xludf.DUMMYFUNCTION("""COMPUTED_VALUE"""),0.002)</f>
        <v>0.002</v>
      </c>
      <c r="K495" s="19">
        <f>IFERROR(__xludf.DUMMYFUNCTION("""COMPUTED_VALUE"""),0.03968)</f>
        <v>0.03968</v>
      </c>
      <c r="L495" s="19" t="str">
        <f>IFERROR(__xludf.DUMMYFUNCTION("""COMPUTED_VALUE"""),"-")</f>
        <v>-</v>
      </c>
      <c r="M495" s="19">
        <f>IFERROR(__xludf.DUMMYFUNCTION("""COMPUTED_VALUE"""),0.03982)</f>
        <v>0.03982</v>
      </c>
    </row>
    <row r="496">
      <c r="A496" s="12" t="s">
        <v>6586</v>
      </c>
      <c r="G496" s="19">
        <f>IFERROR(__xludf.DUMMYFUNCTION("SPLIT(A494, "" |"")"),492.0)</f>
        <v>492</v>
      </c>
      <c r="H496" s="19">
        <f>IFERROR(__xludf.DUMMYFUNCTION("""COMPUTED_VALUE"""),0.00208)</f>
        <v>0.00208</v>
      </c>
      <c r="I496" s="19" t="str">
        <f>IFERROR(__xludf.DUMMYFUNCTION("""COMPUTED_VALUE"""),"-")</f>
        <v>-</v>
      </c>
      <c r="J496" s="19">
        <f>IFERROR(__xludf.DUMMYFUNCTION("""COMPUTED_VALUE"""),0.00205)</f>
        <v>0.00205</v>
      </c>
      <c r="K496" s="19">
        <f>IFERROR(__xludf.DUMMYFUNCTION("""COMPUTED_VALUE"""),0.03964)</f>
        <v>0.03964</v>
      </c>
      <c r="L496" s="19" t="str">
        <f>IFERROR(__xludf.DUMMYFUNCTION("""COMPUTED_VALUE"""),"-")</f>
        <v>-</v>
      </c>
      <c r="M496" s="19">
        <f>IFERROR(__xludf.DUMMYFUNCTION("""COMPUTED_VALUE"""),0.03702)</f>
        <v>0.03702</v>
      </c>
    </row>
    <row r="497">
      <c r="A497" s="12" t="s">
        <v>6587</v>
      </c>
      <c r="G497" s="19">
        <f>IFERROR(__xludf.DUMMYFUNCTION("SPLIT(A495, "" |"")"),493.0)</f>
        <v>493</v>
      </c>
      <c r="H497" s="19">
        <f>IFERROR(__xludf.DUMMYFUNCTION("""COMPUTED_VALUE"""),0.00204)</f>
        <v>0.00204</v>
      </c>
      <c r="I497" s="19" t="str">
        <f>IFERROR(__xludf.DUMMYFUNCTION("""COMPUTED_VALUE"""),"-")</f>
        <v>-</v>
      </c>
      <c r="J497" s="19">
        <f>IFERROR(__xludf.DUMMYFUNCTION("""COMPUTED_VALUE"""),0.00189)</f>
        <v>0.00189</v>
      </c>
      <c r="K497" s="19">
        <f>IFERROR(__xludf.DUMMYFUNCTION("""COMPUTED_VALUE"""),0.03972)</f>
        <v>0.03972</v>
      </c>
      <c r="L497" s="19" t="str">
        <f>IFERROR(__xludf.DUMMYFUNCTION("""COMPUTED_VALUE"""),"-")</f>
        <v>-</v>
      </c>
      <c r="M497" s="19">
        <f>IFERROR(__xludf.DUMMYFUNCTION("""COMPUTED_VALUE"""),0.03466)</f>
        <v>0.03466</v>
      </c>
    </row>
    <row r="498">
      <c r="A498" s="12" t="s">
        <v>6588</v>
      </c>
      <c r="G498" s="19">
        <f>IFERROR(__xludf.DUMMYFUNCTION("SPLIT(A496, "" |"")"),494.0)</f>
        <v>494</v>
      </c>
      <c r="H498" s="19">
        <f>IFERROR(__xludf.DUMMYFUNCTION("""COMPUTED_VALUE"""),0.00225)</f>
        <v>0.00225</v>
      </c>
      <c r="I498" s="19" t="str">
        <f>IFERROR(__xludf.DUMMYFUNCTION("""COMPUTED_VALUE"""),"-")</f>
        <v>-</v>
      </c>
      <c r="J498" s="19">
        <f>IFERROR(__xludf.DUMMYFUNCTION("""COMPUTED_VALUE"""),0.00203)</f>
        <v>0.00203</v>
      </c>
      <c r="K498" s="19">
        <f>IFERROR(__xludf.DUMMYFUNCTION("""COMPUTED_VALUE"""),0.03979)</f>
        <v>0.03979</v>
      </c>
      <c r="L498" s="19" t="str">
        <f>IFERROR(__xludf.DUMMYFUNCTION("""COMPUTED_VALUE"""),"-")</f>
        <v>-</v>
      </c>
      <c r="M498" s="19">
        <f>IFERROR(__xludf.DUMMYFUNCTION("""COMPUTED_VALUE"""),0.04027)</f>
        <v>0.04027</v>
      </c>
    </row>
    <row r="499">
      <c r="A499" s="12" t="s">
        <v>6589</v>
      </c>
      <c r="G499" s="19">
        <f>IFERROR(__xludf.DUMMYFUNCTION("SPLIT(A497, "" |"")"),495.0)</f>
        <v>495</v>
      </c>
      <c r="H499" s="19">
        <f>IFERROR(__xludf.DUMMYFUNCTION("""COMPUTED_VALUE"""),0.00212)</f>
        <v>0.00212</v>
      </c>
      <c r="I499" s="19" t="str">
        <f>IFERROR(__xludf.DUMMYFUNCTION("""COMPUTED_VALUE"""),"-")</f>
        <v>-</v>
      </c>
      <c r="J499" s="19">
        <f>IFERROR(__xludf.DUMMYFUNCTION("""COMPUTED_VALUE"""),0.00199)</f>
        <v>0.00199</v>
      </c>
      <c r="K499" s="19">
        <f>IFERROR(__xludf.DUMMYFUNCTION("""COMPUTED_VALUE"""),0.03972)</f>
        <v>0.03972</v>
      </c>
      <c r="L499" s="19" t="str">
        <f>IFERROR(__xludf.DUMMYFUNCTION("""COMPUTED_VALUE"""),"-")</f>
        <v>-</v>
      </c>
      <c r="M499" s="19">
        <f>IFERROR(__xludf.DUMMYFUNCTION("""COMPUTED_VALUE"""),0.03988)</f>
        <v>0.03988</v>
      </c>
    </row>
    <row r="500">
      <c r="A500" s="12" t="s">
        <v>6590</v>
      </c>
      <c r="G500" s="19">
        <f>IFERROR(__xludf.DUMMYFUNCTION("SPLIT(A498, "" |"")"),496.0)</f>
        <v>496</v>
      </c>
      <c r="H500" s="19">
        <f>IFERROR(__xludf.DUMMYFUNCTION("""COMPUTED_VALUE"""),0.00214)</f>
        <v>0.00214</v>
      </c>
      <c r="I500" s="19" t="str">
        <f>IFERROR(__xludf.DUMMYFUNCTION("""COMPUTED_VALUE"""),"-")</f>
        <v>-</v>
      </c>
      <c r="J500" s="19">
        <f>IFERROR(__xludf.DUMMYFUNCTION("""COMPUTED_VALUE"""),0.00191)</f>
        <v>0.00191</v>
      </c>
      <c r="K500" s="19">
        <f>IFERROR(__xludf.DUMMYFUNCTION("""COMPUTED_VALUE"""),0.03968)</f>
        <v>0.03968</v>
      </c>
      <c r="L500" s="19" t="str">
        <f>IFERROR(__xludf.DUMMYFUNCTION("""COMPUTED_VALUE"""),"-")</f>
        <v>-</v>
      </c>
      <c r="M500" s="19">
        <f>IFERROR(__xludf.DUMMYFUNCTION("""COMPUTED_VALUE"""),0.03987)</f>
        <v>0.03987</v>
      </c>
    </row>
    <row r="501">
      <c r="A501" s="12" t="s">
        <v>6591</v>
      </c>
      <c r="G501" s="19">
        <f>IFERROR(__xludf.DUMMYFUNCTION("SPLIT(A499, "" |"")"),497.0)</f>
        <v>497</v>
      </c>
      <c r="H501" s="19">
        <f>IFERROR(__xludf.DUMMYFUNCTION("""COMPUTED_VALUE"""),0.00215)</f>
        <v>0.00215</v>
      </c>
      <c r="I501" s="19" t="str">
        <f>IFERROR(__xludf.DUMMYFUNCTION("""COMPUTED_VALUE"""),"-")</f>
        <v>-</v>
      </c>
      <c r="J501" s="19">
        <f>IFERROR(__xludf.DUMMYFUNCTION("""COMPUTED_VALUE"""),0.00184)</f>
        <v>0.00184</v>
      </c>
      <c r="K501" s="19">
        <f>IFERROR(__xludf.DUMMYFUNCTION("""COMPUTED_VALUE"""),0.03957)</f>
        <v>0.03957</v>
      </c>
      <c r="L501" s="19" t="str">
        <f>IFERROR(__xludf.DUMMYFUNCTION("""COMPUTED_VALUE"""),"-")</f>
        <v>-</v>
      </c>
      <c r="M501" s="19">
        <f>IFERROR(__xludf.DUMMYFUNCTION("""COMPUTED_VALUE"""),0.04)</f>
        <v>0.04</v>
      </c>
    </row>
    <row r="502">
      <c r="A502" s="12" t="s">
        <v>6592</v>
      </c>
      <c r="G502" s="19">
        <f>IFERROR(__xludf.DUMMYFUNCTION("SPLIT(A500, "" |"")"),498.0)</f>
        <v>498</v>
      </c>
      <c r="H502" s="19">
        <f>IFERROR(__xludf.DUMMYFUNCTION("""COMPUTED_VALUE"""),0.00215)</f>
        <v>0.00215</v>
      </c>
      <c r="I502" s="19" t="str">
        <f>IFERROR(__xludf.DUMMYFUNCTION("""COMPUTED_VALUE"""),"-")</f>
        <v>-</v>
      </c>
      <c r="J502" s="19">
        <f>IFERROR(__xludf.DUMMYFUNCTION("""COMPUTED_VALUE"""),0.00196)</f>
        <v>0.00196</v>
      </c>
      <c r="K502" s="19">
        <f>IFERROR(__xludf.DUMMYFUNCTION("""COMPUTED_VALUE"""),0.03953)</f>
        <v>0.03953</v>
      </c>
      <c r="L502" s="19" t="str">
        <f>IFERROR(__xludf.DUMMYFUNCTION("""COMPUTED_VALUE"""),"-")</f>
        <v>-</v>
      </c>
      <c r="M502" s="19">
        <f>IFERROR(__xludf.DUMMYFUNCTION("""COMPUTED_VALUE"""),0.04007)</f>
        <v>0.04007</v>
      </c>
    </row>
    <row r="503">
      <c r="A503" s="12" t="s">
        <v>6593</v>
      </c>
      <c r="G503" s="19">
        <f>IFERROR(__xludf.DUMMYFUNCTION("SPLIT(A501, "" |"")"),499.0)</f>
        <v>499</v>
      </c>
      <c r="H503" s="19">
        <f>IFERROR(__xludf.DUMMYFUNCTION("""COMPUTED_VALUE"""),0.0021)</f>
        <v>0.0021</v>
      </c>
      <c r="I503" s="19" t="str">
        <f>IFERROR(__xludf.DUMMYFUNCTION("""COMPUTED_VALUE"""),"-")</f>
        <v>-</v>
      </c>
      <c r="J503" s="19">
        <f>IFERROR(__xludf.DUMMYFUNCTION("""COMPUTED_VALUE"""),0.00197)</f>
        <v>0.00197</v>
      </c>
      <c r="K503" s="19">
        <f>IFERROR(__xludf.DUMMYFUNCTION("""COMPUTED_VALUE"""),0.03975)</f>
        <v>0.03975</v>
      </c>
      <c r="L503" s="19" t="str">
        <f>IFERROR(__xludf.DUMMYFUNCTION("""COMPUTED_VALUE"""),"-")</f>
        <v>-</v>
      </c>
      <c r="M503" s="19">
        <f>IFERROR(__xludf.DUMMYFUNCTION("""COMPUTED_VALUE"""),0.03996)</f>
        <v>0.03996</v>
      </c>
    </row>
    <row r="504">
      <c r="A504" s="12" t="s">
        <v>6594</v>
      </c>
      <c r="G504" s="19">
        <f>IFERROR(__xludf.DUMMYFUNCTION("SPLIT(A502, "" |"")"),500.0)</f>
        <v>500</v>
      </c>
      <c r="H504" s="19">
        <f>IFERROR(__xludf.DUMMYFUNCTION("""COMPUTED_VALUE"""),0.0022)</f>
        <v>0.0022</v>
      </c>
      <c r="I504" s="19" t="str">
        <f>IFERROR(__xludf.DUMMYFUNCTION("""COMPUTED_VALUE"""),"-")</f>
        <v>-</v>
      </c>
      <c r="J504" s="19">
        <f>IFERROR(__xludf.DUMMYFUNCTION("""COMPUTED_VALUE"""),0.00202)</f>
        <v>0.00202</v>
      </c>
      <c r="K504" s="19">
        <f>IFERROR(__xludf.DUMMYFUNCTION("""COMPUTED_VALUE"""),0.03965)</f>
        <v>0.03965</v>
      </c>
      <c r="L504" s="19" t="str">
        <f>IFERROR(__xludf.DUMMYFUNCTION("""COMPUTED_VALUE"""),"-")</f>
        <v>-</v>
      </c>
      <c r="M504" s="19">
        <f>IFERROR(__xludf.DUMMYFUNCTION("""COMPUTED_VALUE"""),0.0399)</f>
        <v>0.0399</v>
      </c>
    </row>
    <row r="505">
      <c r="A505" s="12" t="s">
        <v>6595</v>
      </c>
      <c r="G505" s="19">
        <f>IFERROR(__xludf.DUMMYFUNCTION("SPLIT(A503, "" |"")"),501.0)</f>
        <v>501</v>
      </c>
      <c r="H505" s="19">
        <f>IFERROR(__xludf.DUMMYFUNCTION("""COMPUTED_VALUE"""),0.00213)</f>
        <v>0.00213</v>
      </c>
      <c r="I505" s="19" t="str">
        <f>IFERROR(__xludf.DUMMYFUNCTION("""COMPUTED_VALUE"""),"-")</f>
        <v>-</v>
      </c>
      <c r="J505" s="19">
        <f>IFERROR(__xludf.DUMMYFUNCTION("""COMPUTED_VALUE"""),0.00197)</f>
        <v>0.00197</v>
      </c>
      <c r="K505" s="19">
        <f>IFERROR(__xludf.DUMMYFUNCTION("""COMPUTED_VALUE"""),0.03971)</f>
        <v>0.03971</v>
      </c>
      <c r="L505" s="19" t="str">
        <f>IFERROR(__xludf.DUMMYFUNCTION("""COMPUTED_VALUE"""),"-")</f>
        <v>-</v>
      </c>
      <c r="M505" s="19">
        <f>IFERROR(__xludf.DUMMYFUNCTION("""COMPUTED_VALUE"""),0.03979)</f>
        <v>0.03979</v>
      </c>
    </row>
    <row r="506">
      <c r="A506" s="12" t="s">
        <v>6596</v>
      </c>
      <c r="G506" s="19">
        <f>IFERROR(__xludf.DUMMYFUNCTION("SPLIT(A504, "" |"")"),502.0)</f>
        <v>502</v>
      </c>
      <c r="H506" s="19">
        <f>IFERROR(__xludf.DUMMYFUNCTION("""COMPUTED_VALUE"""),0.0021)</f>
        <v>0.0021</v>
      </c>
      <c r="I506" s="19" t="str">
        <f>IFERROR(__xludf.DUMMYFUNCTION("""COMPUTED_VALUE"""),"-")</f>
        <v>-</v>
      </c>
      <c r="J506" s="19">
        <f>IFERROR(__xludf.DUMMYFUNCTION("""COMPUTED_VALUE"""),0.00197)</f>
        <v>0.00197</v>
      </c>
      <c r="K506" s="19">
        <f>IFERROR(__xludf.DUMMYFUNCTION("""COMPUTED_VALUE"""),0.03978)</f>
        <v>0.03978</v>
      </c>
      <c r="L506" s="19" t="str">
        <f>IFERROR(__xludf.DUMMYFUNCTION("""COMPUTED_VALUE"""),"-")</f>
        <v>-</v>
      </c>
      <c r="M506" s="19">
        <f>IFERROR(__xludf.DUMMYFUNCTION("""COMPUTED_VALUE"""),0.03666)</f>
        <v>0.03666</v>
      </c>
    </row>
    <row r="507">
      <c r="A507" s="12" t="s">
        <v>6597</v>
      </c>
      <c r="G507" s="19">
        <f>IFERROR(__xludf.DUMMYFUNCTION("SPLIT(A505, "" |"")"),503.0)</f>
        <v>503</v>
      </c>
      <c r="H507" s="19">
        <f>IFERROR(__xludf.DUMMYFUNCTION("""COMPUTED_VALUE"""),0.00215)</f>
        <v>0.00215</v>
      </c>
      <c r="I507" s="19" t="str">
        <f>IFERROR(__xludf.DUMMYFUNCTION("""COMPUTED_VALUE"""),"-")</f>
        <v>-</v>
      </c>
      <c r="J507" s="19">
        <f>IFERROR(__xludf.DUMMYFUNCTION("""COMPUTED_VALUE"""),0.00203)</f>
        <v>0.00203</v>
      </c>
      <c r="K507" s="19">
        <f>IFERROR(__xludf.DUMMYFUNCTION("""COMPUTED_VALUE"""),0.03737)</f>
        <v>0.03737</v>
      </c>
      <c r="L507" s="19" t="str">
        <f>IFERROR(__xludf.DUMMYFUNCTION("""COMPUTED_VALUE"""),"-")</f>
        <v>-</v>
      </c>
      <c r="M507" s="19">
        <f>IFERROR(__xludf.DUMMYFUNCTION("""COMPUTED_VALUE"""),0.04032)</f>
        <v>0.04032</v>
      </c>
    </row>
    <row r="508">
      <c r="A508" s="12" t="s">
        <v>6598</v>
      </c>
      <c r="G508" s="19">
        <f>IFERROR(__xludf.DUMMYFUNCTION("SPLIT(A506, "" |"")"),504.0)</f>
        <v>504</v>
      </c>
      <c r="H508" s="19">
        <f>IFERROR(__xludf.DUMMYFUNCTION("""COMPUTED_VALUE"""),0.00212)</f>
        <v>0.00212</v>
      </c>
      <c r="I508" s="19" t="str">
        <f>IFERROR(__xludf.DUMMYFUNCTION("""COMPUTED_VALUE"""),"-")</f>
        <v>-</v>
      </c>
      <c r="J508" s="19">
        <f>IFERROR(__xludf.DUMMYFUNCTION("""COMPUTED_VALUE"""),0.00198)</f>
        <v>0.00198</v>
      </c>
      <c r="K508" s="19">
        <f>IFERROR(__xludf.DUMMYFUNCTION("""COMPUTED_VALUE"""),0.03971)</f>
        <v>0.03971</v>
      </c>
      <c r="L508" s="19" t="str">
        <f>IFERROR(__xludf.DUMMYFUNCTION("""COMPUTED_VALUE"""),"-")</f>
        <v>-</v>
      </c>
      <c r="M508" s="19">
        <f>IFERROR(__xludf.DUMMYFUNCTION("""COMPUTED_VALUE"""),0.0398)</f>
        <v>0.0398</v>
      </c>
    </row>
    <row r="509">
      <c r="A509" s="12" t="s">
        <v>6599</v>
      </c>
      <c r="G509" s="19">
        <f>IFERROR(__xludf.DUMMYFUNCTION("SPLIT(A507, "" |"")"),505.0)</f>
        <v>505</v>
      </c>
      <c r="H509" s="19">
        <f>IFERROR(__xludf.DUMMYFUNCTION("""COMPUTED_VALUE"""),0.00202)</f>
        <v>0.00202</v>
      </c>
      <c r="I509" s="19" t="str">
        <f>IFERROR(__xludf.DUMMYFUNCTION("""COMPUTED_VALUE"""),"-")</f>
        <v>-</v>
      </c>
      <c r="J509" s="19">
        <f>IFERROR(__xludf.DUMMYFUNCTION("""COMPUTED_VALUE"""),0.00203)</f>
        <v>0.00203</v>
      </c>
      <c r="K509" s="19">
        <f>IFERROR(__xludf.DUMMYFUNCTION("""COMPUTED_VALUE"""),0.03971)</f>
        <v>0.03971</v>
      </c>
      <c r="L509" s="19" t="str">
        <f>IFERROR(__xludf.DUMMYFUNCTION("""COMPUTED_VALUE"""),"-")</f>
        <v>-</v>
      </c>
      <c r="M509" s="19">
        <f>IFERROR(__xludf.DUMMYFUNCTION("""COMPUTED_VALUE"""),0.03979)</f>
        <v>0.03979</v>
      </c>
    </row>
    <row r="510">
      <c r="A510" s="12" t="s">
        <v>6600</v>
      </c>
      <c r="G510" s="19">
        <f>IFERROR(__xludf.DUMMYFUNCTION("SPLIT(A508, "" |"")"),506.0)</f>
        <v>506</v>
      </c>
      <c r="H510" s="19">
        <f>IFERROR(__xludf.DUMMYFUNCTION("""COMPUTED_VALUE"""),0.00215)</f>
        <v>0.00215</v>
      </c>
      <c r="I510" s="19" t="str">
        <f>IFERROR(__xludf.DUMMYFUNCTION("""COMPUTED_VALUE"""),"-")</f>
        <v>-</v>
      </c>
      <c r="J510" s="19">
        <f>IFERROR(__xludf.DUMMYFUNCTION("""COMPUTED_VALUE"""),0.00199)</f>
        <v>0.00199</v>
      </c>
      <c r="K510" s="19">
        <f>IFERROR(__xludf.DUMMYFUNCTION("""COMPUTED_VALUE"""),0.03978)</f>
        <v>0.03978</v>
      </c>
      <c r="L510" s="19" t="str">
        <f>IFERROR(__xludf.DUMMYFUNCTION("""COMPUTED_VALUE"""),"-")</f>
        <v>-</v>
      </c>
      <c r="M510" s="19">
        <f>IFERROR(__xludf.DUMMYFUNCTION("""COMPUTED_VALUE"""),0.03797)</f>
        <v>0.03797</v>
      </c>
    </row>
    <row r="511">
      <c r="A511" s="12" t="s">
        <v>6601</v>
      </c>
      <c r="G511" s="19">
        <f>IFERROR(__xludf.DUMMYFUNCTION("SPLIT(A509, "" |"")"),507.0)</f>
        <v>507</v>
      </c>
      <c r="H511" s="19">
        <f>IFERROR(__xludf.DUMMYFUNCTION("""COMPUTED_VALUE"""),0.00222)</f>
        <v>0.00222</v>
      </c>
      <c r="I511" s="19" t="str">
        <f>IFERROR(__xludf.DUMMYFUNCTION("""COMPUTED_VALUE"""),"-")</f>
        <v>-</v>
      </c>
      <c r="J511" s="19">
        <f>IFERROR(__xludf.DUMMYFUNCTION("""COMPUTED_VALUE"""),0.002)</f>
        <v>0.002</v>
      </c>
      <c r="K511" s="19">
        <f>IFERROR(__xludf.DUMMYFUNCTION("""COMPUTED_VALUE"""),0.03916)</f>
        <v>0.03916</v>
      </c>
      <c r="L511" s="19" t="str">
        <f>IFERROR(__xludf.DUMMYFUNCTION("""COMPUTED_VALUE"""),"-")</f>
        <v>-</v>
      </c>
      <c r="M511" s="19">
        <f>IFERROR(__xludf.DUMMYFUNCTION("""COMPUTED_VALUE"""),0.0403)</f>
        <v>0.0403</v>
      </c>
    </row>
    <row r="512">
      <c r="A512" s="12" t="s">
        <v>6602</v>
      </c>
      <c r="G512" s="19">
        <f>IFERROR(__xludf.DUMMYFUNCTION("SPLIT(A510, "" |"")"),508.0)</f>
        <v>508</v>
      </c>
      <c r="H512" s="19">
        <f>IFERROR(__xludf.DUMMYFUNCTION("""COMPUTED_VALUE"""),0.00218)</f>
        <v>0.00218</v>
      </c>
      <c r="I512" s="19" t="str">
        <f>IFERROR(__xludf.DUMMYFUNCTION("""COMPUTED_VALUE"""),"-")</f>
        <v>-</v>
      </c>
      <c r="J512" s="19">
        <f>IFERROR(__xludf.DUMMYFUNCTION("""COMPUTED_VALUE"""),0.00202)</f>
        <v>0.00202</v>
      </c>
      <c r="K512" s="19">
        <f>IFERROR(__xludf.DUMMYFUNCTION("""COMPUTED_VALUE"""),0.03976)</f>
        <v>0.03976</v>
      </c>
      <c r="L512" s="19" t="str">
        <f>IFERROR(__xludf.DUMMYFUNCTION("""COMPUTED_VALUE"""),"-")</f>
        <v>-</v>
      </c>
      <c r="M512" s="19">
        <f>IFERROR(__xludf.DUMMYFUNCTION("""COMPUTED_VALUE"""),0.03987)</f>
        <v>0.03987</v>
      </c>
    </row>
    <row r="513">
      <c r="A513" s="12" t="s">
        <v>6603</v>
      </c>
      <c r="G513" s="19">
        <f>IFERROR(__xludf.DUMMYFUNCTION("SPLIT(A511, "" |"")"),509.0)</f>
        <v>509</v>
      </c>
      <c r="H513" s="19">
        <f>IFERROR(__xludf.DUMMYFUNCTION("""COMPUTED_VALUE"""),0.00218)</f>
        <v>0.00218</v>
      </c>
      <c r="I513" s="19" t="str">
        <f>IFERROR(__xludf.DUMMYFUNCTION("""COMPUTED_VALUE"""),"-")</f>
        <v>-</v>
      </c>
      <c r="J513" s="19">
        <f>IFERROR(__xludf.DUMMYFUNCTION("""COMPUTED_VALUE"""),0.002)</f>
        <v>0.002</v>
      </c>
      <c r="K513" s="19">
        <f>IFERROR(__xludf.DUMMYFUNCTION("""COMPUTED_VALUE"""),0.03974)</f>
        <v>0.03974</v>
      </c>
      <c r="L513" s="19" t="str">
        <f>IFERROR(__xludf.DUMMYFUNCTION("""COMPUTED_VALUE"""),"-")</f>
        <v>-</v>
      </c>
      <c r="M513" s="19">
        <f>IFERROR(__xludf.DUMMYFUNCTION("""COMPUTED_VALUE"""),0.04035)</f>
        <v>0.04035</v>
      </c>
    </row>
    <row r="514">
      <c r="A514" s="12" t="s">
        <v>6604</v>
      </c>
      <c r="G514" s="19">
        <f>IFERROR(__xludf.DUMMYFUNCTION("SPLIT(A512, "" |"")"),510.0)</f>
        <v>510</v>
      </c>
      <c r="H514" s="19">
        <f>IFERROR(__xludf.DUMMYFUNCTION("""COMPUTED_VALUE"""),0.00208)</f>
        <v>0.00208</v>
      </c>
      <c r="I514" s="19" t="str">
        <f>IFERROR(__xludf.DUMMYFUNCTION("""COMPUTED_VALUE"""),"-")</f>
        <v>-</v>
      </c>
      <c r="J514" s="19">
        <f>IFERROR(__xludf.DUMMYFUNCTION("""COMPUTED_VALUE"""),0.00191)</f>
        <v>0.00191</v>
      </c>
      <c r="K514" s="19">
        <f>IFERROR(__xludf.DUMMYFUNCTION("""COMPUTED_VALUE"""),0.03682)</f>
        <v>0.03682</v>
      </c>
      <c r="L514" s="19" t="str">
        <f>IFERROR(__xludf.DUMMYFUNCTION("""COMPUTED_VALUE"""),"-")</f>
        <v>-</v>
      </c>
      <c r="M514" s="19">
        <f>IFERROR(__xludf.DUMMYFUNCTION("""COMPUTED_VALUE"""),0.03999)</f>
        <v>0.03999</v>
      </c>
    </row>
    <row r="515">
      <c r="A515" s="12" t="s">
        <v>6605</v>
      </c>
      <c r="G515" s="19">
        <f>IFERROR(__xludf.DUMMYFUNCTION("SPLIT(A513, "" |"")"),511.0)</f>
        <v>511</v>
      </c>
      <c r="H515" s="19">
        <f>IFERROR(__xludf.DUMMYFUNCTION("""COMPUTED_VALUE"""),0.00217)</f>
        <v>0.00217</v>
      </c>
      <c r="I515" s="19" t="str">
        <f>IFERROR(__xludf.DUMMYFUNCTION("""COMPUTED_VALUE"""),"-")</f>
        <v>-</v>
      </c>
      <c r="J515" s="19">
        <f>IFERROR(__xludf.DUMMYFUNCTION("""COMPUTED_VALUE"""),0.00207)</f>
        <v>0.00207</v>
      </c>
      <c r="K515" s="19">
        <f>IFERROR(__xludf.DUMMYFUNCTION("""COMPUTED_VALUE"""),0.03724)</f>
        <v>0.03724</v>
      </c>
      <c r="L515" s="19" t="str">
        <f>IFERROR(__xludf.DUMMYFUNCTION("""COMPUTED_VALUE"""),"-")</f>
        <v>-</v>
      </c>
      <c r="M515" s="19">
        <f>IFERROR(__xludf.DUMMYFUNCTION("""COMPUTED_VALUE"""),0.04003)</f>
        <v>0.04003</v>
      </c>
    </row>
    <row r="516">
      <c r="A516" s="12" t="s">
        <v>6606</v>
      </c>
      <c r="G516" s="19">
        <f>IFERROR(__xludf.DUMMYFUNCTION("SPLIT(A514, "" |"")"),512.0)</f>
        <v>512</v>
      </c>
      <c r="H516" s="19">
        <f>IFERROR(__xludf.DUMMYFUNCTION("""COMPUTED_VALUE"""),0.00211)</f>
        <v>0.00211</v>
      </c>
      <c r="I516" s="19" t="str">
        <f>IFERROR(__xludf.DUMMYFUNCTION("""COMPUTED_VALUE"""),"-")</f>
        <v>-</v>
      </c>
      <c r="J516" s="19">
        <f>IFERROR(__xludf.DUMMYFUNCTION("""COMPUTED_VALUE"""),0.00211)</f>
        <v>0.00211</v>
      </c>
      <c r="K516" s="19">
        <f>IFERROR(__xludf.DUMMYFUNCTION("""COMPUTED_VALUE"""),0.03889)</f>
        <v>0.03889</v>
      </c>
      <c r="L516" s="19" t="str">
        <f>IFERROR(__xludf.DUMMYFUNCTION("""COMPUTED_VALUE"""),"-")</f>
        <v>-</v>
      </c>
      <c r="M516" s="19">
        <f>IFERROR(__xludf.DUMMYFUNCTION("""COMPUTED_VALUE"""),0.04008)</f>
        <v>0.04008</v>
      </c>
    </row>
    <row r="517">
      <c r="A517" s="12" t="s">
        <v>6607</v>
      </c>
      <c r="G517" s="19">
        <f>IFERROR(__xludf.DUMMYFUNCTION("SPLIT(A515, "" |"")"),513.0)</f>
        <v>513</v>
      </c>
      <c r="H517" s="19">
        <f>IFERROR(__xludf.DUMMYFUNCTION("""COMPUTED_VALUE"""),0.00219)</f>
        <v>0.00219</v>
      </c>
      <c r="I517" s="19" t="str">
        <f>IFERROR(__xludf.DUMMYFUNCTION("""COMPUTED_VALUE"""),"-")</f>
        <v>-</v>
      </c>
      <c r="J517" s="19">
        <f>IFERROR(__xludf.DUMMYFUNCTION("""COMPUTED_VALUE"""),0.00202)</f>
        <v>0.00202</v>
      </c>
      <c r="K517" s="19">
        <f>IFERROR(__xludf.DUMMYFUNCTION("""COMPUTED_VALUE"""),0.03971)</f>
        <v>0.03971</v>
      </c>
      <c r="L517" s="19" t="str">
        <f>IFERROR(__xludf.DUMMYFUNCTION("""COMPUTED_VALUE"""),"-")</f>
        <v>-</v>
      </c>
      <c r="M517" s="19">
        <f>IFERROR(__xludf.DUMMYFUNCTION("""COMPUTED_VALUE"""),0.03991)</f>
        <v>0.03991</v>
      </c>
    </row>
    <row r="518">
      <c r="A518" s="12" t="s">
        <v>6608</v>
      </c>
      <c r="G518" s="19">
        <f>IFERROR(__xludf.DUMMYFUNCTION("SPLIT(A516, "" |"")"),514.0)</f>
        <v>514</v>
      </c>
      <c r="H518" s="19">
        <f>IFERROR(__xludf.DUMMYFUNCTION("""COMPUTED_VALUE"""),0.00222)</f>
        <v>0.00222</v>
      </c>
      <c r="I518" s="19" t="str">
        <f>IFERROR(__xludf.DUMMYFUNCTION("""COMPUTED_VALUE"""),"-")</f>
        <v>-</v>
      </c>
      <c r="J518" s="19">
        <f>IFERROR(__xludf.DUMMYFUNCTION("""COMPUTED_VALUE"""),0.00201)</f>
        <v>0.00201</v>
      </c>
      <c r="K518" s="19">
        <f>IFERROR(__xludf.DUMMYFUNCTION("""COMPUTED_VALUE"""),0.03983)</f>
        <v>0.03983</v>
      </c>
      <c r="L518" s="19" t="str">
        <f>IFERROR(__xludf.DUMMYFUNCTION("""COMPUTED_VALUE"""),"-")</f>
        <v>-</v>
      </c>
      <c r="M518" s="19">
        <f>IFERROR(__xludf.DUMMYFUNCTION("""COMPUTED_VALUE"""),0.03991)</f>
        <v>0.03991</v>
      </c>
    </row>
    <row r="519">
      <c r="A519" s="12" t="s">
        <v>6609</v>
      </c>
      <c r="G519" s="19">
        <f>IFERROR(__xludf.DUMMYFUNCTION("SPLIT(A517, "" |"")"),515.0)</f>
        <v>515</v>
      </c>
      <c r="H519" s="19">
        <f>IFERROR(__xludf.DUMMYFUNCTION("""COMPUTED_VALUE"""),0.00218)</f>
        <v>0.00218</v>
      </c>
      <c r="I519" s="19" t="str">
        <f>IFERROR(__xludf.DUMMYFUNCTION("""COMPUTED_VALUE"""),"-")</f>
        <v>-</v>
      </c>
      <c r="J519" s="19">
        <f>IFERROR(__xludf.DUMMYFUNCTION("""COMPUTED_VALUE"""),0.00199)</f>
        <v>0.00199</v>
      </c>
      <c r="K519" s="19">
        <f>IFERROR(__xludf.DUMMYFUNCTION("""COMPUTED_VALUE"""),0.03953)</f>
        <v>0.03953</v>
      </c>
      <c r="L519" s="19" t="str">
        <f>IFERROR(__xludf.DUMMYFUNCTION("""COMPUTED_VALUE"""),"-")</f>
        <v>-</v>
      </c>
      <c r="M519" s="19">
        <f>IFERROR(__xludf.DUMMYFUNCTION("""COMPUTED_VALUE"""),0.03905)</f>
        <v>0.03905</v>
      </c>
    </row>
    <row r="520">
      <c r="A520" s="12" t="s">
        <v>6610</v>
      </c>
      <c r="G520" s="19">
        <f>IFERROR(__xludf.DUMMYFUNCTION("SPLIT(A518, "" |"")"),516.0)</f>
        <v>516</v>
      </c>
      <c r="H520" s="19">
        <f>IFERROR(__xludf.DUMMYFUNCTION("""COMPUTED_VALUE"""),0.00214)</f>
        <v>0.00214</v>
      </c>
      <c r="I520" s="19" t="str">
        <f>IFERROR(__xludf.DUMMYFUNCTION("""COMPUTED_VALUE"""),"-")</f>
        <v>-</v>
      </c>
      <c r="J520" s="19">
        <f>IFERROR(__xludf.DUMMYFUNCTION("""COMPUTED_VALUE"""),0.002)</f>
        <v>0.002</v>
      </c>
      <c r="K520" s="19">
        <f>IFERROR(__xludf.DUMMYFUNCTION("""COMPUTED_VALUE"""),0.0375)</f>
        <v>0.0375</v>
      </c>
      <c r="L520" s="19" t="str">
        <f>IFERROR(__xludf.DUMMYFUNCTION("""COMPUTED_VALUE"""),"-")</f>
        <v>-</v>
      </c>
      <c r="M520" s="19">
        <f>IFERROR(__xludf.DUMMYFUNCTION("""COMPUTED_VALUE"""),0.04019)</f>
        <v>0.04019</v>
      </c>
    </row>
    <row r="521">
      <c r="A521" s="12" t="s">
        <v>6611</v>
      </c>
      <c r="G521" s="19">
        <f>IFERROR(__xludf.DUMMYFUNCTION("SPLIT(A519, "" |"")"),517.0)</f>
        <v>517</v>
      </c>
      <c r="H521" s="19">
        <f>IFERROR(__xludf.DUMMYFUNCTION("""COMPUTED_VALUE"""),0.00204)</f>
        <v>0.00204</v>
      </c>
      <c r="I521" s="19" t="str">
        <f>IFERROR(__xludf.DUMMYFUNCTION("""COMPUTED_VALUE"""),"-")</f>
        <v>-</v>
      </c>
      <c r="J521" s="19">
        <f>IFERROR(__xludf.DUMMYFUNCTION("""COMPUTED_VALUE"""),0.00192)</f>
        <v>0.00192</v>
      </c>
      <c r="K521" s="19">
        <f>IFERROR(__xludf.DUMMYFUNCTION("""COMPUTED_VALUE"""),0.03952)</f>
        <v>0.03952</v>
      </c>
      <c r="L521" s="19" t="str">
        <f>IFERROR(__xludf.DUMMYFUNCTION("""COMPUTED_VALUE"""),"-")</f>
        <v>-</v>
      </c>
      <c r="M521" s="19">
        <f>IFERROR(__xludf.DUMMYFUNCTION("""COMPUTED_VALUE"""),0.03979)</f>
        <v>0.03979</v>
      </c>
    </row>
    <row r="522">
      <c r="A522" s="12" t="s">
        <v>6612</v>
      </c>
      <c r="G522" s="19">
        <f>IFERROR(__xludf.DUMMYFUNCTION("SPLIT(A520, "" |"")"),518.0)</f>
        <v>518</v>
      </c>
      <c r="H522" s="19">
        <f>IFERROR(__xludf.DUMMYFUNCTION("""COMPUTED_VALUE"""),0.00223)</f>
        <v>0.00223</v>
      </c>
      <c r="I522" s="19" t="str">
        <f>IFERROR(__xludf.DUMMYFUNCTION("""COMPUTED_VALUE"""),"-")</f>
        <v>-</v>
      </c>
      <c r="J522" s="19">
        <f>IFERROR(__xludf.DUMMYFUNCTION("""COMPUTED_VALUE"""),0.00202)</f>
        <v>0.00202</v>
      </c>
      <c r="K522" s="19">
        <f>IFERROR(__xludf.DUMMYFUNCTION("""COMPUTED_VALUE"""),0.03937)</f>
        <v>0.03937</v>
      </c>
      <c r="L522" s="19" t="str">
        <f>IFERROR(__xludf.DUMMYFUNCTION("""COMPUTED_VALUE"""),"-")</f>
        <v>-</v>
      </c>
      <c r="M522" s="19">
        <f>IFERROR(__xludf.DUMMYFUNCTION("""COMPUTED_VALUE"""),0.0367)</f>
        <v>0.0367</v>
      </c>
    </row>
    <row r="523">
      <c r="A523" s="12" t="s">
        <v>6613</v>
      </c>
      <c r="G523" s="19">
        <f>IFERROR(__xludf.DUMMYFUNCTION("SPLIT(A521, "" |"")"),519.0)</f>
        <v>519</v>
      </c>
      <c r="H523" s="19">
        <f>IFERROR(__xludf.DUMMYFUNCTION("""COMPUTED_VALUE"""),0.0022)</f>
        <v>0.0022</v>
      </c>
      <c r="I523" s="19" t="str">
        <f>IFERROR(__xludf.DUMMYFUNCTION("""COMPUTED_VALUE"""),"-")</f>
        <v>-</v>
      </c>
      <c r="J523" s="19">
        <f>IFERROR(__xludf.DUMMYFUNCTION("""COMPUTED_VALUE"""),0.00209)</f>
        <v>0.00209</v>
      </c>
      <c r="K523" s="19">
        <f>IFERROR(__xludf.DUMMYFUNCTION("""COMPUTED_VALUE"""),0.03983)</f>
        <v>0.03983</v>
      </c>
      <c r="L523" s="19" t="str">
        <f>IFERROR(__xludf.DUMMYFUNCTION("""COMPUTED_VALUE"""),"-")</f>
        <v>-</v>
      </c>
      <c r="M523" s="19">
        <f>IFERROR(__xludf.DUMMYFUNCTION("""COMPUTED_VALUE"""),0.04037)</f>
        <v>0.04037</v>
      </c>
    </row>
    <row r="524">
      <c r="A524" s="12" t="s">
        <v>6614</v>
      </c>
      <c r="G524" s="19">
        <f>IFERROR(__xludf.DUMMYFUNCTION("SPLIT(A522, "" |"")"),520.0)</f>
        <v>520</v>
      </c>
      <c r="H524" s="19">
        <f>IFERROR(__xludf.DUMMYFUNCTION("""COMPUTED_VALUE"""),0.00218)</f>
        <v>0.00218</v>
      </c>
      <c r="I524" s="19" t="str">
        <f>IFERROR(__xludf.DUMMYFUNCTION("""COMPUTED_VALUE"""),"-")</f>
        <v>-</v>
      </c>
      <c r="J524" s="19">
        <f>IFERROR(__xludf.DUMMYFUNCTION("""COMPUTED_VALUE"""),0.00212)</f>
        <v>0.00212</v>
      </c>
      <c r="K524" s="19">
        <f>IFERROR(__xludf.DUMMYFUNCTION("""COMPUTED_VALUE"""),0.03795)</f>
        <v>0.03795</v>
      </c>
      <c r="L524" s="19" t="str">
        <f>IFERROR(__xludf.DUMMYFUNCTION("""COMPUTED_VALUE"""),"-")</f>
        <v>-</v>
      </c>
      <c r="M524" s="19">
        <f>IFERROR(__xludf.DUMMYFUNCTION("""COMPUTED_VALUE"""),0.04023)</f>
        <v>0.04023</v>
      </c>
    </row>
    <row r="525">
      <c r="A525" s="12" t="s">
        <v>6615</v>
      </c>
      <c r="G525" s="19">
        <f>IFERROR(__xludf.DUMMYFUNCTION("SPLIT(A523, "" |"")"),521.0)</f>
        <v>521</v>
      </c>
      <c r="H525" s="19">
        <f>IFERROR(__xludf.DUMMYFUNCTION("""COMPUTED_VALUE"""),0.00223)</f>
        <v>0.00223</v>
      </c>
      <c r="I525" s="19" t="str">
        <f>IFERROR(__xludf.DUMMYFUNCTION("""COMPUTED_VALUE"""),"-")</f>
        <v>-</v>
      </c>
      <c r="J525" s="19">
        <f>IFERROR(__xludf.DUMMYFUNCTION("""COMPUTED_VALUE"""),0.00198)</f>
        <v>0.00198</v>
      </c>
      <c r="K525" s="19">
        <f>IFERROR(__xludf.DUMMYFUNCTION("""COMPUTED_VALUE"""),0.03972)</f>
        <v>0.03972</v>
      </c>
      <c r="L525" s="19" t="str">
        <f>IFERROR(__xludf.DUMMYFUNCTION("""COMPUTED_VALUE"""),"-")</f>
        <v>-</v>
      </c>
      <c r="M525" s="19">
        <f>IFERROR(__xludf.DUMMYFUNCTION("""COMPUTED_VALUE"""),0.03463)</f>
        <v>0.03463</v>
      </c>
    </row>
    <row r="526">
      <c r="A526" s="12" t="s">
        <v>6616</v>
      </c>
      <c r="G526" s="19">
        <f>IFERROR(__xludf.DUMMYFUNCTION("SPLIT(A524, "" |"")"),522.0)</f>
        <v>522</v>
      </c>
      <c r="H526" s="19">
        <f>IFERROR(__xludf.DUMMYFUNCTION("""COMPUTED_VALUE"""),0.00234)</f>
        <v>0.00234</v>
      </c>
      <c r="I526" s="19" t="str">
        <f>IFERROR(__xludf.DUMMYFUNCTION("""COMPUTED_VALUE"""),"-")</f>
        <v>-</v>
      </c>
      <c r="J526" s="19">
        <f>IFERROR(__xludf.DUMMYFUNCTION("""COMPUTED_VALUE"""),0.00201)</f>
        <v>0.00201</v>
      </c>
      <c r="K526" s="19">
        <f>IFERROR(__xludf.DUMMYFUNCTION("""COMPUTED_VALUE"""),0.03969)</f>
        <v>0.03969</v>
      </c>
      <c r="L526" s="19" t="str">
        <f>IFERROR(__xludf.DUMMYFUNCTION("""COMPUTED_VALUE"""),"-")</f>
        <v>-</v>
      </c>
      <c r="M526" s="19">
        <f>IFERROR(__xludf.DUMMYFUNCTION("""COMPUTED_VALUE"""),0.04007)</f>
        <v>0.04007</v>
      </c>
    </row>
    <row r="527">
      <c r="A527" s="12" t="s">
        <v>6617</v>
      </c>
      <c r="G527" s="19">
        <f>IFERROR(__xludf.DUMMYFUNCTION("SPLIT(A525, "" |"")"),523.0)</f>
        <v>523</v>
      </c>
      <c r="H527" s="19">
        <f>IFERROR(__xludf.DUMMYFUNCTION("""COMPUTED_VALUE"""),0.0024)</f>
        <v>0.0024</v>
      </c>
      <c r="I527" s="19" t="str">
        <f>IFERROR(__xludf.DUMMYFUNCTION("""COMPUTED_VALUE"""),"-")</f>
        <v>-</v>
      </c>
      <c r="J527" s="19">
        <f>IFERROR(__xludf.DUMMYFUNCTION("""COMPUTED_VALUE"""),0.00211)</f>
        <v>0.00211</v>
      </c>
      <c r="K527" s="19">
        <f>IFERROR(__xludf.DUMMYFUNCTION("""COMPUTED_VALUE"""),0.03661)</f>
        <v>0.03661</v>
      </c>
      <c r="L527" s="19" t="str">
        <f>IFERROR(__xludf.DUMMYFUNCTION("""COMPUTED_VALUE"""),"-")</f>
        <v>-</v>
      </c>
      <c r="M527" s="19">
        <f>IFERROR(__xludf.DUMMYFUNCTION("""COMPUTED_VALUE"""),0.04019)</f>
        <v>0.04019</v>
      </c>
    </row>
    <row r="528">
      <c r="A528" s="12" t="s">
        <v>6618</v>
      </c>
      <c r="G528" s="19">
        <f>IFERROR(__xludf.DUMMYFUNCTION("SPLIT(A526, "" |"")"),524.0)</f>
        <v>524</v>
      </c>
      <c r="H528" s="19">
        <f>IFERROR(__xludf.DUMMYFUNCTION("""COMPUTED_VALUE"""),0.00231)</f>
        <v>0.00231</v>
      </c>
      <c r="I528" s="19" t="str">
        <f>IFERROR(__xludf.DUMMYFUNCTION("""COMPUTED_VALUE"""),"-")</f>
        <v>-</v>
      </c>
      <c r="J528" s="19">
        <f>IFERROR(__xludf.DUMMYFUNCTION("""COMPUTED_VALUE"""),0.00195)</f>
        <v>0.00195</v>
      </c>
      <c r="K528" s="19">
        <f>IFERROR(__xludf.DUMMYFUNCTION("""COMPUTED_VALUE"""),0.03672)</f>
        <v>0.03672</v>
      </c>
      <c r="L528" s="19" t="str">
        <f>IFERROR(__xludf.DUMMYFUNCTION("""COMPUTED_VALUE"""),"-")</f>
        <v>-</v>
      </c>
      <c r="M528" s="19">
        <f>IFERROR(__xludf.DUMMYFUNCTION("""COMPUTED_VALUE"""),0.0389)</f>
        <v>0.0389</v>
      </c>
    </row>
    <row r="529">
      <c r="A529" s="12" t="s">
        <v>6619</v>
      </c>
      <c r="G529" s="19">
        <f>IFERROR(__xludf.DUMMYFUNCTION("SPLIT(A527, "" |"")"),525.0)</f>
        <v>525</v>
      </c>
      <c r="H529" s="19">
        <f>IFERROR(__xludf.DUMMYFUNCTION("""COMPUTED_VALUE"""),0.00224)</f>
        <v>0.00224</v>
      </c>
      <c r="I529" s="19" t="str">
        <f>IFERROR(__xludf.DUMMYFUNCTION("""COMPUTED_VALUE"""),"-")</f>
        <v>-</v>
      </c>
      <c r="J529" s="19">
        <f>IFERROR(__xludf.DUMMYFUNCTION("""COMPUTED_VALUE"""),0.00194)</f>
        <v>0.00194</v>
      </c>
      <c r="K529" s="19">
        <f>IFERROR(__xludf.DUMMYFUNCTION("""COMPUTED_VALUE"""),0.04021)</f>
        <v>0.04021</v>
      </c>
      <c r="L529" s="19" t="str">
        <f>IFERROR(__xludf.DUMMYFUNCTION("""COMPUTED_VALUE"""),"-")</f>
        <v>-</v>
      </c>
      <c r="M529" s="19">
        <f>IFERROR(__xludf.DUMMYFUNCTION("""COMPUTED_VALUE"""),0.04008)</f>
        <v>0.04008</v>
      </c>
    </row>
    <row r="530">
      <c r="A530" s="12" t="s">
        <v>6620</v>
      </c>
      <c r="G530" s="19">
        <f>IFERROR(__xludf.DUMMYFUNCTION("SPLIT(A528, "" |"")"),526.0)</f>
        <v>526</v>
      </c>
      <c r="H530" s="19">
        <f>IFERROR(__xludf.DUMMYFUNCTION("""COMPUTED_VALUE"""),0.00315)</f>
        <v>0.00315</v>
      </c>
      <c r="I530" s="19" t="str">
        <f>IFERROR(__xludf.DUMMYFUNCTION("""COMPUTED_VALUE"""),"-")</f>
        <v>-</v>
      </c>
      <c r="J530" s="19">
        <f>IFERROR(__xludf.DUMMYFUNCTION("""COMPUTED_VALUE"""),0.00203)</f>
        <v>0.00203</v>
      </c>
      <c r="K530" s="19">
        <f>IFERROR(__xludf.DUMMYFUNCTION("""COMPUTED_VALUE"""),0.03986)</f>
        <v>0.03986</v>
      </c>
      <c r="L530" s="19" t="str">
        <f>IFERROR(__xludf.DUMMYFUNCTION("""COMPUTED_VALUE"""),"-")</f>
        <v>-</v>
      </c>
      <c r="M530" s="19">
        <f>IFERROR(__xludf.DUMMYFUNCTION("""COMPUTED_VALUE"""),0.04023)</f>
        <v>0.04023</v>
      </c>
    </row>
    <row r="531">
      <c r="A531" s="12" t="s">
        <v>6621</v>
      </c>
      <c r="G531" s="19">
        <f>IFERROR(__xludf.DUMMYFUNCTION("SPLIT(A529, "" |"")"),527.0)</f>
        <v>527</v>
      </c>
      <c r="H531" s="19">
        <f>IFERROR(__xludf.DUMMYFUNCTION("""COMPUTED_VALUE"""),0.00232)</f>
        <v>0.00232</v>
      </c>
      <c r="I531" s="19" t="str">
        <f>IFERROR(__xludf.DUMMYFUNCTION("""COMPUTED_VALUE"""),"-")</f>
        <v>-</v>
      </c>
      <c r="J531" s="19">
        <f>IFERROR(__xludf.DUMMYFUNCTION("""COMPUTED_VALUE"""),0.00198)</f>
        <v>0.00198</v>
      </c>
      <c r="K531" s="19">
        <f>IFERROR(__xludf.DUMMYFUNCTION("""COMPUTED_VALUE"""),0.03972)</f>
        <v>0.03972</v>
      </c>
      <c r="L531" s="19" t="str">
        <f>IFERROR(__xludf.DUMMYFUNCTION("""COMPUTED_VALUE"""),"-")</f>
        <v>-</v>
      </c>
      <c r="M531" s="19">
        <f>IFERROR(__xludf.DUMMYFUNCTION("""COMPUTED_VALUE"""),0.03987)</f>
        <v>0.03987</v>
      </c>
    </row>
    <row r="532">
      <c r="A532" s="12" t="s">
        <v>6622</v>
      </c>
      <c r="G532" s="19">
        <f>IFERROR(__xludf.DUMMYFUNCTION("SPLIT(A530, "" |"")"),528.0)</f>
        <v>528</v>
      </c>
      <c r="H532" s="19">
        <f>IFERROR(__xludf.DUMMYFUNCTION("""COMPUTED_VALUE"""),0.00222)</f>
        <v>0.00222</v>
      </c>
      <c r="I532" s="19" t="str">
        <f>IFERROR(__xludf.DUMMYFUNCTION("""COMPUTED_VALUE"""),"-")</f>
        <v>-</v>
      </c>
      <c r="J532" s="19">
        <f>IFERROR(__xludf.DUMMYFUNCTION("""COMPUTED_VALUE"""),0.00192)</f>
        <v>0.00192</v>
      </c>
      <c r="K532" s="19">
        <f>IFERROR(__xludf.DUMMYFUNCTION("""COMPUTED_VALUE"""),0.03666)</f>
        <v>0.03666</v>
      </c>
      <c r="L532" s="19" t="str">
        <f>IFERROR(__xludf.DUMMYFUNCTION("""COMPUTED_VALUE"""),"-")</f>
        <v>-</v>
      </c>
      <c r="M532" s="19">
        <f>IFERROR(__xludf.DUMMYFUNCTION("""COMPUTED_VALUE"""),0.04006)</f>
        <v>0.04006</v>
      </c>
    </row>
    <row r="533">
      <c r="A533" s="12" t="s">
        <v>6623</v>
      </c>
      <c r="G533" s="19">
        <f>IFERROR(__xludf.DUMMYFUNCTION("SPLIT(A531, "" |"")"),529.0)</f>
        <v>529</v>
      </c>
      <c r="H533" s="19">
        <f>IFERROR(__xludf.DUMMYFUNCTION("""COMPUTED_VALUE"""),0.00207)</f>
        <v>0.00207</v>
      </c>
      <c r="I533" s="19" t="str">
        <f>IFERROR(__xludf.DUMMYFUNCTION("""COMPUTED_VALUE"""),"-")</f>
        <v>-</v>
      </c>
      <c r="J533" s="19">
        <f>IFERROR(__xludf.DUMMYFUNCTION("""COMPUTED_VALUE"""),0.00213)</f>
        <v>0.00213</v>
      </c>
      <c r="K533" s="19">
        <f>IFERROR(__xludf.DUMMYFUNCTION("""COMPUTED_VALUE"""),0.04009)</f>
        <v>0.04009</v>
      </c>
      <c r="L533" s="19" t="str">
        <f>IFERROR(__xludf.DUMMYFUNCTION("""COMPUTED_VALUE"""),"-")</f>
        <v>-</v>
      </c>
      <c r="M533" s="19">
        <f>IFERROR(__xludf.DUMMYFUNCTION("""COMPUTED_VALUE"""),0.03716)</f>
        <v>0.03716</v>
      </c>
    </row>
    <row r="534">
      <c r="A534" s="12" t="s">
        <v>6624</v>
      </c>
      <c r="G534" s="19">
        <f>IFERROR(__xludf.DUMMYFUNCTION("SPLIT(A532, "" |"")"),530.0)</f>
        <v>530</v>
      </c>
      <c r="H534" s="19">
        <f>IFERROR(__xludf.DUMMYFUNCTION("""COMPUTED_VALUE"""),0.00226)</f>
        <v>0.00226</v>
      </c>
      <c r="I534" s="19" t="str">
        <f>IFERROR(__xludf.DUMMYFUNCTION("""COMPUTED_VALUE"""),"-")</f>
        <v>-</v>
      </c>
      <c r="J534" s="19">
        <f>IFERROR(__xludf.DUMMYFUNCTION("""COMPUTED_VALUE"""),0.00227)</f>
        <v>0.00227</v>
      </c>
      <c r="K534" s="19">
        <f>IFERROR(__xludf.DUMMYFUNCTION("""COMPUTED_VALUE"""),0.03666)</f>
        <v>0.03666</v>
      </c>
      <c r="L534" s="19" t="str">
        <f>IFERROR(__xludf.DUMMYFUNCTION("""COMPUTED_VALUE"""),"-")</f>
        <v>-</v>
      </c>
      <c r="M534" s="19">
        <f>IFERROR(__xludf.DUMMYFUNCTION("""COMPUTED_VALUE"""),0.04049)</f>
        <v>0.04049</v>
      </c>
    </row>
    <row r="535">
      <c r="A535" s="12" t="s">
        <v>6625</v>
      </c>
      <c r="G535" s="19">
        <f>IFERROR(__xludf.DUMMYFUNCTION("SPLIT(A533, "" |"")"),531.0)</f>
        <v>531</v>
      </c>
      <c r="H535" s="19">
        <f>IFERROR(__xludf.DUMMYFUNCTION("""COMPUTED_VALUE"""),0.00224)</f>
        <v>0.00224</v>
      </c>
      <c r="I535" s="19" t="str">
        <f>IFERROR(__xludf.DUMMYFUNCTION("""COMPUTED_VALUE"""),"-")</f>
        <v>-</v>
      </c>
      <c r="J535" s="19">
        <f>IFERROR(__xludf.DUMMYFUNCTION("""COMPUTED_VALUE"""),0.00199)</f>
        <v>0.00199</v>
      </c>
      <c r="K535" s="19">
        <f>IFERROR(__xludf.DUMMYFUNCTION("""COMPUTED_VALUE"""),0.03911)</f>
        <v>0.03911</v>
      </c>
      <c r="L535" s="19" t="str">
        <f>IFERROR(__xludf.DUMMYFUNCTION("""COMPUTED_VALUE"""),"-")</f>
        <v>-</v>
      </c>
      <c r="M535" s="19">
        <f>IFERROR(__xludf.DUMMYFUNCTION("""COMPUTED_VALUE"""),0.04002)</f>
        <v>0.04002</v>
      </c>
    </row>
    <row r="536">
      <c r="A536" s="12" t="s">
        <v>6626</v>
      </c>
      <c r="G536" s="19">
        <f>IFERROR(__xludf.DUMMYFUNCTION("SPLIT(A534, "" |"")"),532.0)</f>
        <v>532</v>
      </c>
      <c r="H536" s="19">
        <f>IFERROR(__xludf.DUMMYFUNCTION("""COMPUTED_VALUE"""),0.00252)</f>
        <v>0.00252</v>
      </c>
      <c r="I536" s="19" t="str">
        <f>IFERROR(__xludf.DUMMYFUNCTION("""COMPUTED_VALUE"""),"-")</f>
        <v>-</v>
      </c>
      <c r="J536" s="19">
        <f>IFERROR(__xludf.DUMMYFUNCTION("""COMPUTED_VALUE"""),0.00187)</f>
        <v>0.00187</v>
      </c>
      <c r="K536" s="19">
        <f>IFERROR(__xludf.DUMMYFUNCTION("""COMPUTED_VALUE"""),0.04038)</f>
        <v>0.04038</v>
      </c>
      <c r="L536" s="19" t="str">
        <f>IFERROR(__xludf.DUMMYFUNCTION("""COMPUTED_VALUE"""),"-")</f>
        <v>-</v>
      </c>
      <c r="M536" s="19">
        <f>IFERROR(__xludf.DUMMYFUNCTION("""COMPUTED_VALUE"""),0.04009)</f>
        <v>0.04009</v>
      </c>
    </row>
    <row r="537">
      <c r="A537" s="12" t="s">
        <v>6627</v>
      </c>
      <c r="G537" s="19">
        <f>IFERROR(__xludf.DUMMYFUNCTION("SPLIT(A535, "" |"")"),533.0)</f>
        <v>533</v>
      </c>
      <c r="H537" s="19">
        <f>IFERROR(__xludf.DUMMYFUNCTION("""COMPUTED_VALUE"""),0.0021)</f>
        <v>0.0021</v>
      </c>
      <c r="I537" s="19" t="str">
        <f>IFERROR(__xludf.DUMMYFUNCTION("""COMPUTED_VALUE"""),"-")</f>
        <v>-</v>
      </c>
      <c r="J537" s="19">
        <f>IFERROR(__xludf.DUMMYFUNCTION("""COMPUTED_VALUE"""),0.00196)</f>
        <v>0.00196</v>
      </c>
      <c r="K537" s="19">
        <f>IFERROR(__xludf.DUMMYFUNCTION("""COMPUTED_VALUE"""),0.03801)</f>
        <v>0.03801</v>
      </c>
      <c r="L537" s="19" t="str">
        <f>IFERROR(__xludf.DUMMYFUNCTION("""COMPUTED_VALUE"""),"-")</f>
        <v>-</v>
      </c>
      <c r="M537" s="19">
        <f>IFERROR(__xludf.DUMMYFUNCTION("""COMPUTED_VALUE"""),0.04015)</f>
        <v>0.04015</v>
      </c>
    </row>
    <row r="538">
      <c r="A538" s="12" t="s">
        <v>6628</v>
      </c>
      <c r="G538" s="19">
        <f>IFERROR(__xludf.DUMMYFUNCTION("SPLIT(A536, "" |"")"),534.0)</f>
        <v>534</v>
      </c>
      <c r="H538" s="19">
        <f>IFERROR(__xludf.DUMMYFUNCTION("""COMPUTED_VALUE"""),0.00229)</f>
        <v>0.00229</v>
      </c>
      <c r="I538" s="19" t="str">
        <f>IFERROR(__xludf.DUMMYFUNCTION("""COMPUTED_VALUE"""),"-")</f>
        <v>-</v>
      </c>
      <c r="J538" s="19">
        <f>IFERROR(__xludf.DUMMYFUNCTION("""COMPUTED_VALUE"""),0.00212)</f>
        <v>0.00212</v>
      </c>
      <c r="K538" s="19">
        <f>IFERROR(__xludf.DUMMYFUNCTION("""COMPUTED_VALUE"""),0.03758)</f>
        <v>0.03758</v>
      </c>
      <c r="L538" s="19" t="str">
        <f>IFERROR(__xludf.DUMMYFUNCTION("""COMPUTED_VALUE"""),"-")</f>
        <v>-</v>
      </c>
      <c r="M538" s="19">
        <f>IFERROR(__xludf.DUMMYFUNCTION("""COMPUTED_VALUE"""),0.04011)</f>
        <v>0.04011</v>
      </c>
    </row>
    <row r="539">
      <c r="A539" s="12" t="s">
        <v>6629</v>
      </c>
      <c r="G539" s="19">
        <f>IFERROR(__xludf.DUMMYFUNCTION("SPLIT(A537, "" |"")"),535.0)</f>
        <v>535</v>
      </c>
      <c r="H539" s="19">
        <f>IFERROR(__xludf.DUMMYFUNCTION("""COMPUTED_VALUE"""),0.00219)</f>
        <v>0.00219</v>
      </c>
      <c r="I539" s="19" t="str">
        <f>IFERROR(__xludf.DUMMYFUNCTION("""COMPUTED_VALUE"""),"-")</f>
        <v>-</v>
      </c>
      <c r="J539" s="19">
        <f>IFERROR(__xludf.DUMMYFUNCTION("""COMPUTED_VALUE"""),0.00194)</f>
        <v>0.00194</v>
      </c>
      <c r="K539" s="19">
        <f>IFERROR(__xludf.DUMMYFUNCTION("""COMPUTED_VALUE"""),0.03869)</f>
        <v>0.03869</v>
      </c>
      <c r="L539" s="19" t="str">
        <f>IFERROR(__xludf.DUMMYFUNCTION("""COMPUTED_VALUE"""),"-")</f>
        <v>-</v>
      </c>
      <c r="M539" s="19">
        <f>IFERROR(__xludf.DUMMYFUNCTION("""COMPUTED_VALUE"""),0.03783)</f>
        <v>0.03783</v>
      </c>
    </row>
    <row r="540">
      <c r="A540" s="12" t="s">
        <v>6630</v>
      </c>
      <c r="G540" s="19">
        <f>IFERROR(__xludf.DUMMYFUNCTION("SPLIT(A538, "" |"")"),536.0)</f>
        <v>536</v>
      </c>
      <c r="H540" s="19">
        <f>IFERROR(__xludf.DUMMYFUNCTION("""COMPUTED_VALUE"""),0.00214)</f>
        <v>0.00214</v>
      </c>
      <c r="I540" s="19" t="str">
        <f>IFERROR(__xludf.DUMMYFUNCTION("""COMPUTED_VALUE"""),"-")</f>
        <v>-</v>
      </c>
      <c r="J540" s="19">
        <f>IFERROR(__xludf.DUMMYFUNCTION("""COMPUTED_VALUE"""),0.00204)</f>
        <v>0.00204</v>
      </c>
      <c r="K540" s="19">
        <f>IFERROR(__xludf.DUMMYFUNCTION("""COMPUTED_VALUE"""),0.03591)</f>
        <v>0.03591</v>
      </c>
      <c r="L540" s="19" t="str">
        <f>IFERROR(__xludf.DUMMYFUNCTION("""COMPUTED_VALUE"""),"-")</f>
        <v>-</v>
      </c>
      <c r="M540" s="19">
        <f>IFERROR(__xludf.DUMMYFUNCTION("""COMPUTED_VALUE"""),0.04054)</f>
        <v>0.04054</v>
      </c>
    </row>
    <row r="541">
      <c r="A541" s="12" t="s">
        <v>6631</v>
      </c>
      <c r="G541" s="19">
        <f>IFERROR(__xludf.DUMMYFUNCTION("SPLIT(A539, "" |"")"),537.0)</f>
        <v>537</v>
      </c>
      <c r="H541" s="19">
        <f>IFERROR(__xludf.DUMMYFUNCTION("""COMPUTED_VALUE"""),0.00222)</f>
        <v>0.00222</v>
      </c>
      <c r="I541" s="19" t="str">
        <f>IFERROR(__xludf.DUMMYFUNCTION("""COMPUTED_VALUE"""),"-")</f>
        <v>-</v>
      </c>
      <c r="J541" s="19">
        <f>IFERROR(__xludf.DUMMYFUNCTION("""COMPUTED_VALUE"""),0.00201)</f>
        <v>0.00201</v>
      </c>
      <c r="K541" s="19">
        <f>IFERROR(__xludf.DUMMYFUNCTION("""COMPUTED_VALUE"""),0.03723)</f>
        <v>0.03723</v>
      </c>
      <c r="L541" s="19" t="str">
        <f>IFERROR(__xludf.DUMMYFUNCTION("""COMPUTED_VALUE"""),"-")</f>
        <v>-</v>
      </c>
      <c r="M541" s="19">
        <f>IFERROR(__xludf.DUMMYFUNCTION("""COMPUTED_VALUE"""),0.03927)</f>
        <v>0.03927</v>
      </c>
    </row>
    <row r="542">
      <c r="A542" s="12" t="s">
        <v>6632</v>
      </c>
      <c r="G542" s="19">
        <f>IFERROR(__xludf.DUMMYFUNCTION("SPLIT(A540, "" |"")"),538.0)</f>
        <v>538</v>
      </c>
      <c r="H542" s="19">
        <f>IFERROR(__xludf.DUMMYFUNCTION("""COMPUTED_VALUE"""),0.002)</f>
        <v>0.002</v>
      </c>
      <c r="I542" s="19" t="str">
        <f>IFERROR(__xludf.DUMMYFUNCTION("""COMPUTED_VALUE"""),"-")</f>
        <v>-</v>
      </c>
      <c r="J542" s="19">
        <f>IFERROR(__xludf.DUMMYFUNCTION("""COMPUTED_VALUE"""),0.00247)</f>
        <v>0.00247</v>
      </c>
      <c r="K542" s="19">
        <f>IFERROR(__xludf.DUMMYFUNCTION("""COMPUTED_VALUE"""),0.04028)</f>
        <v>0.04028</v>
      </c>
      <c r="L542" s="19" t="str">
        <f>IFERROR(__xludf.DUMMYFUNCTION("""COMPUTED_VALUE"""),"-")</f>
        <v>-</v>
      </c>
      <c r="M542" s="19">
        <f>IFERROR(__xludf.DUMMYFUNCTION("""COMPUTED_VALUE"""),0.0402)</f>
        <v>0.0402</v>
      </c>
    </row>
    <row r="543">
      <c r="A543" s="12" t="s">
        <v>6633</v>
      </c>
      <c r="G543" s="19">
        <f>IFERROR(__xludf.DUMMYFUNCTION("SPLIT(A541, "" |"")"),539.0)</f>
        <v>539</v>
      </c>
      <c r="H543" s="19">
        <f>IFERROR(__xludf.DUMMYFUNCTION("""COMPUTED_VALUE"""),0.00231)</f>
        <v>0.00231</v>
      </c>
      <c r="I543" s="19" t="str">
        <f>IFERROR(__xludf.DUMMYFUNCTION("""COMPUTED_VALUE"""),"-")</f>
        <v>-</v>
      </c>
      <c r="J543" s="19">
        <f>IFERROR(__xludf.DUMMYFUNCTION("""COMPUTED_VALUE"""),0.00195)</f>
        <v>0.00195</v>
      </c>
      <c r="K543" s="19">
        <f>IFERROR(__xludf.DUMMYFUNCTION("""COMPUTED_VALUE"""),0.03586)</f>
        <v>0.03586</v>
      </c>
      <c r="L543" s="19" t="str">
        <f>IFERROR(__xludf.DUMMYFUNCTION("""COMPUTED_VALUE"""),"-")</f>
        <v>-</v>
      </c>
      <c r="M543" s="19">
        <f>IFERROR(__xludf.DUMMYFUNCTION("""COMPUTED_VALUE"""),0.038)</f>
        <v>0.038</v>
      </c>
    </row>
    <row r="544">
      <c r="A544" s="12" t="s">
        <v>6634</v>
      </c>
      <c r="G544" s="19">
        <f>IFERROR(__xludf.DUMMYFUNCTION("SPLIT(A542, "" |"")"),540.0)</f>
        <v>540</v>
      </c>
      <c r="H544" s="19">
        <f>IFERROR(__xludf.DUMMYFUNCTION("""COMPUTED_VALUE"""),0.00233)</f>
        <v>0.00233</v>
      </c>
      <c r="I544" s="19" t="str">
        <f>IFERROR(__xludf.DUMMYFUNCTION("""COMPUTED_VALUE"""),"-")</f>
        <v>-</v>
      </c>
      <c r="J544" s="19">
        <f>IFERROR(__xludf.DUMMYFUNCTION("""COMPUTED_VALUE"""),0.00206)</f>
        <v>0.00206</v>
      </c>
      <c r="K544" s="19">
        <f>IFERROR(__xludf.DUMMYFUNCTION("""COMPUTED_VALUE"""),0.03985)</f>
        <v>0.03985</v>
      </c>
      <c r="L544" s="19" t="str">
        <f>IFERROR(__xludf.DUMMYFUNCTION("""COMPUTED_VALUE"""),"-")</f>
        <v>-</v>
      </c>
      <c r="M544" s="19">
        <f>IFERROR(__xludf.DUMMYFUNCTION("""COMPUTED_VALUE"""),0.04022)</f>
        <v>0.04022</v>
      </c>
    </row>
    <row r="545">
      <c r="A545" s="12" t="s">
        <v>6635</v>
      </c>
      <c r="G545" s="19">
        <f>IFERROR(__xludf.DUMMYFUNCTION("SPLIT(A543, "" |"")"),541.0)</f>
        <v>541</v>
      </c>
      <c r="H545" s="19">
        <f>IFERROR(__xludf.DUMMYFUNCTION("""COMPUTED_VALUE"""),0.00226)</f>
        <v>0.00226</v>
      </c>
      <c r="I545" s="19" t="str">
        <f>IFERROR(__xludf.DUMMYFUNCTION("""COMPUTED_VALUE"""),"-")</f>
        <v>-</v>
      </c>
      <c r="J545" s="19">
        <f>IFERROR(__xludf.DUMMYFUNCTION("""COMPUTED_VALUE"""),0.00209)</f>
        <v>0.00209</v>
      </c>
      <c r="K545" s="19">
        <f>IFERROR(__xludf.DUMMYFUNCTION("""COMPUTED_VALUE"""),0.04005)</f>
        <v>0.04005</v>
      </c>
      <c r="L545" s="19" t="str">
        <f>IFERROR(__xludf.DUMMYFUNCTION("""COMPUTED_VALUE"""),"-")</f>
        <v>-</v>
      </c>
      <c r="M545" s="19">
        <f>IFERROR(__xludf.DUMMYFUNCTION("""COMPUTED_VALUE"""),0.03986)</f>
        <v>0.03986</v>
      </c>
    </row>
    <row r="546">
      <c r="A546" s="12" t="s">
        <v>6636</v>
      </c>
      <c r="G546" s="19">
        <f>IFERROR(__xludf.DUMMYFUNCTION("SPLIT(A544, "" |"")"),542.0)</f>
        <v>542</v>
      </c>
      <c r="H546" s="19">
        <f>IFERROR(__xludf.DUMMYFUNCTION("""COMPUTED_VALUE"""),0.00198)</f>
        <v>0.00198</v>
      </c>
      <c r="I546" s="19" t="str">
        <f>IFERROR(__xludf.DUMMYFUNCTION("""COMPUTED_VALUE"""),"-")</f>
        <v>-</v>
      </c>
      <c r="J546" s="19">
        <f>IFERROR(__xludf.DUMMYFUNCTION("""COMPUTED_VALUE"""),0.00191)</f>
        <v>0.00191</v>
      </c>
      <c r="K546" s="19">
        <f>IFERROR(__xludf.DUMMYFUNCTION("""COMPUTED_VALUE"""),0.03963)</f>
        <v>0.03963</v>
      </c>
      <c r="L546" s="19" t="str">
        <f>IFERROR(__xludf.DUMMYFUNCTION("""COMPUTED_VALUE"""),"-")</f>
        <v>-</v>
      </c>
      <c r="M546" s="19">
        <f>IFERROR(__xludf.DUMMYFUNCTION("""COMPUTED_VALUE"""),0.03781)</f>
        <v>0.03781</v>
      </c>
    </row>
    <row r="547">
      <c r="A547" s="12" t="s">
        <v>6637</v>
      </c>
      <c r="G547" s="19">
        <f>IFERROR(__xludf.DUMMYFUNCTION("SPLIT(A545, "" |"")"),543.0)</f>
        <v>543</v>
      </c>
      <c r="H547" s="19">
        <f>IFERROR(__xludf.DUMMYFUNCTION("""COMPUTED_VALUE"""),0.00229)</f>
        <v>0.00229</v>
      </c>
      <c r="I547" s="19" t="str">
        <f>IFERROR(__xludf.DUMMYFUNCTION("""COMPUTED_VALUE"""),"-")</f>
        <v>-</v>
      </c>
      <c r="J547" s="19">
        <f>IFERROR(__xludf.DUMMYFUNCTION("""COMPUTED_VALUE"""),0.00207)</f>
        <v>0.00207</v>
      </c>
      <c r="K547" s="19">
        <f>IFERROR(__xludf.DUMMYFUNCTION("""COMPUTED_VALUE"""),0.03814)</f>
        <v>0.03814</v>
      </c>
      <c r="L547" s="19" t="str">
        <f>IFERROR(__xludf.DUMMYFUNCTION("""COMPUTED_VALUE"""),"-")</f>
        <v>-</v>
      </c>
      <c r="M547" s="19">
        <f>IFERROR(__xludf.DUMMYFUNCTION("""COMPUTED_VALUE"""),0.03743)</f>
        <v>0.03743</v>
      </c>
    </row>
    <row r="548">
      <c r="A548" s="12" t="s">
        <v>6638</v>
      </c>
      <c r="G548" s="19">
        <f>IFERROR(__xludf.DUMMYFUNCTION("SPLIT(A546, "" |"")"),544.0)</f>
        <v>544</v>
      </c>
      <c r="H548" s="19">
        <f>IFERROR(__xludf.DUMMYFUNCTION("""COMPUTED_VALUE"""),0.00212)</f>
        <v>0.00212</v>
      </c>
      <c r="I548" s="19" t="str">
        <f>IFERROR(__xludf.DUMMYFUNCTION("""COMPUTED_VALUE"""),"-")</f>
        <v>-</v>
      </c>
      <c r="J548" s="19">
        <f>IFERROR(__xludf.DUMMYFUNCTION("""COMPUTED_VALUE"""),0.00223)</f>
        <v>0.00223</v>
      </c>
      <c r="K548" s="19">
        <f>IFERROR(__xludf.DUMMYFUNCTION("""COMPUTED_VALUE"""),0.03985)</f>
        <v>0.03985</v>
      </c>
      <c r="L548" s="19" t="str">
        <f>IFERROR(__xludf.DUMMYFUNCTION("""COMPUTED_VALUE"""),"-")</f>
        <v>-</v>
      </c>
      <c r="M548" s="19">
        <f>IFERROR(__xludf.DUMMYFUNCTION("""COMPUTED_VALUE"""),0.04042)</f>
        <v>0.04042</v>
      </c>
    </row>
    <row r="549">
      <c r="A549" s="12" t="s">
        <v>6639</v>
      </c>
      <c r="G549" s="19">
        <f>IFERROR(__xludf.DUMMYFUNCTION("SPLIT(A547, "" |"")"),545.0)</f>
        <v>545</v>
      </c>
      <c r="H549" s="19">
        <f>IFERROR(__xludf.DUMMYFUNCTION("""COMPUTED_VALUE"""),0.00218)</f>
        <v>0.00218</v>
      </c>
      <c r="I549" s="19" t="str">
        <f>IFERROR(__xludf.DUMMYFUNCTION("""COMPUTED_VALUE"""),"-")</f>
        <v>-</v>
      </c>
      <c r="J549" s="19">
        <f>IFERROR(__xludf.DUMMYFUNCTION("""COMPUTED_VALUE"""),0.00202)</f>
        <v>0.00202</v>
      </c>
      <c r="K549" s="19">
        <f>IFERROR(__xludf.DUMMYFUNCTION("""COMPUTED_VALUE"""),0.03769)</f>
        <v>0.03769</v>
      </c>
      <c r="L549" s="19" t="str">
        <f>IFERROR(__xludf.DUMMYFUNCTION("""COMPUTED_VALUE"""),"-")</f>
        <v>-</v>
      </c>
      <c r="M549" s="19">
        <f>IFERROR(__xludf.DUMMYFUNCTION("""COMPUTED_VALUE"""),0.0401)</f>
        <v>0.0401</v>
      </c>
    </row>
    <row r="550">
      <c r="A550" s="12" t="s">
        <v>6640</v>
      </c>
      <c r="G550" s="19">
        <f>IFERROR(__xludf.DUMMYFUNCTION("SPLIT(A548, "" |"")"),546.0)</f>
        <v>546</v>
      </c>
      <c r="H550" s="19">
        <f>IFERROR(__xludf.DUMMYFUNCTION("""COMPUTED_VALUE"""),0.00215)</f>
        <v>0.00215</v>
      </c>
      <c r="I550" s="19" t="str">
        <f>IFERROR(__xludf.DUMMYFUNCTION("""COMPUTED_VALUE"""),"-")</f>
        <v>-</v>
      </c>
      <c r="J550" s="19">
        <f>IFERROR(__xludf.DUMMYFUNCTION("""COMPUTED_VALUE"""),0.00209)</f>
        <v>0.00209</v>
      </c>
      <c r="K550" s="19">
        <f>IFERROR(__xludf.DUMMYFUNCTION("""COMPUTED_VALUE"""),0.0379)</f>
        <v>0.0379</v>
      </c>
      <c r="L550" s="19" t="str">
        <f>IFERROR(__xludf.DUMMYFUNCTION("""COMPUTED_VALUE"""),"-")</f>
        <v>-</v>
      </c>
      <c r="M550" s="19">
        <f>IFERROR(__xludf.DUMMYFUNCTION("""COMPUTED_VALUE"""),0.04008)</f>
        <v>0.04008</v>
      </c>
    </row>
    <row r="551">
      <c r="A551" s="12" t="s">
        <v>6641</v>
      </c>
      <c r="G551" s="19">
        <f>IFERROR(__xludf.DUMMYFUNCTION("SPLIT(A549, "" |"")"),547.0)</f>
        <v>547</v>
      </c>
      <c r="H551" s="19">
        <f>IFERROR(__xludf.DUMMYFUNCTION("""COMPUTED_VALUE"""),0.0022)</f>
        <v>0.0022</v>
      </c>
      <c r="I551" s="19" t="str">
        <f>IFERROR(__xludf.DUMMYFUNCTION("""COMPUTED_VALUE"""),"-")</f>
        <v>-</v>
      </c>
      <c r="J551" s="19">
        <f>IFERROR(__xludf.DUMMYFUNCTION("""COMPUTED_VALUE"""),0.00192)</f>
        <v>0.00192</v>
      </c>
      <c r="K551" s="19">
        <f>IFERROR(__xludf.DUMMYFUNCTION("""COMPUTED_VALUE"""),0.03709)</f>
        <v>0.03709</v>
      </c>
      <c r="L551" s="19" t="str">
        <f>IFERROR(__xludf.DUMMYFUNCTION("""COMPUTED_VALUE"""),"-")</f>
        <v>-</v>
      </c>
      <c r="M551" s="19">
        <f>IFERROR(__xludf.DUMMYFUNCTION("""COMPUTED_VALUE"""),0.03742)</f>
        <v>0.03742</v>
      </c>
    </row>
    <row r="552">
      <c r="A552" s="12" t="s">
        <v>6642</v>
      </c>
      <c r="G552" s="19">
        <f>IFERROR(__xludf.DUMMYFUNCTION("SPLIT(A550, "" |"")"),548.0)</f>
        <v>548</v>
      </c>
      <c r="H552" s="19">
        <f>IFERROR(__xludf.DUMMYFUNCTION("""COMPUTED_VALUE"""),0.00263)</f>
        <v>0.00263</v>
      </c>
      <c r="I552" s="19" t="str">
        <f>IFERROR(__xludf.DUMMYFUNCTION("""COMPUTED_VALUE"""),"-")</f>
        <v>-</v>
      </c>
      <c r="J552" s="19">
        <f>IFERROR(__xludf.DUMMYFUNCTION("""COMPUTED_VALUE"""),0.00206)</f>
        <v>0.00206</v>
      </c>
      <c r="K552" s="19">
        <f>IFERROR(__xludf.DUMMYFUNCTION("""COMPUTED_VALUE"""),0.04009)</f>
        <v>0.04009</v>
      </c>
      <c r="L552" s="19" t="str">
        <f>IFERROR(__xludf.DUMMYFUNCTION("""COMPUTED_VALUE"""),"-")</f>
        <v>-</v>
      </c>
      <c r="M552" s="19">
        <f>IFERROR(__xludf.DUMMYFUNCTION("""COMPUTED_VALUE"""),0.03698)</f>
        <v>0.03698</v>
      </c>
    </row>
    <row r="553">
      <c r="A553" s="12" t="s">
        <v>6643</v>
      </c>
      <c r="G553" s="19">
        <f>IFERROR(__xludf.DUMMYFUNCTION("SPLIT(A551, "" |"")"),549.0)</f>
        <v>549</v>
      </c>
      <c r="H553" s="19">
        <f>IFERROR(__xludf.DUMMYFUNCTION("""COMPUTED_VALUE"""),0.0022)</f>
        <v>0.0022</v>
      </c>
      <c r="I553" s="19" t="str">
        <f>IFERROR(__xludf.DUMMYFUNCTION("""COMPUTED_VALUE"""),"-")</f>
        <v>-</v>
      </c>
      <c r="J553" s="19">
        <f>IFERROR(__xludf.DUMMYFUNCTION("""COMPUTED_VALUE"""),0.00203)</f>
        <v>0.00203</v>
      </c>
      <c r="K553" s="19">
        <f>IFERROR(__xludf.DUMMYFUNCTION("""COMPUTED_VALUE"""),0.03961)</f>
        <v>0.03961</v>
      </c>
      <c r="L553" s="19" t="str">
        <f>IFERROR(__xludf.DUMMYFUNCTION("""COMPUTED_VALUE"""),"-")</f>
        <v>-</v>
      </c>
      <c r="M553" s="19">
        <f>IFERROR(__xludf.DUMMYFUNCTION("""COMPUTED_VALUE"""),0.03617)</f>
        <v>0.03617</v>
      </c>
    </row>
    <row r="554">
      <c r="A554" s="12" t="s">
        <v>6644</v>
      </c>
      <c r="G554" s="19">
        <f>IFERROR(__xludf.DUMMYFUNCTION("SPLIT(A552, "" |"")"),550.0)</f>
        <v>550</v>
      </c>
      <c r="H554" s="19">
        <f>IFERROR(__xludf.DUMMYFUNCTION("""COMPUTED_VALUE"""),0.00213)</f>
        <v>0.00213</v>
      </c>
      <c r="I554" s="19" t="str">
        <f>IFERROR(__xludf.DUMMYFUNCTION("""COMPUTED_VALUE"""),"-")</f>
        <v>-</v>
      </c>
      <c r="J554" s="19">
        <f>IFERROR(__xludf.DUMMYFUNCTION("""COMPUTED_VALUE"""),0.00212)</f>
        <v>0.00212</v>
      </c>
      <c r="K554" s="19">
        <f>IFERROR(__xludf.DUMMYFUNCTION("""COMPUTED_VALUE"""),0.03605)</f>
        <v>0.03605</v>
      </c>
      <c r="L554" s="19" t="str">
        <f>IFERROR(__xludf.DUMMYFUNCTION("""COMPUTED_VALUE"""),"-")</f>
        <v>-</v>
      </c>
      <c r="M554" s="19">
        <f>IFERROR(__xludf.DUMMYFUNCTION("""COMPUTED_VALUE"""),0.03872)</f>
        <v>0.03872</v>
      </c>
    </row>
    <row r="555">
      <c r="A555" s="12" t="s">
        <v>6645</v>
      </c>
      <c r="G555" s="19">
        <f>IFERROR(__xludf.DUMMYFUNCTION("SPLIT(A553, "" |"")"),551.0)</f>
        <v>551</v>
      </c>
      <c r="H555" s="19">
        <f>IFERROR(__xludf.DUMMYFUNCTION("""COMPUTED_VALUE"""),0.00217)</f>
        <v>0.00217</v>
      </c>
      <c r="I555" s="19" t="str">
        <f>IFERROR(__xludf.DUMMYFUNCTION("""COMPUTED_VALUE"""),"-")</f>
        <v>-</v>
      </c>
      <c r="J555" s="19">
        <f>IFERROR(__xludf.DUMMYFUNCTION("""COMPUTED_VALUE"""),0.00192)</f>
        <v>0.00192</v>
      </c>
      <c r="K555" s="19">
        <f>IFERROR(__xludf.DUMMYFUNCTION("""COMPUTED_VALUE"""),0.03763)</f>
        <v>0.03763</v>
      </c>
      <c r="L555" s="19" t="str">
        <f>IFERROR(__xludf.DUMMYFUNCTION("""COMPUTED_VALUE"""),"-")</f>
        <v>-</v>
      </c>
      <c r="M555" s="19">
        <f>IFERROR(__xludf.DUMMYFUNCTION("""COMPUTED_VALUE"""),0.0402)</f>
        <v>0.0402</v>
      </c>
    </row>
    <row r="556">
      <c r="A556" s="12" t="s">
        <v>6646</v>
      </c>
      <c r="G556" s="19">
        <f>IFERROR(__xludf.DUMMYFUNCTION("SPLIT(A554, "" |"")"),552.0)</f>
        <v>552</v>
      </c>
      <c r="H556" s="19">
        <f>IFERROR(__xludf.DUMMYFUNCTION("""COMPUTED_VALUE"""),0.00209)</f>
        <v>0.00209</v>
      </c>
      <c r="I556" s="19" t="str">
        <f>IFERROR(__xludf.DUMMYFUNCTION("""COMPUTED_VALUE"""),"-")</f>
        <v>-</v>
      </c>
      <c r="J556" s="19">
        <f>IFERROR(__xludf.DUMMYFUNCTION("""COMPUTED_VALUE"""),0.00197)</f>
        <v>0.00197</v>
      </c>
      <c r="K556" s="19">
        <f>IFERROR(__xludf.DUMMYFUNCTION("""COMPUTED_VALUE"""),0.03973)</f>
        <v>0.03973</v>
      </c>
      <c r="L556" s="19" t="str">
        <f>IFERROR(__xludf.DUMMYFUNCTION("""COMPUTED_VALUE"""),"-")</f>
        <v>-</v>
      </c>
      <c r="M556" s="19">
        <f>IFERROR(__xludf.DUMMYFUNCTION("""COMPUTED_VALUE"""),0.03969)</f>
        <v>0.03969</v>
      </c>
    </row>
    <row r="557">
      <c r="A557" s="12" t="s">
        <v>6647</v>
      </c>
      <c r="G557" s="19">
        <f>IFERROR(__xludf.DUMMYFUNCTION("SPLIT(A555, "" |"")"),553.0)</f>
        <v>553</v>
      </c>
      <c r="H557" s="19">
        <f>IFERROR(__xludf.DUMMYFUNCTION("""COMPUTED_VALUE"""),0.00207)</f>
        <v>0.00207</v>
      </c>
      <c r="I557" s="19" t="str">
        <f>IFERROR(__xludf.DUMMYFUNCTION("""COMPUTED_VALUE"""),"-")</f>
        <v>-</v>
      </c>
      <c r="J557" s="19">
        <f>IFERROR(__xludf.DUMMYFUNCTION("""COMPUTED_VALUE"""),0.00198)</f>
        <v>0.00198</v>
      </c>
      <c r="K557" s="19">
        <f>IFERROR(__xludf.DUMMYFUNCTION("""COMPUTED_VALUE"""),0.03976)</f>
        <v>0.03976</v>
      </c>
      <c r="L557" s="19" t="str">
        <f>IFERROR(__xludf.DUMMYFUNCTION("""COMPUTED_VALUE"""),"-")</f>
        <v>-</v>
      </c>
      <c r="M557" s="19">
        <f>IFERROR(__xludf.DUMMYFUNCTION("""COMPUTED_VALUE"""),0.03952)</f>
        <v>0.03952</v>
      </c>
    </row>
    <row r="558">
      <c r="A558" s="12" t="s">
        <v>6648</v>
      </c>
      <c r="G558" s="19">
        <f>IFERROR(__xludf.DUMMYFUNCTION("SPLIT(A556, "" |"")"),554.0)</f>
        <v>554</v>
      </c>
      <c r="H558" s="19">
        <f>IFERROR(__xludf.DUMMYFUNCTION("""COMPUTED_VALUE"""),0.00199)</f>
        <v>0.00199</v>
      </c>
      <c r="I558" s="19" t="str">
        <f>IFERROR(__xludf.DUMMYFUNCTION("""COMPUTED_VALUE"""),"-")</f>
        <v>-</v>
      </c>
      <c r="J558" s="19">
        <f>IFERROR(__xludf.DUMMYFUNCTION("""COMPUTED_VALUE"""),0.00202)</f>
        <v>0.00202</v>
      </c>
      <c r="K558" s="19">
        <f>IFERROR(__xludf.DUMMYFUNCTION("""COMPUTED_VALUE"""),0.04014)</f>
        <v>0.04014</v>
      </c>
      <c r="L558" s="19" t="str">
        <f>IFERROR(__xludf.DUMMYFUNCTION("""COMPUTED_VALUE"""),"-")</f>
        <v>-</v>
      </c>
      <c r="M558" s="19">
        <f>IFERROR(__xludf.DUMMYFUNCTION("""COMPUTED_VALUE"""),0.03634)</f>
        <v>0.03634</v>
      </c>
    </row>
    <row r="559">
      <c r="A559" s="12" t="s">
        <v>6649</v>
      </c>
      <c r="G559" s="19">
        <f>IFERROR(__xludf.DUMMYFUNCTION("SPLIT(A557, "" |"")"),555.0)</f>
        <v>555</v>
      </c>
      <c r="H559" s="19">
        <f>IFERROR(__xludf.DUMMYFUNCTION("""COMPUTED_VALUE"""),0.00219)</f>
        <v>0.00219</v>
      </c>
      <c r="I559" s="19" t="str">
        <f>IFERROR(__xludf.DUMMYFUNCTION("""COMPUTED_VALUE"""),"-")</f>
        <v>-</v>
      </c>
      <c r="J559" s="19">
        <f>IFERROR(__xludf.DUMMYFUNCTION("""COMPUTED_VALUE"""),0.00194)</f>
        <v>0.00194</v>
      </c>
      <c r="K559" s="19">
        <f>IFERROR(__xludf.DUMMYFUNCTION("""COMPUTED_VALUE"""),0.04008)</f>
        <v>0.04008</v>
      </c>
      <c r="L559" s="19" t="str">
        <f>IFERROR(__xludf.DUMMYFUNCTION("""COMPUTED_VALUE"""),"-")</f>
        <v>-</v>
      </c>
      <c r="M559" s="19">
        <f>IFERROR(__xludf.DUMMYFUNCTION("""COMPUTED_VALUE"""),0.04002)</f>
        <v>0.04002</v>
      </c>
    </row>
    <row r="560">
      <c r="A560" s="12" t="s">
        <v>6650</v>
      </c>
      <c r="G560" s="19">
        <f>IFERROR(__xludf.DUMMYFUNCTION("SPLIT(A558, "" |"")"),556.0)</f>
        <v>556</v>
      </c>
      <c r="H560" s="19">
        <f>IFERROR(__xludf.DUMMYFUNCTION("""COMPUTED_VALUE"""),0.00208)</f>
        <v>0.00208</v>
      </c>
      <c r="I560" s="19" t="str">
        <f>IFERROR(__xludf.DUMMYFUNCTION("""COMPUTED_VALUE"""),"-")</f>
        <v>-</v>
      </c>
      <c r="J560" s="19">
        <f>IFERROR(__xludf.DUMMYFUNCTION("""COMPUTED_VALUE"""),0.00195)</f>
        <v>0.00195</v>
      </c>
      <c r="K560" s="19">
        <f>IFERROR(__xludf.DUMMYFUNCTION("""COMPUTED_VALUE"""),0.03866)</f>
        <v>0.03866</v>
      </c>
      <c r="L560" s="19" t="str">
        <f>IFERROR(__xludf.DUMMYFUNCTION("""COMPUTED_VALUE"""),"-")</f>
        <v>-</v>
      </c>
      <c r="M560" s="19">
        <f>IFERROR(__xludf.DUMMYFUNCTION("""COMPUTED_VALUE"""),0.03815)</f>
        <v>0.03815</v>
      </c>
    </row>
    <row r="561">
      <c r="A561" s="12" t="s">
        <v>6651</v>
      </c>
      <c r="G561" s="19">
        <f>IFERROR(__xludf.DUMMYFUNCTION("SPLIT(A559, "" |"")"),557.0)</f>
        <v>557</v>
      </c>
      <c r="H561" s="19">
        <f>IFERROR(__xludf.DUMMYFUNCTION("""COMPUTED_VALUE"""),0.0021)</f>
        <v>0.0021</v>
      </c>
      <c r="I561" s="19" t="str">
        <f>IFERROR(__xludf.DUMMYFUNCTION("""COMPUTED_VALUE"""),"-")</f>
        <v>-</v>
      </c>
      <c r="J561" s="19">
        <f>IFERROR(__xludf.DUMMYFUNCTION("""COMPUTED_VALUE"""),0.00193)</f>
        <v>0.00193</v>
      </c>
      <c r="K561" s="19">
        <f>IFERROR(__xludf.DUMMYFUNCTION("""COMPUTED_VALUE"""),0.03963)</f>
        <v>0.03963</v>
      </c>
      <c r="L561" s="19" t="str">
        <f>IFERROR(__xludf.DUMMYFUNCTION("""COMPUTED_VALUE"""),"-")</f>
        <v>-</v>
      </c>
      <c r="M561" s="19">
        <f>IFERROR(__xludf.DUMMYFUNCTION("""COMPUTED_VALUE"""),0.03953)</f>
        <v>0.03953</v>
      </c>
    </row>
    <row r="562">
      <c r="A562" s="12" t="s">
        <v>6652</v>
      </c>
      <c r="G562" s="19">
        <f>IFERROR(__xludf.DUMMYFUNCTION("SPLIT(A560, "" |"")"),558.0)</f>
        <v>558</v>
      </c>
      <c r="H562" s="19">
        <f>IFERROR(__xludf.DUMMYFUNCTION("""COMPUTED_VALUE"""),0.00212)</f>
        <v>0.00212</v>
      </c>
      <c r="I562" s="19" t="str">
        <f>IFERROR(__xludf.DUMMYFUNCTION("""COMPUTED_VALUE"""),"-")</f>
        <v>-</v>
      </c>
      <c r="J562" s="19">
        <f>IFERROR(__xludf.DUMMYFUNCTION("""COMPUTED_VALUE"""),0.00199)</f>
        <v>0.00199</v>
      </c>
      <c r="K562" s="19">
        <f>IFERROR(__xludf.DUMMYFUNCTION("""COMPUTED_VALUE"""),0.03943)</f>
        <v>0.03943</v>
      </c>
      <c r="L562" s="19" t="str">
        <f>IFERROR(__xludf.DUMMYFUNCTION("""COMPUTED_VALUE"""),"-")</f>
        <v>-</v>
      </c>
      <c r="M562" s="19">
        <f>IFERROR(__xludf.DUMMYFUNCTION("""COMPUTED_VALUE"""),0.0399)</f>
        <v>0.0399</v>
      </c>
    </row>
    <row r="563">
      <c r="A563" s="12" t="s">
        <v>6653</v>
      </c>
      <c r="G563" s="19">
        <f>IFERROR(__xludf.DUMMYFUNCTION("SPLIT(A561, "" |"")"),559.0)</f>
        <v>559</v>
      </c>
      <c r="H563" s="19">
        <f>IFERROR(__xludf.DUMMYFUNCTION("""COMPUTED_VALUE"""),0.00211)</f>
        <v>0.00211</v>
      </c>
      <c r="I563" s="19" t="str">
        <f>IFERROR(__xludf.DUMMYFUNCTION("""COMPUTED_VALUE"""),"-")</f>
        <v>-</v>
      </c>
      <c r="J563" s="19">
        <f>IFERROR(__xludf.DUMMYFUNCTION("""COMPUTED_VALUE"""),0.00209)</f>
        <v>0.00209</v>
      </c>
      <c r="K563" s="19">
        <f>IFERROR(__xludf.DUMMYFUNCTION("""COMPUTED_VALUE"""),0.03981)</f>
        <v>0.03981</v>
      </c>
      <c r="L563" s="19" t="str">
        <f>IFERROR(__xludf.DUMMYFUNCTION("""COMPUTED_VALUE"""),"-")</f>
        <v>-</v>
      </c>
      <c r="M563" s="19">
        <f>IFERROR(__xludf.DUMMYFUNCTION("""COMPUTED_VALUE"""),0.03929)</f>
        <v>0.03929</v>
      </c>
    </row>
    <row r="564">
      <c r="A564" s="12" t="s">
        <v>6654</v>
      </c>
      <c r="G564" s="19">
        <f>IFERROR(__xludf.DUMMYFUNCTION("SPLIT(A562, "" |"")"),560.0)</f>
        <v>560</v>
      </c>
      <c r="H564" s="19">
        <f>IFERROR(__xludf.DUMMYFUNCTION("""COMPUTED_VALUE"""),0.00214)</f>
        <v>0.00214</v>
      </c>
      <c r="I564" s="19" t="str">
        <f>IFERROR(__xludf.DUMMYFUNCTION("""COMPUTED_VALUE"""),"-")</f>
        <v>-</v>
      </c>
      <c r="J564" s="19">
        <f>IFERROR(__xludf.DUMMYFUNCTION("""COMPUTED_VALUE"""),0.00192)</f>
        <v>0.00192</v>
      </c>
      <c r="K564" s="19">
        <f>IFERROR(__xludf.DUMMYFUNCTION("""COMPUTED_VALUE"""),0.03995)</f>
        <v>0.03995</v>
      </c>
      <c r="L564" s="19" t="str">
        <f>IFERROR(__xludf.DUMMYFUNCTION("""COMPUTED_VALUE"""),"-")</f>
        <v>-</v>
      </c>
      <c r="M564" s="19">
        <f>IFERROR(__xludf.DUMMYFUNCTION("""COMPUTED_VALUE"""),0.03979)</f>
        <v>0.03979</v>
      </c>
    </row>
    <row r="565">
      <c r="A565" s="12" t="s">
        <v>6655</v>
      </c>
      <c r="G565" s="19">
        <f>IFERROR(__xludf.DUMMYFUNCTION("SPLIT(A563, "" |"")"),561.0)</f>
        <v>561</v>
      </c>
      <c r="H565" s="19">
        <f>IFERROR(__xludf.DUMMYFUNCTION("""COMPUTED_VALUE"""),0.00203)</f>
        <v>0.00203</v>
      </c>
      <c r="I565" s="19" t="str">
        <f>IFERROR(__xludf.DUMMYFUNCTION("""COMPUTED_VALUE"""),"-")</f>
        <v>-</v>
      </c>
      <c r="J565" s="19">
        <f>IFERROR(__xludf.DUMMYFUNCTION("""COMPUTED_VALUE"""),0.00189)</f>
        <v>0.00189</v>
      </c>
      <c r="K565" s="19">
        <f>IFERROR(__xludf.DUMMYFUNCTION("""COMPUTED_VALUE"""),0.03953)</f>
        <v>0.03953</v>
      </c>
      <c r="L565" s="19" t="str">
        <f>IFERROR(__xludf.DUMMYFUNCTION("""COMPUTED_VALUE"""),"-")</f>
        <v>-</v>
      </c>
      <c r="M565" s="19">
        <f>IFERROR(__xludf.DUMMYFUNCTION("""COMPUTED_VALUE"""),0.03969)</f>
        <v>0.03969</v>
      </c>
    </row>
    <row r="566">
      <c r="A566" s="12" t="s">
        <v>6656</v>
      </c>
      <c r="G566" s="19">
        <f>IFERROR(__xludf.DUMMYFUNCTION("SPLIT(A564, "" |"")"),562.0)</f>
        <v>562</v>
      </c>
      <c r="H566" s="19">
        <f>IFERROR(__xludf.DUMMYFUNCTION("""COMPUTED_VALUE"""),0.00204)</f>
        <v>0.00204</v>
      </c>
      <c r="I566" s="19" t="str">
        <f>IFERROR(__xludf.DUMMYFUNCTION("""COMPUTED_VALUE"""),"-")</f>
        <v>-</v>
      </c>
      <c r="J566" s="19">
        <f>IFERROR(__xludf.DUMMYFUNCTION("""COMPUTED_VALUE"""),0.00189)</f>
        <v>0.00189</v>
      </c>
      <c r="K566" s="19">
        <f>IFERROR(__xludf.DUMMYFUNCTION("""COMPUTED_VALUE"""),0.03761)</f>
        <v>0.03761</v>
      </c>
      <c r="L566" s="19" t="str">
        <f>IFERROR(__xludf.DUMMYFUNCTION("""COMPUTED_VALUE"""),"-")</f>
        <v>-</v>
      </c>
      <c r="M566" s="19">
        <f>IFERROR(__xludf.DUMMYFUNCTION("""COMPUTED_VALUE"""),0.03984)</f>
        <v>0.03984</v>
      </c>
    </row>
    <row r="567">
      <c r="A567" s="12" t="s">
        <v>6657</v>
      </c>
      <c r="G567" s="19">
        <f>IFERROR(__xludf.DUMMYFUNCTION("SPLIT(A565, "" |"")"),563.0)</f>
        <v>563</v>
      </c>
      <c r="H567" s="19">
        <f>IFERROR(__xludf.DUMMYFUNCTION("""COMPUTED_VALUE"""),0.00216)</f>
        <v>0.00216</v>
      </c>
      <c r="I567" s="19" t="str">
        <f>IFERROR(__xludf.DUMMYFUNCTION("""COMPUTED_VALUE"""),"-")</f>
        <v>-</v>
      </c>
      <c r="J567" s="19">
        <f>IFERROR(__xludf.DUMMYFUNCTION("""COMPUTED_VALUE"""),0.00192)</f>
        <v>0.00192</v>
      </c>
      <c r="K567" s="19">
        <f>IFERROR(__xludf.DUMMYFUNCTION("""COMPUTED_VALUE"""),0.03638)</f>
        <v>0.03638</v>
      </c>
      <c r="L567" s="19" t="str">
        <f>IFERROR(__xludf.DUMMYFUNCTION("""COMPUTED_VALUE"""),"-")</f>
        <v>-</v>
      </c>
      <c r="M567" s="19">
        <f>IFERROR(__xludf.DUMMYFUNCTION("""COMPUTED_VALUE"""),0.03981)</f>
        <v>0.03981</v>
      </c>
    </row>
    <row r="568">
      <c r="A568" s="12" t="s">
        <v>6658</v>
      </c>
      <c r="G568" s="19">
        <f>IFERROR(__xludf.DUMMYFUNCTION("SPLIT(A566, "" |"")"),564.0)</f>
        <v>564</v>
      </c>
      <c r="H568" s="19">
        <f>IFERROR(__xludf.DUMMYFUNCTION("""COMPUTED_VALUE"""),0.00233)</f>
        <v>0.00233</v>
      </c>
      <c r="I568" s="19" t="str">
        <f>IFERROR(__xludf.DUMMYFUNCTION("""COMPUTED_VALUE"""),"-")</f>
        <v>-</v>
      </c>
      <c r="J568" s="19">
        <f>IFERROR(__xludf.DUMMYFUNCTION("""COMPUTED_VALUE"""),0.00218)</f>
        <v>0.00218</v>
      </c>
      <c r="K568" s="19">
        <f>IFERROR(__xludf.DUMMYFUNCTION("""COMPUTED_VALUE"""),0.03942)</f>
        <v>0.03942</v>
      </c>
      <c r="L568" s="19" t="str">
        <f>IFERROR(__xludf.DUMMYFUNCTION("""COMPUTED_VALUE"""),"-")</f>
        <v>-</v>
      </c>
      <c r="M568" s="19">
        <f>IFERROR(__xludf.DUMMYFUNCTION("""COMPUTED_VALUE"""),0.04003)</f>
        <v>0.04003</v>
      </c>
    </row>
    <row r="569">
      <c r="A569" s="12" t="s">
        <v>6659</v>
      </c>
      <c r="G569" s="19">
        <f>IFERROR(__xludf.DUMMYFUNCTION("SPLIT(A567, "" |"")"),565.0)</f>
        <v>565</v>
      </c>
      <c r="H569" s="19">
        <f>IFERROR(__xludf.DUMMYFUNCTION("""COMPUTED_VALUE"""),0.00213)</f>
        <v>0.00213</v>
      </c>
      <c r="I569" s="19" t="str">
        <f>IFERROR(__xludf.DUMMYFUNCTION("""COMPUTED_VALUE"""),"-")</f>
        <v>-</v>
      </c>
      <c r="J569" s="19">
        <f>IFERROR(__xludf.DUMMYFUNCTION("""COMPUTED_VALUE"""),0.00191)</f>
        <v>0.00191</v>
      </c>
      <c r="K569" s="19">
        <f>IFERROR(__xludf.DUMMYFUNCTION("""COMPUTED_VALUE"""),0.03962)</f>
        <v>0.03962</v>
      </c>
      <c r="L569" s="19" t="str">
        <f>IFERROR(__xludf.DUMMYFUNCTION("""COMPUTED_VALUE"""),"-")</f>
        <v>-</v>
      </c>
      <c r="M569" s="19">
        <f>IFERROR(__xludf.DUMMYFUNCTION("""COMPUTED_VALUE"""),0.03836)</f>
        <v>0.03836</v>
      </c>
    </row>
    <row r="570">
      <c r="A570" s="12" t="s">
        <v>6660</v>
      </c>
      <c r="G570" s="19">
        <f>IFERROR(__xludf.DUMMYFUNCTION("SPLIT(A568, "" |"")"),566.0)</f>
        <v>566</v>
      </c>
      <c r="H570" s="19">
        <f>IFERROR(__xludf.DUMMYFUNCTION("""COMPUTED_VALUE"""),0.00203)</f>
        <v>0.00203</v>
      </c>
      <c r="I570" s="19" t="str">
        <f>IFERROR(__xludf.DUMMYFUNCTION("""COMPUTED_VALUE"""),"-")</f>
        <v>-</v>
      </c>
      <c r="J570" s="19">
        <f>IFERROR(__xludf.DUMMYFUNCTION("""COMPUTED_VALUE"""),0.0019)</f>
        <v>0.0019</v>
      </c>
      <c r="K570" s="19">
        <f>IFERROR(__xludf.DUMMYFUNCTION("""COMPUTED_VALUE"""),0.03958)</f>
        <v>0.03958</v>
      </c>
      <c r="L570" s="19" t="str">
        <f>IFERROR(__xludf.DUMMYFUNCTION("""COMPUTED_VALUE"""),"-")</f>
        <v>-</v>
      </c>
      <c r="M570" s="19">
        <f>IFERROR(__xludf.DUMMYFUNCTION("""COMPUTED_VALUE"""),0.03936)</f>
        <v>0.03936</v>
      </c>
    </row>
    <row r="571">
      <c r="A571" s="12" t="s">
        <v>6661</v>
      </c>
      <c r="G571" s="19">
        <f>IFERROR(__xludf.DUMMYFUNCTION("SPLIT(A569, "" |"")"),567.0)</f>
        <v>567</v>
      </c>
      <c r="H571" s="19">
        <f>IFERROR(__xludf.DUMMYFUNCTION("""COMPUTED_VALUE"""),0.00204)</f>
        <v>0.00204</v>
      </c>
      <c r="I571" s="19" t="str">
        <f>IFERROR(__xludf.DUMMYFUNCTION("""COMPUTED_VALUE"""),"-")</f>
        <v>-</v>
      </c>
      <c r="J571" s="19">
        <f>IFERROR(__xludf.DUMMYFUNCTION("""COMPUTED_VALUE"""),0.00188)</f>
        <v>0.00188</v>
      </c>
      <c r="K571" s="19">
        <f>IFERROR(__xludf.DUMMYFUNCTION("""COMPUTED_VALUE"""),0.03994)</f>
        <v>0.03994</v>
      </c>
      <c r="L571" s="19" t="str">
        <f>IFERROR(__xludf.DUMMYFUNCTION("""COMPUTED_VALUE"""),"-")</f>
        <v>-</v>
      </c>
      <c r="M571" s="19">
        <f>IFERROR(__xludf.DUMMYFUNCTION("""COMPUTED_VALUE"""),0.03993)</f>
        <v>0.03993</v>
      </c>
    </row>
    <row r="572">
      <c r="A572" s="12" t="s">
        <v>6662</v>
      </c>
      <c r="G572" s="19">
        <f>IFERROR(__xludf.DUMMYFUNCTION("SPLIT(A570, "" |"")"),568.0)</f>
        <v>568</v>
      </c>
      <c r="H572" s="19">
        <f>IFERROR(__xludf.DUMMYFUNCTION("""COMPUTED_VALUE"""),0.00204)</f>
        <v>0.00204</v>
      </c>
      <c r="I572" s="19" t="str">
        <f>IFERROR(__xludf.DUMMYFUNCTION("""COMPUTED_VALUE"""),"-")</f>
        <v>-</v>
      </c>
      <c r="J572" s="19">
        <f>IFERROR(__xludf.DUMMYFUNCTION("""COMPUTED_VALUE"""),0.00191)</f>
        <v>0.00191</v>
      </c>
      <c r="K572" s="19">
        <f>IFERROR(__xludf.DUMMYFUNCTION("""COMPUTED_VALUE"""),0.03729)</f>
        <v>0.03729</v>
      </c>
      <c r="L572" s="19" t="str">
        <f>IFERROR(__xludf.DUMMYFUNCTION("""COMPUTED_VALUE"""),"-")</f>
        <v>-</v>
      </c>
      <c r="M572" s="19">
        <f>IFERROR(__xludf.DUMMYFUNCTION("""COMPUTED_VALUE"""),0.03867)</f>
        <v>0.03867</v>
      </c>
    </row>
    <row r="573">
      <c r="A573" s="12" t="s">
        <v>6663</v>
      </c>
      <c r="G573" s="19">
        <f>IFERROR(__xludf.DUMMYFUNCTION("SPLIT(A571, "" |"")"),569.0)</f>
        <v>569</v>
      </c>
      <c r="H573" s="19">
        <f>IFERROR(__xludf.DUMMYFUNCTION("""COMPUTED_VALUE"""),0.00209)</f>
        <v>0.00209</v>
      </c>
      <c r="I573" s="19" t="str">
        <f>IFERROR(__xludf.DUMMYFUNCTION("""COMPUTED_VALUE"""),"-")</f>
        <v>-</v>
      </c>
      <c r="J573" s="19">
        <f>IFERROR(__xludf.DUMMYFUNCTION("""COMPUTED_VALUE"""),0.0019)</f>
        <v>0.0019</v>
      </c>
      <c r="K573" s="19">
        <f>IFERROR(__xludf.DUMMYFUNCTION("""COMPUTED_VALUE"""),0.03957)</f>
        <v>0.03957</v>
      </c>
      <c r="L573" s="19" t="str">
        <f>IFERROR(__xludf.DUMMYFUNCTION("""COMPUTED_VALUE"""),"-")</f>
        <v>-</v>
      </c>
      <c r="M573" s="19">
        <f>IFERROR(__xludf.DUMMYFUNCTION("""COMPUTED_VALUE"""),0.04043)</f>
        <v>0.04043</v>
      </c>
    </row>
    <row r="574">
      <c r="A574" s="12" t="s">
        <v>6664</v>
      </c>
      <c r="G574" s="19">
        <f>IFERROR(__xludf.DUMMYFUNCTION("SPLIT(A572, "" |"")"),570.0)</f>
        <v>570</v>
      </c>
      <c r="H574" s="19">
        <f>IFERROR(__xludf.DUMMYFUNCTION("""COMPUTED_VALUE"""),0.0021)</f>
        <v>0.0021</v>
      </c>
      <c r="I574" s="19" t="str">
        <f>IFERROR(__xludf.DUMMYFUNCTION("""COMPUTED_VALUE"""),"-")</f>
        <v>-</v>
      </c>
      <c r="J574" s="19">
        <f>IFERROR(__xludf.DUMMYFUNCTION("""COMPUTED_VALUE"""),0.00195)</f>
        <v>0.00195</v>
      </c>
      <c r="K574" s="19">
        <f>IFERROR(__xludf.DUMMYFUNCTION("""COMPUTED_VALUE"""),0.04008)</f>
        <v>0.04008</v>
      </c>
      <c r="L574" s="19" t="str">
        <f>IFERROR(__xludf.DUMMYFUNCTION("""COMPUTED_VALUE"""),"-")</f>
        <v>-</v>
      </c>
      <c r="M574" s="19">
        <f>IFERROR(__xludf.DUMMYFUNCTION("""COMPUTED_VALUE"""),0.03448)</f>
        <v>0.03448</v>
      </c>
    </row>
    <row r="575">
      <c r="A575" s="12" t="s">
        <v>6665</v>
      </c>
      <c r="G575" s="19">
        <f>IFERROR(__xludf.DUMMYFUNCTION("SPLIT(A573, "" |"")"),571.0)</f>
        <v>571</v>
      </c>
      <c r="H575" s="19">
        <f>IFERROR(__xludf.DUMMYFUNCTION("""COMPUTED_VALUE"""),0.00215)</f>
        <v>0.00215</v>
      </c>
      <c r="I575" s="19" t="str">
        <f>IFERROR(__xludf.DUMMYFUNCTION("""COMPUTED_VALUE"""),"-")</f>
        <v>-</v>
      </c>
      <c r="J575" s="19">
        <f>IFERROR(__xludf.DUMMYFUNCTION("""COMPUTED_VALUE"""),0.002)</f>
        <v>0.002</v>
      </c>
      <c r="K575" s="19">
        <f>IFERROR(__xludf.DUMMYFUNCTION("""COMPUTED_VALUE"""),0.03765)</f>
        <v>0.03765</v>
      </c>
      <c r="L575" s="19" t="str">
        <f>IFERROR(__xludf.DUMMYFUNCTION("""COMPUTED_VALUE"""),"-")</f>
        <v>-</v>
      </c>
      <c r="M575" s="19">
        <f>IFERROR(__xludf.DUMMYFUNCTION("""COMPUTED_VALUE"""),0.03996)</f>
        <v>0.03996</v>
      </c>
    </row>
    <row r="576">
      <c r="A576" s="12" t="s">
        <v>6666</v>
      </c>
      <c r="G576" s="19">
        <f>IFERROR(__xludf.DUMMYFUNCTION("SPLIT(A574, "" |"")"),572.0)</f>
        <v>572</v>
      </c>
      <c r="H576" s="19">
        <f>IFERROR(__xludf.DUMMYFUNCTION("""COMPUTED_VALUE"""),0.00219)</f>
        <v>0.00219</v>
      </c>
      <c r="I576" s="19" t="str">
        <f>IFERROR(__xludf.DUMMYFUNCTION("""COMPUTED_VALUE"""),"-")</f>
        <v>-</v>
      </c>
      <c r="J576" s="19">
        <f>IFERROR(__xludf.DUMMYFUNCTION("""COMPUTED_VALUE"""),0.00196)</f>
        <v>0.00196</v>
      </c>
      <c r="K576" s="19">
        <f>IFERROR(__xludf.DUMMYFUNCTION("""COMPUTED_VALUE"""),0.04068)</f>
        <v>0.04068</v>
      </c>
      <c r="L576" s="19" t="str">
        <f>IFERROR(__xludf.DUMMYFUNCTION("""COMPUTED_VALUE"""),"-")</f>
        <v>-</v>
      </c>
      <c r="M576" s="19">
        <f>IFERROR(__xludf.DUMMYFUNCTION("""COMPUTED_VALUE"""),0.03976)</f>
        <v>0.03976</v>
      </c>
    </row>
    <row r="577">
      <c r="A577" s="12" t="s">
        <v>6667</v>
      </c>
      <c r="G577" s="19">
        <f>IFERROR(__xludf.DUMMYFUNCTION("SPLIT(A575, "" |"")"),573.0)</f>
        <v>573</v>
      </c>
      <c r="H577" s="19">
        <f>IFERROR(__xludf.DUMMYFUNCTION("""COMPUTED_VALUE"""),0.00198)</f>
        <v>0.00198</v>
      </c>
      <c r="I577" s="19" t="str">
        <f>IFERROR(__xludf.DUMMYFUNCTION("""COMPUTED_VALUE"""),"-")</f>
        <v>-</v>
      </c>
      <c r="J577" s="19">
        <f>IFERROR(__xludf.DUMMYFUNCTION("""COMPUTED_VALUE"""),0.00187)</f>
        <v>0.00187</v>
      </c>
      <c r="K577" s="19">
        <f>IFERROR(__xludf.DUMMYFUNCTION("""COMPUTED_VALUE"""),0.03992)</f>
        <v>0.03992</v>
      </c>
      <c r="L577" s="19" t="str">
        <f>IFERROR(__xludf.DUMMYFUNCTION("""COMPUTED_VALUE"""),"-")</f>
        <v>-</v>
      </c>
      <c r="M577" s="19">
        <f>IFERROR(__xludf.DUMMYFUNCTION("""COMPUTED_VALUE"""),0.03824)</f>
        <v>0.03824</v>
      </c>
    </row>
    <row r="578">
      <c r="A578" s="12" t="s">
        <v>6668</v>
      </c>
      <c r="G578" s="19">
        <f>IFERROR(__xludf.DUMMYFUNCTION("SPLIT(A576, "" |"")"),574.0)</f>
        <v>574</v>
      </c>
      <c r="H578" s="19">
        <f>IFERROR(__xludf.DUMMYFUNCTION("""COMPUTED_VALUE"""),0.00204)</f>
        <v>0.00204</v>
      </c>
      <c r="I578" s="19" t="str">
        <f>IFERROR(__xludf.DUMMYFUNCTION("""COMPUTED_VALUE"""),"-")</f>
        <v>-</v>
      </c>
      <c r="J578" s="19">
        <f>IFERROR(__xludf.DUMMYFUNCTION("""COMPUTED_VALUE"""),0.00191)</f>
        <v>0.00191</v>
      </c>
      <c r="K578" s="19">
        <f>IFERROR(__xludf.DUMMYFUNCTION("""COMPUTED_VALUE"""),0.03959)</f>
        <v>0.03959</v>
      </c>
      <c r="L578" s="19" t="str">
        <f>IFERROR(__xludf.DUMMYFUNCTION("""COMPUTED_VALUE"""),"-")</f>
        <v>-</v>
      </c>
      <c r="M578" s="19">
        <f>IFERROR(__xludf.DUMMYFUNCTION("""COMPUTED_VALUE"""),0.0402)</f>
        <v>0.0402</v>
      </c>
    </row>
    <row r="579">
      <c r="A579" s="12" t="s">
        <v>6669</v>
      </c>
      <c r="G579" s="19">
        <f>IFERROR(__xludf.DUMMYFUNCTION("SPLIT(A577, "" |"")"),575.0)</f>
        <v>575</v>
      </c>
      <c r="H579" s="19">
        <f>IFERROR(__xludf.DUMMYFUNCTION("""COMPUTED_VALUE"""),0.00206)</f>
        <v>0.00206</v>
      </c>
      <c r="I579" s="19" t="str">
        <f>IFERROR(__xludf.DUMMYFUNCTION("""COMPUTED_VALUE"""),"-")</f>
        <v>-</v>
      </c>
      <c r="J579" s="19">
        <f>IFERROR(__xludf.DUMMYFUNCTION("""COMPUTED_VALUE"""),0.00188)</f>
        <v>0.00188</v>
      </c>
      <c r="K579" s="19">
        <f>IFERROR(__xludf.DUMMYFUNCTION("""COMPUTED_VALUE"""),0.03991)</f>
        <v>0.03991</v>
      </c>
      <c r="L579" s="19" t="str">
        <f>IFERROR(__xludf.DUMMYFUNCTION("""COMPUTED_VALUE"""),"-")</f>
        <v>-</v>
      </c>
      <c r="M579" s="19">
        <f>IFERROR(__xludf.DUMMYFUNCTION("""COMPUTED_VALUE"""),0.03981)</f>
        <v>0.03981</v>
      </c>
    </row>
    <row r="580">
      <c r="A580" s="12" t="s">
        <v>6670</v>
      </c>
      <c r="G580" s="19">
        <f>IFERROR(__xludf.DUMMYFUNCTION("SPLIT(A578, "" |"")"),576.0)</f>
        <v>576</v>
      </c>
      <c r="H580" s="19">
        <f>IFERROR(__xludf.DUMMYFUNCTION("""COMPUTED_VALUE"""),0.00218)</f>
        <v>0.00218</v>
      </c>
      <c r="I580" s="19" t="str">
        <f>IFERROR(__xludf.DUMMYFUNCTION("""COMPUTED_VALUE"""),"-")</f>
        <v>-</v>
      </c>
      <c r="J580" s="19">
        <f>IFERROR(__xludf.DUMMYFUNCTION("""COMPUTED_VALUE"""),0.0019)</f>
        <v>0.0019</v>
      </c>
      <c r="K580" s="19">
        <f>IFERROR(__xludf.DUMMYFUNCTION("""COMPUTED_VALUE"""),0.0396)</f>
        <v>0.0396</v>
      </c>
      <c r="L580" s="19" t="str">
        <f>IFERROR(__xludf.DUMMYFUNCTION("""COMPUTED_VALUE"""),"-")</f>
        <v>-</v>
      </c>
      <c r="M580" s="19">
        <f>IFERROR(__xludf.DUMMYFUNCTION("""COMPUTED_VALUE"""),0.03618)</f>
        <v>0.03618</v>
      </c>
    </row>
    <row r="581">
      <c r="A581" s="12" t="s">
        <v>6671</v>
      </c>
      <c r="G581" s="19">
        <f>IFERROR(__xludf.DUMMYFUNCTION("SPLIT(A579, "" |"")"),577.0)</f>
        <v>577</v>
      </c>
      <c r="H581" s="19">
        <f>IFERROR(__xludf.DUMMYFUNCTION("""COMPUTED_VALUE"""),0.00206)</f>
        <v>0.00206</v>
      </c>
      <c r="I581" s="19" t="str">
        <f>IFERROR(__xludf.DUMMYFUNCTION("""COMPUTED_VALUE"""),"-")</f>
        <v>-</v>
      </c>
      <c r="J581" s="19">
        <f>IFERROR(__xludf.DUMMYFUNCTION("""COMPUTED_VALUE"""),0.00189)</f>
        <v>0.00189</v>
      </c>
      <c r="K581" s="19">
        <f>IFERROR(__xludf.DUMMYFUNCTION("""COMPUTED_VALUE"""),0.03957)</f>
        <v>0.03957</v>
      </c>
      <c r="L581" s="19" t="str">
        <f>IFERROR(__xludf.DUMMYFUNCTION("""COMPUTED_VALUE"""),"-")</f>
        <v>-</v>
      </c>
      <c r="M581" s="19">
        <f>IFERROR(__xludf.DUMMYFUNCTION("""COMPUTED_VALUE"""),0.03988)</f>
        <v>0.03988</v>
      </c>
    </row>
    <row r="582">
      <c r="A582" s="12" t="s">
        <v>6672</v>
      </c>
      <c r="G582" s="19">
        <f>IFERROR(__xludf.DUMMYFUNCTION("SPLIT(A580, "" |"")"),578.0)</f>
        <v>578</v>
      </c>
      <c r="H582" s="19">
        <f>IFERROR(__xludf.DUMMYFUNCTION("""COMPUTED_VALUE"""),0.00209)</f>
        <v>0.00209</v>
      </c>
      <c r="I582" s="19" t="str">
        <f>IFERROR(__xludf.DUMMYFUNCTION("""COMPUTED_VALUE"""),"-")</f>
        <v>-</v>
      </c>
      <c r="J582" s="19">
        <f>IFERROR(__xludf.DUMMYFUNCTION("""COMPUTED_VALUE"""),0.00189)</f>
        <v>0.00189</v>
      </c>
      <c r="K582" s="19">
        <f>IFERROR(__xludf.DUMMYFUNCTION("""COMPUTED_VALUE"""),0.03853)</f>
        <v>0.03853</v>
      </c>
      <c r="L582" s="19" t="str">
        <f>IFERROR(__xludf.DUMMYFUNCTION("""COMPUTED_VALUE"""),"-")</f>
        <v>-</v>
      </c>
      <c r="M582" s="19">
        <f>IFERROR(__xludf.DUMMYFUNCTION("""COMPUTED_VALUE"""),0.039)</f>
        <v>0.039</v>
      </c>
    </row>
    <row r="583">
      <c r="A583" s="12" t="s">
        <v>6673</v>
      </c>
      <c r="G583" s="19">
        <f>IFERROR(__xludf.DUMMYFUNCTION("SPLIT(A581, "" |"")"),579.0)</f>
        <v>579</v>
      </c>
      <c r="H583" s="19">
        <f>IFERROR(__xludf.DUMMYFUNCTION("""COMPUTED_VALUE"""),0.00205)</f>
        <v>0.00205</v>
      </c>
      <c r="I583" s="19" t="str">
        <f>IFERROR(__xludf.DUMMYFUNCTION("""COMPUTED_VALUE"""),"-")</f>
        <v>-</v>
      </c>
      <c r="J583" s="19">
        <f>IFERROR(__xludf.DUMMYFUNCTION("""COMPUTED_VALUE"""),0.00178)</f>
        <v>0.00178</v>
      </c>
      <c r="K583" s="19">
        <f>IFERROR(__xludf.DUMMYFUNCTION("""COMPUTED_VALUE"""),0.04015)</f>
        <v>0.04015</v>
      </c>
      <c r="L583" s="19" t="str">
        <f>IFERROR(__xludf.DUMMYFUNCTION("""COMPUTED_VALUE"""),"-")</f>
        <v>-</v>
      </c>
      <c r="M583" s="19">
        <f>IFERROR(__xludf.DUMMYFUNCTION("""COMPUTED_VALUE"""),0.04)</f>
        <v>0.04</v>
      </c>
    </row>
    <row r="584">
      <c r="A584" s="12" t="s">
        <v>6674</v>
      </c>
      <c r="G584" s="19">
        <f>IFERROR(__xludf.DUMMYFUNCTION("SPLIT(A582, "" |"")"),580.0)</f>
        <v>580</v>
      </c>
      <c r="H584" s="19">
        <f>IFERROR(__xludf.DUMMYFUNCTION("""COMPUTED_VALUE"""),0.00223)</f>
        <v>0.00223</v>
      </c>
      <c r="I584" s="19" t="str">
        <f>IFERROR(__xludf.DUMMYFUNCTION("""COMPUTED_VALUE"""),"-")</f>
        <v>-</v>
      </c>
      <c r="J584" s="19">
        <f>IFERROR(__xludf.DUMMYFUNCTION("""COMPUTED_VALUE"""),0.00207)</f>
        <v>0.00207</v>
      </c>
      <c r="K584" s="19">
        <f>IFERROR(__xludf.DUMMYFUNCTION("""COMPUTED_VALUE"""),0.04022)</f>
        <v>0.04022</v>
      </c>
      <c r="L584" s="19" t="str">
        <f>IFERROR(__xludf.DUMMYFUNCTION("""COMPUTED_VALUE"""),"-")</f>
        <v>-</v>
      </c>
      <c r="M584" s="19">
        <f>IFERROR(__xludf.DUMMYFUNCTION("""COMPUTED_VALUE"""),0.04005)</f>
        <v>0.04005</v>
      </c>
    </row>
    <row r="585">
      <c r="A585" s="12" t="s">
        <v>6675</v>
      </c>
      <c r="G585" s="19">
        <f>IFERROR(__xludf.DUMMYFUNCTION("SPLIT(A583, "" |"")"),581.0)</f>
        <v>581</v>
      </c>
      <c r="H585" s="19">
        <f>IFERROR(__xludf.DUMMYFUNCTION("""COMPUTED_VALUE"""),0.00211)</f>
        <v>0.00211</v>
      </c>
      <c r="I585" s="19" t="str">
        <f>IFERROR(__xludf.DUMMYFUNCTION("""COMPUTED_VALUE"""),"-")</f>
        <v>-</v>
      </c>
      <c r="J585" s="19">
        <f>IFERROR(__xludf.DUMMYFUNCTION("""COMPUTED_VALUE"""),0.00188)</f>
        <v>0.00188</v>
      </c>
      <c r="K585" s="19">
        <f>IFERROR(__xludf.DUMMYFUNCTION("""COMPUTED_VALUE"""),0.03674)</f>
        <v>0.03674</v>
      </c>
      <c r="L585" s="19" t="str">
        <f>IFERROR(__xludf.DUMMYFUNCTION("""COMPUTED_VALUE"""),"-")</f>
        <v>-</v>
      </c>
      <c r="M585" s="19">
        <f>IFERROR(__xludf.DUMMYFUNCTION("""COMPUTED_VALUE"""),0.03959)</f>
        <v>0.03959</v>
      </c>
    </row>
    <row r="586">
      <c r="A586" s="12" t="s">
        <v>6676</v>
      </c>
      <c r="G586" s="19">
        <f>IFERROR(__xludf.DUMMYFUNCTION("SPLIT(A584, "" |"")"),582.0)</f>
        <v>582</v>
      </c>
      <c r="H586" s="19">
        <f>IFERROR(__xludf.DUMMYFUNCTION("""COMPUTED_VALUE"""),0.00217)</f>
        <v>0.00217</v>
      </c>
      <c r="I586" s="19" t="str">
        <f>IFERROR(__xludf.DUMMYFUNCTION("""COMPUTED_VALUE"""),"-")</f>
        <v>-</v>
      </c>
      <c r="J586" s="19">
        <f>IFERROR(__xludf.DUMMYFUNCTION("""COMPUTED_VALUE"""),0.00187)</f>
        <v>0.00187</v>
      </c>
      <c r="K586" s="19">
        <f>IFERROR(__xludf.DUMMYFUNCTION("""COMPUTED_VALUE"""),0.03648)</f>
        <v>0.03648</v>
      </c>
      <c r="L586" s="19" t="str">
        <f>IFERROR(__xludf.DUMMYFUNCTION("""COMPUTED_VALUE"""),"-")</f>
        <v>-</v>
      </c>
      <c r="M586" s="19">
        <f>IFERROR(__xludf.DUMMYFUNCTION("""COMPUTED_VALUE"""),0.04036)</f>
        <v>0.04036</v>
      </c>
    </row>
    <row r="587">
      <c r="A587" s="12" t="s">
        <v>6677</v>
      </c>
      <c r="G587" s="19">
        <f>IFERROR(__xludf.DUMMYFUNCTION("SPLIT(A585, "" |"")"),583.0)</f>
        <v>583</v>
      </c>
      <c r="H587" s="19">
        <f>IFERROR(__xludf.DUMMYFUNCTION("""COMPUTED_VALUE"""),0.00205)</f>
        <v>0.00205</v>
      </c>
      <c r="I587" s="19" t="str">
        <f>IFERROR(__xludf.DUMMYFUNCTION("""COMPUTED_VALUE"""),"-")</f>
        <v>-</v>
      </c>
      <c r="J587" s="19">
        <f>IFERROR(__xludf.DUMMYFUNCTION("""COMPUTED_VALUE"""),0.00203)</f>
        <v>0.00203</v>
      </c>
      <c r="K587" s="19">
        <f>IFERROR(__xludf.DUMMYFUNCTION("""COMPUTED_VALUE"""),0.04012)</f>
        <v>0.04012</v>
      </c>
      <c r="L587" s="19" t="str">
        <f>IFERROR(__xludf.DUMMYFUNCTION("""COMPUTED_VALUE"""),"-")</f>
        <v>-</v>
      </c>
      <c r="M587" s="19">
        <f>IFERROR(__xludf.DUMMYFUNCTION("""COMPUTED_VALUE"""),0.03975)</f>
        <v>0.03975</v>
      </c>
    </row>
    <row r="588">
      <c r="A588" s="12" t="s">
        <v>6678</v>
      </c>
      <c r="G588" s="19">
        <f>IFERROR(__xludf.DUMMYFUNCTION("SPLIT(A586, "" |"")"),584.0)</f>
        <v>584</v>
      </c>
      <c r="H588" s="19">
        <f>IFERROR(__xludf.DUMMYFUNCTION("""COMPUTED_VALUE"""),0.00206)</f>
        <v>0.00206</v>
      </c>
      <c r="I588" s="19" t="str">
        <f>IFERROR(__xludf.DUMMYFUNCTION("""COMPUTED_VALUE"""),"-")</f>
        <v>-</v>
      </c>
      <c r="J588" s="19">
        <f>IFERROR(__xludf.DUMMYFUNCTION("""COMPUTED_VALUE"""),0.00188)</f>
        <v>0.00188</v>
      </c>
      <c r="K588" s="19">
        <f>IFERROR(__xludf.DUMMYFUNCTION("""COMPUTED_VALUE"""),0.0396)</f>
        <v>0.0396</v>
      </c>
      <c r="L588" s="19" t="str">
        <f>IFERROR(__xludf.DUMMYFUNCTION("""COMPUTED_VALUE"""),"-")</f>
        <v>-</v>
      </c>
      <c r="M588" s="19">
        <f>IFERROR(__xludf.DUMMYFUNCTION("""COMPUTED_VALUE"""),0.04019)</f>
        <v>0.04019</v>
      </c>
    </row>
    <row r="589">
      <c r="A589" s="12" t="s">
        <v>6679</v>
      </c>
      <c r="G589" s="19">
        <f>IFERROR(__xludf.DUMMYFUNCTION("SPLIT(A587, "" |"")"),585.0)</f>
        <v>585</v>
      </c>
      <c r="H589" s="19">
        <f>IFERROR(__xludf.DUMMYFUNCTION("""COMPUTED_VALUE"""),0.00214)</f>
        <v>0.00214</v>
      </c>
      <c r="I589" s="19" t="str">
        <f>IFERROR(__xludf.DUMMYFUNCTION("""COMPUTED_VALUE"""),"-")</f>
        <v>-</v>
      </c>
      <c r="J589" s="19">
        <f>IFERROR(__xludf.DUMMYFUNCTION("""COMPUTED_VALUE"""),0.00194)</f>
        <v>0.00194</v>
      </c>
      <c r="K589" s="19">
        <f>IFERROR(__xludf.DUMMYFUNCTION("""COMPUTED_VALUE"""),0.03968)</f>
        <v>0.03968</v>
      </c>
      <c r="L589" s="19" t="str">
        <f>IFERROR(__xludf.DUMMYFUNCTION("""COMPUTED_VALUE"""),"-")</f>
        <v>-</v>
      </c>
      <c r="M589" s="19">
        <f>IFERROR(__xludf.DUMMYFUNCTION("""COMPUTED_VALUE"""),0.0397)</f>
        <v>0.0397</v>
      </c>
    </row>
    <row r="590">
      <c r="A590" s="12" t="s">
        <v>6680</v>
      </c>
      <c r="G590" s="19">
        <f>IFERROR(__xludf.DUMMYFUNCTION("SPLIT(A588, "" |"")"),586.0)</f>
        <v>586</v>
      </c>
      <c r="H590" s="19">
        <f>IFERROR(__xludf.DUMMYFUNCTION("""COMPUTED_VALUE"""),0.00203)</f>
        <v>0.00203</v>
      </c>
      <c r="I590" s="19" t="str">
        <f>IFERROR(__xludf.DUMMYFUNCTION("""COMPUTED_VALUE"""),"-")</f>
        <v>-</v>
      </c>
      <c r="J590" s="19">
        <f>IFERROR(__xludf.DUMMYFUNCTION("""COMPUTED_VALUE"""),0.00187)</f>
        <v>0.00187</v>
      </c>
      <c r="K590" s="19">
        <f>IFERROR(__xludf.DUMMYFUNCTION("""COMPUTED_VALUE"""),0.03999)</f>
        <v>0.03999</v>
      </c>
      <c r="L590" s="19" t="str">
        <f>IFERROR(__xludf.DUMMYFUNCTION("""COMPUTED_VALUE"""),"-")</f>
        <v>-</v>
      </c>
      <c r="M590" s="19">
        <f>IFERROR(__xludf.DUMMYFUNCTION("""COMPUTED_VALUE"""),0.03894)</f>
        <v>0.03894</v>
      </c>
    </row>
    <row r="591">
      <c r="A591" s="12" t="s">
        <v>6681</v>
      </c>
      <c r="G591" s="19">
        <f>IFERROR(__xludf.DUMMYFUNCTION("SPLIT(A589, "" |"")"),587.0)</f>
        <v>587</v>
      </c>
      <c r="H591" s="19">
        <f>IFERROR(__xludf.DUMMYFUNCTION("""COMPUTED_VALUE"""),0.00202)</f>
        <v>0.00202</v>
      </c>
      <c r="I591" s="19" t="str">
        <f>IFERROR(__xludf.DUMMYFUNCTION("""COMPUTED_VALUE"""),"-")</f>
        <v>-</v>
      </c>
      <c r="J591" s="19">
        <f>IFERROR(__xludf.DUMMYFUNCTION("""COMPUTED_VALUE"""),0.00188)</f>
        <v>0.00188</v>
      </c>
      <c r="K591" s="19">
        <f>IFERROR(__xludf.DUMMYFUNCTION("""COMPUTED_VALUE"""),0.0396)</f>
        <v>0.0396</v>
      </c>
      <c r="L591" s="19" t="str">
        <f>IFERROR(__xludf.DUMMYFUNCTION("""COMPUTED_VALUE"""),"-")</f>
        <v>-</v>
      </c>
      <c r="M591" s="19">
        <f>IFERROR(__xludf.DUMMYFUNCTION("""COMPUTED_VALUE"""),0.04005)</f>
        <v>0.04005</v>
      </c>
    </row>
    <row r="592">
      <c r="A592" s="12" t="s">
        <v>6682</v>
      </c>
      <c r="G592" s="19">
        <f>IFERROR(__xludf.DUMMYFUNCTION("SPLIT(A590, "" |"")"),588.0)</f>
        <v>588</v>
      </c>
      <c r="H592" s="19">
        <f>IFERROR(__xludf.DUMMYFUNCTION("""COMPUTED_VALUE"""),0.00205)</f>
        <v>0.00205</v>
      </c>
      <c r="I592" s="19" t="str">
        <f>IFERROR(__xludf.DUMMYFUNCTION("""COMPUTED_VALUE"""),"-")</f>
        <v>-</v>
      </c>
      <c r="J592" s="19">
        <f>IFERROR(__xludf.DUMMYFUNCTION("""COMPUTED_VALUE"""),0.00188)</f>
        <v>0.00188</v>
      </c>
      <c r="K592" s="19">
        <f>IFERROR(__xludf.DUMMYFUNCTION("""COMPUTED_VALUE"""),0.03828)</f>
        <v>0.03828</v>
      </c>
      <c r="L592" s="19" t="str">
        <f>IFERROR(__xludf.DUMMYFUNCTION("""COMPUTED_VALUE"""),"-")</f>
        <v>-</v>
      </c>
      <c r="M592" s="19">
        <f>IFERROR(__xludf.DUMMYFUNCTION("""COMPUTED_VALUE"""),0.04006)</f>
        <v>0.04006</v>
      </c>
    </row>
    <row r="593">
      <c r="A593" s="12" t="s">
        <v>6683</v>
      </c>
      <c r="G593" s="19">
        <f>IFERROR(__xludf.DUMMYFUNCTION("SPLIT(A591, "" |"")"),589.0)</f>
        <v>589</v>
      </c>
      <c r="H593" s="19">
        <f>IFERROR(__xludf.DUMMYFUNCTION("""COMPUTED_VALUE"""),0.00206)</f>
        <v>0.00206</v>
      </c>
      <c r="I593" s="19" t="str">
        <f>IFERROR(__xludf.DUMMYFUNCTION("""COMPUTED_VALUE"""),"-")</f>
        <v>-</v>
      </c>
      <c r="J593" s="19">
        <f>IFERROR(__xludf.DUMMYFUNCTION("""COMPUTED_VALUE"""),0.00189)</f>
        <v>0.00189</v>
      </c>
      <c r="K593" s="19">
        <f>IFERROR(__xludf.DUMMYFUNCTION("""COMPUTED_VALUE"""),0.03956)</f>
        <v>0.03956</v>
      </c>
      <c r="L593" s="19" t="str">
        <f>IFERROR(__xludf.DUMMYFUNCTION("""COMPUTED_VALUE"""),"-")</f>
        <v>-</v>
      </c>
      <c r="M593" s="19">
        <f>IFERROR(__xludf.DUMMYFUNCTION("""COMPUTED_VALUE"""),0.03968)</f>
        <v>0.03968</v>
      </c>
    </row>
    <row r="594">
      <c r="A594" s="12" t="s">
        <v>6684</v>
      </c>
      <c r="G594" s="19">
        <f>IFERROR(__xludf.DUMMYFUNCTION("SPLIT(A592, "" |"")"),590.0)</f>
        <v>590</v>
      </c>
      <c r="H594" s="19">
        <f>IFERROR(__xludf.DUMMYFUNCTION("""COMPUTED_VALUE"""),0.00201)</f>
        <v>0.00201</v>
      </c>
      <c r="I594" s="19" t="str">
        <f>IFERROR(__xludf.DUMMYFUNCTION("""COMPUTED_VALUE"""),"-")</f>
        <v>-</v>
      </c>
      <c r="J594" s="19">
        <f>IFERROR(__xludf.DUMMYFUNCTION("""COMPUTED_VALUE"""),0.00186)</f>
        <v>0.00186</v>
      </c>
      <c r="K594" s="19">
        <f>IFERROR(__xludf.DUMMYFUNCTION("""COMPUTED_VALUE"""),0.03986)</f>
        <v>0.03986</v>
      </c>
      <c r="L594" s="19" t="str">
        <f>IFERROR(__xludf.DUMMYFUNCTION("""COMPUTED_VALUE"""),"-")</f>
        <v>-</v>
      </c>
      <c r="M594" s="19">
        <f>IFERROR(__xludf.DUMMYFUNCTION("""COMPUTED_VALUE"""),0.04014)</f>
        <v>0.04014</v>
      </c>
    </row>
    <row r="595">
      <c r="A595" s="12" t="s">
        <v>6685</v>
      </c>
      <c r="G595" s="19">
        <f>IFERROR(__xludf.DUMMYFUNCTION("SPLIT(A593, "" |"")"),591.0)</f>
        <v>591</v>
      </c>
      <c r="H595" s="19">
        <f>IFERROR(__xludf.DUMMYFUNCTION("""COMPUTED_VALUE"""),0.00206)</f>
        <v>0.00206</v>
      </c>
      <c r="I595" s="19" t="str">
        <f>IFERROR(__xludf.DUMMYFUNCTION("""COMPUTED_VALUE"""),"-")</f>
        <v>-</v>
      </c>
      <c r="J595" s="19">
        <f>IFERROR(__xludf.DUMMYFUNCTION("""COMPUTED_VALUE"""),0.00188)</f>
        <v>0.00188</v>
      </c>
      <c r="K595" s="19">
        <f>IFERROR(__xludf.DUMMYFUNCTION("""COMPUTED_VALUE"""),0.03985)</f>
        <v>0.03985</v>
      </c>
      <c r="L595" s="19" t="str">
        <f>IFERROR(__xludf.DUMMYFUNCTION("""COMPUTED_VALUE"""),"-")</f>
        <v>-</v>
      </c>
      <c r="M595" s="19">
        <f>IFERROR(__xludf.DUMMYFUNCTION("""COMPUTED_VALUE"""),0.03974)</f>
        <v>0.03974</v>
      </c>
    </row>
    <row r="596">
      <c r="A596" s="12" t="s">
        <v>6686</v>
      </c>
      <c r="G596" s="19">
        <f>IFERROR(__xludf.DUMMYFUNCTION("SPLIT(A594, "" |"")"),592.0)</f>
        <v>592</v>
      </c>
      <c r="H596" s="19">
        <f>IFERROR(__xludf.DUMMYFUNCTION("""COMPUTED_VALUE"""),0.00203)</f>
        <v>0.00203</v>
      </c>
      <c r="I596" s="19" t="str">
        <f>IFERROR(__xludf.DUMMYFUNCTION("""COMPUTED_VALUE"""),"-")</f>
        <v>-</v>
      </c>
      <c r="J596" s="19">
        <f>IFERROR(__xludf.DUMMYFUNCTION("""COMPUTED_VALUE"""),0.00187)</f>
        <v>0.00187</v>
      </c>
      <c r="K596" s="19">
        <f>IFERROR(__xludf.DUMMYFUNCTION("""COMPUTED_VALUE"""),0.03994)</f>
        <v>0.03994</v>
      </c>
      <c r="L596" s="19" t="str">
        <f>IFERROR(__xludf.DUMMYFUNCTION("""COMPUTED_VALUE"""),"-")</f>
        <v>-</v>
      </c>
      <c r="M596" s="19">
        <f>IFERROR(__xludf.DUMMYFUNCTION("""COMPUTED_VALUE"""),0.03917)</f>
        <v>0.03917</v>
      </c>
    </row>
    <row r="597">
      <c r="A597" s="12" t="s">
        <v>6687</v>
      </c>
      <c r="G597" s="19">
        <f>IFERROR(__xludf.DUMMYFUNCTION("SPLIT(A595, "" |"")"),593.0)</f>
        <v>593</v>
      </c>
      <c r="H597" s="19">
        <f>IFERROR(__xludf.DUMMYFUNCTION("""COMPUTED_VALUE"""),0.00208)</f>
        <v>0.00208</v>
      </c>
      <c r="I597" s="19" t="str">
        <f>IFERROR(__xludf.DUMMYFUNCTION("""COMPUTED_VALUE"""),"-")</f>
        <v>-</v>
      </c>
      <c r="J597" s="19">
        <f>IFERROR(__xludf.DUMMYFUNCTION("""COMPUTED_VALUE"""),0.0019)</f>
        <v>0.0019</v>
      </c>
      <c r="K597" s="19">
        <f>IFERROR(__xludf.DUMMYFUNCTION("""COMPUTED_VALUE"""),0.03995)</f>
        <v>0.03995</v>
      </c>
      <c r="L597" s="19" t="str">
        <f>IFERROR(__xludf.DUMMYFUNCTION("""COMPUTED_VALUE"""),"-")</f>
        <v>-</v>
      </c>
      <c r="M597" s="19">
        <f>IFERROR(__xludf.DUMMYFUNCTION("""COMPUTED_VALUE"""),0.04015)</f>
        <v>0.04015</v>
      </c>
    </row>
    <row r="598">
      <c r="A598" s="12" t="s">
        <v>6688</v>
      </c>
      <c r="G598" s="19">
        <f>IFERROR(__xludf.DUMMYFUNCTION("SPLIT(A596, "" |"")"),594.0)</f>
        <v>594</v>
      </c>
      <c r="H598" s="19">
        <f>IFERROR(__xludf.DUMMYFUNCTION("""COMPUTED_VALUE"""),0.00202)</f>
        <v>0.00202</v>
      </c>
      <c r="I598" s="19" t="str">
        <f>IFERROR(__xludf.DUMMYFUNCTION("""COMPUTED_VALUE"""),"-")</f>
        <v>-</v>
      </c>
      <c r="J598" s="19">
        <f>IFERROR(__xludf.DUMMYFUNCTION("""COMPUTED_VALUE"""),0.00188)</f>
        <v>0.00188</v>
      </c>
      <c r="K598" s="19">
        <f>IFERROR(__xludf.DUMMYFUNCTION("""COMPUTED_VALUE"""),0.04012)</f>
        <v>0.04012</v>
      </c>
      <c r="L598" s="19" t="str">
        <f>IFERROR(__xludf.DUMMYFUNCTION("""COMPUTED_VALUE"""),"-")</f>
        <v>-</v>
      </c>
      <c r="M598" s="19">
        <f>IFERROR(__xludf.DUMMYFUNCTION("""COMPUTED_VALUE"""),0.03991)</f>
        <v>0.03991</v>
      </c>
    </row>
    <row r="599">
      <c r="A599" s="12" t="s">
        <v>6689</v>
      </c>
      <c r="G599" s="19">
        <f>IFERROR(__xludf.DUMMYFUNCTION("SPLIT(A597, "" |"")"),595.0)</f>
        <v>595</v>
      </c>
      <c r="H599" s="19">
        <f>IFERROR(__xludf.DUMMYFUNCTION("""COMPUTED_VALUE"""),0.00224)</f>
        <v>0.00224</v>
      </c>
      <c r="I599" s="19" t="str">
        <f>IFERROR(__xludf.DUMMYFUNCTION("""COMPUTED_VALUE"""),"-")</f>
        <v>-</v>
      </c>
      <c r="J599" s="19">
        <f>IFERROR(__xludf.DUMMYFUNCTION("""COMPUTED_VALUE"""),0.00208)</f>
        <v>0.00208</v>
      </c>
      <c r="K599" s="19">
        <f>IFERROR(__xludf.DUMMYFUNCTION("""COMPUTED_VALUE"""),0.03824)</f>
        <v>0.03824</v>
      </c>
      <c r="L599" s="19" t="str">
        <f>IFERROR(__xludf.DUMMYFUNCTION("""COMPUTED_VALUE"""),"-")</f>
        <v>-</v>
      </c>
      <c r="M599" s="19">
        <f>IFERROR(__xludf.DUMMYFUNCTION("""COMPUTED_VALUE"""),0.03907)</f>
        <v>0.03907</v>
      </c>
    </row>
    <row r="600">
      <c r="A600" s="12" t="s">
        <v>6690</v>
      </c>
      <c r="G600" s="19">
        <f>IFERROR(__xludf.DUMMYFUNCTION("SPLIT(A598, "" |"")"),596.0)</f>
        <v>596</v>
      </c>
      <c r="H600" s="19">
        <f>IFERROR(__xludf.DUMMYFUNCTION("""COMPUTED_VALUE"""),0.00218)</f>
        <v>0.00218</v>
      </c>
      <c r="I600" s="19" t="str">
        <f>IFERROR(__xludf.DUMMYFUNCTION("""COMPUTED_VALUE"""),"-")</f>
        <v>-</v>
      </c>
      <c r="J600" s="19">
        <f>IFERROR(__xludf.DUMMYFUNCTION("""COMPUTED_VALUE"""),0.00189)</f>
        <v>0.00189</v>
      </c>
      <c r="K600" s="19">
        <f>IFERROR(__xludf.DUMMYFUNCTION("""COMPUTED_VALUE"""),0.03609)</f>
        <v>0.03609</v>
      </c>
      <c r="L600" s="19" t="str">
        <f>IFERROR(__xludf.DUMMYFUNCTION("""COMPUTED_VALUE"""),"-")</f>
        <v>-</v>
      </c>
      <c r="M600" s="19">
        <f>IFERROR(__xludf.DUMMYFUNCTION("""COMPUTED_VALUE"""),0.04002)</f>
        <v>0.04002</v>
      </c>
    </row>
    <row r="601">
      <c r="A601" s="12" t="s">
        <v>6691</v>
      </c>
      <c r="G601" s="19">
        <f>IFERROR(__xludf.DUMMYFUNCTION("SPLIT(A599, "" |"")"),597.0)</f>
        <v>597</v>
      </c>
      <c r="H601" s="19">
        <f>IFERROR(__xludf.DUMMYFUNCTION("""COMPUTED_VALUE"""),0.00225)</f>
        <v>0.00225</v>
      </c>
      <c r="I601" s="19" t="str">
        <f>IFERROR(__xludf.DUMMYFUNCTION("""COMPUTED_VALUE"""),"-")</f>
        <v>-</v>
      </c>
      <c r="J601" s="19">
        <f>IFERROR(__xludf.DUMMYFUNCTION("""COMPUTED_VALUE"""),0.00195)</f>
        <v>0.00195</v>
      </c>
      <c r="K601" s="19">
        <f>IFERROR(__xludf.DUMMYFUNCTION("""COMPUTED_VALUE"""),0.03568)</f>
        <v>0.03568</v>
      </c>
      <c r="L601" s="19" t="str">
        <f>IFERROR(__xludf.DUMMYFUNCTION("""COMPUTED_VALUE"""),"-")</f>
        <v>-</v>
      </c>
      <c r="M601" s="19">
        <f>IFERROR(__xludf.DUMMYFUNCTION("""COMPUTED_VALUE"""),0.03983)</f>
        <v>0.03983</v>
      </c>
    </row>
    <row r="602">
      <c r="A602" s="12" t="s">
        <v>6692</v>
      </c>
      <c r="G602" s="19">
        <f>IFERROR(__xludf.DUMMYFUNCTION("SPLIT(A600, "" |"")"),598.0)</f>
        <v>598</v>
      </c>
      <c r="H602" s="19">
        <f>IFERROR(__xludf.DUMMYFUNCTION("""COMPUTED_VALUE"""),0.0021)</f>
        <v>0.0021</v>
      </c>
      <c r="I602" s="19" t="str">
        <f>IFERROR(__xludf.DUMMYFUNCTION("""COMPUTED_VALUE"""),"-")</f>
        <v>-</v>
      </c>
      <c r="J602" s="19">
        <f>IFERROR(__xludf.DUMMYFUNCTION("""COMPUTED_VALUE"""),0.0019)</f>
        <v>0.0019</v>
      </c>
      <c r="K602" s="19">
        <f>IFERROR(__xludf.DUMMYFUNCTION("""COMPUTED_VALUE"""),0.03683)</f>
        <v>0.03683</v>
      </c>
      <c r="L602" s="19" t="str">
        <f>IFERROR(__xludf.DUMMYFUNCTION("""COMPUTED_VALUE"""),"-")</f>
        <v>-</v>
      </c>
      <c r="M602" s="19">
        <f>IFERROR(__xludf.DUMMYFUNCTION("""COMPUTED_VALUE"""),0.03975)</f>
        <v>0.03975</v>
      </c>
    </row>
    <row r="603">
      <c r="A603" s="12" t="s">
        <v>6693</v>
      </c>
      <c r="G603" s="19">
        <f>IFERROR(__xludf.DUMMYFUNCTION("SPLIT(A601, "" |"")"),599.0)</f>
        <v>599</v>
      </c>
      <c r="H603" s="19">
        <f>IFERROR(__xludf.DUMMYFUNCTION("""COMPUTED_VALUE"""),0.00212)</f>
        <v>0.00212</v>
      </c>
      <c r="I603" s="19" t="str">
        <f>IFERROR(__xludf.DUMMYFUNCTION("""COMPUTED_VALUE"""),"-")</f>
        <v>-</v>
      </c>
      <c r="J603" s="19">
        <f>IFERROR(__xludf.DUMMYFUNCTION("""COMPUTED_VALUE"""),0.00197)</f>
        <v>0.00197</v>
      </c>
      <c r="K603" s="19">
        <f>IFERROR(__xludf.DUMMYFUNCTION("""COMPUTED_VALUE"""),0.04001)</f>
        <v>0.04001</v>
      </c>
      <c r="L603" s="19" t="str">
        <f>IFERROR(__xludf.DUMMYFUNCTION("""COMPUTED_VALUE"""),"-")</f>
        <v>-</v>
      </c>
      <c r="M603" s="19">
        <f>IFERROR(__xludf.DUMMYFUNCTION("""COMPUTED_VALUE"""),0.03967)</f>
        <v>0.03967</v>
      </c>
    </row>
    <row r="604">
      <c r="A604" s="12" t="s">
        <v>6694</v>
      </c>
      <c r="G604" s="19">
        <f>IFERROR(__xludf.DUMMYFUNCTION("SPLIT(A602, "" |"")"),600.0)</f>
        <v>600</v>
      </c>
      <c r="H604" s="19">
        <f>IFERROR(__xludf.DUMMYFUNCTION("""COMPUTED_VALUE"""),0.00204)</f>
        <v>0.00204</v>
      </c>
      <c r="I604" s="19" t="str">
        <f>IFERROR(__xludf.DUMMYFUNCTION("""COMPUTED_VALUE"""),"-")</f>
        <v>-</v>
      </c>
      <c r="J604" s="19">
        <f>IFERROR(__xludf.DUMMYFUNCTION("""COMPUTED_VALUE"""),0.00191)</f>
        <v>0.00191</v>
      </c>
      <c r="K604" s="19">
        <f>IFERROR(__xludf.DUMMYFUNCTION("""COMPUTED_VALUE"""),0.03959)</f>
        <v>0.03959</v>
      </c>
      <c r="L604" s="19" t="str">
        <f>IFERROR(__xludf.DUMMYFUNCTION("""COMPUTED_VALUE"""),"-")</f>
        <v>-</v>
      </c>
      <c r="M604" s="19">
        <f>IFERROR(__xludf.DUMMYFUNCTION("""COMPUTED_VALUE"""),0.03954)</f>
        <v>0.03954</v>
      </c>
    </row>
    <row r="605">
      <c r="A605" s="12" t="s">
        <v>6695</v>
      </c>
      <c r="G605" s="19">
        <f>IFERROR(__xludf.DUMMYFUNCTION("SPLIT(A603, "" |"")"),601.0)</f>
        <v>601</v>
      </c>
      <c r="H605" s="19">
        <f>IFERROR(__xludf.DUMMYFUNCTION("""COMPUTED_VALUE"""),0.00214)</f>
        <v>0.00214</v>
      </c>
      <c r="I605" s="19" t="str">
        <f>IFERROR(__xludf.DUMMYFUNCTION("""COMPUTED_VALUE"""),"-")</f>
        <v>-</v>
      </c>
      <c r="J605" s="19">
        <f>IFERROR(__xludf.DUMMYFUNCTION("""COMPUTED_VALUE"""),0.00212)</f>
        <v>0.00212</v>
      </c>
      <c r="K605" s="19">
        <f>IFERROR(__xludf.DUMMYFUNCTION("""COMPUTED_VALUE"""),0.03793)</f>
        <v>0.03793</v>
      </c>
      <c r="L605" s="19" t="str">
        <f>IFERROR(__xludf.DUMMYFUNCTION("""COMPUTED_VALUE"""),"-")</f>
        <v>-</v>
      </c>
      <c r="M605" s="19">
        <f>IFERROR(__xludf.DUMMYFUNCTION("""COMPUTED_VALUE"""),0.03984)</f>
        <v>0.03984</v>
      </c>
    </row>
    <row r="606">
      <c r="A606" s="12" t="s">
        <v>6696</v>
      </c>
      <c r="G606" s="19">
        <f>IFERROR(__xludf.DUMMYFUNCTION("SPLIT(A604, "" |"")"),602.0)</f>
        <v>602</v>
      </c>
      <c r="H606" s="19">
        <f>IFERROR(__xludf.DUMMYFUNCTION("""COMPUTED_VALUE"""),0.00202)</f>
        <v>0.00202</v>
      </c>
      <c r="I606" s="19" t="str">
        <f>IFERROR(__xludf.DUMMYFUNCTION("""COMPUTED_VALUE"""),"-")</f>
        <v>-</v>
      </c>
      <c r="J606" s="19">
        <f>IFERROR(__xludf.DUMMYFUNCTION("""COMPUTED_VALUE"""),0.00188)</f>
        <v>0.00188</v>
      </c>
      <c r="K606" s="19">
        <f>IFERROR(__xludf.DUMMYFUNCTION("""COMPUTED_VALUE"""),0.03969)</f>
        <v>0.03969</v>
      </c>
      <c r="L606" s="19" t="str">
        <f>IFERROR(__xludf.DUMMYFUNCTION("""COMPUTED_VALUE"""),"-")</f>
        <v>-</v>
      </c>
      <c r="M606" s="19">
        <f>IFERROR(__xludf.DUMMYFUNCTION("""COMPUTED_VALUE"""),0.03974)</f>
        <v>0.03974</v>
      </c>
    </row>
    <row r="607">
      <c r="A607" s="12" t="s">
        <v>6697</v>
      </c>
      <c r="G607" s="19">
        <f>IFERROR(__xludf.DUMMYFUNCTION("SPLIT(A605, "" |"")"),603.0)</f>
        <v>603</v>
      </c>
      <c r="H607" s="19">
        <f>IFERROR(__xludf.DUMMYFUNCTION("""COMPUTED_VALUE"""),0.00199)</f>
        <v>0.00199</v>
      </c>
      <c r="I607" s="19" t="str">
        <f>IFERROR(__xludf.DUMMYFUNCTION("""COMPUTED_VALUE"""),"-")</f>
        <v>-</v>
      </c>
      <c r="J607" s="19">
        <f>IFERROR(__xludf.DUMMYFUNCTION("""COMPUTED_VALUE"""),0.0019)</f>
        <v>0.0019</v>
      </c>
      <c r="K607" s="19">
        <f>IFERROR(__xludf.DUMMYFUNCTION("""COMPUTED_VALUE"""),0.03957)</f>
        <v>0.03957</v>
      </c>
      <c r="L607" s="19" t="str">
        <f>IFERROR(__xludf.DUMMYFUNCTION("""COMPUTED_VALUE"""),"-")</f>
        <v>-</v>
      </c>
      <c r="M607" s="19">
        <f>IFERROR(__xludf.DUMMYFUNCTION("""COMPUTED_VALUE"""),0.03978)</f>
        <v>0.03978</v>
      </c>
    </row>
    <row r="608">
      <c r="A608" s="12" t="s">
        <v>6698</v>
      </c>
      <c r="G608" s="19">
        <f>IFERROR(__xludf.DUMMYFUNCTION("SPLIT(A606, "" |"")"),604.0)</f>
        <v>604</v>
      </c>
      <c r="H608" s="19">
        <f>IFERROR(__xludf.DUMMYFUNCTION("""COMPUTED_VALUE"""),0.00203)</f>
        <v>0.00203</v>
      </c>
      <c r="I608" s="19" t="str">
        <f>IFERROR(__xludf.DUMMYFUNCTION("""COMPUTED_VALUE"""),"-")</f>
        <v>-</v>
      </c>
      <c r="J608" s="19">
        <f>IFERROR(__xludf.DUMMYFUNCTION("""COMPUTED_VALUE"""),0.00189)</f>
        <v>0.00189</v>
      </c>
      <c r="K608" s="19">
        <f>IFERROR(__xludf.DUMMYFUNCTION("""COMPUTED_VALUE"""),0.03959)</f>
        <v>0.03959</v>
      </c>
      <c r="L608" s="19" t="str">
        <f>IFERROR(__xludf.DUMMYFUNCTION("""COMPUTED_VALUE"""),"-")</f>
        <v>-</v>
      </c>
      <c r="M608" s="19">
        <f>IFERROR(__xludf.DUMMYFUNCTION("""COMPUTED_VALUE"""),0.03975)</f>
        <v>0.03975</v>
      </c>
    </row>
    <row r="609">
      <c r="A609" s="12" t="s">
        <v>6699</v>
      </c>
      <c r="G609" s="19">
        <f>IFERROR(__xludf.DUMMYFUNCTION("SPLIT(A607, "" |"")"),605.0)</f>
        <v>605</v>
      </c>
      <c r="H609" s="19">
        <f>IFERROR(__xludf.DUMMYFUNCTION("""COMPUTED_VALUE"""),0.00254)</f>
        <v>0.00254</v>
      </c>
      <c r="I609" s="19" t="str">
        <f>IFERROR(__xludf.DUMMYFUNCTION("""COMPUTED_VALUE"""),"-")</f>
        <v>-</v>
      </c>
      <c r="J609" s="19">
        <f>IFERROR(__xludf.DUMMYFUNCTION("""COMPUTED_VALUE"""),0.00197)</f>
        <v>0.00197</v>
      </c>
      <c r="K609" s="19">
        <f>IFERROR(__xludf.DUMMYFUNCTION("""COMPUTED_VALUE"""),0.03966)</f>
        <v>0.03966</v>
      </c>
      <c r="L609" s="19" t="str">
        <f>IFERROR(__xludf.DUMMYFUNCTION("""COMPUTED_VALUE"""),"-")</f>
        <v>-</v>
      </c>
      <c r="M609" s="19">
        <f>IFERROR(__xludf.DUMMYFUNCTION("""COMPUTED_VALUE"""),0.03982)</f>
        <v>0.03982</v>
      </c>
    </row>
    <row r="610">
      <c r="A610" s="12" t="s">
        <v>6700</v>
      </c>
      <c r="G610" s="19">
        <f>IFERROR(__xludf.DUMMYFUNCTION("SPLIT(A608, "" |"")"),606.0)</f>
        <v>606</v>
      </c>
      <c r="H610" s="19">
        <f>IFERROR(__xludf.DUMMYFUNCTION("""COMPUTED_VALUE"""),0.00202)</f>
        <v>0.00202</v>
      </c>
      <c r="I610" s="19" t="str">
        <f>IFERROR(__xludf.DUMMYFUNCTION("""COMPUTED_VALUE"""),"-")</f>
        <v>-</v>
      </c>
      <c r="J610" s="19">
        <f>IFERROR(__xludf.DUMMYFUNCTION("""COMPUTED_VALUE"""),0.00187)</f>
        <v>0.00187</v>
      </c>
      <c r="K610" s="19">
        <f>IFERROR(__xludf.DUMMYFUNCTION("""COMPUTED_VALUE"""),0.03957)</f>
        <v>0.03957</v>
      </c>
      <c r="L610" s="19" t="str">
        <f>IFERROR(__xludf.DUMMYFUNCTION("""COMPUTED_VALUE"""),"-")</f>
        <v>-</v>
      </c>
      <c r="M610" s="19">
        <f>IFERROR(__xludf.DUMMYFUNCTION("""COMPUTED_VALUE"""),0.03997)</f>
        <v>0.03997</v>
      </c>
    </row>
    <row r="611">
      <c r="A611" s="12" t="s">
        <v>6701</v>
      </c>
      <c r="G611" s="19">
        <f>IFERROR(__xludf.DUMMYFUNCTION("SPLIT(A609, "" |"")"),607.0)</f>
        <v>607</v>
      </c>
      <c r="H611" s="19">
        <f>IFERROR(__xludf.DUMMYFUNCTION("""COMPUTED_VALUE"""),0.00216)</f>
        <v>0.00216</v>
      </c>
      <c r="I611" s="19" t="str">
        <f>IFERROR(__xludf.DUMMYFUNCTION("""COMPUTED_VALUE"""),"-")</f>
        <v>-</v>
      </c>
      <c r="J611" s="19">
        <f>IFERROR(__xludf.DUMMYFUNCTION("""COMPUTED_VALUE"""),0.00192)</f>
        <v>0.00192</v>
      </c>
      <c r="K611" s="19">
        <f>IFERROR(__xludf.DUMMYFUNCTION("""COMPUTED_VALUE"""),0.03966)</f>
        <v>0.03966</v>
      </c>
      <c r="L611" s="19" t="str">
        <f>IFERROR(__xludf.DUMMYFUNCTION("""COMPUTED_VALUE"""),"-")</f>
        <v>-</v>
      </c>
      <c r="M611" s="19">
        <f>IFERROR(__xludf.DUMMYFUNCTION("""COMPUTED_VALUE"""),0.04021)</f>
        <v>0.04021</v>
      </c>
    </row>
    <row r="612">
      <c r="A612" s="12" t="s">
        <v>6702</v>
      </c>
      <c r="G612" s="19">
        <f>IFERROR(__xludf.DUMMYFUNCTION("SPLIT(A610, "" |"")"),608.0)</f>
        <v>608</v>
      </c>
      <c r="H612" s="19">
        <f>IFERROR(__xludf.DUMMYFUNCTION("""COMPUTED_VALUE"""),0.00214)</f>
        <v>0.00214</v>
      </c>
      <c r="I612" s="19" t="str">
        <f>IFERROR(__xludf.DUMMYFUNCTION("""COMPUTED_VALUE"""),"-")</f>
        <v>-</v>
      </c>
      <c r="J612" s="19">
        <f>IFERROR(__xludf.DUMMYFUNCTION("""COMPUTED_VALUE"""),0.00189)</f>
        <v>0.00189</v>
      </c>
      <c r="K612" s="19">
        <f>IFERROR(__xludf.DUMMYFUNCTION("""COMPUTED_VALUE"""),0.04007)</f>
        <v>0.04007</v>
      </c>
      <c r="L612" s="19" t="str">
        <f>IFERROR(__xludf.DUMMYFUNCTION("""COMPUTED_VALUE"""),"-")</f>
        <v>-</v>
      </c>
      <c r="M612" s="19">
        <f>IFERROR(__xludf.DUMMYFUNCTION("""COMPUTED_VALUE"""),0.04011)</f>
        <v>0.04011</v>
      </c>
    </row>
    <row r="613">
      <c r="A613" s="12" t="s">
        <v>6703</v>
      </c>
      <c r="G613" s="19">
        <f>IFERROR(__xludf.DUMMYFUNCTION("SPLIT(A611, "" |"")"),609.0)</f>
        <v>609</v>
      </c>
      <c r="H613" s="19">
        <f>IFERROR(__xludf.DUMMYFUNCTION("""COMPUTED_VALUE"""),0.0021)</f>
        <v>0.0021</v>
      </c>
      <c r="I613" s="19" t="str">
        <f>IFERROR(__xludf.DUMMYFUNCTION("""COMPUTED_VALUE"""),"-")</f>
        <v>-</v>
      </c>
      <c r="J613" s="19">
        <f>IFERROR(__xludf.DUMMYFUNCTION("""COMPUTED_VALUE"""),0.0019)</f>
        <v>0.0019</v>
      </c>
      <c r="K613" s="19">
        <f>IFERROR(__xludf.DUMMYFUNCTION("""COMPUTED_VALUE"""),0.03953)</f>
        <v>0.03953</v>
      </c>
      <c r="L613" s="19" t="str">
        <f>IFERROR(__xludf.DUMMYFUNCTION("""COMPUTED_VALUE"""),"-")</f>
        <v>-</v>
      </c>
      <c r="M613" s="19">
        <f>IFERROR(__xludf.DUMMYFUNCTION("""COMPUTED_VALUE"""),0.03989)</f>
        <v>0.03989</v>
      </c>
    </row>
    <row r="614">
      <c r="A614" s="12" t="s">
        <v>6704</v>
      </c>
      <c r="G614" s="19">
        <f>IFERROR(__xludf.DUMMYFUNCTION("SPLIT(A612, "" |"")"),610.0)</f>
        <v>610</v>
      </c>
      <c r="H614" s="19">
        <f>IFERROR(__xludf.DUMMYFUNCTION("""COMPUTED_VALUE"""),0.00206)</f>
        <v>0.00206</v>
      </c>
      <c r="I614" s="19" t="str">
        <f>IFERROR(__xludf.DUMMYFUNCTION("""COMPUTED_VALUE"""),"-")</f>
        <v>-</v>
      </c>
      <c r="J614" s="19">
        <f>IFERROR(__xludf.DUMMYFUNCTION("""COMPUTED_VALUE"""),0.00189)</f>
        <v>0.00189</v>
      </c>
      <c r="K614" s="19">
        <f>IFERROR(__xludf.DUMMYFUNCTION("""COMPUTED_VALUE"""),0.04674)</f>
        <v>0.04674</v>
      </c>
      <c r="L614" s="19" t="str">
        <f>IFERROR(__xludf.DUMMYFUNCTION("""COMPUTED_VALUE"""),"-")</f>
        <v>-</v>
      </c>
      <c r="M614" s="19">
        <f>IFERROR(__xludf.DUMMYFUNCTION("""COMPUTED_VALUE"""),0.04014)</f>
        <v>0.04014</v>
      </c>
    </row>
    <row r="615">
      <c r="A615" s="12" t="s">
        <v>6705</v>
      </c>
      <c r="G615" s="19">
        <f>IFERROR(__xludf.DUMMYFUNCTION("SPLIT(A613, "" |"")"),611.0)</f>
        <v>611</v>
      </c>
      <c r="H615" s="19">
        <f>IFERROR(__xludf.DUMMYFUNCTION("""COMPUTED_VALUE"""),0.00211)</f>
        <v>0.00211</v>
      </c>
      <c r="I615" s="19" t="str">
        <f>IFERROR(__xludf.DUMMYFUNCTION("""COMPUTED_VALUE"""),"-")</f>
        <v>-</v>
      </c>
      <c r="J615" s="19">
        <f>IFERROR(__xludf.DUMMYFUNCTION("""COMPUTED_VALUE"""),0.0019)</f>
        <v>0.0019</v>
      </c>
      <c r="K615" s="19">
        <f>IFERROR(__xludf.DUMMYFUNCTION("""COMPUTED_VALUE"""),0.03961)</f>
        <v>0.03961</v>
      </c>
      <c r="L615" s="19" t="str">
        <f>IFERROR(__xludf.DUMMYFUNCTION("""COMPUTED_VALUE"""),"-")</f>
        <v>-</v>
      </c>
      <c r="M615" s="19">
        <f>IFERROR(__xludf.DUMMYFUNCTION("""COMPUTED_VALUE"""),0.03978)</f>
        <v>0.03978</v>
      </c>
    </row>
    <row r="616">
      <c r="A616" s="12" t="s">
        <v>6706</v>
      </c>
      <c r="G616" s="19">
        <f>IFERROR(__xludf.DUMMYFUNCTION("SPLIT(A614, "" |"")"),612.0)</f>
        <v>612</v>
      </c>
      <c r="H616" s="19">
        <f>IFERROR(__xludf.DUMMYFUNCTION("""COMPUTED_VALUE"""),0.00204)</f>
        <v>0.00204</v>
      </c>
      <c r="I616" s="19" t="str">
        <f>IFERROR(__xludf.DUMMYFUNCTION("""COMPUTED_VALUE"""),"-")</f>
        <v>-</v>
      </c>
      <c r="J616" s="19">
        <f>IFERROR(__xludf.DUMMYFUNCTION("""COMPUTED_VALUE"""),0.0018)</f>
        <v>0.0018</v>
      </c>
      <c r="K616" s="19">
        <f>IFERROR(__xludf.DUMMYFUNCTION("""COMPUTED_VALUE"""),0.03996)</f>
        <v>0.03996</v>
      </c>
      <c r="L616" s="19" t="str">
        <f>IFERROR(__xludf.DUMMYFUNCTION("""COMPUTED_VALUE"""),"-")</f>
        <v>-</v>
      </c>
      <c r="M616" s="19">
        <f>IFERROR(__xludf.DUMMYFUNCTION("""COMPUTED_VALUE"""),0.0401)</f>
        <v>0.0401</v>
      </c>
    </row>
    <row r="617">
      <c r="A617" s="12" t="s">
        <v>6707</v>
      </c>
      <c r="G617" s="19">
        <f>IFERROR(__xludf.DUMMYFUNCTION("SPLIT(A615, "" |"")"),613.0)</f>
        <v>613</v>
      </c>
      <c r="H617" s="19">
        <f>IFERROR(__xludf.DUMMYFUNCTION("""COMPUTED_VALUE"""),0.0021)</f>
        <v>0.0021</v>
      </c>
      <c r="I617" s="19" t="str">
        <f>IFERROR(__xludf.DUMMYFUNCTION("""COMPUTED_VALUE"""),"-")</f>
        <v>-</v>
      </c>
      <c r="J617" s="19">
        <f>IFERROR(__xludf.DUMMYFUNCTION("""COMPUTED_VALUE"""),0.00191)</f>
        <v>0.00191</v>
      </c>
      <c r="K617" s="19">
        <f>IFERROR(__xludf.DUMMYFUNCTION("""COMPUTED_VALUE"""),0.0399)</f>
        <v>0.0399</v>
      </c>
      <c r="L617" s="19" t="str">
        <f>IFERROR(__xludf.DUMMYFUNCTION("""COMPUTED_VALUE"""),"-")</f>
        <v>-</v>
      </c>
      <c r="M617" s="19">
        <f>IFERROR(__xludf.DUMMYFUNCTION("""COMPUTED_VALUE"""),0.03964)</f>
        <v>0.03964</v>
      </c>
    </row>
    <row r="618">
      <c r="A618" s="12" t="s">
        <v>6708</v>
      </c>
      <c r="G618" s="19">
        <f>IFERROR(__xludf.DUMMYFUNCTION("SPLIT(A616, "" |"")"),614.0)</f>
        <v>614</v>
      </c>
      <c r="H618" s="19">
        <f>IFERROR(__xludf.DUMMYFUNCTION("""COMPUTED_VALUE"""),0.00204)</f>
        <v>0.00204</v>
      </c>
      <c r="I618" s="19" t="str">
        <f>IFERROR(__xludf.DUMMYFUNCTION("""COMPUTED_VALUE"""),"-")</f>
        <v>-</v>
      </c>
      <c r="J618" s="19">
        <f>IFERROR(__xludf.DUMMYFUNCTION("""COMPUTED_VALUE"""),0.00188)</f>
        <v>0.00188</v>
      </c>
      <c r="K618" s="19">
        <f>IFERROR(__xludf.DUMMYFUNCTION("""COMPUTED_VALUE"""),0.03953)</f>
        <v>0.03953</v>
      </c>
      <c r="L618" s="19" t="str">
        <f>IFERROR(__xludf.DUMMYFUNCTION("""COMPUTED_VALUE"""),"-")</f>
        <v>-</v>
      </c>
      <c r="M618" s="19">
        <f>IFERROR(__xludf.DUMMYFUNCTION("""COMPUTED_VALUE"""),0.03964)</f>
        <v>0.03964</v>
      </c>
    </row>
    <row r="619">
      <c r="A619" s="12" t="s">
        <v>6709</v>
      </c>
      <c r="G619" s="19">
        <f>IFERROR(__xludf.DUMMYFUNCTION("SPLIT(A617, "" |"")"),615.0)</f>
        <v>615</v>
      </c>
      <c r="H619" s="19">
        <f>IFERROR(__xludf.DUMMYFUNCTION("""COMPUTED_VALUE"""),0.00211)</f>
        <v>0.00211</v>
      </c>
      <c r="I619" s="19" t="str">
        <f>IFERROR(__xludf.DUMMYFUNCTION("""COMPUTED_VALUE"""),"-")</f>
        <v>-</v>
      </c>
      <c r="J619" s="19">
        <f>IFERROR(__xludf.DUMMYFUNCTION("""COMPUTED_VALUE"""),0.00189)</f>
        <v>0.00189</v>
      </c>
      <c r="K619" s="19">
        <f>IFERROR(__xludf.DUMMYFUNCTION("""COMPUTED_VALUE"""),0.03935)</f>
        <v>0.03935</v>
      </c>
      <c r="L619" s="19" t="str">
        <f>IFERROR(__xludf.DUMMYFUNCTION("""COMPUTED_VALUE"""),"-")</f>
        <v>-</v>
      </c>
      <c r="M619" s="19">
        <f>IFERROR(__xludf.DUMMYFUNCTION("""COMPUTED_VALUE"""),0.03969)</f>
        <v>0.03969</v>
      </c>
    </row>
    <row r="620">
      <c r="A620" s="12" t="s">
        <v>6710</v>
      </c>
      <c r="G620" s="19">
        <f>IFERROR(__xludf.DUMMYFUNCTION("SPLIT(A618, "" |"")"),616.0)</f>
        <v>616</v>
      </c>
      <c r="H620" s="19">
        <f>IFERROR(__xludf.DUMMYFUNCTION("""COMPUTED_VALUE"""),0.00202)</f>
        <v>0.00202</v>
      </c>
      <c r="I620" s="19" t="str">
        <f>IFERROR(__xludf.DUMMYFUNCTION("""COMPUTED_VALUE"""),"-")</f>
        <v>-</v>
      </c>
      <c r="J620" s="19">
        <f>IFERROR(__xludf.DUMMYFUNCTION("""COMPUTED_VALUE"""),0.00189)</f>
        <v>0.00189</v>
      </c>
      <c r="K620" s="19">
        <f>IFERROR(__xludf.DUMMYFUNCTION("""COMPUTED_VALUE"""),0.04)</f>
        <v>0.04</v>
      </c>
      <c r="L620" s="19" t="str">
        <f>IFERROR(__xludf.DUMMYFUNCTION("""COMPUTED_VALUE"""),"-")</f>
        <v>-</v>
      </c>
      <c r="M620" s="19">
        <f>IFERROR(__xludf.DUMMYFUNCTION("""COMPUTED_VALUE"""),0.03754)</f>
        <v>0.03754</v>
      </c>
    </row>
    <row r="621">
      <c r="A621" s="12" t="s">
        <v>6711</v>
      </c>
      <c r="G621" s="19">
        <f>IFERROR(__xludf.DUMMYFUNCTION("SPLIT(A619, "" |"")"),617.0)</f>
        <v>617</v>
      </c>
      <c r="H621" s="19">
        <f>IFERROR(__xludf.DUMMYFUNCTION("""COMPUTED_VALUE"""),0.00213)</f>
        <v>0.00213</v>
      </c>
      <c r="I621" s="19" t="str">
        <f>IFERROR(__xludf.DUMMYFUNCTION("""COMPUTED_VALUE"""),"-")</f>
        <v>-</v>
      </c>
      <c r="J621" s="19">
        <f>IFERROR(__xludf.DUMMYFUNCTION("""COMPUTED_VALUE"""),0.00192)</f>
        <v>0.00192</v>
      </c>
      <c r="K621" s="19">
        <f>IFERROR(__xludf.DUMMYFUNCTION("""COMPUTED_VALUE"""),0.03954)</f>
        <v>0.03954</v>
      </c>
      <c r="L621" s="19" t="str">
        <f>IFERROR(__xludf.DUMMYFUNCTION("""COMPUTED_VALUE"""),"-")</f>
        <v>-</v>
      </c>
      <c r="M621" s="19">
        <f>IFERROR(__xludf.DUMMYFUNCTION("""COMPUTED_VALUE"""),0.03627)</f>
        <v>0.03627</v>
      </c>
    </row>
    <row r="622">
      <c r="A622" s="12" t="s">
        <v>6712</v>
      </c>
      <c r="G622" s="19">
        <f>IFERROR(__xludf.DUMMYFUNCTION("SPLIT(A620, "" |"")"),618.0)</f>
        <v>618</v>
      </c>
      <c r="H622" s="19">
        <f>IFERROR(__xludf.DUMMYFUNCTION("""COMPUTED_VALUE"""),0.00205)</f>
        <v>0.00205</v>
      </c>
      <c r="I622" s="19" t="str">
        <f>IFERROR(__xludf.DUMMYFUNCTION("""COMPUTED_VALUE"""),"-")</f>
        <v>-</v>
      </c>
      <c r="J622" s="19">
        <f>IFERROR(__xludf.DUMMYFUNCTION("""COMPUTED_VALUE"""),0.00189)</f>
        <v>0.00189</v>
      </c>
      <c r="K622" s="19">
        <f>IFERROR(__xludf.DUMMYFUNCTION("""COMPUTED_VALUE"""),0.04001)</f>
        <v>0.04001</v>
      </c>
      <c r="L622" s="19" t="str">
        <f>IFERROR(__xludf.DUMMYFUNCTION("""COMPUTED_VALUE"""),"-")</f>
        <v>-</v>
      </c>
      <c r="M622" s="19">
        <f>IFERROR(__xludf.DUMMYFUNCTION("""COMPUTED_VALUE"""),0.03943)</f>
        <v>0.03943</v>
      </c>
    </row>
    <row r="623">
      <c r="A623" s="12" t="s">
        <v>6713</v>
      </c>
      <c r="G623" s="19">
        <f>IFERROR(__xludf.DUMMYFUNCTION("SPLIT(A621, "" |"")"),619.0)</f>
        <v>619</v>
      </c>
      <c r="H623" s="19">
        <f>IFERROR(__xludf.DUMMYFUNCTION("""COMPUTED_VALUE"""),0.00223)</f>
        <v>0.00223</v>
      </c>
      <c r="I623" s="19" t="str">
        <f>IFERROR(__xludf.DUMMYFUNCTION("""COMPUTED_VALUE"""),"-")</f>
        <v>-</v>
      </c>
      <c r="J623" s="19">
        <f>IFERROR(__xludf.DUMMYFUNCTION("""COMPUTED_VALUE"""),0.00201)</f>
        <v>0.00201</v>
      </c>
      <c r="K623" s="19">
        <f>IFERROR(__xludf.DUMMYFUNCTION("""COMPUTED_VALUE"""),0.03579)</f>
        <v>0.03579</v>
      </c>
      <c r="L623" s="19" t="str">
        <f>IFERROR(__xludf.DUMMYFUNCTION("""COMPUTED_VALUE"""),"-")</f>
        <v>-</v>
      </c>
      <c r="M623" s="19">
        <f>IFERROR(__xludf.DUMMYFUNCTION("""COMPUTED_VALUE"""),0.03986)</f>
        <v>0.03986</v>
      </c>
    </row>
    <row r="624">
      <c r="A624" s="12" t="s">
        <v>6714</v>
      </c>
      <c r="G624" s="19">
        <f>IFERROR(__xludf.DUMMYFUNCTION("SPLIT(A622, "" |"")"),620.0)</f>
        <v>620</v>
      </c>
      <c r="H624" s="19">
        <f>IFERROR(__xludf.DUMMYFUNCTION("""COMPUTED_VALUE"""),0.00205)</f>
        <v>0.00205</v>
      </c>
      <c r="I624" s="19" t="str">
        <f>IFERROR(__xludf.DUMMYFUNCTION("""COMPUTED_VALUE"""),"-")</f>
        <v>-</v>
      </c>
      <c r="J624" s="19">
        <f>IFERROR(__xludf.DUMMYFUNCTION("""COMPUTED_VALUE"""),0.00188)</f>
        <v>0.00188</v>
      </c>
      <c r="K624" s="19">
        <f>IFERROR(__xludf.DUMMYFUNCTION("""COMPUTED_VALUE"""),0.04005)</f>
        <v>0.04005</v>
      </c>
      <c r="L624" s="19" t="str">
        <f>IFERROR(__xludf.DUMMYFUNCTION("""COMPUTED_VALUE"""),"-")</f>
        <v>-</v>
      </c>
      <c r="M624" s="19">
        <f>IFERROR(__xludf.DUMMYFUNCTION("""COMPUTED_VALUE"""),0.04015)</f>
        <v>0.04015</v>
      </c>
    </row>
    <row r="625">
      <c r="A625" s="12" t="s">
        <v>6715</v>
      </c>
      <c r="G625" s="19">
        <f>IFERROR(__xludf.DUMMYFUNCTION("SPLIT(A623, "" |"")"),621.0)</f>
        <v>621</v>
      </c>
      <c r="H625" s="19">
        <f>IFERROR(__xludf.DUMMYFUNCTION("""COMPUTED_VALUE"""),0.00202)</f>
        <v>0.00202</v>
      </c>
      <c r="I625" s="19" t="str">
        <f>IFERROR(__xludf.DUMMYFUNCTION("""COMPUTED_VALUE"""),"-")</f>
        <v>-</v>
      </c>
      <c r="J625" s="19">
        <f>IFERROR(__xludf.DUMMYFUNCTION("""COMPUTED_VALUE"""),0.00187)</f>
        <v>0.00187</v>
      </c>
      <c r="K625" s="19">
        <f>IFERROR(__xludf.DUMMYFUNCTION("""COMPUTED_VALUE"""),0.04013)</f>
        <v>0.04013</v>
      </c>
      <c r="L625" s="19" t="str">
        <f>IFERROR(__xludf.DUMMYFUNCTION("""COMPUTED_VALUE"""),"-")</f>
        <v>-</v>
      </c>
      <c r="M625" s="19">
        <f>IFERROR(__xludf.DUMMYFUNCTION("""COMPUTED_VALUE"""),0.03883)</f>
        <v>0.03883</v>
      </c>
    </row>
    <row r="626">
      <c r="A626" s="12" t="s">
        <v>6716</v>
      </c>
      <c r="G626" s="19">
        <f>IFERROR(__xludf.DUMMYFUNCTION("SPLIT(A624, "" |"")"),622.0)</f>
        <v>622</v>
      </c>
      <c r="H626" s="19">
        <f>IFERROR(__xludf.DUMMYFUNCTION("""COMPUTED_VALUE"""),0.00206)</f>
        <v>0.00206</v>
      </c>
      <c r="I626" s="19" t="str">
        <f>IFERROR(__xludf.DUMMYFUNCTION("""COMPUTED_VALUE"""),"-")</f>
        <v>-</v>
      </c>
      <c r="J626" s="19">
        <f>IFERROR(__xludf.DUMMYFUNCTION("""COMPUTED_VALUE"""),0.0019)</f>
        <v>0.0019</v>
      </c>
      <c r="K626" s="19">
        <f>IFERROR(__xludf.DUMMYFUNCTION("""COMPUTED_VALUE"""),0.03959)</f>
        <v>0.03959</v>
      </c>
      <c r="L626" s="19" t="str">
        <f>IFERROR(__xludf.DUMMYFUNCTION("""COMPUTED_VALUE"""),"-")</f>
        <v>-</v>
      </c>
      <c r="M626" s="19">
        <f>IFERROR(__xludf.DUMMYFUNCTION("""COMPUTED_VALUE"""),0.0397)</f>
        <v>0.0397</v>
      </c>
    </row>
    <row r="627">
      <c r="A627" s="12" t="s">
        <v>6717</v>
      </c>
      <c r="G627" s="19">
        <f>IFERROR(__xludf.DUMMYFUNCTION("SPLIT(A625, "" |"")"),623.0)</f>
        <v>623</v>
      </c>
      <c r="H627" s="19">
        <f>IFERROR(__xludf.DUMMYFUNCTION("""COMPUTED_VALUE"""),0.00203)</f>
        <v>0.00203</v>
      </c>
      <c r="I627" s="19" t="str">
        <f>IFERROR(__xludf.DUMMYFUNCTION("""COMPUTED_VALUE"""),"-")</f>
        <v>-</v>
      </c>
      <c r="J627" s="19">
        <f>IFERROR(__xludf.DUMMYFUNCTION("""COMPUTED_VALUE"""),0.00187)</f>
        <v>0.00187</v>
      </c>
      <c r="K627" s="19">
        <f>IFERROR(__xludf.DUMMYFUNCTION("""COMPUTED_VALUE"""),0.03999)</f>
        <v>0.03999</v>
      </c>
      <c r="L627" s="19" t="str">
        <f>IFERROR(__xludf.DUMMYFUNCTION("""COMPUTED_VALUE"""),"-")</f>
        <v>-</v>
      </c>
      <c r="M627" s="19">
        <f>IFERROR(__xludf.DUMMYFUNCTION("""COMPUTED_VALUE"""),0.0374)</f>
        <v>0.0374</v>
      </c>
    </row>
    <row r="628">
      <c r="A628" s="12" t="s">
        <v>6718</v>
      </c>
      <c r="G628" s="19">
        <f>IFERROR(__xludf.DUMMYFUNCTION("SPLIT(A626, "" |"")"),624.0)</f>
        <v>624</v>
      </c>
      <c r="H628" s="19">
        <f>IFERROR(__xludf.DUMMYFUNCTION("""COMPUTED_VALUE"""),0.00216)</f>
        <v>0.00216</v>
      </c>
      <c r="I628" s="19" t="str">
        <f>IFERROR(__xludf.DUMMYFUNCTION("""COMPUTED_VALUE"""),"-")</f>
        <v>-</v>
      </c>
      <c r="J628" s="19">
        <f>IFERROR(__xludf.DUMMYFUNCTION("""COMPUTED_VALUE"""),0.00195)</f>
        <v>0.00195</v>
      </c>
      <c r="K628" s="19">
        <f>IFERROR(__xludf.DUMMYFUNCTION("""COMPUTED_VALUE"""),0.03975)</f>
        <v>0.03975</v>
      </c>
      <c r="L628" s="19" t="str">
        <f>IFERROR(__xludf.DUMMYFUNCTION("""COMPUTED_VALUE"""),"-")</f>
        <v>-</v>
      </c>
      <c r="M628" s="19">
        <f>IFERROR(__xludf.DUMMYFUNCTION("""COMPUTED_VALUE"""),0.03994)</f>
        <v>0.03994</v>
      </c>
    </row>
    <row r="629">
      <c r="A629" s="12" t="s">
        <v>6719</v>
      </c>
      <c r="G629" s="19">
        <f>IFERROR(__xludf.DUMMYFUNCTION("SPLIT(A627, "" |"")"),625.0)</f>
        <v>625</v>
      </c>
      <c r="H629" s="19">
        <f>IFERROR(__xludf.DUMMYFUNCTION("""COMPUTED_VALUE"""),0.00228)</f>
        <v>0.00228</v>
      </c>
      <c r="I629" s="19" t="str">
        <f>IFERROR(__xludf.DUMMYFUNCTION("""COMPUTED_VALUE"""),"-")</f>
        <v>-</v>
      </c>
      <c r="J629" s="19">
        <f>IFERROR(__xludf.DUMMYFUNCTION("""COMPUTED_VALUE"""),0.00189)</f>
        <v>0.00189</v>
      </c>
      <c r="K629" s="19">
        <f>IFERROR(__xludf.DUMMYFUNCTION("""COMPUTED_VALUE"""),0.03714)</f>
        <v>0.03714</v>
      </c>
      <c r="L629" s="19" t="str">
        <f>IFERROR(__xludf.DUMMYFUNCTION("""COMPUTED_VALUE"""),"-")</f>
        <v>-</v>
      </c>
      <c r="M629" s="19">
        <f>IFERROR(__xludf.DUMMYFUNCTION("""COMPUTED_VALUE"""),0.03849)</f>
        <v>0.03849</v>
      </c>
    </row>
    <row r="630">
      <c r="A630" s="12" t="s">
        <v>6720</v>
      </c>
      <c r="G630" s="19">
        <f>IFERROR(__xludf.DUMMYFUNCTION("SPLIT(A628, "" |"")"),626.0)</f>
        <v>626</v>
      </c>
      <c r="H630" s="19">
        <f>IFERROR(__xludf.DUMMYFUNCTION("""COMPUTED_VALUE"""),0.00213)</f>
        <v>0.00213</v>
      </c>
      <c r="I630" s="19" t="str">
        <f>IFERROR(__xludf.DUMMYFUNCTION("""COMPUTED_VALUE"""),"-")</f>
        <v>-</v>
      </c>
      <c r="J630" s="19">
        <f>IFERROR(__xludf.DUMMYFUNCTION("""COMPUTED_VALUE"""),0.00203)</f>
        <v>0.00203</v>
      </c>
      <c r="K630" s="19">
        <f>IFERROR(__xludf.DUMMYFUNCTION("""COMPUTED_VALUE"""),0.04007)</f>
        <v>0.04007</v>
      </c>
      <c r="L630" s="19" t="str">
        <f>IFERROR(__xludf.DUMMYFUNCTION("""COMPUTED_VALUE"""),"-")</f>
        <v>-</v>
      </c>
      <c r="M630" s="19">
        <f>IFERROR(__xludf.DUMMYFUNCTION("""COMPUTED_VALUE"""),0.04014)</f>
        <v>0.04014</v>
      </c>
    </row>
    <row r="631">
      <c r="A631" s="12" t="s">
        <v>6721</v>
      </c>
      <c r="G631" s="19">
        <f>IFERROR(__xludf.DUMMYFUNCTION("SPLIT(A629, "" |"")"),627.0)</f>
        <v>627</v>
      </c>
      <c r="H631" s="19">
        <f>IFERROR(__xludf.DUMMYFUNCTION("""COMPUTED_VALUE"""),0.00206)</f>
        <v>0.00206</v>
      </c>
      <c r="I631" s="19" t="str">
        <f>IFERROR(__xludf.DUMMYFUNCTION("""COMPUTED_VALUE"""),"-")</f>
        <v>-</v>
      </c>
      <c r="J631" s="19">
        <f>IFERROR(__xludf.DUMMYFUNCTION("""COMPUTED_VALUE"""),0.00189)</f>
        <v>0.00189</v>
      </c>
      <c r="K631" s="19">
        <f>IFERROR(__xludf.DUMMYFUNCTION("""COMPUTED_VALUE"""),0.03881)</f>
        <v>0.03881</v>
      </c>
      <c r="L631" s="19" t="str">
        <f>IFERROR(__xludf.DUMMYFUNCTION("""COMPUTED_VALUE"""),"-")</f>
        <v>-</v>
      </c>
      <c r="M631" s="19">
        <f>IFERROR(__xludf.DUMMYFUNCTION("""COMPUTED_VALUE"""),0.03938)</f>
        <v>0.03938</v>
      </c>
    </row>
    <row r="632">
      <c r="A632" s="12" t="s">
        <v>6722</v>
      </c>
      <c r="G632" s="19">
        <f>IFERROR(__xludf.DUMMYFUNCTION("SPLIT(A630, "" |"")"),628.0)</f>
        <v>628</v>
      </c>
      <c r="H632" s="19">
        <f>IFERROR(__xludf.DUMMYFUNCTION("""COMPUTED_VALUE"""),0.00213)</f>
        <v>0.00213</v>
      </c>
      <c r="I632" s="19" t="str">
        <f>IFERROR(__xludf.DUMMYFUNCTION("""COMPUTED_VALUE"""),"-")</f>
        <v>-</v>
      </c>
      <c r="J632" s="19">
        <f>IFERROR(__xludf.DUMMYFUNCTION("""COMPUTED_VALUE"""),0.00194)</f>
        <v>0.00194</v>
      </c>
      <c r="K632" s="19">
        <f>IFERROR(__xludf.DUMMYFUNCTION("""COMPUTED_VALUE"""),0.03992)</f>
        <v>0.03992</v>
      </c>
      <c r="L632" s="19" t="str">
        <f>IFERROR(__xludf.DUMMYFUNCTION("""COMPUTED_VALUE"""),"-")</f>
        <v>-</v>
      </c>
      <c r="M632" s="19">
        <f>IFERROR(__xludf.DUMMYFUNCTION("""COMPUTED_VALUE"""),0.03678)</f>
        <v>0.03678</v>
      </c>
    </row>
    <row r="633">
      <c r="A633" s="12" t="s">
        <v>6723</v>
      </c>
      <c r="G633" s="19">
        <f>IFERROR(__xludf.DUMMYFUNCTION("SPLIT(A631, "" |"")"),629.0)</f>
        <v>629</v>
      </c>
      <c r="H633" s="19">
        <f>IFERROR(__xludf.DUMMYFUNCTION("""COMPUTED_VALUE"""),0.00207)</f>
        <v>0.00207</v>
      </c>
      <c r="I633" s="19" t="str">
        <f>IFERROR(__xludf.DUMMYFUNCTION("""COMPUTED_VALUE"""),"-")</f>
        <v>-</v>
      </c>
      <c r="J633" s="19">
        <f>IFERROR(__xludf.DUMMYFUNCTION("""COMPUTED_VALUE"""),0.00189)</f>
        <v>0.00189</v>
      </c>
      <c r="K633" s="19">
        <f>IFERROR(__xludf.DUMMYFUNCTION("""COMPUTED_VALUE"""),0.0401)</f>
        <v>0.0401</v>
      </c>
      <c r="L633" s="19" t="str">
        <f>IFERROR(__xludf.DUMMYFUNCTION("""COMPUTED_VALUE"""),"-")</f>
        <v>-</v>
      </c>
      <c r="M633" s="19">
        <f>IFERROR(__xludf.DUMMYFUNCTION("""COMPUTED_VALUE"""),0.03892)</f>
        <v>0.03892</v>
      </c>
    </row>
    <row r="634">
      <c r="A634" s="12" t="s">
        <v>6724</v>
      </c>
      <c r="G634" s="19">
        <f>IFERROR(__xludf.DUMMYFUNCTION("SPLIT(A632, "" |"")"),630.0)</f>
        <v>630</v>
      </c>
      <c r="H634" s="19">
        <f>IFERROR(__xludf.DUMMYFUNCTION("""COMPUTED_VALUE"""),0.00214)</f>
        <v>0.00214</v>
      </c>
      <c r="I634" s="19" t="str">
        <f>IFERROR(__xludf.DUMMYFUNCTION("""COMPUTED_VALUE"""),"-")</f>
        <v>-</v>
      </c>
      <c r="J634" s="19">
        <f>IFERROR(__xludf.DUMMYFUNCTION("""COMPUTED_VALUE"""),0.00211)</f>
        <v>0.00211</v>
      </c>
      <c r="K634" s="19">
        <f>IFERROR(__xludf.DUMMYFUNCTION("""COMPUTED_VALUE"""),0.03972)</f>
        <v>0.03972</v>
      </c>
      <c r="L634" s="19" t="str">
        <f>IFERROR(__xludf.DUMMYFUNCTION("""COMPUTED_VALUE"""),"-")</f>
        <v>-</v>
      </c>
      <c r="M634" s="19">
        <f>IFERROR(__xludf.DUMMYFUNCTION("""COMPUTED_VALUE"""),0.03951)</f>
        <v>0.03951</v>
      </c>
    </row>
    <row r="635">
      <c r="A635" s="12" t="s">
        <v>6725</v>
      </c>
      <c r="G635" s="19">
        <f>IFERROR(__xludf.DUMMYFUNCTION("SPLIT(A633, "" |"")"),631.0)</f>
        <v>631</v>
      </c>
      <c r="H635" s="19">
        <f>IFERROR(__xludf.DUMMYFUNCTION("""COMPUTED_VALUE"""),0.00241)</f>
        <v>0.00241</v>
      </c>
      <c r="I635" s="19" t="str">
        <f>IFERROR(__xludf.DUMMYFUNCTION("""COMPUTED_VALUE"""),"-")</f>
        <v>-</v>
      </c>
      <c r="J635" s="19">
        <f>IFERROR(__xludf.DUMMYFUNCTION("""COMPUTED_VALUE"""),0.00209)</f>
        <v>0.00209</v>
      </c>
      <c r="K635" s="19">
        <f>IFERROR(__xludf.DUMMYFUNCTION("""COMPUTED_VALUE"""),0.03975)</f>
        <v>0.03975</v>
      </c>
      <c r="L635" s="19" t="str">
        <f>IFERROR(__xludf.DUMMYFUNCTION("""COMPUTED_VALUE"""),"-")</f>
        <v>-</v>
      </c>
      <c r="M635" s="19">
        <f>IFERROR(__xludf.DUMMYFUNCTION("""COMPUTED_VALUE"""),0.03477)</f>
        <v>0.03477</v>
      </c>
    </row>
    <row r="636">
      <c r="A636" s="12" t="s">
        <v>6726</v>
      </c>
      <c r="G636" s="19">
        <f>IFERROR(__xludf.DUMMYFUNCTION("SPLIT(A634, "" |"")"),632.0)</f>
        <v>632</v>
      </c>
      <c r="H636" s="19">
        <f>IFERROR(__xludf.DUMMYFUNCTION("""COMPUTED_VALUE"""),0.00208)</f>
        <v>0.00208</v>
      </c>
      <c r="I636" s="19" t="str">
        <f>IFERROR(__xludf.DUMMYFUNCTION("""COMPUTED_VALUE"""),"-")</f>
        <v>-</v>
      </c>
      <c r="J636" s="19">
        <f>IFERROR(__xludf.DUMMYFUNCTION("""COMPUTED_VALUE"""),0.00212)</f>
        <v>0.00212</v>
      </c>
      <c r="K636" s="19">
        <f>IFERROR(__xludf.DUMMYFUNCTION("""COMPUTED_VALUE"""),0.03738)</f>
        <v>0.03738</v>
      </c>
      <c r="L636" s="19" t="str">
        <f>IFERROR(__xludf.DUMMYFUNCTION("""COMPUTED_VALUE"""),"-")</f>
        <v>-</v>
      </c>
      <c r="M636" s="19">
        <f>IFERROR(__xludf.DUMMYFUNCTION("""COMPUTED_VALUE"""),0.03745)</f>
        <v>0.03745</v>
      </c>
    </row>
    <row r="637">
      <c r="A637" s="12" t="s">
        <v>6727</v>
      </c>
      <c r="G637" s="19">
        <f>IFERROR(__xludf.DUMMYFUNCTION("SPLIT(A635, "" |"")"),633.0)</f>
        <v>633</v>
      </c>
      <c r="H637" s="19">
        <f>IFERROR(__xludf.DUMMYFUNCTION("""COMPUTED_VALUE"""),0.00225)</f>
        <v>0.00225</v>
      </c>
      <c r="I637" s="19" t="str">
        <f>IFERROR(__xludf.DUMMYFUNCTION("""COMPUTED_VALUE"""),"-")</f>
        <v>-</v>
      </c>
      <c r="J637" s="19">
        <f>IFERROR(__xludf.DUMMYFUNCTION("""COMPUTED_VALUE"""),0.00198)</f>
        <v>0.00198</v>
      </c>
      <c r="K637" s="19">
        <f>IFERROR(__xludf.DUMMYFUNCTION("""COMPUTED_VALUE"""),0.03734)</f>
        <v>0.03734</v>
      </c>
      <c r="L637" s="19" t="str">
        <f>IFERROR(__xludf.DUMMYFUNCTION("""COMPUTED_VALUE"""),"-")</f>
        <v>-</v>
      </c>
      <c r="M637" s="19">
        <f>IFERROR(__xludf.DUMMYFUNCTION("""COMPUTED_VALUE"""),0.03974)</f>
        <v>0.03974</v>
      </c>
    </row>
    <row r="638">
      <c r="A638" s="12" t="s">
        <v>6728</v>
      </c>
      <c r="G638" s="19">
        <f>IFERROR(__xludf.DUMMYFUNCTION("SPLIT(A636, "" |"")"),634.0)</f>
        <v>634</v>
      </c>
      <c r="H638" s="19">
        <f>IFERROR(__xludf.DUMMYFUNCTION("""COMPUTED_VALUE"""),0.00205)</f>
        <v>0.00205</v>
      </c>
      <c r="I638" s="19" t="str">
        <f>IFERROR(__xludf.DUMMYFUNCTION("""COMPUTED_VALUE"""),"-")</f>
        <v>-</v>
      </c>
      <c r="J638" s="19">
        <f>IFERROR(__xludf.DUMMYFUNCTION("""COMPUTED_VALUE"""),0.00188)</f>
        <v>0.00188</v>
      </c>
      <c r="K638" s="19">
        <f>IFERROR(__xludf.DUMMYFUNCTION("""COMPUTED_VALUE"""),0.03995)</f>
        <v>0.03995</v>
      </c>
      <c r="L638" s="19" t="str">
        <f>IFERROR(__xludf.DUMMYFUNCTION("""COMPUTED_VALUE"""),"-")</f>
        <v>-</v>
      </c>
      <c r="M638" s="19">
        <f>IFERROR(__xludf.DUMMYFUNCTION("""COMPUTED_VALUE"""),0.03954)</f>
        <v>0.03954</v>
      </c>
    </row>
    <row r="639">
      <c r="A639" s="12" t="s">
        <v>6729</v>
      </c>
      <c r="G639" s="19">
        <f>IFERROR(__xludf.DUMMYFUNCTION("SPLIT(A637, "" |"")"),635.0)</f>
        <v>635</v>
      </c>
      <c r="H639" s="19">
        <f>IFERROR(__xludf.DUMMYFUNCTION("""COMPUTED_VALUE"""),0.00207)</f>
        <v>0.00207</v>
      </c>
      <c r="I639" s="19" t="str">
        <f>IFERROR(__xludf.DUMMYFUNCTION("""COMPUTED_VALUE"""),"-")</f>
        <v>-</v>
      </c>
      <c r="J639" s="19">
        <f>IFERROR(__xludf.DUMMYFUNCTION("""COMPUTED_VALUE"""),0.00204)</f>
        <v>0.00204</v>
      </c>
      <c r="K639" s="19">
        <f>IFERROR(__xludf.DUMMYFUNCTION("""COMPUTED_VALUE"""),0.03503)</f>
        <v>0.03503</v>
      </c>
      <c r="L639" s="19" t="str">
        <f>IFERROR(__xludf.DUMMYFUNCTION("""COMPUTED_VALUE"""),"-")</f>
        <v>-</v>
      </c>
      <c r="M639" s="19">
        <f>IFERROR(__xludf.DUMMYFUNCTION("""COMPUTED_VALUE"""),0.04018)</f>
        <v>0.04018</v>
      </c>
    </row>
    <row r="640">
      <c r="A640" s="12" t="s">
        <v>6730</v>
      </c>
      <c r="G640" s="19">
        <f>IFERROR(__xludf.DUMMYFUNCTION("SPLIT(A638, "" |"")"),636.0)</f>
        <v>636</v>
      </c>
      <c r="H640" s="19">
        <f>IFERROR(__xludf.DUMMYFUNCTION("""COMPUTED_VALUE"""),0.00212)</f>
        <v>0.00212</v>
      </c>
      <c r="I640" s="19" t="str">
        <f>IFERROR(__xludf.DUMMYFUNCTION("""COMPUTED_VALUE"""),"-")</f>
        <v>-</v>
      </c>
      <c r="J640" s="19">
        <f>IFERROR(__xludf.DUMMYFUNCTION("""COMPUTED_VALUE"""),0.00211)</f>
        <v>0.00211</v>
      </c>
      <c r="K640" s="19">
        <f>IFERROR(__xludf.DUMMYFUNCTION("""COMPUTED_VALUE"""),0.03935)</f>
        <v>0.03935</v>
      </c>
      <c r="L640" s="19" t="str">
        <f>IFERROR(__xludf.DUMMYFUNCTION("""COMPUTED_VALUE"""),"-")</f>
        <v>-</v>
      </c>
      <c r="M640" s="19">
        <f>IFERROR(__xludf.DUMMYFUNCTION("""COMPUTED_VALUE"""),0.03998)</f>
        <v>0.03998</v>
      </c>
    </row>
    <row r="641">
      <c r="A641" s="12" t="s">
        <v>6731</v>
      </c>
      <c r="G641" s="19">
        <f>IFERROR(__xludf.DUMMYFUNCTION("SPLIT(A639, "" |"")"),637.0)</f>
        <v>637</v>
      </c>
      <c r="H641" s="19">
        <f>IFERROR(__xludf.DUMMYFUNCTION("""COMPUTED_VALUE"""),0.00226)</f>
        <v>0.00226</v>
      </c>
      <c r="I641" s="19" t="str">
        <f>IFERROR(__xludf.DUMMYFUNCTION("""COMPUTED_VALUE"""),"-")</f>
        <v>-</v>
      </c>
      <c r="J641" s="19">
        <f>IFERROR(__xludf.DUMMYFUNCTION("""COMPUTED_VALUE"""),0.0022)</f>
        <v>0.0022</v>
      </c>
      <c r="K641" s="19">
        <f>IFERROR(__xludf.DUMMYFUNCTION("""COMPUTED_VALUE"""),0.0382)</f>
        <v>0.0382</v>
      </c>
      <c r="L641" s="19" t="str">
        <f>IFERROR(__xludf.DUMMYFUNCTION("""COMPUTED_VALUE"""),"-")</f>
        <v>-</v>
      </c>
      <c r="M641" s="19">
        <f>IFERROR(__xludf.DUMMYFUNCTION("""COMPUTED_VALUE"""),0.03743)</f>
        <v>0.03743</v>
      </c>
    </row>
    <row r="642">
      <c r="A642" s="12" t="s">
        <v>6732</v>
      </c>
      <c r="G642" s="19">
        <f>IFERROR(__xludf.DUMMYFUNCTION("SPLIT(A640, "" |"")"),638.0)</f>
        <v>638</v>
      </c>
      <c r="H642" s="19">
        <f>IFERROR(__xludf.DUMMYFUNCTION("""COMPUTED_VALUE"""),0.00209)</f>
        <v>0.00209</v>
      </c>
      <c r="I642" s="19" t="str">
        <f>IFERROR(__xludf.DUMMYFUNCTION("""COMPUTED_VALUE"""),"-")</f>
        <v>-</v>
      </c>
      <c r="J642" s="19">
        <f>IFERROR(__xludf.DUMMYFUNCTION("""COMPUTED_VALUE"""),0.0019)</f>
        <v>0.0019</v>
      </c>
      <c r="K642" s="19">
        <f>IFERROR(__xludf.DUMMYFUNCTION("""COMPUTED_VALUE"""),0.04008)</f>
        <v>0.04008</v>
      </c>
      <c r="L642" s="19" t="str">
        <f>IFERROR(__xludf.DUMMYFUNCTION("""COMPUTED_VALUE"""),"-")</f>
        <v>-</v>
      </c>
      <c r="M642" s="19">
        <f>IFERROR(__xludf.DUMMYFUNCTION("""COMPUTED_VALUE"""),0.03978)</f>
        <v>0.03978</v>
      </c>
    </row>
    <row r="643">
      <c r="A643" s="12" t="s">
        <v>6733</v>
      </c>
      <c r="G643" s="19">
        <f>IFERROR(__xludf.DUMMYFUNCTION("SPLIT(A641, "" |"")"),639.0)</f>
        <v>639</v>
      </c>
      <c r="H643" s="19">
        <f>IFERROR(__xludf.DUMMYFUNCTION("""COMPUTED_VALUE"""),0.00218)</f>
        <v>0.00218</v>
      </c>
      <c r="I643" s="19" t="str">
        <f>IFERROR(__xludf.DUMMYFUNCTION("""COMPUTED_VALUE"""),"-")</f>
        <v>-</v>
      </c>
      <c r="J643" s="19">
        <f>IFERROR(__xludf.DUMMYFUNCTION("""COMPUTED_VALUE"""),0.002)</f>
        <v>0.002</v>
      </c>
      <c r="K643" s="19">
        <f>IFERROR(__xludf.DUMMYFUNCTION("""COMPUTED_VALUE"""),0.0398)</f>
        <v>0.0398</v>
      </c>
      <c r="L643" s="19" t="str">
        <f>IFERROR(__xludf.DUMMYFUNCTION("""COMPUTED_VALUE"""),"-")</f>
        <v>-</v>
      </c>
      <c r="M643" s="19">
        <f>IFERROR(__xludf.DUMMYFUNCTION("""COMPUTED_VALUE"""),0.0397)</f>
        <v>0.0397</v>
      </c>
    </row>
    <row r="644">
      <c r="A644" s="12" t="s">
        <v>6734</v>
      </c>
      <c r="G644" s="19">
        <f>IFERROR(__xludf.DUMMYFUNCTION("SPLIT(A642, "" |"")"),640.0)</f>
        <v>640</v>
      </c>
      <c r="H644" s="19">
        <f>IFERROR(__xludf.DUMMYFUNCTION("""COMPUTED_VALUE"""),0.00205)</f>
        <v>0.00205</v>
      </c>
      <c r="I644" s="19" t="str">
        <f>IFERROR(__xludf.DUMMYFUNCTION("""COMPUTED_VALUE"""),"-")</f>
        <v>-</v>
      </c>
      <c r="J644" s="19">
        <f>IFERROR(__xludf.DUMMYFUNCTION("""COMPUTED_VALUE"""),0.00185)</f>
        <v>0.00185</v>
      </c>
      <c r="K644" s="19">
        <f>IFERROR(__xludf.DUMMYFUNCTION("""COMPUTED_VALUE"""),0.03965)</f>
        <v>0.03965</v>
      </c>
      <c r="L644" s="19" t="str">
        <f>IFERROR(__xludf.DUMMYFUNCTION("""COMPUTED_VALUE"""),"-")</f>
        <v>-</v>
      </c>
      <c r="M644" s="19">
        <f>IFERROR(__xludf.DUMMYFUNCTION("""COMPUTED_VALUE"""),0.03934)</f>
        <v>0.03934</v>
      </c>
    </row>
    <row r="645">
      <c r="A645" s="12" t="s">
        <v>6735</v>
      </c>
      <c r="G645" s="19">
        <f>IFERROR(__xludf.DUMMYFUNCTION("SPLIT(A643, "" |"")"),641.0)</f>
        <v>641</v>
      </c>
      <c r="H645" s="19">
        <f>IFERROR(__xludf.DUMMYFUNCTION("""COMPUTED_VALUE"""),0.00203)</f>
        <v>0.00203</v>
      </c>
      <c r="I645" s="19" t="str">
        <f>IFERROR(__xludf.DUMMYFUNCTION("""COMPUTED_VALUE"""),"-")</f>
        <v>-</v>
      </c>
      <c r="J645" s="19">
        <f>IFERROR(__xludf.DUMMYFUNCTION("""COMPUTED_VALUE"""),0.00193)</f>
        <v>0.00193</v>
      </c>
      <c r="K645" s="19">
        <f>IFERROR(__xludf.DUMMYFUNCTION("""COMPUTED_VALUE"""),0.03995)</f>
        <v>0.03995</v>
      </c>
      <c r="L645" s="19" t="str">
        <f>IFERROR(__xludf.DUMMYFUNCTION("""COMPUTED_VALUE"""),"-")</f>
        <v>-</v>
      </c>
      <c r="M645" s="19">
        <f>IFERROR(__xludf.DUMMYFUNCTION("""COMPUTED_VALUE"""),0.03988)</f>
        <v>0.03988</v>
      </c>
    </row>
    <row r="646">
      <c r="A646" s="12" t="s">
        <v>6736</v>
      </c>
      <c r="G646" s="19">
        <f>IFERROR(__xludf.DUMMYFUNCTION("SPLIT(A644, "" |"")"),642.0)</f>
        <v>642</v>
      </c>
      <c r="H646" s="19">
        <f>IFERROR(__xludf.DUMMYFUNCTION("""COMPUTED_VALUE"""),0.00206)</f>
        <v>0.00206</v>
      </c>
      <c r="I646" s="19" t="str">
        <f>IFERROR(__xludf.DUMMYFUNCTION("""COMPUTED_VALUE"""),"-")</f>
        <v>-</v>
      </c>
      <c r="J646" s="19">
        <f>IFERROR(__xludf.DUMMYFUNCTION("""COMPUTED_VALUE"""),0.00187)</f>
        <v>0.00187</v>
      </c>
      <c r="K646" s="19">
        <f>IFERROR(__xludf.DUMMYFUNCTION("""COMPUTED_VALUE"""),0.03957)</f>
        <v>0.03957</v>
      </c>
      <c r="L646" s="19" t="str">
        <f>IFERROR(__xludf.DUMMYFUNCTION("""COMPUTED_VALUE"""),"-")</f>
        <v>-</v>
      </c>
      <c r="M646" s="19">
        <f>IFERROR(__xludf.DUMMYFUNCTION("""COMPUTED_VALUE"""),0.03968)</f>
        <v>0.03968</v>
      </c>
    </row>
    <row r="647">
      <c r="A647" s="12" t="s">
        <v>6737</v>
      </c>
      <c r="G647" s="19">
        <f>IFERROR(__xludf.DUMMYFUNCTION("SPLIT(A645, "" |"")"),643.0)</f>
        <v>643</v>
      </c>
      <c r="H647" s="19">
        <f>IFERROR(__xludf.DUMMYFUNCTION("""COMPUTED_VALUE"""),0.00214)</f>
        <v>0.00214</v>
      </c>
      <c r="I647" s="19" t="str">
        <f>IFERROR(__xludf.DUMMYFUNCTION("""COMPUTED_VALUE"""),"-")</f>
        <v>-</v>
      </c>
      <c r="J647" s="19">
        <f>IFERROR(__xludf.DUMMYFUNCTION("""COMPUTED_VALUE"""),0.00192)</f>
        <v>0.00192</v>
      </c>
      <c r="K647" s="19">
        <f>IFERROR(__xludf.DUMMYFUNCTION("""COMPUTED_VALUE"""),0.03972)</f>
        <v>0.03972</v>
      </c>
      <c r="L647" s="19" t="str">
        <f>IFERROR(__xludf.DUMMYFUNCTION("""COMPUTED_VALUE"""),"-")</f>
        <v>-</v>
      </c>
      <c r="M647" s="19">
        <f>IFERROR(__xludf.DUMMYFUNCTION("""COMPUTED_VALUE"""),0.0397)</f>
        <v>0.0397</v>
      </c>
    </row>
    <row r="648">
      <c r="A648" s="12" t="s">
        <v>6738</v>
      </c>
      <c r="G648" s="19">
        <f>IFERROR(__xludf.DUMMYFUNCTION("SPLIT(A646, "" |"")"),644.0)</f>
        <v>644</v>
      </c>
      <c r="H648" s="19">
        <f>IFERROR(__xludf.DUMMYFUNCTION("""COMPUTED_VALUE"""),0.00205)</f>
        <v>0.00205</v>
      </c>
      <c r="I648" s="19" t="str">
        <f>IFERROR(__xludf.DUMMYFUNCTION("""COMPUTED_VALUE"""),"-")</f>
        <v>-</v>
      </c>
      <c r="J648" s="19">
        <f>IFERROR(__xludf.DUMMYFUNCTION("""COMPUTED_VALUE"""),0.00189)</f>
        <v>0.00189</v>
      </c>
      <c r="K648" s="19">
        <f>IFERROR(__xludf.DUMMYFUNCTION("""COMPUTED_VALUE"""),0.04011)</f>
        <v>0.04011</v>
      </c>
      <c r="L648" s="19" t="str">
        <f>IFERROR(__xludf.DUMMYFUNCTION("""COMPUTED_VALUE"""),"-")</f>
        <v>-</v>
      </c>
      <c r="M648" s="19">
        <f>IFERROR(__xludf.DUMMYFUNCTION("""COMPUTED_VALUE"""),0.04037)</f>
        <v>0.04037</v>
      </c>
    </row>
    <row r="649">
      <c r="A649" s="12" t="s">
        <v>6739</v>
      </c>
      <c r="G649" s="19">
        <f>IFERROR(__xludf.DUMMYFUNCTION("SPLIT(A647, "" |"")"),645.0)</f>
        <v>645</v>
      </c>
      <c r="H649" s="19">
        <f>IFERROR(__xludf.DUMMYFUNCTION("""COMPUTED_VALUE"""),0.00212)</f>
        <v>0.00212</v>
      </c>
      <c r="I649" s="19" t="str">
        <f>IFERROR(__xludf.DUMMYFUNCTION("""COMPUTED_VALUE"""),"-")</f>
        <v>-</v>
      </c>
      <c r="J649" s="19">
        <f>IFERROR(__xludf.DUMMYFUNCTION("""COMPUTED_VALUE"""),0.00193)</f>
        <v>0.00193</v>
      </c>
      <c r="K649" s="19">
        <f>IFERROR(__xludf.DUMMYFUNCTION("""COMPUTED_VALUE"""),0.04)</f>
        <v>0.04</v>
      </c>
      <c r="L649" s="19" t="str">
        <f>IFERROR(__xludf.DUMMYFUNCTION("""COMPUTED_VALUE"""),"-")</f>
        <v>-</v>
      </c>
      <c r="M649" s="19">
        <f>IFERROR(__xludf.DUMMYFUNCTION("""COMPUTED_VALUE"""),0.04018)</f>
        <v>0.04018</v>
      </c>
    </row>
    <row r="650">
      <c r="A650" s="12" t="s">
        <v>6740</v>
      </c>
      <c r="G650" s="19">
        <f>IFERROR(__xludf.DUMMYFUNCTION("SPLIT(A648, "" |"")"),646.0)</f>
        <v>646</v>
      </c>
      <c r="H650" s="19">
        <f>IFERROR(__xludf.DUMMYFUNCTION("""COMPUTED_VALUE"""),0.0021)</f>
        <v>0.0021</v>
      </c>
      <c r="I650" s="19" t="str">
        <f>IFERROR(__xludf.DUMMYFUNCTION("""COMPUTED_VALUE"""),"-")</f>
        <v>-</v>
      </c>
      <c r="J650" s="19">
        <f>IFERROR(__xludf.DUMMYFUNCTION("""COMPUTED_VALUE"""),0.00192)</f>
        <v>0.00192</v>
      </c>
      <c r="K650" s="19">
        <f>IFERROR(__xludf.DUMMYFUNCTION("""COMPUTED_VALUE"""),0.0397)</f>
        <v>0.0397</v>
      </c>
      <c r="L650" s="19" t="str">
        <f>IFERROR(__xludf.DUMMYFUNCTION("""COMPUTED_VALUE"""),"-")</f>
        <v>-</v>
      </c>
      <c r="M650" s="19">
        <f>IFERROR(__xludf.DUMMYFUNCTION("""COMPUTED_VALUE"""),0.03973)</f>
        <v>0.03973</v>
      </c>
    </row>
    <row r="651">
      <c r="A651" s="12" t="s">
        <v>6741</v>
      </c>
      <c r="G651" s="19">
        <f>IFERROR(__xludf.DUMMYFUNCTION("SPLIT(A649, "" |"")"),647.0)</f>
        <v>647</v>
      </c>
      <c r="H651" s="19">
        <f>IFERROR(__xludf.DUMMYFUNCTION("""COMPUTED_VALUE"""),0.00205)</f>
        <v>0.00205</v>
      </c>
      <c r="I651" s="19" t="str">
        <f>IFERROR(__xludf.DUMMYFUNCTION("""COMPUTED_VALUE"""),"-")</f>
        <v>-</v>
      </c>
      <c r="J651" s="19">
        <f>IFERROR(__xludf.DUMMYFUNCTION("""COMPUTED_VALUE"""),0.00191)</f>
        <v>0.00191</v>
      </c>
      <c r="K651" s="19">
        <f>IFERROR(__xludf.DUMMYFUNCTION("""COMPUTED_VALUE"""),0.03958)</f>
        <v>0.03958</v>
      </c>
      <c r="L651" s="19" t="str">
        <f>IFERROR(__xludf.DUMMYFUNCTION("""COMPUTED_VALUE"""),"-")</f>
        <v>-</v>
      </c>
      <c r="M651" s="19">
        <f>IFERROR(__xludf.DUMMYFUNCTION("""COMPUTED_VALUE"""),0.0401)</f>
        <v>0.0401</v>
      </c>
    </row>
    <row r="652">
      <c r="A652" s="12" t="s">
        <v>6742</v>
      </c>
      <c r="G652" s="19">
        <f>IFERROR(__xludf.DUMMYFUNCTION("SPLIT(A650, "" |"")"),648.0)</f>
        <v>648</v>
      </c>
      <c r="H652" s="19">
        <f>IFERROR(__xludf.DUMMYFUNCTION("""COMPUTED_VALUE"""),0.00202)</f>
        <v>0.00202</v>
      </c>
      <c r="I652" s="19" t="str">
        <f>IFERROR(__xludf.DUMMYFUNCTION("""COMPUTED_VALUE"""),"-")</f>
        <v>-</v>
      </c>
      <c r="J652" s="19">
        <f>IFERROR(__xludf.DUMMYFUNCTION("""COMPUTED_VALUE"""),0.00188)</f>
        <v>0.00188</v>
      </c>
      <c r="K652" s="19">
        <f>IFERROR(__xludf.DUMMYFUNCTION("""COMPUTED_VALUE"""),0.03995)</f>
        <v>0.03995</v>
      </c>
      <c r="L652" s="19" t="str">
        <f>IFERROR(__xludf.DUMMYFUNCTION("""COMPUTED_VALUE"""),"-")</f>
        <v>-</v>
      </c>
      <c r="M652" s="19">
        <f>IFERROR(__xludf.DUMMYFUNCTION("""COMPUTED_VALUE"""),0.03668)</f>
        <v>0.03668</v>
      </c>
    </row>
    <row r="653">
      <c r="A653" s="12" t="s">
        <v>6743</v>
      </c>
      <c r="G653" s="19">
        <f>IFERROR(__xludf.DUMMYFUNCTION("SPLIT(A651, "" |"")"),649.0)</f>
        <v>649</v>
      </c>
      <c r="H653" s="19">
        <f>IFERROR(__xludf.DUMMYFUNCTION("""COMPUTED_VALUE"""),0.00204)</f>
        <v>0.00204</v>
      </c>
      <c r="I653" s="19" t="str">
        <f>IFERROR(__xludf.DUMMYFUNCTION("""COMPUTED_VALUE"""),"-")</f>
        <v>-</v>
      </c>
      <c r="J653" s="19">
        <f>IFERROR(__xludf.DUMMYFUNCTION("""COMPUTED_VALUE"""),0.00189)</f>
        <v>0.00189</v>
      </c>
      <c r="K653" s="19">
        <f>IFERROR(__xludf.DUMMYFUNCTION("""COMPUTED_VALUE"""),0.03993)</f>
        <v>0.03993</v>
      </c>
      <c r="L653" s="19" t="str">
        <f>IFERROR(__xludf.DUMMYFUNCTION("""COMPUTED_VALUE"""),"-")</f>
        <v>-</v>
      </c>
      <c r="M653" s="19">
        <f>IFERROR(__xludf.DUMMYFUNCTION("""COMPUTED_VALUE"""),0.04028)</f>
        <v>0.04028</v>
      </c>
    </row>
    <row r="654">
      <c r="A654" s="12" t="s">
        <v>6744</v>
      </c>
      <c r="G654" s="19">
        <f>IFERROR(__xludf.DUMMYFUNCTION("SPLIT(A652, "" |"")"),650.0)</f>
        <v>650</v>
      </c>
      <c r="H654" s="19">
        <f>IFERROR(__xludf.DUMMYFUNCTION("""COMPUTED_VALUE"""),0.00206)</f>
        <v>0.00206</v>
      </c>
      <c r="I654" s="19" t="str">
        <f>IFERROR(__xludf.DUMMYFUNCTION("""COMPUTED_VALUE"""),"-")</f>
        <v>-</v>
      </c>
      <c r="J654" s="19">
        <f>IFERROR(__xludf.DUMMYFUNCTION("""COMPUTED_VALUE"""),0.00193)</f>
        <v>0.00193</v>
      </c>
      <c r="K654" s="19">
        <f>IFERROR(__xludf.DUMMYFUNCTION("""COMPUTED_VALUE"""),0.03706)</f>
        <v>0.03706</v>
      </c>
      <c r="L654" s="19" t="str">
        <f>IFERROR(__xludf.DUMMYFUNCTION("""COMPUTED_VALUE"""),"-")</f>
        <v>-</v>
      </c>
      <c r="M654" s="19">
        <f>IFERROR(__xludf.DUMMYFUNCTION("""COMPUTED_VALUE"""),0.04028)</f>
        <v>0.04028</v>
      </c>
    </row>
    <row r="655">
      <c r="A655" s="12" t="s">
        <v>6745</v>
      </c>
      <c r="G655" s="19">
        <f>IFERROR(__xludf.DUMMYFUNCTION("SPLIT(A653, "" |"")"),651.0)</f>
        <v>651</v>
      </c>
      <c r="H655" s="19">
        <f>IFERROR(__xludf.DUMMYFUNCTION("""COMPUTED_VALUE"""),0.00206)</f>
        <v>0.00206</v>
      </c>
      <c r="I655" s="19" t="str">
        <f>IFERROR(__xludf.DUMMYFUNCTION("""COMPUTED_VALUE"""),"-")</f>
        <v>-</v>
      </c>
      <c r="J655" s="19">
        <f>IFERROR(__xludf.DUMMYFUNCTION("""COMPUTED_VALUE"""),0.00193)</f>
        <v>0.00193</v>
      </c>
      <c r="K655" s="19">
        <f>IFERROR(__xludf.DUMMYFUNCTION("""COMPUTED_VALUE"""),0.04003)</f>
        <v>0.04003</v>
      </c>
      <c r="L655" s="19" t="str">
        <f>IFERROR(__xludf.DUMMYFUNCTION("""COMPUTED_VALUE"""),"-")</f>
        <v>-</v>
      </c>
      <c r="M655" s="19">
        <f>IFERROR(__xludf.DUMMYFUNCTION("""COMPUTED_VALUE"""),0.04005)</f>
        <v>0.04005</v>
      </c>
    </row>
    <row r="656">
      <c r="A656" s="12" t="s">
        <v>6746</v>
      </c>
      <c r="G656" s="19">
        <f>IFERROR(__xludf.DUMMYFUNCTION("SPLIT(A654, "" |"")"),652.0)</f>
        <v>652</v>
      </c>
      <c r="H656" s="19">
        <f>IFERROR(__xludf.DUMMYFUNCTION("""COMPUTED_VALUE"""),0.00213)</f>
        <v>0.00213</v>
      </c>
      <c r="I656" s="19" t="str">
        <f>IFERROR(__xludf.DUMMYFUNCTION("""COMPUTED_VALUE"""),"-")</f>
        <v>-</v>
      </c>
      <c r="J656" s="19">
        <f>IFERROR(__xludf.DUMMYFUNCTION("""COMPUTED_VALUE"""),0.00186)</f>
        <v>0.00186</v>
      </c>
      <c r="K656" s="19">
        <f>IFERROR(__xludf.DUMMYFUNCTION("""COMPUTED_VALUE"""),0.04005)</f>
        <v>0.04005</v>
      </c>
      <c r="L656" s="19" t="str">
        <f>IFERROR(__xludf.DUMMYFUNCTION("""COMPUTED_VALUE"""),"-")</f>
        <v>-</v>
      </c>
      <c r="M656" s="19">
        <f>IFERROR(__xludf.DUMMYFUNCTION("""COMPUTED_VALUE"""),0.03928)</f>
        <v>0.03928</v>
      </c>
    </row>
    <row r="657">
      <c r="A657" s="12" t="s">
        <v>6747</v>
      </c>
      <c r="G657" s="19">
        <f>IFERROR(__xludf.DUMMYFUNCTION("SPLIT(A655, "" |"")"),653.0)</f>
        <v>653</v>
      </c>
      <c r="H657" s="19">
        <f>IFERROR(__xludf.DUMMYFUNCTION("""COMPUTED_VALUE"""),0.00213)</f>
        <v>0.00213</v>
      </c>
      <c r="I657" s="19" t="str">
        <f>IFERROR(__xludf.DUMMYFUNCTION("""COMPUTED_VALUE"""),"-")</f>
        <v>-</v>
      </c>
      <c r="J657" s="19">
        <f>IFERROR(__xludf.DUMMYFUNCTION("""COMPUTED_VALUE"""),0.00195)</f>
        <v>0.00195</v>
      </c>
      <c r="K657" s="19">
        <f>IFERROR(__xludf.DUMMYFUNCTION("""COMPUTED_VALUE"""),0.03591)</f>
        <v>0.03591</v>
      </c>
      <c r="L657" s="19" t="str">
        <f>IFERROR(__xludf.DUMMYFUNCTION("""COMPUTED_VALUE"""),"-")</f>
        <v>-</v>
      </c>
      <c r="M657" s="19">
        <f>IFERROR(__xludf.DUMMYFUNCTION("""COMPUTED_VALUE"""),0.03972)</f>
        <v>0.03972</v>
      </c>
    </row>
    <row r="658">
      <c r="A658" s="12" t="s">
        <v>6748</v>
      </c>
      <c r="G658" s="19">
        <f>IFERROR(__xludf.DUMMYFUNCTION("SPLIT(A656, "" |"")"),654.0)</f>
        <v>654</v>
      </c>
      <c r="H658" s="19">
        <f>IFERROR(__xludf.DUMMYFUNCTION("""COMPUTED_VALUE"""),0.00206)</f>
        <v>0.00206</v>
      </c>
      <c r="I658" s="19" t="str">
        <f>IFERROR(__xludf.DUMMYFUNCTION("""COMPUTED_VALUE"""),"-")</f>
        <v>-</v>
      </c>
      <c r="J658" s="19">
        <f>IFERROR(__xludf.DUMMYFUNCTION("""COMPUTED_VALUE"""),0.00192)</f>
        <v>0.00192</v>
      </c>
      <c r="K658" s="19">
        <f>IFERROR(__xludf.DUMMYFUNCTION("""COMPUTED_VALUE"""),0.03665)</f>
        <v>0.03665</v>
      </c>
      <c r="L658" s="19" t="str">
        <f>IFERROR(__xludf.DUMMYFUNCTION("""COMPUTED_VALUE"""),"-")</f>
        <v>-</v>
      </c>
      <c r="M658" s="19">
        <f>IFERROR(__xludf.DUMMYFUNCTION("""COMPUTED_VALUE"""),0.04018)</f>
        <v>0.04018</v>
      </c>
    </row>
    <row r="659">
      <c r="A659" s="12" t="s">
        <v>6749</v>
      </c>
      <c r="G659" s="19">
        <f>IFERROR(__xludf.DUMMYFUNCTION("SPLIT(A657, "" |"")"),655.0)</f>
        <v>655</v>
      </c>
      <c r="H659" s="19">
        <f>IFERROR(__xludf.DUMMYFUNCTION("""COMPUTED_VALUE"""),0.00223)</f>
        <v>0.00223</v>
      </c>
      <c r="I659" s="19" t="str">
        <f>IFERROR(__xludf.DUMMYFUNCTION("""COMPUTED_VALUE"""),"-")</f>
        <v>-</v>
      </c>
      <c r="J659" s="19">
        <f>IFERROR(__xludf.DUMMYFUNCTION("""COMPUTED_VALUE"""),0.00192)</f>
        <v>0.00192</v>
      </c>
      <c r="K659" s="19">
        <f>IFERROR(__xludf.DUMMYFUNCTION("""COMPUTED_VALUE"""),0.03797)</f>
        <v>0.03797</v>
      </c>
      <c r="L659" s="19" t="str">
        <f>IFERROR(__xludf.DUMMYFUNCTION("""COMPUTED_VALUE"""),"-")</f>
        <v>-</v>
      </c>
      <c r="M659" s="19">
        <f>IFERROR(__xludf.DUMMYFUNCTION("""COMPUTED_VALUE"""),0.04025)</f>
        <v>0.04025</v>
      </c>
    </row>
    <row r="660">
      <c r="A660" s="12" t="s">
        <v>6750</v>
      </c>
      <c r="G660" s="19">
        <f>IFERROR(__xludf.DUMMYFUNCTION("SPLIT(A658, "" |"")"),656.0)</f>
        <v>656</v>
      </c>
      <c r="H660" s="19">
        <f>IFERROR(__xludf.DUMMYFUNCTION("""COMPUTED_VALUE"""),0.00229)</f>
        <v>0.00229</v>
      </c>
      <c r="I660" s="19" t="str">
        <f>IFERROR(__xludf.DUMMYFUNCTION("""COMPUTED_VALUE"""),"-")</f>
        <v>-</v>
      </c>
      <c r="J660" s="19">
        <f>IFERROR(__xludf.DUMMYFUNCTION("""COMPUTED_VALUE"""),0.00198)</f>
        <v>0.00198</v>
      </c>
      <c r="K660" s="19">
        <f>IFERROR(__xludf.DUMMYFUNCTION("""COMPUTED_VALUE"""),0.03955)</f>
        <v>0.03955</v>
      </c>
      <c r="L660" s="19" t="str">
        <f>IFERROR(__xludf.DUMMYFUNCTION("""COMPUTED_VALUE"""),"-")</f>
        <v>-</v>
      </c>
      <c r="M660" s="19">
        <f>IFERROR(__xludf.DUMMYFUNCTION("""COMPUTED_VALUE"""),0.03619)</f>
        <v>0.03619</v>
      </c>
    </row>
    <row r="661">
      <c r="A661" s="12" t="s">
        <v>6751</v>
      </c>
      <c r="G661" s="19">
        <f>IFERROR(__xludf.DUMMYFUNCTION("SPLIT(A659, "" |"")"),657.0)</f>
        <v>657</v>
      </c>
      <c r="H661" s="19">
        <f>IFERROR(__xludf.DUMMYFUNCTION("""COMPUTED_VALUE"""),0.00215)</f>
        <v>0.00215</v>
      </c>
      <c r="I661" s="19" t="str">
        <f>IFERROR(__xludf.DUMMYFUNCTION("""COMPUTED_VALUE"""),"-")</f>
        <v>-</v>
      </c>
      <c r="J661" s="19">
        <f>IFERROR(__xludf.DUMMYFUNCTION("""COMPUTED_VALUE"""),0.00194)</f>
        <v>0.00194</v>
      </c>
      <c r="K661" s="19">
        <f>IFERROR(__xludf.DUMMYFUNCTION("""COMPUTED_VALUE"""),0.03747)</f>
        <v>0.03747</v>
      </c>
      <c r="L661" s="19" t="str">
        <f>IFERROR(__xludf.DUMMYFUNCTION("""COMPUTED_VALUE"""),"-")</f>
        <v>-</v>
      </c>
      <c r="M661" s="19">
        <f>IFERROR(__xludf.DUMMYFUNCTION("""COMPUTED_VALUE"""),0.0401)</f>
        <v>0.0401</v>
      </c>
    </row>
    <row r="662">
      <c r="A662" s="12" t="s">
        <v>6752</v>
      </c>
      <c r="G662" s="19">
        <f>IFERROR(__xludf.DUMMYFUNCTION("SPLIT(A660, "" |"")"),658.0)</f>
        <v>658</v>
      </c>
      <c r="H662" s="19">
        <f>IFERROR(__xludf.DUMMYFUNCTION("""COMPUTED_VALUE"""),0.00204)</f>
        <v>0.00204</v>
      </c>
      <c r="I662" s="19" t="str">
        <f>IFERROR(__xludf.DUMMYFUNCTION("""COMPUTED_VALUE"""),"-")</f>
        <v>-</v>
      </c>
      <c r="J662" s="19">
        <f>IFERROR(__xludf.DUMMYFUNCTION("""COMPUTED_VALUE"""),0.00188)</f>
        <v>0.00188</v>
      </c>
      <c r="K662" s="19">
        <f>IFERROR(__xludf.DUMMYFUNCTION("""COMPUTED_VALUE"""),0.03642)</f>
        <v>0.03642</v>
      </c>
      <c r="L662" s="19" t="str">
        <f>IFERROR(__xludf.DUMMYFUNCTION("""COMPUTED_VALUE"""),"-")</f>
        <v>-</v>
      </c>
      <c r="M662" s="19">
        <f>IFERROR(__xludf.DUMMYFUNCTION("""COMPUTED_VALUE"""),0.0361)</f>
        <v>0.0361</v>
      </c>
    </row>
    <row r="663">
      <c r="A663" s="12" t="s">
        <v>6753</v>
      </c>
      <c r="G663" s="19">
        <f>IFERROR(__xludf.DUMMYFUNCTION("SPLIT(A661, "" |"")"),659.0)</f>
        <v>659</v>
      </c>
      <c r="H663" s="19">
        <f>IFERROR(__xludf.DUMMYFUNCTION("""COMPUTED_VALUE"""),0.00217)</f>
        <v>0.00217</v>
      </c>
      <c r="I663" s="19" t="str">
        <f>IFERROR(__xludf.DUMMYFUNCTION("""COMPUTED_VALUE"""),"-")</f>
        <v>-</v>
      </c>
      <c r="J663" s="19">
        <f>IFERROR(__xludf.DUMMYFUNCTION("""COMPUTED_VALUE"""),0.00196)</f>
        <v>0.00196</v>
      </c>
      <c r="K663" s="19">
        <f>IFERROR(__xludf.DUMMYFUNCTION("""COMPUTED_VALUE"""),0.0383)</f>
        <v>0.0383</v>
      </c>
      <c r="L663" s="19" t="str">
        <f>IFERROR(__xludf.DUMMYFUNCTION("""COMPUTED_VALUE"""),"-")</f>
        <v>-</v>
      </c>
      <c r="M663" s="19">
        <f>IFERROR(__xludf.DUMMYFUNCTION("""COMPUTED_VALUE"""),0.04006)</f>
        <v>0.04006</v>
      </c>
    </row>
    <row r="664">
      <c r="A664" s="12" t="s">
        <v>6754</v>
      </c>
      <c r="G664" s="19">
        <f>IFERROR(__xludf.DUMMYFUNCTION("SPLIT(A662, "" |"")"),660.0)</f>
        <v>660</v>
      </c>
      <c r="H664" s="19">
        <f>IFERROR(__xludf.DUMMYFUNCTION("""COMPUTED_VALUE"""),0.00212)</f>
        <v>0.00212</v>
      </c>
      <c r="I664" s="19" t="str">
        <f>IFERROR(__xludf.DUMMYFUNCTION("""COMPUTED_VALUE"""),"-")</f>
        <v>-</v>
      </c>
      <c r="J664" s="19">
        <f>IFERROR(__xludf.DUMMYFUNCTION("""COMPUTED_VALUE"""),0.00195)</f>
        <v>0.00195</v>
      </c>
      <c r="K664" s="19">
        <f>IFERROR(__xludf.DUMMYFUNCTION("""COMPUTED_VALUE"""),0.03954)</f>
        <v>0.03954</v>
      </c>
      <c r="L664" s="19" t="str">
        <f>IFERROR(__xludf.DUMMYFUNCTION("""COMPUTED_VALUE"""),"-")</f>
        <v>-</v>
      </c>
      <c r="M664" s="19">
        <f>IFERROR(__xludf.DUMMYFUNCTION("""COMPUTED_VALUE"""),0.03976)</f>
        <v>0.03976</v>
      </c>
    </row>
    <row r="665">
      <c r="A665" s="12" t="s">
        <v>6755</v>
      </c>
      <c r="G665" s="19">
        <f>IFERROR(__xludf.DUMMYFUNCTION("SPLIT(A663, "" |"")"),661.0)</f>
        <v>661</v>
      </c>
      <c r="H665" s="19">
        <f>IFERROR(__xludf.DUMMYFUNCTION("""COMPUTED_VALUE"""),0.00206)</f>
        <v>0.00206</v>
      </c>
      <c r="I665" s="19" t="str">
        <f>IFERROR(__xludf.DUMMYFUNCTION("""COMPUTED_VALUE"""),"-")</f>
        <v>-</v>
      </c>
      <c r="J665" s="19">
        <f>IFERROR(__xludf.DUMMYFUNCTION("""COMPUTED_VALUE"""),0.00192)</f>
        <v>0.00192</v>
      </c>
      <c r="K665" s="19">
        <f>IFERROR(__xludf.DUMMYFUNCTION("""COMPUTED_VALUE"""),0.03703)</f>
        <v>0.03703</v>
      </c>
      <c r="L665" s="19" t="str">
        <f>IFERROR(__xludf.DUMMYFUNCTION("""COMPUTED_VALUE"""),"-")</f>
        <v>-</v>
      </c>
      <c r="M665" s="19">
        <f>IFERROR(__xludf.DUMMYFUNCTION("""COMPUTED_VALUE"""),0.03986)</f>
        <v>0.03986</v>
      </c>
    </row>
    <row r="666">
      <c r="A666" s="12" t="s">
        <v>6756</v>
      </c>
      <c r="G666" s="19">
        <f>IFERROR(__xludf.DUMMYFUNCTION("SPLIT(A664, "" |"")"),662.0)</f>
        <v>662</v>
      </c>
      <c r="H666" s="19">
        <f>IFERROR(__xludf.DUMMYFUNCTION("""COMPUTED_VALUE"""),0.00216)</f>
        <v>0.00216</v>
      </c>
      <c r="I666" s="19" t="str">
        <f>IFERROR(__xludf.DUMMYFUNCTION("""COMPUTED_VALUE"""),"-")</f>
        <v>-</v>
      </c>
      <c r="J666" s="19">
        <f>IFERROR(__xludf.DUMMYFUNCTION("""COMPUTED_VALUE"""),0.00192)</f>
        <v>0.00192</v>
      </c>
      <c r="K666" s="19">
        <f>IFERROR(__xludf.DUMMYFUNCTION("""COMPUTED_VALUE"""),0.04004)</f>
        <v>0.04004</v>
      </c>
      <c r="L666" s="19" t="str">
        <f>IFERROR(__xludf.DUMMYFUNCTION("""COMPUTED_VALUE"""),"-")</f>
        <v>-</v>
      </c>
      <c r="M666" s="19">
        <f>IFERROR(__xludf.DUMMYFUNCTION("""COMPUTED_VALUE"""),0.03959)</f>
        <v>0.03959</v>
      </c>
    </row>
    <row r="667">
      <c r="A667" s="12" t="s">
        <v>6757</v>
      </c>
      <c r="G667" s="19">
        <f>IFERROR(__xludf.DUMMYFUNCTION("SPLIT(A665, "" |"")"),663.0)</f>
        <v>663</v>
      </c>
      <c r="H667" s="19">
        <f>IFERROR(__xludf.DUMMYFUNCTION("""COMPUTED_VALUE"""),0.00206)</f>
        <v>0.00206</v>
      </c>
      <c r="I667" s="19" t="str">
        <f>IFERROR(__xludf.DUMMYFUNCTION("""COMPUTED_VALUE"""),"-")</f>
        <v>-</v>
      </c>
      <c r="J667" s="19">
        <f>IFERROR(__xludf.DUMMYFUNCTION("""COMPUTED_VALUE"""),0.0019)</f>
        <v>0.0019</v>
      </c>
      <c r="K667" s="19">
        <f>IFERROR(__xludf.DUMMYFUNCTION("""COMPUTED_VALUE"""),0.04001)</f>
        <v>0.04001</v>
      </c>
      <c r="L667" s="19" t="str">
        <f>IFERROR(__xludf.DUMMYFUNCTION("""COMPUTED_VALUE"""),"-")</f>
        <v>-</v>
      </c>
      <c r="M667" s="19">
        <f>IFERROR(__xludf.DUMMYFUNCTION("""COMPUTED_VALUE"""),0.03972)</f>
        <v>0.03972</v>
      </c>
    </row>
    <row r="668">
      <c r="A668" s="12" t="s">
        <v>6758</v>
      </c>
      <c r="G668" s="19">
        <f>IFERROR(__xludf.DUMMYFUNCTION("SPLIT(A666, "" |"")"),664.0)</f>
        <v>664</v>
      </c>
      <c r="H668" s="19">
        <f>IFERROR(__xludf.DUMMYFUNCTION("""COMPUTED_VALUE"""),0.00207)</f>
        <v>0.00207</v>
      </c>
      <c r="I668" s="19" t="str">
        <f>IFERROR(__xludf.DUMMYFUNCTION("""COMPUTED_VALUE"""),"-")</f>
        <v>-</v>
      </c>
      <c r="J668" s="19">
        <f>IFERROR(__xludf.DUMMYFUNCTION("""COMPUTED_VALUE"""),0.00192)</f>
        <v>0.00192</v>
      </c>
      <c r="K668" s="19">
        <f>IFERROR(__xludf.DUMMYFUNCTION("""COMPUTED_VALUE"""),0.03966)</f>
        <v>0.03966</v>
      </c>
      <c r="L668" s="19" t="str">
        <f>IFERROR(__xludf.DUMMYFUNCTION("""COMPUTED_VALUE"""),"-")</f>
        <v>-</v>
      </c>
      <c r="M668" s="19">
        <f>IFERROR(__xludf.DUMMYFUNCTION("""COMPUTED_VALUE"""),0.03976)</f>
        <v>0.03976</v>
      </c>
    </row>
    <row r="669">
      <c r="A669" s="12" t="s">
        <v>6759</v>
      </c>
      <c r="G669" s="19">
        <f>IFERROR(__xludf.DUMMYFUNCTION("SPLIT(A667, "" |"")"),665.0)</f>
        <v>665</v>
      </c>
      <c r="H669" s="19">
        <f>IFERROR(__xludf.DUMMYFUNCTION("""COMPUTED_VALUE"""),0.00208)</f>
        <v>0.00208</v>
      </c>
      <c r="I669" s="19" t="str">
        <f>IFERROR(__xludf.DUMMYFUNCTION("""COMPUTED_VALUE"""),"-")</f>
        <v>-</v>
      </c>
      <c r="J669" s="19">
        <f>IFERROR(__xludf.DUMMYFUNCTION("""COMPUTED_VALUE"""),0.00192)</f>
        <v>0.00192</v>
      </c>
      <c r="K669" s="19">
        <f>IFERROR(__xludf.DUMMYFUNCTION("""COMPUTED_VALUE"""),0.03786)</f>
        <v>0.03786</v>
      </c>
      <c r="L669" s="19" t="str">
        <f>IFERROR(__xludf.DUMMYFUNCTION("""COMPUTED_VALUE"""),"-")</f>
        <v>-</v>
      </c>
      <c r="M669" s="19">
        <f>IFERROR(__xludf.DUMMYFUNCTION("""COMPUTED_VALUE"""),0.03837)</f>
        <v>0.03837</v>
      </c>
    </row>
    <row r="670">
      <c r="A670" s="12" t="s">
        <v>6760</v>
      </c>
      <c r="G670" s="19">
        <f>IFERROR(__xludf.DUMMYFUNCTION("SPLIT(A668, "" |"")"),666.0)</f>
        <v>666</v>
      </c>
      <c r="H670" s="19">
        <f>IFERROR(__xludf.DUMMYFUNCTION("""COMPUTED_VALUE"""),0.00213)</f>
        <v>0.00213</v>
      </c>
      <c r="I670" s="19" t="str">
        <f>IFERROR(__xludf.DUMMYFUNCTION("""COMPUTED_VALUE"""),"-")</f>
        <v>-</v>
      </c>
      <c r="J670" s="19">
        <f>IFERROR(__xludf.DUMMYFUNCTION("""COMPUTED_VALUE"""),0.00192)</f>
        <v>0.00192</v>
      </c>
      <c r="K670" s="19">
        <f>IFERROR(__xludf.DUMMYFUNCTION("""COMPUTED_VALUE"""),0.03881)</f>
        <v>0.03881</v>
      </c>
      <c r="L670" s="19" t="str">
        <f>IFERROR(__xludf.DUMMYFUNCTION("""COMPUTED_VALUE"""),"-")</f>
        <v>-</v>
      </c>
      <c r="M670" s="19">
        <f>IFERROR(__xludf.DUMMYFUNCTION("""COMPUTED_VALUE"""),0.0401)</f>
        <v>0.0401</v>
      </c>
    </row>
    <row r="671">
      <c r="A671" s="12" t="s">
        <v>6761</v>
      </c>
      <c r="G671" s="19">
        <f>IFERROR(__xludf.DUMMYFUNCTION("SPLIT(A669, "" |"")"),667.0)</f>
        <v>667</v>
      </c>
      <c r="H671" s="19">
        <f>IFERROR(__xludf.DUMMYFUNCTION("""COMPUTED_VALUE"""),0.00211)</f>
        <v>0.00211</v>
      </c>
      <c r="I671" s="19" t="str">
        <f>IFERROR(__xludf.DUMMYFUNCTION("""COMPUTED_VALUE"""),"-")</f>
        <v>-</v>
      </c>
      <c r="J671" s="19">
        <f>IFERROR(__xludf.DUMMYFUNCTION("""COMPUTED_VALUE"""),0.00193)</f>
        <v>0.00193</v>
      </c>
      <c r="K671" s="19">
        <f>IFERROR(__xludf.DUMMYFUNCTION("""COMPUTED_VALUE"""),0.03998)</f>
        <v>0.03998</v>
      </c>
      <c r="L671" s="19" t="str">
        <f>IFERROR(__xludf.DUMMYFUNCTION("""COMPUTED_VALUE"""),"-")</f>
        <v>-</v>
      </c>
      <c r="M671" s="19">
        <f>IFERROR(__xludf.DUMMYFUNCTION("""COMPUTED_VALUE"""),0.03923)</f>
        <v>0.03923</v>
      </c>
    </row>
    <row r="672">
      <c r="A672" s="12" t="s">
        <v>6762</v>
      </c>
      <c r="G672" s="19">
        <f>IFERROR(__xludf.DUMMYFUNCTION("SPLIT(A670, "" |"")"),668.0)</f>
        <v>668</v>
      </c>
      <c r="H672" s="19">
        <f>IFERROR(__xludf.DUMMYFUNCTION("""COMPUTED_VALUE"""),0.00208)</f>
        <v>0.00208</v>
      </c>
      <c r="I672" s="19" t="str">
        <f>IFERROR(__xludf.DUMMYFUNCTION("""COMPUTED_VALUE"""),"-")</f>
        <v>-</v>
      </c>
      <c r="J672" s="19">
        <f>IFERROR(__xludf.DUMMYFUNCTION("""COMPUTED_VALUE"""),0.0019)</f>
        <v>0.0019</v>
      </c>
      <c r="K672" s="19">
        <f>IFERROR(__xludf.DUMMYFUNCTION("""COMPUTED_VALUE"""),0.04)</f>
        <v>0.04</v>
      </c>
      <c r="L672" s="19" t="str">
        <f>IFERROR(__xludf.DUMMYFUNCTION("""COMPUTED_VALUE"""),"-")</f>
        <v>-</v>
      </c>
      <c r="M672" s="19">
        <f>IFERROR(__xludf.DUMMYFUNCTION("""COMPUTED_VALUE"""),0.03809)</f>
        <v>0.03809</v>
      </c>
    </row>
    <row r="673">
      <c r="A673" s="12" t="s">
        <v>6763</v>
      </c>
      <c r="G673" s="19">
        <f>IFERROR(__xludf.DUMMYFUNCTION("SPLIT(A671, "" |"")"),669.0)</f>
        <v>669</v>
      </c>
      <c r="H673" s="19">
        <f>IFERROR(__xludf.DUMMYFUNCTION("""COMPUTED_VALUE"""),0.00209)</f>
        <v>0.00209</v>
      </c>
      <c r="I673" s="19" t="str">
        <f>IFERROR(__xludf.DUMMYFUNCTION("""COMPUTED_VALUE"""),"-")</f>
        <v>-</v>
      </c>
      <c r="J673" s="19">
        <f>IFERROR(__xludf.DUMMYFUNCTION("""COMPUTED_VALUE"""),0.00191)</f>
        <v>0.00191</v>
      </c>
      <c r="K673" s="19">
        <f>IFERROR(__xludf.DUMMYFUNCTION("""COMPUTED_VALUE"""),0.03999)</f>
        <v>0.03999</v>
      </c>
      <c r="L673" s="19" t="str">
        <f>IFERROR(__xludf.DUMMYFUNCTION("""COMPUTED_VALUE"""),"-")</f>
        <v>-</v>
      </c>
      <c r="M673" s="19">
        <f>IFERROR(__xludf.DUMMYFUNCTION("""COMPUTED_VALUE"""),0.03975)</f>
        <v>0.03975</v>
      </c>
    </row>
    <row r="674">
      <c r="A674" s="12" t="s">
        <v>6764</v>
      </c>
      <c r="G674" s="19">
        <f>IFERROR(__xludf.DUMMYFUNCTION("SPLIT(A672, "" |"")"),670.0)</f>
        <v>670</v>
      </c>
      <c r="H674" s="19">
        <f>IFERROR(__xludf.DUMMYFUNCTION("""COMPUTED_VALUE"""),0.00202)</f>
        <v>0.00202</v>
      </c>
      <c r="I674" s="19" t="str">
        <f>IFERROR(__xludf.DUMMYFUNCTION("""COMPUTED_VALUE"""),"-")</f>
        <v>-</v>
      </c>
      <c r="J674" s="19">
        <f>IFERROR(__xludf.DUMMYFUNCTION("""COMPUTED_VALUE"""),0.00193)</f>
        <v>0.00193</v>
      </c>
      <c r="K674" s="19">
        <f>IFERROR(__xludf.DUMMYFUNCTION("""COMPUTED_VALUE"""),0.03959)</f>
        <v>0.03959</v>
      </c>
      <c r="L674" s="19" t="str">
        <f>IFERROR(__xludf.DUMMYFUNCTION("""COMPUTED_VALUE"""),"-")</f>
        <v>-</v>
      </c>
      <c r="M674" s="19">
        <f>IFERROR(__xludf.DUMMYFUNCTION("""COMPUTED_VALUE"""),0.03973)</f>
        <v>0.03973</v>
      </c>
    </row>
    <row r="675">
      <c r="A675" s="12" t="s">
        <v>6765</v>
      </c>
      <c r="G675" s="19">
        <f>IFERROR(__xludf.DUMMYFUNCTION("SPLIT(A673, "" |"")"),671.0)</f>
        <v>671</v>
      </c>
      <c r="H675" s="19">
        <f>IFERROR(__xludf.DUMMYFUNCTION("""COMPUTED_VALUE"""),0.00205)</f>
        <v>0.00205</v>
      </c>
      <c r="I675" s="19" t="str">
        <f>IFERROR(__xludf.DUMMYFUNCTION("""COMPUTED_VALUE"""),"-")</f>
        <v>-</v>
      </c>
      <c r="J675" s="19">
        <f>IFERROR(__xludf.DUMMYFUNCTION("""COMPUTED_VALUE"""),0.00191)</f>
        <v>0.00191</v>
      </c>
      <c r="K675" s="19">
        <f>IFERROR(__xludf.DUMMYFUNCTION("""COMPUTED_VALUE"""),0.03954)</f>
        <v>0.03954</v>
      </c>
      <c r="L675" s="19" t="str">
        <f>IFERROR(__xludf.DUMMYFUNCTION("""COMPUTED_VALUE"""),"-")</f>
        <v>-</v>
      </c>
      <c r="M675" s="19">
        <f>IFERROR(__xludf.DUMMYFUNCTION("""COMPUTED_VALUE"""),0.03971)</f>
        <v>0.03971</v>
      </c>
    </row>
    <row r="676">
      <c r="A676" s="12" t="s">
        <v>6766</v>
      </c>
      <c r="G676" s="19">
        <f>IFERROR(__xludf.DUMMYFUNCTION("SPLIT(A674, "" |"")"),672.0)</f>
        <v>672</v>
      </c>
      <c r="H676" s="19">
        <f>IFERROR(__xludf.DUMMYFUNCTION("""COMPUTED_VALUE"""),0.00226)</f>
        <v>0.00226</v>
      </c>
      <c r="I676" s="19" t="str">
        <f>IFERROR(__xludf.DUMMYFUNCTION("""COMPUTED_VALUE"""),"-")</f>
        <v>-</v>
      </c>
      <c r="J676" s="19">
        <f>IFERROR(__xludf.DUMMYFUNCTION("""COMPUTED_VALUE"""),0.002)</f>
        <v>0.002</v>
      </c>
      <c r="K676" s="19">
        <f>IFERROR(__xludf.DUMMYFUNCTION("""COMPUTED_VALUE"""),0.03961)</f>
        <v>0.03961</v>
      </c>
      <c r="L676" s="19" t="str">
        <f>IFERROR(__xludf.DUMMYFUNCTION("""COMPUTED_VALUE"""),"-")</f>
        <v>-</v>
      </c>
      <c r="M676" s="19">
        <f>IFERROR(__xludf.DUMMYFUNCTION("""COMPUTED_VALUE"""),0.04012)</f>
        <v>0.04012</v>
      </c>
    </row>
    <row r="677">
      <c r="A677" s="12" t="s">
        <v>6767</v>
      </c>
      <c r="G677" s="19">
        <f>IFERROR(__xludf.DUMMYFUNCTION("SPLIT(A675, "" |"")"),673.0)</f>
        <v>673</v>
      </c>
      <c r="H677" s="19">
        <f>IFERROR(__xludf.DUMMYFUNCTION("""COMPUTED_VALUE"""),0.00219)</f>
        <v>0.00219</v>
      </c>
      <c r="I677" s="19" t="str">
        <f>IFERROR(__xludf.DUMMYFUNCTION("""COMPUTED_VALUE"""),"-")</f>
        <v>-</v>
      </c>
      <c r="J677" s="19">
        <f>IFERROR(__xludf.DUMMYFUNCTION("""COMPUTED_VALUE"""),0.0021)</f>
        <v>0.0021</v>
      </c>
      <c r="K677" s="19">
        <f>IFERROR(__xludf.DUMMYFUNCTION("""COMPUTED_VALUE"""),0.04001)</f>
        <v>0.04001</v>
      </c>
      <c r="L677" s="19" t="str">
        <f>IFERROR(__xludf.DUMMYFUNCTION("""COMPUTED_VALUE"""),"-")</f>
        <v>-</v>
      </c>
      <c r="M677" s="19">
        <f>IFERROR(__xludf.DUMMYFUNCTION("""COMPUTED_VALUE"""),0.03993)</f>
        <v>0.03993</v>
      </c>
    </row>
    <row r="678">
      <c r="A678" s="12" t="s">
        <v>6768</v>
      </c>
      <c r="G678" s="19">
        <f>IFERROR(__xludf.DUMMYFUNCTION("SPLIT(A676, "" |"")"),674.0)</f>
        <v>674</v>
      </c>
      <c r="H678" s="19">
        <f>IFERROR(__xludf.DUMMYFUNCTION("""COMPUTED_VALUE"""),0.00202)</f>
        <v>0.00202</v>
      </c>
      <c r="I678" s="19" t="str">
        <f>IFERROR(__xludf.DUMMYFUNCTION("""COMPUTED_VALUE"""),"-")</f>
        <v>-</v>
      </c>
      <c r="J678" s="19">
        <f>IFERROR(__xludf.DUMMYFUNCTION("""COMPUTED_VALUE"""),0.0019)</f>
        <v>0.0019</v>
      </c>
      <c r="K678" s="19">
        <f>IFERROR(__xludf.DUMMYFUNCTION("""COMPUTED_VALUE"""),0.03991)</f>
        <v>0.03991</v>
      </c>
      <c r="L678" s="19" t="str">
        <f>IFERROR(__xludf.DUMMYFUNCTION("""COMPUTED_VALUE"""),"-")</f>
        <v>-</v>
      </c>
      <c r="M678" s="19">
        <f>IFERROR(__xludf.DUMMYFUNCTION("""COMPUTED_VALUE"""),0.04011)</f>
        <v>0.04011</v>
      </c>
    </row>
    <row r="679">
      <c r="A679" s="12" t="s">
        <v>6769</v>
      </c>
      <c r="G679" s="19">
        <f>IFERROR(__xludf.DUMMYFUNCTION("SPLIT(A677, "" |"")"),675.0)</f>
        <v>675</v>
      </c>
      <c r="H679" s="19">
        <f>IFERROR(__xludf.DUMMYFUNCTION("""COMPUTED_VALUE"""),0.00208)</f>
        <v>0.00208</v>
      </c>
      <c r="I679" s="19" t="str">
        <f>IFERROR(__xludf.DUMMYFUNCTION("""COMPUTED_VALUE"""),"-")</f>
        <v>-</v>
      </c>
      <c r="J679" s="19">
        <f>IFERROR(__xludf.DUMMYFUNCTION("""COMPUTED_VALUE"""),0.0019)</f>
        <v>0.0019</v>
      </c>
      <c r="K679" s="19">
        <f>IFERROR(__xludf.DUMMYFUNCTION("""COMPUTED_VALUE"""),0.04)</f>
        <v>0.04</v>
      </c>
      <c r="L679" s="19" t="str">
        <f>IFERROR(__xludf.DUMMYFUNCTION("""COMPUTED_VALUE"""),"-")</f>
        <v>-</v>
      </c>
      <c r="M679" s="19">
        <f>IFERROR(__xludf.DUMMYFUNCTION("""COMPUTED_VALUE"""),0.04011)</f>
        <v>0.04011</v>
      </c>
    </row>
    <row r="680">
      <c r="A680" s="12" t="s">
        <v>6770</v>
      </c>
      <c r="G680" s="19">
        <f>IFERROR(__xludf.DUMMYFUNCTION("SPLIT(A678, "" |"")"),676.0)</f>
        <v>676</v>
      </c>
      <c r="H680" s="19">
        <f>IFERROR(__xludf.DUMMYFUNCTION("""COMPUTED_VALUE"""),0.00205)</f>
        <v>0.00205</v>
      </c>
      <c r="I680" s="19" t="str">
        <f>IFERROR(__xludf.DUMMYFUNCTION("""COMPUTED_VALUE"""),"-")</f>
        <v>-</v>
      </c>
      <c r="J680" s="19">
        <f>IFERROR(__xludf.DUMMYFUNCTION("""COMPUTED_VALUE"""),0.00193)</f>
        <v>0.00193</v>
      </c>
      <c r="K680" s="19">
        <f>IFERROR(__xludf.DUMMYFUNCTION("""COMPUTED_VALUE"""),0.03997)</f>
        <v>0.03997</v>
      </c>
      <c r="L680" s="19" t="str">
        <f>IFERROR(__xludf.DUMMYFUNCTION("""COMPUTED_VALUE"""),"-")</f>
        <v>-</v>
      </c>
      <c r="M680" s="19">
        <f>IFERROR(__xludf.DUMMYFUNCTION("""COMPUTED_VALUE"""),0.04043)</f>
        <v>0.04043</v>
      </c>
    </row>
    <row r="681">
      <c r="A681" s="12" t="s">
        <v>6771</v>
      </c>
      <c r="G681" s="19">
        <f>IFERROR(__xludf.DUMMYFUNCTION("SPLIT(A679, "" |"")"),677.0)</f>
        <v>677</v>
      </c>
      <c r="H681" s="19">
        <f>IFERROR(__xludf.DUMMYFUNCTION("""COMPUTED_VALUE"""),0.00207)</f>
        <v>0.00207</v>
      </c>
      <c r="I681" s="19" t="str">
        <f>IFERROR(__xludf.DUMMYFUNCTION("""COMPUTED_VALUE"""),"-")</f>
        <v>-</v>
      </c>
      <c r="J681" s="19">
        <f>IFERROR(__xludf.DUMMYFUNCTION("""COMPUTED_VALUE"""),0.00193)</f>
        <v>0.00193</v>
      </c>
      <c r="K681" s="19">
        <f>IFERROR(__xludf.DUMMYFUNCTION("""COMPUTED_VALUE"""),0.03989)</f>
        <v>0.03989</v>
      </c>
      <c r="L681" s="19" t="str">
        <f>IFERROR(__xludf.DUMMYFUNCTION("""COMPUTED_VALUE"""),"-")</f>
        <v>-</v>
      </c>
      <c r="M681" s="19">
        <f>IFERROR(__xludf.DUMMYFUNCTION("""COMPUTED_VALUE"""),0.04012)</f>
        <v>0.04012</v>
      </c>
    </row>
    <row r="682">
      <c r="A682" s="12" t="s">
        <v>6772</v>
      </c>
      <c r="G682" s="19">
        <f>IFERROR(__xludf.DUMMYFUNCTION("SPLIT(A680, "" |"")"),678.0)</f>
        <v>678</v>
      </c>
      <c r="H682" s="19">
        <f>IFERROR(__xludf.DUMMYFUNCTION("""COMPUTED_VALUE"""),0.00226)</f>
        <v>0.00226</v>
      </c>
      <c r="I682" s="19" t="str">
        <f>IFERROR(__xludf.DUMMYFUNCTION("""COMPUTED_VALUE"""),"-")</f>
        <v>-</v>
      </c>
      <c r="J682" s="19">
        <f>IFERROR(__xludf.DUMMYFUNCTION("""COMPUTED_VALUE"""),0.0021)</f>
        <v>0.0021</v>
      </c>
      <c r="K682" s="19">
        <f>IFERROR(__xludf.DUMMYFUNCTION("""COMPUTED_VALUE"""),0.03401)</f>
        <v>0.03401</v>
      </c>
      <c r="L682" s="19" t="str">
        <f>IFERROR(__xludf.DUMMYFUNCTION("""COMPUTED_VALUE"""),"-")</f>
        <v>-</v>
      </c>
      <c r="M682" s="19">
        <f>IFERROR(__xludf.DUMMYFUNCTION("""COMPUTED_VALUE"""),0.03918)</f>
        <v>0.03918</v>
      </c>
    </row>
    <row r="683">
      <c r="A683" s="12" t="s">
        <v>6773</v>
      </c>
      <c r="G683" s="19">
        <f>IFERROR(__xludf.DUMMYFUNCTION("SPLIT(A681, "" |"")"),679.0)</f>
        <v>679</v>
      </c>
      <c r="H683" s="19">
        <f>IFERROR(__xludf.DUMMYFUNCTION("""COMPUTED_VALUE"""),0.00215)</f>
        <v>0.00215</v>
      </c>
      <c r="I683" s="19" t="str">
        <f>IFERROR(__xludf.DUMMYFUNCTION("""COMPUTED_VALUE"""),"-")</f>
        <v>-</v>
      </c>
      <c r="J683" s="19">
        <f>IFERROR(__xludf.DUMMYFUNCTION("""COMPUTED_VALUE"""),0.00204)</f>
        <v>0.00204</v>
      </c>
      <c r="K683" s="19">
        <f>IFERROR(__xludf.DUMMYFUNCTION("""COMPUTED_VALUE"""),0.03952)</f>
        <v>0.03952</v>
      </c>
      <c r="L683" s="19" t="str">
        <f>IFERROR(__xludf.DUMMYFUNCTION("""COMPUTED_VALUE"""),"-")</f>
        <v>-</v>
      </c>
      <c r="M683" s="19">
        <f>IFERROR(__xludf.DUMMYFUNCTION("""COMPUTED_VALUE"""),0.04031)</f>
        <v>0.04031</v>
      </c>
    </row>
    <row r="684">
      <c r="A684" s="12" t="s">
        <v>6774</v>
      </c>
      <c r="G684" s="19">
        <f>IFERROR(__xludf.DUMMYFUNCTION("SPLIT(A682, "" |"")"),680.0)</f>
        <v>680</v>
      </c>
      <c r="H684" s="19">
        <f>IFERROR(__xludf.DUMMYFUNCTION("""COMPUTED_VALUE"""),0.00214)</f>
        <v>0.00214</v>
      </c>
      <c r="I684" s="19" t="str">
        <f>IFERROR(__xludf.DUMMYFUNCTION("""COMPUTED_VALUE"""),"-")</f>
        <v>-</v>
      </c>
      <c r="J684" s="19">
        <f>IFERROR(__xludf.DUMMYFUNCTION("""COMPUTED_VALUE"""),0.00194)</f>
        <v>0.00194</v>
      </c>
      <c r="K684" s="19">
        <f>IFERROR(__xludf.DUMMYFUNCTION("""COMPUTED_VALUE"""),0.03909)</f>
        <v>0.03909</v>
      </c>
      <c r="L684" s="19" t="str">
        <f>IFERROR(__xludf.DUMMYFUNCTION("""COMPUTED_VALUE"""),"-")</f>
        <v>-</v>
      </c>
      <c r="M684" s="19">
        <f>IFERROR(__xludf.DUMMYFUNCTION("""COMPUTED_VALUE"""),0.03712)</f>
        <v>0.03712</v>
      </c>
    </row>
    <row r="685">
      <c r="A685" s="12" t="s">
        <v>6775</v>
      </c>
      <c r="G685" s="19">
        <f>IFERROR(__xludf.DUMMYFUNCTION("SPLIT(A683, "" |"")"),681.0)</f>
        <v>681</v>
      </c>
      <c r="H685" s="19">
        <f>IFERROR(__xludf.DUMMYFUNCTION("""COMPUTED_VALUE"""),0.00217)</f>
        <v>0.00217</v>
      </c>
      <c r="I685" s="19" t="str">
        <f>IFERROR(__xludf.DUMMYFUNCTION("""COMPUTED_VALUE"""),"-")</f>
        <v>-</v>
      </c>
      <c r="J685" s="19">
        <f>IFERROR(__xludf.DUMMYFUNCTION("""COMPUTED_VALUE"""),0.00207)</f>
        <v>0.00207</v>
      </c>
      <c r="K685" s="19">
        <f>IFERROR(__xludf.DUMMYFUNCTION("""COMPUTED_VALUE"""),0.03988)</f>
        <v>0.03988</v>
      </c>
      <c r="L685" s="19" t="str">
        <f>IFERROR(__xludf.DUMMYFUNCTION("""COMPUTED_VALUE"""),"-")</f>
        <v>-</v>
      </c>
      <c r="M685" s="19">
        <f>IFERROR(__xludf.DUMMYFUNCTION("""COMPUTED_VALUE"""),0.03906)</f>
        <v>0.03906</v>
      </c>
    </row>
    <row r="686">
      <c r="A686" s="12" t="s">
        <v>6776</v>
      </c>
      <c r="G686" s="19">
        <f>IFERROR(__xludf.DUMMYFUNCTION("SPLIT(A684, "" |"")"),682.0)</f>
        <v>682</v>
      </c>
      <c r="H686" s="19">
        <f>IFERROR(__xludf.DUMMYFUNCTION("""COMPUTED_VALUE"""),0.00211)</f>
        <v>0.00211</v>
      </c>
      <c r="I686" s="19" t="str">
        <f>IFERROR(__xludf.DUMMYFUNCTION("""COMPUTED_VALUE"""),"-")</f>
        <v>-</v>
      </c>
      <c r="J686" s="19">
        <f>IFERROR(__xludf.DUMMYFUNCTION("""COMPUTED_VALUE"""),0.00199)</f>
        <v>0.00199</v>
      </c>
      <c r="K686" s="19">
        <f>IFERROR(__xludf.DUMMYFUNCTION("""COMPUTED_VALUE"""),0.03751)</f>
        <v>0.03751</v>
      </c>
      <c r="L686" s="19" t="str">
        <f>IFERROR(__xludf.DUMMYFUNCTION("""COMPUTED_VALUE"""),"-")</f>
        <v>-</v>
      </c>
      <c r="M686" s="19">
        <f>IFERROR(__xludf.DUMMYFUNCTION("""COMPUTED_VALUE"""),0.03746)</f>
        <v>0.03746</v>
      </c>
    </row>
    <row r="687">
      <c r="A687" s="12" t="s">
        <v>6777</v>
      </c>
      <c r="G687" s="19">
        <f>IFERROR(__xludf.DUMMYFUNCTION("SPLIT(A685, "" |"")"),683.0)</f>
        <v>683</v>
      </c>
      <c r="H687" s="19">
        <f>IFERROR(__xludf.DUMMYFUNCTION("""COMPUTED_VALUE"""),0.00208)</f>
        <v>0.00208</v>
      </c>
      <c r="I687" s="19" t="str">
        <f>IFERROR(__xludf.DUMMYFUNCTION("""COMPUTED_VALUE"""),"-")</f>
        <v>-</v>
      </c>
      <c r="J687" s="19">
        <f>IFERROR(__xludf.DUMMYFUNCTION("""COMPUTED_VALUE"""),0.00191)</f>
        <v>0.00191</v>
      </c>
      <c r="K687" s="19">
        <f>IFERROR(__xludf.DUMMYFUNCTION("""COMPUTED_VALUE"""),0.0376)</f>
        <v>0.0376</v>
      </c>
      <c r="L687" s="19" t="str">
        <f>IFERROR(__xludf.DUMMYFUNCTION("""COMPUTED_VALUE"""),"-")</f>
        <v>-</v>
      </c>
      <c r="M687" s="19">
        <f>IFERROR(__xludf.DUMMYFUNCTION("""COMPUTED_VALUE"""),0.03747)</f>
        <v>0.03747</v>
      </c>
    </row>
    <row r="688">
      <c r="A688" s="12" t="s">
        <v>6778</v>
      </c>
      <c r="G688" s="19">
        <f>IFERROR(__xludf.DUMMYFUNCTION("SPLIT(A686, "" |"")"),684.0)</f>
        <v>684</v>
      </c>
      <c r="H688" s="19">
        <f>IFERROR(__xludf.DUMMYFUNCTION("""COMPUTED_VALUE"""),0.00209)</f>
        <v>0.00209</v>
      </c>
      <c r="I688" s="19" t="str">
        <f>IFERROR(__xludf.DUMMYFUNCTION("""COMPUTED_VALUE"""),"-")</f>
        <v>-</v>
      </c>
      <c r="J688" s="19">
        <f>IFERROR(__xludf.DUMMYFUNCTION("""COMPUTED_VALUE"""),0.0019)</f>
        <v>0.0019</v>
      </c>
      <c r="K688" s="19">
        <f>IFERROR(__xludf.DUMMYFUNCTION("""COMPUTED_VALUE"""),0.03981)</f>
        <v>0.03981</v>
      </c>
      <c r="L688" s="19" t="str">
        <f>IFERROR(__xludf.DUMMYFUNCTION("""COMPUTED_VALUE"""),"-")</f>
        <v>-</v>
      </c>
      <c r="M688" s="19">
        <f>IFERROR(__xludf.DUMMYFUNCTION("""COMPUTED_VALUE"""),0.04039)</f>
        <v>0.04039</v>
      </c>
    </row>
    <row r="689">
      <c r="A689" s="12" t="s">
        <v>6779</v>
      </c>
      <c r="G689" s="19">
        <f>IFERROR(__xludf.DUMMYFUNCTION("SPLIT(A687, "" |"")"),685.0)</f>
        <v>685</v>
      </c>
      <c r="H689" s="19">
        <f>IFERROR(__xludf.DUMMYFUNCTION("""COMPUTED_VALUE"""),0.00211)</f>
        <v>0.00211</v>
      </c>
      <c r="I689" s="19" t="str">
        <f>IFERROR(__xludf.DUMMYFUNCTION("""COMPUTED_VALUE"""),"-")</f>
        <v>-</v>
      </c>
      <c r="J689" s="19">
        <f>IFERROR(__xludf.DUMMYFUNCTION("""COMPUTED_VALUE"""),0.00208)</f>
        <v>0.00208</v>
      </c>
      <c r="K689" s="19">
        <f>IFERROR(__xludf.DUMMYFUNCTION("""COMPUTED_VALUE"""),0.04004)</f>
        <v>0.04004</v>
      </c>
      <c r="L689" s="19" t="str">
        <f>IFERROR(__xludf.DUMMYFUNCTION("""COMPUTED_VALUE"""),"-")</f>
        <v>-</v>
      </c>
      <c r="M689" s="19">
        <f>IFERROR(__xludf.DUMMYFUNCTION("""COMPUTED_VALUE"""),0.04025)</f>
        <v>0.04025</v>
      </c>
    </row>
    <row r="690">
      <c r="A690" s="12" t="s">
        <v>6780</v>
      </c>
      <c r="G690" s="19">
        <f>IFERROR(__xludf.DUMMYFUNCTION("SPLIT(A688, "" |"")"),686.0)</f>
        <v>686</v>
      </c>
      <c r="H690" s="19">
        <f>IFERROR(__xludf.DUMMYFUNCTION("""COMPUTED_VALUE"""),0.00215)</f>
        <v>0.00215</v>
      </c>
      <c r="I690" s="19" t="str">
        <f>IFERROR(__xludf.DUMMYFUNCTION("""COMPUTED_VALUE"""),"-")</f>
        <v>-</v>
      </c>
      <c r="J690" s="19">
        <f>IFERROR(__xludf.DUMMYFUNCTION("""COMPUTED_VALUE"""),0.00236)</f>
        <v>0.00236</v>
      </c>
      <c r="K690" s="19">
        <f>IFERROR(__xludf.DUMMYFUNCTION("""COMPUTED_VALUE"""),0.03974)</f>
        <v>0.03974</v>
      </c>
      <c r="L690" s="19" t="str">
        <f>IFERROR(__xludf.DUMMYFUNCTION("""COMPUTED_VALUE"""),"-")</f>
        <v>-</v>
      </c>
      <c r="M690" s="19">
        <f>IFERROR(__xludf.DUMMYFUNCTION("""COMPUTED_VALUE"""),0.03995)</f>
        <v>0.03995</v>
      </c>
    </row>
    <row r="691">
      <c r="A691" s="12" t="s">
        <v>6781</v>
      </c>
      <c r="G691" s="19">
        <f>IFERROR(__xludf.DUMMYFUNCTION("SPLIT(A689, "" |"")"),687.0)</f>
        <v>687</v>
      </c>
      <c r="H691" s="19">
        <f>IFERROR(__xludf.DUMMYFUNCTION("""COMPUTED_VALUE"""),0.00206)</f>
        <v>0.00206</v>
      </c>
      <c r="I691" s="19" t="str">
        <f>IFERROR(__xludf.DUMMYFUNCTION("""COMPUTED_VALUE"""),"-")</f>
        <v>-</v>
      </c>
      <c r="J691" s="19">
        <f>IFERROR(__xludf.DUMMYFUNCTION("""COMPUTED_VALUE"""),0.0019)</f>
        <v>0.0019</v>
      </c>
      <c r="K691" s="19">
        <f>IFERROR(__xludf.DUMMYFUNCTION("""COMPUTED_VALUE"""),0.03962)</f>
        <v>0.03962</v>
      </c>
      <c r="L691" s="19" t="str">
        <f>IFERROR(__xludf.DUMMYFUNCTION("""COMPUTED_VALUE"""),"-")</f>
        <v>-</v>
      </c>
      <c r="M691" s="19">
        <f>IFERROR(__xludf.DUMMYFUNCTION("""COMPUTED_VALUE"""),0.04022)</f>
        <v>0.04022</v>
      </c>
    </row>
    <row r="692">
      <c r="A692" s="12" t="s">
        <v>6782</v>
      </c>
      <c r="G692" s="19">
        <f>IFERROR(__xludf.DUMMYFUNCTION("SPLIT(A690, "" |"")"),688.0)</f>
        <v>688</v>
      </c>
      <c r="H692" s="19">
        <f>IFERROR(__xludf.DUMMYFUNCTION("""COMPUTED_VALUE"""),0.002)</f>
        <v>0.002</v>
      </c>
      <c r="I692" s="19" t="str">
        <f>IFERROR(__xludf.DUMMYFUNCTION("""COMPUTED_VALUE"""),"-")</f>
        <v>-</v>
      </c>
      <c r="J692" s="19">
        <f>IFERROR(__xludf.DUMMYFUNCTION("""COMPUTED_VALUE"""),0.0019)</f>
        <v>0.0019</v>
      </c>
      <c r="K692" s="19">
        <f>IFERROR(__xludf.DUMMYFUNCTION("""COMPUTED_VALUE"""),0.03958)</f>
        <v>0.03958</v>
      </c>
      <c r="L692" s="19" t="str">
        <f>IFERROR(__xludf.DUMMYFUNCTION("""COMPUTED_VALUE"""),"-")</f>
        <v>-</v>
      </c>
      <c r="M692" s="19">
        <f>IFERROR(__xludf.DUMMYFUNCTION("""COMPUTED_VALUE"""),0.04008)</f>
        <v>0.04008</v>
      </c>
    </row>
    <row r="693">
      <c r="A693" s="12" t="s">
        <v>6783</v>
      </c>
      <c r="G693" s="19">
        <f>IFERROR(__xludf.DUMMYFUNCTION("SPLIT(A691, "" |"")"),689.0)</f>
        <v>689</v>
      </c>
      <c r="H693" s="19">
        <f>IFERROR(__xludf.DUMMYFUNCTION("""COMPUTED_VALUE"""),0.00206)</f>
        <v>0.00206</v>
      </c>
      <c r="I693" s="19" t="str">
        <f>IFERROR(__xludf.DUMMYFUNCTION("""COMPUTED_VALUE"""),"-")</f>
        <v>-</v>
      </c>
      <c r="J693" s="19">
        <f>IFERROR(__xludf.DUMMYFUNCTION("""COMPUTED_VALUE"""),0.00192)</f>
        <v>0.00192</v>
      </c>
      <c r="K693" s="19">
        <f>IFERROR(__xludf.DUMMYFUNCTION("""COMPUTED_VALUE"""),0.03954)</f>
        <v>0.03954</v>
      </c>
      <c r="L693" s="19" t="str">
        <f>IFERROR(__xludf.DUMMYFUNCTION("""COMPUTED_VALUE"""),"-")</f>
        <v>-</v>
      </c>
      <c r="M693" s="19">
        <f>IFERROR(__xludf.DUMMYFUNCTION("""COMPUTED_VALUE"""),0.03789)</f>
        <v>0.03789</v>
      </c>
    </row>
    <row r="694">
      <c r="A694" s="12" t="s">
        <v>6784</v>
      </c>
      <c r="G694" s="19">
        <f>IFERROR(__xludf.DUMMYFUNCTION("SPLIT(A692, "" |"")"),690.0)</f>
        <v>690</v>
      </c>
      <c r="H694" s="19">
        <f>IFERROR(__xludf.DUMMYFUNCTION("""COMPUTED_VALUE"""),0.00202)</f>
        <v>0.00202</v>
      </c>
      <c r="I694" s="19" t="str">
        <f>IFERROR(__xludf.DUMMYFUNCTION("""COMPUTED_VALUE"""),"-")</f>
        <v>-</v>
      </c>
      <c r="J694" s="19">
        <f>IFERROR(__xludf.DUMMYFUNCTION("""COMPUTED_VALUE"""),0.00205)</f>
        <v>0.00205</v>
      </c>
      <c r="K694" s="19">
        <f>IFERROR(__xludf.DUMMYFUNCTION("""COMPUTED_VALUE"""),0.03987)</f>
        <v>0.03987</v>
      </c>
      <c r="L694" s="19" t="str">
        <f>IFERROR(__xludf.DUMMYFUNCTION("""COMPUTED_VALUE"""),"-")</f>
        <v>-</v>
      </c>
      <c r="M694" s="19">
        <f>IFERROR(__xludf.DUMMYFUNCTION("""COMPUTED_VALUE"""),0.0397)</f>
        <v>0.0397</v>
      </c>
    </row>
    <row r="695">
      <c r="A695" s="12" t="s">
        <v>6785</v>
      </c>
      <c r="G695" s="19">
        <f>IFERROR(__xludf.DUMMYFUNCTION("SPLIT(A693, "" |"")"),691.0)</f>
        <v>691</v>
      </c>
      <c r="H695" s="19">
        <f>IFERROR(__xludf.DUMMYFUNCTION("""COMPUTED_VALUE"""),0.00202)</f>
        <v>0.00202</v>
      </c>
      <c r="I695" s="19" t="str">
        <f>IFERROR(__xludf.DUMMYFUNCTION("""COMPUTED_VALUE"""),"-")</f>
        <v>-</v>
      </c>
      <c r="J695" s="19">
        <f>IFERROR(__xludf.DUMMYFUNCTION("""COMPUTED_VALUE"""),0.00188)</f>
        <v>0.00188</v>
      </c>
      <c r="K695" s="19">
        <f>IFERROR(__xludf.DUMMYFUNCTION("""COMPUTED_VALUE"""),0.03997)</f>
        <v>0.03997</v>
      </c>
      <c r="L695" s="19" t="str">
        <f>IFERROR(__xludf.DUMMYFUNCTION("""COMPUTED_VALUE"""),"-")</f>
        <v>-</v>
      </c>
      <c r="M695" s="19">
        <f>IFERROR(__xludf.DUMMYFUNCTION("""COMPUTED_VALUE"""),0.03586)</f>
        <v>0.03586</v>
      </c>
    </row>
    <row r="696">
      <c r="A696" s="12" t="s">
        <v>6786</v>
      </c>
      <c r="G696" s="19">
        <f>IFERROR(__xludf.DUMMYFUNCTION("SPLIT(A694, "" |"")"),692.0)</f>
        <v>692</v>
      </c>
      <c r="H696" s="19">
        <f>IFERROR(__xludf.DUMMYFUNCTION("""COMPUTED_VALUE"""),0.00218)</f>
        <v>0.00218</v>
      </c>
      <c r="I696" s="19" t="str">
        <f>IFERROR(__xludf.DUMMYFUNCTION("""COMPUTED_VALUE"""),"-")</f>
        <v>-</v>
      </c>
      <c r="J696" s="19">
        <f>IFERROR(__xludf.DUMMYFUNCTION("""COMPUTED_VALUE"""),0.00192)</f>
        <v>0.00192</v>
      </c>
      <c r="K696" s="19">
        <f>IFERROR(__xludf.DUMMYFUNCTION("""COMPUTED_VALUE"""),0.04013)</f>
        <v>0.04013</v>
      </c>
      <c r="L696" s="19" t="str">
        <f>IFERROR(__xludf.DUMMYFUNCTION("""COMPUTED_VALUE"""),"-")</f>
        <v>-</v>
      </c>
      <c r="M696" s="19">
        <f>IFERROR(__xludf.DUMMYFUNCTION("""COMPUTED_VALUE"""),0.04021)</f>
        <v>0.04021</v>
      </c>
    </row>
    <row r="697">
      <c r="A697" s="12" t="s">
        <v>6787</v>
      </c>
      <c r="G697" s="19">
        <f>IFERROR(__xludf.DUMMYFUNCTION("SPLIT(A695, "" |"")"),693.0)</f>
        <v>693</v>
      </c>
      <c r="H697" s="19">
        <f>IFERROR(__xludf.DUMMYFUNCTION("""COMPUTED_VALUE"""),0.0021)</f>
        <v>0.0021</v>
      </c>
      <c r="I697" s="19" t="str">
        <f>IFERROR(__xludf.DUMMYFUNCTION("""COMPUTED_VALUE"""),"-")</f>
        <v>-</v>
      </c>
      <c r="J697" s="19">
        <f>IFERROR(__xludf.DUMMYFUNCTION("""COMPUTED_VALUE"""),0.0019)</f>
        <v>0.0019</v>
      </c>
      <c r="K697" s="19">
        <f>IFERROR(__xludf.DUMMYFUNCTION("""COMPUTED_VALUE"""),0.03652)</f>
        <v>0.03652</v>
      </c>
      <c r="L697" s="19" t="str">
        <f>IFERROR(__xludf.DUMMYFUNCTION("""COMPUTED_VALUE"""),"-")</f>
        <v>-</v>
      </c>
      <c r="M697" s="19">
        <f>IFERROR(__xludf.DUMMYFUNCTION("""COMPUTED_VALUE"""),0.03987)</f>
        <v>0.03987</v>
      </c>
    </row>
    <row r="698">
      <c r="A698" s="12" t="s">
        <v>6788</v>
      </c>
      <c r="G698" s="19">
        <f>IFERROR(__xludf.DUMMYFUNCTION("SPLIT(A696, "" |"")"),694.0)</f>
        <v>694</v>
      </c>
      <c r="H698" s="19">
        <f>IFERROR(__xludf.DUMMYFUNCTION("""COMPUTED_VALUE"""),0.00205)</f>
        <v>0.00205</v>
      </c>
      <c r="I698" s="19" t="str">
        <f>IFERROR(__xludf.DUMMYFUNCTION("""COMPUTED_VALUE"""),"-")</f>
        <v>-</v>
      </c>
      <c r="J698" s="19">
        <f>IFERROR(__xludf.DUMMYFUNCTION("""COMPUTED_VALUE"""),0.00193)</f>
        <v>0.00193</v>
      </c>
      <c r="K698" s="19">
        <f>IFERROR(__xludf.DUMMYFUNCTION("""COMPUTED_VALUE"""),0.04012)</f>
        <v>0.04012</v>
      </c>
      <c r="L698" s="19" t="str">
        <f>IFERROR(__xludf.DUMMYFUNCTION("""COMPUTED_VALUE"""),"-")</f>
        <v>-</v>
      </c>
      <c r="M698" s="19">
        <f>IFERROR(__xludf.DUMMYFUNCTION("""COMPUTED_VALUE"""),0.04032)</f>
        <v>0.04032</v>
      </c>
    </row>
    <row r="699">
      <c r="A699" s="12" t="s">
        <v>6789</v>
      </c>
      <c r="G699" s="19">
        <f>IFERROR(__xludf.DUMMYFUNCTION("SPLIT(A697, "" |"")"),695.0)</f>
        <v>695</v>
      </c>
      <c r="H699" s="19">
        <f>IFERROR(__xludf.DUMMYFUNCTION("""COMPUTED_VALUE"""),0.00212)</f>
        <v>0.00212</v>
      </c>
      <c r="I699" s="19" t="str">
        <f>IFERROR(__xludf.DUMMYFUNCTION("""COMPUTED_VALUE"""),"-")</f>
        <v>-</v>
      </c>
      <c r="J699" s="19">
        <f>IFERROR(__xludf.DUMMYFUNCTION("""COMPUTED_VALUE"""),0.00191)</f>
        <v>0.00191</v>
      </c>
      <c r="K699" s="19">
        <f>IFERROR(__xludf.DUMMYFUNCTION("""COMPUTED_VALUE"""),0.03999)</f>
        <v>0.03999</v>
      </c>
      <c r="L699" s="19" t="str">
        <f>IFERROR(__xludf.DUMMYFUNCTION("""COMPUTED_VALUE"""),"-")</f>
        <v>-</v>
      </c>
      <c r="M699" s="19">
        <f>IFERROR(__xludf.DUMMYFUNCTION("""COMPUTED_VALUE"""),0.03853)</f>
        <v>0.03853</v>
      </c>
    </row>
    <row r="700">
      <c r="A700" s="12" t="s">
        <v>6790</v>
      </c>
      <c r="G700" s="19">
        <f>IFERROR(__xludf.DUMMYFUNCTION("SPLIT(A698, "" |"")"),696.0)</f>
        <v>696</v>
      </c>
      <c r="H700" s="19">
        <f>IFERROR(__xludf.DUMMYFUNCTION("""COMPUTED_VALUE"""),0.00209)</f>
        <v>0.00209</v>
      </c>
      <c r="I700" s="19" t="str">
        <f>IFERROR(__xludf.DUMMYFUNCTION("""COMPUTED_VALUE"""),"-")</f>
        <v>-</v>
      </c>
      <c r="J700" s="19">
        <f>IFERROR(__xludf.DUMMYFUNCTION("""COMPUTED_VALUE"""),0.00189)</f>
        <v>0.00189</v>
      </c>
      <c r="K700" s="19">
        <f>IFERROR(__xludf.DUMMYFUNCTION("""COMPUTED_VALUE"""),0.03994)</f>
        <v>0.03994</v>
      </c>
      <c r="L700" s="19" t="str">
        <f>IFERROR(__xludf.DUMMYFUNCTION("""COMPUTED_VALUE"""),"-")</f>
        <v>-</v>
      </c>
      <c r="M700" s="19">
        <f>IFERROR(__xludf.DUMMYFUNCTION("""COMPUTED_VALUE"""),0.03782)</f>
        <v>0.03782</v>
      </c>
    </row>
    <row r="701">
      <c r="A701" s="12" t="s">
        <v>6791</v>
      </c>
      <c r="G701" s="19">
        <f>IFERROR(__xludf.DUMMYFUNCTION("SPLIT(A699, "" |"")"),697.0)</f>
        <v>697</v>
      </c>
      <c r="H701" s="19">
        <f>IFERROR(__xludf.DUMMYFUNCTION("""COMPUTED_VALUE"""),0.00209)</f>
        <v>0.00209</v>
      </c>
      <c r="I701" s="19" t="str">
        <f>IFERROR(__xludf.DUMMYFUNCTION("""COMPUTED_VALUE"""),"-")</f>
        <v>-</v>
      </c>
      <c r="J701" s="19">
        <f>IFERROR(__xludf.DUMMYFUNCTION("""COMPUTED_VALUE"""),0.0019)</f>
        <v>0.0019</v>
      </c>
      <c r="K701" s="19">
        <f>IFERROR(__xludf.DUMMYFUNCTION("""COMPUTED_VALUE"""),0.03952)</f>
        <v>0.03952</v>
      </c>
      <c r="L701" s="19" t="str">
        <f>IFERROR(__xludf.DUMMYFUNCTION("""COMPUTED_VALUE"""),"-")</f>
        <v>-</v>
      </c>
      <c r="M701" s="19">
        <f>IFERROR(__xludf.DUMMYFUNCTION("""COMPUTED_VALUE"""),0.03959)</f>
        <v>0.03959</v>
      </c>
    </row>
    <row r="702">
      <c r="A702" s="12" t="s">
        <v>6792</v>
      </c>
      <c r="G702" s="19">
        <f>IFERROR(__xludf.DUMMYFUNCTION("SPLIT(A700, "" |"")"),698.0)</f>
        <v>698</v>
      </c>
      <c r="H702" s="19">
        <f>IFERROR(__xludf.DUMMYFUNCTION("""COMPUTED_VALUE"""),0.00211)</f>
        <v>0.00211</v>
      </c>
      <c r="I702" s="19" t="str">
        <f>IFERROR(__xludf.DUMMYFUNCTION("""COMPUTED_VALUE"""),"-")</f>
        <v>-</v>
      </c>
      <c r="J702" s="19">
        <f>IFERROR(__xludf.DUMMYFUNCTION("""COMPUTED_VALUE"""),0.0019)</f>
        <v>0.0019</v>
      </c>
      <c r="K702" s="19">
        <f>IFERROR(__xludf.DUMMYFUNCTION("""COMPUTED_VALUE"""),0.03986)</f>
        <v>0.03986</v>
      </c>
      <c r="L702" s="19" t="str">
        <f>IFERROR(__xludf.DUMMYFUNCTION("""COMPUTED_VALUE"""),"-")</f>
        <v>-</v>
      </c>
      <c r="M702" s="19">
        <f>IFERROR(__xludf.DUMMYFUNCTION("""COMPUTED_VALUE"""),0.03964)</f>
        <v>0.03964</v>
      </c>
    </row>
    <row r="703">
      <c r="A703" s="12" t="s">
        <v>6793</v>
      </c>
      <c r="G703" s="19">
        <f>IFERROR(__xludf.DUMMYFUNCTION("SPLIT(A701, "" |"")"),699.0)</f>
        <v>699</v>
      </c>
      <c r="H703" s="19">
        <f>IFERROR(__xludf.DUMMYFUNCTION("""COMPUTED_VALUE"""),0.00211)</f>
        <v>0.00211</v>
      </c>
      <c r="I703" s="19" t="str">
        <f>IFERROR(__xludf.DUMMYFUNCTION("""COMPUTED_VALUE"""),"-")</f>
        <v>-</v>
      </c>
      <c r="J703" s="19">
        <f>IFERROR(__xludf.DUMMYFUNCTION("""COMPUTED_VALUE"""),0.00192)</f>
        <v>0.00192</v>
      </c>
      <c r="K703" s="19">
        <f>IFERROR(__xludf.DUMMYFUNCTION("""COMPUTED_VALUE"""),0.03962)</f>
        <v>0.03962</v>
      </c>
      <c r="L703" s="19" t="str">
        <f>IFERROR(__xludf.DUMMYFUNCTION("""COMPUTED_VALUE"""),"-")</f>
        <v>-</v>
      </c>
      <c r="M703" s="19">
        <f>IFERROR(__xludf.DUMMYFUNCTION("""COMPUTED_VALUE"""),0.0399)</f>
        <v>0.0399</v>
      </c>
    </row>
    <row r="704">
      <c r="A704" s="12" t="s">
        <v>6794</v>
      </c>
      <c r="G704" s="19">
        <f>IFERROR(__xludf.DUMMYFUNCTION("SPLIT(A702, "" |"")"),700.0)</f>
        <v>700</v>
      </c>
      <c r="H704" s="19">
        <f>IFERROR(__xludf.DUMMYFUNCTION("""COMPUTED_VALUE"""),0.00214)</f>
        <v>0.00214</v>
      </c>
      <c r="I704" s="19" t="str">
        <f>IFERROR(__xludf.DUMMYFUNCTION("""COMPUTED_VALUE"""),"-")</f>
        <v>-</v>
      </c>
      <c r="J704" s="19">
        <f>IFERROR(__xludf.DUMMYFUNCTION("""COMPUTED_VALUE"""),0.00191)</f>
        <v>0.00191</v>
      </c>
      <c r="K704" s="19">
        <f>IFERROR(__xludf.DUMMYFUNCTION("""COMPUTED_VALUE"""),0.03814)</f>
        <v>0.03814</v>
      </c>
      <c r="L704" s="19" t="str">
        <f>IFERROR(__xludf.DUMMYFUNCTION("""COMPUTED_VALUE"""),"-")</f>
        <v>-</v>
      </c>
      <c r="M704" s="19">
        <f>IFERROR(__xludf.DUMMYFUNCTION("""COMPUTED_VALUE"""),0.03825)</f>
        <v>0.03825</v>
      </c>
    </row>
    <row r="705">
      <c r="A705" s="12" t="s">
        <v>6795</v>
      </c>
      <c r="G705" s="19">
        <f>IFERROR(__xludf.DUMMYFUNCTION("SPLIT(A703, "" |"")"),701.0)</f>
        <v>701</v>
      </c>
      <c r="H705" s="19">
        <f>IFERROR(__xludf.DUMMYFUNCTION("""COMPUTED_VALUE"""),0.00208)</f>
        <v>0.00208</v>
      </c>
      <c r="I705" s="19" t="str">
        <f>IFERROR(__xludf.DUMMYFUNCTION("""COMPUTED_VALUE"""),"-")</f>
        <v>-</v>
      </c>
      <c r="J705" s="19">
        <f>IFERROR(__xludf.DUMMYFUNCTION("""COMPUTED_VALUE"""),0.00189)</f>
        <v>0.00189</v>
      </c>
      <c r="K705" s="19">
        <f>IFERROR(__xludf.DUMMYFUNCTION("""COMPUTED_VALUE"""),0.03966)</f>
        <v>0.03966</v>
      </c>
      <c r="L705" s="19" t="str">
        <f>IFERROR(__xludf.DUMMYFUNCTION("""COMPUTED_VALUE"""),"-")</f>
        <v>-</v>
      </c>
      <c r="M705" s="19">
        <f>IFERROR(__xludf.DUMMYFUNCTION("""COMPUTED_VALUE"""),0.03981)</f>
        <v>0.03981</v>
      </c>
    </row>
    <row r="706">
      <c r="A706" s="12" t="s">
        <v>6796</v>
      </c>
      <c r="G706" s="19">
        <f>IFERROR(__xludf.DUMMYFUNCTION("SPLIT(A704, "" |"")"),702.0)</f>
        <v>702</v>
      </c>
      <c r="H706" s="19">
        <f>IFERROR(__xludf.DUMMYFUNCTION("""COMPUTED_VALUE"""),0.00205)</f>
        <v>0.00205</v>
      </c>
      <c r="I706" s="19" t="str">
        <f>IFERROR(__xludf.DUMMYFUNCTION("""COMPUTED_VALUE"""),"-")</f>
        <v>-</v>
      </c>
      <c r="J706" s="19">
        <f>IFERROR(__xludf.DUMMYFUNCTION("""COMPUTED_VALUE"""),0.00192)</f>
        <v>0.00192</v>
      </c>
      <c r="K706" s="19">
        <f>IFERROR(__xludf.DUMMYFUNCTION("""COMPUTED_VALUE"""),0.03958)</f>
        <v>0.03958</v>
      </c>
      <c r="L706" s="19" t="str">
        <f>IFERROR(__xludf.DUMMYFUNCTION("""COMPUTED_VALUE"""),"-")</f>
        <v>-</v>
      </c>
      <c r="M706" s="19">
        <f>IFERROR(__xludf.DUMMYFUNCTION("""COMPUTED_VALUE"""),0.03976)</f>
        <v>0.03976</v>
      </c>
    </row>
    <row r="707">
      <c r="A707" s="12" t="s">
        <v>6797</v>
      </c>
      <c r="G707" s="19">
        <f>IFERROR(__xludf.DUMMYFUNCTION("SPLIT(A705, "" |"")"),703.0)</f>
        <v>703</v>
      </c>
      <c r="H707" s="19">
        <f>IFERROR(__xludf.DUMMYFUNCTION("""COMPUTED_VALUE"""),0.00207)</f>
        <v>0.00207</v>
      </c>
      <c r="I707" s="19" t="str">
        <f>IFERROR(__xludf.DUMMYFUNCTION("""COMPUTED_VALUE"""),"-")</f>
        <v>-</v>
      </c>
      <c r="J707" s="19">
        <f>IFERROR(__xludf.DUMMYFUNCTION("""COMPUTED_VALUE"""),0.00212)</f>
        <v>0.00212</v>
      </c>
      <c r="K707" s="19">
        <f>IFERROR(__xludf.DUMMYFUNCTION("""COMPUTED_VALUE"""),0.03925)</f>
        <v>0.03925</v>
      </c>
      <c r="L707" s="19" t="str">
        <f>IFERROR(__xludf.DUMMYFUNCTION("""COMPUTED_VALUE"""),"-")</f>
        <v>-</v>
      </c>
      <c r="M707" s="19">
        <f>IFERROR(__xludf.DUMMYFUNCTION("""COMPUTED_VALUE"""),0.03937)</f>
        <v>0.03937</v>
      </c>
    </row>
    <row r="708">
      <c r="A708" s="12" t="s">
        <v>6798</v>
      </c>
      <c r="G708" s="19">
        <f>IFERROR(__xludf.DUMMYFUNCTION("SPLIT(A706, "" |"")"),704.0)</f>
        <v>704</v>
      </c>
      <c r="H708" s="19">
        <f>IFERROR(__xludf.DUMMYFUNCTION("""COMPUTED_VALUE"""),0.0021)</f>
        <v>0.0021</v>
      </c>
      <c r="I708" s="19" t="str">
        <f>IFERROR(__xludf.DUMMYFUNCTION("""COMPUTED_VALUE"""),"-")</f>
        <v>-</v>
      </c>
      <c r="J708" s="19">
        <f>IFERROR(__xludf.DUMMYFUNCTION("""COMPUTED_VALUE"""),0.00191)</f>
        <v>0.00191</v>
      </c>
      <c r="K708" s="19">
        <f>IFERROR(__xludf.DUMMYFUNCTION("""COMPUTED_VALUE"""),0.03955)</f>
        <v>0.03955</v>
      </c>
      <c r="L708" s="19" t="str">
        <f>IFERROR(__xludf.DUMMYFUNCTION("""COMPUTED_VALUE"""),"-")</f>
        <v>-</v>
      </c>
      <c r="M708" s="19">
        <f>IFERROR(__xludf.DUMMYFUNCTION("""COMPUTED_VALUE"""),0.0401)</f>
        <v>0.0401</v>
      </c>
    </row>
    <row r="709">
      <c r="A709" s="12" t="s">
        <v>6799</v>
      </c>
      <c r="G709" s="19">
        <f>IFERROR(__xludf.DUMMYFUNCTION("SPLIT(A707, "" |"")"),705.0)</f>
        <v>705</v>
      </c>
      <c r="H709" s="19">
        <f>IFERROR(__xludf.DUMMYFUNCTION("""COMPUTED_VALUE"""),0.00206)</f>
        <v>0.00206</v>
      </c>
      <c r="I709" s="19" t="str">
        <f>IFERROR(__xludf.DUMMYFUNCTION("""COMPUTED_VALUE"""),"-")</f>
        <v>-</v>
      </c>
      <c r="J709" s="19">
        <f>IFERROR(__xludf.DUMMYFUNCTION("""COMPUTED_VALUE"""),0.00188)</f>
        <v>0.00188</v>
      </c>
      <c r="K709" s="19">
        <f>IFERROR(__xludf.DUMMYFUNCTION("""COMPUTED_VALUE"""),0.03959)</f>
        <v>0.03959</v>
      </c>
      <c r="L709" s="19" t="str">
        <f>IFERROR(__xludf.DUMMYFUNCTION("""COMPUTED_VALUE"""),"-")</f>
        <v>-</v>
      </c>
      <c r="M709" s="19">
        <f>IFERROR(__xludf.DUMMYFUNCTION("""COMPUTED_VALUE"""),0.03985)</f>
        <v>0.03985</v>
      </c>
    </row>
    <row r="710">
      <c r="A710" s="12" t="s">
        <v>6800</v>
      </c>
      <c r="G710" s="19">
        <f>IFERROR(__xludf.DUMMYFUNCTION("SPLIT(A708, "" |"")"),706.0)</f>
        <v>706</v>
      </c>
      <c r="H710" s="19">
        <f>IFERROR(__xludf.DUMMYFUNCTION("""COMPUTED_VALUE"""),0.00212)</f>
        <v>0.00212</v>
      </c>
      <c r="I710" s="19" t="str">
        <f>IFERROR(__xludf.DUMMYFUNCTION("""COMPUTED_VALUE"""),"-")</f>
        <v>-</v>
      </c>
      <c r="J710" s="19">
        <f>IFERROR(__xludf.DUMMYFUNCTION("""COMPUTED_VALUE"""),0.00193)</f>
        <v>0.00193</v>
      </c>
      <c r="K710" s="19">
        <f>IFERROR(__xludf.DUMMYFUNCTION("""COMPUTED_VALUE"""),0.0389)</f>
        <v>0.0389</v>
      </c>
      <c r="L710" s="19" t="str">
        <f>IFERROR(__xludf.DUMMYFUNCTION("""COMPUTED_VALUE"""),"-")</f>
        <v>-</v>
      </c>
      <c r="M710" s="19">
        <f>IFERROR(__xludf.DUMMYFUNCTION("""COMPUTED_VALUE"""),0.03978)</f>
        <v>0.03978</v>
      </c>
    </row>
    <row r="711">
      <c r="A711" s="12" t="s">
        <v>6801</v>
      </c>
      <c r="G711" s="19">
        <f>IFERROR(__xludf.DUMMYFUNCTION("SPLIT(A709, "" |"")"),707.0)</f>
        <v>707</v>
      </c>
      <c r="H711" s="19">
        <f>IFERROR(__xludf.DUMMYFUNCTION("""COMPUTED_VALUE"""),0.00207)</f>
        <v>0.00207</v>
      </c>
      <c r="I711" s="19" t="str">
        <f>IFERROR(__xludf.DUMMYFUNCTION("""COMPUTED_VALUE"""),"-")</f>
        <v>-</v>
      </c>
      <c r="J711" s="19">
        <f>IFERROR(__xludf.DUMMYFUNCTION("""COMPUTED_VALUE"""),0.00189)</f>
        <v>0.00189</v>
      </c>
      <c r="K711" s="19">
        <f>IFERROR(__xludf.DUMMYFUNCTION("""COMPUTED_VALUE"""),0.03955)</f>
        <v>0.03955</v>
      </c>
      <c r="L711" s="19" t="str">
        <f>IFERROR(__xludf.DUMMYFUNCTION("""COMPUTED_VALUE"""),"-")</f>
        <v>-</v>
      </c>
      <c r="M711" s="19">
        <f>IFERROR(__xludf.DUMMYFUNCTION("""COMPUTED_VALUE"""),0.04022)</f>
        <v>0.04022</v>
      </c>
    </row>
    <row r="712">
      <c r="A712" s="12" t="s">
        <v>6802</v>
      </c>
      <c r="G712" s="19">
        <f>IFERROR(__xludf.DUMMYFUNCTION("SPLIT(A710, "" |"")"),708.0)</f>
        <v>708</v>
      </c>
      <c r="H712" s="19">
        <f>IFERROR(__xludf.DUMMYFUNCTION("""COMPUTED_VALUE"""),0.0021)</f>
        <v>0.0021</v>
      </c>
      <c r="I712" s="19" t="str">
        <f>IFERROR(__xludf.DUMMYFUNCTION("""COMPUTED_VALUE"""),"-")</f>
        <v>-</v>
      </c>
      <c r="J712" s="19">
        <f>IFERROR(__xludf.DUMMYFUNCTION("""COMPUTED_VALUE"""),0.0019)</f>
        <v>0.0019</v>
      </c>
      <c r="K712" s="19">
        <f>IFERROR(__xludf.DUMMYFUNCTION("""COMPUTED_VALUE"""),0.03959)</f>
        <v>0.03959</v>
      </c>
      <c r="L712" s="19" t="str">
        <f>IFERROR(__xludf.DUMMYFUNCTION("""COMPUTED_VALUE"""),"-")</f>
        <v>-</v>
      </c>
      <c r="M712" s="19">
        <f>IFERROR(__xludf.DUMMYFUNCTION("""COMPUTED_VALUE"""),0.04012)</f>
        <v>0.04012</v>
      </c>
    </row>
    <row r="713">
      <c r="A713" s="12" t="s">
        <v>6803</v>
      </c>
      <c r="G713" s="19">
        <f>IFERROR(__xludf.DUMMYFUNCTION("SPLIT(A711, "" |"")"),709.0)</f>
        <v>709</v>
      </c>
      <c r="H713" s="19">
        <f>IFERROR(__xludf.DUMMYFUNCTION("""COMPUTED_VALUE"""),0.00208)</f>
        <v>0.00208</v>
      </c>
      <c r="I713" s="19" t="str">
        <f>IFERROR(__xludf.DUMMYFUNCTION("""COMPUTED_VALUE"""),"-")</f>
        <v>-</v>
      </c>
      <c r="J713" s="19">
        <f>IFERROR(__xludf.DUMMYFUNCTION("""COMPUTED_VALUE"""),0.0019)</f>
        <v>0.0019</v>
      </c>
      <c r="K713" s="19">
        <f>IFERROR(__xludf.DUMMYFUNCTION("""COMPUTED_VALUE"""),0.03957)</f>
        <v>0.03957</v>
      </c>
      <c r="L713" s="19" t="str">
        <f>IFERROR(__xludf.DUMMYFUNCTION("""COMPUTED_VALUE"""),"-")</f>
        <v>-</v>
      </c>
      <c r="M713" s="19">
        <f>IFERROR(__xludf.DUMMYFUNCTION("""COMPUTED_VALUE"""),0.04009)</f>
        <v>0.04009</v>
      </c>
    </row>
    <row r="714">
      <c r="A714" s="12" t="s">
        <v>6804</v>
      </c>
      <c r="G714" s="19">
        <f>IFERROR(__xludf.DUMMYFUNCTION("SPLIT(A712, "" |"")"),710.0)</f>
        <v>710</v>
      </c>
      <c r="H714" s="19">
        <f>IFERROR(__xludf.DUMMYFUNCTION("""COMPUTED_VALUE"""),0.00207)</f>
        <v>0.00207</v>
      </c>
      <c r="I714" s="19" t="str">
        <f>IFERROR(__xludf.DUMMYFUNCTION("""COMPUTED_VALUE"""),"-")</f>
        <v>-</v>
      </c>
      <c r="J714" s="19">
        <f>IFERROR(__xludf.DUMMYFUNCTION("""COMPUTED_VALUE"""),0.00189)</f>
        <v>0.00189</v>
      </c>
      <c r="K714" s="19">
        <f>IFERROR(__xludf.DUMMYFUNCTION("""COMPUTED_VALUE"""),0.03958)</f>
        <v>0.03958</v>
      </c>
      <c r="L714" s="19" t="str">
        <f>IFERROR(__xludf.DUMMYFUNCTION("""COMPUTED_VALUE"""),"-")</f>
        <v>-</v>
      </c>
      <c r="M714" s="19">
        <f>IFERROR(__xludf.DUMMYFUNCTION("""COMPUTED_VALUE"""),0.04003)</f>
        <v>0.04003</v>
      </c>
    </row>
    <row r="715">
      <c r="A715" s="12" t="s">
        <v>6805</v>
      </c>
      <c r="G715" s="19">
        <f>IFERROR(__xludf.DUMMYFUNCTION("SPLIT(A713, "" |"")"),711.0)</f>
        <v>711</v>
      </c>
      <c r="H715" s="19">
        <f>IFERROR(__xludf.DUMMYFUNCTION("""COMPUTED_VALUE"""),0.00202)</f>
        <v>0.00202</v>
      </c>
      <c r="I715" s="19" t="str">
        <f>IFERROR(__xludf.DUMMYFUNCTION("""COMPUTED_VALUE"""),"-")</f>
        <v>-</v>
      </c>
      <c r="J715" s="19">
        <f>IFERROR(__xludf.DUMMYFUNCTION("""COMPUTED_VALUE"""),0.00189)</f>
        <v>0.00189</v>
      </c>
      <c r="K715" s="19">
        <f>IFERROR(__xludf.DUMMYFUNCTION("""COMPUTED_VALUE"""),0.0379)</f>
        <v>0.0379</v>
      </c>
      <c r="L715" s="19" t="str">
        <f>IFERROR(__xludf.DUMMYFUNCTION("""COMPUTED_VALUE"""),"-")</f>
        <v>-</v>
      </c>
      <c r="M715" s="19">
        <f>IFERROR(__xludf.DUMMYFUNCTION("""COMPUTED_VALUE"""),0.0402)</f>
        <v>0.0402</v>
      </c>
    </row>
    <row r="716">
      <c r="A716" s="12" t="s">
        <v>6806</v>
      </c>
      <c r="G716" s="19">
        <f>IFERROR(__xludf.DUMMYFUNCTION("SPLIT(A714, "" |"")"),712.0)</f>
        <v>712</v>
      </c>
      <c r="H716" s="19">
        <f>IFERROR(__xludf.DUMMYFUNCTION("""COMPUTED_VALUE"""),0.0022)</f>
        <v>0.0022</v>
      </c>
      <c r="I716" s="19" t="str">
        <f>IFERROR(__xludf.DUMMYFUNCTION("""COMPUTED_VALUE"""),"-")</f>
        <v>-</v>
      </c>
      <c r="J716" s="19">
        <f>IFERROR(__xludf.DUMMYFUNCTION("""COMPUTED_VALUE"""),0.00194)</f>
        <v>0.00194</v>
      </c>
      <c r="K716" s="19">
        <f>IFERROR(__xludf.DUMMYFUNCTION("""COMPUTED_VALUE"""),0.0401)</f>
        <v>0.0401</v>
      </c>
      <c r="L716" s="19" t="str">
        <f>IFERROR(__xludf.DUMMYFUNCTION("""COMPUTED_VALUE"""),"-")</f>
        <v>-</v>
      </c>
      <c r="M716" s="19">
        <f>IFERROR(__xludf.DUMMYFUNCTION("""COMPUTED_VALUE"""),0.03973)</f>
        <v>0.03973</v>
      </c>
    </row>
    <row r="717">
      <c r="A717" s="12" t="s">
        <v>6807</v>
      </c>
      <c r="G717" s="19">
        <f>IFERROR(__xludf.DUMMYFUNCTION("SPLIT(A715, "" |"")"),713.0)</f>
        <v>713</v>
      </c>
      <c r="H717" s="19">
        <f>IFERROR(__xludf.DUMMYFUNCTION("""COMPUTED_VALUE"""),0.00204)</f>
        <v>0.00204</v>
      </c>
      <c r="I717" s="19" t="str">
        <f>IFERROR(__xludf.DUMMYFUNCTION("""COMPUTED_VALUE"""),"-")</f>
        <v>-</v>
      </c>
      <c r="J717" s="19">
        <f>IFERROR(__xludf.DUMMYFUNCTION("""COMPUTED_VALUE"""),0.00189)</f>
        <v>0.00189</v>
      </c>
      <c r="K717" s="19">
        <f>IFERROR(__xludf.DUMMYFUNCTION("""COMPUTED_VALUE"""),0.0396)</f>
        <v>0.0396</v>
      </c>
      <c r="L717" s="19" t="str">
        <f>IFERROR(__xludf.DUMMYFUNCTION("""COMPUTED_VALUE"""),"-")</f>
        <v>-</v>
      </c>
      <c r="M717" s="19">
        <f>IFERROR(__xludf.DUMMYFUNCTION("""COMPUTED_VALUE"""),0.03981)</f>
        <v>0.03981</v>
      </c>
    </row>
    <row r="718">
      <c r="A718" s="12" t="s">
        <v>6808</v>
      </c>
      <c r="G718" s="19">
        <f>IFERROR(__xludf.DUMMYFUNCTION("SPLIT(A716, "" |"")"),714.0)</f>
        <v>714</v>
      </c>
      <c r="H718" s="19">
        <f>IFERROR(__xludf.DUMMYFUNCTION("""COMPUTED_VALUE"""),0.00205)</f>
        <v>0.00205</v>
      </c>
      <c r="I718" s="19" t="str">
        <f>IFERROR(__xludf.DUMMYFUNCTION("""COMPUTED_VALUE"""),"-")</f>
        <v>-</v>
      </c>
      <c r="J718" s="19">
        <f>IFERROR(__xludf.DUMMYFUNCTION("""COMPUTED_VALUE"""),0.00188)</f>
        <v>0.00188</v>
      </c>
      <c r="K718" s="19">
        <f>IFERROR(__xludf.DUMMYFUNCTION("""COMPUTED_VALUE"""),0.03955)</f>
        <v>0.03955</v>
      </c>
      <c r="L718" s="19" t="str">
        <f>IFERROR(__xludf.DUMMYFUNCTION("""COMPUTED_VALUE"""),"-")</f>
        <v>-</v>
      </c>
      <c r="M718" s="19">
        <f>IFERROR(__xludf.DUMMYFUNCTION("""COMPUTED_VALUE"""),0.03971)</f>
        <v>0.03971</v>
      </c>
    </row>
    <row r="719">
      <c r="A719" s="12" t="s">
        <v>6809</v>
      </c>
      <c r="G719" s="19">
        <f>IFERROR(__xludf.DUMMYFUNCTION("SPLIT(A717, "" |"")"),715.0)</f>
        <v>715</v>
      </c>
      <c r="H719" s="19">
        <f>IFERROR(__xludf.DUMMYFUNCTION("""COMPUTED_VALUE"""),0.00217)</f>
        <v>0.00217</v>
      </c>
      <c r="I719" s="19" t="str">
        <f>IFERROR(__xludf.DUMMYFUNCTION("""COMPUTED_VALUE"""),"-")</f>
        <v>-</v>
      </c>
      <c r="J719" s="19">
        <f>IFERROR(__xludf.DUMMYFUNCTION("""COMPUTED_VALUE"""),0.00198)</f>
        <v>0.00198</v>
      </c>
      <c r="K719" s="19">
        <f>IFERROR(__xludf.DUMMYFUNCTION("""COMPUTED_VALUE"""),0.03971)</f>
        <v>0.03971</v>
      </c>
      <c r="L719" s="19" t="str">
        <f>IFERROR(__xludf.DUMMYFUNCTION("""COMPUTED_VALUE"""),"-")</f>
        <v>-</v>
      </c>
      <c r="M719" s="19">
        <f>IFERROR(__xludf.DUMMYFUNCTION("""COMPUTED_VALUE"""),0.03981)</f>
        <v>0.03981</v>
      </c>
    </row>
    <row r="720">
      <c r="A720" s="12" t="s">
        <v>6810</v>
      </c>
      <c r="G720" s="19">
        <f>IFERROR(__xludf.DUMMYFUNCTION("SPLIT(A718, "" |"")"),716.0)</f>
        <v>716</v>
      </c>
      <c r="H720" s="19">
        <f>IFERROR(__xludf.DUMMYFUNCTION("""COMPUTED_VALUE"""),0.00239)</f>
        <v>0.00239</v>
      </c>
      <c r="I720" s="19" t="str">
        <f>IFERROR(__xludf.DUMMYFUNCTION("""COMPUTED_VALUE"""),"-")</f>
        <v>-</v>
      </c>
      <c r="J720" s="19">
        <f>IFERROR(__xludf.DUMMYFUNCTION("""COMPUTED_VALUE"""),0.00231)</f>
        <v>0.00231</v>
      </c>
      <c r="K720" s="19">
        <f>IFERROR(__xludf.DUMMYFUNCTION("""COMPUTED_VALUE"""),0.03976)</f>
        <v>0.03976</v>
      </c>
      <c r="L720" s="19" t="str">
        <f>IFERROR(__xludf.DUMMYFUNCTION("""COMPUTED_VALUE"""),"-")</f>
        <v>-</v>
      </c>
      <c r="M720" s="19">
        <f>IFERROR(__xludf.DUMMYFUNCTION("""COMPUTED_VALUE"""),0.03984)</f>
        <v>0.03984</v>
      </c>
    </row>
    <row r="721">
      <c r="A721" s="12" t="s">
        <v>6811</v>
      </c>
      <c r="G721" s="19">
        <f>IFERROR(__xludf.DUMMYFUNCTION("SPLIT(A719, "" |"")"),717.0)</f>
        <v>717</v>
      </c>
      <c r="H721" s="19">
        <f>IFERROR(__xludf.DUMMYFUNCTION("""COMPUTED_VALUE"""),0.00212)</f>
        <v>0.00212</v>
      </c>
      <c r="I721" s="19" t="str">
        <f>IFERROR(__xludf.DUMMYFUNCTION("""COMPUTED_VALUE"""),"-")</f>
        <v>-</v>
      </c>
      <c r="J721" s="19">
        <f>IFERROR(__xludf.DUMMYFUNCTION("""COMPUTED_VALUE"""),0.00194)</f>
        <v>0.00194</v>
      </c>
      <c r="K721" s="19">
        <f>IFERROR(__xludf.DUMMYFUNCTION("""COMPUTED_VALUE"""),0.03995)</f>
        <v>0.03995</v>
      </c>
      <c r="L721" s="19" t="str">
        <f>IFERROR(__xludf.DUMMYFUNCTION("""COMPUTED_VALUE"""),"-")</f>
        <v>-</v>
      </c>
      <c r="M721" s="19">
        <f>IFERROR(__xludf.DUMMYFUNCTION("""COMPUTED_VALUE"""),0.03965)</f>
        <v>0.03965</v>
      </c>
    </row>
    <row r="722">
      <c r="A722" s="12" t="s">
        <v>6812</v>
      </c>
      <c r="G722" s="19">
        <f>IFERROR(__xludf.DUMMYFUNCTION("SPLIT(A720, "" |"")"),718.0)</f>
        <v>718</v>
      </c>
      <c r="H722" s="19">
        <f>IFERROR(__xludf.DUMMYFUNCTION("""COMPUTED_VALUE"""),0.00207)</f>
        <v>0.00207</v>
      </c>
      <c r="I722" s="19" t="str">
        <f>IFERROR(__xludf.DUMMYFUNCTION("""COMPUTED_VALUE"""),"-")</f>
        <v>-</v>
      </c>
      <c r="J722" s="19">
        <f>IFERROR(__xludf.DUMMYFUNCTION("""COMPUTED_VALUE"""),0.00192)</f>
        <v>0.00192</v>
      </c>
      <c r="K722" s="19">
        <f>IFERROR(__xludf.DUMMYFUNCTION("""COMPUTED_VALUE"""),0.03959)</f>
        <v>0.03959</v>
      </c>
      <c r="L722" s="19" t="str">
        <f>IFERROR(__xludf.DUMMYFUNCTION("""COMPUTED_VALUE"""),"-")</f>
        <v>-</v>
      </c>
      <c r="M722" s="19">
        <f>IFERROR(__xludf.DUMMYFUNCTION("""COMPUTED_VALUE"""),0.03979)</f>
        <v>0.03979</v>
      </c>
    </row>
    <row r="723">
      <c r="A723" s="12" t="s">
        <v>6813</v>
      </c>
      <c r="G723" s="19">
        <f>IFERROR(__xludf.DUMMYFUNCTION("SPLIT(A721, "" |"")"),719.0)</f>
        <v>719</v>
      </c>
      <c r="H723" s="19">
        <f>IFERROR(__xludf.DUMMYFUNCTION("""COMPUTED_VALUE"""),0.00204)</f>
        <v>0.00204</v>
      </c>
      <c r="I723" s="19" t="str">
        <f>IFERROR(__xludf.DUMMYFUNCTION("""COMPUTED_VALUE"""),"-")</f>
        <v>-</v>
      </c>
      <c r="J723" s="19">
        <f>IFERROR(__xludf.DUMMYFUNCTION("""COMPUTED_VALUE"""),0.0019)</f>
        <v>0.0019</v>
      </c>
      <c r="K723" s="19">
        <f>IFERROR(__xludf.DUMMYFUNCTION("""COMPUTED_VALUE"""),0.03961)</f>
        <v>0.03961</v>
      </c>
      <c r="L723" s="19" t="str">
        <f>IFERROR(__xludf.DUMMYFUNCTION("""COMPUTED_VALUE"""),"-")</f>
        <v>-</v>
      </c>
      <c r="M723" s="19">
        <f>IFERROR(__xludf.DUMMYFUNCTION("""COMPUTED_VALUE"""),0.03979)</f>
        <v>0.03979</v>
      </c>
    </row>
    <row r="724">
      <c r="A724" s="12" t="s">
        <v>6814</v>
      </c>
      <c r="G724" s="19">
        <f>IFERROR(__xludf.DUMMYFUNCTION("SPLIT(A722, "" |"")"),720.0)</f>
        <v>720</v>
      </c>
      <c r="H724" s="19">
        <f>IFERROR(__xludf.DUMMYFUNCTION("""COMPUTED_VALUE"""),0.00204)</f>
        <v>0.00204</v>
      </c>
      <c r="I724" s="19" t="str">
        <f>IFERROR(__xludf.DUMMYFUNCTION("""COMPUTED_VALUE"""),"-")</f>
        <v>-</v>
      </c>
      <c r="J724" s="19">
        <f>IFERROR(__xludf.DUMMYFUNCTION("""COMPUTED_VALUE"""),0.0019)</f>
        <v>0.0019</v>
      </c>
      <c r="K724" s="19">
        <f>IFERROR(__xludf.DUMMYFUNCTION("""COMPUTED_VALUE"""),0.03958)</f>
        <v>0.03958</v>
      </c>
      <c r="L724" s="19" t="str">
        <f>IFERROR(__xludf.DUMMYFUNCTION("""COMPUTED_VALUE"""),"-")</f>
        <v>-</v>
      </c>
      <c r="M724" s="19">
        <f>IFERROR(__xludf.DUMMYFUNCTION("""COMPUTED_VALUE"""),0.03973)</f>
        <v>0.03973</v>
      </c>
    </row>
    <row r="725">
      <c r="A725" s="12" t="s">
        <v>6815</v>
      </c>
      <c r="G725" s="19">
        <f>IFERROR(__xludf.DUMMYFUNCTION("SPLIT(A723, "" |"")"),721.0)</f>
        <v>721</v>
      </c>
      <c r="H725" s="19">
        <f>IFERROR(__xludf.DUMMYFUNCTION("""COMPUTED_VALUE"""),0.00202)</f>
        <v>0.00202</v>
      </c>
      <c r="I725" s="19" t="str">
        <f>IFERROR(__xludf.DUMMYFUNCTION("""COMPUTED_VALUE"""),"-")</f>
        <v>-</v>
      </c>
      <c r="J725" s="19">
        <f>IFERROR(__xludf.DUMMYFUNCTION("""COMPUTED_VALUE"""),0.0019)</f>
        <v>0.0019</v>
      </c>
      <c r="K725" s="19">
        <f>IFERROR(__xludf.DUMMYFUNCTION("""COMPUTED_VALUE"""),0.03996)</f>
        <v>0.03996</v>
      </c>
      <c r="L725" s="19" t="str">
        <f>IFERROR(__xludf.DUMMYFUNCTION("""COMPUTED_VALUE"""),"-")</f>
        <v>-</v>
      </c>
      <c r="M725" s="19">
        <f>IFERROR(__xludf.DUMMYFUNCTION("""COMPUTED_VALUE"""),0.03831)</f>
        <v>0.03831</v>
      </c>
    </row>
    <row r="726">
      <c r="A726" s="12" t="s">
        <v>6816</v>
      </c>
      <c r="G726" s="19">
        <f>IFERROR(__xludf.DUMMYFUNCTION("SPLIT(A724, "" |"")"),722.0)</f>
        <v>722</v>
      </c>
      <c r="H726" s="19">
        <f>IFERROR(__xludf.DUMMYFUNCTION("""COMPUTED_VALUE"""),0.00211)</f>
        <v>0.00211</v>
      </c>
      <c r="I726" s="19" t="str">
        <f>IFERROR(__xludf.DUMMYFUNCTION("""COMPUTED_VALUE"""),"-")</f>
        <v>-</v>
      </c>
      <c r="J726" s="19">
        <f>IFERROR(__xludf.DUMMYFUNCTION("""COMPUTED_VALUE"""),0.00177)</f>
        <v>0.00177</v>
      </c>
      <c r="K726" s="19">
        <f>IFERROR(__xludf.DUMMYFUNCTION("""COMPUTED_VALUE"""),0.04019)</f>
        <v>0.04019</v>
      </c>
      <c r="L726" s="19" t="str">
        <f>IFERROR(__xludf.DUMMYFUNCTION("""COMPUTED_VALUE"""),"-")</f>
        <v>-</v>
      </c>
      <c r="M726" s="19">
        <f>IFERROR(__xludf.DUMMYFUNCTION("""COMPUTED_VALUE"""),0.0402)</f>
        <v>0.0402</v>
      </c>
    </row>
    <row r="727">
      <c r="A727" s="12" t="s">
        <v>6817</v>
      </c>
      <c r="G727" s="19">
        <f>IFERROR(__xludf.DUMMYFUNCTION("SPLIT(A725, "" |"")"),723.0)</f>
        <v>723</v>
      </c>
      <c r="H727" s="19">
        <f>IFERROR(__xludf.DUMMYFUNCTION("""COMPUTED_VALUE"""),0.00208)</f>
        <v>0.00208</v>
      </c>
      <c r="I727" s="19" t="str">
        <f>IFERROR(__xludf.DUMMYFUNCTION("""COMPUTED_VALUE"""),"-")</f>
        <v>-</v>
      </c>
      <c r="J727" s="19">
        <f>IFERROR(__xludf.DUMMYFUNCTION("""COMPUTED_VALUE"""),0.00193)</f>
        <v>0.00193</v>
      </c>
      <c r="K727" s="19">
        <f>IFERROR(__xludf.DUMMYFUNCTION("""COMPUTED_VALUE"""),0.03997)</f>
        <v>0.03997</v>
      </c>
      <c r="L727" s="19" t="str">
        <f>IFERROR(__xludf.DUMMYFUNCTION("""COMPUTED_VALUE"""),"-")</f>
        <v>-</v>
      </c>
      <c r="M727" s="19">
        <f>IFERROR(__xludf.DUMMYFUNCTION("""COMPUTED_VALUE"""),0.03983)</f>
        <v>0.03983</v>
      </c>
    </row>
    <row r="728">
      <c r="A728" s="12" t="s">
        <v>6818</v>
      </c>
      <c r="G728" s="19">
        <f>IFERROR(__xludf.DUMMYFUNCTION("SPLIT(A726, "" |"")"),724.0)</f>
        <v>724</v>
      </c>
      <c r="H728" s="19">
        <f>IFERROR(__xludf.DUMMYFUNCTION("""COMPUTED_VALUE"""),0.0021)</f>
        <v>0.0021</v>
      </c>
      <c r="I728" s="19" t="str">
        <f>IFERROR(__xludf.DUMMYFUNCTION("""COMPUTED_VALUE"""),"-")</f>
        <v>-</v>
      </c>
      <c r="J728" s="19">
        <f>IFERROR(__xludf.DUMMYFUNCTION("""COMPUTED_VALUE"""),0.00195)</f>
        <v>0.00195</v>
      </c>
      <c r="K728" s="19">
        <f>IFERROR(__xludf.DUMMYFUNCTION("""COMPUTED_VALUE"""),0.03956)</f>
        <v>0.03956</v>
      </c>
      <c r="L728" s="19" t="str">
        <f>IFERROR(__xludf.DUMMYFUNCTION("""COMPUTED_VALUE"""),"-")</f>
        <v>-</v>
      </c>
      <c r="M728" s="19">
        <f>IFERROR(__xludf.DUMMYFUNCTION("""COMPUTED_VALUE"""),0.04012)</f>
        <v>0.04012</v>
      </c>
    </row>
    <row r="729">
      <c r="A729" s="12" t="s">
        <v>6819</v>
      </c>
      <c r="G729" s="19">
        <f>IFERROR(__xludf.DUMMYFUNCTION("SPLIT(A727, "" |"")"),725.0)</f>
        <v>725</v>
      </c>
      <c r="H729" s="19">
        <f>IFERROR(__xludf.DUMMYFUNCTION("""COMPUTED_VALUE"""),0.00214)</f>
        <v>0.00214</v>
      </c>
      <c r="I729" s="19" t="str">
        <f>IFERROR(__xludf.DUMMYFUNCTION("""COMPUTED_VALUE"""),"-")</f>
        <v>-</v>
      </c>
      <c r="J729" s="19">
        <f>IFERROR(__xludf.DUMMYFUNCTION("""COMPUTED_VALUE"""),0.00191)</f>
        <v>0.00191</v>
      </c>
      <c r="K729" s="19">
        <f>IFERROR(__xludf.DUMMYFUNCTION("""COMPUTED_VALUE"""),0.03957)</f>
        <v>0.03957</v>
      </c>
      <c r="L729" s="19" t="str">
        <f>IFERROR(__xludf.DUMMYFUNCTION("""COMPUTED_VALUE"""),"-")</f>
        <v>-</v>
      </c>
      <c r="M729" s="19">
        <f>IFERROR(__xludf.DUMMYFUNCTION("""COMPUTED_VALUE"""),0.03977)</f>
        <v>0.03977</v>
      </c>
    </row>
    <row r="730">
      <c r="A730" s="12" t="s">
        <v>6820</v>
      </c>
      <c r="G730" s="19">
        <f>IFERROR(__xludf.DUMMYFUNCTION("SPLIT(A728, "" |"")"),726.0)</f>
        <v>726</v>
      </c>
      <c r="H730" s="19">
        <f>IFERROR(__xludf.DUMMYFUNCTION("""COMPUTED_VALUE"""),0.00207)</f>
        <v>0.00207</v>
      </c>
      <c r="I730" s="19" t="str">
        <f>IFERROR(__xludf.DUMMYFUNCTION("""COMPUTED_VALUE"""),"-")</f>
        <v>-</v>
      </c>
      <c r="J730" s="19">
        <f>IFERROR(__xludf.DUMMYFUNCTION("""COMPUTED_VALUE"""),0.00201)</f>
        <v>0.00201</v>
      </c>
      <c r="K730" s="19">
        <f>IFERROR(__xludf.DUMMYFUNCTION("""COMPUTED_VALUE"""),0.04006)</f>
        <v>0.04006</v>
      </c>
      <c r="L730" s="19" t="str">
        <f>IFERROR(__xludf.DUMMYFUNCTION("""COMPUTED_VALUE"""),"-")</f>
        <v>-</v>
      </c>
      <c r="M730" s="19">
        <f>IFERROR(__xludf.DUMMYFUNCTION("""COMPUTED_VALUE"""),0.03977)</f>
        <v>0.03977</v>
      </c>
    </row>
    <row r="731">
      <c r="A731" s="12" t="s">
        <v>6821</v>
      </c>
      <c r="G731" s="19">
        <f>IFERROR(__xludf.DUMMYFUNCTION("SPLIT(A729, "" |"")"),727.0)</f>
        <v>727</v>
      </c>
      <c r="H731" s="19">
        <f>IFERROR(__xludf.DUMMYFUNCTION("""COMPUTED_VALUE"""),0.00204)</f>
        <v>0.00204</v>
      </c>
      <c r="I731" s="19" t="str">
        <f>IFERROR(__xludf.DUMMYFUNCTION("""COMPUTED_VALUE"""),"-")</f>
        <v>-</v>
      </c>
      <c r="J731" s="19">
        <f>IFERROR(__xludf.DUMMYFUNCTION("""COMPUTED_VALUE"""),0.00191)</f>
        <v>0.00191</v>
      </c>
      <c r="K731" s="19">
        <f>IFERROR(__xludf.DUMMYFUNCTION("""COMPUTED_VALUE"""),0.03856)</f>
        <v>0.03856</v>
      </c>
      <c r="L731" s="19" t="str">
        <f>IFERROR(__xludf.DUMMYFUNCTION("""COMPUTED_VALUE"""),"-")</f>
        <v>-</v>
      </c>
      <c r="M731" s="19">
        <f>IFERROR(__xludf.DUMMYFUNCTION("""COMPUTED_VALUE"""),0.03621)</f>
        <v>0.03621</v>
      </c>
    </row>
    <row r="732">
      <c r="A732" s="12" t="s">
        <v>6822</v>
      </c>
      <c r="G732" s="19">
        <f>IFERROR(__xludf.DUMMYFUNCTION("SPLIT(A730, "" |"")"),728.0)</f>
        <v>728</v>
      </c>
      <c r="H732" s="19">
        <f>IFERROR(__xludf.DUMMYFUNCTION("""COMPUTED_VALUE"""),0.00226)</f>
        <v>0.00226</v>
      </c>
      <c r="I732" s="19" t="str">
        <f>IFERROR(__xludf.DUMMYFUNCTION("""COMPUTED_VALUE"""),"-")</f>
        <v>-</v>
      </c>
      <c r="J732" s="19">
        <f>IFERROR(__xludf.DUMMYFUNCTION("""COMPUTED_VALUE"""),0.00194)</f>
        <v>0.00194</v>
      </c>
      <c r="K732" s="19">
        <f>IFERROR(__xludf.DUMMYFUNCTION("""COMPUTED_VALUE"""),0.03991)</f>
        <v>0.03991</v>
      </c>
      <c r="L732" s="19" t="str">
        <f>IFERROR(__xludf.DUMMYFUNCTION("""COMPUTED_VALUE"""),"-")</f>
        <v>-</v>
      </c>
      <c r="M732" s="19">
        <f>IFERROR(__xludf.DUMMYFUNCTION("""COMPUTED_VALUE"""),0.04019)</f>
        <v>0.04019</v>
      </c>
    </row>
    <row r="733">
      <c r="A733" s="12" t="s">
        <v>6823</v>
      </c>
      <c r="G733" s="19">
        <f>IFERROR(__xludf.DUMMYFUNCTION("SPLIT(A731, "" |"")"),729.0)</f>
        <v>729</v>
      </c>
      <c r="H733" s="19">
        <f>IFERROR(__xludf.DUMMYFUNCTION("""COMPUTED_VALUE"""),0.00206)</f>
        <v>0.00206</v>
      </c>
      <c r="I733" s="19" t="str">
        <f>IFERROR(__xludf.DUMMYFUNCTION("""COMPUTED_VALUE"""),"-")</f>
        <v>-</v>
      </c>
      <c r="J733" s="19">
        <f>IFERROR(__xludf.DUMMYFUNCTION("""COMPUTED_VALUE"""),0.00191)</f>
        <v>0.00191</v>
      </c>
      <c r="K733" s="19">
        <f>IFERROR(__xludf.DUMMYFUNCTION("""COMPUTED_VALUE"""),0.03997)</f>
        <v>0.03997</v>
      </c>
      <c r="L733" s="19" t="str">
        <f>IFERROR(__xludf.DUMMYFUNCTION("""COMPUTED_VALUE"""),"-")</f>
        <v>-</v>
      </c>
      <c r="M733" s="19">
        <f>IFERROR(__xludf.DUMMYFUNCTION("""COMPUTED_VALUE"""),0.04008)</f>
        <v>0.04008</v>
      </c>
    </row>
    <row r="734">
      <c r="A734" s="12" t="s">
        <v>6824</v>
      </c>
      <c r="G734" s="19">
        <f>IFERROR(__xludf.DUMMYFUNCTION("SPLIT(A732, "" |"")"),730.0)</f>
        <v>730</v>
      </c>
      <c r="H734" s="19">
        <f>IFERROR(__xludf.DUMMYFUNCTION("""COMPUTED_VALUE"""),0.00205)</f>
        <v>0.00205</v>
      </c>
      <c r="I734" s="19" t="str">
        <f>IFERROR(__xludf.DUMMYFUNCTION("""COMPUTED_VALUE"""),"-")</f>
        <v>-</v>
      </c>
      <c r="J734" s="19">
        <f>IFERROR(__xludf.DUMMYFUNCTION("""COMPUTED_VALUE"""),0.00192)</f>
        <v>0.00192</v>
      </c>
      <c r="K734" s="19">
        <f>IFERROR(__xludf.DUMMYFUNCTION("""COMPUTED_VALUE"""),0.04)</f>
        <v>0.04</v>
      </c>
      <c r="L734" s="19" t="str">
        <f>IFERROR(__xludf.DUMMYFUNCTION("""COMPUTED_VALUE"""),"-")</f>
        <v>-</v>
      </c>
      <c r="M734" s="19">
        <f>IFERROR(__xludf.DUMMYFUNCTION("""COMPUTED_VALUE"""),0.04003)</f>
        <v>0.04003</v>
      </c>
    </row>
    <row r="735">
      <c r="A735" s="12" t="s">
        <v>6825</v>
      </c>
      <c r="G735" s="19">
        <f>IFERROR(__xludf.DUMMYFUNCTION("SPLIT(A733, "" |"")"),731.0)</f>
        <v>731</v>
      </c>
      <c r="H735" s="19">
        <f>IFERROR(__xludf.DUMMYFUNCTION("""COMPUTED_VALUE"""),0.00207)</f>
        <v>0.00207</v>
      </c>
      <c r="I735" s="19" t="str">
        <f>IFERROR(__xludf.DUMMYFUNCTION("""COMPUTED_VALUE"""),"-")</f>
        <v>-</v>
      </c>
      <c r="J735" s="19">
        <f>IFERROR(__xludf.DUMMYFUNCTION("""COMPUTED_VALUE"""),0.00189)</f>
        <v>0.00189</v>
      </c>
      <c r="K735" s="19">
        <f>IFERROR(__xludf.DUMMYFUNCTION("""COMPUTED_VALUE"""),0.03874)</f>
        <v>0.03874</v>
      </c>
      <c r="L735" s="19" t="str">
        <f>IFERROR(__xludf.DUMMYFUNCTION("""COMPUTED_VALUE"""),"-")</f>
        <v>-</v>
      </c>
      <c r="M735" s="19">
        <f>IFERROR(__xludf.DUMMYFUNCTION("""COMPUTED_VALUE"""),0.0398)</f>
        <v>0.0398</v>
      </c>
    </row>
    <row r="736">
      <c r="A736" s="12" t="s">
        <v>6826</v>
      </c>
      <c r="G736" s="19">
        <f>IFERROR(__xludf.DUMMYFUNCTION("SPLIT(A734, "" |"")"),732.0)</f>
        <v>732</v>
      </c>
      <c r="H736" s="19">
        <f>IFERROR(__xludf.DUMMYFUNCTION("""COMPUTED_VALUE"""),0.00204)</f>
        <v>0.00204</v>
      </c>
      <c r="I736" s="19" t="str">
        <f>IFERROR(__xludf.DUMMYFUNCTION("""COMPUTED_VALUE"""),"-")</f>
        <v>-</v>
      </c>
      <c r="J736" s="19">
        <f>IFERROR(__xludf.DUMMYFUNCTION("""COMPUTED_VALUE"""),0.00189)</f>
        <v>0.00189</v>
      </c>
      <c r="K736" s="19">
        <f>IFERROR(__xludf.DUMMYFUNCTION("""COMPUTED_VALUE"""),0.03957)</f>
        <v>0.03957</v>
      </c>
      <c r="L736" s="19" t="str">
        <f>IFERROR(__xludf.DUMMYFUNCTION("""COMPUTED_VALUE"""),"-")</f>
        <v>-</v>
      </c>
      <c r="M736" s="19">
        <f>IFERROR(__xludf.DUMMYFUNCTION("""COMPUTED_VALUE"""),0.04007)</f>
        <v>0.04007</v>
      </c>
    </row>
    <row r="737">
      <c r="A737" s="12" t="s">
        <v>6827</v>
      </c>
      <c r="G737" s="19">
        <f>IFERROR(__xludf.DUMMYFUNCTION("SPLIT(A735, "" |"")"),733.0)</f>
        <v>733</v>
      </c>
      <c r="H737" s="19">
        <f>IFERROR(__xludf.DUMMYFUNCTION("""COMPUTED_VALUE"""),0.00207)</f>
        <v>0.00207</v>
      </c>
      <c r="I737" s="19" t="str">
        <f>IFERROR(__xludf.DUMMYFUNCTION("""COMPUTED_VALUE"""),"-")</f>
        <v>-</v>
      </c>
      <c r="J737" s="19">
        <f>IFERROR(__xludf.DUMMYFUNCTION("""COMPUTED_VALUE"""),0.0019)</f>
        <v>0.0019</v>
      </c>
      <c r="K737" s="19">
        <f>IFERROR(__xludf.DUMMYFUNCTION("""COMPUTED_VALUE"""),0.03951)</f>
        <v>0.03951</v>
      </c>
      <c r="L737" s="19" t="str">
        <f>IFERROR(__xludf.DUMMYFUNCTION("""COMPUTED_VALUE"""),"-")</f>
        <v>-</v>
      </c>
      <c r="M737" s="19">
        <f>IFERROR(__xludf.DUMMYFUNCTION("""COMPUTED_VALUE"""),0.03981)</f>
        <v>0.03981</v>
      </c>
    </row>
    <row r="738">
      <c r="A738" s="12" t="s">
        <v>6828</v>
      </c>
      <c r="G738" s="19">
        <f>IFERROR(__xludf.DUMMYFUNCTION("SPLIT(A736, "" |"")"),734.0)</f>
        <v>734</v>
      </c>
      <c r="H738" s="19">
        <f>IFERROR(__xludf.DUMMYFUNCTION("""COMPUTED_VALUE"""),0.00202)</f>
        <v>0.00202</v>
      </c>
      <c r="I738" s="19" t="str">
        <f>IFERROR(__xludf.DUMMYFUNCTION("""COMPUTED_VALUE"""),"-")</f>
        <v>-</v>
      </c>
      <c r="J738" s="19">
        <f>IFERROR(__xludf.DUMMYFUNCTION("""COMPUTED_VALUE"""),0.00187)</f>
        <v>0.00187</v>
      </c>
      <c r="K738" s="19">
        <f>IFERROR(__xludf.DUMMYFUNCTION("""COMPUTED_VALUE"""),0.03917)</f>
        <v>0.03917</v>
      </c>
      <c r="L738" s="19" t="str">
        <f>IFERROR(__xludf.DUMMYFUNCTION("""COMPUTED_VALUE"""),"-")</f>
        <v>-</v>
      </c>
      <c r="M738" s="19">
        <f>IFERROR(__xludf.DUMMYFUNCTION("""COMPUTED_VALUE"""),0.04013)</f>
        <v>0.04013</v>
      </c>
    </row>
    <row r="739">
      <c r="A739" s="12" t="s">
        <v>6829</v>
      </c>
      <c r="G739" s="19">
        <f>IFERROR(__xludf.DUMMYFUNCTION("SPLIT(A737, "" |"")"),735.0)</f>
        <v>735</v>
      </c>
      <c r="H739" s="19">
        <f>IFERROR(__xludf.DUMMYFUNCTION("""COMPUTED_VALUE"""),0.00207)</f>
        <v>0.00207</v>
      </c>
      <c r="I739" s="19" t="str">
        <f>IFERROR(__xludf.DUMMYFUNCTION("""COMPUTED_VALUE"""),"-")</f>
        <v>-</v>
      </c>
      <c r="J739" s="19">
        <f>IFERROR(__xludf.DUMMYFUNCTION("""COMPUTED_VALUE"""),0.00191)</f>
        <v>0.00191</v>
      </c>
      <c r="K739" s="19">
        <f>IFERROR(__xludf.DUMMYFUNCTION("""COMPUTED_VALUE"""),0.03958)</f>
        <v>0.03958</v>
      </c>
      <c r="L739" s="19" t="str">
        <f>IFERROR(__xludf.DUMMYFUNCTION("""COMPUTED_VALUE"""),"-")</f>
        <v>-</v>
      </c>
      <c r="M739" s="19">
        <f>IFERROR(__xludf.DUMMYFUNCTION("""COMPUTED_VALUE"""),0.04045)</f>
        <v>0.04045</v>
      </c>
    </row>
    <row r="740">
      <c r="A740" s="12" t="s">
        <v>6830</v>
      </c>
      <c r="G740" s="19">
        <f>IFERROR(__xludf.DUMMYFUNCTION("SPLIT(A738, "" |"")"),736.0)</f>
        <v>736</v>
      </c>
      <c r="H740" s="19">
        <f>IFERROR(__xludf.DUMMYFUNCTION("""COMPUTED_VALUE"""),0.00207)</f>
        <v>0.00207</v>
      </c>
      <c r="I740" s="19" t="str">
        <f>IFERROR(__xludf.DUMMYFUNCTION("""COMPUTED_VALUE"""),"-")</f>
        <v>-</v>
      </c>
      <c r="J740" s="19">
        <f>IFERROR(__xludf.DUMMYFUNCTION("""COMPUTED_VALUE"""),0.00189)</f>
        <v>0.00189</v>
      </c>
      <c r="K740" s="19">
        <f>IFERROR(__xludf.DUMMYFUNCTION("""COMPUTED_VALUE"""),0.03958)</f>
        <v>0.03958</v>
      </c>
      <c r="L740" s="19" t="str">
        <f>IFERROR(__xludf.DUMMYFUNCTION("""COMPUTED_VALUE"""),"-")</f>
        <v>-</v>
      </c>
      <c r="M740" s="19">
        <f>IFERROR(__xludf.DUMMYFUNCTION("""COMPUTED_VALUE"""),0.03944)</f>
        <v>0.03944</v>
      </c>
    </row>
    <row r="741">
      <c r="A741" s="12" t="s">
        <v>6831</v>
      </c>
      <c r="G741" s="19">
        <f>IFERROR(__xludf.DUMMYFUNCTION("SPLIT(A739, "" |"")"),737.0)</f>
        <v>737</v>
      </c>
      <c r="H741" s="19">
        <f>IFERROR(__xludf.DUMMYFUNCTION("""COMPUTED_VALUE"""),0.00204)</f>
        <v>0.00204</v>
      </c>
      <c r="I741" s="19" t="str">
        <f>IFERROR(__xludf.DUMMYFUNCTION("""COMPUTED_VALUE"""),"-")</f>
        <v>-</v>
      </c>
      <c r="J741" s="19">
        <f>IFERROR(__xludf.DUMMYFUNCTION("""COMPUTED_VALUE"""),0.00189)</f>
        <v>0.00189</v>
      </c>
      <c r="K741" s="19">
        <f>IFERROR(__xludf.DUMMYFUNCTION("""COMPUTED_VALUE"""),0.03997)</f>
        <v>0.03997</v>
      </c>
      <c r="L741" s="19" t="str">
        <f>IFERROR(__xludf.DUMMYFUNCTION("""COMPUTED_VALUE"""),"-")</f>
        <v>-</v>
      </c>
      <c r="M741" s="19">
        <f>IFERROR(__xludf.DUMMYFUNCTION("""COMPUTED_VALUE"""),0.03822)</f>
        <v>0.03822</v>
      </c>
    </row>
    <row r="742">
      <c r="A742" s="12" t="s">
        <v>6832</v>
      </c>
      <c r="G742" s="19">
        <f>IFERROR(__xludf.DUMMYFUNCTION("SPLIT(A740, "" |"")"),738.0)</f>
        <v>738</v>
      </c>
      <c r="H742" s="19">
        <f>IFERROR(__xludf.DUMMYFUNCTION("""COMPUTED_VALUE"""),0.00209)</f>
        <v>0.00209</v>
      </c>
      <c r="I742" s="19" t="str">
        <f>IFERROR(__xludf.DUMMYFUNCTION("""COMPUTED_VALUE"""),"-")</f>
        <v>-</v>
      </c>
      <c r="J742" s="19">
        <f>IFERROR(__xludf.DUMMYFUNCTION("""COMPUTED_VALUE"""),0.00187)</f>
        <v>0.00187</v>
      </c>
      <c r="K742" s="19">
        <f>IFERROR(__xludf.DUMMYFUNCTION("""COMPUTED_VALUE"""),0.03984)</f>
        <v>0.03984</v>
      </c>
      <c r="L742" s="19" t="str">
        <f>IFERROR(__xludf.DUMMYFUNCTION("""COMPUTED_VALUE"""),"-")</f>
        <v>-</v>
      </c>
      <c r="M742" s="19">
        <f>IFERROR(__xludf.DUMMYFUNCTION("""COMPUTED_VALUE"""),0.04014)</f>
        <v>0.04014</v>
      </c>
    </row>
    <row r="743">
      <c r="A743" s="12" t="s">
        <v>6833</v>
      </c>
      <c r="G743" s="19">
        <f>IFERROR(__xludf.DUMMYFUNCTION("SPLIT(A741, "" |"")"),739.0)</f>
        <v>739</v>
      </c>
      <c r="H743" s="19">
        <f>IFERROR(__xludf.DUMMYFUNCTION("""COMPUTED_VALUE"""),0.00206)</f>
        <v>0.00206</v>
      </c>
      <c r="I743" s="19" t="str">
        <f>IFERROR(__xludf.DUMMYFUNCTION("""COMPUTED_VALUE"""),"-")</f>
        <v>-</v>
      </c>
      <c r="J743" s="19">
        <f>IFERROR(__xludf.DUMMYFUNCTION("""COMPUTED_VALUE"""),0.00192)</f>
        <v>0.00192</v>
      </c>
      <c r="K743" s="19">
        <f>IFERROR(__xludf.DUMMYFUNCTION("""COMPUTED_VALUE"""),0.03651)</f>
        <v>0.03651</v>
      </c>
      <c r="L743" s="19" t="str">
        <f>IFERROR(__xludf.DUMMYFUNCTION("""COMPUTED_VALUE"""),"-")</f>
        <v>-</v>
      </c>
      <c r="M743" s="19">
        <f>IFERROR(__xludf.DUMMYFUNCTION("""COMPUTED_VALUE"""),0.03694)</f>
        <v>0.03694</v>
      </c>
    </row>
    <row r="744">
      <c r="A744" s="12" t="s">
        <v>6834</v>
      </c>
      <c r="G744" s="19">
        <f>IFERROR(__xludf.DUMMYFUNCTION("SPLIT(A742, "" |"")"),740.0)</f>
        <v>740</v>
      </c>
      <c r="H744" s="19">
        <f>IFERROR(__xludf.DUMMYFUNCTION("""COMPUTED_VALUE"""),0.00212)</f>
        <v>0.00212</v>
      </c>
      <c r="I744" s="19" t="str">
        <f>IFERROR(__xludf.DUMMYFUNCTION("""COMPUTED_VALUE"""),"-")</f>
        <v>-</v>
      </c>
      <c r="J744" s="19">
        <f>IFERROR(__xludf.DUMMYFUNCTION("""COMPUTED_VALUE"""),0.00195)</f>
        <v>0.00195</v>
      </c>
      <c r="K744" s="19">
        <f>IFERROR(__xludf.DUMMYFUNCTION("""COMPUTED_VALUE"""),0.03718)</f>
        <v>0.03718</v>
      </c>
      <c r="L744" s="19" t="str">
        <f>IFERROR(__xludf.DUMMYFUNCTION("""COMPUTED_VALUE"""),"-")</f>
        <v>-</v>
      </c>
      <c r="M744" s="19">
        <f>IFERROR(__xludf.DUMMYFUNCTION("""COMPUTED_VALUE"""),0.04008)</f>
        <v>0.04008</v>
      </c>
    </row>
    <row r="745">
      <c r="A745" s="12" t="s">
        <v>6835</v>
      </c>
      <c r="G745" s="19">
        <f>IFERROR(__xludf.DUMMYFUNCTION("SPLIT(A743, "" |"")"),741.0)</f>
        <v>741</v>
      </c>
      <c r="H745" s="19">
        <f>IFERROR(__xludf.DUMMYFUNCTION("""COMPUTED_VALUE"""),0.00207)</f>
        <v>0.00207</v>
      </c>
      <c r="I745" s="19" t="str">
        <f>IFERROR(__xludf.DUMMYFUNCTION("""COMPUTED_VALUE"""),"-")</f>
        <v>-</v>
      </c>
      <c r="J745" s="19">
        <f>IFERROR(__xludf.DUMMYFUNCTION("""COMPUTED_VALUE"""),0.00191)</f>
        <v>0.00191</v>
      </c>
      <c r="K745" s="19">
        <f>IFERROR(__xludf.DUMMYFUNCTION("""COMPUTED_VALUE"""),0.04001)</f>
        <v>0.04001</v>
      </c>
      <c r="L745" s="19" t="str">
        <f>IFERROR(__xludf.DUMMYFUNCTION("""COMPUTED_VALUE"""),"-")</f>
        <v>-</v>
      </c>
      <c r="M745" s="19">
        <f>IFERROR(__xludf.DUMMYFUNCTION("""COMPUTED_VALUE"""),0.04002)</f>
        <v>0.04002</v>
      </c>
    </row>
    <row r="746">
      <c r="A746" s="12" t="s">
        <v>6836</v>
      </c>
      <c r="G746" s="19">
        <f>IFERROR(__xludf.DUMMYFUNCTION("SPLIT(A744, "" |"")"),742.0)</f>
        <v>742</v>
      </c>
      <c r="H746" s="19">
        <f>IFERROR(__xludf.DUMMYFUNCTION("""COMPUTED_VALUE"""),0.00202)</f>
        <v>0.00202</v>
      </c>
      <c r="I746" s="19" t="str">
        <f>IFERROR(__xludf.DUMMYFUNCTION("""COMPUTED_VALUE"""),"-")</f>
        <v>-</v>
      </c>
      <c r="J746" s="19">
        <f>IFERROR(__xludf.DUMMYFUNCTION("""COMPUTED_VALUE"""),0.00189)</f>
        <v>0.00189</v>
      </c>
      <c r="K746" s="19">
        <f>IFERROR(__xludf.DUMMYFUNCTION("""COMPUTED_VALUE"""),0.03605)</f>
        <v>0.03605</v>
      </c>
      <c r="L746" s="19" t="str">
        <f>IFERROR(__xludf.DUMMYFUNCTION("""COMPUTED_VALUE"""),"-")</f>
        <v>-</v>
      </c>
      <c r="M746" s="19">
        <f>IFERROR(__xludf.DUMMYFUNCTION("""COMPUTED_VALUE"""),0.03975)</f>
        <v>0.03975</v>
      </c>
    </row>
    <row r="747">
      <c r="A747" s="12" t="s">
        <v>6837</v>
      </c>
      <c r="G747" s="19">
        <f>IFERROR(__xludf.DUMMYFUNCTION("SPLIT(A745, "" |"")"),743.0)</f>
        <v>743</v>
      </c>
      <c r="H747" s="19">
        <f>IFERROR(__xludf.DUMMYFUNCTION("""COMPUTED_VALUE"""),0.00209)</f>
        <v>0.00209</v>
      </c>
      <c r="I747" s="19" t="str">
        <f>IFERROR(__xludf.DUMMYFUNCTION("""COMPUTED_VALUE"""),"-")</f>
        <v>-</v>
      </c>
      <c r="J747" s="19">
        <f>IFERROR(__xludf.DUMMYFUNCTION("""COMPUTED_VALUE"""),0.0019)</f>
        <v>0.0019</v>
      </c>
      <c r="K747" s="19">
        <f>IFERROR(__xludf.DUMMYFUNCTION("""COMPUTED_VALUE"""),0.03965)</f>
        <v>0.03965</v>
      </c>
      <c r="L747" s="19" t="str">
        <f>IFERROR(__xludf.DUMMYFUNCTION("""COMPUTED_VALUE"""),"-")</f>
        <v>-</v>
      </c>
      <c r="M747" s="19">
        <f>IFERROR(__xludf.DUMMYFUNCTION("""COMPUTED_VALUE"""),0.03979)</f>
        <v>0.03979</v>
      </c>
    </row>
    <row r="748">
      <c r="A748" s="12" t="s">
        <v>6838</v>
      </c>
      <c r="G748" s="19">
        <f>IFERROR(__xludf.DUMMYFUNCTION("SPLIT(A746, "" |"")"),744.0)</f>
        <v>744</v>
      </c>
      <c r="H748" s="19">
        <f>IFERROR(__xludf.DUMMYFUNCTION("""COMPUTED_VALUE"""),0.00217)</f>
        <v>0.00217</v>
      </c>
      <c r="I748" s="19" t="str">
        <f>IFERROR(__xludf.DUMMYFUNCTION("""COMPUTED_VALUE"""),"-")</f>
        <v>-</v>
      </c>
      <c r="J748" s="19">
        <f>IFERROR(__xludf.DUMMYFUNCTION("""COMPUTED_VALUE"""),0.00193)</f>
        <v>0.00193</v>
      </c>
      <c r="K748" s="19">
        <f>IFERROR(__xludf.DUMMYFUNCTION("""COMPUTED_VALUE"""),0.03901)</f>
        <v>0.03901</v>
      </c>
      <c r="L748" s="19" t="str">
        <f>IFERROR(__xludf.DUMMYFUNCTION("""COMPUTED_VALUE"""),"-")</f>
        <v>-</v>
      </c>
      <c r="M748" s="19">
        <f>IFERROR(__xludf.DUMMYFUNCTION("""COMPUTED_VALUE"""),0.03587)</f>
        <v>0.03587</v>
      </c>
    </row>
    <row r="749">
      <c r="A749" s="12" t="s">
        <v>6839</v>
      </c>
      <c r="G749" s="19">
        <f>IFERROR(__xludf.DUMMYFUNCTION("SPLIT(A747, "" |"")"),745.0)</f>
        <v>745</v>
      </c>
      <c r="H749" s="19">
        <f>IFERROR(__xludf.DUMMYFUNCTION("""COMPUTED_VALUE"""),0.00217)</f>
        <v>0.00217</v>
      </c>
      <c r="I749" s="19" t="str">
        <f>IFERROR(__xludf.DUMMYFUNCTION("""COMPUTED_VALUE"""),"-")</f>
        <v>-</v>
      </c>
      <c r="J749" s="19">
        <f>IFERROR(__xludf.DUMMYFUNCTION("""COMPUTED_VALUE"""),0.00193)</f>
        <v>0.00193</v>
      </c>
      <c r="K749" s="19">
        <f>IFERROR(__xludf.DUMMYFUNCTION("""COMPUTED_VALUE"""),0.03872)</f>
        <v>0.03872</v>
      </c>
      <c r="L749" s="19" t="str">
        <f>IFERROR(__xludf.DUMMYFUNCTION("""COMPUTED_VALUE"""),"-")</f>
        <v>-</v>
      </c>
      <c r="M749" s="19">
        <f>IFERROR(__xludf.DUMMYFUNCTION("""COMPUTED_VALUE"""),0.03674)</f>
        <v>0.03674</v>
      </c>
    </row>
    <row r="750">
      <c r="A750" s="12" t="s">
        <v>6840</v>
      </c>
      <c r="G750" s="19">
        <f>IFERROR(__xludf.DUMMYFUNCTION("SPLIT(A748, "" |"")"),746.0)</f>
        <v>746</v>
      </c>
      <c r="H750" s="19">
        <f>IFERROR(__xludf.DUMMYFUNCTION("""COMPUTED_VALUE"""),0.0022)</f>
        <v>0.0022</v>
      </c>
      <c r="I750" s="19" t="str">
        <f>IFERROR(__xludf.DUMMYFUNCTION("""COMPUTED_VALUE"""),"-")</f>
        <v>-</v>
      </c>
      <c r="J750" s="19">
        <f>IFERROR(__xludf.DUMMYFUNCTION("""COMPUTED_VALUE"""),0.00201)</f>
        <v>0.00201</v>
      </c>
      <c r="K750" s="19">
        <f>IFERROR(__xludf.DUMMYFUNCTION("""COMPUTED_VALUE"""),0.03871)</f>
        <v>0.03871</v>
      </c>
      <c r="L750" s="19" t="str">
        <f>IFERROR(__xludf.DUMMYFUNCTION("""COMPUTED_VALUE"""),"-")</f>
        <v>-</v>
      </c>
      <c r="M750" s="19">
        <f>IFERROR(__xludf.DUMMYFUNCTION("""COMPUTED_VALUE"""),0.04015)</f>
        <v>0.04015</v>
      </c>
    </row>
    <row r="751">
      <c r="A751" s="12" t="s">
        <v>6841</v>
      </c>
      <c r="G751" s="19">
        <f>IFERROR(__xludf.DUMMYFUNCTION("SPLIT(A749, "" |"")"),747.0)</f>
        <v>747</v>
      </c>
      <c r="H751" s="19">
        <f>IFERROR(__xludf.DUMMYFUNCTION("""COMPUTED_VALUE"""),0.00212)</f>
        <v>0.00212</v>
      </c>
      <c r="I751" s="19" t="str">
        <f>IFERROR(__xludf.DUMMYFUNCTION("""COMPUTED_VALUE"""),"-")</f>
        <v>-</v>
      </c>
      <c r="J751" s="19">
        <f>IFERROR(__xludf.DUMMYFUNCTION("""COMPUTED_VALUE"""),0.00198)</f>
        <v>0.00198</v>
      </c>
      <c r="K751" s="19">
        <f>IFERROR(__xludf.DUMMYFUNCTION("""COMPUTED_VALUE"""),0.03808)</f>
        <v>0.03808</v>
      </c>
      <c r="L751" s="19" t="str">
        <f>IFERROR(__xludf.DUMMYFUNCTION("""COMPUTED_VALUE"""),"-")</f>
        <v>-</v>
      </c>
      <c r="M751" s="19">
        <f>IFERROR(__xludf.DUMMYFUNCTION("""COMPUTED_VALUE"""),0.03981)</f>
        <v>0.03981</v>
      </c>
    </row>
    <row r="752">
      <c r="A752" s="12" t="s">
        <v>6842</v>
      </c>
      <c r="G752" s="19">
        <f>IFERROR(__xludf.DUMMYFUNCTION("SPLIT(A750, "" |"")"),748.0)</f>
        <v>748</v>
      </c>
      <c r="H752" s="19">
        <f>IFERROR(__xludf.DUMMYFUNCTION("""COMPUTED_VALUE"""),0.00211)</f>
        <v>0.00211</v>
      </c>
      <c r="I752" s="19" t="str">
        <f>IFERROR(__xludf.DUMMYFUNCTION("""COMPUTED_VALUE"""),"-")</f>
        <v>-</v>
      </c>
      <c r="J752" s="19">
        <f>IFERROR(__xludf.DUMMYFUNCTION("""COMPUTED_VALUE"""),0.00199)</f>
        <v>0.00199</v>
      </c>
      <c r="K752" s="19">
        <f>IFERROR(__xludf.DUMMYFUNCTION("""COMPUTED_VALUE"""),0.03891)</f>
        <v>0.03891</v>
      </c>
      <c r="L752" s="19" t="str">
        <f>IFERROR(__xludf.DUMMYFUNCTION("""COMPUTED_VALUE"""),"-")</f>
        <v>-</v>
      </c>
      <c r="M752" s="19">
        <f>IFERROR(__xludf.DUMMYFUNCTION("""COMPUTED_VALUE"""),0.03916)</f>
        <v>0.03916</v>
      </c>
    </row>
    <row r="753">
      <c r="A753" s="12" t="s">
        <v>6843</v>
      </c>
      <c r="G753" s="19">
        <f>IFERROR(__xludf.DUMMYFUNCTION("SPLIT(A751, "" |"")"),749.0)</f>
        <v>749</v>
      </c>
      <c r="H753" s="19">
        <f>IFERROR(__xludf.DUMMYFUNCTION("""COMPUTED_VALUE"""),0.00211)</f>
        <v>0.00211</v>
      </c>
      <c r="I753" s="19" t="str">
        <f>IFERROR(__xludf.DUMMYFUNCTION("""COMPUTED_VALUE"""),"-")</f>
        <v>-</v>
      </c>
      <c r="J753" s="19">
        <f>IFERROR(__xludf.DUMMYFUNCTION("""COMPUTED_VALUE"""),0.00192)</f>
        <v>0.00192</v>
      </c>
      <c r="K753" s="19">
        <f>IFERROR(__xludf.DUMMYFUNCTION("""COMPUTED_VALUE"""),0.03919)</f>
        <v>0.03919</v>
      </c>
      <c r="L753" s="19" t="str">
        <f>IFERROR(__xludf.DUMMYFUNCTION("""COMPUTED_VALUE"""),"-")</f>
        <v>-</v>
      </c>
      <c r="M753" s="19">
        <f>IFERROR(__xludf.DUMMYFUNCTION("""COMPUTED_VALUE"""),0.03657)</f>
        <v>0.03657</v>
      </c>
    </row>
    <row r="754">
      <c r="A754" s="12" t="s">
        <v>6844</v>
      </c>
      <c r="G754" s="19">
        <f>IFERROR(__xludf.DUMMYFUNCTION("SPLIT(A752, "" |"")"),750.0)</f>
        <v>750</v>
      </c>
      <c r="H754" s="19">
        <f>IFERROR(__xludf.DUMMYFUNCTION("""COMPUTED_VALUE"""),0.00215)</f>
        <v>0.00215</v>
      </c>
      <c r="I754" s="19" t="str">
        <f>IFERROR(__xludf.DUMMYFUNCTION("""COMPUTED_VALUE"""),"-")</f>
        <v>-</v>
      </c>
      <c r="J754" s="19">
        <f>IFERROR(__xludf.DUMMYFUNCTION("""COMPUTED_VALUE"""),0.00186)</f>
        <v>0.00186</v>
      </c>
      <c r="K754" s="19">
        <f>IFERROR(__xludf.DUMMYFUNCTION("""COMPUTED_VALUE"""),0.03934)</f>
        <v>0.03934</v>
      </c>
      <c r="L754" s="19" t="str">
        <f>IFERROR(__xludf.DUMMYFUNCTION("""COMPUTED_VALUE"""),"-")</f>
        <v>-</v>
      </c>
      <c r="M754" s="19">
        <f>IFERROR(__xludf.DUMMYFUNCTION("""COMPUTED_VALUE"""),0.03895)</f>
        <v>0.03895</v>
      </c>
    </row>
    <row r="755">
      <c r="A755" s="12" t="s">
        <v>6845</v>
      </c>
      <c r="G755" s="19">
        <f>IFERROR(__xludf.DUMMYFUNCTION("SPLIT(A753, "" |"")"),751.0)</f>
        <v>751</v>
      </c>
      <c r="H755" s="19">
        <f>IFERROR(__xludf.DUMMYFUNCTION("""COMPUTED_VALUE"""),0.00217)</f>
        <v>0.00217</v>
      </c>
      <c r="I755" s="19" t="str">
        <f>IFERROR(__xludf.DUMMYFUNCTION("""COMPUTED_VALUE"""),"-")</f>
        <v>-</v>
      </c>
      <c r="J755" s="19">
        <f>IFERROR(__xludf.DUMMYFUNCTION("""COMPUTED_VALUE"""),0.00195)</f>
        <v>0.00195</v>
      </c>
      <c r="K755" s="19">
        <f>IFERROR(__xludf.DUMMYFUNCTION("""COMPUTED_VALUE"""),0.03593)</f>
        <v>0.03593</v>
      </c>
      <c r="L755" s="19" t="str">
        <f>IFERROR(__xludf.DUMMYFUNCTION("""COMPUTED_VALUE"""),"-")</f>
        <v>-</v>
      </c>
      <c r="M755" s="19">
        <f>IFERROR(__xludf.DUMMYFUNCTION("""COMPUTED_VALUE"""),0.0392)</f>
        <v>0.0392</v>
      </c>
    </row>
    <row r="756">
      <c r="A756" s="12" t="s">
        <v>6846</v>
      </c>
      <c r="G756" s="19">
        <f>IFERROR(__xludf.DUMMYFUNCTION("SPLIT(A754, "" |"")"),752.0)</f>
        <v>752</v>
      </c>
      <c r="H756" s="19">
        <f>IFERROR(__xludf.DUMMYFUNCTION("""COMPUTED_VALUE"""),0.00223)</f>
        <v>0.00223</v>
      </c>
      <c r="I756" s="19" t="str">
        <f>IFERROR(__xludf.DUMMYFUNCTION("""COMPUTED_VALUE"""),"-")</f>
        <v>-</v>
      </c>
      <c r="J756" s="19">
        <f>IFERROR(__xludf.DUMMYFUNCTION("""COMPUTED_VALUE"""),0.00205)</f>
        <v>0.00205</v>
      </c>
      <c r="K756" s="19">
        <f>IFERROR(__xludf.DUMMYFUNCTION("""COMPUTED_VALUE"""),0.03957)</f>
        <v>0.03957</v>
      </c>
      <c r="L756" s="19" t="str">
        <f>IFERROR(__xludf.DUMMYFUNCTION("""COMPUTED_VALUE"""),"-")</f>
        <v>-</v>
      </c>
      <c r="M756" s="19">
        <f>IFERROR(__xludf.DUMMYFUNCTION("""COMPUTED_VALUE"""),0.0395)</f>
        <v>0.0395</v>
      </c>
    </row>
    <row r="757">
      <c r="A757" s="12" t="s">
        <v>6847</v>
      </c>
      <c r="G757" s="19">
        <f>IFERROR(__xludf.DUMMYFUNCTION("SPLIT(A755, "" |"")"),753.0)</f>
        <v>753</v>
      </c>
      <c r="H757" s="19">
        <f>IFERROR(__xludf.DUMMYFUNCTION("""COMPUTED_VALUE"""),0.00215)</f>
        <v>0.00215</v>
      </c>
      <c r="I757" s="19" t="str">
        <f>IFERROR(__xludf.DUMMYFUNCTION("""COMPUTED_VALUE"""),"-")</f>
        <v>-</v>
      </c>
      <c r="J757" s="19">
        <f>IFERROR(__xludf.DUMMYFUNCTION("""COMPUTED_VALUE"""),0.00189)</f>
        <v>0.00189</v>
      </c>
      <c r="K757" s="19">
        <f>IFERROR(__xludf.DUMMYFUNCTION("""COMPUTED_VALUE"""),0.03888)</f>
        <v>0.03888</v>
      </c>
      <c r="L757" s="19" t="str">
        <f>IFERROR(__xludf.DUMMYFUNCTION("""COMPUTED_VALUE"""),"-")</f>
        <v>-</v>
      </c>
      <c r="M757" s="19">
        <f>IFERROR(__xludf.DUMMYFUNCTION("""COMPUTED_VALUE"""),0.03793)</f>
        <v>0.03793</v>
      </c>
    </row>
    <row r="758">
      <c r="A758" s="12" t="s">
        <v>6848</v>
      </c>
      <c r="G758" s="19">
        <f>IFERROR(__xludf.DUMMYFUNCTION("SPLIT(A756, "" |"")"),754.0)</f>
        <v>754</v>
      </c>
      <c r="H758" s="19">
        <f>IFERROR(__xludf.DUMMYFUNCTION("""COMPUTED_VALUE"""),0.00207)</f>
        <v>0.00207</v>
      </c>
      <c r="I758" s="19" t="str">
        <f>IFERROR(__xludf.DUMMYFUNCTION("""COMPUTED_VALUE"""),"-")</f>
        <v>-</v>
      </c>
      <c r="J758" s="19">
        <f>IFERROR(__xludf.DUMMYFUNCTION("""COMPUTED_VALUE"""),0.00186)</f>
        <v>0.00186</v>
      </c>
      <c r="K758" s="19">
        <f>IFERROR(__xludf.DUMMYFUNCTION("""COMPUTED_VALUE"""),0.03999)</f>
        <v>0.03999</v>
      </c>
      <c r="L758" s="19" t="str">
        <f>IFERROR(__xludf.DUMMYFUNCTION("""COMPUTED_VALUE"""),"-")</f>
        <v>-</v>
      </c>
      <c r="M758" s="19">
        <f>IFERROR(__xludf.DUMMYFUNCTION("""COMPUTED_VALUE"""),0.03749)</f>
        <v>0.03749</v>
      </c>
    </row>
    <row r="759">
      <c r="A759" s="12" t="s">
        <v>6849</v>
      </c>
      <c r="G759" s="19">
        <f>IFERROR(__xludf.DUMMYFUNCTION("SPLIT(A757, "" |"")"),755.0)</f>
        <v>755</v>
      </c>
      <c r="H759" s="19">
        <f>IFERROR(__xludf.DUMMYFUNCTION("""COMPUTED_VALUE"""),0.00207)</f>
        <v>0.00207</v>
      </c>
      <c r="I759" s="19" t="str">
        <f>IFERROR(__xludf.DUMMYFUNCTION("""COMPUTED_VALUE"""),"-")</f>
        <v>-</v>
      </c>
      <c r="J759" s="19">
        <f>IFERROR(__xludf.DUMMYFUNCTION("""COMPUTED_VALUE"""),0.00191)</f>
        <v>0.00191</v>
      </c>
      <c r="K759" s="19">
        <f>IFERROR(__xludf.DUMMYFUNCTION("""COMPUTED_VALUE"""),0.04005)</f>
        <v>0.04005</v>
      </c>
      <c r="L759" s="19" t="str">
        <f>IFERROR(__xludf.DUMMYFUNCTION("""COMPUTED_VALUE"""),"-")</f>
        <v>-</v>
      </c>
      <c r="M759" s="19">
        <f>IFERROR(__xludf.DUMMYFUNCTION("""COMPUTED_VALUE"""),0.04372)</f>
        <v>0.04372</v>
      </c>
    </row>
    <row r="760">
      <c r="A760" s="12" t="s">
        <v>6850</v>
      </c>
      <c r="G760" s="19">
        <f>IFERROR(__xludf.DUMMYFUNCTION("SPLIT(A758, "" |"")"),756.0)</f>
        <v>756</v>
      </c>
      <c r="H760" s="19">
        <f>IFERROR(__xludf.DUMMYFUNCTION("""COMPUTED_VALUE"""),0.00312)</f>
        <v>0.00312</v>
      </c>
      <c r="I760" s="19" t="str">
        <f>IFERROR(__xludf.DUMMYFUNCTION("""COMPUTED_VALUE"""),"-")</f>
        <v>-</v>
      </c>
      <c r="J760" s="19">
        <f>IFERROR(__xludf.DUMMYFUNCTION("""COMPUTED_VALUE"""),0.00269)</f>
        <v>0.00269</v>
      </c>
      <c r="K760" s="19">
        <f>IFERROR(__xludf.DUMMYFUNCTION("""COMPUTED_VALUE"""),0.04079)</f>
        <v>0.04079</v>
      </c>
      <c r="L760" s="19" t="str">
        <f>IFERROR(__xludf.DUMMYFUNCTION("""COMPUTED_VALUE"""),"-")</f>
        <v>-</v>
      </c>
      <c r="M760" s="19">
        <f>IFERROR(__xludf.DUMMYFUNCTION("""COMPUTED_VALUE"""),0.0399)</f>
        <v>0.0399</v>
      </c>
    </row>
    <row r="761">
      <c r="A761" s="12" t="s">
        <v>6851</v>
      </c>
      <c r="G761" s="19">
        <f>IFERROR(__xludf.DUMMYFUNCTION("SPLIT(A759, "" |"")"),757.0)</f>
        <v>757</v>
      </c>
      <c r="H761" s="19">
        <f>IFERROR(__xludf.DUMMYFUNCTION("""COMPUTED_VALUE"""),0.00206)</f>
        <v>0.00206</v>
      </c>
      <c r="I761" s="19" t="str">
        <f>IFERROR(__xludf.DUMMYFUNCTION("""COMPUTED_VALUE"""),"-")</f>
        <v>-</v>
      </c>
      <c r="J761" s="19">
        <f>IFERROR(__xludf.DUMMYFUNCTION("""COMPUTED_VALUE"""),0.00189)</f>
        <v>0.00189</v>
      </c>
      <c r="K761" s="19">
        <f>IFERROR(__xludf.DUMMYFUNCTION("""COMPUTED_VALUE"""),0.03996)</f>
        <v>0.03996</v>
      </c>
      <c r="L761" s="19" t="str">
        <f>IFERROR(__xludf.DUMMYFUNCTION("""COMPUTED_VALUE"""),"-")</f>
        <v>-</v>
      </c>
      <c r="M761" s="19">
        <f>IFERROR(__xludf.DUMMYFUNCTION("""COMPUTED_VALUE"""),0.03978)</f>
        <v>0.03978</v>
      </c>
    </row>
    <row r="762">
      <c r="A762" s="12" t="s">
        <v>6852</v>
      </c>
      <c r="G762" s="19">
        <f>IFERROR(__xludf.DUMMYFUNCTION("SPLIT(A760, "" |"")"),758.0)</f>
        <v>758</v>
      </c>
      <c r="H762" s="19">
        <f>IFERROR(__xludf.DUMMYFUNCTION("""COMPUTED_VALUE"""),0.00206)</f>
        <v>0.00206</v>
      </c>
      <c r="I762" s="19" t="str">
        <f>IFERROR(__xludf.DUMMYFUNCTION("""COMPUTED_VALUE"""),"-")</f>
        <v>-</v>
      </c>
      <c r="J762" s="19">
        <f>IFERROR(__xludf.DUMMYFUNCTION("""COMPUTED_VALUE"""),0.0019)</f>
        <v>0.0019</v>
      </c>
      <c r="K762" s="19">
        <f>IFERROR(__xludf.DUMMYFUNCTION("""COMPUTED_VALUE"""),0.03934)</f>
        <v>0.03934</v>
      </c>
      <c r="L762" s="19" t="str">
        <f>IFERROR(__xludf.DUMMYFUNCTION("""COMPUTED_VALUE"""),"-")</f>
        <v>-</v>
      </c>
      <c r="M762" s="19">
        <f>IFERROR(__xludf.DUMMYFUNCTION("""COMPUTED_VALUE"""),0.03975)</f>
        <v>0.03975</v>
      </c>
    </row>
    <row r="763">
      <c r="A763" s="12" t="s">
        <v>6853</v>
      </c>
      <c r="G763" s="19">
        <f>IFERROR(__xludf.DUMMYFUNCTION("SPLIT(A761, "" |"")"),759.0)</f>
        <v>759</v>
      </c>
      <c r="H763" s="19">
        <f>IFERROR(__xludf.DUMMYFUNCTION("""COMPUTED_VALUE"""),0.00208)</f>
        <v>0.00208</v>
      </c>
      <c r="I763" s="19" t="str">
        <f>IFERROR(__xludf.DUMMYFUNCTION("""COMPUTED_VALUE"""),"-")</f>
        <v>-</v>
      </c>
      <c r="J763" s="19">
        <f>IFERROR(__xludf.DUMMYFUNCTION("""COMPUTED_VALUE"""),0.00191)</f>
        <v>0.00191</v>
      </c>
      <c r="K763" s="19">
        <f>IFERROR(__xludf.DUMMYFUNCTION("""COMPUTED_VALUE"""),0.03961)</f>
        <v>0.03961</v>
      </c>
      <c r="L763" s="19" t="str">
        <f>IFERROR(__xludf.DUMMYFUNCTION("""COMPUTED_VALUE"""),"-")</f>
        <v>-</v>
      </c>
      <c r="M763" s="19">
        <f>IFERROR(__xludf.DUMMYFUNCTION("""COMPUTED_VALUE"""),0.03969)</f>
        <v>0.03969</v>
      </c>
    </row>
    <row r="764">
      <c r="A764" s="12" t="s">
        <v>6854</v>
      </c>
      <c r="G764" s="19">
        <f>IFERROR(__xludf.DUMMYFUNCTION("SPLIT(A762, "" |"")"),760.0)</f>
        <v>760</v>
      </c>
      <c r="H764" s="19">
        <f>IFERROR(__xludf.DUMMYFUNCTION("""COMPUTED_VALUE"""),0.00204)</f>
        <v>0.00204</v>
      </c>
      <c r="I764" s="19" t="str">
        <f>IFERROR(__xludf.DUMMYFUNCTION("""COMPUTED_VALUE"""),"-")</f>
        <v>-</v>
      </c>
      <c r="J764" s="19">
        <f>IFERROR(__xludf.DUMMYFUNCTION("""COMPUTED_VALUE"""),0.00192)</f>
        <v>0.00192</v>
      </c>
      <c r="K764" s="19">
        <f>IFERROR(__xludf.DUMMYFUNCTION("""COMPUTED_VALUE"""),0.03915)</f>
        <v>0.03915</v>
      </c>
      <c r="L764" s="19" t="str">
        <f>IFERROR(__xludf.DUMMYFUNCTION("""COMPUTED_VALUE"""),"-")</f>
        <v>-</v>
      </c>
      <c r="M764" s="19">
        <f>IFERROR(__xludf.DUMMYFUNCTION("""COMPUTED_VALUE"""),0.04007)</f>
        <v>0.04007</v>
      </c>
    </row>
    <row r="765">
      <c r="A765" s="12" t="s">
        <v>6855</v>
      </c>
      <c r="G765" s="19">
        <f>IFERROR(__xludf.DUMMYFUNCTION("SPLIT(A763, "" |"")"),761.0)</f>
        <v>761</v>
      </c>
      <c r="H765" s="19">
        <f>IFERROR(__xludf.DUMMYFUNCTION("""COMPUTED_VALUE"""),0.00201)</f>
        <v>0.00201</v>
      </c>
      <c r="I765" s="19" t="str">
        <f>IFERROR(__xludf.DUMMYFUNCTION("""COMPUTED_VALUE"""),"-")</f>
        <v>-</v>
      </c>
      <c r="J765" s="19">
        <f>IFERROR(__xludf.DUMMYFUNCTION("""COMPUTED_VALUE"""),0.00189)</f>
        <v>0.00189</v>
      </c>
      <c r="K765" s="19">
        <f>IFERROR(__xludf.DUMMYFUNCTION("""COMPUTED_VALUE"""),0.03964)</f>
        <v>0.03964</v>
      </c>
      <c r="L765" s="19" t="str">
        <f>IFERROR(__xludf.DUMMYFUNCTION("""COMPUTED_VALUE"""),"-")</f>
        <v>-</v>
      </c>
      <c r="M765" s="19">
        <f>IFERROR(__xludf.DUMMYFUNCTION("""COMPUTED_VALUE"""),0.04023)</f>
        <v>0.04023</v>
      </c>
    </row>
    <row r="766">
      <c r="A766" s="12" t="s">
        <v>6856</v>
      </c>
      <c r="G766" s="19">
        <f>IFERROR(__xludf.DUMMYFUNCTION("SPLIT(A764, "" |"")"),762.0)</f>
        <v>762</v>
      </c>
      <c r="H766" s="19">
        <f>IFERROR(__xludf.DUMMYFUNCTION("""COMPUTED_VALUE"""),0.00204)</f>
        <v>0.00204</v>
      </c>
      <c r="I766" s="19" t="str">
        <f>IFERROR(__xludf.DUMMYFUNCTION("""COMPUTED_VALUE"""),"-")</f>
        <v>-</v>
      </c>
      <c r="J766" s="19">
        <f>IFERROR(__xludf.DUMMYFUNCTION("""COMPUTED_VALUE"""),0.00189)</f>
        <v>0.00189</v>
      </c>
      <c r="K766" s="19">
        <f>IFERROR(__xludf.DUMMYFUNCTION("""COMPUTED_VALUE"""),0.03965)</f>
        <v>0.03965</v>
      </c>
      <c r="L766" s="19" t="str">
        <f>IFERROR(__xludf.DUMMYFUNCTION("""COMPUTED_VALUE"""),"-")</f>
        <v>-</v>
      </c>
      <c r="M766" s="19">
        <f>IFERROR(__xludf.DUMMYFUNCTION("""COMPUTED_VALUE"""),0.03887)</f>
        <v>0.03887</v>
      </c>
    </row>
    <row r="767">
      <c r="A767" s="12" t="s">
        <v>6857</v>
      </c>
      <c r="G767" s="19">
        <f>IFERROR(__xludf.DUMMYFUNCTION("SPLIT(A765, "" |"")"),763.0)</f>
        <v>763</v>
      </c>
      <c r="H767" s="19">
        <f>IFERROR(__xludf.DUMMYFUNCTION("""COMPUTED_VALUE"""),0.00249)</f>
        <v>0.00249</v>
      </c>
      <c r="I767" s="19" t="str">
        <f>IFERROR(__xludf.DUMMYFUNCTION("""COMPUTED_VALUE"""),"-")</f>
        <v>-</v>
      </c>
      <c r="J767" s="19">
        <f>IFERROR(__xludf.DUMMYFUNCTION("""COMPUTED_VALUE"""),0.0022)</f>
        <v>0.0022</v>
      </c>
      <c r="K767" s="19">
        <f>IFERROR(__xludf.DUMMYFUNCTION("""COMPUTED_VALUE"""),0.04019)</f>
        <v>0.04019</v>
      </c>
      <c r="L767" s="19" t="str">
        <f>IFERROR(__xludf.DUMMYFUNCTION("""COMPUTED_VALUE"""),"-")</f>
        <v>-</v>
      </c>
      <c r="M767" s="19">
        <f>IFERROR(__xludf.DUMMYFUNCTION("""COMPUTED_VALUE"""),0.03581)</f>
        <v>0.03581</v>
      </c>
    </row>
    <row r="768">
      <c r="A768" s="12" t="s">
        <v>6858</v>
      </c>
      <c r="G768" s="19">
        <f>IFERROR(__xludf.DUMMYFUNCTION("SPLIT(A766, "" |"")"),764.0)</f>
        <v>764</v>
      </c>
      <c r="H768" s="19">
        <f>IFERROR(__xludf.DUMMYFUNCTION("""COMPUTED_VALUE"""),0.00215)</f>
        <v>0.00215</v>
      </c>
      <c r="I768" s="19" t="str">
        <f>IFERROR(__xludf.DUMMYFUNCTION("""COMPUTED_VALUE"""),"-")</f>
        <v>-</v>
      </c>
      <c r="J768" s="19">
        <f>IFERROR(__xludf.DUMMYFUNCTION("""COMPUTED_VALUE"""),0.00214)</f>
        <v>0.00214</v>
      </c>
      <c r="K768" s="19">
        <f>IFERROR(__xludf.DUMMYFUNCTION("""COMPUTED_VALUE"""),0.03913)</f>
        <v>0.03913</v>
      </c>
      <c r="L768" s="19" t="str">
        <f>IFERROR(__xludf.DUMMYFUNCTION("""COMPUTED_VALUE"""),"-")</f>
        <v>-</v>
      </c>
      <c r="M768" s="19">
        <f>IFERROR(__xludf.DUMMYFUNCTION("""COMPUTED_VALUE"""),0.04054)</f>
        <v>0.04054</v>
      </c>
    </row>
    <row r="769">
      <c r="A769" s="12" t="s">
        <v>6859</v>
      </c>
      <c r="G769" s="19">
        <f>IFERROR(__xludf.DUMMYFUNCTION("SPLIT(A767, "" |"")"),765.0)</f>
        <v>765</v>
      </c>
      <c r="H769" s="19">
        <f>IFERROR(__xludf.DUMMYFUNCTION("""COMPUTED_VALUE"""),0.00224)</f>
        <v>0.00224</v>
      </c>
      <c r="I769" s="19" t="str">
        <f>IFERROR(__xludf.DUMMYFUNCTION("""COMPUTED_VALUE"""),"-")</f>
        <v>-</v>
      </c>
      <c r="J769" s="19">
        <f>IFERROR(__xludf.DUMMYFUNCTION("""COMPUTED_VALUE"""),0.00217)</f>
        <v>0.00217</v>
      </c>
      <c r="K769" s="19">
        <f>IFERROR(__xludf.DUMMYFUNCTION("""COMPUTED_VALUE"""),0.03965)</f>
        <v>0.03965</v>
      </c>
      <c r="L769" s="19" t="str">
        <f>IFERROR(__xludf.DUMMYFUNCTION("""COMPUTED_VALUE"""),"-")</f>
        <v>-</v>
      </c>
      <c r="M769" s="19">
        <f>IFERROR(__xludf.DUMMYFUNCTION("""COMPUTED_VALUE"""),0.04024)</f>
        <v>0.04024</v>
      </c>
    </row>
    <row r="770">
      <c r="A770" s="12" t="s">
        <v>6860</v>
      </c>
      <c r="G770" s="19">
        <f>IFERROR(__xludf.DUMMYFUNCTION("SPLIT(A768, "" |"")"),766.0)</f>
        <v>766</v>
      </c>
      <c r="H770" s="19">
        <f>IFERROR(__xludf.DUMMYFUNCTION("""COMPUTED_VALUE"""),0.0023)</f>
        <v>0.0023</v>
      </c>
      <c r="I770" s="19" t="str">
        <f>IFERROR(__xludf.DUMMYFUNCTION("""COMPUTED_VALUE"""),"-")</f>
        <v>-</v>
      </c>
      <c r="J770" s="19">
        <f>IFERROR(__xludf.DUMMYFUNCTION("""COMPUTED_VALUE"""),0.00206)</f>
        <v>0.00206</v>
      </c>
      <c r="K770" s="19">
        <f>IFERROR(__xludf.DUMMYFUNCTION("""COMPUTED_VALUE"""),0.04006)</f>
        <v>0.04006</v>
      </c>
      <c r="L770" s="19" t="str">
        <f>IFERROR(__xludf.DUMMYFUNCTION("""COMPUTED_VALUE"""),"-")</f>
        <v>-</v>
      </c>
      <c r="M770" s="19">
        <f>IFERROR(__xludf.DUMMYFUNCTION("""COMPUTED_VALUE"""),0.03991)</f>
        <v>0.03991</v>
      </c>
    </row>
    <row r="771">
      <c r="A771" s="12" t="s">
        <v>6861</v>
      </c>
      <c r="G771" s="19">
        <f>IFERROR(__xludf.DUMMYFUNCTION("SPLIT(A769, "" |"")"),767.0)</f>
        <v>767</v>
      </c>
      <c r="H771" s="19">
        <f>IFERROR(__xludf.DUMMYFUNCTION("""COMPUTED_VALUE"""),0.00216)</f>
        <v>0.00216</v>
      </c>
      <c r="I771" s="19" t="str">
        <f>IFERROR(__xludf.DUMMYFUNCTION("""COMPUTED_VALUE"""),"-")</f>
        <v>-</v>
      </c>
      <c r="J771" s="19">
        <f>IFERROR(__xludf.DUMMYFUNCTION("""COMPUTED_VALUE"""),0.00193)</f>
        <v>0.00193</v>
      </c>
      <c r="K771" s="19">
        <f>IFERROR(__xludf.DUMMYFUNCTION("""COMPUTED_VALUE"""),0.03944)</f>
        <v>0.03944</v>
      </c>
      <c r="L771" s="19" t="str">
        <f>IFERROR(__xludf.DUMMYFUNCTION("""COMPUTED_VALUE"""),"-")</f>
        <v>-</v>
      </c>
      <c r="M771" s="19">
        <f>IFERROR(__xludf.DUMMYFUNCTION("""COMPUTED_VALUE"""),0.04048)</f>
        <v>0.04048</v>
      </c>
    </row>
    <row r="772">
      <c r="A772" s="12" t="s">
        <v>6862</v>
      </c>
      <c r="G772" s="19">
        <f>IFERROR(__xludf.DUMMYFUNCTION("SPLIT(A770, "" |"")"),768.0)</f>
        <v>768</v>
      </c>
      <c r="H772" s="19">
        <f>IFERROR(__xludf.DUMMYFUNCTION("""COMPUTED_VALUE"""),0.00227)</f>
        <v>0.00227</v>
      </c>
      <c r="I772" s="19" t="str">
        <f>IFERROR(__xludf.DUMMYFUNCTION("""COMPUTED_VALUE"""),"-")</f>
        <v>-</v>
      </c>
      <c r="J772" s="19">
        <f>IFERROR(__xludf.DUMMYFUNCTION("""COMPUTED_VALUE"""),0.00194)</f>
        <v>0.00194</v>
      </c>
      <c r="K772" s="19">
        <f>IFERROR(__xludf.DUMMYFUNCTION("""COMPUTED_VALUE"""),0.039)</f>
        <v>0.039</v>
      </c>
      <c r="L772" s="19" t="str">
        <f>IFERROR(__xludf.DUMMYFUNCTION("""COMPUTED_VALUE"""),"-")</f>
        <v>-</v>
      </c>
      <c r="M772" s="19">
        <f>IFERROR(__xludf.DUMMYFUNCTION("""COMPUTED_VALUE"""),0.03992)</f>
        <v>0.03992</v>
      </c>
    </row>
    <row r="773">
      <c r="A773" s="12" t="s">
        <v>6863</v>
      </c>
      <c r="G773" s="19">
        <f>IFERROR(__xludf.DUMMYFUNCTION("SPLIT(A771, "" |"")"),769.0)</f>
        <v>769</v>
      </c>
      <c r="H773" s="19">
        <f>IFERROR(__xludf.DUMMYFUNCTION("""COMPUTED_VALUE"""),0.00213)</f>
        <v>0.00213</v>
      </c>
      <c r="I773" s="19" t="str">
        <f>IFERROR(__xludf.DUMMYFUNCTION("""COMPUTED_VALUE"""),"-")</f>
        <v>-</v>
      </c>
      <c r="J773" s="19">
        <f>IFERROR(__xludf.DUMMYFUNCTION("""COMPUTED_VALUE"""),0.00187)</f>
        <v>0.00187</v>
      </c>
      <c r="K773" s="19">
        <f>IFERROR(__xludf.DUMMYFUNCTION("""COMPUTED_VALUE"""),0.03959)</f>
        <v>0.03959</v>
      </c>
      <c r="L773" s="19" t="str">
        <f>IFERROR(__xludf.DUMMYFUNCTION("""COMPUTED_VALUE"""),"-")</f>
        <v>-</v>
      </c>
      <c r="M773" s="19">
        <f>IFERROR(__xludf.DUMMYFUNCTION("""COMPUTED_VALUE"""),0.03963)</f>
        <v>0.03963</v>
      </c>
    </row>
    <row r="774">
      <c r="A774" s="12" t="s">
        <v>6864</v>
      </c>
      <c r="G774" s="19">
        <f>IFERROR(__xludf.DUMMYFUNCTION("SPLIT(A772, "" |"")"),770.0)</f>
        <v>770</v>
      </c>
      <c r="H774" s="19">
        <f>IFERROR(__xludf.DUMMYFUNCTION("""COMPUTED_VALUE"""),0.00217)</f>
        <v>0.00217</v>
      </c>
      <c r="I774" s="19" t="str">
        <f>IFERROR(__xludf.DUMMYFUNCTION("""COMPUTED_VALUE"""),"-")</f>
        <v>-</v>
      </c>
      <c r="J774" s="19">
        <f>IFERROR(__xludf.DUMMYFUNCTION("""COMPUTED_VALUE"""),0.00192)</f>
        <v>0.00192</v>
      </c>
      <c r="K774" s="19">
        <f>IFERROR(__xludf.DUMMYFUNCTION("""COMPUTED_VALUE"""),0.03996)</f>
        <v>0.03996</v>
      </c>
      <c r="L774" s="19" t="str">
        <f>IFERROR(__xludf.DUMMYFUNCTION("""COMPUTED_VALUE"""),"-")</f>
        <v>-</v>
      </c>
      <c r="M774" s="19">
        <f>IFERROR(__xludf.DUMMYFUNCTION("""COMPUTED_VALUE"""),0.03629)</f>
        <v>0.03629</v>
      </c>
    </row>
    <row r="775">
      <c r="A775" s="12" t="s">
        <v>6865</v>
      </c>
      <c r="G775" s="19">
        <f>IFERROR(__xludf.DUMMYFUNCTION("SPLIT(A773, "" |"")"),771.0)</f>
        <v>771</v>
      </c>
      <c r="H775" s="19">
        <f>IFERROR(__xludf.DUMMYFUNCTION("""COMPUTED_VALUE"""),0.0021)</f>
        <v>0.0021</v>
      </c>
      <c r="I775" s="19" t="str">
        <f>IFERROR(__xludf.DUMMYFUNCTION("""COMPUTED_VALUE"""),"-")</f>
        <v>-</v>
      </c>
      <c r="J775" s="19">
        <f>IFERROR(__xludf.DUMMYFUNCTION("""COMPUTED_VALUE"""),0.00189)</f>
        <v>0.00189</v>
      </c>
      <c r="K775" s="19">
        <f>IFERROR(__xludf.DUMMYFUNCTION("""COMPUTED_VALUE"""),0.04007)</f>
        <v>0.04007</v>
      </c>
      <c r="L775" s="19" t="str">
        <f>IFERROR(__xludf.DUMMYFUNCTION("""COMPUTED_VALUE"""),"-")</f>
        <v>-</v>
      </c>
      <c r="M775" s="19">
        <f>IFERROR(__xludf.DUMMYFUNCTION("""COMPUTED_VALUE"""),0.04026)</f>
        <v>0.04026</v>
      </c>
    </row>
    <row r="776">
      <c r="A776" s="12" t="s">
        <v>6866</v>
      </c>
      <c r="G776" s="19">
        <f>IFERROR(__xludf.DUMMYFUNCTION("SPLIT(A774, "" |"")"),772.0)</f>
        <v>772</v>
      </c>
      <c r="H776" s="19">
        <f>IFERROR(__xludf.DUMMYFUNCTION("""COMPUTED_VALUE"""),0.00205)</f>
        <v>0.00205</v>
      </c>
      <c r="I776" s="19" t="str">
        <f>IFERROR(__xludf.DUMMYFUNCTION("""COMPUTED_VALUE"""),"-")</f>
        <v>-</v>
      </c>
      <c r="J776" s="19">
        <f>IFERROR(__xludf.DUMMYFUNCTION("""COMPUTED_VALUE"""),0.00212)</f>
        <v>0.00212</v>
      </c>
      <c r="K776" s="19">
        <f>IFERROR(__xludf.DUMMYFUNCTION("""COMPUTED_VALUE"""),0.04004)</f>
        <v>0.04004</v>
      </c>
      <c r="L776" s="19" t="str">
        <f>IFERROR(__xludf.DUMMYFUNCTION("""COMPUTED_VALUE"""),"-")</f>
        <v>-</v>
      </c>
      <c r="M776" s="19">
        <f>IFERROR(__xludf.DUMMYFUNCTION("""COMPUTED_VALUE"""),0.03994)</f>
        <v>0.03994</v>
      </c>
    </row>
    <row r="777">
      <c r="A777" s="12" t="s">
        <v>6867</v>
      </c>
      <c r="G777" s="19">
        <f>IFERROR(__xludf.DUMMYFUNCTION("SPLIT(A775, "" |"")"),773.0)</f>
        <v>773</v>
      </c>
      <c r="H777" s="19">
        <f>IFERROR(__xludf.DUMMYFUNCTION("""COMPUTED_VALUE"""),0.00213)</f>
        <v>0.00213</v>
      </c>
      <c r="I777" s="19" t="str">
        <f>IFERROR(__xludf.DUMMYFUNCTION("""COMPUTED_VALUE"""),"-")</f>
        <v>-</v>
      </c>
      <c r="J777" s="19">
        <f>IFERROR(__xludf.DUMMYFUNCTION("""COMPUTED_VALUE"""),0.00285)</f>
        <v>0.00285</v>
      </c>
      <c r="K777" s="19">
        <f>IFERROR(__xludf.DUMMYFUNCTION("""COMPUTED_VALUE"""),0.03977)</f>
        <v>0.03977</v>
      </c>
      <c r="L777" s="19" t="str">
        <f>IFERROR(__xludf.DUMMYFUNCTION("""COMPUTED_VALUE"""),"-")</f>
        <v>-</v>
      </c>
      <c r="M777" s="19">
        <f>IFERROR(__xludf.DUMMYFUNCTION("""COMPUTED_VALUE"""),0.04042)</f>
        <v>0.04042</v>
      </c>
    </row>
    <row r="778">
      <c r="A778" s="12" t="s">
        <v>6868</v>
      </c>
      <c r="G778" s="19">
        <f>IFERROR(__xludf.DUMMYFUNCTION("SPLIT(A776, "" |"")"),774.0)</f>
        <v>774</v>
      </c>
      <c r="H778" s="19">
        <f>IFERROR(__xludf.DUMMYFUNCTION("""COMPUTED_VALUE"""),0.0023)</f>
        <v>0.0023</v>
      </c>
      <c r="I778" s="19" t="str">
        <f>IFERROR(__xludf.DUMMYFUNCTION("""COMPUTED_VALUE"""),"-")</f>
        <v>-</v>
      </c>
      <c r="J778" s="19">
        <f>IFERROR(__xludf.DUMMYFUNCTION("""COMPUTED_VALUE"""),0.00198)</f>
        <v>0.00198</v>
      </c>
      <c r="K778" s="19">
        <f>IFERROR(__xludf.DUMMYFUNCTION("""COMPUTED_VALUE"""),0.07464)</f>
        <v>0.07464</v>
      </c>
      <c r="L778" s="19" t="str">
        <f>IFERROR(__xludf.DUMMYFUNCTION("""COMPUTED_VALUE"""),"-")</f>
        <v>-</v>
      </c>
      <c r="M778" s="19">
        <f>IFERROR(__xludf.DUMMYFUNCTION("""COMPUTED_VALUE"""),0.04044)</f>
        <v>0.04044</v>
      </c>
    </row>
    <row r="779">
      <c r="A779" s="12" t="s">
        <v>6869</v>
      </c>
      <c r="G779" s="19">
        <f>IFERROR(__xludf.DUMMYFUNCTION("SPLIT(A777, "" |"")"),775.0)</f>
        <v>775</v>
      </c>
      <c r="H779" s="19">
        <f>IFERROR(__xludf.DUMMYFUNCTION("""COMPUTED_VALUE"""),0.00212)</f>
        <v>0.00212</v>
      </c>
      <c r="I779" s="19" t="str">
        <f>IFERROR(__xludf.DUMMYFUNCTION("""COMPUTED_VALUE"""),"-")</f>
        <v>-</v>
      </c>
      <c r="J779" s="19">
        <f>IFERROR(__xludf.DUMMYFUNCTION("""COMPUTED_VALUE"""),0.00193)</f>
        <v>0.00193</v>
      </c>
      <c r="K779" s="19">
        <f>IFERROR(__xludf.DUMMYFUNCTION("""COMPUTED_VALUE"""),0.03983)</f>
        <v>0.03983</v>
      </c>
      <c r="L779" s="19" t="str">
        <f>IFERROR(__xludf.DUMMYFUNCTION("""COMPUTED_VALUE"""),"-")</f>
        <v>-</v>
      </c>
      <c r="M779" s="19">
        <f>IFERROR(__xludf.DUMMYFUNCTION("""COMPUTED_VALUE"""),0.03985)</f>
        <v>0.03985</v>
      </c>
    </row>
    <row r="780">
      <c r="A780" s="12" t="s">
        <v>6870</v>
      </c>
      <c r="G780" s="19">
        <f>IFERROR(__xludf.DUMMYFUNCTION("SPLIT(A778, "" |"")"),776.0)</f>
        <v>776</v>
      </c>
      <c r="H780" s="19">
        <f>IFERROR(__xludf.DUMMYFUNCTION("""COMPUTED_VALUE"""),0.00219)</f>
        <v>0.00219</v>
      </c>
      <c r="I780" s="19" t="str">
        <f>IFERROR(__xludf.DUMMYFUNCTION("""COMPUTED_VALUE"""),"-")</f>
        <v>-</v>
      </c>
      <c r="J780" s="19">
        <f>IFERROR(__xludf.DUMMYFUNCTION("""COMPUTED_VALUE"""),0.00211)</f>
        <v>0.00211</v>
      </c>
      <c r="K780" s="19">
        <f>IFERROR(__xludf.DUMMYFUNCTION("""COMPUTED_VALUE"""),0.03981)</f>
        <v>0.03981</v>
      </c>
      <c r="L780" s="19" t="str">
        <f>IFERROR(__xludf.DUMMYFUNCTION("""COMPUTED_VALUE"""),"-")</f>
        <v>-</v>
      </c>
      <c r="M780" s="19">
        <f>IFERROR(__xludf.DUMMYFUNCTION("""COMPUTED_VALUE"""),0.04036)</f>
        <v>0.04036</v>
      </c>
    </row>
    <row r="781">
      <c r="A781" s="12" t="s">
        <v>6871</v>
      </c>
      <c r="G781" s="19">
        <f>IFERROR(__xludf.DUMMYFUNCTION("SPLIT(A779, "" |"")"),777.0)</f>
        <v>777</v>
      </c>
      <c r="H781" s="19">
        <f>IFERROR(__xludf.DUMMYFUNCTION("""COMPUTED_VALUE"""),0.00211)</f>
        <v>0.00211</v>
      </c>
      <c r="I781" s="19" t="str">
        <f>IFERROR(__xludf.DUMMYFUNCTION("""COMPUTED_VALUE"""),"-")</f>
        <v>-</v>
      </c>
      <c r="J781" s="19">
        <f>IFERROR(__xludf.DUMMYFUNCTION("""COMPUTED_VALUE"""),0.00194)</f>
        <v>0.00194</v>
      </c>
      <c r="K781" s="19">
        <f>IFERROR(__xludf.DUMMYFUNCTION("""COMPUTED_VALUE"""),0.03999)</f>
        <v>0.03999</v>
      </c>
      <c r="L781" s="19" t="str">
        <f>IFERROR(__xludf.DUMMYFUNCTION("""COMPUTED_VALUE"""),"-")</f>
        <v>-</v>
      </c>
      <c r="M781" s="19">
        <f>IFERROR(__xludf.DUMMYFUNCTION("""COMPUTED_VALUE"""),0.03842)</f>
        <v>0.03842</v>
      </c>
    </row>
    <row r="782">
      <c r="A782" s="12" t="s">
        <v>6872</v>
      </c>
      <c r="G782" s="19">
        <f>IFERROR(__xludf.DUMMYFUNCTION("SPLIT(A780, "" |"")"),778.0)</f>
        <v>778</v>
      </c>
      <c r="H782" s="19">
        <f>IFERROR(__xludf.DUMMYFUNCTION("""COMPUTED_VALUE"""),0.00212)</f>
        <v>0.00212</v>
      </c>
      <c r="I782" s="19" t="str">
        <f>IFERROR(__xludf.DUMMYFUNCTION("""COMPUTED_VALUE"""),"-")</f>
        <v>-</v>
      </c>
      <c r="J782" s="19">
        <f>IFERROR(__xludf.DUMMYFUNCTION("""COMPUTED_VALUE"""),0.0019)</f>
        <v>0.0019</v>
      </c>
      <c r="K782" s="19">
        <f>IFERROR(__xludf.DUMMYFUNCTION("""COMPUTED_VALUE"""),0.03696)</f>
        <v>0.03696</v>
      </c>
      <c r="L782" s="19" t="str">
        <f>IFERROR(__xludf.DUMMYFUNCTION("""COMPUTED_VALUE"""),"-")</f>
        <v>-</v>
      </c>
      <c r="M782" s="19">
        <f>IFERROR(__xludf.DUMMYFUNCTION("""COMPUTED_VALUE"""),0.0376)</f>
        <v>0.0376</v>
      </c>
    </row>
    <row r="783">
      <c r="A783" s="12" t="s">
        <v>6873</v>
      </c>
      <c r="G783" s="19">
        <f>IFERROR(__xludf.DUMMYFUNCTION("SPLIT(A781, "" |"")"),779.0)</f>
        <v>779</v>
      </c>
      <c r="H783" s="19">
        <f>IFERROR(__xludf.DUMMYFUNCTION("""COMPUTED_VALUE"""),0.00206)</f>
        <v>0.00206</v>
      </c>
      <c r="I783" s="19" t="str">
        <f>IFERROR(__xludf.DUMMYFUNCTION("""COMPUTED_VALUE"""),"-")</f>
        <v>-</v>
      </c>
      <c r="J783" s="19">
        <f>IFERROR(__xludf.DUMMYFUNCTION("""COMPUTED_VALUE"""),0.00192)</f>
        <v>0.00192</v>
      </c>
      <c r="K783" s="19">
        <f>IFERROR(__xludf.DUMMYFUNCTION("""COMPUTED_VALUE"""),0.03942)</f>
        <v>0.03942</v>
      </c>
      <c r="L783" s="19" t="str">
        <f>IFERROR(__xludf.DUMMYFUNCTION("""COMPUTED_VALUE"""),"-")</f>
        <v>-</v>
      </c>
      <c r="M783" s="19">
        <f>IFERROR(__xludf.DUMMYFUNCTION("""COMPUTED_VALUE"""),0.04018)</f>
        <v>0.04018</v>
      </c>
    </row>
    <row r="784">
      <c r="A784" s="12" t="s">
        <v>6874</v>
      </c>
      <c r="G784" s="19">
        <f>IFERROR(__xludf.DUMMYFUNCTION("SPLIT(A782, "" |"")"),780.0)</f>
        <v>780</v>
      </c>
      <c r="H784" s="19">
        <f>IFERROR(__xludf.DUMMYFUNCTION("""COMPUTED_VALUE"""),0.00205)</f>
        <v>0.00205</v>
      </c>
      <c r="I784" s="19" t="str">
        <f>IFERROR(__xludf.DUMMYFUNCTION("""COMPUTED_VALUE"""),"-")</f>
        <v>-</v>
      </c>
      <c r="J784" s="19">
        <f>IFERROR(__xludf.DUMMYFUNCTION("""COMPUTED_VALUE"""),0.00193)</f>
        <v>0.00193</v>
      </c>
      <c r="K784" s="19">
        <f>IFERROR(__xludf.DUMMYFUNCTION("""COMPUTED_VALUE"""),0.04002)</f>
        <v>0.04002</v>
      </c>
      <c r="L784" s="19" t="str">
        <f>IFERROR(__xludf.DUMMYFUNCTION("""COMPUTED_VALUE"""),"-")</f>
        <v>-</v>
      </c>
      <c r="M784" s="19">
        <f>IFERROR(__xludf.DUMMYFUNCTION("""COMPUTED_VALUE"""),0.03998)</f>
        <v>0.03998</v>
      </c>
    </row>
    <row r="785">
      <c r="A785" s="12" t="s">
        <v>6875</v>
      </c>
      <c r="G785" s="19">
        <f>IFERROR(__xludf.DUMMYFUNCTION("SPLIT(A783, "" |"")"),781.0)</f>
        <v>781</v>
      </c>
      <c r="H785" s="19">
        <f>IFERROR(__xludf.DUMMYFUNCTION("""COMPUTED_VALUE"""),0.00226)</f>
        <v>0.00226</v>
      </c>
      <c r="I785" s="19" t="str">
        <f>IFERROR(__xludf.DUMMYFUNCTION("""COMPUTED_VALUE"""),"-")</f>
        <v>-</v>
      </c>
      <c r="J785" s="19">
        <f>IFERROR(__xludf.DUMMYFUNCTION("""COMPUTED_VALUE"""),0.00194)</f>
        <v>0.00194</v>
      </c>
      <c r="K785" s="19">
        <f>IFERROR(__xludf.DUMMYFUNCTION("""COMPUTED_VALUE"""),0.04018)</f>
        <v>0.04018</v>
      </c>
      <c r="L785" s="19" t="str">
        <f>IFERROR(__xludf.DUMMYFUNCTION("""COMPUTED_VALUE"""),"-")</f>
        <v>-</v>
      </c>
      <c r="M785" s="19">
        <f>IFERROR(__xludf.DUMMYFUNCTION("""COMPUTED_VALUE"""),0.03974)</f>
        <v>0.03974</v>
      </c>
    </row>
    <row r="786">
      <c r="A786" s="12" t="s">
        <v>6876</v>
      </c>
      <c r="G786" s="19">
        <f>IFERROR(__xludf.DUMMYFUNCTION("SPLIT(A784, "" |"")"),782.0)</f>
        <v>782</v>
      </c>
      <c r="H786" s="19">
        <f>IFERROR(__xludf.DUMMYFUNCTION("""COMPUTED_VALUE"""),0.00215)</f>
        <v>0.00215</v>
      </c>
      <c r="I786" s="19" t="str">
        <f>IFERROR(__xludf.DUMMYFUNCTION("""COMPUTED_VALUE"""),"-")</f>
        <v>-</v>
      </c>
      <c r="J786" s="19">
        <f>IFERROR(__xludf.DUMMYFUNCTION("""COMPUTED_VALUE"""),0.00192)</f>
        <v>0.00192</v>
      </c>
      <c r="K786" s="19">
        <f>IFERROR(__xludf.DUMMYFUNCTION("""COMPUTED_VALUE"""),0.03664)</f>
        <v>0.03664</v>
      </c>
      <c r="L786" s="19" t="str">
        <f>IFERROR(__xludf.DUMMYFUNCTION("""COMPUTED_VALUE"""),"-")</f>
        <v>-</v>
      </c>
      <c r="M786" s="19">
        <f>IFERROR(__xludf.DUMMYFUNCTION("""COMPUTED_VALUE"""),0.03931)</f>
        <v>0.03931</v>
      </c>
    </row>
    <row r="787">
      <c r="A787" s="12" t="s">
        <v>6877</v>
      </c>
      <c r="G787" s="19">
        <f>IFERROR(__xludf.DUMMYFUNCTION("SPLIT(A785, "" |"")"),783.0)</f>
        <v>783</v>
      </c>
      <c r="H787" s="19">
        <f>IFERROR(__xludf.DUMMYFUNCTION("""COMPUTED_VALUE"""),0.00229)</f>
        <v>0.00229</v>
      </c>
      <c r="I787" s="19" t="str">
        <f>IFERROR(__xludf.DUMMYFUNCTION("""COMPUTED_VALUE"""),"-")</f>
        <v>-</v>
      </c>
      <c r="J787" s="19">
        <f>IFERROR(__xludf.DUMMYFUNCTION("""COMPUTED_VALUE"""),0.00192)</f>
        <v>0.00192</v>
      </c>
      <c r="K787" s="19">
        <f>IFERROR(__xludf.DUMMYFUNCTION("""COMPUTED_VALUE"""),0.03549)</f>
        <v>0.03549</v>
      </c>
      <c r="L787" s="19" t="str">
        <f>IFERROR(__xludf.DUMMYFUNCTION("""COMPUTED_VALUE"""),"-")</f>
        <v>-</v>
      </c>
      <c r="M787" s="19">
        <f>IFERROR(__xludf.DUMMYFUNCTION("""COMPUTED_VALUE"""),0.0399)</f>
        <v>0.0399</v>
      </c>
    </row>
    <row r="788">
      <c r="A788" s="12" t="s">
        <v>6878</v>
      </c>
      <c r="G788" s="19">
        <f>IFERROR(__xludf.DUMMYFUNCTION("SPLIT(A786, "" |"")"),784.0)</f>
        <v>784</v>
      </c>
      <c r="H788" s="19">
        <f>IFERROR(__xludf.DUMMYFUNCTION("""COMPUTED_VALUE"""),0.00213)</f>
        <v>0.00213</v>
      </c>
      <c r="I788" s="19" t="str">
        <f>IFERROR(__xludf.DUMMYFUNCTION("""COMPUTED_VALUE"""),"-")</f>
        <v>-</v>
      </c>
      <c r="J788" s="19">
        <f>IFERROR(__xludf.DUMMYFUNCTION("""COMPUTED_VALUE"""),0.00192)</f>
        <v>0.00192</v>
      </c>
      <c r="K788" s="19">
        <f>IFERROR(__xludf.DUMMYFUNCTION("""COMPUTED_VALUE"""),0.03961)</f>
        <v>0.03961</v>
      </c>
      <c r="L788" s="19" t="str">
        <f>IFERROR(__xludf.DUMMYFUNCTION("""COMPUTED_VALUE"""),"-")</f>
        <v>-</v>
      </c>
      <c r="M788" s="19">
        <f>IFERROR(__xludf.DUMMYFUNCTION("""COMPUTED_VALUE"""),0.04011)</f>
        <v>0.04011</v>
      </c>
    </row>
    <row r="789">
      <c r="A789" s="12" t="s">
        <v>6879</v>
      </c>
      <c r="G789" s="19">
        <f>IFERROR(__xludf.DUMMYFUNCTION("SPLIT(A787, "" |"")"),785.0)</f>
        <v>785</v>
      </c>
      <c r="H789" s="19">
        <f>IFERROR(__xludf.DUMMYFUNCTION("""COMPUTED_VALUE"""),0.00201)</f>
        <v>0.00201</v>
      </c>
      <c r="I789" s="19" t="str">
        <f>IFERROR(__xludf.DUMMYFUNCTION("""COMPUTED_VALUE"""),"-")</f>
        <v>-</v>
      </c>
      <c r="J789" s="19">
        <f>IFERROR(__xludf.DUMMYFUNCTION("""COMPUTED_VALUE"""),0.00189)</f>
        <v>0.00189</v>
      </c>
      <c r="K789" s="19">
        <f>IFERROR(__xludf.DUMMYFUNCTION("""COMPUTED_VALUE"""),0.0396)</f>
        <v>0.0396</v>
      </c>
      <c r="L789" s="19" t="str">
        <f>IFERROR(__xludf.DUMMYFUNCTION("""COMPUTED_VALUE"""),"-")</f>
        <v>-</v>
      </c>
      <c r="M789" s="19">
        <f>IFERROR(__xludf.DUMMYFUNCTION("""COMPUTED_VALUE"""),0.0402)</f>
        <v>0.0402</v>
      </c>
    </row>
    <row r="790">
      <c r="A790" s="12" t="s">
        <v>6880</v>
      </c>
      <c r="G790" s="19">
        <f>IFERROR(__xludf.DUMMYFUNCTION("SPLIT(A788, "" |"")"),786.0)</f>
        <v>786</v>
      </c>
      <c r="H790" s="19">
        <f>IFERROR(__xludf.DUMMYFUNCTION("""COMPUTED_VALUE"""),0.00209)</f>
        <v>0.00209</v>
      </c>
      <c r="I790" s="19" t="str">
        <f>IFERROR(__xludf.DUMMYFUNCTION("""COMPUTED_VALUE"""),"-")</f>
        <v>-</v>
      </c>
      <c r="J790" s="19">
        <f>IFERROR(__xludf.DUMMYFUNCTION("""COMPUTED_VALUE"""),0.00195)</f>
        <v>0.00195</v>
      </c>
      <c r="K790" s="19">
        <f>IFERROR(__xludf.DUMMYFUNCTION("""COMPUTED_VALUE"""),0.03954)</f>
        <v>0.03954</v>
      </c>
      <c r="L790" s="19" t="str">
        <f>IFERROR(__xludf.DUMMYFUNCTION("""COMPUTED_VALUE"""),"-")</f>
        <v>-</v>
      </c>
      <c r="M790" s="19">
        <f>IFERROR(__xludf.DUMMYFUNCTION("""COMPUTED_VALUE"""),0.03924)</f>
        <v>0.03924</v>
      </c>
    </row>
    <row r="791">
      <c r="A791" s="12" t="s">
        <v>6881</v>
      </c>
      <c r="G791" s="19">
        <f>IFERROR(__xludf.DUMMYFUNCTION("SPLIT(A789, "" |"")"),787.0)</f>
        <v>787</v>
      </c>
      <c r="H791" s="19">
        <f>IFERROR(__xludf.DUMMYFUNCTION("""COMPUTED_VALUE"""),0.00211)</f>
        <v>0.00211</v>
      </c>
      <c r="I791" s="19" t="str">
        <f>IFERROR(__xludf.DUMMYFUNCTION("""COMPUTED_VALUE"""),"-")</f>
        <v>-</v>
      </c>
      <c r="J791" s="19">
        <f>IFERROR(__xludf.DUMMYFUNCTION("""COMPUTED_VALUE"""),0.00187)</f>
        <v>0.00187</v>
      </c>
      <c r="K791" s="19">
        <f>IFERROR(__xludf.DUMMYFUNCTION("""COMPUTED_VALUE"""),0.04018)</f>
        <v>0.04018</v>
      </c>
      <c r="L791" s="19" t="str">
        <f>IFERROR(__xludf.DUMMYFUNCTION("""COMPUTED_VALUE"""),"-")</f>
        <v>-</v>
      </c>
      <c r="M791" s="19">
        <f>IFERROR(__xludf.DUMMYFUNCTION("""COMPUTED_VALUE"""),0.04001)</f>
        <v>0.04001</v>
      </c>
    </row>
    <row r="792">
      <c r="A792" s="12" t="s">
        <v>6882</v>
      </c>
      <c r="G792" s="19">
        <f>IFERROR(__xludf.DUMMYFUNCTION("SPLIT(A790, "" |"")"),788.0)</f>
        <v>788</v>
      </c>
      <c r="H792" s="19">
        <f>IFERROR(__xludf.DUMMYFUNCTION("""COMPUTED_VALUE"""),0.00209)</f>
        <v>0.00209</v>
      </c>
      <c r="I792" s="19" t="str">
        <f>IFERROR(__xludf.DUMMYFUNCTION("""COMPUTED_VALUE"""),"-")</f>
        <v>-</v>
      </c>
      <c r="J792" s="19">
        <f>IFERROR(__xludf.DUMMYFUNCTION("""COMPUTED_VALUE"""),0.00188)</f>
        <v>0.00188</v>
      </c>
      <c r="K792" s="19">
        <f>IFERROR(__xludf.DUMMYFUNCTION("""COMPUTED_VALUE"""),0.03978)</f>
        <v>0.03978</v>
      </c>
      <c r="L792" s="19" t="str">
        <f>IFERROR(__xludf.DUMMYFUNCTION("""COMPUTED_VALUE"""),"-")</f>
        <v>-</v>
      </c>
      <c r="M792" s="19">
        <f>IFERROR(__xludf.DUMMYFUNCTION("""COMPUTED_VALUE"""),0.037)</f>
        <v>0.037</v>
      </c>
    </row>
    <row r="793">
      <c r="A793" s="12" t="s">
        <v>6883</v>
      </c>
      <c r="G793" s="19">
        <f>IFERROR(__xludf.DUMMYFUNCTION("SPLIT(A791, "" |"")"),789.0)</f>
        <v>789</v>
      </c>
      <c r="H793" s="19">
        <f>IFERROR(__xludf.DUMMYFUNCTION("""COMPUTED_VALUE"""),0.00224)</f>
        <v>0.00224</v>
      </c>
      <c r="I793" s="19" t="str">
        <f>IFERROR(__xludf.DUMMYFUNCTION("""COMPUTED_VALUE"""),"-")</f>
        <v>-</v>
      </c>
      <c r="J793" s="19">
        <f>IFERROR(__xludf.DUMMYFUNCTION("""COMPUTED_VALUE"""),0.00199)</f>
        <v>0.00199</v>
      </c>
      <c r="K793" s="19">
        <f>IFERROR(__xludf.DUMMYFUNCTION("""COMPUTED_VALUE"""),0.03822)</f>
        <v>0.03822</v>
      </c>
      <c r="L793" s="19" t="str">
        <f>IFERROR(__xludf.DUMMYFUNCTION("""COMPUTED_VALUE"""),"-")</f>
        <v>-</v>
      </c>
      <c r="M793" s="19">
        <f>IFERROR(__xludf.DUMMYFUNCTION("""COMPUTED_VALUE"""),0.04022)</f>
        <v>0.04022</v>
      </c>
    </row>
    <row r="794">
      <c r="A794" s="12" t="s">
        <v>6884</v>
      </c>
      <c r="G794" s="19">
        <f>IFERROR(__xludf.DUMMYFUNCTION("SPLIT(A792, "" |"")"),790.0)</f>
        <v>790</v>
      </c>
      <c r="H794" s="19">
        <f>IFERROR(__xludf.DUMMYFUNCTION("""COMPUTED_VALUE"""),0.00207)</f>
        <v>0.00207</v>
      </c>
      <c r="I794" s="19" t="str">
        <f>IFERROR(__xludf.DUMMYFUNCTION("""COMPUTED_VALUE"""),"-")</f>
        <v>-</v>
      </c>
      <c r="J794" s="19">
        <f>IFERROR(__xludf.DUMMYFUNCTION("""COMPUTED_VALUE"""),0.00189)</f>
        <v>0.00189</v>
      </c>
      <c r="K794" s="19">
        <f>IFERROR(__xludf.DUMMYFUNCTION("""COMPUTED_VALUE"""),0.03688)</f>
        <v>0.03688</v>
      </c>
      <c r="L794" s="19" t="str">
        <f>IFERROR(__xludf.DUMMYFUNCTION("""COMPUTED_VALUE"""),"-")</f>
        <v>-</v>
      </c>
      <c r="M794" s="19">
        <f>IFERROR(__xludf.DUMMYFUNCTION("""COMPUTED_VALUE"""),0.0378)</f>
        <v>0.0378</v>
      </c>
    </row>
    <row r="795">
      <c r="A795" s="12" t="s">
        <v>6885</v>
      </c>
      <c r="G795" s="19">
        <f>IFERROR(__xludf.DUMMYFUNCTION("SPLIT(A793, "" |"")"),791.0)</f>
        <v>791</v>
      </c>
      <c r="H795" s="19">
        <f>IFERROR(__xludf.DUMMYFUNCTION("""COMPUTED_VALUE"""),0.00225)</f>
        <v>0.00225</v>
      </c>
      <c r="I795" s="19" t="str">
        <f>IFERROR(__xludf.DUMMYFUNCTION("""COMPUTED_VALUE"""),"-")</f>
        <v>-</v>
      </c>
      <c r="J795" s="19">
        <f>IFERROR(__xludf.DUMMYFUNCTION("""COMPUTED_VALUE"""),0.00232)</f>
        <v>0.00232</v>
      </c>
      <c r="K795" s="19">
        <f>IFERROR(__xludf.DUMMYFUNCTION("""COMPUTED_VALUE"""),0.04097)</f>
        <v>0.04097</v>
      </c>
      <c r="L795" s="19" t="str">
        <f>IFERROR(__xludf.DUMMYFUNCTION("""COMPUTED_VALUE"""),"-")</f>
        <v>-</v>
      </c>
      <c r="M795" s="19">
        <f>IFERROR(__xludf.DUMMYFUNCTION("""COMPUTED_VALUE"""),0.03823)</f>
        <v>0.03823</v>
      </c>
    </row>
    <row r="796">
      <c r="A796" s="12" t="s">
        <v>6886</v>
      </c>
      <c r="G796" s="19">
        <f>IFERROR(__xludf.DUMMYFUNCTION("SPLIT(A794, "" |"")"),792.0)</f>
        <v>792</v>
      </c>
      <c r="H796" s="19">
        <f>IFERROR(__xludf.DUMMYFUNCTION("""COMPUTED_VALUE"""),0.00222)</f>
        <v>0.00222</v>
      </c>
      <c r="I796" s="19" t="str">
        <f>IFERROR(__xludf.DUMMYFUNCTION("""COMPUTED_VALUE"""),"-")</f>
        <v>-</v>
      </c>
      <c r="J796" s="19">
        <f>IFERROR(__xludf.DUMMYFUNCTION("""COMPUTED_VALUE"""),0.00215)</f>
        <v>0.00215</v>
      </c>
      <c r="K796" s="19">
        <f>IFERROR(__xludf.DUMMYFUNCTION("""COMPUTED_VALUE"""),0.0405)</f>
        <v>0.0405</v>
      </c>
      <c r="L796" s="19" t="str">
        <f>IFERROR(__xludf.DUMMYFUNCTION("""COMPUTED_VALUE"""),"-")</f>
        <v>-</v>
      </c>
      <c r="M796" s="19">
        <f>IFERROR(__xludf.DUMMYFUNCTION("""COMPUTED_VALUE"""),0.03947)</f>
        <v>0.03947</v>
      </c>
    </row>
    <row r="797">
      <c r="A797" s="12" t="s">
        <v>6887</v>
      </c>
      <c r="G797" s="19">
        <f>IFERROR(__xludf.DUMMYFUNCTION("SPLIT(A795, "" |"")"),793.0)</f>
        <v>793</v>
      </c>
      <c r="H797" s="19">
        <f>IFERROR(__xludf.DUMMYFUNCTION("""COMPUTED_VALUE"""),0.00212)</f>
        <v>0.00212</v>
      </c>
      <c r="I797" s="19" t="str">
        <f>IFERROR(__xludf.DUMMYFUNCTION("""COMPUTED_VALUE"""),"-")</f>
        <v>-</v>
      </c>
      <c r="J797" s="19">
        <f>IFERROR(__xludf.DUMMYFUNCTION("""COMPUTED_VALUE"""),0.002)</f>
        <v>0.002</v>
      </c>
      <c r="K797" s="19">
        <f>IFERROR(__xludf.DUMMYFUNCTION("""COMPUTED_VALUE"""),0.03739)</f>
        <v>0.03739</v>
      </c>
      <c r="L797" s="19" t="str">
        <f>IFERROR(__xludf.DUMMYFUNCTION("""COMPUTED_VALUE"""),"-")</f>
        <v>-</v>
      </c>
      <c r="M797" s="19">
        <f>IFERROR(__xludf.DUMMYFUNCTION("""COMPUTED_VALUE"""),0.03999)</f>
        <v>0.03999</v>
      </c>
    </row>
    <row r="798">
      <c r="A798" s="12" t="s">
        <v>6888</v>
      </c>
      <c r="G798" s="19">
        <f>IFERROR(__xludf.DUMMYFUNCTION("SPLIT(A796, "" |"")"),794.0)</f>
        <v>794</v>
      </c>
      <c r="H798" s="19">
        <f>IFERROR(__xludf.DUMMYFUNCTION("""COMPUTED_VALUE"""),0.00224)</f>
        <v>0.00224</v>
      </c>
      <c r="I798" s="19" t="str">
        <f>IFERROR(__xludf.DUMMYFUNCTION("""COMPUTED_VALUE"""),"-")</f>
        <v>-</v>
      </c>
      <c r="J798" s="19">
        <f>IFERROR(__xludf.DUMMYFUNCTION("""COMPUTED_VALUE"""),0.00174)</f>
        <v>0.00174</v>
      </c>
      <c r="K798" s="19">
        <f>IFERROR(__xludf.DUMMYFUNCTION("""COMPUTED_VALUE"""),0.04065)</f>
        <v>0.04065</v>
      </c>
      <c r="L798" s="19" t="str">
        <f>IFERROR(__xludf.DUMMYFUNCTION("""COMPUTED_VALUE"""),"-")</f>
        <v>-</v>
      </c>
      <c r="M798" s="19">
        <f>IFERROR(__xludf.DUMMYFUNCTION("""COMPUTED_VALUE"""),0.03876)</f>
        <v>0.03876</v>
      </c>
    </row>
    <row r="799">
      <c r="A799" s="12" t="s">
        <v>6889</v>
      </c>
      <c r="G799" s="19">
        <f>IFERROR(__xludf.DUMMYFUNCTION("SPLIT(A797, "" |"")"),795.0)</f>
        <v>795</v>
      </c>
      <c r="H799" s="19">
        <f>IFERROR(__xludf.DUMMYFUNCTION("""COMPUTED_VALUE"""),0.00237)</f>
        <v>0.00237</v>
      </c>
      <c r="I799" s="19" t="str">
        <f>IFERROR(__xludf.DUMMYFUNCTION("""COMPUTED_VALUE"""),"-")</f>
        <v>-</v>
      </c>
      <c r="J799" s="19">
        <f>IFERROR(__xludf.DUMMYFUNCTION("""COMPUTED_VALUE"""),0.00216)</f>
        <v>0.00216</v>
      </c>
      <c r="K799" s="19">
        <f>IFERROR(__xludf.DUMMYFUNCTION("""COMPUTED_VALUE"""),0.03744)</f>
        <v>0.03744</v>
      </c>
      <c r="L799" s="19" t="str">
        <f>IFERROR(__xludf.DUMMYFUNCTION("""COMPUTED_VALUE"""),"-")</f>
        <v>-</v>
      </c>
      <c r="M799" s="19">
        <f>IFERROR(__xludf.DUMMYFUNCTION("""COMPUTED_VALUE"""),0.04037)</f>
        <v>0.04037</v>
      </c>
    </row>
    <row r="800">
      <c r="A800" s="12" t="s">
        <v>6890</v>
      </c>
      <c r="G800" s="19">
        <f>IFERROR(__xludf.DUMMYFUNCTION("SPLIT(A798, "" |"")"),796.0)</f>
        <v>796</v>
      </c>
      <c r="H800" s="19">
        <f>IFERROR(__xludf.DUMMYFUNCTION("""COMPUTED_VALUE"""),0.00212)</f>
        <v>0.00212</v>
      </c>
      <c r="I800" s="19" t="str">
        <f>IFERROR(__xludf.DUMMYFUNCTION("""COMPUTED_VALUE"""),"-")</f>
        <v>-</v>
      </c>
      <c r="J800" s="19">
        <f>IFERROR(__xludf.DUMMYFUNCTION("""COMPUTED_VALUE"""),0.00187)</f>
        <v>0.00187</v>
      </c>
      <c r="K800" s="19">
        <f>IFERROR(__xludf.DUMMYFUNCTION("""COMPUTED_VALUE"""),0.0381)</f>
        <v>0.0381</v>
      </c>
      <c r="L800" s="19" t="str">
        <f>IFERROR(__xludf.DUMMYFUNCTION("""COMPUTED_VALUE"""),"-")</f>
        <v>-</v>
      </c>
      <c r="M800" s="19">
        <f>IFERROR(__xludf.DUMMYFUNCTION("""COMPUTED_VALUE"""),0.03695)</f>
        <v>0.03695</v>
      </c>
    </row>
    <row r="801">
      <c r="A801" s="12" t="s">
        <v>6891</v>
      </c>
      <c r="G801" s="19">
        <f>IFERROR(__xludf.DUMMYFUNCTION("SPLIT(A799, "" |"")"),797.0)</f>
        <v>797</v>
      </c>
      <c r="H801" s="19">
        <f>IFERROR(__xludf.DUMMYFUNCTION("""COMPUTED_VALUE"""),0.00216)</f>
        <v>0.00216</v>
      </c>
      <c r="I801" s="19" t="str">
        <f>IFERROR(__xludf.DUMMYFUNCTION("""COMPUTED_VALUE"""),"-")</f>
        <v>-</v>
      </c>
      <c r="J801" s="19">
        <f>IFERROR(__xludf.DUMMYFUNCTION("""COMPUTED_VALUE"""),0.0019)</f>
        <v>0.0019</v>
      </c>
      <c r="K801" s="19">
        <f>IFERROR(__xludf.DUMMYFUNCTION("""COMPUTED_VALUE"""),0.03997)</f>
        <v>0.03997</v>
      </c>
      <c r="L801" s="19" t="str">
        <f>IFERROR(__xludf.DUMMYFUNCTION("""COMPUTED_VALUE"""),"-")</f>
        <v>-</v>
      </c>
      <c r="M801" s="19">
        <f>IFERROR(__xludf.DUMMYFUNCTION("""COMPUTED_VALUE"""),0.04004)</f>
        <v>0.04004</v>
      </c>
    </row>
    <row r="802">
      <c r="A802" s="12" t="s">
        <v>6892</v>
      </c>
      <c r="G802" s="19">
        <f>IFERROR(__xludf.DUMMYFUNCTION("SPLIT(A800, "" |"")"),798.0)</f>
        <v>798</v>
      </c>
      <c r="H802" s="19">
        <f>IFERROR(__xludf.DUMMYFUNCTION("""COMPUTED_VALUE"""),0.00206)</f>
        <v>0.00206</v>
      </c>
      <c r="I802" s="19" t="str">
        <f>IFERROR(__xludf.DUMMYFUNCTION("""COMPUTED_VALUE"""),"-")</f>
        <v>-</v>
      </c>
      <c r="J802" s="19">
        <f>IFERROR(__xludf.DUMMYFUNCTION("""COMPUTED_VALUE"""),0.00189)</f>
        <v>0.00189</v>
      </c>
      <c r="K802" s="19">
        <f>IFERROR(__xludf.DUMMYFUNCTION("""COMPUTED_VALUE"""),0.03988)</f>
        <v>0.03988</v>
      </c>
      <c r="L802" s="19" t="str">
        <f>IFERROR(__xludf.DUMMYFUNCTION("""COMPUTED_VALUE"""),"-")</f>
        <v>-</v>
      </c>
      <c r="M802" s="19">
        <f>IFERROR(__xludf.DUMMYFUNCTION("""COMPUTED_VALUE"""),0.0398)</f>
        <v>0.0398</v>
      </c>
    </row>
    <row r="803">
      <c r="A803" s="12" t="s">
        <v>6893</v>
      </c>
      <c r="G803" s="19">
        <f>IFERROR(__xludf.DUMMYFUNCTION("SPLIT(A801, "" |"")"),799.0)</f>
        <v>799</v>
      </c>
      <c r="H803" s="19">
        <f>IFERROR(__xludf.DUMMYFUNCTION("""COMPUTED_VALUE"""),0.00217)</f>
        <v>0.00217</v>
      </c>
      <c r="I803" s="19" t="str">
        <f>IFERROR(__xludf.DUMMYFUNCTION("""COMPUTED_VALUE"""),"-")</f>
        <v>-</v>
      </c>
      <c r="J803" s="19">
        <f>IFERROR(__xludf.DUMMYFUNCTION("""COMPUTED_VALUE"""),0.00219)</f>
        <v>0.00219</v>
      </c>
      <c r="K803" s="19">
        <f>IFERROR(__xludf.DUMMYFUNCTION("""COMPUTED_VALUE"""),0.03991)</f>
        <v>0.03991</v>
      </c>
      <c r="L803" s="19" t="str">
        <f>IFERROR(__xludf.DUMMYFUNCTION("""COMPUTED_VALUE"""),"-")</f>
        <v>-</v>
      </c>
      <c r="M803" s="19">
        <f>IFERROR(__xludf.DUMMYFUNCTION("""COMPUTED_VALUE"""),0.03829)</f>
        <v>0.03829</v>
      </c>
    </row>
    <row r="804">
      <c r="A804" s="12" t="s">
        <v>6894</v>
      </c>
      <c r="G804" s="19">
        <f>IFERROR(__xludf.DUMMYFUNCTION("SPLIT(A802, "" |"")"),800.0)</f>
        <v>800</v>
      </c>
      <c r="H804" s="19">
        <f>IFERROR(__xludf.DUMMYFUNCTION("""COMPUTED_VALUE"""),0.00218)</f>
        <v>0.00218</v>
      </c>
      <c r="I804" s="19" t="str">
        <f>IFERROR(__xludf.DUMMYFUNCTION("""COMPUTED_VALUE"""),"-")</f>
        <v>-</v>
      </c>
      <c r="J804" s="19">
        <f>IFERROR(__xludf.DUMMYFUNCTION("""COMPUTED_VALUE"""),0.00196)</f>
        <v>0.00196</v>
      </c>
      <c r="K804" s="19">
        <f>IFERROR(__xludf.DUMMYFUNCTION("""COMPUTED_VALUE"""),0.04019)</f>
        <v>0.04019</v>
      </c>
      <c r="L804" s="19" t="str">
        <f>IFERROR(__xludf.DUMMYFUNCTION("""COMPUTED_VALUE"""),"-")</f>
        <v>-</v>
      </c>
      <c r="M804" s="19">
        <f>IFERROR(__xludf.DUMMYFUNCTION("""COMPUTED_VALUE"""),0.03909)</f>
        <v>0.03909</v>
      </c>
    </row>
    <row r="805">
      <c r="A805" s="12" t="s">
        <v>6895</v>
      </c>
      <c r="G805" s="19">
        <f>IFERROR(__xludf.DUMMYFUNCTION("SPLIT(A803, "" |"")"),801.0)</f>
        <v>801</v>
      </c>
      <c r="H805" s="19">
        <f>IFERROR(__xludf.DUMMYFUNCTION("""COMPUTED_VALUE"""),0.00214)</f>
        <v>0.00214</v>
      </c>
      <c r="I805" s="19" t="str">
        <f>IFERROR(__xludf.DUMMYFUNCTION("""COMPUTED_VALUE"""),"-")</f>
        <v>-</v>
      </c>
      <c r="J805" s="19">
        <f>IFERROR(__xludf.DUMMYFUNCTION("""COMPUTED_VALUE"""),0.00195)</f>
        <v>0.00195</v>
      </c>
      <c r="K805" s="19">
        <f>IFERROR(__xludf.DUMMYFUNCTION("""COMPUTED_VALUE"""),0.03917)</f>
        <v>0.03917</v>
      </c>
      <c r="L805" s="19" t="str">
        <f>IFERROR(__xludf.DUMMYFUNCTION("""COMPUTED_VALUE"""),"-")</f>
        <v>-</v>
      </c>
      <c r="M805" s="19">
        <f>IFERROR(__xludf.DUMMYFUNCTION("""COMPUTED_VALUE"""),0.0399)</f>
        <v>0.0399</v>
      </c>
    </row>
    <row r="806">
      <c r="A806" s="12" t="s">
        <v>6896</v>
      </c>
      <c r="G806" s="19">
        <f>IFERROR(__xludf.DUMMYFUNCTION("SPLIT(A804, "" |"")"),802.0)</f>
        <v>802</v>
      </c>
      <c r="H806" s="19">
        <f>IFERROR(__xludf.DUMMYFUNCTION("""COMPUTED_VALUE"""),0.00218)</f>
        <v>0.00218</v>
      </c>
      <c r="I806" s="19" t="str">
        <f>IFERROR(__xludf.DUMMYFUNCTION("""COMPUTED_VALUE"""),"-")</f>
        <v>-</v>
      </c>
      <c r="J806" s="19">
        <f>IFERROR(__xludf.DUMMYFUNCTION("""COMPUTED_VALUE"""),0.00192)</f>
        <v>0.00192</v>
      </c>
      <c r="K806" s="19">
        <f>IFERROR(__xludf.DUMMYFUNCTION("""COMPUTED_VALUE"""),0.03781)</f>
        <v>0.03781</v>
      </c>
      <c r="L806" s="19" t="str">
        <f>IFERROR(__xludf.DUMMYFUNCTION("""COMPUTED_VALUE"""),"-")</f>
        <v>-</v>
      </c>
      <c r="M806" s="19">
        <f>IFERROR(__xludf.DUMMYFUNCTION("""COMPUTED_VALUE"""),0.03758)</f>
        <v>0.03758</v>
      </c>
    </row>
    <row r="807">
      <c r="A807" s="12" t="s">
        <v>6897</v>
      </c>
      <c r="G807" s="19">
        <f>IFERROR(__xludf.DUMMYFUNCTION("SPLIT(A805, "" |"")"),803.0)</f>
        <v>803</v>
      </c>
      <c r="H807" s="19">
        <f>IFERROR(__xludf.DUMMYFUNCTION("""COMPUTED_VALUE"""),0.00201)</f>
        <v>0.00201</v>
      </c>
      <c r="I807" s="19" t="str">
        <f>IFERROR(__xludf.DUMMYFUNCTION("""COMPUTED_VALUE"""),"-")</f>
        <v>-</v>
      </c>
      <c r="J807" s="19">
        <f>IFERROR(__xludf.DUMMYFUNCTION("""COMPUTED_VALUE"""),0.00192)</f>
        <v>0.00192</v>
      </c>
      <c r="K807" s="19">
        <f>IFERROR(__xludf.DUMMYFUNCTION("""COMPUTED_VALUE"""),0.03926)</f>
        <v>0.03926</v>
      </c>
      <c r="L807" s="19" t="str">
        <f>IFERROR(__xludf.DUMMYFUNCTION("""COMPUTED_VALUE"""),"-")</f>
        <v>-</v>
      </c>
      <c r="M807" s="19">
        <f>IFERROR(__xludf.DUMMYFUNCTION("""COMPUTED_VALUE"""),0.0382)</f>
        <v>0.0382</v>
      </c>
    </row>
    <row r="808">
      <c r="A808" s="12" t="s">
        <v>6898</v>
      </c>
      <c r="G808" s="19">
        <f>IFERROR(__xludf.DUMMYFUNCTION("SPLIT(A806, "" |"")"),804.0)</f>
        <v>804</v>
      </c>
      <c r="H808" s="19">
        <f>IFERROR(__xludf.DUMMYFUNCTION("""COMPUTED_VALUE"""),0.00217)</f>
        <v>0.00217</v>
      </c>
      <c r="I808" s="19" t="str">
        <f>IFERROR(__xludf.DUMMYFUNCTION("""COMPUTED_VALUE"""),"-")</f>
        <v>-</v>
      </c>
      <c r="J808" s="19">
        <f>IFERROR(__xludf.DUMMYFUNCTION("""COMPUTED_VALUE"""),0.00194)</f>
        <v>0.00194</v>
      </c>
      <c r="K808" s="19">
        <f>IFERROR(__xludf.DUMMYFUNCTION("""COMPUTED_VALUE"""),0.03884)</f>
        <v>0.03884</v>
      </c>
      <c r="L808" s="19" t="str">
        <f>IFERROR(__xludf.DUMMYFUNCTION("""COMPUTED_VALUE"""),"-")</f>
        <v>-</v>
      </c>
      <c r="M808" s="19">
        <f>IFERROR(__xludf.DUMMYFUNCTION("""COMPUTED_VALUE"""),0.04042)</f>
        <v>0.04042</v>
      </c>
    </row>
    <row r="809">
      <c r="A809" s="12" t="s">
        <v>6899</v>
      </c>
      <c r="G809" s="19">
        <f>IFERROR(__xludf.DUMMYFUNCTION("SPLIT(A807, "" |"")"),805.0)</f>
        <v>805</v>
      </c>
      <c r="H809" s="19">
        <f>IFERROR(__xludf.DUMMYFUNCTION("""COMPUTED_VALUE"""),0.00209)</f>
        <v>0.00209</v>
      </c>
      <c r="I809" s="19" t="str">
        <f>IFERROR(__xludf.DUMMYFUNCTION("""COMPUTED_VALUE"""),"-")</f>
        <v>-</v>
      </c>
      <c r="J809" s="19">
        <f>IFERROR(__xludf.DUMMYFUNCTION("""COMPUTED_VALUE"""),0.00208)</f>
        <v>0.00208</v>
      </c>
      <c r="K809" s="19">
        <f>IFERROR(__xludf.DUMMYFUNCTION("""COMPUTED_VALUE"""),0.04001)</f>
        <v>0.04001</v>
      </c>
      <c r="L809" s="19" t="str">
        <f>IFERROR(__xludf.DUMMYFUNCTION("""COMPUTED_VALUE"""),"-")</f>
        <v>-</v>
      </c>
      <c r="M809" s="19">
        <f>IFERROR(__xludf.DUMMYFUNCTION("""COMPUTED_VALUE"""),0.04004)</f>
        <v>0.04004</v>
      </c>
    </row>
    <row r="810">
      <c r="A810" s="12" t="s">
        <v>6900</v>
      </c>
      <c r="G810" s="19">
        <f>IFERROR(__xludf.DUMMYFUNCTION("SPLIT(A808, "" |"")"),806.0)</f>
        <v>806</v>
      </c>
      <c r="H810" s="19">
        <f>IFERROR(__xludf.DUMMYFUNCTION("""COMPUTED_VALUE"""),0.00213)</f>
        <v>0.00213</v>
      </c>
      <c r="I810" s="19" t="str">
        <f>IFERROR(__xludf.DUMMYFUNCTION("""COMPUTED_VALUE"""),"-")</f>
        <v>-</v>
      </c>
      <c r="J810" s="19">
        <f>IFERROR(__xludf.DUMMYFUNCTION("""COMPUTED_VALUE"""),0.00208)</f>
        <v>0.00208</v>
      </c>
      <c r="K810" s="19">
        <f>IFERROR(__xludf.DUMMYFUNCTION("""COMPUTED_VALUE"""),0.04012)</f>
        <v>0.04012</v>
      </c>
      <c r="L810" s="19" t="str">
        <f>IFERROR(__xludf.DUMMYFUNCTION("""COMPUTED_VALUE"""),"-")</f>
        <v>-</v>
      </c>
      <c r="M810" s="19">
        <f>IFERROR(__xludf.DUMMYFUNCTION("""COMPUTED_VALUE"""),0.04008)</f>
        <v>0.04008</v>
      </c>
    </row>
    <row r="811">
      <c r="A811" s="12" t="s">
        <v>6901</v>
      </c>
      <c r="G811" s="19">
        <f>IFERROR(__xludf.DUMMYFUNCTION("SPLIT(A809, "" |"")"),807.0)</f>
        <v>807</v>
      </c>
      <c r="H811" s="19">
        <f>IFERROR(__xludf.DUMMYFUNCTION("""COMPUTED_VALUE"""),0.00223)</f>
        <v>0.00223</v>
      </c>
      <c r="I811" s="19" t="str">
        <f>IFERROR(__xludf.DUMMYFUNCTION("""COMPUTED_VALUE"""),"-")</f>
        <v>-</v>
      </c>
      <c r="J811" s="19">
        <f>IFERROR(__xludf.DUMMYFUNCTION("""COMPUTED_VALUE"""),0.00218)</f>
        <v>0.00218</v>
      </c>
      <c r="K811" s="19">
        <f>IFERROR(__xludf.DUMMYFUNCTION("""COMPUTED_VALUE"""),0.03984)</f>
        <v>0.03984</v>
      </c>
      <c r="L811" s="19" t="str">
        <f>IFERROR(__xludf.DUMMYFUNCTION("""COMPUTED_VALUE"""),"-")</f>
        <v>-</v>
      </c>
      <c r="M811" s="19">
        <f>IFERROR(__xludf.DUMMYFUNCTION("""COMPUTED_VALUE"""),0.03745)</f>
        <v>0.03745</v>
      </c>
    </row>
    <row r="812">
      <c r="A812" s="12" t="s">
        <v>6902</v>
      </c>
      <c r="G812" s="19">
        <f>IFERROR(__xludf.DUMMYFUNCTION("SPLIT(A810, "" |"")"),808.0)</f>
        <v>808</v>
      </c>
      <c r="H812" s="19">
        <f>IFERROR(__xludf.DUMMYFUNCTION("""COMPUTED_VALUE"""),0.00241)</f>
        <v>0.00241</v>
      </c>
      <c r="I812" s="19" t="str">
        <f>IFERROR(__xludf.DUMMYFUNCTION("""COMPUTED_VALUE"""),"-")</f>
        <v>-</v>
      </c>
      <c r="J812" s="19">
        <f>IFERROR(__xludf.DUMMYFUNCTION("""COMPUTED_VALUE"""),0.00211)</f>
        <v>0.00211</v>
      </c>
      <c r="K812" s="19">
        <f>IFERROR(__xludf.DUMMYFUNCTION("""COMPUTED_VALUE"""),0.03725)</f>
        <v>0.03725</v>
      </c>
      <c r="L812" s="19" t="str">
        <f>IFERROR(__xludf.DUMMYFUNCTION("""COMPUTED_VALUE"""),"-")</f>
        <v>-</v>
      </c>
      <c r="M812" s="19">
        <f>IFERROR(__xludf.DUMMYFUNCTION("""COMPUTED_VALUE"""),0.04029)</f>
        <v>0.04029</v>
      </c>
    </row>
    <row r="813">
      <c r="A813" s="12" t="s">
        <v>6903</v>
      </c>
      <c r="G813" s="19">
        <f>IFERROR(__xludf.DUMMYFUNCTION("SPLIT(A811, "" |"")"),809.0)</f>
        <v>809</v>
      </c>
      <c r="H813" s="19">
        <f>IFERROR(__xludf.DUMMYFUNCTION("""COMPUTED_VALUE"""),0.00232)</f>
        <v>0.00232</v>
      </c>
      <c r="I813" s="19" t="str">
        <f>IFERROR(__xludf.DUMMYFUNCTION("""COMPUTED_VALUE"""),"-")</f>
        <v>-</v>
      </c>
      <c r="J813" s="19">
        <f>IFERROR(__xludf.DUMMYFUNCTION("""COMPUTED_VALUE"""),0.0032)</f>
        <v>0.0032</v>
      </c>
      <c r="K813" s="19">
        <f>IFERROR(__xludf.DUMMYFUNCTION("""COMPUTED_VALUE"""),0.04807)</f>
        <v>0.04807</v>
      </c>
      <c r="L813" s="19" t="str">
        <f>IFERROR(__xludf.DUMMYFUNCTION("""COMPUTED_VALUE"""),"-")</f>
        <v>-</v>
      </c>
      <c r="M813" s="19">
        <f>IFERROR(__xludf.DUMMYFUNCTION("""COMPUTED_VALUE"""),0.04107)</f>
        <v>0.04107</v>
      </c>
    </row>
    <row r="814">
      <c r="A814" s="12" t="s">
        <v>6904</v>
      </c>
      <c r="G814" s="19">
        <f>IFERROR(__xludf.DUMMYFUNCTION("SPLIT(A812, "" |"")"),810.0)</f>
        <v>810</v>
      </c>
      <c r="H814" s="19">
        <f>IFERROR(__xludf.DUMMYFUNCTION("""COMPUTED_VALUE"""),0.00224)</f>
        <v>0.00224</v>
      </c>
      <c r="I814" s="19" t="str">
        <f>IFERROR(__xludf.DUMMYFUNCTION("""COMPUTED_VALUE"""),"-")</f>
        <v>-</v>
      </c>
      <c r="J814" s="19">
        <f>IFERROR(__xludf.DUMMYFUNCTION("""COMPUTED_VALUE"""),0.00199)</f>
        <v>0.00199</v>
      </c>
      <c r="K814" s="19">
        <f>IFERROR(__xludf.DUMMYFUNCTION("""COMPUTED_VALUE"""),0.03668)</f>
        <v>0.03668</v>
      </c>
      <c r="L814" s="19" t="str">
        <f>IFERROR(__xludf.DUMMYFUNCTION("""COMPUTED_VALUE"""),"-")</f>
        <v>-</v>
      </c>
      <c r="M814" s="19">
        <f>IFERROR(__xludf.DUMMYFUNCTION("""COMPUTED_VALUE"""),0.03776)</f>
        <v>0.03776</v>
      </c>
    </row>
    <row r="815">
      <c r="A815" s="12" t="s">
        <v>6905</v>
      </c>
      <c r="G815" s="19">
        <f>IFERROR(__xludf.DUMMYFUNCTION("SPLIT(A813, "" |"")"),811.0)</f>
        <v>811</v>
      </c>
      <c r="H815" s="19">
        <f>IFERROR(__xludf.DUMMYFUNCTION("""COMPUTED_VALUE"""),0.00215)</f>
        <v>0.00215</v>
      </c>
      <c r="I815" s="19" t="str">
        <f>IFERROR(__xludf.DUMMYFUNCTION("""COMPUTED_VALUE"""),"-")</f>
        <v>-</v>
      </c>
      <c r="J815" s="19">
        <f>IFERROR(__xludf.DUMMYFUNCTION("""COMPUTED_VALUE"""),0.00208)</f>
        <v>0.00208</v>
      </c>
      <c r="K815" s="19">
        <f>IFERROR(__xludf.DUMMYFUNCTION("""COMPUTED_VALUE"""),0.03956)</f>
        <v>0.03956</v>
      </c>
      <c r="L815" s="19" t="str">
        <f>IFERROR(__xludf.DUMMYFUNCTION("""COMPUTED_VALUE"""),"-")</f>
        <v>-</v>
      </c>
      <c r="M815" s="19">
        <f>IFERROR(__xludf.DUMMYFUNCTION("""COMPUTED_VALUE"""),0.04001)</f>
        <v>0.04001</v>
      </c>
    </row>
    <row r="816">
      <c r="A816" s="12" t="s">
        <v>6906</v>
      </c>
      <c r="G816" s="19">
        <f>IFERROR(__xludf.DUMMYFUNCTION("SPLIT(A814, "" |"")"),812.0)</f>
        <v>812</v>
      </c>
      <c r="H816" s="19">
        <f>IFERROR(__xludf.DUMMYFUNCTION("""COMPUTED_VALUE"""),0.0022)</f>
        <v>0.0022</v>
      </c>
      <c r="I816" s="19" t="str">
        <f>IFERROR(__xludf.DUMMYFUNCTION("""COMPUTED_VALUE"""),"-")</f>
        <v>-</v>
      </c>
      <c r="J816" s="19">
        <f>IFERROR(__xludf.DUMMYFUNCTION("""COMPUTED_VALUE"""),0.00208)</f>
        <v>0.00208</v>
      </c>
      <c r="K816" s="19">
        <f>IFERROR(__xludf.DUMMYFUNCTION("""COMPUTED_VALUE"""),0.03809)</f>
        <v>0.03809</v>
      </c>
      <c r="L816" s="19" t="str">
        <f>IFERROR(__xludf.DUMMYFUNCTION("""COMPUTED_VALUE"""),"-")</f>
        <v>-</v>
      </c>
      <c r="M816" s="19">
        <f>IFERROR(__xludf.DUMMYFUNCTION("""COMPUTED_VALUE"""),0.04012)</f>
        <v>0.04012</v>
      </c>
    </row>
    <row r="817">
      <c r="A817" s="12" t="s">
        <v>6907</v>
      </c>
      <c r="G817" s="19">
        <f>IFERROR(__xludf.DUMMYFUNCTION("SPLIT(A815, "" |"")"),813.0)</f>
        <v>813</v>
      </c>
      <c r="H817" s="19">
        <f>IFERROR(__xludf.DUMMYFUNCTION("""COMPUTED_VALUE"""),0.00219)</f>
        <v>0.00219</v>
      </c>
      <c r="I817" s="19" t="str">
        <f>IFERROR(__xludf.DUMMYFUNCTION("""COMPUTED_VALUE"""),"-")</f>
        <v>-</v>
      </c>
      <c r="J817" s="19">
        <f>IFERROR(__xludf.DUMMYFUNCTION("""COMPUTED_VALUE"""),0.00218)</f>
        <v>0.00218</v>
      </c>
      <c r="K817" s="19">
        <f>IFERROR(__xludf.DUMMYFUNCTION("""COMPUTED_VALUE"""),0.03532)</f>
        <v>0.03532</v>
      </c>
      <c r="L817" s="19" t="str">
        <f>IFERROR(__xludf.DUMMYFUNCTION("""COMPUTED_VALUE"""),"-")</f>
        <v>-</v>
      </c>
      <c r="M817" s="19">
        <f>IFERROR(__xludf.DUMMYFUNCTION("""COMPUTED_VALUE"""),0.03985)</f>
        <v>0.03985</v>
      </c>
    </row>
    <row r="818">
      <c r="A818" s="12" t="s">
        <v>6908</v>
      </c>
      <c r="G818" s="19">
        <f>IFERROR(__xludf.DUMMYFUNCTION("SPLIT(A816, "" |"")"),814.0)</f>
        <v>814</v>
      </c>
      <c r="H818" s="19">
        <f>IFERROR(__xludf.DUMMYFUNCTION("""COMPUTED_VALUE"""),0.00208)</f>
        <v>0.00208</v>
      </c>
      <c r="I818" s="19" t="str">
        <f>IFERROR(__xludf.DUMMYFUNCTION("""COMPUTED_VALUE"""),"-")</f>
        <v>-</v>
      </c>
      <c r="J818" s="19">
        <f>IFERROR(__xludf.DUMMYFUNCTION("""COMPUTED_VALUE"""),0.00187)</f>
        <v>0.00187</v>
      </c>
      <c r="K818" s="19">
        <f>IFERROR(__xludf.DUMMYFUNCTION("""COMPUTED_VALUE"""),0.03784)</f>
        <v>0.03784</v>
      </c>
      <c r="L818" s="19" t="str">
        <f>IFERROR(__xludf.DUMMYFUNCTION("""COMPUTED_VALUE"""),"-")</f>
        <v>-</v>
      </c>
      <c r="M818" s="19">
        <f>IFERROR(__xludf.DUMMYFUNCTION("""COMPUTED_VALUE"""),0.04478)</f>
        <v>0.04478</v>
      </c>
    </row>
    <row r="819">
      <c r="A819" s="12" t="s">
        <v>6909</v>
      </c>
      <c r="G819" s="19">
        <f>IFERROR(__xludf.DUMMYFUNCTION("SPLIT(A817, "" |"")"),815.0)</f>
        <v>815</v>
      </c>
      <c r="H819" s="19">
        <f>IFERROR(__xludf.DUMMYFUNCTION("""COMPUTED_VALUE"""),0.00261)</f>
        <v>0.00261</v>
      </c>
      <c r="I819" s="19" t="str">
        <f>IFERROR(__xludf.DUMMYFUNCTION("""COMPUTED_VALUE"""),"-")</f>
        <v>-</v>
      </c>
      <c r="J819" s="19">
        <f>IFERROR(__xludf.DUMMYFUNCTION("""COMPUTED_VALUE"""),0.00209)</f>
        <v>0.00209</v>
      </c>
      <c r="K819" s="19">
        <f>IFERROR(__xludf.DUMMYFUNCTION("""COMPUTED_VALUE"""),0.03955)</f>
        <v>0.03955</v>
      </c>
      <c r="L819" s="19" t="str">
        <f>IFERROR(__xludf.DUMMYFUNCTION("""COMPUTED_VALUE"""),"-")</f>
        <v>-</v>
      </c>
      <c r="M819" s="19">
        <f>IFERROR(__xludf.DUMMYFUNCTION("""COMPUTED_VALUE"""),0.03817)</f>
        <v>0.03817</v>
      </c>
    </row>
    <row r="820">
      <c r="A820" s="12" t="s">
        <v>6910</v>
      </c>
      <c r="G820" s="19">
        <f>IFERROR(__xludf.DUMMYFUNCTION("SPLIT(A818, "" |"")"),816.0)</f>
        <v>816</v>
      </c>
      <c r="H820" s="19">
        <f>IFERROR(__xludf.DUMMYFUNCTION("""COMPUTED_VALUE"""),0.00215)</f>
        <v>0.00215</v>
      </c>
      <c r="I820" s="19" t="str">
        <f>IFERROR(__xludf.DUMMYFUNCTION("""COMPUTED_VALUE"""),"-")</f>
        <v>-</v>
      </c>
      <c r="J820" s="19">
        <f>IFERROR(__xludf.DUMMYFUNCTION("""COMPUTED_VALUE"""),0.0019)</f>
        <v>0.0019</v>
      </c>
      <c r="K820" s="19">
        <f>IFERROR(__xludf.DUMMYFUNCTION("""COMPUTED_VALUE"""),0.04009)</f>
        <v>0.04009</v>
      </c>
      <c r="L820" s="19" t="str">
        <f>IFERROR(__xludf.DUMMYFUNCTION("""COMPUTED_VALUE"""),"-")</f>
        <v>-</v>
      </c>
      <c r="M820" s="19">
        <f>IFERROR(__xludf.DUMMYFUNCTION("""COMPUTED_VALUE"""),0.03828)</f>
        <v>0.03828</v>
      </c>
    </row>
    <row r="821">
      <c r="A821" s="12" t="s">
        <v>6911</v>
      </c>
      <c r="G821" s="19">
        <f>IFERROR(__xludf.DUMMYFUNCTION("SPLIT(A819, "" |"")"),817.0)</f>
        <v>817</v>
      </c>
      <c r="H821" s="19">
        <f>IFERROR(__xludf.DUMMYFUNCTION("""COMPUTED_VALUE"""),0.00228)</f>
        <v>0.00228</v>
      </c>
      <c r="I821" s="19" t="str">
        <f>IFERROR(__xludf.DUMMYFUNCTION("""COMPUTED_VALUE"""),"-")</f>
        <v>-</v>
      </c>
      <c r="J821" s="19">
        <f>IFERROR(__xludf.DUMMYFUNCTION("""COMPUTED_VALUE"""),0.00194)</f>
        <v>0.00194</v>
      </c>
      <c r="K821" s="19">
        <f>IFERROR(__xludf.DUMMYFUNCTION("""COMPUTED_VALUE"""),0.04015)</f>
        <v>0.04015</v>
      </c>
      <c r="L821" s="19" t="str">
        <f>IFERROR(__xludf.DUMMYFUNCTION("""COMPUTED_VALUE"""),"-")</f>
        <v>-</v>
      </c>
      <c r="M821" s="19">
        <f>IFERROR(__xludf.DUMMYFUNCTION("""COMPUTED_VALUE"""),0.0386)</f>
        <v>0.0386</v>
      </c>
    </row>
    <row r="822">
      <c r="A822" s="12" t="s">
        <v>6912</v>
      </c>
      <c r="G822" s="19">
        <f>IFERROR(__xludf.DUMMYFUNCTION("SPLIT(A820, "" |"")"),818.0)</f>
        <v>818</v>
      </c>
      <c r="H822" s="19">
        <f>IFERROR(__xludf.DUMMYFUNCTION("""COMPUTED_VALUE"""),0.00213)</f>
        <v>0.00213</v>
      </c>
      <c r="I822" s="19" t="str">
        <f>IFERROR(__xludf.DUMMYFUNCTION("""COMPUTED_VALUE"""),"-")</f>
        <v>-</v>
      </c>
      <c r="J822" s="19">
        <f>IFERROR(__xludf.DUMMYFUNCTION("""COMPUTED_VALUE"""),0.00226)</f>
        <v>0.00226</v>
      </c>
      <c r="K822" s="19">
        <f>IFERROR(__xludf.DUMMYFUNCTION("""COMPUTED_VALUE"""),0.04305)</f>
        <v>0.04305</v>
      </c>
      <c r="L822" s="19" t="str">
        <f>IFERROR(__xludf.DUMMYFUNCTION("""COMPUTED_VALUE"""),"-")</f>
        <v>-</v>
      </c>
      <c r="M822" s="19">
        <f>IFERROR(__xludf.DUMMYFUNCTION("""COMPUTED_VALUE"""),0.03939)</f>
        <v>0.03939</v>
      </c>
    </row>
    <row r="823">
      <c r="A823" s="12" t="s">
        <v>6913</v>
      </c>
      <c r="G823" s="19">
        <f>IFERROR(__xludf.DUMMYFUNCTION("SPLIT(A821, "" |"")"),819.0)</f>
        <v>819</v>
      </c>
      <c r="H823" s="19">
        <f>IFERROR(__xludf.DUMMYFUNCTION("""COMPUTED_VALUE"""),0.00223)</f>
        <v>0.00223</v>
      </c>
      <c r="I823" s="19" t="str">
        <f>IFERROR(__xludf.DUMMYFUNCTION("""COMPUTED_VALUE"""),"-")</f>
        <v>-</v>
      </c>
      <c r="J823" s="19">
        <f>IFERROR(__xludf.DUMMYFUNCTION("""COMPUTED_VALUE"""),0.00201)</f>
        <v>0.00201</v>
      </c>
      <c r="K823" s="19">
        <f>IFERROR(__xludf.DUMMYFUNCTION("""COMPUTED_VALUE"""),0.03902)</f>
        <v>0.03902</v>
      </c>
      <c r="L823" s="19" t="str">
        <f>IFERROR(__xludf.DUMMYFUNCTION("""COMPUTED_VALUE"""),"-")</f>
        <v>-</v>
      </c>
      <c r="M823" s="19">
        <f>IFERROR(__xludf.DUMMYFUNCTION("""COMPUTED_VALUE"""),0.03993)</f>
        <v>0.03993</v>
      </c>
    </row>
    <row r="824">
      <c r="A824" s="12" t="s">
        <v>6914</v>
      </c>
      <c r="G824" s="19">
        <f>IFERROR(__xludf.DUMMYFUNCTION("SPLIT(A822, "" |"")"),820.0)</f>
        <v>820</v>
      </c>
      <c r="H824" s="19">
        <f>IFERROR(__xludf.DUMMYFUNCTION("""COMPUTED_VALUE"""),0.00206)</f>
        <v>0.00206</v>
      </c>
      <c r="I824" s="19" t="str">
        <f>IFERROR(__xludf.DUMMYFUNCTION("""COMPUTED_VALUE"""),"-")</f>
        <v>-</v>
      </c>
      <c r="J824" s="19">
        <f>IFERROR(__xludf.DUMMYFUNCTION("""COMPUTED_VALUE"""),0.00207)</f>
        <v>0.00207</v>
      </c>
      <c r="K824" s="19">
        <f>IFERROR(__xludf.DUMMYFUNCTION("""COMPUTED_VALUE"""),0.03904)</f>
        <v>0.03904</v>
      </c>
      <c r="L824" s="19" t="str">
        <f>IFERROR(__xludf.DUMMYFUNCTION("""COMPUTED_VALUE"""),"-")</f>
        <v>-</v>
      </c>
      <c r="M824" s="19">
        <f>IFERROR(__xludf.DUMMYFUNCTION("""COMPUTED_VALUE"""),0.03999)</f>
        <v>0.03999</v>
      </c>
    </row>
    <row r="825">
      <c r="A825" s="12" t="s">
        <v>6915</v>
      </c>
      <c r="G825" s="19">
        <f>IFERROR(__xludf.DUMMYFUNCTION("SPLIT(A823, "" |"")"),821.0)</f>
        <v>821</v>
      </c>
      <c r="H825" s="19">
        <f>IFERROR(__xludf.DUMMYFUNCTION("""COMPUTED_VALUE"""),0.00241)</f>
        <v>0.00241</v>
      </c>
      <c r="I825" s="19" t="str">
        <f>IFERROR(__xludf.DUMMYFUNCTION("""COMPUTED_VALUE"""),"-")</f>
        <v>-</v>
      </c>
      <c r="J825" s="19">
        <f>IFERROR(__xludf.DUMMYFUNCTION("""COMPUTED_VALUE"""),0.00218)</f>
        <v>0.00218</v>
      </c>
      <c r="K825" s="19">
        <f>IFERROR(__xludf.DUMMYFUNCTION("""COMPUTED_VALUE"""),0.03987)</f>
        <v>0.03987</v>
      </c>
      <c r="L825" s="19" t="str">
        <f>IFERROR(__xludf.DUMMYFUNCTION("""COMPUTED_VALUE"""),"-")</f>
        <v>-</v>
      </c>
      <c r="M825" s="19">
        <f>IFERROR(__xludf.DUMMYFUNCTION("""COMPUTED_VALUE"""),0.03992)</f>
        <v>0.03992</v>
      </c>
    </row>
    <row r="826">
      <c r="A826" s="12" t="s">
        <v>6916</v>
      </c>
      <c r="G826" s="19">
        <f>IFERROR(__xludf.DUMMYFUNCTION("SPLIT(A824, "" |"")"),822.0)</f>
        <v>822</v>
      </c>
      <c r="H826" s="19">
        <f>IFERROR(__xludf.DUMMYFUNCTION("""COMPUTED_VALUE"""),0.00213)</f>
        <v>0.00213</v>
      </c>
      <c r="I826" s="19" t="str">
        <f>IFERROR(__xludf.DUMMYFUNCTION("""COMPUTED_VALUE"""),"-")</f>
        <v>-</v>
      </c>
      <c r="J826" s="19">
        <f>IFERROR(__xludf.DUMMYFUNCTION("""COMPUTED_VALUE"""),0.0019)</f>
        <v>0.0019</v>
      </c>
      <c r="K826" s="19">
        <f>IFERROR(__xludf.DUMMYFUNCTION("""COMPUTED_VALUE"""),0.03996)</f>
        <v>0.03996</v>
      </c>
      <c r="L826" s="19" t="str">
        <f>IFERROR(__xludf.DUMMYFUNCTION("""COMPUTED_VALUE"""),"-")</f>
        <v>-</v>
      </c>
      <c r="M826" s="19">
        <f>IFERROR(__xludf.DUMMYFUNCTION("""COMPUTED_VALUE"""),0.03927)</f>
        <v>0.03927</v>
      </c>
    </row>
    <row r="827">
      <c r="A827" s="12" t="s">
        <v>6917</v>
      </c>
      <c r="G827" s="19">
        <f>IFERROR(__xludf.DUMMYFUNCTION("SPLIT(A825, "" |"")"),823.0)</f>
        <v>823</v>
      </c>
      <c r="H827" s="19">
        <f>IFERROR(__xludf.DUMMYFUNCTION("""COMPUTED_VALUE"""),0.00204)</f>
        <v>0.00204</v>
      </c>
      <c r="I827" s="19" t="str">
        <f>IFERROR(__xludf.DUMMYFUNCTION("""COMPUTED_VALUE"""),"-")</f>
        <v>-</v>
      </c>
      <c r="J827" s="19">
        <f>IFERROR(__xludf.DUMMYFUNCTION("""COMPUTED_VALUE"""),0.00202)</f>
        <v>0.00202</v>
      </c>
      <c r="K827" s="19">
        <f>IFERROR(__xludf.DUMMYFUNCTION("""COMPUTED_VALUE"""),0.03959)</f>
        <v>0.03959</v>
      </c>
      <c r="L827" s="19" t="str">
        <f>IFERROR(__xludf.DUMMYFUNCTION("""COMPUTED_VALUE"""),"-")</f>
        <v>-</v>
      </c>
      <c r="M827" s="19">
        <f>IFERROR(__xludf.DUMMYFUNCTION("""COMPUTED_VALUE"""),0.04024)</f>
        <v>0.04024</v>
      </c>
    </row>
    <row r="828">
      <c r="A828" s="12" t="s">
        <v>6918</v>
      </c>
      <c r="G828" s="19">
        <f>IFERROR(__xludf.DUMMYFUNCTION("SPLIT(A826, "" |"")"),824.0)</f>
        <v>824</v>
      </c>
      <c r="H828" s="19">
        <f>IFERROR(__xludf.DUMMYFUNCTION("""COMPUTED_VALUE"""),0.00209)</f>
        <v>0.00209</v>
      </c>
      <c r="I828" s="19" t="str">
        <f>IFERROR(__xludf.DUMMYFUNCTION("""COMPUTED_VALUE"""),"-")</f>
        <v>-</v>
      </c>
      <c r="J828" s="19">
        <f>IFERROR(__xludf.DUMMYFUNCTION("""COMPUTED_VALUE"""),0.00194)</f>
        <v>0.00194</v>
      </c>
      <c r="K828" s="19">
        <f>IFERROR(__xludf.DUMMYFUNCTION("""COMPUTED_VALUE"""),0.03977)</f>
        <v>0.03977</v>
      </c>
      <c r="L828" s="19" t="str">
        <f>IFERROR(__xludf.DUMMYFUNCTION("""COMPUTED_VALUE"""),"-")</f>
        <v>-</v>
      </c>
      <c r="M828" s="19">
        <f>IFERROR(__xludf.DUMMYFUNCTION("""COMPUTED_VALUE"""),0.03688)</f>
        <v>0.03688</v>
      </c>
    </row>
    <row r="829">
      <c r="A829" s="12" t="s">
        <v>6919</v>
      </c>
      <c r="G829" s="19">
        <f>IFERROR(__xludf.DUMMYFUNCTION("SPLIT(A827, "" |"")"),825.0)</f>
        <v>825</v>
      </c>
      <c r="H829" s="19">
        <f>IFERROR(__xludf.DUMMYFUNCTION("""COMPUTED_VALUE"""),0.00241)</f>
        <v>0.00241</v>
      </c>
      <c r="I829" s="19" t="str">
        <f>IFERROR(__xludf.DUMMYFUNCTION("""COMPUTED_VALUE"""),"-")</f>
        <v>-</v>
      </c>
      <c r="J829" s="19">
        <f>IFERROR(__xludf.DUMMYFUNCTION("""COMPUTED_VALUE"""),0.00211)</f>
        <v>0.00211</v>
      </c>
      <c r="K829" s="19">
        <f>IFERROR(__xludf.DUMMYFUNCTION("""COMPUTED_VALUE"""),0.03835)</f>
        <v>0.03835</v>
      </c>
      <c r="L829" s="19" t="str">
        <f>IFERROR(__xludf.DUMMYFUNCTION("""COMPUTED_VALUE"""),"-")</f>
        <v>-</v>
      </c>
      <c r="M829" s="19">
        <f>IFERROR(__xludf.DUMMYFUNCTION("""COMPUTED_VALUE"""),0.03892)</f>
        <v>0.03892</v>
      </c>
    </row>
    <row r="830">
      <c r="A830" s="12" t="s">
        <v>6920</v>
      </c>
      <c r="G830" s="19">
        <f>IFERROR(__xludf.DUMMYFUNCTION("SPLIT(A828, "" |"")"),826.0)</f>
        <v>826</v>
      </c>
      <c r="H830" s="19">
        <f>IFERROR(__xludf.DUMMYFUNCTION("""COMPUTED_VALUE"""),0.00217)</f>
        <v>0.00217</v>
      </c>
      <c r="I830" s="19" t="str">
        <f>IFERROR(__xludf.DUMMYFUNCTION("""COMPUTED_VALUE"""),"-")</f>
        <v>-</v>
      </c>
      <c r="J830" s="19">
        <f>IFERROR(__xludf.DUMMYFUNCTION("""COMPUTED_VALUE"""),0.0022)</f>
        <v>0.0022</v>
      </c>
      <c r="K830" s="19">
        <f>IFERROR(__xludf.DUMMYFUNCTION("""COMPUTED_VALUE"""),0.03878)</f>
        <v>0.03878</v>
      </c>
      <c r="L830" s="19" t="str">
        <f>IFERROR(__xludf.DUMMYFUNCTION("""COMPUTED_VALUE"""),"-")</f>
        <v>-</v>
      </c>
      <c r="M830" s="19">
        <f>IFERROR(__xludf.DUMMYFUNCTION("""COMPUTED_VALUE"""),0.04024)</f>
        <v>0.04024</v>
      </c>
    </row>
    <row r="831">
      <c r="A831" s="12" t="s">
        <v>6921</v>
      </c>
      <c r="G831" s="19">
        <f>IFERROR(__xludf.DUMMYFUNCTION("SPLIT(A829, "" |"")"),827.0)</f>
        <v>827</v>
      </c>
      <c r="H831" s="19">
        <f>IFERROR(__xludf.DUMMYFUNCTION("""COMPUTED_VALUE"""),0.00226)</f>
        <v>0.00226</v>
      </c>
      <c r="I831" s="19" t="str">
        <f>IFERROR(__xludf.DUMMYFUNCTION("""COMPUTED_VALUE"""),"-")</f>
        <v>-</v>
      </c>
      <c r="J831" s="19">
        <f>IFERROR(__xludf.DUMMYFUNCTION("""COMPUTED_VALUE"""),0.00198)</f>
        <v>0.00198</v>
      </c>
      <c r="K831" s="19">
        <f>IFERROR(__xludf.DUMMYFUNCTION("""COMPUTED_VALUE"""),0.03983)</f>
        <v>0.03983</v>
      </c>
      <c r="L831" s="19" t="str">
        <f>IFERROR(__xludf.DUMMYFUNCTION("""COMPUTED_VALUE"""),"-")</f>
        <v>-</v>
      </c>
      <c r="M831" s="19">
        <f>IFERROR(__xludf.DUMMYFUNCTION("""COMPUTED_VALUE"""),0.04044)</f>
        <v>0.04044</v>
      </c>
    </row>
    <row r="832">
      <c r="A832" s="12" t="s">
        <v>6922</v>
      </c>
      <c r="G832" s="19">
        <f>IFERROR(__xludf.DUMMYFUNCTION("SPLIT(A830, "" |"")"),828.0)</f>
        <v>828</v>
      </c>
      <c r="H832" s="19">
        <f>IFERROR(__xludf.DUMMYFUNCTION("""COMPUTED_VALUE"""),0.00233)</f>
        <v>0.00233</v>
      </c>
      <c r="I832" s="19" t="str">
        <f>IFERROR(__xludf.DUMMYFUNCTION("""COMPUTED_VALUE"""),"-")</f>
        <v>-</v>
      </c>
      <c r="J832" s="19">
        <f>IFERROR(__xludf.DUMMYFUNCTION("""COMPUTED_VALUE"""),0.00206)</f>
        <v>0.00206</v>
      </c>
      <c r="K832" s="19">
        <f>IFERROR(__xludf.DUMMYFUNCTION("""COMPUTED_VALUE"""),0.04005)</f>
        <v>0.04005</v>
      </c>
      <c r="L832" s="19" t="str">
        <f>IFERROR(__xludf.DUMMYFUNCTION("""COMPUTED_VALUE"""),"-")</f>
        <v>-</v>
      </c>
      <c r="M832" s="19">
        <f>IFERROR(__xludf.DUMMYFUNCTION("""COMPUTED_VALUE"""),0.0401)</f>
        <v>0.0401</v>
      </c>
    </row>
    <row r="833">
      <c r="A833" s="12" t="s">
        <v>6923</v>
      </c>
      <c r="G833" s="19">
        <f>IFERROR(__xludf.DUMMYFUNCTION("SPLIT(A831, "" |"")"),829.0)</f>
        <v>829</v>
      </c>
      <c r="H833" s="19">
        <f>IFERROR(__xludf.DUMMYFUNCTION("""COMPUTED_VALUE"""),0.00214)</f>
        <v>0.00214</v>
      </c>
      <c r="I833" s="19" t="str">
        <f>IFERROR(__xludf.DUMMYFUNCTION("""COMPUTED_VALUE"""),"-")</f>
        <v>-</v>
      </c>
      <c r="J833" s="19">
        <f>IFERROR(__xludf.DUMMYFUNCTION("""COMPUTED_VALUE"""),0.0021)</f>
        <v>0.0021</v>
      </c>
      <c r="K833" s="19">
        <f>IFERROR(__xludf.DUMMYFUNCTION("""COMPUTED_VALUE"""),0.03853)</f>
        <v>0.03853</v>
      </c>
      <c r="L833" s="19" t="str">
        <f>IFERROR(__xludf.DUMMYFUNCTION("""COMPUTED_VALUE"""),"-")</f>
        <v>-</v>
      </c>
      <c r="M833" s="19">
        <f>IFERROR(__xludf.DUMMYFUNCTION("""COMPUTED_VALUE"""),0.03634)</f>
        <v>0.03634</v>
      </c>
    </row>
    <row r="834">
      <c r="A834" s="12" t="s">
        <v>6924</v>
      </c>
      <c r="G834" s="19">
        <f>IFERROR(__xludf.DUMMYFUNCTION("SPLIT(A832, "" |"")"),830.0)</f>
        <v>830</v>
      </c>
      <c r="H834" s="19">
        <f>IFERROR(__xludf.DUMMYFUNCTION("""COMPUTED_VALUE"""),0.00224)</f>
        <v>0.00224</v>
      </c>
      <c r="I834" s="19" t="str">
        <f>IFERROR(__xludf.DUMMYFUNCTION("""COMPUTED_VALUE"""),"-")</f>
        <v>-</v>
      </c>
      <c r="J834" s="19">
        <f>IFERROR(__xludf.DUMMYFUNCTION("""COMPUTED_VALUE"""),0.00199)</f>
        <v>0.00199</v>
      </c>
      <c r="K834" s="19">
        <f>IFERROR(__xludf.DUMMYFUNCTION("""COMPUTED_VALUE"""),0.0374)</f>
        <v>0.0374</v>
      </c>
      <c r="L834" s="19" t="str">
        <f>IFERROR(__xludf.DUMMYFUNCTION("""COMPUTED_VALUE"""),"-")</f>
        <v>-</v>
      </c>
      <c r="M834" s="19">
        <f>IFERROR(__xludf.DUMMYFUNCTION("""COMPUTED_VALUE"""),0.03748)</f>
        <v>0.03748</v>
      </c>
    </row>
    <row r="835">
      <c r="A835" s="12" t="s">
        <v>6925</v>
      </c>
      <c r="G835" s="19">
        <f>IFERROR(__xludf.DUMMYFUNCTION("SPLIT(A833, "" |"")"),831.0)</f>
        <v>831</v>
      </c>
      <c r="H835" s="19">
        <f>IFERROR(__xludf.DUMMYFUNCTION("""COMPUTED_VALUE"""),0.00218)</f>
        <v>0.00218</v>
      </c>
      <c r="I835" s="19" t="str">
        <f>IFERROR(__xludf.DUMMYFUNCTION("""COMPUTED_VALUE"""),"-")</f>
        <v>-</v>
      </c>
      <c r="J835" s="19">
        <f>IFERROR(__xludf.DUMMYFUNCTION("""COMPUTED_VALUE"""),0.00238)</f>
        <v>0.00238</v>
      </c>
      <c r="K835" s="19">
        <f>IFERROR(__xludf.DUMMYFUNCTION("""COMPUTED_VALUE"""),0.0375)</f>
        <v>0.0375</v>
      </c>
      <c r="L835" s="19" t="str">
        <f>IFERROR(__xludf.DUMMYFUNCTION("""COMPUTED_VALUE"""),"-")</f>
        <v>-</v>
      </c>
      <c r="M835" s="19">
        <f>IFERROR(__xludf.DUMMYFUNCTION("""COMPUTED_VALUE"""),0.03932)</f>
        <v>0.03932</v>
      </c>
    </row>
    <row r="836">
      <c r="A836" s="12" t="s">
        <v>6926</v>
      </c>
      <c r="G836" s="19">
        <f>IFERROR(__xludf.DUMMYFUNCTION("SPLIT(A834, "" |"")"),832.0)</f>
        <v>832</v>
      </c>
      <c r="H836" s="19">
        <f>IFERROR(__xludf.DUMMYFUNCTION("""COMPUTED_VALUE"""),0.00221)</f>
        <v>0.00221</v>
      </c>
      <c r="I836" s="19" t="str">
        <f>IFERROR(__xludf.DUMMYFUNCTION("""COMPUTED_VALUE"""),"-")</f>
        <v>-</v>
      </c>
      <c r="J836" s="19">
        <f>IFERROR(__xludf.DUMMYFUNCTION("""COMPUTED_VALUE"""),0.00207)</f>
        <v>0.00207</v>
      </c>
      <c r="K836" s="19">
        <f>IFERROR(__xludf.DUMMYFUNCTION("""COMPUTED_VALUE"""),0.03832)</f>
        <v>0.03832</v>
      </c>
      <c r="L836" s="19" t="str">
        <f>IFERROR(__xludf.DUMMYFUNCTION("""COMPUTED_VALUE"""),"-")</f>
        <v>-</v>
      </c>
      <c r="M836" s="19">
        <f>IFERROR(__xludf.DUMMYFUNCTION("""COMPUTED_VALUE"""),0.03823)</f>
        <v>0.03823</v>
      </c>
    </row>
    <row r="837">
      <c r="A837" s="12" t="s">
        <v>6927</v>
      </c>
      <c r="G837" s="19">
        <f>IFERROR(__xludf.DUMMYFUNCTION("SPLIT(A835, "" |"")"),833.0)</f>
        <v>833</v>
      </c>
      <c r="H837" s="19">
        <f>IFERROR(__xludf.DUMMYFUNCTION("""COMPUTED_VALUE"""),0.00203)</f>
        <v>0.00203</v>
      </c>
      <c r="I837" s="19" t="str">
        <f>IFERROR(__xludf.DUMMYFUNCTION("""COMPUTED_VALUE"""),"-")</f>
        <v>-</v>
      </c>
      <c r="J837" s="19">
        <f>IFERROR(__xludf.DUMMYFUNCTION("""COMPUTED_VALUE"""),0.00193)</f>
        <v>0.00193</v>
      </c>
      <c r="K837" s="19">
        <f>IFERROR(__xludf.DUMMYFUNCTION("""COMPUTED_VALUE"""),0.03767)</f>
        <v>0.03767</v>
      </c>
      <c r="L837" s="19" t="str">
        <f>IFERROR(__xludf.DUMMYFUNCTION("""COMPUTED_VALUE"""),"-")</f>
        <v>-</v>
      </c>
      <c r="M837" s="19">
        <f>IFERROR(__xludf.DUMMYFUNCTION("""COMPUTED_VALUE"""),0.03791)</f>
        <v>0.03791</v>
      </c>
    </row>
    <row r="838">
      <c r="A838" s="12" t="s">
        <v>6928</v>
      </c>
      <c r="G838" s="19">
        <f>IFERROR(__xludf.DUMMYFUNCTION("SPLIT(A836, "" |"")"),834.0)</f>
        <v>834</v>
      </c>
      <c r="H838" s="19">
        <f>IFERROR(__xludf.DUMMYFUNCTION("""COMPUTED_VALUE"""),0.00213)</f>
        <v>0.00213</v>
      </c>
      <c r="I838" s="19" t="str">
        <f>IFERROR(__xludf.DUMMYFUNCTION("""COMPUTED_VALUE"""),"-")</f>
        <v>-</v>
      </c>
      <c r="J838" s="19">
        <f>IFERROR(__xludf.DUMMYFUNCTION("""COMPUTED_VALUE"""),0.00191)</f>
        <v>0.00191</v>
      </c>
      <c r="K838" s="19">
        <f>IFERROR(__xludf.DUMMYFUNCTION("""COMPUTED_VALUE"""),0.03763)</f>
        <v>0.03763</v>
      </c>
      <c r="L838" s="19" t="str">
        <f>IFERROR(__xludf.DUMMYFUNCTION("""COMPUTED_VALUE"""),"-")</f>
        <v>-</v>
      </c>
      <c r="M838" s="19">
        <f>IFERROR(__xludf.DUMMYFUNCTION("""COMPUTED_VALUE"""),0.0403)</f>
        <v>0.0403</v>
      </c>
    </row>
    <row r="839">
      <c r="A839" s="12" t="s">
        <v>6929</v>
      </c>
      <c r="G839" s="19">
        <f>IFERROR(__xludf.DUMMYFUNCTION("SPLIT(A837, "" |"")"),835.0)</f>
        <v>835</v>
      </c>
      <c r="H839" s="19">
        <f>IFERROR(__xludf.DUMMYFUNCTION("""COMPUTED_VALUE"""),0.00212)</f>
        <v>0.00212</v>
      </c>
      <c r="I839" s="19" t="str">
        <f>IFERROR(__xludf.DUMMYFUNCTION("""COMPUTED_VALUE"""),"-")</f>
        <v>-</v>
      </c>
      <c r="J839" s="19">
        <f>IFERROR(__xludf.DUMMYFUNCTION("""COMPUTED_VALUE"""),0.00199)</f>
        <v>0.00199</v>
      </c>
      <c r="K839" s="19">
        <f>IFERROR(__xludf.DUMMYFUNCTION("""COMPUTED_VALUE"""),0.0391)</f>
        <v>0.0391</v>
      </c>
      <c r="L839" s="19" t="str">
        <f>IFERROR(__xludf.DUMMYFUNCTION("""COMPUTED_VALUE"""),"-")</f>
        <v>-</v>
      </c>
      <c r="M839" s="19">
        <f>IFERROR(__xludf.DUMMYFUNCTION("""COMPUTED_VALUE"""),0.04014)</f>
        <v>0.04014</v>
      </c>
    </row>
    <row r="840">
      <c r="A840" s="12" t="s">
        <v>6930</v>
      </c>
      <c r="G840" s="19">
        <f>IFERROR(__xludf.DUMMYFUNCTION("SPLIT(A838, "" |"")"),836.0)</f>
        <v>836</v>
      </c>
      <c r="H840" s="19">
        <f>IFERROR(__xludf.DUMMYFUNCTION("""COMPUTED_VALUE"""),0.0021)</f>
        <v>0.0021</v>
      </c>
      <c r="I840" s="19" t="str">
        <f>IFERROR(__xludf.DUMMYFUNCTION("""COMPUTED_VALUE"""),"-")</f>
        <v>-</v>
      </c>
      <c r="J840" s="19">
        <f>IFERROR(__xludf.DUMMYFUNCTION("""COMPUTED_VALUE"""),0.00186)</f>
        <v>0.00186</v>
      </c>
      <c r="K840" s="19">
        <f>IFERROR(__xludf.DUMMYFUNCTION("""COMPUTED_VALUE"""),0.03951)</f>
        <v>0.03951</v>
      </c>
      <c r="L840" s="19" t="str">
        <f>IFERROR(__xludf.DUMMYFUNCTION("""COMPUTED_VALUE"""),"-")</f>
        <v>-</v>
      </c>
      <c r="M840" s="19">
        <f>IFERROR(__xludf.DUMMYFUNCTION("""COMPUTED_VALUE"""),0.03997)</f>
        <v>0.03997</v>
      </c>
    </row>
    <row r="841">
      <c r="A841" s="12" t="s">
        <v>6931</v>
      </c>
      <c r="G841" s="19">
        <f>IFERROR(__xludf.DUMMYFUNCTION("SPLIT(A839, "" |"")"),837.0)</f>
        <v>837</v>
      </c>
      <c r="H841" s="19">
        <f>IFERROR(__xludf.DUMMYFUNCTION("""COMPUTED_VALUE"""),0.00215)</f>
        <v>0.00215</v>
      </c>
      <c r="I841" s="19" t="str">
        <f>IFERROR(__xludf.DUMMYFUNCTION("""COMPUTED_VALUE"""),"-")</f>
        <v>-</v>
      </c>
      <c r="J841" s="19">
        <f>IFERROR(__xludf.DUMMYFUNCTION("""COMPUTED_VALUE"""),0.00195)</f>
        <v>0.00195</v>
      </c>
      <c r="K841" s="19">
        <f>IFERROR(__xludf.DUMMYFUNCTION("""COMPUTED_VALUE"""),0.03918)</f>
        <v>0.03918</v>
      </c>
      <c r="L841" s="19" t="str">
        <f>IFERROR(__xludf.DUMMYFUNCTION("""COMPUTED_VALUE"""),"-")</f>
        <v>-</v>
      </c>
      <c r="M841" s="19">
        <f>IFERROR(__xludf.DUMMYFUNCTION("""COMPUTED_VALUE"""),0.04001)</f>
        <v>0.04001</v>
      </c>
    </row>
    <row r="842">
      <c r="A842" s="12" t="s">
        <v>6932</v>
      </c>
      <c r="G842" s="19">
        <f>IFERROR(__xludf.DUMMYFUNCTION("SPLIT(A840, "" |"")"),838.0)</f>
        <v>838</v>
      </c>
      <c r="H842" s="19">
        <f>IFERROR(__xludf.DUMMYFUNCTION("""COMPUTED_VALUE"""),0.00216)</f>
        <v>0.00216</v>
      </c>
      <c r="I842" s="19" t="str">
        <f>IFERROR(__xludf.DUMMYFUNCTION("""COMPUTED_VALUE"""),"-")</f>
        <v>-</v>
      </c>
      <c r="J842" s="19">
        <f>IFERROR(__xludf.DUMMYFUNCTION("""COMPUTED_VALUE"""),0.00193)</f>
        <v>0.00193</v>
      </c>
      <c r="K842" s="19">
        <f>IFERROR(__xludf.DUMMYFUNCTION("""COMPUTED_VALUE"""),0.03668)</f>
        <v>0.03668</v>
      </c>
      <c r="L842" s="19" t="str">
        <f>IFERROR(__xludf.DUMMYFUNCTION("""COMPUTED_VALUE"""),"-")</f>
        <v>-</v>
      </c>
      <c r="M842" s="19">
        <f>IFERROR(__xludf.DUMMYFUNCTION("""COMPUTED_VALUE"""),0.03977)</f>
        <v>0.03977</v>
      </c>
    </row>
    <row r="843">
      <c r="A843" s="12" t="s">
        <v>6933</v>
      </c>
      <c r="G843" s="19">
        <f>IFERROR(__xludf.DUMMYFUNCTION("SPLIT(A841, "" |"")"),839.0)</f>
        <v>839</v>
      </c>
      <c r="H843" s="19">
        <f>IFERROR(__xludf.DUMMYFUNCTION("""COMPUTED_VALUE"""),0.00206)</f>
        <v>0.00206</v>
      </c>
      <c r="I843" s="19" t="str">
        <f>IFERROR(__xludf.DUMMYFUNCTION("""COMPUTED_VALUE"""),"-")</f>
        <v>-</v>
      </c>
      <c r="J843" s="19">
        <f>IFERROR(__xludf.DUMMYFUNCTION("""COMPUTED_VALUE"""),0.00189)</f>
        <v>0.00189</v>
      </c>
      <c r="K843" s="19">
        <f>IFERROR(__xludf.DUMMYFUNCTION("""COMPUTED_VALUE"""),0.03958)</f>
        <v>0.03958</v>
      </c>
      <c r="L843" s="19" t="str">
        <f>IFERROR(__xludf.DUMMYFUNCTION("""COMPUTED_VALUE"""),"-")</f>
        <v>-</v>
      </c>
      <c r="M843" s="19">
        <f>IFERROR(__xludf.DUMMYFUNCTION("""COMPUTED_VALUE"""),0.03859)</f>
        <v>0.03859</v>
      </c>
    </row>
    <row r="844">
      <c r="A844" s="12" t="s">
        <v>6934</v>
      </c>
      <c r="G844" s="19">
        <f>IFERROR(__xludf.DUMMYFUNCTION("SPLIT(A842, "" |"")"),840.0)</f>
        <v>840</v>
      </c>
      <c r="H844" s="19">
        <f>IFERROR(__xludf.DUMMYFUNCTION("""COMPUTED_VALUE"""),0.00204)</f>
        <v>0.00204</v>
      </c>
      <c r="I844" s="19" t="str">
        <f>IFERROR(__xludf.DUMMYFUNCTION("""COMPUTED_VALUE"""),"-")</f>
        <v>-</v>
      </c>
      <c r="J844" s="19">
        <f>IFERROR(__xludf.DUMMYFUNCTION("""COMPUTED_VALUE"""),0.00191)</f>
        <v>0.00191</v>
      </c>
      <c r="K844" s="19">
        <f>IFERROR(__xludf.DUMMYFUNCTION("""COMPUTED_VALUE"""),0.04001)</f>
        <v>0.04001</v>
      </c>
      <c r="L844" s="19" t="str">
        <f>IFERROR(__xludf.DUMMYFUNCTION("""COMPUTED_VALUE"""),"-")</f>
        <v>-</v>
      </c>
      <c r="M844" s="19">
        <f>IFERROR(__xludf.DUMMYFUNCTION("""COMPUTED_VALUE"""),0.03768)</f>
        <v>0.03768</v>
      </c>
    </row>
    <row r="845">
      <c r="A845" s="12" t="s">
        <v>6935</v>
      </c>
      <c r="G845" s="19">
        <f>IFERROR(__xludf.DUMMYFUNCTION("SPLIT(A843, "" |"")"),841.0)</f>
        <v>841</v>
      </c>
      <c r="H845" s="19">
        <f>IFERROR(__xludf.DUMMYFUNCTION("""COMPUTED_VALUE"""),0.00205)</f>
        <v>0.00205</v>
      </c>
      <c r="I845" s="19" t="str">
        <f>IFERROR(__xludf.DUMMYFUNCTION("""COMPUTED_VALUE"""),"-")</f>
        <v>-</v>
      </c>
      <c r="J845" s="19">
        <f>IFERROR(__xludf.DUMMYFUNCTION("""COMPUTED_VALUE"""),0.00188)</f>
        <v>0.00188</v>
      </c>
      <c r="K845" s="19">
        <f>IFERROR(__xludf.DUMMYFUNCTION("""COMPUTED_VALUE"""),0.03962)</f>
        <v>0.03962</v>
      </c>
      <c r="L845" s="19" t="str">
        <f>IFERROR(__xludf.DUMMYFUNCTION("""COMPUTED_VALUE"""),"-")</f>
        <v>-</v>
      </c>
      <c r="M845" s="19">
        <f>IFERROR(__xludf.DUMMYFUNCTION("""COMPUTED_VALUE"""),0.03983)</f>
        <v>0.03983</v>
      </c>
    </row>
    <row r="846">
      <c r="A846" s="12" t="s">
        <v>6936</v>
      </c>
      <c r="G846" s="19">
        <f>IFERROR(__xludf.DUMMYFUNCTION("SPLIT(A844, "" |"")"),842.0)</f>
        <v>842</v>
      </c>
      <c r="H846" s="19">
        <f>IFERROR(__xludf.DUMMYFUNCTION("""COMPUTED_VALUE"""),0.00206)</f>
        <v>0.00206</v>
      </c>
      <c r="I846" s="19" t="str">
        <f>IFERROR(__xludf.DUMMYFUNCTION("""COMPUTED_VALUE"""),"-")</f>
        <v>-</v>
      </c>
      <c r="J846" s="19">
        <f>IFERROR(__xludf.DUMMYFUNCTION("""COMPUTED_VALUE"""),0.00215)</f>
        <v>0.00215</v>
      </c>
      <c r="K846" s="19">
        <f>IFERROR(__xludf.DUMMYFUNCTION("""COMPUTED_VALUE"""),0.03907)</f>
        <v>0.03907</v>
      </c>
      <c r="L846" s="19" t="str">
        <f>IFERROR(__xludf.DUMMYFUNCTION("""COMPUTED_VALUE"""),"-")</f>
        <v>-</v>
      </c>
      <c r="M846" s="19">
        <f>IFERROR(__xludf.DUMMYFUNCTION("""COMPUTED_VALUE"""),0.03988)</f>
        <v>0.03988</v>
      </c>
    </row>
    <row r="847">
      <c r="A847" s="12" t="s">
        <v>6937</v>
      </c>
      <c r="G847" s="19">
        <f>IFERROR(__xludf.DUMMYFUNCTION("SPLIT(A845, "" |"")"),843.0)</f>
        <v>843</v>
      </c>
      <c r="H847" s="19">
        <f>IFERROR(__xludf.DUMMYFUNCTION("""COMPUTED_VALUE"""),0.00214)</f>
        <v>0.00214</v>
      </c>
      <c r="I847" s="19" t="str">
        <f>IFERROR(__xludf.DUMMYFUNCTION("""COMPUTED_VALUE"""),"-")</f>
        <v>-</v>
      </c>
      <c r="J847" s="19">
        <f>IFERROR(__xludf.DUMMYFUNCTION("""COMPUTED_VALUE"""),0.00215)</f>
        <v>0.00215</v>
      </c>
      <c r="K847" s="19">
        <f>IFERROR(__xludf.DUMMYFUNCTION("""COMPUTED_VALUE"""),0.04339)</f>
        <v>0.04339</v>
      </c>
      <c r="L847" s="19" t="str">
        <f>IFERROR(__xludf.DUMMYFUNCTION("""COMPUTED_VALUE"""),"-")</f>
        <v>-</v>
      </c>
      <c r="M847" s="19">
        <f>IFERROR(__xludf.DUMMYFUNCTION("""COMPUTED_VALUE"""),0.04168)</f>
        <v>0.04168</v>
      </c>
    </row>
    <row r="848">
      <c r="A848" s="12" t="s">
        <v>6938</v>
      </c>
      <c r="G848" s="19">
        <f>IFERROR(__xludf.DUMMYFUNCTION("SPLIT(A846, "" |"")"),844.0)</f>
        <v>844</v>
      </c>
      <c r="H848" s="19">
        <f>IFERROR(__xludf.DUMMYFUNCTION("""COMPUTED_VALUE"""),0.00228)</f>
        <v>0.00228</v>
      </c>
      <c r="I848" s="19" t="str">
        <f>IFERROR(__xludf.DUMMYFUNCTION("""COMPUTED_VALUE"""),"-")</f>
        <v>-</v>
      </c>
      <c r="J848" s="19">
        <f>IFERROR(__xludf.DUMMYFUNCTION("""COMPUTED_VALUE"""),0.00199)</f>
        <v>0.00199</v>
      </c>
      <c r="K848" s="19">
        <f>IFERROR(__xludf.DUMMYFUNCTION("""COMPUTED_VALUE"""),0.03931)</f>
        <v>0.03931</v>
      </c>
      <c r="L848" s="19" t="str">
        <f>IFERROR(__xludf.DUMMYFUNCTION("""COMPUTED_VALUE"""),"-")</f>
        <v>-</v>
      </c>
      <c r="M848" s="19">
        <f>IFERROR(__xludf.DUMMYFUNCTION("""COMPUTED_VALUE"""),0.0404)</f>
        <v>0.0404</v>
      </c>
    </row>
    <row r="849">
      <c r="A849" s="12" t="s">
        <v>6939</v>
      </c>
      <c r="G849" s="19">
        <f>IFERROR(__xludf.DUMMYFUNCTION("SPLIT(A847, "" |"")"),845.0)</f>
        <v>845</v>
      </c>
      <c r="H849" s="19">
        <f>IFERROR(__xludf.DUMMYFUNCTION("""COMPUTED_VALUE"""),0.00738)</f>
        <v>0.00738</v>
      </c>
      <c r="I849" s="19" t="str">
        <f>IFERROR(__xludf.DUMMYFUNCTION("""COMPUTED_VALUE"""),"-")</f>
        <v>-</v>
      </c>
      <c r="J849" s="19">
        <f>IFERROR(__xludf.DUMMYFUNCTION("""COMPUTED_VALUE"""),0.00318)</f>
        <v>0.00318</v>
      </c>
      <c r="K849" s="19">
        <f>IFERROR(__xludf.DUMMYFUNCTION("""COMPUTED_VALUE"""),0.04041)</f>
        <v>0.04041</v>
      </c>
      <c r="L849" s="19" t="str">
        <f>IFERROR(__xludf.DUMMYFUNCTION("""COMPUTED_VALUE"""),"-")</f>
        <v>-</v>
      </c>
      <c r="M849" s="19">
        <f>IFERROR(__xludf.DUMMYFUNCTION("""COMPUTED_VALUE"""),0.04027)</f>
        <v>0.04027</v>
      </c>
    </row>
    <row r="850">
      <c r="A850" s="12" t="s">
        <v>6940</v>
      </c>
      <c r="G850" s="19">
        <f>IFERROR(__xludf.DUMMYFUNCTION("SPLIT(A848, "" |"")"),846.0)</f>
        <v>846</v>
      </c>
      <c r="H850" s="19">
        <f>IFERROR(__xludf.DUMMYFUNCTION("""COMPUTED_VALUE"""),0.00206)</f>
        <v>0.00206</v>
      </c>
      <c r="I850" s="19" t="str">
        <f>IFERROR(__xludf.DUMMYFUNCTION("""COMPUTED_VALUE"""),"-")</f>
        <v>-</v>
      </c>
      <c r="J850" s="19">
        <f>IFERROR(__xludf.DUMMYFUNCTION("""COMPUTED_VALUE"""),0.00191)</f>
        <v>0.00191</v>
      </c>
      <c r="K850" s="19">
        <f>IFERROR(__xludf.DUMMYFUNCTION("""COMPUTED_VALUE"""),0.0383)</f>
        <v>0.0383</v>
      </c>
      <c r="L850" s="19" t="str">
        <f>IFERROR(__xludf.DUMMYFUNCTION("""COMPUTED_VALUE"""),"-")</f>
        <v>-</v>
      </c>
      <c r="M850" s="19">
        <f>IFERROR(__xludf.DUMMYFUNCTION("""COMPUTED_VALUE"""),0.03988)</f>
        <v>0.03988</v>
      </c>
    </row>
    <row r="851">
      <c r="A851" s="12" t="s">
        <v>6941</v>
      </c>
      <c r="G851" s="19">
        <f>IFERROR(__xludf.DUMMYFUNCTION("SPLIT(A849, "" |"")"),847.0)</f>
        <v>847</v>
      </c>
      <c r="H851" s="19">
        <f>IFERROR(__xludf.DUMMYFUNCTION("""COMPUTED_VALUE"""),0.00204)</f>
        <v>0.00204</v>
      </c>
      <c r="I851" s="19" t="str">
        <f>IFERROR(__xludf.DUMMYFUNCTION("""COMPUTED_VALUE"""),"-")</f>
        <v>-</v>
      </c>
      <c r="J851" s="19">
        <f>IFERROR(__xludf.DUMMYFUNCTION("""COMPUTED_VALUE"""),0.00207)</f>
        <v>0.00207</v>
      </c>
      <c r="K851" s="19">
        <f>IFERROR(__xludf.DUMMYFUNCTION("""COMPUTED_VALUE"""),0.03986)</f>
        <v>0.03986</v>
      </c>
      <c r="L851" s="19" t="str">
        <f>IFERROR(__xludf.DUMMYFUNCTION("""COMPUTED_VALUE"""),"-")</f>
        <v>-</v>
      </c>
      <c r="M851" s="19">
        <f>IFERROR(__xludf.DUMMYFUNCTION("""COMPUTED_VALUE"""),0.03625)</f>
        <v>0.03625</v>
      </c>
    </row>
    <row r="852">
      <c r="A852" s="12" t="s">
        <v>6942</v>
      </c>
      <c r="G852" s="19">
        <f>IFERROR(__xludf.DUMMYFUNCTION("SPLIT(A850, "" |"")"),848.0)</f>
        <v>848</v>
      </c>
      <c r="H852" s="19">
        <f>IFERROR(__xludf.DUMMYFUNCTION("""COMPUTED_VALUE"""),0.00208)</f>
        <v>0.00208</v>
      </c>
      <c r="I852" s="19" t="str">
        <f>IFERROR(__xludf.DUMMYFUNCTION("""COMPUTED_VALUE"""),"-")</f>
        <v>-</v>
      </c>
      <c r="J852" s="19">
        <f>IFERROR(__xludf.DUMMYFUNCTION("""COMPUTED_VALUE"""),0.00189)</f>
        <v>0.00189</v>
      </c>
      <c r="K852" s="19">
        <f>IFERROR(__xludf.DUMMYFUNCTION("""COMPUTED_VALUE"""),0.03982)</f>
        <v>0.03982</v>
      </c>
      <c r="L852" s="19" t="str">
        <f>IFERROR(__xludf.DUMMYFUNCTION("""COMPUTED_VALUE"""),"-")</f>
        <v>-</v>
      </c>
      <c r="M852" s="19">
        <f>IFERROR(__xludf.DUMMYFUNCTION("""COMPUTED_VALUE"""),0.07539)</f>
        <v>0.07539</v>
      </c>
    </row>
    <row r="853">
      <c r="A853" s="12" t="s">
        <v>6943</v>
      </c>
      <c r="G853" s="19">
        <f>IFERROR(__xludf.DUMMYFUNCTION("SPLIT(A851, "" |"")"),849.0)</f>
        <v>849</v>
      </c>
      <c r="H853" s="19">
        <f>IFERROR(__xludf.DUMMYFUNCTION("""COMPUTED_VALUE"""),0.00224)</f>
        <v>0.00224</v>
      </c>
      <c r="I853" s="19" t="str">
        <f>IFERROR(__xludf.DUMMYFUNCTION("""COMPUTED_VALUE"""),"-")</f>
        <v>-</v>
      </c>
      <c r="J853" s="19">
        <f>IFERROR(__xludf.DUMMYFUNCTION("""COMPUTED_VALUE"""),0.00206)</f>
        <v>0.00206</v>
      </c>
      <c r="K853" s="19">
        <f>IFERROR(__xludf.DUMMYFUNCTION("""COMPUTED_VALUE"""),0.03917)</f>
        <v>0.03917</v>
      </c>
      <c r="L853" s="19" t="str">
        <f>IFERROR(__xludf.DUMMYFUNCTION("""COMPUTED_VALUE"""),"-")</f>
        <v>-</v>
      </c>
      <c r="M853" s="19">
        <f>IFERROR(__xludf.DUMMYFUNCTION("""COMPUTED_VALUE"""),0.04006)</f>
        <v>0.04006</v>
      </c>
    </row>
    <row r="854">
      <c r="A854" s="12" t="s">
        <v>6944</v>
      </c>
      <c r="G854" s="19">
        <f>IFERROR(__xludf.DUMMYFUNCTION("SPLIT(A852, "" |"")"),850.0)</f>
        <v>850</v>
      </c>
      <c r="H854" s="19">
        <f>IFERROR(__xludf.DUMMYFUNCTION("""COMPUTED_VALUE"""),0.00212)</f>
        <v>0.00212</v>
      </c>
      <c r="I854" s="19" t="str">
        <f>IFERROR(__xludf.DUMMYFUNCTION("""COMPUTED_VALUE"""),"-")</f>
        <v>-</v>
      </c>
      <c r="J854" s="19">
        <f>IFERROR(__xludf.DUMMYFUNCTION("""COMPUTED_VALUE"""),0.00183)</f>
        <v>0.00183</v>
      </c>
      <c r="K854" s="19">
        <f>IFERROR(__xludf.DUMMYFUNCTION("""COMPUTED_VALUE"""),0.03965)</f>
        <v>0.03965</v>
      </c>
      <c r="L854" s="19" t="str">
        <f>IFERROR(__xludf.DUMMYFUNCTION("""COMPUTED_VALUE"""),"-")</f>
        <v>-</v>
      </c>
      <c r="M854" s="19">
        <f>IFERROR(__xludf.DUMMYFUNCTION("""COMPUTED_VALUE"""),0.04048)</f>
        <v>0.04048</v>
      </c>
    </row>
    <row r="855">
      <c r="A855" s="12" t="s">
        <v>6945</v>
      </c>
      <c r="G855" s="19">
        <f>IFERROR(__xludf.DUMMYFUNCTION("SPLIT(A853, "" |"")"),851.0)</f>
        <v>851</v>
      </c>
      <c r="H855" s="19">
        <f>IFERROR(__xludf.DUMMYFUNCTION("""COMPUTED_VALUE"""),0.00249)</f>
        <v>0.00249</v>
      </c>
      <c r="I855" s="19" t="str">
        <f>IFERROR(__xludf.DUMMYFUNCTION("""COMPUTED_VALUE"""),"-")</f>
        <v>-</v>
      </c>
      <c r="J855" s="19">
        <f>IFERROR(__xludf.DUMMYFUNCTION("""COMPUTED_VALUE"""),0.002)</f>
        <v>0.002</v>
      </c>
      <c r="K855" s="19">
        <f>IFERROR(__xludf.DUMMYFUNCTION("""COMPUTED_VALUE"""),0.03679)</f>
        <v>0.03679</v>
      </c>
      <c r="L855" s="19" t="str">
        <f>IFERROR(__xludf.DUMMYFUNCTION("""COMPUTED_VALUE"""),"-")</f>
        <v>-</v>
      </c>
      <c r="M855" s="19">
        <f>IFERROR(__xludf.DUMMYFUNCTION("""COMPUTED_VALUE"""),0.04023)</f>
        <v>0.04023</v>
      </c>
    </row>
    <row r="856">
      <c r="A856" s="12" t="s">
        <v>6946</v>
      </c>
      <c r="G856" s="19">
        <f>IFERROR(__xludf.DUMMYFUNCTION("SPLIT(A854, "" |"")"),852.0)</f>
        <v>852</v>
      </c>
      <c r="H856" s="19">
        <f>IFERROR(__xludf.DUMMYFUNCTION("""COMPUTED_VALUE"""),0.00186)</f>
        <v>0.00186</v>
      </c>
      <c r="I856" s="19" t="str">
        <f>IFERROR(__xludf.DUMMYFUNCTION("""COMPUTED_VALUE"""),"-")</f>
        <v>-</v>
      </c>
      <c r="J856" s="19">
        <f>IFERROR(__xludf.DUMMYFUNCTION("""COMPUTED_VALUE"""),0.00225)</f>
        <v>0.00225</v>
      </c>
      <c r="K856" s="19">
        <f>IFERROR(__xludf.DUMMYFUNCTION("""COMPUTED_VALUE"""),0.03916)</f>
        <v>0.03916</v>
      </c>
      <c r="L856" s="19" t="str">
        <f>IFERROR(__xludf.DUMMYFUNCTION("""COMPUTED_VALUE"""),"-")</f>
        <v>-</v>
      </c>
      <c r="M856" s="19">
        <f>IFERROR(__xludf.DUMMYFUNCTION("""COMPUTED_VALUE"""),0.04027)</f>
        <v>0.04027</v>
      </c>
    </row>
    <row r="857">
      <c r="A857" s="12" t="s">
        <v>6947</v>
      </c>
      <c r="G857" s="19">
        <f>IFERROR(__xludf.DUMMYFUNCTION("SPLIT(A855, "" |"")"),853.0)</f>
        <v>853</v>
      </c>
      <c r="H857" s="19">
        <f>IFERROR(__xludf.DUMMYFUNCTION("""COMPUTED_VALUE"""),0.00226)</f>
        <v>0.00226</v>
      </c>
      <c r="I857" s="19" t="str">
        <f>IFERROR(__xludf.DUMMYFUNCTION("""COMPUTED_VALUE"""),"-")</f>
        <v>-</v>
      </c>
      <c r="J857" s="19">
        <f>IFERROR(__xludf.DUMMYFUNCTION("""COMPUTED_VALUE"""),0.00195)</f>
        <v>0.00195</v>
      </c>
      <c r="K857" s="19">
        <f>IFERROR(__xludf.DUMMYFUNCTION("""COMPUTED_VALUE"""),0.03877)</f>
        <v>0.03877</v>
      </c>
      <c r="L857" s="19" t="str">
        <f>IFERROR(__xludf.DUMMYFUNCTION("""COMPUTED_VALUE"""),"-")</f>
        <v>-</v>
      </c>
      <c r="M857" s="19">
        <f>IFERROR(__xludf.DUMMYFUNCTION("""COMPUTED_VALUE"""),0.04027)</f>
        <v>0.04027</v>
      </c>
    </row>
    <row r="858">
      <c r="A858" s="12" t="s">
        <v>6948</v>
      </c>
      <c r="G858" s="19">
        <f>IFERROR(__xludf.DUMMYFUNCTION("SPLIT(A856, "" |"")"),854.0)</f>
        <v>854</v>
      </c>
      <c r="H858" s="19">
        <f>IFERROR(__xludf.DUMMYFUNCTION("""COMPUTED_VALUE"""),0.00225)</f>
        <v>0.00225</v>
      </c>
      <c r="I858" s="19" t="str">
        <f>IFERROR(__xludf.DUMMYFUNCTION("""COMPUTED_VALUE"""),"-")</f>
        <v>-</v>
      </c>
      <c r="J858" s="19">
        <f>IFERROR(__xludf.DUMMYFUNCTION("""COMPUTED_VALUE"""),0.00228)</f>
        <v>0.00228</v>
      </c>
      <c r="K858" s="19">
        <f>IFERROR(__xludf.DUMMYFUNCTION("""COMPUTED_VALUE"""),0.03966)</f>
        <v>0.03966</v>
      </c>
      <c r="L858" s="19" t="str">
        <f>IFERROR(__xludf.DUMMYFUNCTION("""COMPUTED_VALUE"""),"-")</f>
        <v>-</v>
      </c>
      <c r="M858" s="19">
        <f>IFERROR(__xludf.DUMMYFUNCTION("""COMPUTED_VALUE"""),0.03963)</f>
        <v>0.03963</v>
      </c>
    </row>
    <row r="859">
      <c r="A859" s="12" t="s">
        <v>6949</v>
      </c>
      <c r="G859" s="19">
        <f>IFERROR(__xludf.DUMMYFUNCTION("SPLIT(A857, "" |"")"),855.0)</f>
        <v>855</v>
      </c>
      <c r="H859" s="19">
        <f>IFERROR(__xludf.DUMMYFUNCTION("""COMPUTED_VALUE"""),0.00223)</f>
        <v>0.00223</v>
      </c>
      <c r="I859" s="19" t="str">
        <f>IFERROR(__xludf.DUMMYFUNCTION("""COMPUTED_VALUE"""),"-")</f>
        <v>-</v>
      </c>
      <c r="J859" s="19">
        <f>IFERROR(__xludf.DUMMYFUNCTION("""COMPUTED_VALUE"""),0.00212)</f>
        <v>0.00212</v>
      </c>
      <c r="K859" s="19">
        <f>IFERROR(__xludf.DUMMYFUNCTION("""COMPUTED_VALUE"""),0.03979)</f>
        <v>0.03979</v>
      </c>
      <c r="L859" s="19" t="str">
        <f>IFERROR(__xludf.DUMMYFUNCTION("""COMPUTED_VALUE"""),"-")</f>
        <v>-</v>
      </c>
      <c r="M859" s="19">
        <f>IFERROR(__xludf.DUMMYFUNCTION("""COMPUTED_VALUE"""),0.04019)</f>
        <v>0.04019</v>
      </c>
    </row>
    <row r="860">
      <c r="A860" s="12" t="s">
        <v>6950</v>
      </c>
      <c r="G860" s="19">
        <f>IFERROR(__xludf.DUMMYFUNCTION("SPLIT(A858, "" |"")"),856.0)</f>
        <v>856</v>
      </c>
      <c r="H860" s="19">
        <f>IFERROR(__xludf.DUMMYFUNCTION("""COMPUTED_VALUE"""),0.0021)</f>
        <v>0.0021</v>
      </c>
      <c r="I860" s="19" t="str">
        <f>IFERROR(__xludf.DUMMYFUNCTION("""COMPUTED_VALUE"""),"-")</f>
        <v>-</v>
      </c>
      <c r="J860" s="19">
        <f>IFERROR(__xludf.DUMMYFUNCTION("""COMPUTED_VALUE"""),0.00185)</f>
        <v>0.00185</v>
      </c>
      <c r="K860" s="19">
        <f>IFERROR(__xludf.DUMMYFUNCTION("""COMPUTED_VALUE"""),0.04006)</f>
        <v>0.04006</v>
      </c>
      <c r="L860" s="19" t="str">
        <f>IFERROR(__xludf.DUMMYFUNCTION("""COMPUTED_VALUE"""),"-")</f>
        <v>-</v>
      </c>
      <c r="M860" s="19">
        <f>IFERROR(__xludf.DUMMYFUNCTION("""COMPUTED_VALUE"""),0.03891)</f>
        <v>0.03891</v>
      </c>
    </row>
    <row r="861">
      <c r="A861" s="12" t="s">
        <v>6951</v>
      </c>
      <c r="G861" s="19">
        <f>IFERROR(__xludf.DUMMYFUNCTION("SPLIT(A859, "" |"")"),857.0)</f>
        <v>857</v>
      </c>
      <c r="H861" s="19">
        <f>IFERROR(__xludf.DUMMYFUNCTION("""COMPUTED_VALUE"""),0.00234)</f>
        <v>0.00234</v>
      </c>
      <c r="I861" s="19" t="str">
        <f>IFERROR(__xludf.DUMMYFUNCTION("""COMPUTED_VALUE"""),"-")</f>
        <v>-</v>
      </c>
      <c r="J861" s="19">
        <f>IFERROR(__xludf.DUMMYFUNCTION("""COMPUTED_VALUE"""),0.00241)</f>
        <v>0.00241</v>
      </c>
      <c r="K861" s="19">
        <f>IFERROR(__xludf.DUMMYFUNCTION("""COMPUTED_VALUE"""),0.0398)</f>
        <v>0.0398</v>
      </c>
      <c r="L861" s="19" t="str">
        <f>IFERROR(__xludf.DUMMYFUNCTION("""COMPUTED_VALUE"""),"-")</f>
        <v>-</v>
      </c>
      <c r="M861" s="19">
        <f>IFERROR(__xludf.DUMMYFUNCTION("""COMPUTED_VALUE"""),0.03978)</f>
        <v>0.03978</v>
      </c>
    </row>
    <row r="862">
      <c r="A862" s="12" t="s">
        <v>6952</v>
      </c>
      <c r="G862" s="19">
        <f>IFERROR(__xludf.DUMMYFUNCTION("SPLIT(A860, "" |"")"),858.0)</f>
        <v>858</v>
      </c>
      <c r="H862" s="19">
        <f>IFERROR(__xludf.DUMMYFUNCTION("""COMPUTED_VALUE"""),0.00204)</f>
        <v>0.00204</v>
      </c>
      <c r="I862" s="19" t="str">
        <f>IFERROR(__xludf.DUMMYFUNCTION("""COMPUTED_VALUE"""),"-")</f>
        <v>-</v>
      </c>
      <c r="J862" s="19">
        <f>IFERROR(__xludf.DUMMYFUNCTION("""COMPUTED_VALUE"""),0.0019)</f>
        <v>0.0019</v>
      </c>
      <c r="K862" s="19">
        <f>IFERROR(__xludf.DUMMYFUNCTION("""COMPUTED_VALUE"""),0.03996)</f>
        <v>0.03996</v>
      </c>
      <c r="L862" s="19" t="str">
        <f>IFERROR(__xludf.DUMMYFUNCTION("""COMPUTED_VALUE"""),"-")</f>
        <v>-</v>
      </c>
      <c r="M862" s="19">
        <f>IFERROR(__xludf.DUMMYFUNCTION("""COMPUTED_VALUE"""),0.03923)</f>
        <v>0.03923</v>
      </c>
    </row>
    <row r="863">
      <c r="A863" s="12" t="s">
        <v>6953</v>
      </c>
      <c r="G863" s="19">
        <f>IFERROR(__xludf.DUMMYFUNCTION("SPLIT(A861, "" |"")"),859.0)</f>
        <v>859</v>
      </c>
      <c r="H863" s="19">
        <f>IFERROR(__xludf.DUMMYFUNCTION("""COMPUTED_VALUE"""),0.00203)</f>
        <v>0.00203</v>
      </c>
      <c r="I863" s="19" t="str">
        <f>IFERROR(__xludf.DUMMYFUNCTION("""COMPUTED_VALUE"""),"-")</f>
        <v>-</v>
      </c>
      <c r="J863" s="19">
        <f>IFERROR(__xludf.DUMMYFUNCTION("""COMPUTED_VALUE"""),0.00185)</f>
        <v>0.00185</v>
      </c>
      <c r="K863" s="19">
        <f>IFERROR(__xludf.DUMMYFUNCTION("""COMPUTED_VALUE"""),0.03726)</f>
        <v>0.03726</v>
      </c>
      <c r="L863" s="19" t="str">
        <f>IFERROR(__xludf.DUMMYFUNCTION("""COMPUTED_VALUE"""),"-")</f>
        <v>-</v>
      </c>
      <c r="M863" s="19">
        <f>IFERROR(__xludf.DUMMYFUNCTION("""COMPUTED_VALUE"""),0.03853)</f>
        <v>0.03853</v>
      </c>
    </row>
    <row r="864">
      <c r="A864" s="12" t="s">
        <v>6954</v>
      </c>
      <c r="G864" s="19">
        <f>IFERROR(__xludf.DUMMYFUNCTION("SPLIT(A862, "" |"")"),860.0)</f>
        <v>860</v>
      </c>
      <c r="H864" s="19">
        <f>IFERROR(__xludf.DUMMYFUNCTION("""COMPUTED_VALUE"""),0.00203)</f>
        <v>0.00203</v>
      </c>
      <c r="I864" s="19" t="str">
        <f>IFERROR(__xludf.DUMMYFUNCTION("""COMPUTED_VALUE"""),"-")</f>
        <v>-</v>
      </c>
      <c r="J864" s="19">
        <f>IFERROR(__xludf.DUMMYFUNCTION("""COMPUTED_VALUE"""),0.00189)</f>
        <v>0.00189</v>
      </c>
      <c r="K864" s="19">
        <f>IFERROR(__xludf.DUMMYFUNCTION("""COMPUTED_VALUE"""),0.04001)</f>
        <v>0.04001</v>
      </c>
      <c r="L864" s="19" t="str">
        <f>IFERROR(__xludf.DUMMYFUNCTION("""COMPUTED_VALUE"""),"-")</f>
        <v>-</v>
      </c>
      <c r="M864" s="19">
        <f>IFERROR(__xludf.DUMMYFUNCTION("""COMPUTED_VALUE"""),0.04006)</f>
        <v>0.04006</v>
      </c>
    </row>
    <row r="865">
      <c r="A865" s="12" t="s">
        <v>6955</v>
      </c>
      <c r="G865" s="19">
        <f>IFERROR(__xludf.DUMMYFUNCTION("SPLIT(A863, "" |"")"),861.0)</f>
        <v>861</v>
      </c>
      <c r="H865" s="19">
        <f>IFERROR(__xludf.DUMMYFUNCTION("""COMPUTED_VALUE"""),0.00205)</f>
        <v>0.00205</v>
      </c>
      <c r="I865" s="19" t="str">
        <f>IFERROR(__xludf.DUMMYFUNCTION("""COMPUTED_VALUE"""),"-")</f>
        <v>-</v>
      </c>
      <c r="J865" s="19">
        <f>IFERROR(__xludf.DUMMYFUNCTION("""COMPUTED_VALUE"""),0.00188)</f>
        <v>0.00188</v>
      </c>
      <c r="K865" s="19">
        <f>IFERROR(__xludf.DUMMYFUNCTION("""COMPUTED_VALUE"""),0.03599)</f>
        <v>0.03599</v>
      </c>
      <c r="L865" s="19" t="str">
        <f>IFERROR(__xludf.DUMMYFUNCTION("""COMPUTED_VALUE"""),"-")</f>
        <v>-</v>
      </c>
      <c r="M865" s="19">
        <f>IFERROR(__xludf.DUMMYFUNCTION("""COMPUTED_VALUE"""),0.04006)</f>
        <v>0.04006</v>
      </c>
    </row>
    <row r="866">
      <c r="A866" s="12" t="s">
        <v>6956</v>
      </c>
      <c r="G866" s="19">
        <f>IFERROR(__xludf.DUMMYFUNCTION("SPLIT(A864, "" |"")"),862.0)</f>
        <v>862</v>
      </c>
      <c r="H866" s="19">
        <f>IFERROR(__xludf.DUMMYFUNCTION("""COMPUTED_VALUE"""),0.00204)</f>
        <v>0.00204</v>
      </c>
      <c r="I866" s="19" t="str">
        <f>IFERROR(__xludf.DUMMYFUNCTION("""COMPUTED_VALUE"""),"-")</f>
        <v>-</v>
      </c>
      <c r="J866" s="19">
        <f>IFERROR(__xludf.DUMMYFUNCTION("""COMPUTED_VALUE"""),0.00187)</f>
        <v>0.00187</v>
      </c>
      <c r="K866" s="19">
        <f>IFERROR(__xludf.DUMMYFUNCTION("""COMPUTED_VALUE"""),0.04002)</f>
        <v>0.04002</v>
      </c>
      <c r="L866" s="19" t="str">
        <f>IFERROR(__xludf.DUMMYFUNCTION("""COMPUTED_VALUE"""),"-")</f>
        <v>-</v>
      </c>
      <c r="M866" s="19">
        <f>IFERROR(__xludf.DUMMYFUNCTION("""COMPUTED_VALUE"""),0.0401)</f>
        <v>0.0401</v>
      </c>
    </row>
    <row r="867">
      <c r="A867" s="12" t="s">
        <v>6957</v>
      </c>
      <c r="G867" s="19">
        <f>IFERROR(__xludf.DUMMYFUNCTION("SPLIT(A865, "" |"")"),863.0)</f>
        <v>863</v>
      </c>
      <c r="H867" s="19">
        <f>IFERROR(__xludf.DUMMYFUNCTION("""COMPUTED_VALUE"""),0.00203)</f>
        <v>0.00203</v>
      </c>
      <c r="I867" s="19" t="str">
        <f>IFERROR(__xludf.DUMMYFUNCTION("""COMPUTED_VALUE"""),"-")</f>
        <v>-</v>
      </c>
      <c r="J867" s="19">
        <f>IFERROR(__xludf.DUMMYFUNCTION("""COMPUTED_VALUE"""),0.00191)</f>
        <v>0.00191</v>
      </c>
      <c r="K867" s="19">
        <f>IFERROR(__xludf.DUMMYFUNCTION("""COMPUTED_VALUE"""),0.03959)</f>
        <v>0.03959</v>
      </c>
      <c r="L867" s="19" t="str">
        <f>IFERROR(__xludf.DUMMYFUNCTION("""COMPUTED_VALUE"""),"-")</f>
        <v>-</v>
      </c>
      <c r="M867" s="19">
        <f>IFERROR(__xludf.DUMMYFUNCTION("""COMPUTED_VALUE"""),0.04015)</f>
        <v>0.04015</v>
      </c>
    </row>
    <row r="868">
      <c r="A868" s="12" t="s">
        <v>6958</v>
      </c>
      <c r="G868" s="19">
        <f>IFERROR(__xludf.DUMMYFUNCTION("SPLIT(A866, "" |"")"),864.0)</f>
        <v>864</v>
      </c>
      <c r="H868" s="19">
        <f>IFERROR(__xludf.DUMMYFUNCTION("""COMPUTED_VALUE"""),0.00204)</f>
        <v>0.00204</v>
      </c>
      <c r="I868" s="19" t="str">
        <f>IFERROR(__xludf.DUMMYFUNCTION("""COMPUTED_VALUE"""),"-")</f>
        <v>-</v>
      </c>
      <c r="J868" s="19">
        <f>IFERROR(__xludf.DUMMYFUNCTION("""COMPUTED_VALUE"""),0.00188)</f>
        <v>0.00188</v>
      </c>
      <c r="K868" s="19">
        <f>IFERROR(__xludf.DUMMYFUNCTION("""COMPUTED_VALUE"""),0.04092)</f>
        <v>0.04092</v>
      </c>
      <c r="L868" s="19" t="str">
        <f>IFERROR(__xludf.DUMMYFUNCTION("""COMPUTED_VALUE"""),"-")</f>
        <v>-</v>
      </c>
      <c r="M868" s="19">
        <f>IFERROR(__xludf.DUMMYFUNCTION("""COMPUTED_VALUE"""),0.0377)</f>
        <v>0.0377</v>
      </c>
    </row>
    <row r="869">
      <c r="A869" s="12" t="s">
        <v>6959</v>
      </c>
      <c r="G869" s="19">
        <f>IFERROR(__xludf.DUMMYFUNCTION("SPLIT(A867, "" |"")"),865.0)</f>
        <v>865</v>
      </c>
      <c r="H869" s="19">
        <f>IFERROR(__xludf.DUMMYFUNCTION("""COMPUTED_VALUE"""),0.00204)</f>
        <v>0.00204</v>
      </c>
      <c r="I869" s="19" t="str">
        <f>IFERROR(__xludf.DUMMYFUNCTION("""COMPUTED_VALUE"""),"-")</f>
        <v>-</v>
      </c>
      <c r="J869" s="19">
        <f>IFERROR(__xludf.DUMMYFUNCTION("""COMPUTED_VALUE"""),0.0019)</f>
        <v>0.0019</v>
      </c>
      <c r="K869" s="19">
        <f>IFERROR(__xludf.DUMMYFUNCTION("""COMPUTED_VALUE"""),0.03956)</f>
        <v>0.03956</v>
      </c>
      <c r="L869" s="19" t="str">
        <f>IFERROR(__xludf.DUMMYFUNCTION("""COMPUTED_VALUE"""),"-")</f>
        <v>-</v>
      </c>
      <c r="M869" s="19">
        <f>IFERROR(__xludf.DUMMYFUNCTION("""COMPUTED_VALUE"""),0.03968)</f>
        <v>0.03968</v>
      </c>
    </row>
    <row r="870">
      <c r="A870" s="12" t="s">
        <v>6960</v>
      </c>
      <c r="G870" s="19">
        <f>IFERROR(__xludf.DUMMYFUNCTION("SPLIT(A868, "" |"")"),866.0)</f>
        <v>866</v>
      </c>
      <c r="H870" s="19">
        <f>IFERROR(__xludf.DUMMYFUNCTION("""COMPUTED_VALUE"""),0.00204)</f>
        <v>0.00204</v>
      </c>
      <c r="I870" s="19" t="str">
        <f>IFERROR(__xludf.DUMMYFUNCTION("""COMPUTED_VALUE"""),"-")</f>
        <v>-</v>
      </c>
      <c r="J870" s="19">
        <f>IFERROR(__xludf.DUMMYFUNCTION("""COMPUTED_VALUE"""),0.00188)</f>
        <v>0.00188</v>
      </c>
      <c r="K870" s="19">
        <f>IFERROR(__xludf.DUMMYFUNCTION("""COMPUTED_VALUE"""),0.03962)</f>
        <v>0.03962</v>
      </c>
      <c r="L870" s="19" t="str">
        <f>IFERROR(__xludf.DUMMYFUNCTION("""COMPUTED_VALUE"""),"-")</f>
        <v>-</v>
      </c>
      <c r="M870" s="19">
        <f>IFERROR(__xludf.DUMMYFUNCTION("""COMPUTED_VALUE"""),0.04012)</f>
        <v>0.04012</v>
      </c>
    </row>
    <row r="871">
      <c r="A871" s="12" t="s">
        <v>6961</v>
      </c>
      <c r="G871" s="19">
        <f>IFERROR(__xludf.DUMMYFUNCTION("SPLIT(A869, "" |"")"),867.0)</f>
        <v>867</v>
      </c>
      <c r="H871" s="19">
        <f>IFERROR(__xludf.DUMMYFUNCTION("""COMPUTED_VALUE"""),0.00206)</f>
        <v>0.00206</v>
      </c>
      <c r="I871" s="19" t="str">
        <f>IFERROR(__xludf.DUMMYFUNCTION("""COMPUTED_VALUE"""),"-")</f>
        <v>-</v>
      </c>
      <c r="J871" s="19">
        <f>IFERROR(__xludf.DUMMYFUNCTION("""COMPUTED_VALUE"""),0.00189)</f>
        <v>0.00189</v>
      </c>
      <c r="K871" s="19">
        <f>IFERROR(__xludf.DUMMYFUNCTION("""COMPUTED_VALUE"""),0.03905)</f>
        <v>0.03905</v>
      </c>
      <c r="L871" s="19" t="str">
        <f>IFERROR(__xludf.DUMMYFUNCTION("""COMPUTED_VALUE"""),"-")</f>
        <v>-</v>
      </c>
      <c r="M871" s="19">
        <f>IFERROR(__xludf.DUMMYFUNCTION("""COMPUTED_VALUE"""),0.03975)</f>
        <v>0.03975</v>
      </c>
    </row>
    <row r="872">
      <c r="A872" s="12" t="s">
        <v>6962</v>
      </c>
      <c r="G872" s="19">
        <f>IFERROR(__xludf.DUMMYFUNCTION("SPLIT(A870, "" |"")"),868.0)</f>
        <v>868</v>
      </c>
      <c r="H872" s="19">
        <f>IFERROR(__xludf.DUMMYFUNCTION("""COMPUTED_VALUE"""),0.002)</f>
        <v>0.002</v>
      </c>
      <c r="I872" s="19" t="str">
        <f>IFERROR(__xludf.DUMMYFUNCTION("""COMPUTED_VALUE"""),"-")</f>
        <v>-</v>
      </c>
      <c r="J872" s="19">
        <f>IFERROR(__xludf.DUMMYFUNCTION("""COMPUTED_VALUE"""),0.00188)</f>
        <v>0.00188</v>
      </c>
      <c r="K872" s="19">
        <f>IFERROR(__xludf.DUMMYFUNCTION("""COMPUTED_VALUE"""),0.03934)</f>
        <v>0.03934</v>
      </c>
      <c r="L872" s="19" t="str">
        <f>IFERROR(__xludf.DUMMYFUNCTION("""COMPUTED_VALUE"""),"-")</f>
        <v>-</v>
      </c>
      <c r="M872" s="19">
        <f>IFERROR(__xludf.DUMMYFUNCTION("""COMPUTED_VALUE"""),0.04019)</f>
        <v>0.04019</v>
      </c>
    </row>
    <row r="873">
      <c r="A873" s="12" t="s">
        <v>6963</v>
      </c>
      <c r="G873" s="19">
        <f>IFERROR(__xludf.DUMMYFUNCTION("SPLIT(A871, "" |"")"),869.0)</f>
        <v>869</v>
      </c>
      <c r="H873" s="19">
        <f>IFERROR(__xludf.DUMMYFUNCTION("""COMPUTED_VALUE"""),0.00235)</f>
        <v>0.00235</v>
      </c>
      <c r="I873" s="19" t="str">
        <f>IFERROR(__xludf.DUMMYFUNCTION("""COMPUTED_VALUE"""),"-")</f>
        <v>-</v>
      </c>
      <c r="J873" s="19">
        <f>IFERROR(__xludf.DUMMYFUNCTION("""COMPUTED_VALUE"""),0.0021)</f>
        <v>0.0021</v>
      </c>
      <c r="K873" s="19">
        <f>IFERROR(__xludf.DUMMYFUNCTION("""COMPUTED_VALUE"""),0.03975)</f>
        <v>0.03975</v>
      </c>
      <c r="L873" s="19" t="str">
        <f>IFERROR(__xludf.DUMMYFUNCTION("""COMPUTED_VALUE"""),"-")</f>
        <v>-</v>
      </c>
      <c r="M873" s="19">
        <f>IFERROR(__xludf.DUMMYFUNCTION("""COMPUTED_VALUE"""),0.04019)</f>
        <v>0.04019</v>
      </c>
    </row>
    <row r="874">
      <c r="A874" s="12" t="s">
        <v>6964</v>
      </c>
      <c r="G874" s="19">
        <f>IFERROR(__xludf.DUMMYFUNCTION("SPLIT(A872, "" |"")"),870.0)</f>
        <v>870</v>
      </c>
      <c r="H874" s="19">
        <f>IFERROR(__xludf.DUMMYFUNCTION("""COMPUTED_VALUE"""),0.00221)</f>
        <v>0.00221</v>
      </c>
      <c r="I874" s="19" t="str">
        <f>IFERROR(__xludf.DUMMYFUNCTION("""COMPUTED_VALUE"""),"-")</f>
        <v>-</v>
      </c>
      <c r="J874" s="19">
        <f>IFERROR(__xludf.DUMMYFUNCTION("""COMPUTED_VALUE"""),0.00189)</f>
        <v>0.00189</v>
      </c>
      <c r="K874" s="19">
        <f>IFERROR(__xludf.DUMMYFUNCTION("""COMPUTED_VALUE"""),0.04064)</f>
        <v>0.04064</v>
      </c>
      <c r="L874" s="19" t="str">
        <f>IFERROR(__xludf.DUMMYFUNCTION("""COMPUTED_VALUE"""),"-")</f>
        <v>-</v>
      </c>
      <c r="M874" s="19">
        <f>IFERROR(__xludf.DUMMYFUNCTION("""COMPUTED_VALUE"""),0.04081)</f>
        <v>0.04081</v>
      </c>
    </row>
    <row r="875">
      <c r="A875" s="12" t="s">
        <v>6965</v>
      </c>
      <c r="G875" s="19">
        <f>IFERROR(__xludf.DUMMYFUNCTION("SPLIT(A873, "" |"")"),871.0)</f>
        <v>871</v>
      </c>
      <c r="H875" s="19">
        <f>IFERROR(__xludf.DUMMYFUNCTION("""COMPUTED_VALUE"""),0.00207)</f>
        <v>0.00207</v>
      </c>
      <c r="I875" s="19" t="str">
        <f>IFERROR(__xludf.DUMMYFUNCTION("""COMPUTED_VALUE"""),"-")</f>
        <v>-</v>
      </c>
      <c r="J875" s="19">
        <f>IFERROR(__xludf.DUMMYFUNCTION("""COMPUTED_VALUE"""),0.00191)</f>
        <v>0.00191</v>
      </c>
      <c r="K875" s="19">
        <f>IFERROR(__xludf.DUMMYFUNCTION("""COMPUTED_VALUE"""),0.03993)</f>
        <v>0.03993</v>
      </c>
      <c r="L875" s="19" t="str">
        <f>IFERROR(__xludf.DUMMYFUNCTION("""COMPUTED_VALUE"""),"-")</f>
        <v>-</v>
      </c>
      <c r="M875" s="19">
        <f>IFERROR(__xludf.DUMMYFUNCTION("""COMPUTED_VALUE"""),0.04036)</f>
        <v>0.04036</v>
      </c>
    </row>
    <row r="876">
      <c r="A876" s="12" t="s">
        <v>6966</v>
      </c>
      <c r="G876" s="19">
        <f>IFERROR(__xludf.DUMMYFUNCTION("SPLIT(A874, "" |"")"),872.0)</f>
        <v>872</v>
      </c>
      <c r="H876" s="19">
        <f>IFERROR(__xludf.DUMMYFUNCTION("""COMPUTED_VALUE"""),0.00204)</f>
        <v>0.00204</v>
      </c>
      <c r="I876" s="19" t="str">
        <f>IFERROR(__xludf.DUMMYFUNCTION("""COMPUTED_VALUE"""),"-")</f>
        <v>-</v>
      </c>
      <c r="J876" s="19">
        <f>IFERROR(__xludf.DUMMYFUNCTION("""COMPUTED_VALUE"""),0.00191)</f>
        <v>0.00191</v>
      </c>
      <c r="K876" s="19">
        <f>IFERROR(__xludf.DUMMYFUNCTION("""COMPUTED_VALUE"""),0.04056)</f>
        <v>0.04056</v>
      </c>
      <c r="L876" s="19" t="str">
        <f>IFERROR(__xludf.DUMMYFUNCTION("""COMPUTED_VALUE"""),"-")</f>
        <v>-</v>
      </c>
      <c r="M876" s="19">
        <f>IFERROR(__xludf.DUMMYFUNCTION("""COMPUTED_VALUE"""),0.03977)</f>
        <v>0.03977</v>
      </c>
    </row>
    <row r="877">
      <c r="A877" s="12" t="s">
        <v>6967</v>
      </c>
      <c r="G877" s="19">
        <f>IFERROR(__xludf.DUMMYFUNCTION("SPLIT(A875, "" |"")"),873.0)</f>
        <v>873</v>
      </c>
      <c r="H877" s="19">
        <f>IFERROR(__xludf.DUMMYFUNCTION("""COMPUTED_VALUE"""),0.00202)</f>
        <v>0.00202</v>
      </c>
      <c r="I877" s="19" t="str">
        <f>IFERROR(__xludf.DUMMYFUNCTION("""COMPUTED_VALUE"""),"-")</f>
        <v>-</v>
      </c>
      <c r="J877" s="19">
        <f>IFERROR(__xludf.DUMMYFUNCTION("""COMPUTED_VALUE"""),0.00188)</f>
        <v>0.00188</v>
      </c>
      <c r="K877" s="19">
        <f>IFERROR(__xludf.DUMMYFUNCTION("""COMPUTED_VALUE"""),0.03976)</f>
        <v>0.03976</v>
      </c>
      <c r="L877" s="19" t="str">
        <f>IFERROR(__xludf.DUMMYFUNCTION("""COMPUTED_VALUE"""),"-")</f>
        <v>-</v>
      </c>
      <c r="M877" s="19">
        <f>IFERROR(__xludf.DUMMYFUNCTION("""COMPUTED_VALUE"""),0.04025)</f>
        <v>0.04025</v>
      </c>
    </row>
    <row r="878">
      <c r="A878" s="12" t="s">
        <v>6968</v>
      </c>
      <c r="G878" s="19">
        <f>IFERROR(__xludf.DUMMYFUNCTION("SPLIT(A876, "" |"")"),874.0)</f>
        <v>874</v>
      </c>
      <c r="H878" s="19">
        <f>IFERROR(__xludf.DUMMYFUNCTION("""COMPUTED_VALUE"""),0.00208)</f>
        <v>0.00208</v>
      </c>
      <c r="I878" s="19" t="str">
        <f>IFERROR(__xludf.DUMMYFUNCTION("""COMPUTED_VALUE"""),"-")</f>
        <v>-</v>
      </c>
      <c r="J878" s="19">
        <f>IFERROR(__xludf.DUMMYFUNCTION("""COMPUTED_VALUE"""),0.0019)</f>
        <v>0.0019</v>
      </c>
      <c r="K878" s="19">
        <f>IFERROR(__xludf.DUMMYFUNCTION("""COMPUTED_VALUE"""),0.03996)</f>
        <v>0.03996</v>
      </c>
      <c r="L878" s="19" t="str">
        <f>IFERROR(__xludf.DUMMYFUNCTION("""COMPUTED_VALUE"""),"-")</f>
        <v>-</v>
      </c>
      <c r="M878" s="19">
        <f>IFERROR(__xludf.DUMMYFUNCTION("""COMPUTED_VALUE"""),0.03971)</f>
        <v>0.03971</v>
      </c>
    </row>
    <row r="879">
      <c r="A879" s="12" t="s">
        <v>6969</v>
      </c>
      <c r="G879" s="19">
        <f>IFERROR(__xludf.DUMMYFUNCTION("SPLIT(A877, "" |"")"),875.0)</f>
        <v>875</v>
      </c>
      <c r="H879" s="19">
        <f>IFERROR(__xludf.DUMMYFUNCTION("""COMPUTED_VALUE"""),0.00205)</f>
        <v>0.00205</v>
      </c>
      <c r="I879" s="19" t="str">
        <f>IFERROR(__xludf.DUMMYFUNCTION("""COMPUTED_VALUE"""),"-")</f>
        <v>-</v>
      </c>
      <c r="J879" s="19">
        <f>IFERROR(__xludf.DUMMYFUNCTION("""COMPUTED_VALUE"""),0.0019)</f>
        <v>0.0019</v>
      </c>
      <c r="K879" s="19">
        <f>IFERROR(__xludf.DUMMYFUNCTION("""COMPUTED_VALUE"""),0.0396)</f>
        <v>0.0396</v>
      </c>
      <c r="L879" s="19" t="str">
        <f>IFERROR(__xludf.DUMMYFUNCTION("""COMPUTED_VALUE"""),"-")</f>
        <v>-</v>
      </c>
      <c r="M879" s="19">
        <f>IFERROR(__xludf.DUMMYFUNCTION("""COMPUTED_VALUE"""),0.04015)</f>
        <v>0.04015</v>
      </c>
    </row>
    <row r="880">
      <c r="A880" s="12" t="s">
        <v>6970</v>
      </c>
      <c r="G880" s="19">
        <f>IFERROR(__xludf.DUMMYFUNCTION("SPLIT(A878, "" |"")"),876.0)</f>
        <v>876</v>
      </c>
      <c r="H880" s="19">
        <f>IFERROR(__xludf.DUMMYFUNCTION("""COMPUTED_VALUE"""),0.00206)</f>
        <v>0.00206</v>
      </c>
      <c r="I880" s="19" t="str">
        <f>IFERROR(__xludf.DUMMYFUNCTION("""COMPUTED_VALUE"""),"-")</f>
        <v>-</v>
      </c>
      <c r="J880" s="19">
        <f>IFERROR(__xludf.DUMMYFUNCTION("""COMPUTED_VALUE"""),0.00188)</f>
        <v>0.00188</v>
      </c>
      <c r="K880" s="19">
        <f>IFERROR(__xludf.DUMMYFUNCTION("""COMPUTED_VALUE"""),0.03958)</f>
        <v>0.03958</v>
      </c>
      <c r="L880" s="19" t="str">
        <f>IFERROR(__xludf.DUMMYFUNCTION("""COMPUTED_VALUE"""),"-")</f>
        <v>-</v>
      </c>
      <c r="M880" s="19">
        <f>IFERROR(__xludf.DUMMYFUNCTION("""COMPUTED_VALUE"""),0.04011)</f>
        <v>0.04011</v>
      </c>
    </row>
    <row r="881">
      <c r="A881" s="12" t="s">
        <v>6971</v>
      </c>
      <c r="G881" s="19">
        <f>IFERROR(__xludf.DUMMYFUNCTION("SPLIT(A879, "" |"")"),877.0)</f>
        <v>877</v>
      </c>
      <c r="H881" s="19">
        <f>IFERROR(__xludf.DUMMYFUNCTION("""COMPUTED_VALUE"""),0.00201)</f>
        <v>0.00201</v>
      </c>
      <c r="I881" s="19" t="str">
        <f>IFERROR(__xludf.DUMMYFUNCTION("""COMPUTED_VALUE"""),"-")</f>
        <v>-</v>
      </c>
      <c r="J881" s="19">
        <f>IFERROR(__xludf.DUMMYFUNCTION("""COMPUTED_VALUE"""),0.00188)</f>
        <v>0.00188</v>
      </c>
      <c r="K881" s="19">
        <f>IFERROR(__xludf.DUMMYFUNCTION("""COMPUTED_VALUE"""),0.03951)</f>
        <v>0.03951</v>
      </c>
      <c r="L881" s="19" t="str">
        <f>IFERROR(__xludf.DUMMYFUNCTION("""COMPUTED_VALUE"""),"-")</f>
        <v>-</v>
      </c>
      <c r="M881" s="19">
        <f>IFERROR(__xludf.DUMMYFUNCTION("""COMPUTED_VALUE"""),0.0383)</f>
        <v>0.0383</v>
      </c>
    </row>
    <row r="882">
      <c r="A882" s="12" t="s">
        <v>6972</v>
      </c>
      <c r="G882" s="19">
        <f>IFERROR(__xludf.DUMMYFUNCTION("SPLIT(A880, "" |"")"),878.0)</f>
        <v>878</v>
      </c>
      <c r="H882" s="19">
        <f>IFERROR(__xludf.DUMMYFUNCTION("""COMPUTED_VALUE"""),0.00202)</f>
        <v>0.00202</v>
      </c>
      <c r="I882" s="19" t="str">
        <f>IFERROR(__xludf.DUMMYFUNCTION("""COMPUTED_VALUE"""),"-")</f>
        <v>-</v>
      </c>
      <c r="J882" s="19">
        <f>IFERROR(__xludf.DUMMYFUNCTION("""COMPUTED_VALUE"""),0.00192)</f>
        <v>0.00192</v>
      </c>
      <c r="K882" s="19">
        <f>IFERROR(__xludf.DUMMYFUNCTION("""COMPUTED_VALUE"""),0.03972)</f>
        <v>0.03972</v>
      </c>
      <c r="L882" s="19" t="str">
        <f>IFERROR(__xludf.DUMMYFUNCTION("""COMPUTED_VALUE"""),"-")</f>
        <v>-</v>
      </c>
      <c r="M882" s="19">
        <f>IFERROR(__xludf.DUMMYFUNCTION("""COMPUTED_VALUE"""),0.04023)</f>
        <v>0.04023</v>
      </c>
    </row>
    <row r="883">
      <c r="A883" s="12" t="s">
        <v>6973</v>
      </c>
      <c r="G883" s="19">
        <f>IFERROR(__xludf.DUMMYFUNCTION("SPLIT(A881, "" |"")"),879.0)</f>
        <v>879</v>
      </c>
      <c r="H883" s="19">
        <f>IFERROR(__xludf.DUMMYFUNCTION("""COMPUTED_VALUE"""),0.00215)</f>
        <v>0.00215</v>
      </c>
      <c r="I883" s="19" t="str">
        <f>IFERROR(__xludf.DUMMYFUNCTION("""COMPUTED_VALUE"""),"-")</f>
        <v>-</v>
      </c>
      <c r="J883" s="19">
        <f>IFERROR(__xludf.DUMMYFUNCTION("""COMPUTED_VALUE"""),0.0019)</f>
        <v>0.0019</v>
      </c>
      <c r="K883" s="19">
        <f>IFERROR(__xludf.DUMMYFUNCTION("""COMPUTED_VALUE"""),0.03958)</f>
        <v>0.03958</v>
      </c>
      <c r="L883" s="19" t="str">
        <f>IFERROR(__xludf.DUMMYFUNCTION("""COMPUTED_VALUE"""),"-")</f>
        <v>-</v>
      </c>
      <c r="M883" s="19">
        <f>IFERROR(__xludf.DUMMYFUNCTION("""COMPUTED_VALUE"""),0.039)</f>
        <v>0.039</v>
      </c>
    </row>
    <row r="884">
      <c r="A884" s="12" t="s">
        <v>6974</v>
      </c>
      <c r="G884" s="19">
        <f>IFERROR(__xludf.DUMMYFUNCTION("SPLIT(A882, "" |"")"),880.0)</f>
        <v>880</v>
      </c>
      <c r="H884" s="19">
        <f>IFERROR(__xludf.DUMMYFUNCTION("""COMPUTED_VALUE"""),0.00211)</f>
        <v>0.00211</v>
      </c>
      <c r="I884" s="19" t="str">
        <f>IFERROR(__xludf.DUMMYFUNCTION("""COMPUTED_VALUE"""),"-")</f>
        <v>-</v>
      </c>
      <c r="J884" s="19">
        <f>IFERROR(__xludf.DUMMYFUNCTION("""COMPUTED_VALUE"""),0.00191)</f>
        <v>0.00191</v>
      </c>
      <c r="K884" s="19">
        <f>IFERROR(__xludf.DUMMYFUNCTION("""COMPUTED_VALUE"""),0.03959)</f>
        <v>0.03959</v>
      </c>
      <c r="L884" s="19" t="str">
        <f>IFERROR(__xludf.DUMMYFUNCTION("""COMPUTED_VALUE"""),"-")</f>
        <v>-</v>
      </c>
      <c r="M884" s="19">
        <f>IFERROR(__xludf.DUMMYFUNCTION("""COMPUTED_VALUE"""),0.04006)</f>
        <v>0.04006</v>
      </c>
    </row>
    <row r="885">
      <c r="A885" s="12" t="s">
        <v>6975</v>
      </c>
      <c r="G885" s="19">
        <f>IFERROR(__xludf.DUMMYFUNCTION("SPLIT(A883, "" |"")"),881.0)</f>
        <v>881</v>
      </c>
      <c r="H885" s="19">
        <f>IFERROR(__xludf.DUMMYFUNCTION("""COMPUTED_VALUE"""),0.00213)</f>
        <v>0.00213</v>
      </c>
      <c r="I885" s="19" t="str">
        <f>IFERROR(__xludf.DUMMYFUNCTION("""COMPUTED_VALUE"""),"-")</f>
        <v>-</v>
      </c>
      <c r="J885" s="19">
        <f>IFERROR(__xludf.DUMMYFUNCTION("""COMPUTED_VALUE"""),0.00197)</f>
        <v>0.00197</v>
      </c>
      <c r="K885" s="19">
        <f>IFERROR(__xludf.DUMMYFUNCTION("""COMPUTED_VALUE"""),0.03999)</f>
        <v>0.03999</v>
      </c>
      <c r="L885" s="19" t="str">
        <f>IFERROR(__xludf.DUMMYFUNCTION("""COMPUTED_VALUE"""),"-")</f>
        <v>-</v>
      </c>
      <c r="M885" s="19">
        <f>IFERROR(__xludf.DUMMYFUNCTION("""COMPUTED_VALUE"""),0.03972)</f>
        <v>0.03972</v>
      </c>
    </row>
    <row r="886">
      <c r="A886" s="12" t="s">
        <v>6976</v>
      </c>
      <c r="G886" s="19">
        <f>IFERROR(__xludf.DUMMYFUNCTION("SPLIT(A884, "" |"")"),882.0)</f>
        <v>882</v>
      </c>
      <c r="H886" s="19">
        <f>IFERROR(__xludf.DUMMYFUNCTION("""COMPUTED_VALUE"""),0.00202)</f>
        <v>0.00202</v>
      </c>
      <c r="I886" s="19" t="str">
        <f>IFERROR(__xludf.DUMMYFUNCTION("""COMPUTED_VALUE"""),"-")</f>
        <v>-</v>
      </c>
      <c r="J886" s="19">
        <f>IFERROR(__xludf.DUMMYFUNCTION("""COMPUTED_VALUE"""),0.00197)</f>
        <v>0.00197</v>
      </c>
      <c r="K886" s="19">
        <f>IFERROR(__xludf.DUMMYFUNCTION("""COMPUTED_VALUE"""),0.03979)</f>
        <v>0.03979</v>
      </c>
      <c r="L886" s="19" t="str">
        <f>IFERROR(__xludf.DUMMYFUNCTION("""COMPUTED_VALUE"""),"-")</f>
        <v>-</v>
      </c>
      <c r="M886" s="19">
        <f>IFERROR(__xludf.DUMMYFUNCTION("""COMPUTED_VALUE"""),0.03973)</f>
        <v>0.03973</v>
      </c>
    </row>
    <row r="887">
      <c r="A887" s="12" t="s">
        <v>6977</v>
      </c>
      <c r="G887" s="19">
        <f>IFERROR(__xludf.DUMMYFUNCTION("SPLIT(A885, "" |"")"),883.0)</f>
        <v>883</v>
      </c>
      <c r="H887" s="19">
        <f>IFERROR(__xludf.DUMMYFUNCTION("""COMPUTED_VALUE"""),0.00199)</f>
        <v>0.00199</v>
      </c>
      <c r="I887" s="19" t="str">
        <f>IFERROR(__xludf.DUMMYFUNCTION("""COMPUTED_VALUE"""),"-")</f>
        <v>-</v>
      </c>
      <c r="J887" s="19">
        <f>IFERROR(__xludf.DUMMYFUNCTION("""COMPUTED_VALUE"""),0.00187)</f>
        <v>0.00187</v>
      </c>
      <c r="K887" s="19">
        <f>IFERROR(__xludf.DUMMYFUNCTION("""COMPUTED_VALUE"""),0.04067)</f>
        <v>0.04067</v>
      </c>
      <c r="L887" s="19" t="str">
        <f>IFERROR(__xludf.DUMMYFUNCTION("""COMPUTED_VALUE"""),"-")</f>
        <v>-</v>
      </c>
      <c r="M887" s="19">
        <f>IFERROR(__xludf.DUMMYFUNCTION("""COMPUTED_VALUE"""),0.04025)</f>
        <v>0.04025</v>
      </c>
    </row>
    <row r="888">
      <c r="A888" s="12" t="s">
        <v>6978</v>
      </c>
      <c r="G888" s="19">
        <f>IFERROR(__xludf.DUMMYFUNCTION("SPLIT(A886, "" |"")"),884.0)</f>
        <v>884</v>
      </c>
      <c r="H888" s="19">
        <f>IFERROR(__xludf.DUMMYFUNCTION("""COMPUTED_VALUE"""),0.00204)</f>
        <v>0.00204</v>
      </c>
      <c r="I888" s="19" t="str">
        <f>IFERROR(__xludf.DUMMYFUNCTION("""COMPUTED_VALUE"""),"-")</f>
        <v>-</v>
      </c>
      <c r="J888" s="19">
        <f>IFERROR(__xludf.DUMMYFUNCTION("""COMPUTED_VALUE"""),0.00192)</f>
        <v>0.00192</v>
      </c>
      <c r="K888" s="19">
        <f>IFERROR(__xludf.DUMMYFUNCTION("""COMPUTED_VALUE"""),0.03982)</f>
        <v>0.03982</v>
      </c>
      <c r="L888" s="19" t="str">
        <f>IFERROR(__xludf.DUMMYFUNCTION("""COMPUTED_VALUE"""),"-")</f>
        <v>-</v>
      </c>
      <c r="M888" s="19">
        <f>IFERROR(__xludf.DUMMYFUNCTION("""COMPUTED_VALUE"""),0.04015)</f>
        <v>0.04015</v>
      </c>
    </row>
    <row r="889">
      <c r="A889" s="12" t="s">
        <v>6979</v>
      </c>
      <c r="G889" s="19">
        <f>IFERROR(__xludf.DUMMYFUNCTION("SPLIT(A887, "" |"")"),885.0)</f>
        <v>885</v>
      </c>
      <c r="H889" s="19">
        <f>IFERROR(__xludf.DUMMYFUNCTION("""COMPUTED_VALUE"""),0.00199)</f>
        <v>0.00199</v>
      </c>
      <c r="I889" s="19" t="str">
        <f>IFERROR(__xludf.DUMMYFUNCTION("""COMPUTED_VALUE"""),"-")</f>
        <v>-</v>
      </c>
      <c r="J889" s="19">
        <f>IFERROR(__xludf.DUMMYFUNCTION("""COMPUTED_VALUE"""),0.00186)</f>
        <v>0.00186</v>
      </c>
      <c r="K889" s="19">
        <f>IFERROR(__xludf.DUMMYFUNCTION("""COMPUTED_VALUE"""),0.0392)</f>
        <v>0.0392</v>
      </c>
      <c r="L889" s="19" t="str">
        <f>IFERROR(__xludf.DUMMYFUNCTION("""COMPUTED_VALUE"""),"-")</f>
        <v>-</v>
      </c>
      <c r="M889" s="19">
        <f>IFERROR(__xludf.DUMMYFUNCTION("""COMPUTED_VALUE"""),0.03972)</f>
        <v>0.03972</v>
      </c>
    </row>
    <row r="890">
      <c r="A890" s="12" t="s">
        <v>6980</v>
      </c>
      <c r="G890" s="19">
        <f>IFERROR(__xludf.DUMMYFUNCTION("SPLIT(A888, "" |"")"),886.0)</f>
        <v>886</v>
      </c>
      <c r="H890" s="19">
        <f>IFERROR(__xludf.DUMMYFUNCTION("""COMPUTED_VALUE"""),0.00201)</f>
        <v>0.00201</v>
      </c>
      <c r="I890" s="19" t="str">
        <f>IFERROR(__xludf.DUMMYFUNCTION("""COMPUTED_VALUE"""),"-")</f>
        <v>-</v>
      </c>
      <c r="J890" s="19">
        <f>IFERROR(__xludf.DUMMYFUNCTION("""COMPUTED_VALUE"""),0.00189)</f>
        <v>0.00189</v>
      </c>
      <c r="K890" s="19">
        <f>IFERROR(__xludf.DUMMYFUNCTION("""COMPUTED_VALUE"""),0.03999)</f>
        <v>0.03999</v>
      </c>
      <c r="L890" s="19" t="str">
        <f>IFERROR(__xludf.DUMMYFUNCTION("""COMPUTED_VALUE"""),"-")</f>
        <v>-</v>
      </c>
      <c r="M890" s="19">
        <f>IFERROR(__xludf.DUMMYFUNCTION("""COMPUTED_VALUE"""),0.0397)</f>
        <v>0.0397</v>
      </c>
    </row>
    <row r="891">
      <c r="A891" s="12" t="s">
        <v>6981</v>
      </c>
      <c r="G891" s="19">
        <f>IFERROR(__xludf.DUMMYFUNCTION("SPLIT(A889, "" |"")"),887.0)</f>
        <v>887</v>
      </c>
      <c r="H891" s="19">
        <f>IFERROR(__xludf.DUMMYFUNCTION("""COMPUTED_VALUE"""),0.00202)</f>
        <v>0.00202</v>
      </c>
      <c r="I891" s="19" t="str">
        <f>IFERROR(__xludf.DUMMYFUNCTION("""COMPUTED_VALUE"""),"-")</f>
        <v>-</v>
      </c>
      <c r="J891" s="19">
        <f>IFERROR(__xludf.DUMMYFUNCTION("""COMPUTED_VALUE"""),0.00192)</f>
        <v>0.00192</v>
      </c>
      <c r="K891" s="19">
        <f>IFERROR(__xludf.DUMMYFUNCTION("""COMPUTED_VALUE"""),0.03959)</f>
        <v>0.03959</v>
      </c>
      <c r="L891" s="19" t="str">
        <f>IFERROR(__xludf.DUMMYFUNCTION("""COMPUTED_VALUE"""),"-")</f>
        <v>-</v>
      </c>
      <c r="M891" s="19">
        <f>IFERROR(__xludf.DUMMYFUNCTION("""COMPUTED_VALUE"""),0.04008)</f>
        <v>0.04008</v>
      </c>
    </row>
    <row r="892">
      <c r="A892" s="12" t="s">
        <v>6982</v>
      </c>
      <c r="G892" s="19">
        <f>IFERROR(__xludf.DUMMYFUNCTION("SPLIT(A890, "" |"")"),888.0)</f>
        <v>888</v>
      </c>
      <c r="H892" s="19">
        <f>IFERROR(__xludf.DUMMYFUNCTION("""COMPUTED_VALUE"""),0.00203)</f>
        <v>0.00203</v>
      </c>
      <c r="I892" s="19" t="str">
        <f>IFERROR(__xludf.DUMMYFUNCTION("""COMPUTED_VALUE"""),"-")</f>
        <v>-</v>
      </c>
      <c r="J892" s="19">
        <f>IFERROR(__xludf.DUMMYFUNCTION("""COMPUTED_VALUE"""),0.00187)</f>
        <v>0.00187</v>
      </c>
      <c r="K892" s="19">
        <f>IFERROR(__xludf.DUMMYFUNCTION("""COMPUTED_VALUE"""),0.03955)</f>
        <v>0.03955</v>
      </c>
      <c r="L892" s="19" t="str">
        <f>IFERROR(__xludf.DUMMYFUNCTION("""COMPUTED_VALUE"""),"-")</f>
        <v>-</v>
      </c>
      <c r="M892" s="19">
        <f>IFERROR(__xludf.DUMMYFUNCTION("""COMPUTED_VALUE"""),0.04013)</f>
        <v>0.04013</v>
      </c>
    </row>
    <row r="893">
      <c r="A893" s="12" t="s">
        <v>6983</v>
      </c>
      <c r="G893" s="19">
        <f>IFERROR(__xludf.DUMMYFUNCTION("SPLIT(A891, "" |"")"),889.0)</f>
        <v>889</v>
      </c>
      <c r="H893" s="19">
        <f>IFERROR(__xludf.DUMMYFUNCTION("""COMPUTED_VALUE"""),0.00204)</f>
        <v>0.00204</v>
      </c>
      <c r="I893" s="19" t="str">
        <f>IFERROR(__xludf.DUMMYFUNCTION("""COMPUTED_VALUE"""),"-")</f>
        <v>-</v>
      </c>
      <c r="J893" s="19">
        <f>IFERROR(__xludf.DUMMYFUNCTION("""COMPUTED_VALUE"""),0.00188)</f>
        <v>0.00188</v>
      </c>
      <c r="K893" s="19">
        <f>IFERROR(__xludf.DUMMYFUNCTION("""COMPUTED_VALUE"""),0.03701)</f>
        <v>0.03701</v>
      </c>
      <c r="L893" s="19" t="str">
        <f>IFERROR(__xludf.DUMMYFUNCTION("""COMPUTED_VALUE"""),"-")</f>
        <v>-</v>
      </c>
      <c r="M893" s="19">
        <f>IFERROR(__xludf.DUMMYFUNCTION("""COMPUTED_VALUE"""),0.03984)</f>
        <v>0.03984</v>
      </c>
    </row>
    <row r="894">
      <c r="A894" s="12" t="s">
        <v>6984</v>
      </c>
      <c r="G894" s="19">
        <f>IFERROR(__xludf.DUMMYFUNCTION("SPLIT(A892, "" |"")"),890.0)</f>
        <v>890</v>
      </c>
      <c r="H894" s="19">
        <f>IFERROR(__xludf.DUMMYFUNCTION("""COMPUTED_VALUE"""),0.00211)</f>
        <v>0.00211</v>
      </c>
      <c r="I894" s="19" t="str">
        <f>IFERROR(__xludf.DUMMYFUNCTION("""COMPUTED_VALUE"""),"-")</f>
        <v>-</v>
      </c>
      <c r="J894" s="19">
        <f>IFERROR(__xludf.DUMMYFUNCTION("""COMPUTED_VALUE"""),0.00191)</f>
        <v>0.00191</v>
      </c>
      <c r="K894" s="19">
        <f>IFERROR(__xludf.DUMMYFUNCTION("""COMPUTED_VALUE"""),0.03967)</f>
        <v>0.03967</v>
      </c>
      <c r="L894" s="19" t="str">
        <f>IFERROR(__xludf.DUMMYFUNCTION("""COMPUTED_VALUE"""),"-")</f>
        <v>-</v>
      </c>
      <c r="M894" s="19">
        <f>IFERROR(__xludf.DUMMYFUNCTION("""COMPUTED_VALUE"""),0.04016)</f>
        <v>0.04016</v>
      </c>
    </row>
    <row r="895">
      <c r="A895" s="12" t="s">
        <v>6985</v>
      </c>
      <c r="G895" s="19">
        <f>IFERROR(__xludf.DUMMYFUNCTION("SPLIT(A893, "" |"")"),891.0)</f>
        <v>891</v>
      </c>
      <c r="H895" s="19">
        <f>IFERROR(__xludf.DUMMYFUNCTION("""COMPUTED_VALUE"""),0.00205)</f>
        <v>0.00205</v>
      </c>
      <c r="I895" s="19" t="str">
        <f>IFERROR(__xludf.DUMMYFUNCTION("""COMPUTED_VALUE"""),"-")</f>
        <v>-</v>
      </c>
      <c r="J895" s="19">
        <f>IFERROR(__xludf.DUMMYFUNCTION("""COMPUTED_VALUE"""),0.00189)</f>
        <v>0.00189</v>
      </c>
      <c r="K895" s="19">
        <f>IFERROR(__xludf.DUMMYFUNCTION("""COMPUTED_VALUE"""),0.03994)</f>
        <v>0.03994</v>
      </c>
      <c r="L895" s="19" t="str">
        <f>IFERROR(__xludf.DUMMYFUNCTION("""COMPUTED_VALUE"""),"-")</f>
        <v>-</v>
      </c>
      <c r="M895" s="19">
        <f>IFERROR(__xludf.DUMMYFUNCTION("""COMPUTED_VALUE"""),0.03977)</f>
        <v>0.03977</v>
      </c>
    </row>
    <row r="896">
      <c r="A896" s="12" t="s">
        <v>6986</v>
      </c>
      <c r="G896" s="19">
        <f>IFERROR(__xludf.DUMMYFUNCTION("SPLIT(A894, "" |"")"),892.0)</f>
        <v>892</v>
      </c>
      <c r="H896" s="19">
        <f>IFERROR(__xludf.DUMMYFUNCTION("""COMPUTED_VALUE"""),0.0021)</f>
        <v>0.0021</v>
      </c>
      <c r="I896" s="19" t="str">
        <f>IFERROR(__xludf.DUMMYFUNCTION("""COMPUTED_VALUE"""),"-")</f>
        <v>-</v>
      </c>
      <c r="J896" s="19">
        <f>IFERROR(__xludf.DUMMYFUNCTION("""COMPUTED_VALUE"""),0.0019)</f>
        <v>0.0019</v>
      </c>
      <c r="K896" s="19">
        <f>IFERROR(__xludf.DUMMYFUNCTION("""COMPUTED_VALUE"""),0.03968)</f>
        <v>0.03968</v>
      </c>
      <c r="L896" s="19" t="str">
        <f>IFERROR(__xludf.DUMMYFUNCTION("""COMPUTED_VALUE"""),"-")</f>
        <v>-</v>
      </c>
      <c r="M896" s="19">
        <f>IFERROR(__xludf.DUMMYFUNCTION("""COMPUTED_VALUE"""),0.03972)</f>
        <v>0.03972</v>
      </c>
    </row>
    <row r="897">
      <c r="A897" s="12" t="s">
        <v>6987</v>
      </c>
      <c r="G897" s="19">
        <f>IFERROR(__xludf.DUMMYFUNCTION("SPLIT(A895, "" |"")"),893.0)</f>
        <v>893</v>
      </c>
      <c r="H897" s="19">
        <f>IFERROR(__xludf.DUMMYFUNCTION("""COMPUTED_VALUE"""),0.00207)</f>
        <v>0.00207</v>
      </c>
      <c r="I897" s="19" t="str">
        <f>IFERROR(__xludf.DUMMYFUNCTION("""COMPUTED_VALUE"""),"-")</f>
        <v>-</v>
      </c>
      <c r="J897" s="19">
        <f>IFERROR(__xludf.DUMMYFUNCTION("""COMPUTED_VALUE"""),0.00189)</f>
        <v>0.00189</v>
      </c>
      <c r="K897" s="19">
        <f>IFERROR(__xludf.DUMMYFUNCTION("""COMPUTED_VALUE"""),0.03958)</f>
        <v>0.03958</v>
      </c>
      <c r="L897" s="19" t="str">
        <f>IFERROR(__xludf.DUMMYFUNCTION("""COMPUTED_VALUE"""),"-")</f>
        <v>-</v>
      </c>
      <c r="M897" s="19">
        <f>IFERROR(__xludf.DUMMYFUNCTION("""COMPUTED_VALUE"""),0.03909)</f>
        <v>0.03909</v>
      </c>
    </row>
    <row r="898">
      <c r="A898" s="12" t="s">
        <v>6988</v>
      </c>
      <c r="G898" s="19">
        <f>IFERROR(__xludf.DUMMYFUNCTION("SPLIT(A896, "" |"")"),894.0)</f>
        <v>894</v>
      </c>
      <c r="H898" s="19">
        <f>IFERROR(__xludf.DUMMYFUNCTION("""COMPUTED_VALUE"""),0.00206)</f>
        <v>0.00206</v>
      </c>
      <c r="I898" s="19" t="str">
        <f>IFERROR(__xludf.DUMMYFUNCTION("""COMPUTED_VALUE"""),"-")</f>
        <v>-</v>
      </c>
      <c r="J898" s="19">
        <f>IFERROR(__xludf.DUMMYFUNCTION("""COMPUTED_VALUE"""),0.00187)</f>
        <v>0.00187</v>
      </c>
      <c r="K898" s="19">
        <f>IFERROR(__xludf.DUMMYFUNCTION("""COMPUTED_VALUE"""),0.04003)</f>
        <v>0.04003</v>
      </c>
      <c r="L898" s="19" t="str">
        <f>IFERROR(__xludf.DUMMYFUNCTION("""COMPUTED_VALUE"""),"-")</f>
        <v>-</v>
      </c>
      <c r="M898" s="19">
        <f>IFERROR(__xludf.DUMMYFUNCTION("""COMPUTED_VALUE"""),0.04024)</f>
        <v>0.04024</v>
      </c>
    </row>
    <row r="899">
      <c r="A899" s="12" t="s">
        <v>6989</v>
      </c>
      <c r="G899" s="19">
        <f>IFERROR(__xludf.DUMMYFUNCTION("SPLIT(A897, "" |"")"),895.0)</f>
        <v>895</v>
      </c>
      <c r="H899" s="19">
        <f>IFERROR(__xludf.DUMMYFUNCTION("""COMPUTED_VALUE"""),0.0021)</f>
        <v>0.0021</v>
      </c>
      <c r="I899" s="19" t="str">
        <f>IFERROR(__xludf.DUMMYFUNCTION("""COMPUTED_VALUE"""),"-")</f>
        <v>-</v>
      </c>
      <c r="J899" s="19">
        <f>IFERROR(__xludf.DUMMYFUNCTION("""COMPUTED_VALUE"""),0.00189)</f>
        <v>0.00189</v>
      </c>
      <c r="K899" s="19">
        <f>IFERROR(__xludf.DUMMYFUNCTION("""COMPUTED_VALUE"""),0.03916)</f>
        <v>0.03916</v>
      </c>
      <c r="L899" s="19" t="str">
        <f>IFERROR(__xludf.DUMMYFUNCTION("""COMPUTED_VALUE"""),"-")</f>
        <v>-</v>
      </c>
      <c r="M899" s="19">
        <f>IFERROR(__xludf.DUMMYFUNCTION("""COMPUTED_VALUE"""),0.0343)</f>
        <v>0.0343</v>
      </c>
    </row>
    <row r="900">
      <c r="A900" s="12" t="s">
        <v>6990</v>
      </c>
      <c r="G900" s="19">
        <f>IFERROR(__xludf.DUMMYFUNCTION("SPLIT(A898, "" |"")"),896.0)</f>
        <v>896</v>
      </c>
      <c r="H900" s="19">
        <f>IFERROR(__xludf.DUMMYFUNCTION("""COMPUTED_VALUE"""),0.00208)</f>
        <v>0.00208</v>
      </c>
      <c r="I900" s="19" t="str">
        <f>IFERROR(__xludf.DUMMYFUNCTION("""COMPUTED_VALUE"""),"-")</f>
        <v>-</v>
      </c>
      <c r="J900" s="19">
        <f>IFERROR(__xludf.DUMMYFUNCTION("""COMPUTED_VALUE"""),0.00209)</f>
        <v>0.00209</v>
      </c>
      <c r="K900" s="19">
        <f>IFERROR(__xludf.DUMMYFUNCTION("""COMPUTED_VALUE"""),0.03968)</f>
        <v>0.03968</v>
      </c>
      <c r="L900" s="19" t="str">
        <f>IFERROR(__xludf.DUMMYFUNCTION("""COMPUTED_VALUE"""),"-")</f>
        <v>-</v>
      </c>
      <c r="M900" s="19">
        <f>IFERROR(__xludf.DUMMYFUNCTION("""COMPUTED_VALUE"""),0.03795)</f>
        <v>0.03795</v>
      </c>
    </row>
    <row r="901">
      <c r="A901" s="12" t="s">
        <v>6991</v>
      </c>
      <c r="G901" s="19">
        <f>IFERROR(__xludf.DUMMYFUNCTION("SPLIT(A899, "" |"")"),897.0)</f>
        <v>897</v>
      </c>
      <c r="H901" s="19">
        <f>IFERROR(__xludf.DUMMYFUNCTION("""COMPUTED_VALUE"""),0.00202)</f>
        <v>0.00202</v>
      </c>
      <c r="I901" s="19" t="str">
        <f>IFERROR(__xludf.DUMMYFUNCTION("""COMPUTED_VALUE"""),"-")</f>
        <v>-</v>
      </c>
      <c r="J901" s="19">
        <f>IFERROR(__xludf.DUMMYFUNCTION("""COMPUTED_VALUE"""),0.00189)</f>
        <v>0.00189</v>
      </c>
      <c r="K901" s="19">
        <f>IFERROR(__xludf.DUMMYFUNCTION("""COMPUTED_VALUE"""),0.03951)</f>
        <v>0.03951</v>
      </c>
      <c r="L901" s="19" t="str">
        <f>IFERROR(__xludf.DUMMYFUNCTION("""COMPUTED_VALUE"""),"-")</f>
        <v>-</v>
      </c>
      <c r="M901" s="19">
        <f>IFERROR(__xludf.DUMMYFUNCTION("""COMPUTED_VALUE"""),0.04004)</f>
        <v>0.04004</v>
      </c>
    </row>
    <row r="902">
      <c r="A902" s="12" t="s">
        <v>6992</v>
      </c>
      <c r="G902" s="19">
        <f>IFERROR(__xludf.DUMMYFUNCTION("SPLIT(A900, "" |"")"),898.0)</f>
        <v>898</v>
      </c>
      <c r="H902" s="19">
        <f>IFERROR(__xludf.DUMMYFUNCTION("""COMPUTED_VALUE"""),0.00199)</f>
        <v>0.00199</v>
      </c>
      <c r="I902" s="19" t="str">
        <f>IFERROR(__xludf.DUMMYFUNCTION("""COMPUTED_VALUE"""),"-")</f>
        <v>-</v>
      </c>
      <c r="J902" s="19">
        <f>IFERROR(__xludf.DUMMYFUNCTION("""COMPUTED_VALUE"""),0.00189)</f>
        <v>0.00189</v>
      </c>
      <c r="K902" s="19">
        <f>IFERROR(__xludf.DUMMYFUNCTION("""COMPUTED_VALUE"""),0.04002)</f>
        <v>0.04002</v>
      </c>
      <c r="L902" s="19" t="str">
        <f>IFERROR(__xludf.DUMMYFUNCTION("""COMPUTED_VALUE"""),"-")</f>
        <v>-</v>
      </c>
      <c r="M902" s="19">
        <f>IFERROR(__xludf.DUMMYFUNCTION("""COMPUTED_VALUE"""),0.04012)</f>
        <v>0.04012</v>
      </c>
    </row>
    <row r="903">
      <c r="G903" s="19">
        <f>IFERROR(__xludf.DUMMYFUNCTION("SPLIT(A901, "" |"")"),899.0)</f>
        <v>899</v>
      </c>
      <c r="H903" s="19">
        <f>IFERROR(__xludf.DUMMYFUNCTION("""COMPUTED_VALUE"""),0.00211)</f>
        <v>0.00211</v>
      </c>
      <c r="I903" s="19" t="str">
        <f>IFERROR(__xludf.DUMMYFUNCTION("""COMPUTED_VALUE"""),"-")</f>
        <v>-</v>
      </c>
      <c r="J903" s="19">
        <f>IFERROR(__xludf.DUMMYFUNCTION("""COMPUTED_VALUE"""),0.00192)</f>
        <v>0.00192</v>
      </c>
      <c r="K903" s="19">
        <f>IFERROR(__xludf.DUMMYFUNCTION("""COMPUTED_VALUE"""),0.03995)</f>
        <v>0.03995</v>
      </c>
      <c r="L903" s="19" t="str">
        <f>IFERROR(__xludf.DUMMYFUNCTION("""COMPUTED_VALUE"""),"-")</f>
        <v>-</v>
      </c>
      <c r="M903" s="19">
        <f>IFERROR(__xludf.DUMMYFUNCTION("""COMPUTED_VALUE"""),0.04017)</f>
        <v>0.04017</v>
      </c>
    </row>
    <row r="904">
      <c r="G904" s="19">
        <f>IFERROR(__xludf.DUMMYFUNCTION("SPLIT(A902, "" |"")"),900.0)</f>
        <v>900</v>
      </c>
      <c r="H904" s="19">
        <f>IFERROR(__xludf.DUMMYFUNCTION("""COMPUTED_VALUE"""),0.00203)</f>
        <v>0.00203</v>
      </c>
      <c r="I904" s="19" t="str">
        <f>IFERROR(__xludf.DUMMYFUNCTION("""COMPUTED_VALUE"""),"-")</f>
        <v>-</v>
      </c>
      <c r="J904" s="19">
        <f>IFERROR(__xludf.DUMMYFUNCTION("""COMPUTED_VALUE"""),0.00188)</f>
        <v>0.00188</v>
      </c>
      <c r="K904" s="19">
        <f>IFERROR(__xludf.DUMMYFUNCTION("""COMPUTED_VALUE"""),0.04002)</f>
        <v>0.04002</v>
      </c>
      <c r="L904" s="19" t="str">
        <f>IFERROR(__xludf.DUMMYFUNCTION("""COMPUTED_VALUE"""),"-")</f>
        <v>-</v>
      </c>
      <c r="M904" s="19">
        <f>IFERROR(__xludf.DUMMYFUNCTION("""COMPUTED_VALUE"""),0.0398)</f>
        <v>0.0398</v>
      </c>
    </row>
  </sheetData>
  <mergeCells count="2">
    <mergeCell ref="H2:J2"/>
    <mergeCell ref="K2:M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16" t="s">
        <v>24</v>
      </c>
      <c r="K2" s="17" t="s">
        <v>25</v>
      </c>
    </row>
    <row r="3">
      <c r="A3" s="12" t="s">
        <v>6993</v>
      </c>
      <c r="H3" s="18" t="s">
        <v>26</v>
      </c>
      <c r="I3" s="18" t="s">
        <v>27</v>
      </c>
      <c r="J3" s="18" t="s">
        <v>28</v>
      </c>
      <c r="K3" s="18" t="s">
        <v>29</v>
      </c>
      <c r="L3" s="18" t="s">
        <v>30</v>
      </c>
      <c r="M3" s="18" t="s">
        <v>28</v>
      </c>
    </row>
    <row r="4">
      <c r="A4" s="12" t="s">
        <v>6994</v>
      </c>
    </row>
    <row r="5">
      <c r="A5" s="12" t="s">
        <v>6995</v>
      </c>
      <c r="G5" s="19">
        <f>IFERROR(__xludf.DUMMYFUNCTION("SPLIT(A3, "" |"")"),1.0)</f>
        <v>1</v>
      </c>
      <c r="H5" s="19">
        <f>IFERROR(__xludf.DUMMYFUNCTION("""COMPUTED_VALUE"""),0.00263)</f>
        <v>0.00263</v>
      </c>
      <c r="I5" s="19">
        <f>IFERROR(__xludf.DUMMYFUNCTION("""COMPUTED_VALUE"""),0.00201)</f>
        <v>0.00201</v>
      </c>
      <c r="J5" s="19">
        <f>IFERROR(__xludf.DUMMYFUNCTION("""COMPUTED_VALUE"""),0.00195)</f>
        <v>0.00195</v>
      </c>
      <c r="K5" s="19">
        <f>IFERROR(__xludf.DUMMYFUNCTION("""COMPUTED_VALUE"""),0.03796)</f>
        <v>0.03796</v>
      </c>
      <c r="L5" s="19">
        <f>IFERROR(__xludf.DUMMYFUNCTION("""COMPUTED_VALUE"""),0.03915)</f>
        <v>0.03915</v>
      </c>
      <c r="M5" s="19">
        <f>IFERROR(__xludf.DUMMYFUNCTION("""COMPUTED_VALUE"""),0.03996)</f>
        <v>0.03996</v>
      </c>
    </row>
    <row r="6">
      <c r="A6" s="12" t="s">
        <v>6996</v>
      </c>
      <c r="G6" s="19">
        <f>IFERROR(__xludf.DUMMYFUNCTION("SPLIT(A4, "" |"")"),2.0)</f>
        <v>2</v>
      </c>
      <c r="H6" s="19">
        <f>IFERROR(__xludf.DUMMYFUNCTION("""COMPUTED_VALUE"""),0.00217)</f>
        <v>0.00217</v>
      </c>
      <c r="I6" s="19">
        <f>IFERROR(__xludf.DUMMYFUNCTION("""COMPUTED_VALUE"""),0.00206)</f>
        <v>0.00206</v>
      </c>
      <c r="J6" s="19">
        <f>IFERROR(__xludf.DUMMYFUNCTION("""COMPUTED_VALUE"""),0.00211)</f>
        <v>0.00211</v>
      </c>
      <c r="K6" s="19">
        <f>IFERROR(__xludf.DUMMYFUNCTION("""COMPUTED_VALUE"""),0.0393)</f>
        <v>0.0393</v>
      </c>
      <c r="L6" s="19">
        <f>IFERROR(__xludf.DUMMYFUNCTION("""COMPUTED_VALUE"""),0.03994)</f>
        <v>0.03994</v>
      </c>
      <c r="M6" s="19">
        <f>IFERROR(__xludf.DUMMYFUNCTION("""COMPUTED_VALUE"""),0.03989)</f>
        <v>0.03989</v>
      </c>
    </row>
    <row r="7">
      <c r="A7" s="12" t="s">
        <v>6997</v>
      </c>
      <c r="G7" s="19">
        <f>IFERROR(__xludf.DUMMYFUNCTION("SPLIT(A5, "" |"")"),3.0)</f>
        <v>3</v>
      </c>
      <c r="H7" s="19">
        <f>IFERROR(__xludf.DUMMYFUNCTION("""COMPUTED_VALUE"""),0.00201)</f>
        <v>0.00201</v>
      </c>
      <c r="I7" s="19">
        <f>IFERROR(__xludf.DUMMYFUNCTION("""COMPUTED_VALUE"""),0.00199)</f>
        <v>0.00199</v>
      </c>
      <c r="J7" s="19">
        <f>IFERROR(__xludf.DUMMYFUNCTION("""COMPUTED_VALUE"""),0.00197)</f>
        <v>0.00197</v>
      </c>
      <c r="K7" s="19">
        <f>IFERROR(__xludf.DUMMYFUNCTION("""COMPUTED_VALUE"""),0.03839)</f>
        <v>0.03839</v>
      </c>
      <c r="L7" s="19">
        <f>IFERROR(__xludf.DUMMYFUNCTION("""COMPUTED_VALUE"""),0.0399)</f>
        <v>0.0399</v>
      </c>
      <c r="M7" s="19">
        <f>IFERROR(__xludf.DUMMYFUNCTION("""COMPUTED_VALUE"""),0.03819)</f>
        <v>0.03819</v>
      </c>
    </row>
    <row r="8">
      <c r="A8" s="12" t="s">
        <v>6998</v>
      </c>
      <c r="G8" s="19">
        <f>IFERROR(__xludf.DUMMYFUNCTION("SPLIT(A6, "" |"")"),4.0)</f>
        <v>4</v>
      </c>
      <c r="H8" s="19">
        <f>IFERROR(__xludf.DUMMYFUNCTION("""COMPUTED_VALUE"""),0.00204)</f>
        <v>0.00204</v>
      </c>
      <c r="I8" s="19">
        <f>IFERROR(__xludf.DUMMYFUNCTION("""COMPUTED_VALUE"""),0.00195)</f>
        <v>0.00195</v>
      </c>
      <c r="J8" s="19">
        <f>IFERROR(__xludf.DUMMYFUNCTION("""COMPUTED_VALUE"""),0.00199)</f>
        <v>0.00199</v>
      </c>
      <c r="K8" s="19">
        <f>IFERROR(__xludf.DUMMYFUNCTION("""COMPUTED_VALUE"""),0.03968)</f>
        <v>0.03968</v>
      </c>
      <c r="L8" s="19">
        <f>IFERROR(__xludf.DUMMYFUNCTION("""COMPUTED_VALUE"""),0.03973)</f>
        <v>0.03973</v>
      </c>
      <c r="M8" s="19">
        <f>IFERROR(__xludf.DUMMYFUNCTION("""COMPUTED_VALUE"""),0.03967)</f>
        <v>0.03967</v>
      </c>
    </row>
    <row r="9">
      <c r="A9" s="12" t="s">
        <v>6999</v>
      </c>
      <c r="G9" s="19">
        <f>IFERROR(__xludf.DUMMYFUNCTION("SPLIT(A7, "" |"")"),5.0)</f>
        <v>5</v>
      </c>
      <c r="H9" s="19">
        <f>IFERROR(__xludf.DUMMYFUNCTION("""COMPUTED_VALUE"""),0.00202)</f>
        <v>0.00202</v>
      </c>
      <c r="I9" s="19">
        <f>IFERROR(__xludf.DUMMYFUNCTION("""COMPUTED_VALUE"""),0.0023)</f>
        <v>0.0023</v>
      </c>
      <c r="J9" s="19">
        <f>IFERROR(__xludf.DUMMYFUNCTION("""COMPUTED_VALUE"""),0.00189)</f>
        <v>0.00189</v>
      </c>
      <c r="K9" s="19">
        <f>IFERROR(__xludf.DUMMYFUNCTION("""COMPUTED_VALUE"""),0.04009)</f>
        <v>0.04009</v>
      </c>
      <c r="L9" s="19">
        <f>IFERROR(__xludf.DUMMYFUNCTION("""COMPUTED_VALUE"""),0.03981)</f>
        <v>0.03981</v>
      </c>
      <c r="M9" s="19">
        <f>IFERROR(__xludf.DUMMYFUNCTION("""COMPUTED_VALUE"""),0.03981)</f>
        <v>0.03981</v>
      </c>
    </row>
    <row r="10">
      <c r="A10" s="12" t="s">
        <v>7000</v>
      </c>
      <c r="G10" s="19">
        <f>IFERROR(__xludf.DUMMYFUNCTION("SPLIT(A8, "" |"")"),6.0)</f>
        <v>6</v>
      </c>
      <c r="H10" s="19">
        <f>IFERROR(__xludf.DUMMYFUNCTION("""COMPUTED_VALUE"""),0.00207)</f>
        <v>0.00207</v>
      </c>
      <c r="I10" s="19">
        <f>IFERROR(__xludf.DUMMYFUNCTION("""COMPUTED_VALUE"""),0.00206)</f>
        <v>0.00206</v>
      </c>
      <c r="J10" s="19">
        <f>IFERROR(__xludf.DUMMYFUNCTION("""COMPUTED_VALUE"""),0.00187)</f>
        <v>0.00187</v>
      </c>
      <c r="K10" s="19">
        <f>IFERROR(__xludf.DUMMYFUNCTION("""COMPUTED_VALUE"""),0.03965)</f>
        <v>0.03965</v>
      </c>
      <c r="L10" s="19">
        <f>IFERROR(__xludf.DUMMYFUNCTION("""COMPUTED_VALUE"""),0.03985)</f>
        <v>0.03985</v>
      </c>
      <c r="M10" s="19">
        <f>IFERROR(__xludf.DUMMYFUNCTION("""COMPUTED_VALUE"""),0.03987)</f>
        <v>0.03987</v>
      </c>
    </row>
    <row r="11">
      <c r="A11" s="12" t="s">
        <v>7001</v>
      </c>
      <c r="G11" s="19">
        <f>IFERROR(__xludf.DUMMYFUNCTION("SPLIT(A9, "" |"")"),7.0)</f>
        <v>7</v>
      </c>
      <c r="H11" s="19">
        <f>IFERROR(__xludf.DUMMYFUNCTION("""COMPUTED_VALUE"""),0.00206)</f>
        <v>0.00206</v>
      </c>
      <c r="I11" s="19">
        <f>IFERROR(__xludf.DUMMYFUNCTION("""COMPUTED_VALUE"""),0.00186)</f>
        <v>0.00186</v>
      </c>
      <c r="J11" s="19">
        <f>IFERROR(__xludf.DUMMYFUNCTION("""COMPUTED_VALUE"""),0.00183)</f>
        <v>0.00183</v>
      </c>
      <c r="K11" s="19">
        <f>IFERROR(__xludf.DUMMYFUNCTION("""COMPUTED_VALUE"""),0.03959)</f>
        <v>0.03959</v>
      </c>
      <c r="L11" s="19">
        <f>IFERROR(__xludf.DUMMYFUNCTION("""COMPUTED_VALUE"""),0.03963)</f>
        <v>0.03963</v>
      </c>
      <c r="M11" s="19">
        <f>IFERROR(__xludf.DUMMYFUNCTION("""COMPUTED_VALUE"""),0.03972)</f>
        <v>0.03972</v>
      </c>
    </row>
    <row r="12">
      <c r="A12" s="12" t="s">
        <v>7002</v>
      </c>
      <c r="G12" s="19">
        <f>IFERROR(__xludf.DUMMYFUNCTION("SPLIT(A10, "" |"")"),8.0)</f>
        <v>8</v>
      </c>
      <c r="H12" s="19">
        <f>IFERROR(__xludf.DUMMYFUNCTION("""COMPUTED_VALUE"""),0.00265)</f>
        <v>0.00265</v>
      </c>
      <c r="I12" s="19">
        <f>IFERROR(__xludf.DUMMYFUNCTION("""COMPUTED_VALUE"""),0.0021)</f>
        <v>0.0021</v>
      </c>
      <c r="J12" s="19">
        <f>IFERROR(__xludf.DUMMYFUNCTION("""COMPUTED_VALUE"""),0.00196)</f>
        <v>0.00196</v>
      </c>
      <c r="K12" s="19">
        <f>IFERROR(__xludf.DUMMYFUNCTION("""COMPUTED_VALUE"""),0.03646)</f>
        <v>0.03646</v>
      </c>
      <c r="L12" s="19">
        <f>IFERROR(__xludf.DUMMYFUNCTION("""COMPUTED_VALUE"""),0.03965)</f>
        <v>0.03965</v>
      </c>
      <c r="M12" s="19">
        <f>IFERROR(__xludf.DUMMYFUNCTION("""COMPUTED_VALUE"""),0.04013)</f>
        <v>0.04013</v>
      </c>
    </row>
    <row r="13">
      <c r="A13" s="12" t="s">
        <v>7003</v>
      </c>
      <c r="G13" s="19">
        <f>IFERROR(__xludf.DUMMYFUNCTION("SPLIT(A11, "" |"")"),9.0)</f>
        <v>9</v>
      </c>
      <c r="H13" s="19">
        <f>IFERROR(__xludf.DUMMYFUNCTION("""COMPUTED_VALUE"""),0.00209)</f>
        <v>0.00209</v>
      </c>
      <c r="I13" s="19">
        <f>IFERROR(__xludf.DUMMYFUNCTION("""COMPUTED_VALUE"""),0.00206)</f>
        <v>0.00206</v>
      </c>
      <c r="J13" s="19">
        <f>IFERROR(__xludf.DUMMYFUNCTION("""COMPUTED_VALUE"""),0.00204)</f>
        <v>0.00204</v>
      </c>
      <c r="K13" s="19">
        <f>IFERROR(__xludf.DUMMYFUNCTION("""COMPUTED_VALUE"""),0.03969)</f>
        <v>0.03969</v>
      </c>
      <c r="L13" s="19">
        <f>IFERROR(__xludf.DUMMYFUNCTION("""COMPUTED_VALUE"""),0.03993)</f>
        <v>0.03993</v>
      </c>
      <c r="M13" s="19">
        <f>IFERROR(__xludf.DUMMYFUNCTION("""COMPUTED_VALUE"""),0.0397)</f>
        <v>0.0397</v>
      </c>
    </row>
    <row r="14">
      <c r="A14" s="12" t="s">
        <v>7004</v>
      </c>
      <c r="G14" s="19">
        <f>IFERROR(__xludf.DUMMYFUNCTION("SPLIT(A12, "" |"")"),10.0)</f>
        <v>10</v>
      </c>
      <c r="H14" s="19">
        <f>IFERROR(__xludf.DUMMYFUNCTION("""COMPUTED_VALUE"""),0.00205)</f>
        <v>0.00205</v>
      </c>
      <c r="I14" s="19">
        <f>IFERROR(__xludf.DUMMYFUNCTION("""COMPUTED_VALUE"""),0.0019)</f>
        <v>0.0019</v>
      </c>
      <c r="J14" s="19">
        <f>IFERROR(__xludf.DUMMYFUNCTION("""COMPUTED_VALUE"""),0.00197)</f>
        <v>0.00197</v>
      </c>
      <c r="K14" s="19">
        <f>IFERROR(__xludf.DUMMYFUNCTION("""COMPUTED_VALUE"""),0.0396)</f>
        <v>0.0396</v>
      </c>
      <c r="L14" s="19">
        <f>IFERROR(__xludf.DUMMYFUNCTION("""COMPUTED_VALUE"""),0.03546)</f>
        <v>0.03546</v>
      </c>
      <c r="M14" s="19">
        <f>IFERROR(__xludf.DUMMYFUNCTION("""COMPUTED_VALUE"""),0.03751)</f>
        <v>0.03751</v>
      </c>
    </row>
    <row r="15">
      <c r="A15" s="12" t="s">
        <v>7005</v>
      </c>
      <c r="G15" s="19">
        <f>IFERROR(__xludf.DUMMYFUNCTION("SPLIT(A13, "" |"")"),11.0)</f>
        <v>11</v>
      </c>
      <c r="H15" s="19">
        <f>IFERROR(__xludf.DUMMYFUNCTION("""COMPUTED_VALUE"""),0.00234)</f>
        <v>0.00234</v>
      </c>
      <c r="I15" s="19">
        <f>IFERROR(__xludf.DUMMYFUNCTION("""COMPUTED_VALUE"""),0.00198)</f>
        <v>0.00198</v>
      </c>
      <c r="J15" s="19">
        <f>IFERROR(__xludf.DUMMYFUNCTION("""COMPUTED_VALUE"""),0.00193)</f>
        <v>0.00193</v>
      </c>
      <c r="K15" s="19">
        <f>IFERROR(__xludf.DUMMYFUNCTION("""COMPUTED_VALUE"""),0.03526)</f>
        <v>0.03526</v>
      </c>
      <c r="L15" s="19">
        <f>IFERROR(__xludf.DUMMYFUNCTION("""COMPUTED_VALUE"""),0.0375)</f>
        <v>0.0375</v>
      </c>
      <c r="M15" s="19">
        <f>IFERROR(__xludf.DUMMYFUNCTION("""COMPUTED_VALUE"""),0.03749)</f>
        <v>0.03749</v>
      </c>
    </row>
    <row r="16">
      <c r="A16" s="12" t="s">
        <v>7006</v>
      </c>
      <c r="G16" s="19">
        <f>IFERROR(__xludf.DUMMYFUNCTION("SPLIT(A14, "" |"")"),12.0)</f>
        <v>12</v>
      </c>
      <c r="H16" s="19">
        <f>IFERROR(__xludf.DUMMYFUNCTION("""COMPUTED_VALUE"""),0.00212)</f>
        <v>0.00212</v>
      </c>
      <c r="I16" s="19">
        <f>IFERROR(__xludf.DUMMYFUNCTION("""COMPUTED_VALUE"""),0.00187)</f>
        <v>0.00187</v>
      </c>
      <c r="J16" s="19">
        <f>IFERROR(__xludf.DUMMYFUNCTION("""COMPUTED_VALUE"""),0.00185)</f>
        <v>0.00185</v>
      </c>
      <c r="K16" s="19">
        <f>IFERROR(__xludf.DUMMYFUNCTION("""COMPUTED_VALUE"""),0.03574)</f>
        <v>0.03574</v>
      </c>
      <c r="L16" s="19">
        <f>IFERROR(__xludf.DUMMYFUNCTION("""COMPUTED_VALUE"""),0.03746)</f>
        <v>0.03746</v>
      </c>
      <c r="M16" s="19">
        <f>IFERROR(__xludf.DUMMYFUNCTION("""COMPUTED_VALUE"""),0.03986)</f>
        <v>0.03986</v>
      </c>
    </row>
    <row r="17">
      <c r="A17" s="12" t="s">
        <v>7007</v>
      </c>
      <c r="G17" s="19">
        <f>IFERROR(__xludf.DUMMYFUNCTION("SPLIT(A15, "" |"")"),13.0)</f>
        <v>13</v>
      </c>
      <c r="H17" s="19">
        <f>IFERROR(__xludf.DUMMYFUNCTION("""COMPUTED_VALUE"""),0.00214)</f>
        <v>0.00214</v>
      </c>
      <c r="I17" s="19">
        <f>IFERROR(__xludf.DUMMYFUNCTION("""COMPUTED_VALUE"""),0.00186)</f>
        <v>0.00186</v>
      </c>
      <c r="J17" s="19">
        <f>IFERROR(__xludf.DUMMYFUNCTION("""COMPUTED_VALUE"""),0.00189)</f>
        <v>0.00189</v>
      </c>
      <c r="K17" s="19">
        <f>IFERROR(__xludf.DUMMYFUNCTION("""COMPUTED_VALUE"""),0.04005)</f>
        <v>0.04005</v>
      </c>
      <c r="L17" s="19">
        <f>IFERROR(__xludf.DUMMYFUNCTION("""COMPUTED_VALUE"""),0.03618)</f>
        <v>0.03618</v>
      </c>
      <c r="M17" s="19">
        <f>IFERROR(__xludf.DUMMYFUNCTION("""COMPUTED_VALUE"""),0.0404)</f>
        <v>0.0404</v>
      </c>
    </row>
    <row r="18">
      <c r="A18" s="12" t="s">
        <v>7008</v>
      </c>
      <c r="G18" s="19">
        <f>IFERROR(__xludf.DUMMYFUNCTION("SPLIT(A16, "" |"")"),14.0)</f>
        <v>14</v>
      </c>
      <c r="H18" s="19">
        <f>IFERROR(__xludf.DUMMYFUNCTION("""COMPUTED_VALUE"""),0.00213)</f>
        <v>0.00213</v>
      </c>
      <c r="I18" s="19">
        <f>IFERROR(__xludf.DUMMYFUNCTION("""COMPUTED_VALUE"""),0.00198)</f>
        <v>0.00198</v>
      </c>
      <c r="J18" s="19">
        <f>IFERROR(__xludf.DUMMYFUNCTION("""COMPUTED_VALUE"""),0.00192)</f>
        <v>0.00192</v>
      </c>
      <c r="K18" s="19">
        <f>IFERROR(__xludf.DUMMYFUNCTION("""COMPUTED_VALUE"""),0.03964)</f>
        <v>0.03964</v>
      </c>
      <c r="L18" s="19">
        <f>IFERROR(__xludf.DUMMYFUNCTION("""COMPUTED_VALUE"""),0.03974)</f>
        <v>0.03974</v>
      </c>
      <c r="M18" s="19">
        <f>IFERROR(__xludf.DUMMYFUNCTION("""COMPUTED_VALUE"""),0.03614)</f>
        <v>0.03614</v>
      </c>
    </row>
    <row r="19">
      <c r="A19" s="12" t="s">
        <v>7009</v>
      </c>
      <c r="G19" s="19">
        <f>IFERROR(__xludf.DUMMYFUNCTION("SPLIT(A17, "" |"")"),15.0)</f>
        <v>15</v>
      </c>
      <c r="H19" s="19">
        <f>IFERROR(__xludf.DUMMYFUNCTION("""COMPUTED_VALUE"""),0.00212)</f>
        <v>0.00212</v>
      </c>
      <c r="I19" s="19">
        <f>IFERROR(__xludf.DUMMYFUNCTION("""COMPUTED_VALUE"""),0.00197)</f>
        <v>0.00197</v>
      </c>
      <c r="J19" s="19">
        <f>IFERROR(__xludf.DUMMYFUNCTION("""COMPUTED_VALUE"""),0.00194)</f>
        <v>0.00194</v>
      </c>
      <c r="K19" s="19">
        <f>IFERROR(__xludf.DUMMYFUNCTION("""COMPUTED_VALUE"""),0.03974)</f>
        <v>0.03974</v>
      </c>
      <c r="L19" s="19">
        <f>IFERROR(__xludf.DUMMYFUNCTION("""COMPUTED_VALUE"""),0.03986)</f>
        <v>0.03986</v>
      </c>
      <c r="M19" s="19">
        <f>IFERROR(__xludf.DUMMYFUNCTION("""COMPUTED_VALUE"""),0.03976)</f>
        <v>0.03976</v>
      </c>
    </row>
    <row r="20">
      <c r="A20" s="12" t="s">
        <v>7010</v>
      </c>
      <c r="G20" s="19">
        <f>IFERROR(__xludf.DUMMYFUNCTION("SPLIT(A18, "" |"")"),16.0)</f>
        <v>16</v>
      </c>
      <c r="H20" s="19">
        <f>IFERROR(__xludf.DUMMYFUNCTION("""COMPUTED_VALUE"""),0.00209)</f>
        <v>0.00209</v>
      </c>
      <c r="I20" s="19">
        <f>IFERROR(__xludf.DUMMYFUNCTION("""COMPUTED_VALUE"""),0.002)</f>
        <v>0.002</v>
      </c>
      <c r="J20" s="19">
        <f>IFERROR(__xludf.DUMMYFUNCTION("""COMPUTED_VALUE"""),0.002)</f>
        <v>0.002</v>
      </c>
      <c r="K20" s="19">
        <f>IFERROR(__xludf.DUMMYFUNCTION("""COMPUTED_VALUE"""),0.03925)</f>
        <v>0.03925</v>
      </c>
      <c r="L20" s="19">
        <f>IFERROR(__xludf.DUMMYFUNCTION("""COMPUTED_VALUE"""),0.03981)</f>
        <v>0.03981</v>
      </c>
      <c r="M20" s="19">
        <f>IFERROR(__xludf.DUMMYFUNCTION("""COMPUTED_VALUE"""),0.03979)</f>
        <v>0.03979</v>
      </c>
    </row>
    <row r="21">
      <c r="A21" s="12" t="s">
        <v>7011</v>
      </c>
      <c r="G21" s="19">
        <f>IFERROR(__xludf.DUMMYFUNCTION("SPLIT(A19, "" |"")"),17.0)</f>
        <v>17</v>
      </c>
      <c r="H21" s="19">
        <f>IFERROR(__xludf.DUMMYFUNCTION("""COMPUTED_VALUE"""),0.0021)</f>
        <v>0.0021</v>
      </c>
      <c r="I21" s="19">
        <f>IFERROR(__xludf.DUMMYFUNCTION("""COMPUTED_VALUE"""),0.00196)</f>
        <v>0.00196</v>
      </c>
      <c r="J21" s="19">
        <f>IFERROR(__xludf.DUMMYFUNCTION("""COMPUTED_VALUE"""),0.00196)</f>
        <v>0.00196</v>
      </c>
      <c r="K21" s="19">
        <f>IFERROR(__xludf.DUMMYFUNCTION("""COMPUTED_VALUE"""),0.03975)</f>
        <v>0.03975</v>
      </c>
      <c r="L21" s="19">
        <f>IFERROR(__xludf.DUMMYFUNCTION("""COMPUTED_VALUE"""),0.079)</f>
        <v>0.079</v>
      </c>
      <c r="M21" s="19">
        <f>IFERROR(__xludf.DUMMYFUNCTION("""COMPUTED_VALUE"""),0.04002)</f>
        <v>0.04002</v>
      </c>
    </row>
    <row r="22">
      <c r="A22" s="12" t="s">
        <v>7012</v>
      </c>
      <c r="G22" s="19">
        <f>IFERROR(__xludf.DUMMYFUNCTION("SPLIT(A20, "" |"")"),18.0)</f>
        <v>18</v>
      </c>
      <c r="H22" s="19">
        <f>IFERROR(__xludf.DUMMYFUNCTION("""COMPUTED_VALUE"""),0.00235)</f>
        <v>0.00235</v>
      </c>
      <c r="I22" s="19">
        <f>IFERROR(__xludf.DUMMYFUNCTION("""COMPUTED_VALUE"""),0.0019)</f>
        <v>0.0019</v>
      </c>
      <c r="J22" s="19">
        <f>IFERROR(__xludf.DUMMYFUNCTION("""COMPUTED_VALUE"""),0.00192)</f>
        <v>0.00192</v>
      </c>
      <c r="K22" s="19">
        <f>IFERROR(__xludf.DUMMYFUNCTION("""COMPUTED_VALUE"""),0.03831)</f>
        <v>0.03831</v>
      </c>
      <c r="L22" s="19">
        <f>IFERROR(__xludf.DUMMYFUNCTION("""COMPUTED_VALUE"""),0.03994)</f>
        <v>0.03994</v>
      </c>
      <c r="M22" s="19">
        <f>IFERROR(__xludf.DUMMYFUNCTION("""COMPUTED_VALUE"""),0.03998)</f>
        <v>0.03998</v>
      </c>
    </row>
    <row r="23">
      <c r="A23" s="12" t="s">
        <v>7013</v>
      </c>
      <c r="G23" s="19">
        <f>IFERROR(__xludf.DUMMYFUNCTION("SPLIT(A21, "" |"")"),19.0)</f>
        <v>19</v>
      </c>
      <c r="H23" s="19">
        <f>IFERROR(__xludf.DUMMYFUNCTION("""COMPUTED_VALUE"""),0.00217)</f>
        <v>0.00217</v>
      </c>
      <c r="I23" s="19">
        <f>IFERROR(__xludf.DUMMYFUNCTION("""COMPUTED_VALUE"""),0.00193)</f>
        <v>0.00193</v>
      </c>
      <c r="J23" s="19">
        <f>IFERROR(__xludf.DUMMYFUNCTION("""COMPUTED_VALUE"""),0.00188)</f>
        <v>0.00188</v>
      </c>
      <c r="K23" s="19">
        <f>IFERROR(__xludf.DUMMYFUNCTION("""COMPUTED_VALUE"""),0.03974)</f>
        <v>0.03974</v>
      </c>
      <c r="L23" s="19">
        <f>IFERROR(__xludf.DUMMYFUNCTION("""COMPUTED_VALUE"""),0.03634)</f>
        <v>0.03634</v>
      </c>
      <c r="M23" s="19">
        <f>IFERROR(__xludf.DUMMYFUNCTION("""COMPUTED_VALUE"""),0.04057)</f>
        <v>0.04057</v>
      </c>
    </row>
    <row r="24">
      <c r="A24" s="12" t="s">
        <v>7014</v>
      </c>
      <c r="G24" s="19">
        <f>IFERROR(__xludf.DUMMYFUNCTION("SPLIT(A22, "" |"")"),20.0)</f>
        <v>20</v>
      </c>
      <c r="H24" s="19">
        <f>IFERROR(__xludf.DUMMYFUNCTION("""COMPUTED_VALUE"""),0.00222)</f>
        <v>0.00222</v>
      </c>
      <c r="I24" s="19">
        <f>IFERROR(__xludf.DUMMYFUNCTION("""COMPUTED_VALUE"""),0.00201)</f>
        <v>0.00201</v>
      </c>
      <c r="J24" s="19">
        <f>IFERROR(__xludf.DUMMYFUNCTION("""COMPUTED_VALUE"""),0.00189)</f>
        <v>0.00189</v>
      </c>
      <c r="K24" s="19">
        <f>IFERROR(__xludf.DUMMYFUNCTION("""COMPUTED_VALUE"""),0.03822)</f>
        <v>0.03822</v>
      </c>
      <c r="L24" s="19">
        <f>IFERROR(__xludf.DUMMYFUNCTION("""COMPUTED_VALUE"""),0.0399)</f>
        <v>0.0399</v>
      </c>
      <c r="M24" s="19">
        <f>IFERROR(__xludf.DUMMYFUNCTION("""COMPUTED_VALUE"""),0.03734)</f>
        <v>0.03734</v>
      </c>
    </row>
    <row r="25">
      <c r="A25" s="12" t="s">
        <v>7015</v>
      </c>
      <c r="G25" s="19">
        <f>IFERROR(__xludf.DUMMYFUNCTION("SPLIT(A23, "" |"")"),21.0)</f>
        <v>21</v>
      </c>
      <c r="H25" s="19">
        <f>IFERROR(__xludf.DUMMYFUNCTION("""COMPUTED_VALUE"""),0.00217)</f>
        <v>0.00217</v>
      </c>
      <c r="I25" s="19">
        <f>IFERROR(__xludf.DUMMYFUNCTION("""COMPUTED_VALUE"""),0.00241)</f>
        <v>0.00241</v>
      </c>
      <c r="J25" s="19">
        <f>IFERROR(__xludf.DUMMYFUNCTION("""COMPUTED_VALUE"""),0.002)</f>
        <v>0.002</v>
      </c>
      <c r="K25" s="19">
        <f>IFERROR(__xludf.DUMMYFUNCTION("""COMPUTED_VALUE"""),0.03723)</f>
        <v>0.03723</v>
      </c>
      <c r="L25" s="19">
        <f>IFERROR(__xludf.DUMMYFUNCTION("""COMPUTED_VALUE"""),0.04006)</f>
        <v>0.04006</v>
      </c>
      <c r="M25" s="19">
        <f>IFERROR(__xludf.DUMMYFUNCTION("""COMPUTED_VALUE"""),0.03826)</f>
        <v>0.03826</v>
      </c>
    </row>
    <row r="26">
      <c r="A26" s="12" t="s">
        <v>7016</v>
      </c>
      <c r="G26" s="19">
        <f>IFERROR(__xludf.DUMMYFUNCTION("SPLIT(A24, "" |"")"),22.0)</f>
        <v>22</v>
      </c>
      <c r="H26" s="19">
        <f>IFERROR(__xludf.DUMMYFUNCTION("""COMPUTED_VALUE"""),0.00214)</f>
        <v>0.00214</v>
      </c>
      <c r="I26" s="19">
        <f>IFERROR(__xludf.DUMMYFUNCTION("""COMPUTED_VALUE"""),0.002)</f>
        <v>0.002</v>
      </c>
      <c r="J26" s="19">
        <f>IFERROR(__xludf.DUMMYFUNCTION("""COMPUTED_VALUE"""),0.00197)</f>
        <v>0.00197</v>
      </c>
      <c r="K26" s="19">
        <f>IFERROR(__xludf.DUMMYFUNCTION("""COMPUTED_VALUE"""),0.04001)</f>
        <v>0.04001</v>
      </c>
      <c r="L26" s="19">
        <f>IFERROR(__xludf.DUMMYFUNCTION("""COMPUTED_VALUE"""),0.03846)</f>
        <v>0.03846</v>
      </c>
      <c r="M26" s="19">
        <f>IFERROR(__xludf.DUMMYFUNCTION("""COMPUTED_VALUE"""),0.04026)</f>
        <v>0.04026</v>
      </c>
    </row>
    <row r="27">
      <c r="A27" s="12" t="s">
        <v>7017</v>
      </c>
      <c r="G27" s="19">
        <f>IFERROR(__xludf.DUMMYFUNCTION("SPLIT(A25, "" |"")"),23.0)</f>
        <v>23</v>
      </c>
      <c r="H27" s="19">
        <f>IFERROR(__xludf.DUMMYFUNCTION("""COMPUTED_VALUE"""),0.00223)</f>
        <v>0.00223</v>
      </c>
      <c r="I27" s="19">
        <f>IFERROR(__xludf.DUMMYFUNCTION("""COMPUTED_VALUE"""),0.00198)</f>
        <v>0.00198</v>
      </c>
      <c r="J27" s="19">
        <f>IFERROR(__xludf.DUMMYFUNCTION("""COMPUTED_VALUE"""),0.00211)</f>
        <v>0.00211</v>
      </c>
      <c r="K27" s="19">
        <f>IFERROR(__xludf.DUMMYFUNCTION("""COMPUTED_VALUE"""),0.03992)</f>
        <v>0.03992</v>
      </c>
      <c r="L27" s="19">
        <f>IFERROR(__xludf.DUMMYFUNCTION("""COMPUTED_VALUE"""),0.07706)</f>
        <v>0.07706</v>
      </c>
      <c r="M27" s="19">
        <f>IFERROR(__xludf.DUMMYFUNCTION("""COMPUTED_VALUE"""),0.0404)</f>
        <v>0.0404</v>
      </c>
    </row>
    <row r="28">
      <c r="A28" s="12" t="s">
        <v>7018</v>
      </c>
      <c r="G28" s="19">
        <f>IFERROR(__xludf.DUMMYFUNCTION("SPLIT(A26, "" |"")"),24.0)</f>
        <v>24</v>
      </c>
      <c r="H28" s="19">
        <f>IFERROR(__xludf.DUMMYFUNCTION("""COMPUTED_VALUE"""),0.0021)</f>
        <v>0.0021</v>
      </c>
      <c r="I28" s="19">
        <f>IFERROR(__xludf.DUMMYFUNCTION("""COMPUTED_VALUE"""),0.00203)</f>
        <v>0.00203</v>
      </c>
      <c r="J28" s="19">
        <f>IFERROR(__xludf.DUMMYFUNCTION("""COMPUTED_VALUE"""),0.00193)</f>
        <v>0.00193</v>
      </c>
      <c r="K28" s="19">
        <f>IFERROR(__xludf.DUMMYFUNCTION("""COMPUTED_VALUE"""),0.0401)</f>
        <v>0.0401</v>
      </c>
      <c r="L28" s="19">
        <f>IFERROR(__xludf.DUMMYFUNCTION("""COMPUTED_VALUE"""),0.075)</f>
        <v>0.075</v>
      </c>
      <c r="M28" s="19">
        <f>IFERROR(__xludf.DUMMYFUNCTION("""COMPUTED_VALUE"""),0.03999)</f>
        <v>0.03999</v>
      </c>
    </row>
    <row r="29">
      <c r="A29" s="12" t="s">
        <v>7019</v>
      </c>
      <c r="G29" s="19">
        <f>IFERROR(__xludf.DUMMYFUNCTION("SPLIT(A27, "" |"")"),25.0)</f>
        <v>25</v>
      </c>
      <c r="H29" s="19">
        <f>IFERROR(__xludf.DUMMYFUNCTION("""COMPUTED_VALUE"""),0.00206)</f>
        <v>0.00206</v>
      </c>
      <c r="I29" s="19">
        <f>IFERROR(__xludf.DUMMYFUNCTION("""COMPUTED_VALUE"""),0.0019)</f>
        <v>0.0019</v>
      </c>
      <c r="J29" s="19">
        <f>IFERROR(__xludf.DUMMYFUNCTION("""COMPUTED_VALUE"""),0.00186)</f>
        <v>0.00186</v>
      </c>
      <c r="K29" s="19">
        <f>IFERROR(__xludf.DUMMYFUNCTION("""COMPUTED_VALUE"""),0.03967)</f>
        <v>0.03967</v>
      </c>
      <c r="L29" s="19">
        <f>IFERROR(__xludf.DUMMYFUNCTION("""COMPUTED_VALUE"""),0.0768)</f>
        <v>0.0768</v>
      </c>
      <c r="M29" s="19">
        <f>IFERROR(__xludf.DUMMYFUNCTION("""COMPUTED_VALUE"""),0.03896)</f>
        <v>0.03896</v>
      </c>
    </row>
    <row r="30">
      <c r="A30" s="12" t="s">
        <v>7020</v>
      </c>
      <c r="G30" s="19">
        <f>IFERROR(__xludf.DUMMYFUNCTION("SPLIT(A28, "" |"")"),26.0)</f>
        <v>26</v>
      </c>
      <c r="H30" s="19">
        <f>IFERROR(__xludf.DUMMYFUNCTION("""COMPUTED_VALUE"""),0.00212)</f>
        <v>0.00212</v>
      </c>
      <c r="I30" s="19">
        <f>IFERROR(__xludf.DUMMYFUNCTION("""COMPUTED_VALUE"""),0.00447)</f>
        <v>0.00447</v>
      </c>
      <c r="J30" s="19">
        <f>IFERROR(__xludf.DUMMYFUNCTION("""COMPUTED_VALUE"""),0.00194)</f>
        <v>0.00194</v>
      </c>
      <c r="K30" s="19">
        <f>IFERROR(__xludf.DUMMYFUNCTION("""COMPUTED_VALUE"""),0.03969)</f>
        <v>0.03969</v>
      </c>
      <c r="L30" s="19">
        <f>IFERROR(__xludf.DUMMYFUNCTION("""COMPUTED_VALUE"""),0.07701)</f>
        <v>0.07701</v>
      </c>
      <c r="M30" s="19">
        <f>IFERROR(__xludf.DUMMYFUNCTION("""COMPUTED_VALUE"""),0.03959)</f>
        <v>0.03959</v>
      </c>
    </row>
    <row r="31">
      <c r="A31" s="12" t="s">
        <v>7021</v>
      </c>
      <c r="G31" s="19">
        <f>IFERROR(__xludf.DUMMYFUNCTION("SPLIT(A29, "" |"")"),27.0)</f>
        <v>27</v>
      </c>
      <c r="H31" s="19">
        <f>IFERROR(__xludf.DUMMYFUNCTION("""COMPUTED_VALUE"""),0.00212)</f>
        <v>0.00212</v>
      </c>
      <c r="I31" s="19">
        <f>IFERROR(__xludf.DUMMYFUNCTION("""COMPUTED_VALUE"""),0.00446)</f>
        <v>0.00446</v>
      </c>
      <c r="J31" s="19">
        <f>IFERROR(__xludf.DUMMYFUNCTION("""COMPUTED_VALUE"""),0.00189)</f>
        <v>0.00189</v>
      </c>
      <c r="K31" s="19">
        <f>IFERROR(__xludf.DUMMYFUNCTION("""COMPUTED_VALUE"""),0.03967)</f>
        <v>0.03967</v>
      </c>
      <c r="L31" s="19">
        <f>IFERROR(__xludf.DUMMYFUNCTION("""COMPUTED_VALUE"""),0.13188)</f>
        <v>0.13188</v>
      </c>
      <c r="M31" s="19">
        <f>IFERROR(__xludf.DUMMYFUNCTION("""COMPUTED_VALUE"""),0.04009)</f>
        <v>0.04009</v>
      </c>
    </row>
    <row r="32">
      <c r="A32" s="12" t="s">
        <v>7022</v>
      </c>
      <c r="G32" s="19">
        <f>IFERROR(__xludf.DUMMYFUNCTION("SPLIT(A30, "" |"")"),28.0)</f>
        <v>28</v>
      </c>
      <c r="H32" s="19">
        <f>IFERROR(__xludf.DUMMYFUNCTION("""COMPUTED_VALUE"""),0.00207)</f>
        <v>0.00207</v>
      </c>
      <c r="I32" s="19">
        <f>IFERROR(__xludf.DUMMYFUNCTION("""COMPUTED_VALUE"""),0.00436)</f>
        <v>0.00436</v>
      </c>
      <c r="J32" s="19">
        <f>IFERROR(__xludf.DUMMYFUNCTION("""COMPUTED_VALUE"""),0.00196)</f>
        <v>0.00196</v>
      </c>
      <c r="K32" s="19">
        <f>IFERROR(__xludf.DUMMYFUNCTION("""COMPUTED_VALUE"""),0.04003)</f>
        <v>0.04003</v>
      </c>
      <c r="L32" s="19">
        <f>IFERROR(__xludf.DUMMYFUNCTION("""COMPUTED_VALUE"""),0.13192)</f>
        <v>0.13192</v>
      </c>
      <c r="M32" s="19">
        <f>IFERROR(__xludf.DUMMYFUNCTION("""COMPUTED_VALUE"""),0.04058)</f>
        <v>0.04058</v>
      </c>
    </row>
    <row r="33">
      <c r="A33" s="12" t="s">
        <v>7023</v>
      </c>
      <c r="G33" s="19">
        <f>IFERROR(__xludf.DUMMYFUNCTION("SPLIT(A31, "" |"")"),29.0)</f>
        <v>29</v>
      </c>
      <c r="H33" s="19">
        <f>IFERROR(__xludf.DUMMYFUNCTION("""COMPUTED_VALUE"""),0.00249)</f>
        <v>0.00249</v>
      </c>
      <c r="I33" s="19">
        <f>IFERROR(__xludf.DUMMYFUNCTION("""COMPUTED_VALUE"""),0.00965)</f>
        <v>0.00965</v>
      </c>
      <c r="J33" s="19">
        <f>IFERROR(__xludf.DUMMYFUNCTION("""COMPUTED_VALUE"""),0.00225)</f>
        <v>0.00225</v>
      </c>
      <c r="K33" s="19">
        <f>IFERROR(__xludf.DUMMYFUNCTION("""COMPUTED_VALUE"""),0.0397)</f>
        <v>0.0397</v>
      </c>
      <c r="L33" s="19">
        <f>IFERROR(__xludf.DUMMYFUNCTION("""COMPUTED_VALUE"""),0.18693)</f>
        <v>0.18693</v>
      </c>
      <c r="M33" s="19">
        <f>IFERROR(__xludf.DUMMYFUNCTION("""COMPUTED_VALUE"""),0.03835)</f>
        <v>0.03835</v>
      </c>
    </row>
    <row r="34">
      <c r="A34" s="12" t="s">
        <v>7024</v>
      </c>
      <c r="G34" s="19">
        <f>IFERROR(__xludf.DUMMYFUNCTION("SPLIT(A32, "" |"")"),30.0)</f>
        <v>30</v>
      </c>
      <c r="H34" s="19">
        <f>IFERROR(__xludf.DUMMYFUNCTION("""COMPUTED_VALUE"""),0.00233)</f>
        <v>0.00233</v>
      </c>
      <c r="I34" s="19">
        <f>IFERROR(__xludf.DUMMYFUNCTION("""COMPUTED_VALUE"""),0.00983)</f>
        <v>0.00983</v>
      </c>
      <c r="J34" s="19">
        <f>IFERROR(__xludf.DUMMYFUNCTION("""COMPUTED_VALUE"""),0.00268)</f>
        <v>0.00268</v>
      </c>
      <c r="K34" s="19">
        <f>IFERROR(__xludf.DUMMYFUNCTION("""COMPUTED_VALUE"""),0.03841)</f>
        <v>0.03841</v>
      </c>
      <c r="L34" s="19">
        <f>IFERROR(__xludf.DUMMYFUNCTION("""COMPUTED_VALUE"""),0.28962)</f>
        <v>0.28962</v>
      </c>
      <c r="M34" s="19">
        <f>IFERROR(__xludf.DUMMYFUNCTION("""COMPUTED_VALUE"""),0.0396)</f>
        <v>0.0396</v>
      </c>
    </row>
    <row r="35">
      <c r="A35" s="12" t="s">
        <v>7025</v>
      </c>
      <c r="G35" s="19">
        <f>IFERROR(__xludf.DUMMYFUNCTION("SPLIT(A33, "" |"")"),31.0)</f>
        <v>31</v>
      </c>
      <c r="H35" s="19">
        <f>IFERROR(__xludf.DUMMYFUNCTION("""COMPUTED_VALUE"""),0.00234)</f>
        <v>0.00234</v>
      </c>
      <c r="I35" s="19">
        <f>IFERROR(__xludf.DUMMYFUNCTION("""COMPUTED_VALUE"""),0.0198)</f>
        <v>0.0198</v>
      </c>
      <c r="J35" s="19">
        <f>IFERROR(__xludf.DUMMYFUNCTION("""COMPUTED_VALUE"""),0.00216)</f>
        <v>0.00216</v>
      </c>
      <c r="K35" s="19">
        <f>IFERROR(__xludf.DUMMYFUNCTION("""COMPUTED_VALUE"""),0.03724)</f>
        <v>0.03724</v>
      </c>
      <c r="L35" s="19">
        <f>IFERROR(__xludf.DUMMYFUNCTION("""COMPUTED_VALUE"""),0.4567)</f>
        <v>0.4567</v>
      </c>
      <c r="M35" s="19">
        <f>IFERROR(__xludf.DUMMYFUNCTION("""COMPUTED_VALUE"""),0.03731)</f>
        <v>0.03731</v>
      </c>
    </row>
    <row r="36">
      <c r="A36" s="12" t="s">
        <v>7026</v>
      </c>
      <c r="G36" s="19">
        <f>IFERROR(__xludf.DUMMYFUNCTION("SPLIT(A34, "" |"")"),32.0)</f>
        <v>32</v>
      </c>
      <c r="H36" s="19">
        <f>IFERROR(__xludf.DUMMYFUNCTION("""COMPUTED_VALUE"""),0.00216)</f>
        <v>0.00216</v>
      </c>
      <c r="I36" s="19">
        <f>IFERROR(__xludf.DUMMYFUNCTION("""COMPUTED_VALUE"""),0.03818)</f>
        <v>0.03818</v>
      </c>
      <c r="J36" s="19">
        <f>IFERROR(__xludf.DUMMYFUNCTION("""COMPUTED_VALUE"""),0.00227)</f>
        <v>0.00227</v>
      </c>
      <c r="K36" s="19">
        <f>IFERROR(__xludf.DUMMYFUNCTION("""COMPUTED_VALUE"""),0.03982)</f>
        <v>0.03982</v>
      </c>
      <c r="L36" s="19">
        <f>IFERROR(__xludf.DUMMYFUNCTION("""COMPUTED_VALUE"""),0.73031)</f>
        <v>0.73031</v>
      </c>
      <c r="M36" s="19">
        <f>IFERROR(__xludf.DUMMYFUNCTION("""COMPUTED_VALUE"""),0.04006)</f>
        <v>0.04006</v>
      </c>
    </row>
    <row r="37">
      <c r="A37" s="12" t="s">
        <v>7027</v>
      </c>
      <c r="G37" s="19">
        <f>IFERROR(__xludf.DUMMYFUNCTION("SPLIT(A35, "" |"")"),33.0)</f>
        <v>33</v>
      </c>
      <c r="H37" s="19">
        <f>IFERROR(__xludf.DUMMYFUNCTION("""COMPUTED_VALUE"""),0.00211)</f>
        <v>0.00211</v>
      </c>
      <c r="I37" s="19">
        <f>IFERROR(__xludf.DUMMYFUNCTION("""COMPUTED_VALUE"""),0.03947)</f>
        <v>0.03947</v>
      </c>
      <c r="J37" s="19">
        <f>IFERROR(__xludf.DUMMYFUNCTION("""COMPUTED_VALUE"""),0.0023)</f>
        <v>0.0023</v>
      </c>
      <c r="K37" s="19">
        <f>IFERROR(__xludf.DUMMYFUNCTION("""COMPUTED_VALUE"""),0.03985)</f>
        <v>0.03985</v>
      </c>
      <c r="L37" s="19">
        <f>IFERROR(__xludf.DUMMYFUNCTION("""COMPUTED_VALUE"""),1.15588)</f>
        <v>1.15588</v>
      </c>
      <c r="M37" s="19">
        <f>IFERROR(__xludf.DUMMYFUNCTION("""COMPUTED_VALUE"""),0.03726)</f>
        <v>0.03726</v>
      </c>
    </row>
    <row r="38">
      <c r="A38" s="12" t="s">
        <v>7028</v>
      </c>
      <c r="G38" s="19">
        <f>IFERROR(__xludf.DUMMYFUNCTION("SPLIT(A36, "" |"")"),34.0)</f>
        <v>34</v>
      </c>
      <c r="H38" s="19">
        <f>IFERROR(__xludf.DUMMYFUNCTION("""COMPUTED_VALUE"""),0.00221)</f>
        <v>0.00221</v>
      </c>
      <c r="I38" s="19">
        <f>IFERROR(__xludf.DUMMYFUNCTION("""COMPUTED_VALUE"""),0.07548)</f>
        <v>0.07548</v>
      </c>
      <c r="J38" s="19">
        <f>IFERROR(__xludf.DUMMYFUNCTION("""COMPUTED_VALUE"""),0.00194)</f>
        <v>0.00194</v>
      </c>
      <c r="K38" s="19">
        <f>IFERROR(__xludf.DUMMYFUNCTION("""COMPUTED_VALUE"""),0.03984)</f>
        <v>0.03984</v>
      </c>
      <c r="L38" s="19">
        <f>IFERROR(__xludf.DUMMYFUNCTION("""COMPUTED_VALUE"""),1.76549)</f>
        <v>1.76549</v>
      </c>
      <c r="M38" s="19">
        <f>IFERROR(__xludf.DUMMYFUNCTION("""COMPUTED_VALUE"""),0.03985)</f>
        <v>0.03985</v>
      </c>
    </row>
    <row r="39">
      <c r="A39" s="12" t="s">
        <v>7029</v>
      </c>
      <c r="G39" s="19">
        <f>IFERROR(__xludf.DUMMYFUNCTION("SPLIT(A37, "" |"")"),35.0)</f>
        <v>35</v>
      </c>
      <c r="H39" s="19">
        <f>IFERROR(__xludf.DUMMYFUNCTION("""COMPUTED_VALUE"""),0.00279)</f>
        <v>0.00279</v>
      </c>
      <c r="I39" s="19">
        <f>IFERROR(__xludf.DUMMYFUNCTION("""COMPUTED_VALUE"""),0.13169)</f>
        <v>0.13169</v>
      </c>
      <c r="J39" s="19">
        <f>IFERROR(__xludf.DUMMYFUNCTION("""COMPUTED_VALUE"""),0.00236)</f>
        <v>0.00236</v>
      </c>
      <c r="K39" s="19">
        <f>IFERROR(__xludf.DUMMYFUNCTION("""COMPUTED_VALUE"""),0.03984)</f>
        <v>0.03984</v>
      </c>
      <c r="L39" s="19">
        <f>IFERROR(__xludf.DUMMYFUNCTION("""COMPUTED_VALUE"""),2.89567)</f>
        <v>2.89567</v>
      </c>
      <c r="M39" s="19">
        <f>IFERROR(__xludf.DUMMYFUNCTION("""COMPUTED_VALUE"""),0.04025)</f>
        <v>0.04025</v>
      </c>
    </row>
    <row r="40">
      <c r="A40" s="12" t="s">
        <v>7030</v>
      </c>
      <c r="G40" s="19">
        <f>IFERROR(__xludf.DUMMYFUNCTION("SPLIT(A38, "" |"")"),36.0)</f>
        <v>36</v>
      </c>
      <c r="H40" s="19">
        <f>IFERROR(__xludf.DUMMYFUNCTION("""COMPUTED_VALUE"""),0.00216)</f>
        <v>0.00216</v>
      </c>
      <c r="I40" s="19">
        <f>IFERROR(__xludf.DUMMYFUNCTION("""COMPUTED_VALUE"""),0.18132)</f>
        <v>0.18132</v>
      </c>
      <c r="J40" s="19">
        <f>IFERROR(__xludf.DUMMYFUNCTION("""COMPUTED_VALUE"""),0.00278)</f>
        <v>0.00278</v>
      </c>
      <c r="K40" s="19">
        <f>IFERROR(__xludf.DUMMYFUNCTION("""COMPUTED_VALUE"""),0.04012)</f>
        <v>0.04012</v>
      </c>
      <c r="L40" s="19">
        <f>IFERROR(__xludf.DUMMYFUNCTION("""COMPUTED_VALUE"""),4.57847)</f>
        <v>4.57847</v>
      </c>
      <c r="M40" s="19">
        <f>IFERROR(__xludf.DUMMYFUNCTION("""COMPUTED_VALUE"""),0.04017)</f>
        <v>0.04017</v>
      </c>
    </row>
    <row r="41">
      <c r="A41" s="12" t="s">
        <v>7031</v>
      </c>
      <c r="G41" s="19">
        <f>IFERROR(__xludf.DUMMYFUNCTION("SPLIT(A39, "" |"")"),37.0)</f>
        <v>37</v>
      </c>
      <c r="H41" s="19">
        <f>IFERROR(__xludf.DUMMYFUNCTION("""COMPUTED_VALUE"""),0.00222)</f>
        <v>0.00222</v>
      </c>
      <c r="I41" s="19">
        <f>IFERROR(__xludf.DUMMYFUNCTION("""COMPUTED_VALUE"""),0.23536)</f>
        <v>0.23536</v>
      </c>
      <c r="J41" s="19">
        <f>IFERROR(__xludf.DUMMYFUNCTION("""COMPUTED_VALUE"""),0.00293)</f>
        <v>0.00293</v>
      </c>
      <c r="K41" s="19">
        <f>IFERROR(__xludf.DUMMYFUNCTION("""COMPUTED_VALUE"""),0.04003)</f>
        <v>0.04003</v>
      </c>
      <c r="L41" s="19">
        <f>IFERROR(__xludf.DUMMYFUNCTION("""COMPUTED_VALUE"""),7.45008)</f>
        <v>7.45008</v>
      </c>
      <c r="M41" s="19">
        <f>IFERROR(__xludf.DUMMYFUNCTION("""COMPUTED_VALUE"""),0.0406)</f>
        <v>0.0406</v>
      </c>
    </row>
    <row r="42">
      <c r="A42" s="12" t="s">
        <v>7032</v>
      </c>
      <c r="G42" s="19">
        <f>IFERROR(__xludf.DUMMYFUNCTION("SPLIT(A40, "" |"")"),38.0)</f>
        <v>38</v>
      </c>
      <c r="H42" s="19">
        <f>IFERROR(__xludf.DUMMYFUNCTION("""COMPUTED_VALUE"""),0.00232)</f>
        <v>0.00232</v>
      </c>
      <c r="I42" s="19">
        <f>IFERROR(__xludf.DUMMYFUNCTION("""COMPUTED_VALUE"""),0.34604)</f>
        <v>0.34604</v>
      </c>
      <c r="J42" s="19">
        <f>IFERROR(__xludf.DUMMYFUNCTION("""COMPUTED_VALUE"""),0.00235)</f>
        <v>0.00235</v>
      </c>
      <c r="K42" s="19">
        <f>IFERROR(__xludf.DUMMYFUNCTION("""COMPUTED_VALUE"""),0.03968)</f>
        <v>0.03968</v>
      </c>
      <c r="L42" s="19">
        <f>IFERROR(__xludf.DUMMYFUNCTION("""COMPUTED_VALUE"""),12.05533)</f>
        <v>12.05533</v>
      </c>
      <c r="M42" s="19">
        <f>IFERROR(__xludf.DUMMYFUNCTION("""COMPUTED_VALUE"""),0.04008)</f>
        <v>0.04008</v>
      </c>
    </row>
    <row r="43">
      <c r="A43" s="12" t="s">
        <v>7033</v>
      </c>
      <c r="G43" s="19">
        <f>IFERROR(__xludf.DUMMYFUNCTION("SPLIT(A41, "" |"")"),39.0)</f>
        <v>39</v>
      </c>
      <c r="H43" s="19">
        <f>IFERROR(__xludf.DUMMYFUNCTION("""COMPUTED_VALUE"""),0.00217)</f>
        <v>0.00217</v>
      </c>
      <c r="I43" s="19">
        <f>IFERROR(__xludf.DUMMYFUNCTION("""COMPUTED_VALUE"""),0.5666)</f>
        <v>0.5666</v>
      </c>
      <c r="J43" s="19">
        <f>IFERROR(__xludf.DUMMYFUNCTION("""COMPUTED_VALUE"""),0.00271)</f>
        <v>0.00271</v>
      </c>
      <c r="K43" s="19">
        <f>IFERROR(__xludf.DUMMYFUNCTION("""COMPUTED_VALUE"""),0.03994)</f>
        <v>0.03994</v>
      </c>
      <c r="L43" s="19">
        <f>IFERROR(__xludf.DUMMYFUNCTION("""COMPUTED_VALUE"""),19.3258)</f>
        <v>19.3258</v>
      </c>
      <c r="M43" s="19">
        <f>IFERROR(__xludf.DUMMYFUNCTION("""COMPUTED_VALUE"""),0.04014)</f>
        <v>0.04014</v>
      </c>
    </row>
    <row r="44">
      <c r="A44" s="12" t="s">
        <v>7034</v>
      </c>
      <c r="G44" s="19">
        <f>IFERROR(__xludf.DUMMYFUNCTION("SPLIT(A42, "" |"")"),40.0)</f>
        <v>40</v>
      </c>
      <c r="H44" s="19">
        <f>IFERROR(__xludf.DUMMYFUNCTION("""COMPUTED_VALUE"""),0.00207)</f>
        <v>0.00207</v>
      </c>
      <c r="I44" s="19">
        <f>IFERROR(__xludf.DUMMYFUNCTION("""COMPUTED_VALUE"""),0.89191)</f>
        <v>0.89191</v>
      </c>
      <c r="J44" s="19">
        <f>IFERROR(__xludf.DUMMYFUNCTION("""COMPUTED_VALUE"""),0.0031)</f>
        <v>0.0031</v>
      </c>
      <c r="K44" s="19">
        <f>IFERROR(__xludf.DUMMYFUNCTION("""COMPUTED_VALUE"""),0.04027)</f>
        <v>0.04027</v>
      </c>
      <c r="L44" s="19">
        <f>IFERROR(__xludf.DUMMYFUNCTION("""COMPUTED_VALUE"""),31.22657)</f>
        <v>31.22657</v>
      </c>
      <c r="M44" s="19">
        <f>IFERROR(__xludf.DUMMYFUNCTION("""COMPUTED_VALUE"""),0.04017)</f>
        <v>0.04017</v>
      </c>
    </row>
    <row r="45">
      <c r="A45" s="12" t="s">
        <v>7035</v>
      </c>
      <c r="G45" s="19">
        <f>IFERROR(__xludf.DUMMYFUNCTION("SPLIT(A43, "" |"")"),41.0)</f>
        <v>41</v>
      </c>
      <c r="H45" s="19">
        <f>IFERROR(__xludf.DUMMYFUNCTION("""COMPUTED_VALUE"""),0.00196)</f>
        <v>0.00196</v>
      </c>
      <c r="I45" s="19">
        <f>IFERROR(__xludf.DUMMYFUNCTION("""COMPUTED_VALUE"""),1.49249)</f>
        <v>1.49249</v>
      </c>
      <c r="J45" s="19">
        <f>IFERROR(__xludf.DUMMYFUNCTION("""COMPUTED_VALUE"""),0.00234)</f>
        <v>0.00234</v>
      </c>
      <c r="K45" s="19">
        <f>IFERROR(__xludf.DUMMYFUNCTION("""COMPUTED_VALUE"""),0.03965)</f>
        <v>0.03965</v>
      </c>
      <c r="L45" s="19">
        <f>IFERROR(__xludf.DUMMYFUNCTION("""COMPUTED_VALUE"""),50.59375)</f>
        <v>50.59375</v>
      </c>
      <c r="M45" s="19">
        <f>IFERROR(__xludf.DUMMYFUNCTION("""COMPUTED_VALUE"""),0.04002)</f>
        <v>0.04002</v>
      </c>
    </row>
    <row r="46">
      <c r="A46" s="12" t="s">
        <v>7036</v>
      </c>
      <c r="G46" s="19">
        <f>IFERROR(__xludf.DUMMYFUNCTION("SPLIT(A44, "" |"")"),42.0)</f>
        <v>42</v>
      </c>
      <c r="H46" s="19">
        <f>IFERROR(__xludf.DUMMYFUNCTION("""COMPUTED_VALUE"""),0.0022)</f>
        <v>0.0022</v>
      </c>
      <c r="I46" s="19">
        <f>IFERROR(__xludf.DUMMYFUNCTION("""COMPUTED_VALUE"""),2.3767)</f>
        <v>2.3767</v>
      </c>
      <c r="J46" s="19">
        <f>IFERROR(__xludf.DUMMYFUNCTION("""COMPUTED_VALUE"""),0.00316)</f>
        <v>0.00316</v>
      </c>
      <c r="K46" s="19">
        <f>IFERROR(__xludf.DUMMYFUNCTION("""COMPUTED_VALUE"""),0.04023)</f>
        <v>0.04023</v>
      </c>
      <c r="L46" s="19" t="str">
        <f>IFERROR(__xludf.DUMMYFUNCTION("""COMPUTED_VALUE"""),"-")</f>
        <v>-</v>
      </c>
      <c r="M46" s="19">
        <f>IFERROR(__xludf.DUMMYFUNCTION("""COMPUTED_VALUE"""),0.07822)</f>
        <v>0.07822</v>
      </c>
    </row>
    <row r="47">
      <c r="A47" s="12" t="s">
        <v>7037</v>
      </c>
      <c r="G47" s="19">
        <f>IFERROR(__xludf.DUMMYFUNCTION("SPLIT(A45, "" |"")"),43.0)</f>
        <v>43</v>
      </c>
      <c r="H47" s="19">
        <f>IFERROR(__xludf.DUMMYFUNCTION("""COMPUTED_VALUE"""),0.00277)</f>
        <v>0.00277</v>
      </c>
      <c r="I47" s="19">
        <f>IFERROR(__xludf.DUMMYFUNCTION("""COMPUTED_VALUE"""),3.85114)</f>
        <v>3.85114</v>
      </c>
      <c r="J47" s="19">
        <f>IFERROR(__xludf.DUMMYFUNCTION("""COMPUTED_VALUE"""),0.00229)</f>
        <v>0.00229</v>
      </c>
      <c r="K47" s="19">
        <f>IFERROR(__xludf.DUMMYFUNCTION("""COMPUTED_VALUE"""),0.03973)</f>
        <v>0.03973</v>
      </c>
      <c r="L47" s="19" t="str">
        <f>IFERROR(__xludf.DUMMYFUNCTION("""COMPUTED_VALUE"""),"-")</f>
        <v>-</v>
      </c>
      <c r="M47" s="19">
        <f>IFERROR(__xludf.DUMMYFUNCTION("""COMPUTED_VALUE"""),0.04026)</f>
        <v>0.04026</v>
      </c>
    </row>
    <row r="48">
      <c r="A48" s="12" t="s">
        <v>7038</v>
      </c>
      <c r="G48" s="19">
        <f>IFERROR(__xludf.DUMMYFUNCTION("SPLIT(A46, "" |"")"),44.0)</f>
        <v>44</v>
      </c>
      <c r="H48" s="19">
        <f>IFERROR(__xludf.DUMMYFUNCTION("""COMPUTED_VALUE"""),0.00223)</f>
        <v>0.00223</v>
      </c>
      <c r="I48" s="19">
        <f>IFERROR(__xludf.DUMMYFUNCTION("""COMPUTED_VALUE"""),6.21001)</f>
        <v>6.21001</v>
      </c>
      <c r="J48" s="19">
        <f>IFERROR(__xludf.DUMMYFUNCTION("""COMPUTED_VALUE"""),0.00219)</f>
        <v>0.00219</v>
      </c>
      <c r="K48" s="19">
        <f>IFERROR(__xludf.DUMMYFUNCTION("""COMPUTED_VALUE"""),0.04009)</f>
        <v>0.04009</v>
      </c>
      <c r="L48" s="19" t="str">
        <f>IFERROR(__xludf.DUMMYFUNCTION("""COMPUTED_VALUE"""),"-")</f>
        <v>-</v>
      </c>
      <c r="M48" s="19">
        <f>IFERROR(__xludf.DUMMYFUNCTION("""COMPUTED_VALUE"""),0.04028)</f>
        <v>0.04028</v>
      </c>
    </row>
    <row r="49">
      <c r="A49" s="12" t="s">
        <v>7039</v>
      </c>
      <c r="G49" s="19">
        <f>IFERROR(__xludf.DUMMYFUNCTION("SPLIT(A47, "" |"")"),45.0)</f>
        <v>45</v>
      </c>
      <c r="H49" s="19">
        <f>IFERROR(__xludf.DUMMYFUNCTION("""COMPUTED_VALUE"""),0.00213)</f>
        <v>0.00213</v>
      </c>
      <c r="I49" s="19">
        <f>IFERROR(__xludf.DUMMYFUNCTION("""COMPUTED_VALUE"""),10.01968)</f>
        <v>10.01968</v>
      </c>
      <c r="J49" s="19">
        <f>IFERROR(__xludf.DUMMYFUNCTION("""COMPUTED_VALUE"""),0.00231)</f>
        <v>0.00231</v>
      </c>
      <c r="K49" s="19">
        <f>IFERROR(__xludf.DUMMYFUNCTION("""COMPUTED_VALUE"""),0.04011)</f>
        <v>0.04011</v>
      </c>
      <c r="L49" s="19" t="str">
        <f>IFERROR(__xludf.DUMMYFUNCTION("""COMPUTED_VALUE"""),"-")</f>
        <v>-</v>
      </c>
      <c r="M49" s="19">
        <f>IFERROR(__xludf.DUMMYFUNCTION("""COMPUTED_VALUE"""),0.03832)</f>
        <v>0.03832</v>
      </c>
    </row>
    <row r="50">
      <c r="A50" s="12" t="s">
        <v>7040</v>
      </c>
      <c r="G50" s="19">
        <f>IFERROR(__xludf.DUMMYFUNCTION("SPLIT(A48, "" |"")"),46.0)</f>
        <v>46</v>
      </c>
      <c r="H50" s="19">
        <f>IFERROR(__xludf.DUMMYFUNCTION("""COMPUTED_VALUE"""),0.00217)</f>
        <v>0.00217</v>
      </c>
      <c r="I50" s="19">
        <f>IFERROR(__xludf.DUMMYFUNCTION("""COMPUTED_VALUE"""),16.2231)</f>
        <v>16.2231</v>
      </c>
      <c r="J50" s="19">
        <f>IFERROR(__xludf.DUMMYFUNCTION("""COMPUTED_VALUE"""),0.0023)</f>
        <v>0.0023</v>
      </c>
      <c r="K50" s="19">
        <f>IFERROR(__xludf.DUMMYFUNCTION("""COMPUTED_VALUE"""),0.03602)</f>
        <v>0.03602</v>
      </c>
      <c r="L50" s="19" t="str">
        <f>IFERROR(__xludf.DUMMYFUNCTION("""COMPUTED_VALUE"""),"-")</f>
        <v>-</v>
      </c>
      <c r="M50" s="19">
        <f>IFERROR(__xludf.DUMMYFUNCTION("""COMPUTED_VALUE"""),0.04008)</f>
        <v>0.04008</v>
      </c>
    </row>
    <row r="51">
      <c r="A51" s="12" t="s">
        <v>7041</v>
      </c>
      <c r="G51" s="19">
        <f>IFERROR(__xludf.DUMMYFUNCTION("SPLIT(A49, "" |"")"),47.0)</f>
        <v>47</v>
      </c>
      <c r="H51" s="19">
        <f>IFERROR(__xludf.DUMMYFUNCTION("""COMPUTED_VALUE"""),0.00218)</f>
        <v>0.00218</v>
      </c>
      <c r="I51" s="19">
        <f>IFERROR(__xludf.DUMMYFUNCTION("""COMPUTED_VALUE"""),26.20632)</f>
        <v>26.20632</v>
      </c>
      <c r="J51" s="19">
        <f>IFERROR(__xludf.DUMMYFUNCTION("""COMPUTED_VALUE"""),0.00233)</f>
        <v>0.00233</v>
      </c>
      <c r="K51" s="19">
        <f>IFERROR(__xludf.DUMMYFUNCTION("""COMPUTED_VALUE"""),0.07678)</f>
        <v>0.07678</v>
      </c>
      <c r="L51" s="19" t="str">
        <f>IFERROR(__xludf.DUMMYFUNCTION("""COMPUTED_VALUE"""),"-")</f>
        <v>-</v>
      </c>
      <c r="M51" s="19">
        <f>IFERROR(__xludf.DUMMYFUNCTION("""COMPUTED_VALUE"""),0.04019)</f>
        <v>0.04019</v>
      </c>
    </row>
    <row r="52">
      <c r="A52" s="12" t="s">
        <v>7042</v>
      </c>
      <c r="G52" s="19">
        <f>IFERROR(__xludf.DUMMYFUNCTION("SPLIT(A50, "" |"")"),48.0)</f>
        <v>48</v>
      </c>
      <c r="H52" s="19">
        <f>IFERROR(__xludf.DUMMYFUNCTION("""COMPUTED_VALUE"""),0.00231)</f>
        <v>0.00231</v>
      </c>
      <c r="I52" s="19">
        <f>IFERROR(__xludf.DUMMYFUNCTION("""COMPUTED_VALUE"""),42.35375)</f>
        <v>42.35375</v>
      </c>
      <c r="J52" s="19">
        <f>IFERROR(__xludf.DUMMYFUNCTION("""COMPUTED_VALUE"""),0.00244)</f>
        <v>0.00244</v>
      </c>
      <c r="K52" s="19">
        <f>IFERROR(__xludf.DUMMYFUNCTION("""COMPUTED_VALUE"""),0.07693)</f>
        <v>0.07693</v>
      </c>
      <c r="L52" s="19" t="str">
        <f>IFERROR(__xludf.DUMMYFUNCTION("""COMPUTED_VALUE"""),"-")</f>
        <v>-</v>
      </c>
      <c r="M52" s="19">
        <f>IFERROR(__xludf.DUMMYFUNCTION("""COMPUTED_VALUE"""),0.03712)</f>
        <v>0.03712</v>
      </c>
    </row>
    <row r="53">
      <c r="A53" s="12" t="s">
        <v>7043</v>
      </c>
      <c r="G53" s="19">
        <f>IFERROR(__xludf.DUMMYFUNCTION("SPLIT(A51, "" |"")"),49.0)</f>
        <v>49</v>
      </c>
      <c r="H53" s="19">
        <f>IFERROR(__xludf.DUMMYFUNCTION("""COMPUTED_VALUE"""),0.00233)</f>
        <v>0.00233</v>
      </c>
      <c r="I53" s="19" t="str">
        <f>IFERROR(__xludf.DUMMYFUNCTION("""COMPUTED_VALUE"""),"-")</f>
        <v>-</v>
      </c>
      <c r="J53" s="19">
        <f>IFERROR(__xludf.DUMMYFUNCTION("""COMPUTED_VALUE"""),0.00334)</f>
        <v>0.00334</v>
      </c>
      <c r="K53" s="19">
        <f>IFERROR(__xludf.DUMMYFUNCTION("""COMPUTED_VALUE"""),0.07762)</f>
        <v>0.07762</v>
      </c>
      <c r="L53" s="19" t="str">
        <f>IFERROR(__xludf.DUMMYFUNCTION("""COMPUTED_VALUE"""),"-")</f>
        <v>-</v>
      </c>
      <c r="M53" s="19">
        <f>IFERROR(__xludf.DUMMYFUNCTION("""COMPUTED_VALUE"""),0.04012)</f>
        <v>0.04012</v>
      </c>
    </row>
    <row r="54">
      <c r="A54" s="12" t="s">
        <v>7044</v>
      </c>
      <c r="G54" s="19">
        <f>IFERROR(__xludf.DUMMYFUNCTION("SPLIT(A52, "" |"")"),50.0)</f>
        <v>50</v>
      </c>
      <c r="H54" s="19">
        <f>IFERROR(__xludf.DUMMYFUNCTION("""COMPUTED_VALUE"""),0.00242)</f>
        <v>0.00242</v>
      </c>
      <c r="I54" s="19" t="str">
        <f>IFERROR(__xludf.DUMMYFUNCTION("""COMPUTED_VALUE"""),"-")</f>
        <v>-</v>
      </c>
      <c r="J54" s="19">
        <f>IFERROR(__xludf.DUMMYFUNCTION("""COMPUTED_VALUE"""),0.00199)</f>
        <v>0.00199</v>
      </c>
      <c r="K54" s="19">
        <f>IFERROR(__xludf.DUMMYFUNCTION("""COMPUTED_VALUE"""),0.07311)</f>
        <v>0.07311</v>
      </c>
      <c r="L54" s="19" t="str">
        <f>IFERROR(__xludf.DUMMYFUNCTION("""COMPUTED_VALUE"""),"-")</f>
        <v>-</v>
      </c>
      <c r="M54" s="19">
        <f>IFERROR(__xludf.DUMMYFUNCTION("""COMPUTED_VALUE"""),0.03902)</f>
        <v>0.03902</v>
      </c>
    </row>
    <row r="55">
      <c r="A55" s="12" t="s">
        <v>7045</v>
      </c>
      <c r="G55" s="19">
        <f>IFERROR(__xludf.DUMMYFUNCTION("SPLIT(A53, "" |"")"),51.0)</f>
        <v>51</v>
      </c>
      <c r="H55" s="19">
        <f>IFERROR(__xludf.DUMMYFUNCTION("""COMPUTED_VALUE"""),0.00222)</f>
        <v>0.00222</v>
      </c>
      <c r="I55" s="19" t="str">
        <f>IFERROR(__xludf.DUMMYFUNCTION("""COMPUTED_VALUE"""),"-")</f>
        <v>-</v>
      </c>
      <c r="J55" s="19">
        <f>IFERROR(__xludf.DUMMYFUNCTION("""COMPUTED_VALUE"""),0.00324)</f>
        <v>0.00324</v>
      </c>
      <c r="K55" s="19">
        <f>IFERROR(__xludf.DUMMYFUNCTION("""COMPUTED_VALUE"""),0.03767)</f>
        <v>0.03767</v>
      </c>
      <c r="L55" s="19" t="str">
        <f>IFERROR(__xludf.DUMMYFUNCTION("""COMPUTED_VALUE"""),"-")</f>
        <v>-</v>
      </c>
      <c r="M55" s="19">
        <f>IFERROR(__xludf.DUMMYFUNCTION("""COMPUTED_VALUE"""),0.03999)</f>
        <v>0.03999</v>
      </c>
    </row>
    <row r="56">
      <c r="A56" s="12" t="s">
        <v>7046</v>
      </c>
      <c r="G56" s="19">
        <f>IFERROR(__xludf.DUMMYFUNCTION("SPLIT(A54, "" |"")"),52.0)</f>
        <v>52</v>
      </c>
      <c r="H56" s="19">
        <f>IFERROR(__xludf.DUMMYFUNCTION("""COMPUTED_VALUE"""),0.00235)</f>
        <v>0.00235</v>
      </c>
      <c r="I56" s="19" t="str">
        <f>IFERROR(__xludf.DUMMYFUNCTION("""COMPUTED_VALUE"""),"-")</f>
        <v>-</v>
      </c>
      <c r="J56" s="19">
        <f>IFERROR(__xludf.DUMMYFUNCTION("""COMPUTED_VALUE"""),0.00219)</f>
        <v>0.00219</v>
      </c>
      <c r="K56" s="19">
        <f>IFERROR(__xludf.DUMMYFUNCTION("""COMPUTED_VALUE"""),0.03958)</f>
        <v>0.03958</v>
      </c>
      <c r="L56" s="19" t="str">
        <f>IFERROR(__xludf.DUMMYFUNCTION("""COMPUTED_VALUE"""),"-")</f>
        <v>-</v>
      </c>
      <c r="M56" s="19">
        <f>IFERROR(__xludf.DUMMYFUNCTION("""COMPUTED_VALUE"""),0.03993)</f>
        <v>0.03993</v>
      </c>
    </row>
    <row r="57">
      <c r="A57" s="12" t="s">
        <v>7047</v>
      </c>
      <c r="G57" s="19">
        <f>IFERROR(__xludf.DUMMYFUNCTION("SPLIT(A55, "" |"")"),53.0)</f>
        <v>53</v>
      </c>
      <c r="H57" s="19">
        <f>IFERROR(__xludf.DUMMYFUNCTION("""COMPUTED_VALUE"""),0.00307)</f>
        <v>0.00307</v>
      </c>
      <c r="I57" s="19" t="str">
        <f>IFERROR(__xludf.DUMMYFUNCTION("""COMPUTED_VALUE"""),"-")</f>
        <v>-</v>
      </c>
      <c r="J57" s="19">
        <f>IFERROR(__xludf.DUMMYFUNCTION("""COMPUTED_VALUE"""),0.00227)</f>
        <v>0.00227</v>
      </c>
      <c r="K57" s="19">
        <f>IFERROR(__xludf.DUMMYFUNCTION("""COMPUTED_VALUE"""),0.03953)</f>
        <v>0.03953</v>
      </c>
      <c r="L57" s="19" t="str">
        <f>IFERROR(__xludf.DUMMYFUNCTION("""COMPUTED_VALUE"""),"-")</f>
        <v>-</v>
      </c>
      <c r="M57" s="19">
        <f>IFERROR(__xludf.DUMMYFUNCTION("""COMPUTED_VALUE"""),0.03995)</f>
        <v>0.03995</v>
      </c>
    </row>
    <row r="58">
      <c r="A58" s="12" t="s">
        <v>7048</v>
      </c>
      <c r="G58" s="19">
        <f>IFERROR(__xludf.DUMMYFUNCTION("SPLIT(A56, "" |"")"),54.0)</f>
        <v>54</v>
      </c>
      <c r="H58" s="19">
        <f>IFERROR(__xludf.DUMMYFUNCTION("""COMPUTED_VALUE"""),0.00537)</f>
        <v>0.00537</v>
      </c>
      <c r="I58" s="19" t="str">
        <f>IFERROR(__xludf.DUMMYFUNCTION("""COMPUTED_VALUE"""),"-")</f>
        <v>-</v>
      </c>
      <c r="J58" s="19">
        <f>IFERROR(__xludf.DUMMYFUNCTION("""COMPUTED_VALUE"""),0.00209)</f>
        <v>0.00209</v>
      </c>
      <c r="K58" s="19">
        <f>IFERROR(__xludf.DUMMYFUNCTION("""COMPUTED_VALUE"""),0.07512)</f>
        <v>0.07512</v>
      </c>
      <c r="L58" s="19" t="str">
        <f>IFERROR(__xludf.DUMMYFUNCTION("""COMPUTED_VALUE"""),"-")</f>
        <v>-</v>
      </c>
      <c r="M58" s="19">
        <f>IFERROR(__xludf.DUMMYFUNCTION("""COMPUTED_VALUE"""),0.03951)</f>
        <v>0.03951</v>
      </c>
    </row>
    <row r="59">
      <c r="A59" s="12" t="s">
        <v>7049</v>
      </c>
      <c r="G59" s="19">
        <f>IFERROR(__xludf.DUMMYFUNCTION("SPLIT(A57, "" |"")"),55.0)</f>
        <v>55</v>
      </c>
      <c r="H59" s="19">
        <f>IFERROR(__xludf.DUMMYFUNCTION("""COMPUTED_VALUE"""),0.00357)</f>
        <v>0.00357</v>
      </c>
      <c r="I59" s="19" t="str">
        <f>IFERROR(__xludf.DUMMYFUNCTION("""COMPUTED_VALUE"""),"-")</f>
        <v>-</v>
      </c>
      <c r="J59" s="19">
        <f>IFERROR(__xludf.DUMMYFUNCTION("""COMPUTED_VALUE"""),0.00219)</f>
        <v>0.00219</v>
      </c>
      <c r="K59" s="19">
        <f>IFERROR(__xludf.DUMMYFUNCTION("""COMPUTED_VALUE"""),0.08361)</f>
        <v>0.08361</v>
      </c>
      <c r="L59" s="19" t="str">
        <f>IFERROR(__xludf.DUMMYFUNCTION("""COMPUTED_VALUE"""),"-")</f>
        <v>-</v>
      </c>
      <c r="M59" s="19">
        <f>IFERROR(__xludf.DUMMYFUNCTION("""COMPUTED_VALUE"""),0.07765)</f>
        <v>0.07765</v>
      </c>
    </row>
    <row r="60">
      <c r="A60" s="12" t="s">
        <v>7050</v>
      </c>
      <c r="G60" s="19">
        <f>IFERROR(__xludf.DUMMYFUNCTION("SPLIT(A58, "" |"")"),56.0)</f>
        <v>56</v>
      </c>
      <c r="H60" s="19">
        <f>IFERROR(__xludf.DUMMYFUNCTION("""COMPUTED_VALUE"""),0.00252)</f>
        <v>0.00252</v>
      </c>
      <c r="I60" s="19" t="str">
        <f>IFERROR(__xludf.DUMMYFUNCTION("""COMPUTED_VALUE"""),"-")</f>
        <v>-</v>
      </c>
      <c r="J60" s="19">
        <f>IFERROR(__xludf.DUMMYFUNCTION("""COMPUTED_VALUE"""),0.00264)</f>
        <v>0.00264</v>
      </c>
      <c r="K60" s="19">
        <f>IFERROR(__xludf.DUMMYFUNCTION("""COMPUTED_VALUE"""),0.0376)</f>
        <v>0.0376</v>
      </c>
      <c r="L60" s="19" t="str">
        <f>IFERROR(__xludf.DUMMYFUNCTION("""COMPUTED_VALUE"""),"-")</f>
        <v>-</v>
      </c>
      <c r="M60" s="19">
        <f>IFERROR(__xludf.DUMMYFUNCTION("""COMPUTED_VALUE"""),0.07573)</f>
        <v>0.07573</v>
      </c>
    </row>
    <row r="61">
      <c r="A61" s="12" t="s">
        <v>7051</v>
      </c>
      <c r="G61" s="19">
        <f>IFERROR(__xludf.DUMMYFUNCTION("SPLIT(A59, "" |"")"),57.0)</f>
        <v>57</v>
      </c>
      <c r="H61" s="19">
        <f>IFERROR(__xludf.DUMMYFUNCTION("""COMPUTED_VALUE"""),0.00229)</f>
        <v>0.00229</v>
      </c>
      <c r="I61" s="19" t="str">
        <f>IFERROR(__xludf.DUMMYFUNCTION("""COMPUTED_VALUE"""),"-")</f>
        <v>-</v>
      </c>
      <c r="J61" s="19">
        <f>IFERROR(__xludf.DUMMYFUNCTION("""COMPUTED_VALUE"""),0.00204)</f>
        <v>0.00204</v>
      </c>
      <c r="K61" s="19">
        <f>IFERROR(__xludf.DUMMYFUNCTION("""COMPUTED_VALUE"""),0.03738)</f>
        <v>0.03738</v>
      </c>
      <c r="L61" s="19" t="str">
        <f>IFERROR(__xludf.DUMMYFUNCTION("""COMPUTED_VALUE"""),"-")</f>
        <v>-</v>
      </c>
      <c r="M61" s="19">
        <f>IFERROR(__xludf.DUMMYFUNCTION("""COMPUTED_VALUE"""),0.03997)</f>
        <v>0.03997</v>
      </c>
    </row>
    <row r="62">
      <c r="A62" s="12" t="s">
        <v>7052</v>
      </c>
      <c r="G62" s="19">
        <f>IFERROR(__xludf.DUMMYFUNCTION("SPLIT(A60, "" |"")"),58.0)</f>
        <v>58</v>
      </c>
      <c r="H62" s="19">
        <f>IFERROR(__xludf.DUMMYFUNCTION("""COMPUTED_VALUE"""),0.00235)</f>
        <v>0.00235</v>
      </c>
      <c r="I62" s="19" t="str">
        <f>IFERROR(__xludf.DUMMYFUNCTION("""COMPUTED_VALUE"""),"-")</f>
        <v>-</v>
      </c>
      <c r="J62" s="19">
        <f>IFERROR(__xludf.DUMMYFUNCTION("""COMPUTED_VALUE"""),0.00207)</f>
        <v>0.00207</v>
      </c>
      <c r="K62" s="19">
        <f>IFERROR(__xludf.DUMMYFUNCTION("""COMPUTED_VALUE"""),0.03727)</f>
        <v>0.03727</v>
      </c>
      <c r="L62" s="19" t="str">
        <f>IFERROR(__xludf.DUMMYFUNCTION("""COMPUTED_VALUE"""),"-")</f>
        <v>-</v>
      </c>
      <c r="M62" s="19">
        <f>IFERROR(__xludf.DUMMYFUNCTION("""COMPUTED_VALUE"""),0.04124)</f>
        <v>0.04124</v>
      </c>
    </row>
    <row r="63">
      <c r="A63" s="12" t="s">
        <v>7053</v>
      </c>
      <c r="G63" s="19">
        <f>IFERROR(__xludf.DUMMYFUNCTION("SPLIT(A61, "" |"")"),59.0)</f>
        <v>59</v>
      </c>
      <c r="H63" s="19">
        <f>IFERROR(__xludf.DUMMYFUNCTION("""COMPUTED_VALUE"""),0.00233)</f>
        <v>0.00233</v>
      </c>
      <c r="I63" s="19" t="str">
        <f>IFERROR(__xludf.DUMMYFUNCTION("""COMPUTED_VALUE"""),"-")</f>
        <v>-</v>
      </c>
      <c r="J63" s="19">
        <f>IFERROR(__xludf.DUMMYFUNCTION("""COMPUTED_VALUE"""),0.00242)</f>
        <v>0.00242</v>
      </c>
      <c r="K63" s="19">
        <f>IFERROR(__xludf.DUMMYFUNCTION("""COMPUTED_VALUE"""),0.0385)</f>
        <v>0.0385</v>
      </c>
      <c r="L63" s="19" t="str">
        <f>IFERROR(__xludf.DUMMYFUNCTION("""COMPUTED_VALUE"""),"-")</f>
        <v>-</v>
      </c>
      <c r="M63" s="19">
        <f>IFERROR(__xludf.DUMMYFUNCTION("""COMPUTED_VALUE"""),0.04015)</f>
        <v>0.04015</v>
      </c>
    </row>
    <row r="64">
      <c r="A64" s="12" t="s">
        <v>7054</v>
      </c>
      <c r="G64" s="19">
        <f>IFERROR(__xludf.DUMMYFUNCTION("SPLIT(A62, "" |"")"),60.0)</f>
        <v>60</v>
      </c>
      <c r="H64" s="19">
        <f>IFERROR(__xludf.DUMMYFUNCTION("""COMPUTED_VALUE"""),0.00226)</f>
        <v>0.00226</v>
      </c>
      <c r="I64" s="19" t="str">
        <f>IFERROR(__xludf.DUMMYFUNCTION("""COMPUTED_VALUE"""),"-")</f>
        <v>-</v>
      </c>
      <c r="J64" s="19">
        <f>IFERROR(__xludf.DUMMYFUNCTION("""COMPUTED_VALUE"""),0.00197)</f>
        <v>0.00197</v>
      </c>
      <c r="K64" s="19">
        <f>IFERROR(__xludf.DUMMYFUNCTION("""COMPUTED_VALUE"""),0.03947)</f>
        <v>0.03947</v>
      </c>
      <c r="L64" s="19" t="str">
        <f>IFERROR(__xludf.DUMMYFUNCTION("""COMPUTED_VALUE"""),"-")</f>
        <v>-</v>
      </c>
      <c r="M64" s="19">
        <f>IFERROR(__xludf.DUMMYFUNCTION("""COMPUTED_VALUE"""),0.03992)</f>
        <v>0.03992</v>
      </c>
    </row>
    <row r="65">
      <c r="A65" s="12" t="s">
        <v>7055</v>
      </c>
      <c r="G65" s="19">
        <f>IFERROR(__xludf.DUMMYFUNCTION("SPLIT(A63, "" |"")"),61.0)</f>
        <v>61</v>
      </c>
      <c r="H65" s="19">
        <f>IFERROR(__xludf.DUMMYFUNCTION("""COMPUTED_VALUE"""),0.00227)</f>
        <v>0.00227</v>
      </c>
      <c r="I65" s="19" t="str">
        <f>IFERROR(__xludf.DUMMYFUNCTION("""COMPUTED_VALUE"""),"-")</f>
        <v>-</v>
      </c>
      <c r="J65" s="19">
        <f>IFERROR(__xludf.DUMMYFUNCTION("""COMPUTED_VALUE"""),0.00204)</f>
        <v>0.00204</v>
      </c>
      <c r="K65" s="19">
        <f>IFERROR(__xludf.DUMMYFUNCTION("""COMPUTED_VALUE"""),0.04009)</f>
        <v>0.04009</v>
      </c>
      <c r="L65" s="19" t="str">
        <f>IFERROR(__xludf.DUMMYFUNCTION("""COMPUTED_VALUE"""),"-")</f>
        <v>-</v>
      </c>
      <c r="M65" s="19">
        <f>IFERROR(__xludf.DUMMYFUNCTION("""COMPUTED_VALUE"""),0.04011)</f>
        <v>0.04011</v>
      </c>
    </row>
    <row r="66">
      <c r="A66" s="12" t="s">
        <v>7056</v>
      </c>
      <c r="G66" s="19">
        <f>IFERROR(__xludf.DUMMYFUNCTION("SPLIT(A64, "" |"")"),62.0)</f>
        <v>62</v>
      </c>
      <c r="H66" s="19">
        <f>IFERROR(__xludf.DUMMYFUNCTION("""COMPUTED_VALUE"""),0.00251)</f>
        <v>0.00251</v>
      </c>
      <c r="I66" s="19" t="str">
        <f>IFERROR(__xludf.DUMMYFUNCTION("""COMPUTED_VALUE"""),"-")</f>
        <v>-</v>
      </c>
      <c r="J66" s="19">
        <f>IFERROR(__xludf.DUMMYFUNCTION("""COMPUTED_VALUE"""),0.00217)</f>
        <v>0.00217</v>
      </c>
      <c r="K66" s="19">
        <f>IFERROR(__xludf.DUMMYFUNCTION("""COMPUTED_VALUE"""),0.03701)</f>
        <v>0.03701</v>
      </c>
      <c r="L66" s="19" t="str">
        <f>IFERROR(__xludf.DUMMYFUNCTION("""COMPUTED_VALUE"""),"-")</f>
        <v>-</v>
      </c>
      <c r="M66" s="19">
        <f>IFERROR(__xludf.DUMMYFUNCTION("""COMPUTED_VALUE"""),0.03866)</f>
        <v>0.03866</v>
      </c>
    </row>
    <row r="67">
      <c r="A67" s="12" t="s">
        <v>7057</v>
      </c>
      <c r="G67" s="19">
        <f>IFERROR(__xludf.DUMMYFUNCTION("SPLIT(A65, "" |"")"),63.0)</f>
        <v>63</v>
      </c>
      <c r="H67" s="19">
        <f>IFERROR(__xludf.DUMMYFUNCTION("""COMPUTED_VALUE"""),0.00223)</f>
        <v>0.00223</v>
      </c>
      <c r="I67" s="19" t="str">
        <f>IFERROR(__xludf.DUMMYFUNCTION("""COMPUTED_VALUE"""),"-")</f>
        <v>-</v>
      </c>
      <c r="J67" s="19">
        <f>IFERROR(__xludf.DUMMYFUNCTION("""COMPUTED_VALUE"""),0.00192)</f>
        <v>0.00192</v>
      </c>
      <c r="K67" s="19">
        <f>IFERROR(__xludf.DUMMYFUNCTION("""COMPUTED_VALUE"""),0.04007)</f>
        <v>0.04007</v>
      </c>
      <c r="L67" s="19" t="str">
        <f>IFERROR(__xludf.DUMMYFUNCTION("""COMPUTED_VALUE"""),"-")</f>
        <v>-</v>
      </c>
      <c r="M67" s="19">
        <f>IFERROR(__xludf.DUMMYFUNCTION("""COMPUTED_VALUE"""),0.03621)</f>
        <v>0.03621</v>
      </c>
    </row>
    <row r="68">
      <c r="A68" s="12" t="s">
        <v>7058</v>
      </c>
      <c r="G68" s="19">
        <f>IFERROR(__xludf.DUMMYFUNCTION("SPLIT(A66, "" |"")"),64.0)</f>
        <v>64</v>
      </c>
      <c r="H68" s="19">
        <f>IFERROR(__xludf.DUMMYFUNCTION("""COMPUTED_VALUE"""),0.00229)</f>
        <v>0.00229</v>
      </c>
      <c r="I68" s="19" t="str">
        <f>IFERROR(__xludf.DUMMYFUNCTION("""COMPUTED_VALUE"""),"-")</f>
        <v>-</v>
      </c>
      <c r="J68" s="19">
        <f>IFERROR(__xludf.DUMMYFUNCTION("""COMPUTED_VALUE"""),0.00212)</f>
        <v>0.00212</v>
      </c>
      <c r="K68" s="19">
        <f>IFERROR(__xludf.DUMMYFUNCTION("""COMPUTED_VALUE"""),0.04003)</f>
        <v>0.04003</v>
      </c>
      <c r="L68" s="19" t="str">
        <f>IFERROR(__xludf.DUMMYFUNCTION("""COMPUTED_VALUE"""),"-")</f>
        <v>-</v>
      </c>
      <c r="M68" s="19">
        <f>IFERROR(__xludf.DUMMYFUNCTION("""COMPUTED_VALUE"""),0.03952)</f>
        <v>0.03952</v>
      </c>
    </row>
    <row r="69">
      <c r="A69" s="12" t="s">
        <v>7059</v>
      </c>
      <c r="G69" s="19">
        <f>IFERROR(__xludf.DUMMYFUNCTION("SPLIT(A67, "" |"")"),65.0)</f>
        <v>65</v>
      </c>
      <c r="H69" s="19">
        <f>IFERROR(__xludf.DUMMYFUNCTION("""COMPUTED_VALUE"""),0.00216)</f>
        <v>0.00216</v>
      </c>
      <c r="I69" s="19" t="str">
        <f>IFERROR(__xludf.DUMMYFUNCTION("""COMPUTED_VALUE"""),"-")</f>
        <v>-</v>
      </c>
      <c r="J69" s="19">
        <f>IFERROR(__xludf.DUMMYFUNCTION("""COMPUTED_VALUE"""),0.00215)</f>
        <v>0.00215</v>
      </c>
      <c r="K69" s="19">
        <f>IFERROR(__xludf.DUMMYFUNCTION("""COMPUTED_VALUE"""),0.03931)</f>
        <v>0.03931</v>
      </c>
      <c r="L69" s="19" t="str">
        <f>IFERROR(__xludf.DUMMYFUNCTION("""COMPUTED_VALUE"""),"-")</f>
        <v>-</v>
      </c>
      <c r="M69" s="19">
        <f>IFERROR(__xludf.DUMMYFUNCTION("""COMPUTED_VALUE"""),0.03504)</f>
        <v>0.03504</v>
      </c>
    </row>
    <row r="70">
      <c r="A70" s="12" t="s">
        <v>7060</v>
      </c>
      <c r="G70" s="19">
        <f>IFERROR(__xludf.DUMMYFUNCTION("SPLIT(A68, "" |"")"),66.0)</f>
        <v>66</v>
      </c>
      <c r="H70" s="19">
        <f>IFERROR(__xludf.DUMMYFUNCTION("""COMPUTED_VALUE"""),0.00215)</f>
        <v>0.00215</v>
      </c>
      <c r="I70" s="19" t="str">
        <f>IFERROR(__xludf.DUMMYFUNCTION("""COMPUTED_VALUE"""),"-")</f>
        <v>-</v>
      </c>
      <c r="J70" s="19">
        <f>IFERROR(__xludf.DUMMYFUNCTION("""COMPUTED_VALUE"""),0.00219)</f>
        <v>0.00219</v>
      </c>
      <c r="K70" s="19">
        <f>IFERROR(__xludf.DUMMYFUNCTION("""COMPUTED_VALUE"""),0.03811)</f>
        <v>0.03811</v>
      </c>
      <c r="L70" s="19" t="str">
        <f>IFERROR(__xludf.DUMMYFUNCTION("""COMPUTED_VALUE"""),"-")</f>
        <v>-</v>
      </c>
      <c r="M70" s="19">
        <f>IFERROR(__xludf.DUMMYFUNCTION("""COMPUTED_VALUE"""),0.03997)</f>
        <v>0.03997</v>
      </c>
    </row>
    <row r="71">
      <c r="A71" s="12" t="s">
        <v>7061</v>
      </c>
      <c r="G71" s="19">
        <f>IFERROR(__xludf.DUMMYFUNCTION("SPLIT(A69, "" |"")"),67.0)</f>
        <v>67</v>
      </c>
      <c r="H71" s="19">
        <f>IFERROR(__xludf.DUMMYFUNCTION("""COMPUTED_VALUE"""),0.00229)</f>
        <v>0.00229</v>
      </c>
      <c r="I71" s="19" t="str">
        <f>IFERROR(__xludf.DUMMYFUNCTION("""COMPUTED_VALUE"""),"-")</f>
        <v>-</v>
      </c>
      <c r="J71" s="19">
        <f>IFERROR(__xludf.DUMMYFUNCTION("""COMPUTED_VALUE"""),0.002)</f>
        <v>0.002</v>
      </c>
      <c r="K71" s="19">
        <f>IFERROR(__xludf.DUMMYFUNCTION("""COMPUTED_VALUE"""),0.0376)</f>
        <v>0.0376</v>
      </c>
      <c r="L71" s="19" t="str">
        <f>IFERROR(__xludf.DUMMYFUNCTION("""COMPUTED_VALUE"""),"-")</f>
        <v>-</v>
      </c>
      <c r="M71" s="19">
        <f>IFERROR(__xludf.DUMMYFUNCTION("""COMPUTED_VALUE"""),0.03809)</f>
        <v>0.03809</v>
      </c>
    </row>
    <row r="72">
      <c r="A72" s="12" t="s">
        <v>7062</v>
      </c>
      <c r="G72" s="19">
        <f>IFERROR(__xludf.DUMMYFUNCTION("SPLIT(A70, "" |"")"),68.0)</f>
        <v>68</v>
      </c>
      <c r="H72" s="19">
        <f>IFERROR(__xludf.DUMMYFUNCTION("""COMPUTED_VALUE"""),0.0023)</f>
        <v>0.0023</v>
      </c>
      <c r="I72" s="19" t="str">
        <f>IFERROR(__xludf.DUMMYFUNCTION("""COMPUTED_VALUE"""),"-")</f>
        <v>-</v>
      </c>
      <c r="J72" s="19">
        <f>IFERROR(__xludf.DUMMYFUNCTION("""COMPUTED_VALUE"""),0.00193)</f>
        <v>0.00193</v>
      </c>
      <c r="K72" s="19">
        <f>IFERROR(__xludf.DUMMYFUNCTION("""COMPUTED_VALUE"""),0.03366)</f>
        <v>0.03366</v>
      </c>
      <c r="L72" s="19" t="str">
        <f>IFERROR(__xludf.DUMMYFUNCTION("""COMPUTED_VALUE"""),"-")</f>
        <v>-</v>
      </c>
      <c r="M72" s="19">
        <f>IFERROR(__xludf.DUMMYFUNCTION("""COMPUTED_VALUE"""),0.0395)</f>
        <v>0.0395</v>
      </c>
    </row>
    <row r="73">
      <c r="A73" s="12" t="s">
        <v>7063</v>
      </c>
      <c r="G73" s="19">
        <f>IFERROR(__xludf.DUMMYFUNCTION("SPLIT(A71, "" |"")"),69.0)</f>
        <v>69</v>
      </c>
      <c r="H73" s="19">
        <f>IFERROR(__xludf.DUMMYFUNCTION("""COMPUTED_VALUE"""),0.00223)</f>
        <v>0.00223</v>
      </c>
      <c r="I73" s="19" t="str">
        <f>IFERROR(__xludf.DUMMYFUNCTION("""COMPUTED_VALUE"""),"-")</f>
        <v>-</v>
      </c>
      <c r="J73" s="19">
        <f>IFERROR(__xludf.DUMMYFUNCTION("""COMPUTED_VALUE"""),0.00203)</f>
        <v>0.00203</v>
      </c>
      <c r="K73" s="19">
        <f>IFERROR(__xludf.DUMMYFUNCTION("""COMPUTED_VALUE"""),0.03959)</f>
        <v>0.03959</v>
      </c>
      <c r="L73" s="19" t="str">
        <f>IFERROR(__xludf.DUMMYFUNCTION("""COMPUTED_VALUE"""),"-")</f>
        <v>-</v>
      </c>
      <c r="M73" s="19">
        <f>IFERROR(__xludf.DUMMYFUNCTION("""COMPUTED_VALUE"""),0.04041)</f>
        <v>0.04041</v>
      </c>
    </row>
    <row r="74">
      <c r="A74" s="12" t="s">
        <v>7064</v>
      </c>
      <c r="G74" s="19">
        <f>IFERROR(__xludf.DUMMYFUNCTION("SPLIT(A72, "" |"")"),70.0)</f>
        <v>70</v>
      </c>
      <c r="H74" s="19">
        <f>IFERROR(__xludf.DUMMYFUNCTION("""COMPUTED_VALUE"""),0.0023)</f>
        <v>0.0023</v>
      </c>
      <c r="I74" s="19" t="str">
        <f>IFERROR(__xludf.DUMMYFUNCTION("""COMPUTED_VALUE"""),"-")</f>
        <v>-</v>
      </c>
      <c r="J74" s="19">
        <f>IFERROR(__xludf.DUMMYFUNCTION("""COMPUTED_VALUE"""),0.00213)</f>
        <v>0.00213</v>
      </c>
      <c r="K74" s="19">
        <f>IFERROR(__xludf.DUMMYFUNCTION("""COMPUTED_VALUE"""),0.03848)</f>
        <v>0.03848</v>
      </c>
      <c r="L74" s="19" t="str">
        <f>IFERROR(__xludf.DUMMYFUNCTION("""COMPUTED_VALUE"""),"-")</f>
        <v>-</v>
      </c>
      <c r="M74" s="19">
        <f>IFERROR(__xludf.DUMMYFUNCTION("""COMPUTED_VALUE"""),0.04014)</f>
        <v>0.04014</v>
      </c>
    </row>
    <row r="75">
      <c r="A75" s="12" t="s">
        <v>7065</v>
      </c>
      <c r="G75" s="19">
        <f>IFERROR(__xludf.DUMMYFUNCTION("SPLIT(A73, "" |"")"),71.0)</f>
        <v>71</v>
      </c>
      <c r="H75" s="19">
        <f>IFERROR(__xludf.DUMMYFUNCTION("""COMPUTED_VALUE"""),0.00328)</f>
        <v>0.00328</v>
      </c>
      <c r="I75" s="19" t="str">
        <f>IFERROR(__xludf.DUMMYFUNCTION("""COMPUTED_VALUE"""),"-")</f>
        <v>-</v>
      </c>
      <c r="J75" s="19">
        <f>IFERROR(__xludf.DUMMYFUNCTION("""COMPUTED_VALUE"""),0.00197)</f>
        <v>0.00197</v>
      </c>
      <c r="K75" s="19">
        <f>IFERROR(__xludf.DUMMYFUNCTION("""COMPUTED_VALUE"""),0.03971)</f>
        <v>0.03971</v>
      </c>
      <c r="L75" s="19" t="str">
        <f>IFERROR(__xludf.DUMMYFUNCTION("""COMPUTED_VALUE"""),"-")</f>
        <v>-</v>
      </c>
      <c r="M75" s="19">
        <f>IFERROR(__xludf.DUMMYFUNCTION("""COMPUTED_VALUE"""),0.04003)</f>
        <v>0.04003</v>
      </c>
    </row>
    <row r="76">
      <c r="A76" s="12" t="s">
        <v>7066</v>
      </c>
      <c r="G76" s="19">
        <f>IFERROR(__xludf.DUMMYFUNCTION("SPLIT(A74, "" |"")"),72.0)</f>
        <v>72</v>
      </c>
      <c r="H76" s="19">
        <f>IFERROR(__xludf.DUMMYFUNCTION("""COMPUTED_VALUE"""),0.00219)</f>
        <v>0.00219</v>
      </c>
      <c r="I76" s="19" t="str">
        <f>IFERROR(__xludf.DUMMYFUNCTION("""COMPUTED_VALUE"""),"-")</f>
        <v>-</v>
      </c>
      <c r="J76" s="19">
        <f>IFERROR(__xludf.DUMMYFUNCTION("""COMPUTED_VALUE"""),0.00214)</f>
        <v>0.00214</v>
      </c>
      <c r="K76" s="19">
        <f>IFERROR(__xludf.DUMMYFUNCTION("""COMPUTED_VALUE"""),0.03703)</f>
        <v>0.03703</v>
      </c>
      <c r="L76" s="19" t="str">
        <f>IFERROR(__xludf.DUMMYFUNCTION("""COMPUTED_VALUE"""),"-")</f>
        <v>-</v>
      </c>
      <c r="M76" s="19">
        <f>IFERROR(__xludf.DUMMYFUNCTION("""COMPUTED_VALUE"""),0.04003)</f>
        <v>0.04003</v>
      </c>
    </row>
    <row r="77">
      <c r="A77" s="12" t="s">
        <v>7067</v>
      </c>
      <c r="G77" s="19">
        <f>IFERROR(__xludf.DUMMYFUNCTION("SPLIT(A75, "" |"")"),73.0)</f>
        <v>73</v>
      </c>
      <c r="H77" s="19">
        <f>IFERROR(__xludf.DUMMYFUNCTION("""COMPUTED_VALUE"""),0.00228)</f>
        <v>0.00228</v>
      </c>
      <c r="I77" s="19" t="str">
        <f>IFERROR(__xludf.DUMMYFUNCTION("""COMPUTED_VALUE"""),"-")</f>
        <v>-</v>
      </c>
      <c r="J77" s="19">
        <f>IFERROR(__xludf.DUMMYFUNCTION("""COMPUTED_VALUE"""),0.00194)</f>
        <v>0.00194</v>
      </c>
      <c r="K77" s="19">
        <f>IFERROR(__xludf.DUMMYFUNCTION("""COMPUTED_VALUE"""),0.03851)</f>
        <v>0.03851</v>
      </c>
      <c r="L77" s="19" t="str">
        <f>IFERROR(__xludf.DUMMYFUNCTION("""COMPUTED_VALUE"""),"-")</f>
        <v>-</v>
      </c>
      <c r="M77" s="19">
        <f>IFERROR(__xludf.DUMMYFUNCTION("""COMPUTED_VALUE"""),0.0398)</f>
        <v>0.0398</v>
      </c>
    </row>
    <row r="78">
      <c r="A78" s="12" t="s">
        <v>7068</v>
      </c>
      <c r="G78" s="19">
        <f>IFERROR(__xludf.DUMMYFUNCTION("SPLIT(A76, "" |"")"),74.0)</f>
        <v>74</v>
      </c>
      <c r="H78" s="19">
        <f>IFERROR(__xludf.DUMMYFUNCTION("""COMPUTED_VALUE"""),0.00217)</f>
        <v>0.00217</v>
      </c>
      <c r="I78" s="19" t="str">
        <f>IFERROR(__xludf.DUMMYFUNCTION("""COMPUTED_VALUE"""),"-")</f>
        <v>-</v>
      </c>
      <c r="J78" s="19">
        <f>IFERROR(__xludf.DUMMYFUNCTION("""COMPUTED_VALUE"""),0.00204)</f>
        <v>0.00204</v>
      </c>
      <c r="K78" s="19">
        <f>IFERROR(__xludf.DUMMYFUNCTION("""COMPUTED_VALUE"""),0.03879)</f>
        <v>0.03879</v>
      </c>
      <c r="L78" s="19" t="str">
        <f>IFERROR(__xludf.DUMMYFUNCTION("""COMPUTED_VALUE"""),"-")</f>
        <v>-</v>
      </c>
      <c r="M78" s="19">
        <f>IFERROR(__xludf.DUMMYFUNCTION("""COMPUTED_VALUE"""),0.04073)</f>
        <v>0.04073</v>
      </c>
    </row>
    <row r="79">
      <c r="A79" s="12" t="s">
        <v>7069</v>
      </c>
      <c r="G79" s="19">
        <f>IFERROR(__xludf.DUMMYFUNCTION("SPLIT(A77, "" |"")"),75.0)</f>
        <v>75</v>
      </c>
      <c r="H79" s="19">
        <f>IFERROR(__xludf.DUMMYFUNCTION("""COMPUTED_VALUE"""),0.00232)</f>
        <v>0.00232</v>
      </c>
      <c r="I79" s="19" t="str">
        <f>IFERROR(__xludf.DUMMYFUNCTION("""COMPUTED_VALUE"""),"-")</f>
        <v>-</v>
      </c>
      <c r="J79" s="19">
        <f>IFERROR(__xludf.DUMMYFUNCTION("""COMPUTED_VALUE"""),0.00209)</f>
        <v>0.00209</v>
      </c>
      <c r="K79" s="19">
        <f>IFERROR(__xludf.DUMMYFUNCTION("""COMPUTED_VALUE"""),0.039)</f>
        <v>0.039</v>
      </c>
      <c r="L79" s="19" t="str">
        <f>IFERROR(__xludf.DUMMYFUNCTION("""COMPUTED_VALUE"""),"-")</f>
        <v>-</v>
      </c>
      <c r="M79" s="19">
        <f>IFERROR(__xludf.DUMMYFUNCTION("""COMPUTED_VALUE"""),0.04058)</f>
        <v>0.04058</v>
      </c>
    </row>
    <row r="80">
      <c r="A80" s="12" t="s">
        <v>7070</v>
      </c>
      <c r="G80" s="19">
        <f>IFERROR(__xludf.DUMMYFUNCTION("SPLIT(A78, "" |"")"),76.0)</f>
        <v>76</v>
      </c>
      <c r="H80" s="19">
        <f>IFERROR(__xludf.DUMMYFUNCTION("""COMPUTED_VALUE"""),0.00218)</f>
        <v>0.00218</v>
      </c>
      <c r="I80" s="19" t="str">
        <f>IFERROR(__xludf.DUMMYFUNCTION("""COMPUTED_VALUE"""),"-")</f>
        <v>-</v>
      </c>
      <c r="J80" s="19">
        <f>IFERROR(__xludf.DUMMYFUNCTION("""COMPUTED_VALUE"""),0.00196)</f>
        <v>0.00196</v>
      </c>
      <c r="K80" s="19">
        <f>IFERROR(__xludf.DUMMYFUNCTION("""COMPUTED_VALUE"""),0.03768)</f>
        <v>0.03768</v>
      </c>
      <c r="L80" s="19" t="str">
        <f>IFERROR(__xludf.DUMMYFUNCTION("""COMPUTED_VALUE"""),"-")</f>
        <v>-</v>
      </c>
      <c r="M80" s="19">
        <f>IFERROR(__xludf.DUMMYFUNCTION("""COMPUTED_VALUE"""),0.04011)</f>
        <v>0.04011</v>
      </c>
    </row>
    <row r="81">
      <c r="A81" s="12" t="s">
        <v>7071</v>
      </c>
      <c r="G81" s="19">
        <f>IFERROR(__xludf.DUMMYFUNCTION("SPLIT(A79, "" |"")"),77.0)</f>
        <v>77</v>
      </c>
      <c r="H81" s="19">
        <f>IFERROR(__xludf.DUMMYFUNCTION("""COMPUTED_VALUE"""),0.00233)</f>
        <v>0.00233</v>
      </c>
      <c r="I81" s="19" t="str">
        <f>IFERROR(__xludf.DUMMYFUNCTION("""COMPUTED_VALUE"""),"-")</f>
        <v>-</v>
      </c>
      <c r="J81" s="19">
        <f>IFERROR(__xludf.DUMMYFUNCTION("""COMPUTED_VALUE"""),0.00201)</f>
        <v>0.00201</v>
      </c>
      <c r="K81" s="19">
        <f>IFERROR(__xludf.DUMMYFUNCTION("""COMPUTED_VALUE"""),0.04023)</f>
        <v>0.04023</v>
      </c>
      <c r="L81" s="19" t="str">
        <f>IFERROR(__xludf.DUMMYFUNCTION("""COMPUTED_VALUE"""),"-")</f>
        <v>-</v>
      </c>
      <c r="M81" s="19">
        <f>IFERROR(__xludf.DUMMYFUNCTION("""COMPUTED_VALUE"""),0.04016)</f>
        <v>0.04016</v>
      </c>
    </row>
    <row r="82">
      <c r="A82" s="12" t="s">
        <v>7072</v>
      </c>
      <c r="G82" s="19">
        <f>IFERROR(__xludf.DUMMYFUNCTION("SPLIT(A80, "" |"")"),78.0)</f>
        <v>78</v>
      </c>
      <c r="H82" s="19">
        <f>IFERROR(__xludf.DUMMYFUNCTION("""COMPUTED_VALUE"""),0.0023)</f>
        <v>0.0023</v>
      </c>
      <c r="I82" s="19" t="str">
        <f>IFERROR(__xludf.DUMMYFUNCTION("""COMPUTED_VALUE"""),"-")</f>
        <v>-</v>
      </c>
      <c r="J82" s="19">
        <f>IFERROR(__xludf.DUMMYFUNCTION("""COMPUTED_VALUE"""),0.00206)</f>
        <v>0.00206</v>
      </c>
      <c r="K82" s="19">
        <f>IFERROR(__xludf.DUMMYFUNCTION("""COMPUTED_VALUE"""),0.03743)</f>
        <v>0.03743</v>
      </c>
      <c r="L82" s="19" t="str">
        <f>IFERROR(__xludf.DUMMYFUNCTION("""COMPUTED_VALUE"""),"-")</f>
        <v>-</v>
      </c>
      <c r="M82" s="19">
        <f>IFERROR(__xludf.DUMMYFUNCTION("""COMPUTED_VALUE"""),0.04014)</f>
        <v>0.04014</v>
      </c>
    </row>
    <row r="83">
      <c r="A83" s="12" t="s">
        <v>7073</v>
      </c>
      <c r="G83" s="19">
        <f>IFERROR(__xludf.DUMMYFUNCTION("SPLIT(A81, "" |"")"),79.0)</f>
        <v>79</v>
      </c>
      <c r="H83" s="19">
        <f>IFERROR(__xludf.DUMMYFUNCTION("""COMPUTED_VALUE"""),0.00321)</f>
        <v>0.00321</v>
      </c>
      <c r="I83" s="19" t="str">
        <f>IFERROR(__xludf.DUMMYFUNCTION("""COMPUTED_VALUE"""),"-")</f>
        <v>-</v>
      </c>
      <c r="J83" s="19">
        <f>IFERROR(__xludf.DUMMYFUNCTION("""COMPUTED_VALUE"""),0.0022)</f>
        <v>0.0022</v>
      </c>
      <c r="K83" s="19">
        <f>IFERROR(__xludf.DUMMYFUNCTION("""COMPUTED_VALUE"""),0.03744)</f>
        <v>0.03744</v>
      </c>
      <c r="L83" s="19" t="str">
        <f>IFERROR(__xludf.DUMMYFUNCTION("""COMPUTED_VALUE"""),"-")</f>
        <v>-</v>
      </c>
      <c r="M83" s="19">
        <f>IFERROR(__xludf.DUMMYFUNCTION("""COMPUTED_VALUE"""),0.04009)</f>
        <v>0.04009</v>
      </c>
    </row>
    <row r="84">
      <c r="A84" s="12" t="s">
        <v>7074</v>
      </c>
      <c r="G84" s="19">
        <f>IFERROR(__xludf.DUMMYFUNCTION("SPLIT(A82, "" |"")"),80.0)</f>
        <v>80</v>
      </c>
      <c r="H84" s="19">
        <f>IFERROR(__xludf.DUMMYFUNCTION("""COMPUTED_VALUE"""),0.00225)</f>
        <v>0.00225</v>
      </c>
      <c r="I84" s="19" t="str">
        <f>IFERROR(__xludf.DUMMYFUNCTION("""COMPUTED_VALUE"""),"-")</f>
        <v>-</v>
      </c>
      <c r="J84" s="19">
        <f>IFERROR(__xludf.DUMMYFUNCTION("""COMPUTED_VALUE"""),0.00225)</f>
        <v>0.00225</v>
      </c>
      <c r="K84" s="19">
        <f>IFERROR(__xludf.DUMMYFUNCTION("""COMPUTED_VALUE"""),0.03857)</f>
        <v>0.03857</v>
      </c>
      <c r="L84" s="19" t="str">
        <f>IFERROR(__xludf.DUMMYFUNCTION("""COMPUTED_VALUE"""),"-")</f>
        <v>-</v>
      </c>
      <c r="M84" s="19">
        <f>IFERROR(__xludf.DUMMYFUNCTION("""COMPUTED_VALUE"""),0.04007)</f>
        <v>0.04007</v>
      </c>
    </row>
    <row r="85">
      <c r="A85" s="12" t="s">
        <v>7075</v>
      </c>
      <c r="G85" s="19">
        <f>IFERROR(__xludf.DUMMYFUNCTION("SPLIT(A83, "" |"")"),81.0)</f>
        <v>81</v>
      </c>
      <c r="H85" s="19">
        <f>IFERROR(__xludf.DUMMYFUNCTION("""COMPUTED_VALUE"""),0.0025)</f>
        <v>0.0025</v>
      </c>
      <c r="I85" s="19" t="str">
        <f>IFERROR(__xludf.DUMMYFUNCTION("""COMPUTED_VALUE"""),"-")</f>
        <v>-</v>
      </c>
      <c r="J85" s="19">
        <f>IFERROR(__xludf.DUMMYFUNCTION("""COMPUTED_VALUE"""),0.00211)</f>
        <v>0.00211</v>
      </c>
      <c r="K85" s="19">
        <f>IFERROR(__xludf.DUMMYFUNCTION("""COMPUTED_VALUE"""),0.039)</f>
        <v>0.039</v>
      </c>
      <c r="L85" s="19" t="str">
        <f>IFERROR(__xludf.DUMMYFUNCTION("""COMPUTED_VALUE"""),"-")</f>
        <v>-</v>
      </c>
      <c r="M85" s="19">
        <f>IFERROR(__xludf.DUMMYFUNCTION("""COMPUTED_VALUE"""),0.03853)</f>
        <v>0.03853</v>
      </c>
    </row>
    <row r="86">
      <c r="A86" s="12" t="s">
        <v>7076</v>
      </c>
      <c r="G86" s="19">
        <f>IFERROR(__xludf.DUMMYFUNCTION("SPLIT(A84, "" |"")"),82.0)</f>
        <v>82</v>
      </c>
      <c r="H86" s="19">
        <f>IFERROR(__xludf.DUMMYFUNCTION("""COMPUTED_VALUE"""),0.00213)</f>
        <v>0.00213</v>
      </c>
      <c r="I86" s="19" t="str">
        <f>IFERROR(__xludf.DUMMYFUNCTION("""COMPUTED_VALUE"""),"-")</f>
        <v>-</v>
      </c>
      <c r="J86" s="19">
        <f>IFERROR(__xludf.DUMMYFUNCTION("""COMPUTED_VALUE"""),0.00205)</f>
        <v>0.00205</v>
      </c>
      <c r="K86" s="19">
        <f>IFERROR(__xludf.DUMMYFUNCTION("""COMPUTED_VALUE"""),0.04029)</f>
        <v>0.04029</v>
      </c>
      <c r="L86" s="19" t="str">
        <f>IFERROR(__xludf.DUMMYFUNCTION("""COMPUTED_VALUE"""),"-")</f>
        <v>-</v>
      </c>
      <c r="M86" s="19">
        <f>IFERROR(__xludf.DUMMYFUNCTION("""COMPUTED_VALUE"""),0.03853)</f>
        <v>0.03853</v>
      </c>
    </row>
    <row r="87">
      <c r="A87" s="12" t="s">
        <v>7077</v>
      </c>
      <c r="G87" s="19">
        <f>IFERROR(__xludf.DUMMYFUNCTION("SPLIT(A85, "" |"")"),83.0)</f>
        <v>83</v>
      </c>
      <c r="H87" s="19">
        <f>IFERROR(__xludf.DUMMYFUNCTION("""COMPUTED_VALUE"""),0.00227)</f>
        <v>0.00227</v>
      </c>
      <c r="I87" s="19" t="str">
        <f>IFERROR(__xludf.DUMMYFUNCTION("""COMPUTED_VALUE"""),"-")</f>
        <v>-</v>
      </c>
      <c r="J87" s="19">
        <f>IFERROR(__xludf.DUMMYFUNCTION("""COMPUTED_VALUE"""),0.00196)</f>
        <v>0.00196</v>
      </c>
      <c r="K87" s="19">
        <f>IFERROR(__xludf.DUMMYFUNCTION("""COMPUTED_VALUE"""),0.03968)</f>
        <v>0.03968</v>
      </c>
      <c r="L87" s="19" t="str">
        <f>IFERROR(__xludf.DUMMYFUNCTION("""COMPUTED_VALUE"""),"-")</f>
        <v>-</v>
      </c>
      <c r="M87" s="19">
        <f>IFERROR(__xludf.DUMMYFUNCTION("""COMPUTED_VALUE"""),0.03796)</f>
        <v>0.03796</v>
      </c>
    </row>
    <row r="88">
      <c r="A88" s="12" t="s">
        <v>7078</v>
      </c>
      <c r="G88" s="19">
        <f>IFERROR(__xludf.DUMMYFUNCTION("SPLIT(A86, "" |"")"),84.0)</f>
        <v>84</v>
      </c>
      <c r="H88" s="19">
        <f>IFERROR(__xludf.DUMMYFUNCTION("""COMPUTED_VALUE"""),0.00213)</f>
        <v>0.00213</v>
      </c>
      <c r="I88" s="19" t="str">
        <f>IFERROR(__xludf.DUMMYFUNCTION("""COMPUTED_VALUE"""),"-")</f>
        <v>-</v>
      </c>
      <c r="J88" s="19">
        <f>IFERROR(__xludf.DUMMYFUNCTION("""COMPUTED_VALUE"""),0.00225)</f>
        <v>0.00225</v>
      </c>
      <c r="K88" s="19">
        <f>IFERROR(__xludf.DUMMYFUNCTION("""COMPUTED_VALUE"""),0.04001)</f>
        <v>0.04001</v>
      </c>
      <c r="L88" s="19" t="str">
        <f>IFERROR(__xludf.DUMMYFUNCTION("""COMPUTED_VALUE"""),"-")</f>
        <v>-</v>
      </c>
      <c r="M88" s="19">
        <f>IFERROR(__xludf.DUMMYFUNCTION("""COMPUTED_VALUE"""),0.04025)</f>
        <v>0.04025</v>
      </c>
    </row>
    <row r="89">
      <c r="A89" s="12" t="s">
        <v>7079</v>
      </c>
      <c r="G89" s="19">
        <f>IFERROR(__xludf.DUMMYFUNCTION("SPLIT(A87, "" |"")"),85.0)</f>
        <v>85</v>
      </c>
      <c r="H89" s="19">
        <f>IFERROR(__xludf.DUMMYFUNCTION("""COMPUTED_VALUE"""),0.00216)</f>
        <v>0.00216</v>
      </c>
      <c r="I89" s="19" t="str">
        <f>IFERROR(__xludf.DUMMYFUNCTION("""COMPUTED_VALUE"""),"-")</f>
        <v>-</v>
      </c>
      <c r="J89" s="19">
        <f>IFERROR(__xludf.DUMMYFUNCTION("""COMPUTED_VALUE"""),0.00201)</f>
        <v>0.00201</v>
      </c>
      <c r="K89" s="19">
        <f>IFERROR(__xludf.DUMMYFUNCTION("""COMPUTED_VALUE"""),0.03702)</f>
        <v>0.03702</v>
      </c>
      <c r="L89" s="19" t="str">
        <f>IFERROR(__xludf.DUMMYFUNCTION("""COMPUTED_VALUE"""),"-")</f>
        <v>-</v>
      </c>
      <c r="M89" s="19">
        <f>IFERROR(__xludf.DUMMYFUNCTION("""COMPUTED_VALUE"""),0.03669)</f>
        <v>0.03669</v>
      </c>
    </row>
    <row r="90">
      <c r="A90" s="12" t="s">
        <v>7080</v>
      </c>
      <c r="G90" s="19">
        <f>IFERROR(__xludf.DUMMYFUNCTION("SPLIT(A88, "" |"")"),86.0)</f>
        <v>86</v>
      </c>
      <c r="H90" s="19">
        <f>IFERROR(__xludf.DUMMYFUNCTION("""COMPUTED_VALUE"""),0.00217)</f>
        <v>0.00217</v>
      </c>
      <c r="I90" s="19" t="str">
        <f>IFERROR(__xludf.DUMMYFUNCTION("""COMPUTED_VALUE"""),"-")</f>
        <v>-</v>
      </c>
      <c r="J90" s="19">
        <f>IFERROR(__xludf.DUMMYFUNCTION("""COMPUTED_VALUE"""),0.00203)</f>
        <v>0.00203</v>
      </c>
      <c r="K90" s="19">
        <f>IFERROR(__xludf.DUMMYFUNCTION("""COMPUTED_VALUE"""),0.03721)</f>
        <v>0.03721</v>
      </c>
      <c r="L90" s="19" t="str">
        <f>IFERROR(__xludf.DUMMYFUNCTION("""COMPUTED_VALUE"""),"-")</f>
        <v>-</v>
      </c>
      <c r="M90" s="19">
        <f>IFERROR(__xludf.DUMMYFUNCTION("""COMPUTED_VALUE"""),0.03853)</f>
        <v>0.03853</v>
      </c>
    </row>
    <row r="91">
      <c r="A91" s="12" t="s">
        <v>7081</v>
      </c>
      <c r="G91" s="19">
        <f>IFERROR(__xludf.DUMMYFUNCTION("SPLIT(A89, "" |"")"),87.0)</f>
        <v>87</v>
      </c>
      <c r="H91" s="19">
        <f>IFERROR(__xludf.DUMMYFUNCTION("""COMPUTED_VALUE"""),0.00234)</f>
        <v>0.00234</v>
      </c>
      <c r="I91" s="19" t="str">
        <f>IFERROR(__xludf.DUMMYFUNCTION("""COMPUTED_VALUE"""),"-")</f>
        <v>-</v>
      </c>
      <c r="J91" s="19">
        <f>IFERROR(__xludf.DUMMYFUNCTION("""COMPUTED_VALUE"""),0.0022)</f>
        <v>0.0022</v>
      </c>
      <c r="K91" s="19">
        <f>IFERROR(__xludf.DUMMYFUNCTION("""COMPUTED_VALUE"""),0.03997)</f>
        <v>0.03997</v>
      </c>
      <c r="L91" s="19" t="str">
        <f>IFERROR(__xludf.DUMMYFUNCTION("""COMPUTED_VALUE"""),"-")</f>
        <v>-</v>
      </c>
      <c r="M91" s="19">
        <f>IFERROR(__xludf.DUMMYFUNCTION("""COMPUTED_VALUE"""),0.04009)</f>
        <v>0.04009</v>
      </c>
    </row>
    <row r="92">
      <c r="A92" s="12" t="s">
        <v>7082</v>
      </c>
      <c r="G92" s="19">
        <f>IFERROR(__xludf.DUMMYFUNCTION("SPLIT(A90, "" |"")"),88.0)</f>
        <v>88</v>
      </c>
      <c r="H92" s="19">
        <f>IFERROR(__xludf.DUMMYFUNCTION("""COMPUTED_VALUE"""),0.00223)</f>
        <v>0.00223</v>
      </c>
      <c r="I92" s="19" t="str">
        <f>IFERROR(__xludf.DUMMYFUNCTION("""COMPUTED_VALUE"""),"-")</f>
        <v>-</v>
      </c>
      <c r="J92" s="19">
        <f>IFERROR(__xludf.DUMMYFUNCTION("""COMPUTED_VALUE"""),0.00199)</f>
        <v>0.00199</v>
      </c>
      <c r="K92" s="19">
        <f>IFERROR(__xludf.DUMMYFUNCTION("""COMPUTED_VALUE"""),0.0395)</f>
        <v>0.0395</v>
      </c>
      <c r="L92" s="19" t="str">
        <f>IFERROR(__xludf.DUMMYFUNCTION("""COMPUTED_VALUE"""),"-")</f>
        <v>-</v>
      </c>
      <c r="M92" s="19">
        <f>IFERROR(__xludf.DUMMYFUNCTION("""COMPUTED_VALUE"""),0.04023)</f>
        <v>0.04023</v>
      </c>
    </row>
    <row r="93">
      <c r="A93" s="12" t="s">
        <v>7083</v>
      </c>
      <c r="G93" s="19">
        <f>IFERROR(__xludf.DUMMYFUNCTION("SPLIT(A91, "" |"")"),89.0)</f>
        <v>89</v>
      </c>
      <c r="H93" s="19">
        <f>IFERROR(__xludf.DUMMYFUNCTION("""COMPUTED_VALUE"""),0.00248)</f>
        <v>0.00248</v>
      </c>
      <c r="I93" s="19" t="str">
        <f>IFERROR(__xludf.DUMMYFUNCTION("""COMPUTED_VALUE"""),"-")</f>
        <v>-</v>
      </c>
      <c r="J93" s="19">
        <f>IFERROR(__xludf.DUMMYFUNCTION("""COMPUTED_VALUE"""),0.0022)</f>
        <v>0.0022</v>
      </c>
      <c r="K93" s="19">
        <f>IFERROR(__xludf.DUMMYFUNCTION("""COMPUTED_VALUE"""),0.03797)</f>
        <v>0.03797</v>
      </c>
      <c r="L93" s="19" t="str">
        <f>IFERROR(__xludf.DUMMYFUNCTION("""COMPUTED_VALUE"""),"-")</f>
        <v>-</v>
      </c>
      <c r="M93" s="19">
        <f>IFERROR(__xludf.DUMMYFUNCTION("""COMPUTED_VALUE"""),0.0401)</f>
        <v>0.0401</v>
      </c>
    </row>
    <row r="94">
      <c r="A94" s="12" t="s">
        <v>7084</v>
      </c>
      <c r="G94" s="19">
        <f>IFERROR(__xludf.DUMMYFUNCTION("SPLIT(A92, "" |"")"),90.0)</f>
        <v>90</v>
      </c>
      <c r="H94" s="19">
        <f>IFERROR(__xludf.DUMMYFUNCTION("""COMPUTED_VALUE"""),0.0023)</f>
        <v>0.0023</v>
      </c>
      <c r="I94" s="19" t="str">
        <f>IFERROR(__xludf.DUMMYFUNCTION("""COMPUTED_VALUE"""),"-")</f>
        <v>-</v>
      </c>
      <c r="J94" s="19">
        <f>IFERROR(__xludf.DUMMYFUNCTION("""COMPUTED_VALUE"""),0.00232)</f>
        <v>0.00232</v>
      </c>
      <c r="K94" s="19">
        <f>IFERROR(__xludf.DUMMYFUNCTION("""COMPUTED_VALUE"""),0.07489)</f>
        <v>0.07489</v>
      </c>
      <c r="L94" s="19" t="str">
        <f>IFERROR(__xludf.DUMMYFUNCTION("""COMPUTED_VALUE"""),"-")</f>
        <v>-</v>
      </c>
      <c r="M94" s="19">
        <f>IFERROR(__xludf.DUMMYFUNCTION("""COMPUTED_VALUE"""),0.03816)</f>
        <v>0.03816</v>
      </c>
    </row>
    <row r="95">
      <c r="A95" s="12" t="s">
        <v>7085</v>
      </c>
      <c r="G95" s="19">
        <f>IFERROR(__xludf.DUMMYFUNCTION("SPLIT(A93, "" |"")"),91.0)</f>
        <v>91</v>
      </c>
      <c r="H95" s="19">
        <f>IFERROR(__xludf.DUMMYFUNCTION("""COMPUTED_VALUE"""),0.00228)</f>
        <v>0.00228</v>
      </c>
      <c r="I95" s="19" t="str">
        <f>IFERROR(__xludf.DUMMYFUNCTION("""COMPUTED_VALUE"""),"-")</f>
        <v>-</v>
      </c>
      <c r="J95" s="19">
        <f>IFERROR(__xludf.DUMMYFUNCTION("""COMPUTED_VALUE"""),0.00194)</f>
        <v>0.00194</v>
      </c>
      <c r="K95" s="19">
        <f>IFERROR(__xludf.DUMMYFUNCTION("""COMPUTED_VALUE"""),0.03741)</f>
        <v>0.03741</v>
      </c>
      <c r="L95" s="19" t="str">
        <f>IFERROR(__xludf.DUMMYFUNCTION("""COMPUTED_VALUE"""),"-")</f>
        <v>-</v>
      </c>
      <c r="M95" s="19">
        <f>IFERROR(__xludf.DUMMYFUNCTION("""COMPUTED_VALUE"""),0.03971)</f>
        <v>0.03971</v>
      </c>
    </row>
    <row r="96">
      <c r="A96" s="12" t="s">
        <v>7086</v>
      </c>
      <c r="G96" s="19">
        <f>IFERROR(__xludf.DUMMYFUNCTION("SPLIT(A94, "" |"")"),92.0)</f>
        <v>92</v>
      </c>
      <c r="H96" s="19">
        <f>IFERROR(__xludf.DUMMYFUNCTION("""COMPUTED_VALUE"""),0.00225)</f>
        <v>0.00225</v>
      </c>
      <c r="I96" s="19" t="str">
        <f>IFERROR(__xludf.DUMMYFUNCTION("""COMPUTED_VALUE"""),"-")</f>
        <v>-</v>
      </c>
      <c r="J96" s="19">
        <f>IFERROR(__xludf.DUMMYFUNCTION("""COMPUTED_VALUE"""),0.00208)</f>
        <v>0.00208</v>
      </c>
      <c r="K96" s="19">
        <f>IFERROR(__xludf.DUMMYFUNCTION("""COMPUTED_VALUE"""),0.03976)</f>
        <v>0.03976</v>
      </c>
      <c r="L96" s="19" t="str">
        <f>IFERROR(__xludf.DUMMYFUNCTION("""COMPUTED_VALUE"""),"-")</f>
        <v>-</v>
      </c>
      <c r="M96" s="19">
        <f>IFERROR(__xludf.DUMMYFUNCTION("""COMPUTED_VALUE"""),0.04039)</f>
        <v>0.04039</v>
      </c>
    </row>
    <row r="97">
      <c r="A97" s="12" t="s">
        <v>7087</v>
      </c>
      <c r="G97" s="19">
        <f>IFERROR(__xludf.DUMMYFUNCTION("SPLIT(A95, "" |"")"),93.0)</f>
        <v>93</v>
      </c>
      <c r="H97" s="19">
        <f>IFERROR(__xludf.DUMMYFUNCTION("""COMPUTED_VALUE"""),0.00219)</f>
        <v>0.00219</v>
      </c>
      <c r="I97" s="19" t="str">
        <f>IFERROR(__xludf.DUMMYFUNCTION("""COMPUTED_VALUE"""),"-")</f>
        <v>-</v>
      </c>
      <c r="J97" s="19">
        <f>IFERROR(__xludf.DUMMYFUNCTION("""COMPUTED_VALUE"""),0.00201)</f>
        <v>0.00201</v>
      </c>
      <c r="K97" s="19">
        <f>IFERROR(__xludf.DUMMYFUNCTION("""COMPUTED_VALUE"""),0.03977)</f>
        <v>0.03977</v>
      </c>
      <c r="L97" s="19" t="str">
        <f>IFERROR(__xludf.DUMMYFUNCTION("""COMPUTED_VALUE"""),"-")</f>
        <v>-</v>
      </c>
      <c r="M97" s="19">
        <f>IFERROR(__xludf.DUMMYFUNCTION("""COMPUTED_VALUE"""),0.04001)</f>
        <v>0.04001</v>
      </c>
    </row>
    <row r="98">
      <c r="A98" s="12" t="s">
        <v>7088</v>
      </c>
      <c r="G98" s="19">
        <f>IFERROR(__xludf.DUMMYFUNCTION("SPLIT(A96, "" |"")"),94.0)</f>
        <v>94</v>
      </c>
      <c r="H98" s="19">
        <f>IFERROR(__xludf.DUMMYFUNCTION("""COMPUTED_VALUE"""),0.00248)</f>
        <v>0.00248</v>
      </c>
      <c r="I98" s="19" t="str">
        <f>IFERROR(__xludf.DUMMYFUNCTION("""COMPUTED_VALUE"""),"-")</f>
        <v>-</v>
      </c>
      <c r="J98" s="19">
        <f>IFERROR(__xludf.DUMMYFUNCTION("""COMPUTED_VALUE"""),0.00285)</f>
        <v>0.00285</v>
      </c>
      <c r="K98" s="19">
        <f>IFERROR(__xludf.DUMMYFUNCTION("""COMPUTED_VALUE"""),0.03608)</f>
        <v>0.03608</v>
      </c>
      <c r="L98" s="19" t="str">
        <f>IFERROR(__xludf.DUMMYFUNCTION("""COMPUTED_VALUE"""),"-")</f>
        <v>-</v>
      </c>
      <c r="M98" s="19">
        <f>IFERROR(__xludf.DUMMYFUNCTION("""COMPUTED_VALUE"""),0.03843)</f>
        <v>0.03843</v>
      </c>
    </row>
    <row r="99">
      <c r="A99" s="12" t="s">
        <v>7089</v>
      </c>
      <c r="G99" s="19">
        <f>IFERROR(__xludf.DUMMYFUNCTION("SPLIT(A97, "" |"")"),95.0)</f>
        <v>95</v>
      </c>
      <c r="H99" s="19">
        <f>IFERROR(__xludf.DUMMYFUNCTION("""COMPUTED_VALUE"""),0.00248)</f>
        <v>0.00248</v>
      </c>
      <c r="I99" s="19" t="str">
        <f>IFERROR(__xludf.DUMMYFUNCTION("""COMPUTED_VALUE"""),"-")</f>
        <v>-</v>
      </c>
      <c r="J99" s="19">
        <f>IFERROR(__xludf.DUMMYFUNCTION("""COMPUTED_VALUE"""),0.00214)</f>
        <v>0.00214</v>
      </c>
      <c r="K99" s="19">
        <f>IFERROR(__xludf.DUMMYFUNCTION("""COMPUTED_VALUE"""),0.03993)</f>
        <v>0.03993</v>
      </c>
      <c r="L99" s="19" t="str">
        <f>IFERROR(__xludf.DUMMYFUNCTION("""COMPUTED_VALUE"""),"-")</f>
        <v>-</v>
      </c>
      <c r="M99" s="19">
        <f>IFERROR(__xludf.DUMMYFUNCTION("""COMPUTED_VALUE"""),0.03918)</f>
        <v>0.03918</v>
      </c>
    </row>
    <row r="100">
      <c r="A100" s="12" t="s">
        <v>7090</v>
      </c>
      <c r="G100" s="19">
        <f>IFERROR(__xludf.DUMMYFUNCTION("SPLIT(A98, "" |"")"),96.0)</f>
        <v>96</v>
      </c>
      <c r="H100" s="19">
        <f>IFERROR(__xludf.DUMMYFUNCTION("""COMPUTED_VALUE"""),0.00245)</f>
        <v>0.00245</v>
      </c>
      <c r="I100" s="19" t="str">
        <f>IFERROR(__xludf.DUMMYFUNCTION("""COMPUTED_VALUE"""),"-")</f>
        <v>-</v>
      </c>
      <c r="J100" s="19">
        <f>IFERROR(__xludf.DUMMYFUNCTION("""COMPUTED_VALUE"""),0.00217)</f>
        <v>0.00217</v>
      </c>
      <c r="K100" s="19">
        <f>IFERROR(__xludf.DUMMYFUNCTION("""COMPUTED_VALUE"""),0.03907)</f>
        <v>0.03907</v>
      </c>
      <c r="L100" s="19" t="str">
        <f>IFERROR(__xludf.DUMMYFUNCTION("""COMPUTED_VALUE"""),"-")</f>
        <v>-</v>
      </c>
      <c r="M100" s="19">
        <f>IFERROR(__xludf.DUMMYFUNCTION("""COMPUTED_VALUE"""),0.04047)</f>
        <v>0.04047</v>
      </c>
    </row>
    <row r="101">
      <c r="A101" s="12" t="s">
        <v>7091</v>
      </c>
      <c r="G101" s="19">
        <f>IFERROR(__xludf.DUMMYFUNCTION("SPLIT(A99, "" |"")"),97.0)</f>
        <v>97</v>
      </c>
      <c r="H101" s="19">
        <f>IFERROR(__xludf.DUMMYFUNCTION("""COMPUTED_VALUE"""),0.00228)</f>
        <v>0.00228</v>
      </c>
      <c r="I101" s="19" t="str">
        <f>IFERROR(__xludf.DUMMYFUNCTION("""COMPUTED_VALUE"""),"-")</f>
        <v>-</v>
      </c>
      <c r="J101" s="19">
        <f>IFERROR(__xludf.DUMMYFUNCTION("""COMPUTED_VALUE"""),0.00219)</f>
        <v>0.00219</v>
      </c>
      <c r="K101" s="19">
        <f>IFERROR(__xludf.DUMMYFUNCTION("""COMPUTED_VALUE"""),0.04059)</f>
        <v>0.04059</v>
      </c>
      <c r="L101" s="19" t="str">
        <f>IFERROR(__xludf.DUMMYFUNCTION("""COMPUTED_VALUE"""),"-")</f>
        <v>-</v>
      </c>
      <c r="M101" s="19">
        <f>IFERROR(__xludf.DUMMYFUNCTION("""COMPUTED_VALUE"""),0.04)</f>
        <v>0.04</v>
      </c>
    </row>
    <row r="102">
      <c r="A102" s="12" t="s">
        <v>7092</v>
      </c>
      <c r="G102" s="19">
        <f>IFERROR(__xludf.DUMMYFUNCTION("SPLIT(A100, "" |"")"),98.0)</f>
        <v>98</v>
      </c>
      <c r="H102" s="19">
        <f>IFERROR(__xludf.DUMMYFUNCTION("""COMPUTED_VALUE"""),0.00231)</f>
        <v>0.00231</v>
      </c>
      <c r="I102" s="19" t="str">
        <f>IFERROR(__xludf.DUMMYFUNCTION("""COMPUTED_VALUE"""),"-")</f>
        <v>-</v>
      </c>
      <c r="J102" s="19">
        <f>IFERROR(__xludf.DUMMYFUNCTION("""COMPUTED_VALUE"""),0.00226)</f>
        <v>0.00226</v>
      </c>
      <c r="K102" s="19">
        <f>IFERROR(__xludf.DUMMYFUNCTION("""COMPUTED_VALUE"""),0.036)</f>
        <v>0.036</v>
      </c>
      <c r="L102" s="19" t="str">
        <f>IFERROR(__xludf.DUMMYFUNCTION("""COMPUTED_VALUE"""),"-")</f>
        <v>-</v>
      </c>
      <c r="M102" s="19">
        <f>IFERROR(__xludf.DUMMYFUNCTION("""COMPUTED_VALUE"""),0.03941)</f>
        <v>0.03941</v>
      </c>
    </row>
    <row r="103">
      <c r="A103" s="12" t="s">
        <v>7093</v>
      </c>
      <c r="G103" s="19">
        <f>IFERROR(__xludf.DUMMYFUNCTION("SPLIT(A101, "" |"")"),99.0)</f>
        <v>99</v>
      </c>
      <c r="H103" s="19">
        <f>IFERROR(__xludf.DUMMYFUNCTION("""COMPUTED_VALUE"""),0.00217)</f>
        <v>0.00217</v>
      </c>
      <c r="I103" s="19" t="str">
        <f>IFERROR(__xludf.DUMMYFUNCTION("""COMPUTED_VALUE"""),"-")</f>
        <v>-</v>
      </c>
      <c r="J103" s="19">
        <f>IFERROR(__xludf.DUMMYFUNCTION("""COMPUTED_VALUE"""),0.00188)</f>
        <v>0.00188</v>
      </c>
      <c r="K103" s="19">
        <f>IFERROR(__xludf.DUMMYFUNCTION("""COMPUTED_VALUE"""),0.03764)</f>
        <v>0.03764</v>
      </c>
      <c r="L103" s="19" t="str">
        <f>IFERROR(__xludf.DUMMYFUNCTION("""COMPUTED_VALUE"""),"-")</f>
        <v>-</v>
      </c>
      <c r="M103" s="19">
        <f>IFERROR(__xludf.DUMMYFUNCTION("""COMPUTED_VALUE"""),0.03591)</f>
        <v>0.03591</v>
      </c>
    </row>
    <row r="104">
      <c r="A104" s="12" t="s">
        <v>7094</v>
      </c>
      <c r="G104" s="19">
        <f>IFERROR(__xludf.DUMMYFUNCTION("SPLIT(A102, "" |"")"),100.0)</f>
        <v>100</v>
      </c>
      <c r="H104" s="19">
        <f>IFERROR(__xludf.DUMMYFUNCTION("""COMPUTED_VALUE"""),0.00226)</f>
        <v>0.00226</v>
      </c>
      <c r="I104" s="19" t="str">
        <f>IFERROR(__xludf.DUMMYFUNCTION("""COMPUTED_VALUE"""),"-")</f>
        <v>-</v>
      </c>
      <c r="J104" s="19">
        <f>IFERROR(__xludf.DUMMYFUNCTION("""COMPUTED_VALUE"""),0.00227)</f>
        <v>0.00227</v>
      </c>
      <c r="K104" s="19">
        <f>IFERROR(__xludf.DUMMYFUNCTION("""COMPUTED_VALUE"""),0.03735)</f>
        <v>0.03735</v>
      </c>
      <c r="L104" s="19" t="str">
        <f>IFERROR(__xludf.DUMMYFUNCTION("""COMPUTED_VALUE"""),"-")</f>
        <v>-</v>
      </c>
      <c r="M104" s="19">
        <f>IFERROR(__xludf.DUMMYFUNCTION("""COMPUTED_VALUE"""),0.03664)</f>
        <v>0.03664</v>
      </c>
    </row>
    <row r="105">
      <c r="A105" s="12" t="s">
        <v>7095</v>
      </c>
      <c r="G105" s="19">
        <f>IFERROR(__xludf.DUMMYFUNCTION("SPLIT(A103, "" |"")"),101.0)</f>
        <v>101</v>
      </c>
      <c r="H105" s="19">
        <f>IFERROR(__xludf.DUMMYFUNCTION("""COMPUTED_VALUE"""),0.00232)</f>
        <v>0.00232</v>
      </c>
      <c r="I105" s="19" t="str">
        <f>IFERROR(__xludf.DUMMYFUNCTION("""COMPUTED_VALUE"""),"-")</f>
        <v>-</v>
      </c>
      <c r="J105" s="19">
        <f>IFERROR(__xludf.DUMMYFUNCTION("""COMPUTED_VALUE"""),0.00172)</f>
        <v>0.00172</v>
      </c>
      <c r="K105" s="19">
        <f>IFERROR(__xludf.DUMMYFUNCTION("""COMPUTED_VALUE"""),0.03983)</f>
        <v>0.03983</v>
      </c>
      <c r="L105" s="19" t="str">
        <f>IFERROR(__xludf.DUMMYFUNCTION("""COMPUTED_VALUE"""),"-")</f>
        <v>-</v>
      </c>
      <c r="M105" s="19">
        <f>IFERROR(__xludf.DUMMYFUNCTION("""COMPUTED_VALUE"""),0.04898)</f>
        <v>0.04898</v>
      </c>
    </row>
    <row r="106">
      <c r="A106" s="12" t="s">
        <v>7096</v>
      </c>
      <c r="G106" s="19">
        <f>IFERROR(__xludf.DUMMYFUNCTION("SPLIT(A104, "" |"")"),102.0)</f>
        <v>102</v>
      </c>
      <c r="H106" s="19">
        <f>IFERROR(__xludf.DUMMYFUNCTION("""COMPUTED_VALUE"""),0.00232)</f>
        <v>0.00232</v>
      </c>
      <c r="I106" s="19" t="str">
        <f>IFERROR(__xludf.DUMMYFUNCTION("""COMPUTED_VALUE"""),"-")</f>
        <v>-</v>
      </c>
      <c r="J106" s="19">
        <f>IFERROR(__xludf.DUMMYFUNCTION("""COMPUTED_VALUE"""),0.00211)</f>
        <v>0.00211</v>
      </c>
      <c r="K106" s="19">
        <f>IFERROR(__xludf.DUMMYFUNCTION("""COMPUTED_VALUE"""),0.0401)</f>
        <v>0.0401</v>
      </c>
      <c r="L106" s="19" t="str">
        <f>IFERROR(__xludf.DUMMYFUNCTION("""COMPUTED_VALUE"""),"-")</f>
        <v>-</v>
      </c>
      <c r="M106" s="19">
        <f>IFERROR(__xludf.DUMMYFUNCTION("""COMPUTED_VALUE"""),0.03992)</f>
        <v>0.03992</v>
      </c>
    </row>
    <row r="107">
      <c r="A107" s="12" t="s">
        <v>7097</v>
      </c>
      <c r="G107" s="19">
        <f>IFERROR(__xludf.DUMMYFUNCTION("SPLIT(A105, "" |"")"),103.0)</f>
        <v>103</v>
      </c>
      <c r="H107" s="19">
        <f>IFERROR(__xludf.DUMMYFUNCTION("""COMPUTED_VALUE"""),0.00236)</f>
        <v>0.00236</v>
      </c>
      <c r="I107" s="19" t="str">
        <f>IFERROR(__xludf.DUMMYFUNCTION("""COMPUTED_VALUE"""),"-")</f>
        <v>-</v>
      </c>
      <c r="J107" s="19">
        <f>IFERROR(__xludf.DUMMYFUNCTION("""COMPUTED_VALUE"""),0.00204)</f>
        <v>0.00204</v>
      </c>
      <c r="K107" s="19">
        <f>IFERROR(__xludf.DUMMYFUNCTION("""COMPUTED_VALUE"""),0.0404)</f>
        <v>0.0404</v>
      </c>
      <c r="L107" s="19" t="str">
        <f>IFERROR(__xludf.DUMMYFUNCTION("""COMPUTED_VALUE"""),"-")</f>
        <v>-</v>
      </c>
      <c r="M107" s="19">
        <f>IFERROR(__xludf.DUMMYFUNCTION("""COMPUTED_VALUE"""),0.04026)</f>
        <v>0.04026</v>
      </c>
    </row>
    <row r="108">
      <c r="A108" s="12" t="s">
        <v>7098</v>
      </c>
      <c r="G108" s="19">
        <f>IFERROR(__xludf.DUMMYFUNCTION("SPLIT(A106, "" |"")"),104.0)</f>
        <v>104</v>
      </c>
      <c r="H108" s="19">
        <f>IFERROR(__xludf.DUMMYFUNCTION("""COMPUTED_VALUE"""),0.00216)</f>
        <v>0.00216</v>
      </c>
      <c r="I108" s="19" t="str">
        <f>IFERROR(__xludf.DUMMYFUNCTION("""COMPUTED_VALUE"""),"-")</f>
        <v>-</v>
      </c>
      <c r="J108" s="19">
        <f>IFERROR(__xludf.DUMMYFUNCTION("""COMPUTED_VALUE"""),0.00249)</f>
        <v>0.00249</v>
      </c>
      <c r="K108" s="19">
        <f>IFERROR(__xludf.DUMMYFUNCTION("""COMPUTED_VALUE"""),0.04004)</f>
        <v>0.04004</v>
      </c>
      <c r="L108" s="19" t="str">
        <f>IFERROR(__xludf.DUMMYFUNCTION("""COMPUTED_VALUE"""),"-")</f>
        <v>-</v>
      </c>
      <c r="M108" s="19">
        <f>IFERROR(__xludf.DUMMYFUNCTION("""COMPUTED_VALUE"""),0.03883)</f>
        <v>0.03883</v>
      </c>
    </row>
    <row r="109">
      <c r="A109" s="12" t="s">
        <v>7099</v>
      </c>
      <c r="G109" s="19">
        <f>IFERROR(__xludf.DUMMYFUNCTION("SPLIT(A107, "" |"")"),105.0)</f>
        <v>105</v>
      </c>
      <c r="H109" s="19">
        <f>IFERROR(__xludf.DUMMYFUNCTION("""COMPUTED_VALUE"""),0.00222)</f>
        <v>0.00222</v>
      </c>
      <c r="I109" s="19" t="str">
        <f>IFERROR(__xludf.DUMMYFUNCTION("""COMPUTED_VALUE"""),"-")</f>
        <v>-</v>
      </c>
      <c r="J109" s="19">
        <f>IFERROR(__xludf.DUMMYFUNCTION("""COMPUTED_VALUE"""),0.0023)</f>
        <v>0.0023</v>
      </c>
      <c r="K109" s="19">
        <f>IFERROR(__xludf.DUMMYFUNCTION("""COMPUTED_VALUE"""),0.03705)</f>
        <v>0.03705</v>
      </c>
      <c r="L109" s="19" t="str">
        <f>IFERROR(__xludf.DUMMYFUNCTION("""COMPUTED_VALUE"""),"-")</f>
        <v>-</v>
      </c>
      <c r="M109" s="19">
        <f>IFERROR(__xludf.DUMMYFUNCTION("""COMPUTED_VALUE"""),0.04035)</f>
        <v>0.04035</v>
      </c>
    </row>
    <row r="110">
      <c r="A110" s="12" t="s">
        <v>7100</v>
      </c>
      <c r="G110" s="19">
        <f>IFERROR(__xludf.DUMMYFUNCTION("SPLIT(A108, "" |"")"),106.0)</f>
        <v>106</v>
      </c>
      <c r="H110" s="19">
        <f>IFERROR(__xludf.DUMMYFUNCTION("""COMPUTED_VALUE"""),0.0022)</f>
        <v>0.0022</v>
      </c>
      <c r="I110" s="19" t="str">
        <f>IFERROR(__xludf.DUMMYFUNCTION("""COMPUTED_VALUE"""),"-")</f>
        <v>-</v>
      </c>
      <c r="J110" s="19">
        <f>IFERROR(__xludf.DUMMYFUNCTION("""COMPUTED_VALUE"""),0.00206)</f>
        <v>0.00206</v>
      </c>
      <c r="K110" s="19">
        <f>IFERROR(__xludf.DUMMYFUNCTION("""COMPUTED_VALUE"""),0.03985)</f>
        <v>0.03985</v>
      </c>
      <c r="L110" s="19" t="str">
        <f>IFERROR(__xludf.DUMMYFUNCTION("""COMPUTED_VALUE"""),"-")</f>
        <v>-</v>
      </c>
      <c r="M110" s="19">
        <f>IFERROR(__xludf.DUMMYFUNCTION("""COMPUTED_VALUE"""),0.04016)</f>
        <v>0.04016</v>
      </c>
    </row>
    <row r="111">
      <c r="A111" s="12" t="s">
        <v>7101</v>
      </c>
      <c r="G111" s="19">
        <f>IFERROR(__xludf.DUMMYFUNCTION("SPLIT(A109, "" |"")"),107.0)</f>
        <v>107</v>
      </c>
      <c r="H111" s="19">
        <f>IFERROR(__xludf.DUMMYFUNCTION("""COMPUTED_VALUE"""),0.00216)</f>
        <v>0.00216</v>
      </c>
      <c r="I111" s="19" t="str">
        <f>IFERROR(__xludf.DUMMYFUNCTION("""COMPUTED_VALUE"""),"-")</f>
        <v>-</v>
      </c>
      <c r="J111" s="19">
        <f>IFERROR(__xludf.DUMMYFUNCTION("""COMPUTED_VALUE"""),0.0022)</f>
        <v>0.0022</v>
      </c>
      <c r="K111" s="19">
        <f>IFERROR(__xludf.DUMMYFUNCTION("""COMPUTED_VALUE"""),0.03847)</f>
        <v>0.03847</v>
      </c>
      <c r="L111" s="19" t="str">
        <f>IFERROR(__xludf.DUMMYFUNCTION("""COMPUTED_VALUE"""),"-")</f>
        <v>-</v>
      </c>
      <c r="M111" s="19">
        <f>IFERROR(__xludf.DUMMYFUNCTION("""COMPUTED_VALUE"""),0.04029)</f>
        <v>0.04029</v>
      </c>
    </row>
    <row r="112">
      <c r="A112" s="12" t="s">
        <v>7102</v>
      </c>
      <c r="G112" s="19">
        <f>IFERROR(__xludf.DUMMYFUNCTION("SPLIT(A110, "" |"")"),108.0)</f>
        <v>108</v>
      </c>
      <c r="H112" s="19">
        <f>IFERROR(__xludf.DUMMYFUNCTION("""COMPUTED_VALUE"""),0.00223)</f>
        <v>0.00223</v>
      </c>
      <c r="I112" s="19" t="str">
        <f>IFERROR(__xludf.DUMMYFUNCTION("""COMPUTED_VALUE"""),"-")</f>
        <v>-</v>
      </c>
      <c r="J112" s="19">
        <f>IFERROR(__xludf.DUMMYFUNCTION("""COMPUTED_VALUE"""),0.0032)</f>
        <v>0.0032</v>
      </c>
      <c r="K112" s="19">
        <f>IFERROR(__xludf.DUMMYFUNCTION("""COMPUTED_VALUE"""),0.0358)</f>
        <v>0.0358</v>
      </c>
      <c r="L112" s="19" t="str">
        <f>IFERROR(__xludf.DUMMYFUNCTION("""COMPUTED_VALUE"""),"-")</f>
        <v>-</v>
      </c>
      <c r="M112" s="19">
        <f>IFERROR(__xludf.DUMMYFUNCTION("""COMPUTED_VALUE"""),0.04091)</f>
        <v>0.04091</v>
      </c>
    </row>
    <row r="113">
      <c r="A113" s="12" t="s">
        <v>7103</v>
      </c>
      <c r="G113" s="19">
        <f>IFERROR(__xludf.DUMMYFUNCTION("SPLIT(A111, "" |"")"),109.0)</f>
        <v>109</v>
      </c>
      <c r="H113" s="19">
        <f>IFERROR(__xludf.DUMMYFUNCTION("""COMPUTED_VALUE"""),0.00225)</f>
        <v>0.00225</v>
      </c>
      <c r="I113" s="19" t="str">
        <f>IFERROR(__xludf.DUMMYFUNCTION("""COMPUTED_VALUE"""),"-")</f>
        <v>-</v>
      </c>
      <c r="J113" s="19">
        <f>IFERROR(__xludf.DUMMYFUNCTION("""COMPUTED_VALUE"""),0.00197)</f>
        <v>0.00197</v>
      </c>
      <c r="K113" s="19">
        <f>IFERROR(__xludf.DUMMYFUNCTION("""COMPUTED_VALUE"""),0.03847)</f>
        <v>0.03847</v>
      </c>
      <c r="L113" s="19" t="str">
        <f>IFERROR(__xludf.DUMMYFUNCTION("""COMPUTED_VALUE"""),"-")</f>
        <v>-</v>
      </c>
      <c r="M113" s="19">
        <f>IFERROR(__xludf.DUMMYFUNCTION("""COMPUTED_VALUE"""),0.04024)</f>
        <v>0.04024</v>
      </c>
    </row>
    <row r="114">
      <c r="A114" s="12" t="s">
        <v>7104</v>
      </c>
      <c r="G114" s="19">
        <f>IFERROR(__xludf.DUMMYFUNCTION("SPLIT(A112, "" |"")"),110.0)</f>
        <v>110</v>
      </c>
      <c r="H114" s="19">
        <f>IFERROR(__xludf.DUMMYFUNCTION("""COMPUTED_VALUE"""),0.00225)</f>
        <v>0.00225</v>
      </c>
      <c r="I114" s="19" t="str">
        <f>IFERROR(__xludf.DUMMYFUNCTION("""COMPUTED_VALUE"""),"-")</f>
        <v>-</v>
      </c>
      <c r="J114" s="19">
        <f>IFERROR(__xludf.DUMMYFUNCTION("""COMPUTED_VALUE"""),0.00197)</f>
        <v>0.00197</v>
      </c>
      <c r="K114" s="19">
        <f>IFERROR(__xludf.DUMMYFUNCTION("""COMPUTED_VALUE"""),0.03953)</f>
        <v>0.03953</v>
      </c>
      <c r="L114" s="19" t="str">
        <f>IFERROR(__xludf.DUMMYFUNCTION("""COMPUTED_VALUE"""),"-")</f>
        <v>-</v>
      </c>
      <c r="M114" s="19">
        <f>IFERROR(__xludf.DUMMYFUNCTION("""COMPUTED_VALUE"""),0.03979)</f>
        <v>0.03979</v>
      </c>
    </row>
    <row r="115">
      <c r="A115" s="12" t="s">
        <v>7105</v>
      </c>
      <c r="G115" s="19">
        <f>IFERROR(__xludf.DUMMYFUNCTION("SPLIT(A113, "" |"")"),111.0)</f>
        <v>111</v>
      </c>
      <c r="H115" s="19">
        <f>IFERROR(__xludf.DUMMYFUNCTION("""COMPUTED_VALUE"""),0.00238)</f>
        <v>0.00238</v>
      </c>
      <c r="I115" s="19" t="str">
        <f>IFERROR(__xludf.DUMMYFUNCTION("""COMPUTED_VALUE"""),"-")</f>
        <v>-</v>
      </c>
      <c r="J115" s="19">
        <f>IFERROR(__xludf.DUMMYFUNCTION("""COMPUTED_VALUE"""),0.00205)</f>
        <v>0.00205</v>
      </c>
      <c r="K115" s="19">
        <f>IFERROR(__xludf.DUMMYFUNCTION("""COMPUTED_VALUE"""),0.03838)</f>
        <v>0.03838</v>
      </c>
      <c r="L115" s="19" t="str">
        <f>IFERROR(__xludf.DUMMYFUNCTION("""COMPUTED_VALUE"""),"-")</f>
        <v>-</v>
      </c>
      <c r="M115" s="19">
        <f>IFERROR(__xludf.DUMMYFUNCTION("""COMPUTED_VALUE"""),0.04005)</f>
        <v>0.04005</v>
      </c>
    </row>
    <row r="116">
      <c r="A116" s="12" t="s">
        <v>7106</v>
      </c>
      <c r="G116" s="19">
        <f>IFERROR(__xludf.DUMMYFUNCTION("SPLIT(A114, "" |"")"),112.0)</f>
        <v>112</v>
      </c>
      <c r="H116" s="19">
        <f>IFERROR(__xludf.DUMMYFUNCTION("""COMPUTED_VALUE"""),0.00217)</f>
        <v>0.00217</v>
      </c>
      <c r="I116" s="19" t="str">
        <f>IFERROR(__xludf.DUMMYFUNCTION("""COMPUTED_VALUE"""),"-")</f>
        <v>-</v>
      </c>
      <c r="J116" s="19">
        <f>IFERROR(__xludf.DUMMYFUNCTION("""COMPUTED_VALUE"""),0.00204)</f>
        <v>0.00204</v>
      </c>
      <c r="K116" s="19">
        <f>IFERROR(__xludf.DUMMYFUNCTION("""COMPUTED_VALUE"""),0.03873)</f>
        <v>0.03873</v>
      </c>
      <c r="L116" s="19" t="str">
        <f>IFERROR(__xludf.DUMMYFUNCTION("""COMPUTED_VALUE"""),"-")</f>
        <v>-</v>
      </c>
      <c r="M116" s="19">
        <f>IFERROR(__xludf.DUMMYFUNCTION("""COMPUTED_VALUE"""),0.04038)</f>
        <v>0.04038</v>
      </c>
    </row>
    <row r="117">
      <c r="A117" s="12" t="s">
        <v>7107</v>
      </c>
      <c r="G117" s="19">
        <f>IFERROR(__xludf.DUMMYFUNCTION("SPLIT(A115, "" |"")"),113.0)</f>
        <v>113</v>
      </c>
      <c r="H117" s="19">
        <f>IFERROR(__xludf.DUMMYFUNCTION("""COMPUTED_VALUE"""),0.00211)</f>
        <v>0.00211</v>
      </c>
      <c r="I117" s="19" t="str">
        <f>IFERROR(__xludf.DUMMYFUNCTION("""COMPUTED_VALUE"""),"-")</f>
        <v>-</v>
      </c>
      <c r="J117" s="19">
        <f>IFERROR(__xludf.DUMMYFUNCTION("""COMPUTED_VALUE"""),0.00202)</f>
        <v>0.00202</v>
      </c>
      <c r="K117" s="19">
        <f>IFERROR(__xludf.DUMMYFUNCTION("""COMPUTED_VALUE"""),0.03927)</f>
        <v>0.03927</v>
      </c>
      <c r="L117" s="19" t="str">
        <f>IFERROR(__xludf.DUMMYFUNCTION("""COMPUTED_VALUE"""),"-")</f>
        <v>-</v>
      </c>
      <c r="M117" s="19">
        <f>IFERROR(__xludf.DUMMYFUNCTION("""COMPUTED_VALUE"""),0.03946)</f>
        <v>0.03946</v>
      </c>
    </row>
    <row r="118">
      <c r="A118" s="12" t="s">
        <v>7108</v>
      </c>
      <c r="G118" s="19">
        <f>IFERROR(__xludf.DUMMYFUNCTION("SPLIT(A116, "" |"")"),114.0)</f>
        <v>114</v>
      </c>
      <c r="H118" s="19">
        <f>IFERROR(__xludf.DUMMYFUNCTION("""COMPUTED_VALUE"""),0.00224)</f>
        <v>0.00224</v>
      </c>
      <c r="I118" s="19" t="str">
        <f>IFERROR(__xludf.DUMMYFUNCTION("""COMPUTED_VALUE"""),"-")</f>
        <v>-</v>
      </c>
      <c r="J118" s="19">
        <f>IFERROR(__xludf.DUMMYFUNCTION("""COMPUTED_VALUE"""),0.00213)</f>
        <v>0.00213</v>
      </c>
      <c r="K118" s="19">
        <f>IFERROR(__xludf.DUMMYFUNCTION("""COMPUTED_VALUE"""),0.03586)</f>
        <v>0.03586</v>
      </c>
      <c r="L118" s="19" t="str">
        <f>IFERROR(__xludf.DUMMYFUNCTION("""COMPUTED_VALUE"""),"-")</f>
        <v>-</v>
      </c>
      <c r="M118" s="19">
        <f>IFERROR(__xludf.DUMMYFUNCTION("""COMPUTED_VALUE"""),0.03987)</f>
        <v>0.03987</v>
      </c>
    </row>
    <row r="119">
      <c r="A119" s="12" t="s">
        <v>7109</v>
      </c>
      <c r="G119" s="19">
        <f>IFERROR(__xludf.DUMMYFUNCTION("SPLIT(A117, "" |"")"),115.0)</f>
        <v>115</v>
      </c>
      <c r="H119" s="19">
        <f>IFERROR(__xludf.DUMMYFUNCTION("""COMPUTED_VALUE"""),0.00227)</f>
        <v>0.00227</v>
      </c>
      <c r="I119" s="19" t="str">
        <f>IFERROR(__xludf.DUMMYFUNCTION("""COMPUTED_VALUE"""),"-")</f>
        <v>-</v>
      </c>
      <c r="J119" s="19">
        <f>IFERROR(__xludf.DUMMYFUNCTION("""COMPUTED_VALUE"""),0.00194)</f>
        <v>0.00194</v>
      </c>
      <c r="K119" s="19">
        <f>IFERROR(__xludf.DUMMYFUNCTION("""COMPUTED_VALUE"""),0.03987)</f>
        <v>0.03987</v>
      </c>
      <c r="L119" s="19" t="str">
        <f>IFERROR(__xludf.DUMMYFUNCTION("""COMPUTED_VALUE"""),"-")</f>
        <v>-</v>
      </c>
      <c r="M119" s="19">
        <f>IFERROR(__xludf.DUMMYFUNCTION("""COMPUTED_VALUE"""),0.03559)</f>
        <v>0.03559</v>
      </c>
    </row>
    <row r="120">
      <c r="A120" s="12" t="s">
        <v>7110</v>
      </c>
      <c r="G120" s="19">
        <f>IFERROR(__xludf.DUMMYFUNCTION("SPLIT(A118, "" |"")"),116.0)</f>
        <v>116</v>
      </c>
      <c r="H120" s="19">
        <f>IFERROR(__xludf.DUMMYFUNCTION("""COMPUTED_VALUE"""),0.00223)</f>
        <v>0.00223</v>
      </c>
      <c r="I120" s="19" t="str">
        <f>IFERROR(__xludf.DUMMYFUNCTION("""COMPUTED_VALUE"""),"-")</f>
        <v>-</v>
      </c>
      <c r="J120" s="19">
        <f>IFERROR(__xludf.DUMMYFUNCTION("""COMPUTED_VALUE"""),0.00198)</f>
        <v>0.00198</v>
      </c>
      <c r="K120" s="19">
        <f>IFERROR(__xludf.DUMMYFUNCTION("""COMPUTED_VALUE"""),0.03964)</f>
        <v>0.03964</v>
      </c>
      <c r="L120" s="19" t="str">
        <f>IFERROR(__xludf.DUMMYFUNCTION("""COMPUTED_VALUE"""),"-")</f>
        <v>-</v>
      </c>
      <c r="M120" s="19">
        <f>IFERROR(__xludf.DUMMYFUNCTION("""COMPUTED_VALUE"""),0.03997)</f>
        <v>0.03997</v>
      </c>
    </row>
    <row r="121">
      <c r="A121" s="12" t="s">
        <v>7111</v>
      </c>
      <c r="G121" s="19">
        <f>IFERROR(__xludf.DUMMYFUNCTION("SPLIT(A119, "" |"")"),117.0)</f>
        <v>117</v>
      </c>
      <c r="H121" s="19">
        <f>IFERROR(__xludf.DUMMYFUNCTION("""COMPUTED_VALUE"""),0.00234)</f>
        <v>0.00234</v>
      </c>
      <c r="I121" s="19" t="str">
        <f>IFERROR(__xludf.DUMMYFUNCTION("""COMPUTED_VALUE"""),"-")</f>
        <v>-</v>
      </c>
      <c r="J121" s="19">
        <f>IFERROR(__xludf.DUMMYFUNCTION("""COMPUTED_VALUE"""),0.00199)</f>
        <v>0.00199</v>
      </c>
      <c r="K121" s="19">
        <f>IFERROR(__xludf.DUMMYFUNCTION("""COMPUTED_VALUE"""),0.04027)</f>
        <v>0.04027</v>
      </c>
      <c r="L121" s="19" t="str">
        <f>IFERROR(__xludf.DUMMYFUNCTION("""COMPUTED_VALUE"""),"-")</f>
        <v>-</v>
      </c>
      <c r="M121" s="19">
        <f>IFERROR(__xludf.DUMMYFUNCTION("""COMPUTED_VALUE"""),0.04032)</f>
        <v>0.04032</v>
      </c>
    </row>
    <row r="122">
      <c r="A122" s="12" t="s">
        <v>7112</v>
      </c>
      <c r="G122" s="19">
        <f>IFERROR(__xludf.DUMMYFUNCTION("SPLIT(A120, "" |"")"),118.0)</f>
        <v>118</v>
      </c>
      <c r="H122" s="19">
        <f>IFERROR(__xludf.DUMMYFUNCTION("""COMPUTED_VALUE"""),0.00223)</f>
        <v>0.00223</v>
      </c>
      <c r="I122" s="19" t="str">
        <f>IFERROR(__xludf.DUMMYFUNCTION("""COMPUTED_VALUE"""),"-")</f>
        <v>-</v>
      </c>
      <c r="J122" s="19">
        <f>IFERROR(__xludf.DUMMYFUNCTION("""COMPUTED_VALUE"""),0.00193)</f>
        <v>0.00193</v>
      </c>
      <c r="K122" s="19">
        <f>IFERROR(__xludf.DUMMYFUNCTION("""COMPUTED_VALUE"""),0.03893)</f>
        <v>0.03893</v>
      </c>
      <c r="L122" s="19" t="str">
        <f>IFERROR(__xludf.DUMMYFUNCTION("""COMPUTED_VALUE"""),"-")</f>
        <v>-</v>
      </c>
      <c r="M122" s="19">
        <f>IFERROR(__xludf.DUMMYFUNCTION("""COMPUTED_VALUE"""),0.03856)</f>
        <v>0.03856</v>
      </c>
    </row>
    <row r="123">
      <c r="A123" s="12" t="s">
        <v>7113</v>
      </c>
      <c r="G123" s="19">
        <f>IFERROR(__xludf.DUMMYFUNCTION("SPLIT(A121, "" |"")"),119.0)</f>
        <v>119</v>
      </c>
      <c r="H123" s="19">
        <f>IFERROR(__xludf.DUMMYFUNCTION("""COMPUTED_VALUE"""),0.00232)</f>
        <v>0.00232</v>
      </c>
      <c r="I123" s="19" t="str">
        <f>IFERROR(__xludf.DUMMYFUNCTION("""COMPUTED_VALUE"""),"-")</f>
        <v>-</v>
      </c>
      <c r="J123" s="19">
        <f>IFERROR(__xludf.DUMMYFUNCTION("""COMPUTED_VALUE"""),0.00197)</f>
        <v>0.00197</v>
      </c>
      <c r="K123" s="19">
        <f>IFERROR(__xludf.DUMMYFUNCTION("""COMPUTED_VALUE"""),0.03752)</f>
        <v>0.03752</v>
      </c>
      <c r="L123" s="19" t="str">
        <f>IFERROR(__xludf.DUMMYFUNCTION("""COMPUTED_VALUE"""),"-")</f>
        <v>-</v>
      </c>
      <c r="M123" s="19">
        <f>IFERROR(__xludf.DUMMYFUNCTION("""COMPUTED_VALUE"""),0.04021)</f>
        <v>0.04021</v>
      </c>
    </row>
    <row r="124">
      <c r="A124" s="12" t="s">
        <v>7114</v>
      </c>
      <c r="G124" s="19">
        <f>IFERROR(__xludf.DUMMYFUNCTION("SPLIT(A122, "" |"")"),120.0)</f>
        <v>120</v>
      </c>
      <c r="H124" s="19">
        <f>IFERROR(__xludf.DUMMYFUNCTION("""COMPUTED_VALUE"""),0.00215)</f>
        <v>0.00215</v>
      </c>
      <c r="I124" s="19" t="str">
        <f>IFERROR(__xludf.DUMMYFUNCTION("""COMPUTED_VALUE"""),"-")</f>
        <v>-</v>
      </c>
      <c r="J124" s="19">
        <f>IFERROR(__xludf.DUMMYFUNCTION("""COMPUTED_VALUE"""),0.00197)</f>
        <v>0.00197</v>
      </c>
      <c r="K124" s="19">
        <f>IFERROR(__xludf.DUMMYFUNCTION("""COMPUTED_VALUE"""),0.03829)</f>
        <v>0.03829</v>
      </c>
      <c r="L124" s="19" t="str">
        <f>IFERROR(__xludf.DUMMYFUNCTION("""COMPUTED_VALUE"""),"-")</f>
        <v>-</v>
      </c>
      <c r="M124" s="19">
        <f>IFERROR(__xludf.DUMMYFUNCTION("""COMPUTED_VALUE"""),0.04011)</f>
        <v>0.04011</v>
      </c>
    </row>
    <row r="125">
      <c r="A125" s="12" t="s">
        <v>7115</v>
      </c>
      <c r="G125" s="19">
        <f>IFERROR(__xludf.DUMMYFUNCTION("SPLIT(A123, "" |"")"),121.0)</f>
        <v>121</v>
      </c>
      <c r="H125" s="19">
        <f>IFERROR(__xludf.DUMMYFUNCTION("""COMPUTED_VALUE"""),0.00218)</f>
        <v>0.00218</v>
      </c>
      <c r="I125" s="19" t="str">
        <f>IFERROR(__xludf.DUMMYFUNCTION("""COMPUTED_VALUE"""),"-")</f>
        <v>-</v>
      </c>
      <c r="J125" s="19">
        <f>IFERROR(__xludf.DUMMYFUNCTION("""COMPUTED_VALUE"""),0.00217)</f>
        <v>0.00217</v>
      </c>
      <c r="K125" s="19">
        <f>IFERROR(__xludf.DUMMYFUNCTION("""COMPUTED_VALUE"""),0.03928)</f>
        <v>0.03928</v>
      </c>
      <c r="L125" s="19" t="str">
        <f>IFERROR(__xludf.DUMMYFUNCTION("""COMPUTED_VALUE"""),"-")</f>
        <v>-</v>
      </c>
      <c r="M125" s="19">
        <f>IFERROR(__xludf.DUMMYFUNCTION("""COMPUTED_VALUE"""),0.04032)</f>
        <v>0.04032</v>
      </c>
    </row>
    <row r="126">
      <c r="A126" s="12" t="s">
        <v>7116</v>
      </c>
      <c r="G126" s="19">
        <f>IFERROR(__xludf.DUMMYFUNCTION("SPLIT(A124, "" |"")"),122.0)</f>
        <v>122</v>
      </c>
      <c r="H126" s="19">
        <f>IFERROR(__xludf.DUMMYFUNCTION("""COMPUTED_VALUE"""),0.00219)</f>
        <v>0.00219</v>
      </c>
      <c r="I126" s="19" t="str">
        <f>IFERROR(__xludf.DUMMYFUNCTION("""COMPUTED_VALUE"""),"-")</f>
        <v>-</v>
      </c>
      <c r="J126" s="19">
        <f>IFERROR(__xludf.DUMMYFUNCTION("""COMPUTED_VALUE"""),0.00216)</f>
        <v>0.00216</v>
      </c>
      <c r="K126" s="19">
        <f>IFERROR(__xludf.DUMMYFUNCTION("""COMPUTED_VALUE"""),0.03781)</f>
        <v>0.03781</v>
      </c>
      <c r="L126" s="19" t="str">
        <f>IFERROR(__xludf.DUMMYFUNCTION("""COMPUTED_VALUE"""),"-")</f>
        <v>-</v>
      </c>
      <c r="M126" s="19">
        <f>IFERROR(__xludf.DUMMYFUNCTION("""COMPUTED_VALUE"""),0.04003)</f>
        <v>0.04003</v>
      </c>
    </row>
    <row r="127">
      <c r="A127" s="12" t="s">
        <v>7117</v>
      </c>
      <c r="G127" s="19">
        <f>IFERROR(__xludf.DUMMYFUNCTION("SPLIT(A125, "" |"")"),123.0)</f>
        <v>123</v>
      </c>
      <c r="H127" s="19">
        <f>IFERROR(__xludf.DUMMYFUNCTION("""COMPUTED_VALUE"""),0.00211)</f>
        <v>0.00211</v>
      </c>
      <c r="I127" s="19" t="str">
        <f>IFERROR(__xludf.DUMMYFUNCTION("""COMPUTED_VALUE"""),"-")</f>
        <v>-</v>
      </c>
      <c r="J127" s="19">
        <f>IFERROR(__xludf.DUMMYFUNCTION("""COMPUTED_VALUE"""),0.00216)</f>
        <v>0.00216</v>
      </c>
      <c r="K127" s="19">
        <f>IFERROR(__xludf.DUMMYFUNCTION("""COMPUTED_VALUE"""),0.03935)</f>
        <v>0.03935</v>
      </c>
      <c r="L127" s="19" t="str">
        <f>IFERROR(__xludf.DUMMYFUNCTION("""COMPUTED_VALUE"""),"-")</f>
        <v>-</v>
      </c>
      <c r="M127" s="19">
        <f>IFERROR(__xludf.DUMMYFUNCTION("""COMPUTED_VALUE"""),0.03953)</f>
        <v>0.03953</v>
      </c>
    </row>
    <row r="128">
      <c r="A128" s="12" t="s">
        <v>7118</v>
      </c>
      <c r="G128" s="19">
        <f>IFERROR(__xludf.DUMMYFUNCTION("SPLIT(A126, "" |"")"),124.0)</f>
        <v>124</v>
      </c>
      <c r="H128" s="19">
        <f>IFERROR(__xludf.DUMMYFUNCTION("""COMPUTED_VALUE"""),0.00229)</f>
        <v>0.00229</v>
      </c>
      <c r="I128" s="19" t="str">
        <f>IFERROR(__xludf.DUMMYFUNCTION("""COMPUTED_VALUE"""),"-")</f>
        <v>-</v>
      </c>
      <c r="J128" s="19">
        <f>IFERROR(__xludf.DUMMYFUNCTION("""COMPUTED_VALUE"""),0.00244)</f>
        <v>0.00244</v>
      </c>
      <c r="K128" s="19">
        <f>IFERROR(__xludf.DUMMYFUNCTION("""COMPUTED_VALUE"""),0.03792)</f>
        <v>0.03792</v>
      </c>
      <c r="L128" s="19" t="str">
        <f>IFERROR(__xludf.DUMMYFUNCTION("""COMPUTED_VALUE"""),"-")</f>
        <v>-</v>
      </c>
      <c r="M128" s="19">
        <f>IFERROR(__xludf.DUMMYFUNCTION("""COMPUTED_VALUE"""),0.04021)</f>
        <v>0.04021</v>
      </c>
    </row>
    <row r="129">
      <c r="A129" s="12" t="s">
        <v>7119</v>
      </c>
      <c r="G129" s="19">
        <f>IFERROR(__xludf.DUMMYFUNCTION("SPLIT(A127, "" |"")"),125.0)</f>
        <v>125</v>
      </c>
      <c r="H129" s="19">
        <f>IFERROR(__xludf.DUMMYFUNCTION("""COMPUTED_VALUE"""),0.00227)</f>
        <v>0.00227</v>
      </c>
      <c r="I129" s="19" t="str">
        <f>IFERROR(__xludf.DUMMYFUNCTION("""COMPUTED_VALUE"""),"-")</f>
        <v>-</v>
      </c>
      <c r="J129" s="19">
        <f>IFERROR(__xludf.DUMMYFUNCTION("""COMPUTED_VALUE"""),0.00244)</f>
        <v>0.00244</v>
      </c>
      <c r="K129" s="19">
        <f>IFERROR(__xludf.DUMMYFUNCTION("""COMPUTED_VALUE"""),0.04003)</f>
        <v>0.04003</v>
      </c>
      <c r="L129" s="19" t="str">
        <f>IFERROR(__xludf.DUMMYFUNCTION("""COMPUTED_VALUE"""),"-")</f>
        <v>-</v>
      </c>
      <c r="M129" s="19">
        <f>IFERROR(__xludf.DUMMYFUNCTION("""COMPUTED_VALUE"""),0.04008)</f>
        <v>0.04008</v>
      </c>
    </row>
    <row r="130">
      <c r="A130" s="12" t="s">
        <v>7120</v>
      </c>
      <c r="G130" s="19">
        <f>IFERROR(__xludf.DUMMYFUNCTION("SPLIT(A128, "" |"")"),126.0)</f>
        <v>126</v>
      </c>
      <c r="H130" s="19">
        <f>IFERROR(__xludf.DUMMYFUNCTION("""COMPUTED_VALUE"""),0.00213)</f>
        <v>0.00213</v>
      </c>
      <c r="I130" s="19" t="str">
        <f>IFERROR(__xludf.DUMMYFUNCTION("""COMPUTED_VALUE"""),"-")</f>
        <v>-</v>
      </c>
      <c r="J130" s="19">
        <f>IFERROR(__xludf.DUMMYFUNCTION("""COMPUTED_VALUE"""),0.00223)</f>
        <v>0.00223</v>
      </c>
      <c r="K130" s="19">
        <f>IFERROR(__xludf.DUMMYFUNCTION("""COMPUTED_VALUE"""),0.07495)</f>
        <v>0.07495</v>
      </c>
      <c r="L130" s="19" t="str">
        <f>IFERROR(__xludf.DUMMYFUNCTION("""COMPUTED_VALUE"""),"-")</f>
        <v>-</v>
      </c>
      <c r="M130" s="19">
        <f>IFERROR(__xludf.DUMMYFUNCTION("""COMPUTED_VALUE"""),0.04012)</f>
        <v>0.04012</v>
      </c>
    </row>
    <row r="131">
      <c r="A131" s="12" t="s">
        <v>7121</v>
      </c>
      <c r="G131" s="19">
        <f>IFERROR(__xludf.DUMMYFUNCTION("SPLIT(A129, "" |"")"),127.0)</f>
        <v>127</v>
      </c>
      <c r="H131" s="19">
        <f>IFERROR(__xludf.DUMMYFUNCTION("""COMPUTED_VALUE"""),0.00235)</f>
        <v>0.00235</v>
      </c>
      <c r="I131" s="19" t="str">
        <f>IFERROR(__xludf.DUMMYFUNCTION("""COMPUTED_VALUE"""),"-")</f>
        <v>-</v>
      </c>
      <c r="J131" s="19">
        <f>IFERROR(__xludf.DUMMYFUNCTION("""COMPUTED_VALUE"""),0.00193)</f>
        <v>0.00193</v>
      </c>
      <c r="K131" s="19">
        <f>IFERROR(__xludf.DUMMYFUNCTION("""COMPUTED_VALUE"""),0.03479)</f>
        <v>0.03479</v>
      </c>
      <c r="L131" s="19" t="str">
        <f>IFERROR(__xludf.DUMMYFUNCTION("""COMPUTED_VALUE"""),"-")</f>
        <v>-</v>
      </c>
      <c r="M131" s="19">
        <f>IFERROR(__xludf.DUMMYFUNCTION("""COMPUTED_VALUE"""),0.04001)</f>
        <v>0.04001</v>
      </c>
    </row>
    <row r="132">
      <c r="A132" s="12" t="s">
        <v>7122</v>
      </c>
      <c r="G132" s="19">
        <f>IFERROR(__xludf.DUMMYFUNCTION("SPLIT(A130, "" |"")"),128.0)</f>
        <v>128</v>
      </c>
      <c r="H132" s="19">
        <f>IFERROR(__xludf.DUMMYFUNCTION("""COMPUTED_VALUE"""),0.00226)</f>
        <v>0.00226</v>
      </c>
      <c r="I132" s="19" t="str">
        <f>IFERROR(__xludf.DUMMYFUNCTION("""COMPUTED_VALUE"""),"-")</f>
        <v>-</v>
      </c>
      <c r="J132" s="19">
        <f>IFERROR(__xludf.DUMMYFUNCTION("""COMPUTED_VALUE"""),0.00205)</f>
        <v>0.00205</v>
      </c>
      <c r="K132" s="19">
        <f>IFERROR(__xludf.DUMMYFUNCTION("""COMPUTED_VALUE"""),0.03979)</f>
        <v>0.03979</v>
      </c>
      <c r="L132" s="19" t="str">
        <f>IFERROR(__xludf.DUMMYFUNCTION("""COMPUTED_VALUE"""),"-")</f>
        <v>-</v>
      </c>
      <c r="M132" s="19">
        <f>IFERROR(__xludf.DUMMYFUNCTION("""COMPUTED_VALUE"""),0.04)</f>
        <v>0.04</v>
      </c>
    </row>
    <row r="133">
      <c r="A133" s="12" t="s">
        <v>7123</v>
      </c>
      <c r="G133" s="19">
        <f>IFERROR(__xludf.DUMMYFUNCTION("SPLIT(A131, "" |"")"),129.0)</f>
        <v>129</v>
      </c>
      <c r="H133" s="19">
        <f>IFERROR(__xludf.DUMMYFUNCTION("""COMPUTED_VALUE"""),0.0022)</f>
        <v>0.0022</v>
      </c>
      <c r="I133" s="19" t="str">
        <f>IFERROR(__xludf.DUMMYFUNCTION("""COMPUTED_VALUE"""),"-")</f>
        <v>-</v>
      </c>
      <c r="J133" s="19">
        <f>IFERROR(__xludf.DUMMYFUNCTION("""COMPUTED_VALUE"""),0.00197)</f>
        <v>0.00197</v>
      </c>
      <c r="K133" s="19">
        <f>IFERROR(__xludf.DUMMYFUNCTION("""COMPUTED_VALUE"""),0.0382)</f>
        <v>0.0382</v>
      </c>
      <c r="L133" s="19" t="str">
        <f>IFERROR(__xludf.DUMMYFUNCTION("""COMPUTED_VALUE"""),"-")</f>
        <v>-</v>
      </c>
      <c r="M133" s="19">
        <f>IFERROR(__xludf.DUMMYFUNCTION("""COMPUTED_VALUE"""),0.04016)</f>
        <v>0.04016</v>
      </c>
    </row>
    <row r="134">
      <c r="A134" s="12" t="s">
        <v>7124</v>
      </c>
      <c r="G134" s="19">
        <f>IFERROR(__xludf.DUMMYFUNCTION("SPLIT(A132, "" |"")"),130.0)</f>
        <v>130</v>
      </c>
      <c r="H134" s="19">
        <f>IFERROR(__xludf.DUMMYFUNCTION("""COMPUTED_VALUE"""),0.00225)</f>
        <v>0.00225</v>
      </c>
      <c r="I134" s="19" t="str">
        <f>IFERROR(__xludf.DUMMYFUNCTION("""COMPUTED_VALUE"""),"-")</f>
        <v>-</v>
      </c>
      <c r="J134" s="19">
        <f>IFERROR(__xludf.DUMMYFUNCTION("""COMPUTED_VALUE"""),0.00196)</f>
        <v>0.00196</v>
      </c>
      <c r="K134" s="19">
        <f>IFERROR(__xludf.DUMMYFUNCTION("""COMPUTED_VALUE"""),0.03921)</f>
        <v>0.03921</v>
      </c>
      <c r="L134" s="19" t="str">
        <f>IFERROR(__xludf.DUMMYFUNCTION("""COMPUTED_VALUE"""),"-")</f>
        <v>-</v>
      </c>
      <c r="M134" s="19">
        <f>IFERROR(__xludf.DUMMYFUNCTION("""COMPUTED_VALUE"""),0.04047)</f>
        <v>0.04047</v>
      </c>
    </row>
    <row r="135">
      <c r="A135" s="12" t="s">
        <v>7125</v>
      </c>
      <c r="G135" s="19">
        <f>IFERROR(__xludf.DUMMYFUNCTION("SPLIT(A133, "" |"")"),131.0)</f>
        <v>131</v>
      </c>
      <c r="H135" s="19">
        <f>IFERROR(__xludf.DUMMYFUNCTION("""COMPUTED_VALUE"""),0.00226)</f>
        <v>0.00226</v>
      </c>
      <c r="I135" s="19" t="str">
        <f>IFERROR(__xludf.DUMMYFUNCTION("""COMPUTED_VALUE"""),"-")</f>
        <v>-</v>
      </c>
      <c r="J135" s="19">
        <f>IFERROR(__xludf.DUMMYFUNCTION("""COMPUTED_VALUE"""),0.00194)</f>
        <v>0.00194</v>
      </c>
      <c r="K135" s="19">
        <f>IFERROR(__xludf.DUMMYFUNCTION("""COMPUTED_VALUE"""),0.03837)</f>
        <v>0.03837</v>
      </c>
      <c r="L135" s="19" t="str">
        <f>IFERROR(__xludf.DUMMYFUNCTION("""COMPUTED_VALUE"""),"-")</f>
        <v>-</v>
      </c>
      <c r="M135" s="19">
        <f>IFERROR(__xludf.DUMMYFUNCTION("""COMPUTED_VALUE"""),0.04009)</f>
        <v>0.04009</v>
      </c>
    </row>
    <row r="136">
      <c r="A136" s="12" t="s">
        <v>7126</v>
      </c>
      <c r="G136" s="19">
        <f>IFERROR(__xludf.DUMMYFUNCTION("SPLIT(A134, "" |"")"),132.0)</f>
        <v>132</v>
      </c>
      <c r="H136" s="19">
        <f>IFERROR(__xludf.DUMMYFUNCTION("""COMPUTED_VALUE"""),0.00223)</f>
        <v>0.00223</v>
      </c>
      <c r="I136" s="19" t="str">
        <f>IFERROR(__xludf.DUMMYFUNCTION("""COMPUTED_VALUE"""),"-")</f>
        <v>-</v>
      </c>
      <c r="J136" s="19">
        <f>IFERROR(__xludf.DUMMYFUNCTION("""COMPUTED_VALUE"""),0.00217)</f>
        <v>0.00217</v>
      </c>
      <c r="K136" s="19">
        <f>IFERROR(__xludf.DUMMYFUNCTION("""COMPUTED_VALUE"""),0.03866)</f>
        <v>0.03866</v>
      </c>
      <c r="L136" s="19" t="str">
        <f>IFERROR(__xludf.DUMMYFUNCTION("""COMPUTED_VALUE"""),"-")</f>
        <v>-</v>
      </c>
      <c r="M136" s="19">
        <f>IFERROR(__xludf.DUMMYFUNCTION("""COMPUTED_VALUE"""),0.03715)</f>
        <v>0.03715</v>
      </c>
    </row>
    <row r="137">
      <c r="A137" s="12" t="s">
        <v>7127</v>
      </c>
      <c r="G137" s="19">
        <f>IFERROR(__xludf.DUMMYFUNCTION("SPLIT(A135, "" |"")"),133.0)</f>
        <v>133</v>
      </c>
      <c r="H137" s="19">
        <f>IFERROR(__xludf.DUMMYFUNCTION("""COMPUTED_VALUE"""),0.00222)</f>
        <v>0.00222</v>
      </c>
      <c r="I137" s="19" t="str">
        <f>IFERROR(__xludf.DUMMYFUNCTION("""COMPUTED_VALUE"""),"-")</f>
        <v>-</v>
      </c>
      <c r="J137" s="19">
        <f>IFERROR(__xludf.DUMMYFUNCTION("""COMPUTED_VALUE"""),0.00188)</f>
        <v>0.00188</v>
      </c>
      <c r="K137" s="19">
        <f>IFERROR(__xludf.DUMMYFUNCTION("""COMPUTED_VALUE"""),0.03739)</f>
        <v>0.03739</v>
      </c>
      <c r="L137" s="19" t="str">
        <f>IFERROR(__xludf.DUMMYFUNCTION("""COMPUTED_VALUE"""),"-")</f>
        <v>-</v>
      </c>
      <c r="M137" s="19">
        <f>IFERROR(__xludf.DUMMYFUNCTION("""COMPUTED_VALUE"""),0.03745)</f>
        <v>0.03745</v>
      </c>
    </row>
    <row r="138">
      <c r="A138" s="12" t="s">
        <v>7128</v>
      </c>
      <c r="G138" s="19">
        <f>IFERROR(__xludf.DUMMYFUNCTION("SPLIT(A136, "" |"")"),134.0)</f>
        <v>134</v>
      </c>
      <c r="H138" s="19">
        <f>IFERROR(__xludf.DUMMYFUNCTION("""COMPUTED_VALUE"""),0.00217)</f>
        <v>0.00217</v>
      </c>
      <c r="I138" s="19" t="str">
        <f>IFERROR(__xludf.DUMMYFUNCTION("""COMPUTED_VALUE"""),"-")</f>
        <v>-</v>
      </c>
      <c r="J138" s="19">
        <f>IFERROR(__xludf.DUMMYFUNCTION("""COMPUTED_VALUE"""),0.00213)</f>
        <v>0.00213</v>
      </c>
      <c r="K138" s="19">
        <f>IFERROR(__xludf.DUMMYFUNCTION("""COMPUTED_VALUE"""),0.03988)</f>
        <v>0.03988</v>
      </c>
      <c r="L138" s="19" t="str">
        <f>IFERROR(__xludf.DUMMYFUNCTION("""COMPUTED_VALUE"""),"-")</f>
        <v>-</v>
      </c>
      <c r="M138" s="19">
        <f>IFERROR(__xludf.DUMMYFUNCTION("""COMPUTED_VALUE"""),0.04008)</f>
        <v>0.04008</v>
      </c>
    </row>
    <row r="139">
      <c r="A139" s="12" t="s">
        <v>7129</v>
      </c>
      <c r="G139" s="19">
        <f>IFERROR(__xludf.DUMMYFUNCTION("SPLIT(A137, "" |"")"),135.0)</f>
        <v>135</v>
      </c>
      <c r="H139" s="19">
        <f>IFERROR(__xludf.DUMMYFUNCTION("""COMPUTED_VALUE"""),0.00226)</f>
        <v>0.00226</v>
      </c>
      <c r="I139" s="19" t="str">
        <f>IFERROR(__xludf.DUMMYFUNCTION("""COMPUTED_VALUE"""),"-")</f>
        <v>-</v>
      </c>
      <c r="J139" s="19">
        <f>IFERROR(__xludf.DUMMYFUNCTION("""COMPUTED_VALUE"""),0.00196)</f>
        <v>0.00196</v>
      </c>
      <c r="K139" s="19">
        <f>IFERROR(__xludf.DUMMYFUNCTION("""COMPUTED_VALUE"""),0.03737)</f>
        <v>0.03737</v>
      </c>
      <c r="L139" s="19" t="str">
        <f>IFERROR(__xludf.DUMMYFUNCTION("""COMPUTED_VALUE"""),"-")</f>
        <v>-</v>
      </c>
      <c r="M139" s="19">
        <f>IFERROR(__xludf.DUMMYFUNCTION("""COMPUTED_VALUE"""),0.03824)</f>
        <v>0.03824</v>
      </c>
    </row>
    <row r="140">
      <c r="A140" s="12" t="s">
        <v>7130</v>
      </c>
      <c r="G140" s="19">
        <f>IFERROR(__xludf.DUMMYFUNCTION("SPLIT(A138, "" |"")"),136.0)</f>
        <v>136</v>
      </c>
      <c r="H140" s="19">
        <f>IFERROR(__xludf.DUMMYFUNCTION("""COMPUTED_VALUE"""),0.00228)</f>
        <v>0.00228</v>
      </c>
      <c r="I140" s="19" t="str">
        <f>IFERROR(__xludf.DUMMYFUNCTION("""COMPUTED_VALUE"""),"-")</f>
        <v>-</v>
      </c>
      <c r="J140" s="19">
        <f>IFERROR(__xludf.DUMMYFUNCTION("""COMPUTED_VALUE"""),0.00196)</f>
        <v>0.00196</v>
      </c>
      <c r="K140" s="19">
        <f>IFERROR(__xludf.DUMMYFUNCTION("""COMPUTED_VALUE"""),0.03953)</f>
        <v>0.03953</v>
      </c>
      <c r="L140" s="19" t="str">
        <f>IFERROR(__xludf.DUMMYFUNCTION("""COMPUTED_VALUE"""),"-")</f>
        <v>-</v>
      </c>
      <c r="M140" s="19">
        <f>IFERROR(__xludf.DUMMYFUNCTION("""COMPUTED_VALUE"""),0.03908)</f>
        <v>0.03908</v>
      </c>
    </row>
    <row r="141">
      <c r="A141" s="12" t="s">
        <v>7131</v>
      </c>
      <c r="G141" s="19">
        <f>IFERROR(__xludf.DUMMYFUNCTION("SPLIT(A139, "" |"")"),137.0)</f>
        <v>137</v>
      </c>
      <c r="H141" s="19">
        <f>IFERROR(__xludf.DUMMYFUNCTION("""COMPUTED_VALUE"""),0.00225)</f>
        <v>0.00225</v>
      </c>
      <c r="I141" s="19" t="str">
        <f>IFERROR(__xludf.DUMMYFUNCTION("""COMPUTED_VALUE"""),"-")</f>
        <v>-</v>
      </c>
      <c r="J141" s="19">
        <f>IFERROR(__xludf.DUMMYFUNCTION("""COMPUTED_VALUE"""),0.00194)</f>
        <v>0.00194</v>
      </c>
      <c r="K141" s="19">
        <f>IFERROR(__xludf.DUMMYFUNCTION("""COMPUTED_VALUE"""),0.03847)</f>
        <v>0.03847</v>
      </c>
      <c r="L141" s="19" t="str">
        <f>IFERROR(__xludf.DUMMYFUNCTION("""COMPUTED_VALUE"""),"-")</f>
        <v>-</v>
      </c>
      <c r="M141" s="19">
        <f>IFERROR(__xludf.DUMMYFUNCTION("""COMPUTED_VALUE"""),0.0355)</f>
        <v>0.0355</v>
      </c>
    </row>
    <row r="142">
      <c r="A142" s="12" t="s">
        <v>7132</v>
      </c>
      <c r="G142" s="19">
        <f>IFERROR(__xludf.DUMMYFUNCTION("SPLIT(A140, "" |"")"),138.0)</f>
        <v>138</v>
      </c>
      <c r="H142" s="19">
        <f>IFERROR(__xludf.DUMMYFUNCTION("""COMPUTED_VALUE"""),0.00242)</f>
        <v>0.00242</v>
      </c>
      <c r="I142" s="19" t="str">
        <f>IFERROR(__xludf.DUMMYFUNCTION("""COMPUTED_VALUE"""),"-")</f>
        <v>-</v>
      </c>
      <c r="J142" s="19">
        <f>IFERROR(__xludf.DUMMYFUNCTION("""COMPUTED_VALUE"""),0.0022)</f>
        <v>0.0022</v>
      </c>
      <c r="K142" s="19">
        <f>IFERROR(__xludf.DUMMYFUNCTION("""COMPUTED_VALUE"""),0.03763)</f>
        <v>0.03763</v>
      </c>
      <c r="L142" s="19" t="str">
        <f>IFERROR(__xludf.DUMMYFUNCTION("""COMPUTED_VALUE"""),"-")</f>
        <v>-</v>
      </c>
      <c r="M142" s="19">
        <f>IFERROR(__xludf.DUMMYFUNCTION("""COMPUTED_VALUE"""),0.04003)</f>
        <v>0.04003</v>
      </c>
    </row>
    <row r="143">
      <c r="A143" s="12" t="s">
        <v>7133</v>
      </c>
      <c r="G143" s="19">
        <f>IFERROR(__xludf.DUMMYFUNCTION("SPLIT(A141, "" |"")"),139.0)</f>
        <v>139</v>
      </c>
      <c r="H143" s="19">
        <f>IFERROR(__xludf.DUMMYFUNCTION("""COMPUTED_VALUE"""),0.00216)</f>
        <v>0.00216</v>
      </c>
      <c r="I143" s="19" t="str">
        <f>IFERROR(__xludf.DUMMYFUNCTION("""COMPUTED_VALUE"""),"-")</f>
        <v>-</v>
      </c>
      <c r="J143" s="19">
        <f>IFERROR(__xludf.DUMMYFUNCTION("""COMPUTED_VALUE"""),0.00199)</f>
        <v>0.00199</v>
      </c>
      <c r="K143" s="19">
        <f>IFERROR(__xludf.DUMMYFUNCTION("""COMPUTED_VALUE"""),0.0401)</f>
        <v>0.0401</v>
      </c>
      <c r="L143" s="19" t="str">
        <f>IFERROR(__xludf.DUMMYFUNCTION("""COMPUTED_VALUE"""),"-")</f>
        <v>-</v>
      </c>
      <c r="M143" s="19">
        <f>IFERROR(__xludf.DUMMYFUNCTION("""COMPUTED_VALUE"""),0.04003)</f>
        <v>0.04003</v>
      </c>
    </row>
    <row r="144">
      <c r="A144" s="12" t="s">
        <v>7134</v>
      </c>
      <c r="G144" s="19">
        <f>IFERROR(__xludf.DUMMYFUNCTION("SPLIT(A142, "" |"")"),140.0)</f>
        <v>140</v>
      </c>
      <c r="H144" s="19">
        <f>IFERROR(__xludf.DUMMYFUNCTION("""COMPUTED_VALUE"""),0.00221)</f>
        <v>0.00221</v>
      </c>
      <c r="I144" s="19" t="str">
        <f>IFERROR(__xludf.DUMMYFUNCTION("""COMPUTED_VALUE"""),"-")</f>
        <v>-</v>
      </c>
      <c r="J144" s="19">
        <f>IFERROR(__xludf.DUMMYFUNCTION("""COMPUTED_VALUE"""),0.00199)</f>
        <v>0.00199</v>
      </c>
      <c r="K144" s="19">
        <f>IFERROR(__xludf.DUMMYFUNCTION("""COMPUTED_VALUE"""),0.03873)</f>
        <v>0.03873</v>
      </c>
      <c r="L144" s="19" t="str">
        <f>IFERROR(__xludf.DUMMYFUNCTION("""COMPUTED_VALUE"""),"-")</f>
        <v>-</v>
      </c>
      <c r="M144" s="19">
        <f>IFERROR(__xludf.DUMMYFUNCTION("""COMPUTED_VALUE"""),0.04007)</f>
        <v>0.04007</v>
      </c>
    </row>
    <row r="145">
      <c r="A145" s="12" t="s">
        <v>7135</v>
      </c>
      <c r="G145" s="19">
        <f>IFERROR(__xludf.DUMMYFUNCTION("SPLIT(A143, "" |"")"),141.0)</f>
        <v>141</v>
      </c>
      <c r="H145" s="19">
        <f>IFERROR(__xludf.DUMMYFUNCTION("""COMPUTED_VALUE"""),0.00224)</f>
        <v>0.00224</v>
      </c>
      <c r="I145" s="19" t="str">
        <f>IFERROR(__xludf.DUMMYFUNCTION("""COMPUTED_VALUE"""),"-")</f>
        <v>-</v>
      </c>
      <c r="J145" s="19">
        <f>IFERROR(__xludf.DUMMYFUNCTION("""COMPUTED_VALUE"""),0.00196)</f>
        <v>0.00196</v>
      </c>
      <c r="K145" s="19">
        <f>IFERROR(__xludf.DUMMYFUNCTION("""COMPUTED_VALUE"""),0.03719)</f>
        <v>0.03719</v>
      </c>
      <c r="L145" s="19" t="str">
        <f>IFERROR(__xludf.DUMMYFUNCTION("""COMPUTED_VALUE"""),"-")</f>
        <v>-</v>
      </c>
      <c r="M145" s="19">
        <f>IFERROR(__xludf.DUMMYFUNCTION("""COMPUTED_VALUE"""),0.04006)</f>
        <v>0.04006</v>
      </c>
    </row>
    <row r="146">
      <c r="A146" s="12" t="s">
        <v>7136</v>
      </c>
      <c r="G146" s="19">
        <f>IFERROR(__xludf.DUMMYFUNCTION("SPLIT(A144, "" |"")"),142.0)</f>
        <v>142</v>
      </c>
      <c r="H146" s="19">
        <f>IFERROR(__xludf.DUMMYFUNCTION("""COMPUTED_VALUE"""),0.00232)</f>
        <v>0.00232</v>
      </c>
      <c r="I146" s="19" t="str">
        <f>IFERROR(__xludf.DUMMYFUNCTION("""COMPUTED_VALUE"""),"-")</f>
        <v>-</v>
      </c>
      <c r="J146" s="19">
        <f>IFERROR(__xludf.DUMMYFUNCTION("""COMPUTED_VALUE"""),0.00203)</f>
        <v>0.00203</v>
      </c>
      <c r="K146" s="19">
        <f>IFERROR(__xludf.DUMMYFUNCTION("""COMPUTED_VALUE"""),0.03796)</f>
        <v>0.03796</v>
      </c>
      <c r="L146" s="19" t="str">
        <f>IFERROR(__xludf.DUMMYFUNCTION("""COMPUTED_VALUE"""),"-")</f>
        <v>-</v>
      </c>
      <c r="M146" s="19">
        <f>IFERROR(__xludf.DUMMYFUNCTION("""COMPUTED_VALUE"""),0.04021)</f>
        <v>0.04021</v>
      </c>
    </row>
    <row r="147">
      <c r="A147" s="12" t="s">
        <v>7137</v>
      </c>
      <c r="G147" s="19">
        <f>IFERROR(__xludf.DUMMYFUNCTION("SPLIT(A145, "" |"")"),143.0)</f>
        <v>143</v>
      </c>
      <c r="H147" s="19">
        <f>IFERROR(__xludf.DUMMYFUNCTION("""COMPUTED_VALUE"""),0.00222)</f>
        <v>0.00222</v>
      </c>
      <c r="I147" s="19" t="str">
        <f>IFERROR(__xludf.DUMMYFUNCTION("""COMPUTED_VALUE"""),"-")</f>
        <v>-</v>
      </c>
      <c r="J147" s="19">
        <f>IFERROR(__xludf.DUMMYFUNCTION("""COMPUTED_VALUE"""),0.00213)</f>
        <v>0.00213</v>
      </c>
      <c r="K147" s="19">
        <f>IFERROR(__xludf.DUMMYFUNCTION("""COMPUTED_VALUE"""),0.03958)</f>
        <v>0.03958</v>
      </c>
      <c r="L147" s="19" t="str">
        <f>IFERROR(__xludf.DUMMYFUNCTION("""COMPUTED_VALUE"""),"-")</f>
        <v>-</v>
      </c>
      <c r="M147" s="19">
        <f>IFERROR(__xludf.DUMMYFUNCTION("""COMPUTED_VALUE"""),0.03976)</f>
        <v>0.03976</v>
      </c>
    </row>
    <row r="148">
      <c r="A148" s="12" t="s">
        <v>7138</v>
      </c>
      <c r="G148" s="19">
        <f>IFERROR(__xludf.DUMMYFUNCTION("SPLIT(A146, "" |"")"),144.0)</f>
        <v>144</v>
      </c>
      <c r="H148" s="19">
        <f>IFERROR(__xludf.DUMMYFUNCTION("""COMPUTED_VALUE"""),0.00231)</f>
        <v>0.00231</v>
      </c>
      <c r="I148" s="19" t="str">
        <f>IFERROR(__xludf.DUMMYFUNCTION("""COMPUTED_VALUE"""),"-")</f>
        <v>-</v>
      </c>
      <c r="J148" s="19">
        <f>IFERROR(__xludf.DUMMYFUNCTION("""COMPUTED_VALUE"""),0.002)</f>
        <v>0.002</v>
      </c>
      <c r="K148" s="19">
        <f>IFERROR(__xludf.DUMMYFUNCTION("""COMPUTED_VALUE"""),0.03883)</f>
        <v>0.03883</v>
      </c>
      <c r="L148" s="19" t="str">
        <f>IFERROR(__xludf.DUMMYFUNCTION("""COMPUTED_VALUE"""),"-")</f>
        <v>-</v>
      </c>
      <c r="M148" s="19">
        <f>IFERROR(__xludf.DUMMYFUNCTION("""COMPUTED_VALUE"""),0.03816)</f>
        <v>0.03816</v>
      </c>
    </row>
    <row r="149">
      <c r="A149" s="12" t="s">
        <v>7139</v>
      </c>
      <c r="G149" s="19">
        <f>IFERROR(__xludf.DUMMYFUNCTION("SPLIT(A147, "" |"")"),145.0)</f>
        <v>145</v>
      </c>
      <c r="H149" s="19">
        <f>IFERROR(__xludf.DUMMYFUNCTION("""COMPUTED_VALUE"""),0.00218)</f>
        <v>0.00218</v>
      </c>
      <c r="I149" s="19" t="str">
        <f>IFERROR(__xludf.DUMMYFUNCTION("""COMPUTED_VALUE"""),"-")</f>
        <v>-</v>
      </c>
      <c r="J149" s="19">
        <f>IFERROR(__xludf.DUMMYFUNCTION("""COMPUTED_VALUE"""),0.00194)</f>
        <v>0.00194</v>
      </c>
      <c r="K149" s="19">
        <f>IFERROR(__xludf.DUMMYFUNCTION("""COMPUTED_VALUE"""),0.03586)</f>
        <v>0.03586</v>
      </c>
      <c r="L149" s="19" t="str">
        <f>IFERROR(__xludf.DUMMYFUNCTION("""COMPUTED_VALUE"""),"-")</f>
        <v>-</v>
      </c>
      <c r="M149" s="19">
        <f>IFERROR(__xludf.DUMMYFUNCTION("""COMPUTED_VALUE"""),0.03856)</f>
        <v>0.03856</v>
      </c>
    </row>
    <row r="150">
      <c r="A150" s="12" t="s">
        <v>7140</v>
      </c>
      <c r="G150" s="19">
        <f>IFERROR(__xludf.DUMMYFUNCTION("SPLIT(A148, "" |"")"),146.0)</f>
        <v>146</v>
      </c>
      <c r="H150" s="19">
        <f>IFERROR(__xludf.DUMMYFUNCTION("""COMPUTED_VALUE"""),0.00219)</f>
        <v>0.00219</v>
      </c>
      <c r="I150" s="19" t="str">
        <f>IFERROR(__xludf.DUMMYFUNCTION("""COMPUTED_VALUE"""),"-")</f>
        <v>-</v>
      </c>
      <c r="J150" s="19">
        <f>IFERROR(__xludf.DUMMYFUNCTION("""COMPUTED_VALUE"""),0.00202)</f>
        <v>0.00202</v>
      </c>
      <c r="K150" s="19">
        <f>IFERROR(__xludf.DUMMYFUNCTION("""COMPUTED_VALUE"""),0.07102)</f>
        <v>0.07102</v>
      </c>
      <c r="L150" s="19" t="str">
        <f>IFERROR(__xludf.DUMMYFUNCTION("""COMPUTED_VALUE"""),"-")</f>
        <v>-</v>
      </c>
      <c r="M150" s="19">
        <f>IFERROR(__xludf.DUMMYFUNCTION("""COMPUTED_VALUE"""),0.04029)</f>
        <v>0.04029</v>
      </c>
    </row>
    <row r="151">
      <c r="A151" s="12" t="s">
        <v>7141</v>
      </c>
      <c r="G151" s="19">
        <f>IFERROR(__xludf.DUMMYFUNCTION("SPLIT(A149, "" |"")"),147.0)</f>
        <v>147</v>
      </c>
      <c r="H151" s="19">
        <f>IFERROR(__xludf.DUMMYFUNCTION("""COMPUTED_VALUE"""),0.00224)</f>
        <v>0.00224</v>
      </c>
      <c r="I151" s="19" t="str">
        <f>IFERROR(__xludf.DUMMYFUNCTION("""COMPUTED_VALUE"""),"-")</f>
        <v>-</v>
      </c>
      <c r="J151" s="19">
        <f>IFERROR(__xludf.DUMMYFUNCTION("""COMPUTED_VALUE"""),0.00202)</f>
        <v>0.00202</v>
      </c>
      <c r="K151" s="19">
        <f>IFERROR(__xludf.DUMMYFUNCTION("""COMPUTED_VALUE"""),0.03969)</f>
        <v>0.03969</v>
      </c>
      <c r="L151" s="19" t="str">
        <f>IFERROR(__xludf.DUMMYFUNCTION("""COMPUTED_VALUE"""),"-")</f>
        <v>-</v>
      </c>
      <c r="M151" s="19">
        <f>IFERROR(__xludf.DUMMYFUNCTION("""COMPUTED_VALUE"""),0.03672)</f>
        <v>0.03672</v>
      </c>
    </row>
    <row r="152">
      <c r="A152" s="12" t="s">
        <v>7142</v>
      </c>
      <c r="G152" s="19">
        <f>IFERROR(__xludf.DUMMYFUNCTION("SPLIT(A150, "" |"")"),148.0)</f>
        <v>148</v>
      </c>
      <c r="H152" s="19">
        <f>IFERROR(__xludf.DUMMYFUNCTION("""COMPUTED_VALUE"""),0.00202)</f>
        <v>0.00202</v>
      </c>
      <c r="I152" s="19" t="str">
        <f>IFERROR(__xludf.DUMMYFUNCTION("""COMPUTED_VALUE"""),"-")</f>
        <v>-</v>
      </c>
      <c r="J152" s="19">
        <f>IFERROR(__xludf.DUMMYFUNCTION("""COMPUTED_VALUE"""),0.00201)</f>
        <v>0.00201</v>
      </c>
      <c r="K152" s="19">
        <f>IFERROR(__xludf.DUMMYFUNCTION("""COMPUTED_VALUE"""),0.03977)</f>
        <v>0.03977</v>
      </c>
      <c r="L152" s="19" t="str">
        <f>IFERROR(__xludf.DUMMYFUNCTION("""COMPUTED_VALUE"""),"-")</f>
        <v>-</v>
      </c>
      <c r="M152" s="19">
        <f>IFERROR(__xludf.DUMMYFUNCTION("""COMPUTED_VALUE"""),0.03978)</f>
        <v>0.03978</v>
      </c>
    </row>
    <row r="153">
      <c r="A153" s="12" t="s">
        <v>7143</v>
      </c>
      <c r="G153" s="19">
        <f>IFERROR(__xludf.DUMMYFUNCTION("SPLIT(A151, "" |"")"),149.0)</f>
        <v>149</v>
      </c>
      <c r="H153" s="19">
        <f>IFERROR(__xludf.DUMMYFUNCTION("""COMPUTED_VALUE"""),0.00209)</f>
        <v>0.00209</v>
      </c>
      <c r="I153" s="19" t="str">
        <f>IFERROR(__xludf.DUMMYFUNCTION("""COMPUTED_VALUE"""),"-")</f>
        <v>-</v>
      </c>
      <c r="J153" s="19">
        <f>IFERROR(__xludf.DUMMYFUNCTION("""COMPUTED_VALUE"""),0.00196)</f>
        <v>0.00196</v>
      </c>
      <c r="K153" s="19">
        <f>IFERROR(__xludf.DUMMYFUNCTION("""COMPUTED_VALUE"""),0.03983)</f>
        <v>0.03983</v>
      </c>
      <c r="L153" s="19" t="str">
        <f>IFERROR(__xludf.DUMMYFUNCTION("""COMPUTED_VALUE"""),"-")</f>
        <v>-</v>
      </c>
      <c r="M153" s="19">
        <f>IFERROR(__xludf.DUMMYFUNCTION("""COMPUTED_VALUE"""),0.03971)</f>
        <v>0.03971</v>
      </c>
    </row>
    <row r="154">
      <c r="A154" s="12" t="s">
        <v>7144</v>
      </c>
      <c r="G154" s="19">
        <f>IFERROR(__xludf.DUMMYFUNCTION("SPLIT(A152, "" |"")"),150.0)</f>
        <v>150</v>
      </c>
      <c r="H154" s="19">
        <f>IFERROR(__xludf.DUMMYFUNCTION("""COMPUTED_VALUE"""),0.00233)</f>
        <v>0.00233</v>
      </c>
      <c r="I154" s="19" t="str">
        <f>IFERROR(__xludf.DUMMYFUNCTION("""COMPUTED_VALUE"""),"-")</f>
        <v>-</v>
      </c>
      <c r="J154" s="19">
        <f>IFERROR(__xludf.DUMMYFUNCTION("""COMPUTED_VALUE"""),0.0019)</f>
        <v>0.0019</v>
      </c>
      <c r="K154" s="19">
        <f>IFERROR(__xludf.DUMMYFUNCTION("""COMPUTED_VALUE"""),0.03959)</f>
        <v>0.03959</v>
      </c>
      <c r="L154" s="19" t="str">
        <f>IFERROR(__xludf.DUMMYFUNCTION("""COMPUTED_VALUE"""),"-")</f>
        <v>-</v>
      </c>
      <c r="M154" s="19">
        <f>IFERROR(__xludf.DUMMYFUNCTION("""COMPUTED_VALUE"""),0.03986)</f>
        <v>0.03986</v>
      </c>
    </row>
    <row r="155">
      <c r="A155" s="12" t="s">
        <v>7145</v>
      </c>
      <c r="G155" s="19">
        <f>IFERROR(__xludf.DUMMYFUNCTION("SPLIT(A153, "" |"")"),151.0)</f>
        <v>151</v>
      </c>
      <c r="H155" s="19">
        <f>IFERROR(__xludf.DUMMYFUNCTION("""COMPUTED_VALUE"""),0.00209)</f>
        <v>0.00209</v>
      </c>
      <c r="I155" s="19" t="str">
        <f>IFERROR(__xludf.DUMMYFUNCTION("""COMPUTED_VALUE"""),"-")</f>
        <v>-</v>
      </c>
      <c r="J155" s="19">
        <f>IFERROR(__xludf.DUMMYFUNCTION("""COMPUTED_VALUE"""),0.00185)</f>
        <v>0.00185</v>
      </c>
      <c r="K155" s="19">
        <f>IFERROR(__xludf.DUMMYFUNCTION("""COMPUTED_VALUE"""),0.03955)</f>
        <v>0.03955</v>
      </c>
      <c r="L155" s="19" t="str">
        <f>IFERROR(__xludf.DUMMYFUNCTION("""COMPUTED_VALUE"""),"-")</f>
        <v>-</v>
      </c>
      <c r="M155" s="19">
        <f>IFERROR(__xludf.DUMMYFUNCTION("""COMPUTED_VALUE"""),0.04074)</f>
        <v>0.04074</v>
      </c>
    </row>
    <row r="156">
      <c r="A156" s="12" t="s">
        <v>7146</v>
      </c>
      <c r="G156" s="19">
        <f>IFERROR(__xludf.DUMMYFUNCTION("SPLIT(A154, "" |"")"),152.0)</f>
        <v>152</v>
      </c>
      <c r="H156" s="19">
        <f>IFERROR(__xludf.DUMMYFUNCTION("""COMPUTED_VALUE"""),0.00198)</f>
        <v>0.00198</v>
      </c>
      <c r="I156" s="19" t="str">
        <f>IFERROR(__xludf.DUMMYFUNCTION("""COMPUTED_VALUE"""),"-")</f>
        <v>-</v>
      </c>
      <c r="J156" s="19">
        <f>IFERROR(__xludf.DUMMYFUNCTION("""COMPUTED_VALUE"""),0.00181)</f>
        <v>0.00181</v>
      </c>
      <c r="K156" s="19">
        <f>IFERROR(__xludf.DUMMYFUNCTION("""COMPUTED_VALUE"""),0.03965)</f>
        <v>0.03965</v>
      </c>
      <c r="L156" s="19" t="str">
        <f>IFERROR(__xludf.DUMMYFUNCTION("""COMPUTED_VALUE"""),"-")</f>
        <v>-</v>
      </c>
      <c r="M156" s="19">
        <f>IFERROR(__xludf.DUMMYFUNCTION("""COMPUTED_VALUE"""),0.0399)</f>
        <v>0.0399</v>
      </c>
    </row>
    <row r="157">
      <c r="A157" s="12" t="s">
        <v>7147</v>
      </c>
      <c r="G157" s="19">
        <f>IFERROR(__xludf.DUMMYFUNCTION("SPLIT(A155, "" |"")"),153.0)</f>
        <v>153</v>
      </c>
      <c r="H157" s="19">
        <f>IFERROR(__xludf.DUMMYFUNCTION("""COMPUTED_VALUE"""),0.00229)</f>
        <v>0.00229</v>
      </c>
      <c r="I157" s="19" t="str">
        <f>IFERROR(__xludf.DUMMYFUNCTION("""COMPUTED_VALUE"""),"-")</f>
        <v>-</v>
      </c>
      <c r="J157" s="19">
        <f>IFERROR(__xludf.DUMMYFUNCTION("""COMPUTED_VALUE"""),0.00217)</f>
        <v>0.00217</v>
      </c>
      <c r="K157" s="19">
        <f>IFERROR(__xludf.DUMMYFUNCTION("""COMPUTED_VALUE"""),0.03829)</f>
        <v>0.03829</v>
      </c>
      <c r="L157" s="19" t="str">
        <f>IFERROR(__xludf.DUMMYFUNCTION("""COMPUTED_VALUE"""),"-")</f>
        <v>-</v>
      </c>
      <c r="M157" s="19">
        <f>IFERROR(__xludf.DUMMYFUNCTION("""COMPUTED_VALUE"""),0.04086)</f>
        <v>0.04086</v>
      </c>
    </row>
    <row r="158">
      <c r="A158" s="12" t="s">
        <v>7148</v>
      </c>
      <c r="G158" s="19">
        <f>IFERROR(__xludf.DUMMYFUNCTION("SPLIT(A156, "" |"")"),154.0)</f>
        <v>154</v>
      </c>
      <c r="H158" s="19">
        <f>IFERROR(__xludf.DUMMYFUNCTION("""COMPUTED_VALUE"""),0.00197)</f>
        <v>0.00197</v>
      </c>
      <c r="I158" s="19" t="str">
        <f>IFERROR(__xludf.DUMMYFUNCTION("""COMPUTED_VALUE"""),"-")</f>
        <v>-</v>
      </c>
      <c r="J158" s="19">
        <f>IFERROR(__xludf.DUMMYFUNCTION("""COMPUTED_VALUE"""),0.00197)</f>
        <v>0.00197</v>
      </c>
      <c r="K158" s="19">
        <f>IFERROR(__xludf.DUMMYFUNCTION("""COMPUTED_VALUE"""),0.03962)</f>
        <v>0.03962</v>
      </c>
      <c r="L158" s="19" t="str">
        <f>IFERROR(__xludf.DUMMYFUNCTION("""COMPUTED_VALUE"""),"-")</f>
        <v>-</v>
      </c>
      <c r="M158" s="19">
        <f>IFERROR(__xludf.DUMMYFUNCTION("""COMPUTED_VALUE"""),0.04057)</f>
        <v>0.04057</v>
      </c>
    </row>
    <row r="159">
      <c r="A159" s="12" t="s">
        <v>7149</v>
      </c>
      <c r="G159" s="19">
        <f>IFERROR(__xludf.DUMMYFUNCTION("SPLIT(A157, "" |"")"),155.0)</f>
        <v>155</v>
      </c>
      <c r="H159" s="19">
        <f>IFERROR(__xludf.DUMMYFUNCTION("""COMPUTED_VALUE"""),0.0021)</f>
        <v>0.0021</v>
      </c>
      <c r="I159" s="19" t="str">
        <f>IFERROR(__xludf.DUMMYFUNCTION("""COMPUTED_VALUE"""),"-")</f>
        <v>-</v>
      </c>
      <c r="J159" s="19">
        <f>IFERROR(__xludf.DUMMYFUNCTION("""COMPUTED_VALUE"""),0.0018)</f>
        <v>0.0018</v>
      </c>
      <c r="K159" s="19">
        <f>IFERROR(__xludf.DUMMYFUNCTION("""COMPUTED_VALUE"""),0.03956)</f>
        <v>0.03956</v>
      </c>
      <c r="L159" s="19" t="str">
        <f>IFERROR(__xludf.DUMMYFUNCTION("""COMPUTED_VALUE"""),"-")</f>
        <v>-</v>
      </c>
      <c r="M159" s="19">
        <f>IFERROR(__xludf.DUMMYFUNCTION("""COMPUTED_VALUE"""),0.03966)</f>
        <v>0.03966</v>
      </c>
    </row>
    <row r="160">
      <c r="A160" s="12" t="s">
        <v>7150</v>
      </c>
      <c r="G160" s="19">
        <f>IFERROR(__xludf.DUMMYFUNCTION("SPLIT(A158, "" |"")"),156.0)</f>
        <v>156</v>
      </c>
      <c r="H160" s="19">
        <f>IFERROR(__xludf.DUMMYFUNCTION("""COMPUTED_VALUE"""),0.00213)</f>
        <v>0.00213</v>
      </c>
      <c r="I160" s="19" t="str">
        <f>IFERROR(__xludf.DUMMYFUNCTION("""COMPUTED_VALUE"""),"-")</f>
        <v>-</v>
      </c>
      <c r="J160" s="19">
        <f>IFERROR(__xludf.DUMMYFUNCTION("""COMPUTED_VALUE"""),0.00183)</f>
        <v>0.00183</v>
      </c>
      <c r="K160" s="19">
        <f>IFERROR(__xludf.DUMMYFUNCTION("""COMPUTED_VALUE"""),0.03781)</f>
        <v>0.03781</v>
      </c>
      <c r="L160" s="19" t="str">
        <f>IFERROR(__xludf.DUMMYFUNCTION("""COMPUTED_VALUE"""),"-")</f>
        <v>-</v>
      </c>
      <c r="M160" s="19">
        <f>IFERROR(__xludf.DUMMYFUNCTION("""COMPUTED_VALUE"""),0.03996)</f>
        <v>0.03996</v>
      </c>
    </row>
    <row r="161">
      <c r="A161" s="12" t="s">
        <v>7151</v>
      </c>
      <c r="G161" s="19">
        <f>IFERROR(__xludf.DUMMYFUNCTION("SPLIT(A159, "" |"")"),157.0)</f>
        <v>157</v>
      </c>
      <c r="H161" s="19">
        <f>IFERROR(__xludf.DUMMYFUNCTION("""COMPUTED_VALUE"""),0.00212)</f>
        <v>0.00212</v>
      </c>
      <c r="I161" s="19" t="str">
        <f>IFERROR(__xludf.DUMMYFUNCTION("""COMPUTED_VALUE"""),"-")</f>
        <v>-</v>
      </c>
      <c r="J161" s="19">
        <f>IFERROR(__xludf.DUMMYFUNCTION("""COMPUTED_VALUE"""),0.00197)</f>
        <v>0.00197</v>
      </c>
      <c r="K161" s="19">
        <f>IFERROR(__xludf.DUMMYFUNCTION("""COMPUTED_VALUE"""),0.03954)</f>
        <v>0.03954</v>
      </c>
      <c r="L161" s="19" t="str">
        <f>IFERROR(__xludf.DUMMYFUNCTION("""COMPUTED_VALUE"""),"-")</f>
        <v>-</v>
      </c>
      <c r="M161" s="19">
        <f>IFERROR(__xludf.DUMMYFUNCTION("""COMPUTED_VALUE"""),0.03979)</f>
        <v>0.03979</v>
      </c>
    </row>
    <row r="162">
      <c r="A162" s="12" t="s">
        <v>7152</v>
      </c>
      <c r="G162" s="19">
        <f>IFERROR(__xludf.DUMMYFUNCTION("SPLIT(A160, "" |"")"),158.0)</f>
        <v>158</v>
      </c>
      <c r="H162" s="19">
        <f>IFERROR(__xludf.DUMMYFUNCTION("""COMPUTED_VALUE"""),0.00204)</f>
        <v>0.00204</v>
      </c>
      <c r="I162" s="19" t="str">
        <f>IFERROR(__xludf.DUMMYFUNCTION("""COMPUTED_VALUE"""),"-")</f>
        <v>-</v>
      </c>
      <c r="J162" s="19">
        <f>IFERROR(__xludf.DUMMYFUNCTION("""COMPUTED_VALUE"""),0.00199)</f>
        <v>0.00199</v>
      </c>
      <c r="K162" s="19">
        <f>IFERROR(__xludf.DUMMYFUNCTION("""COMPUTED_VALUE"""),0.03977)</f>
        <v>0.03977</v>
      </c>
      <c r="L162" s="19" t="str">
        <f>IFERROR(__xludf.DUMMYFUNCTION("""COMPUTED_VALUE"""),"-")</f>
        <v>-</v>
      </c>
      <c r="M162" s="19">
        <f>IFERROR(__xludf.DUMMYFUNCTION("""COMPUTED_VALUE"""),0.03984)</f>
        <v>0.03984</v>
      </c>
    </row>
    <row r="163">
      <c r="A163" s="12" t="s">
        <v>7153</v>
      </c>
      <c r="G163" s="19">
        <f>IFERROR(__xludf.DUMMYFUNCTION("SPLIT(A161, "" |"")"),159.0)</f>
        <v>159</v>
      </c>
      <c r="H163" s="19">
        <f>IFERROR(__xludf.DUMMYFUNCTION("""COMPUTED_VALUE"""),0.00208)</f>
        <v>0.00208</v>
      </c>
      <c r="I163" s="19" t="str">
        <f>IFERROR(__xludf.DUMMYFUNCTION("""COMPUTED_VALUE"""),"-")</f>
        <v>-</v>
      </c>
      <c r="J163" s="19">
        <f>IFERROR(__xludf.DUMMYFUNCTION("""COMPUTED_VALUE"""),0.00198)</f>
        <v>0.00198</v>
      </c>
      <c r="K163" s="19">
        <f>IFERROR(__xludf.DUMMYFUNCTION("""COMPUTED_VALUE"""),0.03961)</f>
        <v>0.03961</v>
      </c>
      <c r="L163" s="19" t="str">
        <f>IFERROR(__xludf.DUMMYFUNCTION("""COMPUTED_VALUE"""),"-")</f>
        <v>-</v>
      </c>
      <c r="M163" s="19">
        <f>IFERROR(__xludf.DUMMYFUNCTION("""COMPUTED_VALUE"""),0.03983)</f>
        <v>0.03983</v>
      </c>
    </row>
    <row r="164">
      <c r="A164" s="12" t="s">
        <v>7154</v>
      </c>
      <c r="G164" s="19">
        <f>IFERROR(__xludf.DUMMYFUNCTION("SPLIT(A162, "" |"")"),160.0)</f>
        <v>160</v>
      </c>
      <c r="H164" s="19">
        <f>IFERROR(__xludf.DUMMYFUNCTION("""COMPUTED_VALUE"""),0.00199)</f>
        <v>0.00199</v>
      </c>
      <c r="I164" s="19" t="str">
        <f>IFERROR(__xludf.DUMMYFUNCTION("""COMPUTED_VALUE"""),"-")</f>
        <v>-</v>
      </c>
      <c r="J164" s="19">
        <f>IFERROR(__xludf.DUMMYFUNCTION("""COMPUTED_VALUE"""),0.00187)</f>
        <v>0.00187</v>
      </c>
      <c r="K164" s="19">
        <f>IFERROR(__xludf.DUMMYFUNCTION("""COMPUTED_VALUE"""),0.03971)</f>
        <v>0.03971</v>
      </c>
      <c r="L164" s="19" t="str">
        <f>IFERROR(__xludf.DUMMYFUNCTION("""COMPUTED_VALUE"""),"-")</f>
        <v>-</v>
      </c>
      <c r="M164" s="19">
        <f>IFERROR(__xludf.DUMMYFUNCTION("""COMPUTED_VALUE"""),0.03988)</f>
        <v>0.03988</v>
      </c>
    </row>
    <row r="165">
      <c r="A165" s="12" t="s">
        <v>7155</v>
      </c>
      <c r="G165" s="19">
        <f>IFERROR(__xludf.DUMMYFUNCTION("SPLIT(A163, "" |"")"),161.0)</f>
        <v>161</v>
      </c>
      <c r="H165" s="19">
        <f>IFERROR(__xludf.DUMMYFUNCTION("""COMPUTED_VALUE"""),0.00207)</f>
        <v>0.00207</v>
      </c>
      <c r="I165" s="19" t="str">
        <f>IFERROR(__xludf.DUMMYFUNCTION("""COMPUTED_VALUE"""),"-")</f>
        <v>-</v>
      </c>
      <c r="J165" s="19">
        <f>IFERROR(__xludf.DUMMYFUNCTION("""COMPUTED_VALUE"""),0.00201)</f>
        <v>0.00201</v>
      </c>
      <c r="K165" s="19">
        <f>IFERROR(__xludf.DUMMYFUNCTION("""COMPUTED_VALUE"""),0.03964)</f>
        <v>0.03964</v>
      </c>
      <c r="L165" s="19" t="str">
        <f>IFERROR(__xludf.DUMMYFUNCTION("""COMPUTED_VALUE"""),"-")</f>
        <v>-</v>
      </c>
      <c r="M165" s="19">
        <f>IFERROR(__xludf.DUMMYFUNCTION("""COMPUTED_VALUE"""),0.03984)</f>
        <v>0.03984</v>
      </c>
    </row>
    <row r="166">
      <c r="A166" s="12" t="s">
        <v>7156</v>
      </c>
      <c r="G166" s="19">
        <f>IFERROR(__xludf.DUMMYFUNCTION("SPLIT(A164, "" |"")"),162.0)</f>
        <v>162</v>
      </c>
      <c r="H166" s="19">
        <f>IFERROR(__xludf.DUMMYFUNCTION("""COMPUTED_VALUE"""),0.00207)</f>
        <v>0.00207</v>
      </c>
      <c r="I166" s="19" t="str">
        <f>IFERROR(__xludf.DUMMYFUNCTION("""COMPUTED_VALUE"""),"-")</f>
        <v>-</v>
      </c>
      <c r="J166" s="19">
        <f>IFERROR(__xludf.DUMMYFUNCTION("""COMPUTED_VALUE"""),0.00181)</f>
        <v>0.00181</v>
      </c>
      <c r="K166" s="19">
        <f>IFERROR(__xludf.DUMMYFUNCTION("""COMPUTED_VALUE"""),0.03835)</f>
        <v>0.03835</v>
      </c>
      <c r="L166" s="19" t="str">
        <f>IFERROR(__xludf.DUMMYFUNCTION("""COMPUTED_VALUE"""),"-")</f>
        <v>-</v>
      </c>
      <c r="M166" s="19">
        <f>IFERROR(__xludf.DUMMYFUNCTION("""COMPUTED_VALUE"""),0.03979)</f>
        <v>0.03979</v>
      </c>
    </row>
    <row r="167">
      <c r="A167" s="12" t="s">
        <v>7157</v>
      </c>
      <c r="G167" s="19">
        <f>IFERROR(__xludf.DUMMYFUNCTION("SPLIT(A165, "" |"")"),163.0)</f>
        <v>163</v>
      </c>
      <c r="H167" s="19">
        <f>IFERROR(__xludf.DUMMYFUNCTION("""COMPUTED_VALUE"""),0.00218)</f>
        <v>0.00218</v>
      </c>
      <c r="I167" s="19" t="str">
        <f>IFERROR(__xludf.DUMMYFUNCTION("""COMPUTED_VALUE"""),"-")</f>
        <v>-</v>
      </c>
      <c r="J167" s="19">
        <f>IFERROR(__xludf.DUMMYFUNCTION("""COMPUTED_VALUE"""),0.00185)</f>
        <v>0.00185</v>
      </c>
      <c r="K167" s="19">
        <f>IFERROR(__xludf.DUMMYFUNCTION("""COMPUTED_VALUE"""),0.03619)</f>
        <v>0.03619</v>
      </c>
      <c r="L167" s="19" t="str">
        <f>IFERROR(__xludf.DUMMYFUNCTION("""COMPUTED_VALUE"""),"-")</f>
        <v>-</v>
      </c>
      <c r="M167" s="19">
        <f>IFERROR(__xludf.DUMMYFUNCTION("""COMPUTED_VALUE"""),0.0379)</f>
        <v>0.0379</v>
      </c>
    </row>
    <row r="168">
      <c r="A168" s="12" t="s">
        <v>7158</v>
      </c>
      <c r="G168" s="19">
        <f>IFERROR(__xludf.DUMMYFUNCTION("SPLIT(A166, "" |"")"),164.0)</f>
        <v>164</v>
      </c>
      <c r="H168" s="19">
        <f>IFERROR(__xludf.DUMMYFUNCTION("""COMPUTED_VALUE"""),0.0021)</f>
        <v>0.0021</v>
      </c>
      <c r="I168" s="19" t="str">
        <f>IFERROR(__xludf.DUMMYFUNCTION("""COMPUTED_VALUE"""),"-")</f>
        <v>-</v>
      </c>
      <c r="J168" s="19">
        <f>IFERROR(__xludf.DUMMYFUNCTION("""COMPUTED_VALUE"""),0.00193)</f>
        <v>0.00193</v>
      </c>
      <c r="K168" s="19">
        <f>IFERROR(__xludf.DUMMYFUNCTION("""COMPUTED_VALUE"""),0.03965)</f>
        <v>0.03965</v>
      </c>
      <c r="L168" s="19" t="str">
        <f>IFERROR(__xludf.DUMMYFUNCTION("""COMPUTED_VALUE"""),"-")</f>
        <v>-</v>
      </c>
      <c r="M168" s="19">
        <f>IFERROR(__xludf.DUMMYFUNCTION("""COMPUTED_VALUE"""),0.03684)</f>
        <v>0.03684</v>
      </c>
    </row>
    <row r="169">
      <c r="A169" s="12" t="s">
        <v>7159</v>
      </c>
      <c r="G169" s="19">
        <f>IFERROR(__xludf.DUMMYFUNCTION("SPLIT(A167, "" |"")"),165.0)</f>
        <v>165</v>
      </c>
      <c r="H169" s="19">
        <f>IFERROR(__xludf.DUMMYFUNCTION("""COMPUTED_VALUE"""),0.00201)</f>
        <v>0.00201</v>
      </c>
      <c r="I169" s="19" t="str">
        <f>IFERROR(__xludf.DUMMYFUNCTION("""COMPUTED_VALUE"""),"-")</f>
        <v>-</v>
      </c>
      <c r="J169" s="19">
        <f>IFERROR(__xludf.DUMMYFUNCTION("""COMPUTED_VALUE"""),0.00187)</f>
        <v>0.00187</v>
      </c>
      <c r="K169" s="19">
        <f>IFERROR(__xludf.DUMMYFUNCTION("""COMPUTED_VALUE"""),0.03954)</f>
        <v>0.03954</v>
      </c>
      <c r="L169" s="19" t="str">
        <f>IFERROR(__xludf.DUMMYFUNCTION("""COMPUTED_VALUE"""),"-")</f>
        <v>-</v>
      </c>
      <c r="M169" s="19">
        <f>IFERROR(__xludf.DUMMYFUNCTION("""COMPUTED_VALUE"""),0.03975)</f>
        <v>0.03975</v>
      </c>
    </row>
    <row r="170">
      <c r="A170" s="12" t="s">
        <v>7160</v>
      </c>
      <c r="G170" s="19">
        <f>IFERROR(__xludf.DUMMYFUNCTION("SPLIT(A168, "" |"")"),166.0)</f>
        <v>166</v>
      </c>
      <c r="H170" s="19">
        <f>IFERROR(__xludf.DUMMYFUNCTION("""COMPUTED_VALUE"""),0.00218)</f>
        <v>0.00218</v>
      </c>
      <c r="I170" s="19" t="str">
        <f>IFERROR(__xludf.DUMMYFUNCTION("""COMPUTED_VALUE"""),"-")</f>
        <v>-</v>
      </c>
      <c r="J170" s="19">
        <f>IFERROR(__xludf.DUMMYFUNCTION("""COMPUTED_VALUE"""),0.00178)</f>
        <v>0.00178</v>
      </c>
      <c r="K170" s="19">
        <f>IFERROR(__xludf.DUMMYFUNCTION("""COMPUTED_VALUE"""),0.03983)</f>
        <v>0.03983</v>
      </c>
      <c r="L170" s="19" t="str">
        <f>IFERROR(__xludf.DUMMYFUNCTION("""COMPUTED_VALUE"""),"-")</f>
        <v>-</v>
      </c>
      <c r="M170" s="19">
        <f>IFERROR(__xludf.DUMMYFUNCTION("""COMPUTED_VALUE"""),0.03988)</f>
        <v>0.03988</v>
      </c>
    </row>
    <row r="171">
      <c r="A171" s="12" t="s">
        <v>7161</v>
      </c>
      <c r="G171" s="19">
        <f>IFERROR(__xludf.DUMMYFUNCTION("SPLIT(A169, "" |"")"),167.0)</f>
        <v>167</v>
      </c>
      <c r="H171" s="19">
        <f>IFERROR(__xludf.DUMMYFUNCTION("""COMPUTED_VALUE"""),0.00206)</f>
        <v>0.00206</v>
      </c>
      <c r="I171" s="19" t="str">
        <f>IFERROR(__xludf.DUMMYFUNCTION("""COMPUTED_VALUE"""),"-")</f>
        <v>-</v>
      </c>
      <c r="J171" s="19">
        <f>IFERROR(__xludf.DUMMYFUNCTION("""COMPUTED_VALUE"""),0.00192)</f>
        <v>0.00192</v>
      </c>
      <c r="K171" s="19">
        <f>IFERROR(__xludf.DUMMYFUNCTION("""COMPUTED_VALUE"""),0.04439)</f>
        <v>0.04439</v>
      </c>
      <c r="L171" s="19" t="str">
        <f>IFERROR(__xludf.DUMMYFUNCTION("""COMPUTED_VALUE"""),"-")</f>
        <v>-</v>
      </c>
      <c r="M171" s="19">
        <f>IFERROR(__xludf.DUMMYFUNCTION("""COMPUTED_VALUE"""),0.04969)</f>
        <v>0.04969</v>
      </c>
    </row>
    <row r="172">
      <c r="A172" s="12" t="s">
        <v>7162</v>
      </c>
      <c r="G172" s="19">
        <f>IFERROR(__xludf.DUMMYFUNCTION("SPLIT(A170, "" |"")"),168.0)</f>
        <v>168</v>
      </c>
      <c r="H172" s="19">
        <f>IFERROR(__xludf.DUMMYFUNCTION("""COMPUTED_VALUE"""),0.00227)</f>
        <v>0.00227</v>
      </c>
      <c r="I172" s="19" t="str">
        <f>IFERROR(__xludf.DUMMYFUNCTION("""COMPUTED_VALUE"""),"-")</f>
        <v>-</v>
      </c>
      <c r="J172" s="19">
        <f>IFERROR(__xludf.DUMMYFUNCTION("""COMPUTED_VALUE"""),0.00207)</f>
        <v>0.00207</v>
      </c>
      <c r="K172" s="19">
        <f>IFERROR(__xludf.DUMMYFUNCTION("""COMPUTED_VALUE"""),0.03988)</f>
        <v>0.03988</v>
      </c>
      <c r="L172" s="19" t="str">
        <f>IFERROR(__xludf.DUMMYFUNCTION("""COMPUTED_VALUE"""),"-")</f>
        <v>-</v>
      </c>
      <c r="M172" s="19">
        <f>IFERROR(__xludf.DUMMYFUNCTION("""COMPUTED_VALUE"""),0.03921)</f>
        <v>0.03921</v>
      </c>
    </row>
    <row r="173">
      <c r="A173" s="12" t="s">
        <v>7163</v>
      </c>
      <c r="G173" s="19">
        <f>IFERROR(__xludf.DUMMYFUNCTION("SPLIT(A171, "" |"")"),169.0)</f>
        <v>169</v>
      </c>
      <c r="H173" s="19">
        <f>IFERROR(__xludf.DUMMYFUNCTION("""COMPUTED_VALUE"""),0.0022)</f>
        <v>0.0022</v>
      </c>
      <c r="I173" s="19" t="str">
        <f>IFERROR(__xludf.DUMMYFUNCTION("""COMPUTED_VALUE"""),"-")</f>
        <v>-</v>
      </c>
      <c r="J173" s="19">
        <f>IFERROR(__xludf.DUMMYFUNCTION("""COMPUTED_VALUE"""),0.00193)</f>
        <v>0.00193</v>
      </c>
      <c r="K173" s="19">
        <f>IFERROR(__xludf.DUMMYFUNCTION("""COMPUTED_VALUE"""),0.03635)</f>
        <v>0.03635</v>
      </c>
      <c r="L173" s="19" t="str">
        <f>IFERROR(__xludf.DUMMYFUNCTION("""COMPUTED_VALUE"""),"-")</f>
        <v>-</v>
      </c>
      <c r="M173" s="19">
        <f>IFERROR(__xludf.DUMMYFUNCTION("""COMPUTED_VALUE"""),0.04073)</f>
        <v>0.04073</v>
      </c>
    </row>
    <row r="174">
      <c r="A174" s="12" t="s">
        <v>7164</v>
      </c>
      <c r="G174" s="19">
        <f>IFERROR(__xludf.DUMMYFUNCTION("SPLIT(A172, "" |"")"),170.0)</f>
        <v>170</v>
      </c>
      <c r="H174" s="19">
        <f>IFERROR(__xludf.DUMMYFUNCTION("""COMPUTED_VALUE"""),0.00232)</f>
        <v>0.00232</v>
      </c>
      <c r="I174" s="19" t="str">
        <f>IFERROR(__xludf.DUMMYFUNCTION("""COMPUTED_VALUE"""),"-")</f>
        <v>-</v>
      </c>
      <c r="J174" s="19">
        <f>IFERROR(__xludf.DUMMYFUNCTION("""COMPUTED_VALUE"""),0.00246)</f>
        <v>0.00246</v>
      </c>
      <c r="K174" s="19">
        <f>IFERROR(__xludf.DUMMYFUNCTION("""COMPUTED_VALUE"""),0.07374)</f>
        <v>0.07374</v>
      </c>
      <c r="L174" s="19" t="str">
        <f>IFERROR(__xludf.DUMMYFUNCTION("""COMPUTED_VALUE"""),"-")</f>
        <v>-</v>
      </c>
      <c r="M174" s="19">
        <f>IFERROR(__xludf.DUMMYFUNCTION("""COMPUTED_VALUE"""),0.03804)</f>
        <v>0.03804</v>
      </c>
    </row>
    <row r="175">
      <c r="A175" s="12" t="s">
        <v>7165</v>
      </c>
      <c r="G175" s="19">
        <f>IFERROR(__xludf.DUMMYFUNCTION("SPLIT(A173, "" |"")"),171.0)</f>
        <v>171</v>
      </c>
      <c r="H175" s="19">
        <f>IFERROR(__xludf.DUMMYFUNCTION("""COMPUTED_VALUE"""),0.00222)</f>
        <v>0.00222</v>
      </c>
      <c r="I175" s="19" t="str">
        <f>IFERROR(__xludf.DUMMYFUNCTION("""COMPUTED_VALUE"""),"-")</f>
        <v>-</v>
      </c>
      <c r="J175" s="19">
        <f>IFERROR(__xludf.DUMMYFUNCTION("""COMPUTED_VALUE"""),0.00201)</f>
        <v>0.00201</v>
      </c>
      <c r="K175" s="19">
        <f>IFERROR(__xludf.DUMMYFUNCTION("""COMPUTED_VALUE"""),0.03961)</f>
        <v>0.03961</v>
      </c>
      <c r="L175" s="19" t="str">
        <f>IFERROR(__xludf.DUMMYFUNCTION("""COMPUTED_VALUE"""),"-")</f>
        <v>-</v>
      </c>
      <c r="M175" s="19">
        <f>IFERROR(__xludf.DUMMYFUNCTION("""COMPUTED_VALUE"""),0.03919)</f>
        <v>0.03919</v>
      </c>
    </row>
    <row r="176">
      <c r="A176" s="12" t="s">
        <v>7166</v>
      </c>
      <c r="G176" s="19">
        <f>IFERROR(__xludf.DUMMYFUNCTION("SPLIT(A174, "" |"")"),172.0)</f>
        <v>172</v>
      </c>
      <c r="H176" s="19">
        <f>IFERROR(__xludf.DUMMYFUNCTION("""COMPUTED_VALUE"""),0.00216)</f>
        <v>0.00216</v>
      </c>
      <c r="I176" s="19" t="str">
        <f>IFERROR(__xludf.DUMMYFUNCTION("""COMPUTED_VALUE"""),"-")</f>
        <v>-</v>
      </c>
      <c r="J176" s="19">
        <f>IFERROR(__xludf.DUMMYFUNCTION("""COMPUTED_VALUE"""),0.00217)</f>
        <v>0.00217</v>
      </c>
      <c r="K176" s="19">
        <f>IFERROR(__xludf.DUMMYFUNCTION("""COMPUTED_VALUE"""),0.04012)</f>
        <v>0.04012</v>
      </c>
      <c r="L176" s="19" t="str">
        <f>IFERROR(__xludf.DUMMYFUNCTION("""COMPUTED_VALUE"""),"-")</f>
        <v>-</v>
      </c>
      <c r="M176" s="19">
        <f>IFERROR(__xludf.DUMMYFUNCTION("""COMPUTED_VALUE"""),0.03891)</f>
        <v>0.03891</v>
      </c>
    </row>
    <row r="177">
      <c r="A177" s="12" t="s">
        <v>7167</v>
      </c>
      <c r="G177" s="19">
        <f>IFERROR(__xludf.DUMMYFUNCTION("SPLIT(A175, "" |"")"),173.0)</f>
        <v>173</v>
      </c>
      <c r="H177" s="19">
        <f>IFERROR(__xludf.DUMMYFUNCTION("""COMPUTED_VALUE"""),0.00212)</f>
        <v>0.00212</v>
      </c>
      <c r="I177" s="19" t="str">
        <f>IFERROR(__xludf.DUMMYFUNCTION("""COMPUTED_VALUE"""),"-")</f>
        <v>-</v>
      </c>
      <c r="J177" s="19">
        <f>IFERROR(__xludf.DUMMYFUNCTION("""COMPUTED_VALUE"""),0.00213)</f>
        <v>0.00213</v>
      </c>
      <c r="K177" s="19">
        <f>IFERROR(__xludf.DUMMYFUNCTION("""COMPUTED_VALUE"""),0.03975)</f>
        <v>0.03975</v>
      </c>
      <c r="L177" s="19" t="str">
        <f>IFERROR(__xludf.DUMMYFUNCTION("""COMPUTED_VALUE"""),"-")</f>
        <v>-</v>
      </c>
      <c r="M177" s="19">
        <f>IFERROR(__xludf.DUMMYFUNCTION("""COMPUTED_VALUE"""),0.03926)</f>
        <v>0.03926</v>
      </c>
    </row>
    <row r="178">
      <c r="A178" s="12" t="s">
        <v>7168</v>
      </c>
      <c r="G178" s="19">
        <f>IFERROR(__xludf.DUMMYFUNCTION("SPLIT(A176, "" |"")"),174.0)</f>
        <v>174</v>
      </c>
      <c r="H178" s="19">
        <f>IFERROR(__xludf.DUMMYFUNCTION("""COMPUTED_VALUE"""),0.00223)</f>
        <v>0.00223</v>
      </c>
      <c r="I178" s="19" t="str">
        <f>IFERROR(__xludf.DUMMYFUNCTION("""COMPUTED_VALUE"""),"-")</f>
        <v>-</v>
      </c>
      <c r="J178" s="19">
        <f>IFERROR(__xludf.DUMMYFUNCTION("""COMPUTED_VALUE"""),0.00193)</f>
        <v>0.00193</v>
      </c>
      <c r="K178" s="19">
        <f>IFERROR(__xludf.DUMMYFUNCTION("""COMPUTED_VALUE"""),0.03936)</f>
        <v>0.03936</v>
      </c>
      <c r="L178" s="19" t="str">
        <f>IFERROR(__xludf.DUMMYFUNCTION("""COMPUTED_VALUE"""),"-")</f>
        <v>-</v>
      </c>
      <c r="M178" s="19">
        <f>IFERROR(__xludf.DUMMYFUNCTION("""COMPUTED_VALUE"""),0.04016)</f>
        <v>0.04016</v>
      </c>
    </row>
    <row r="179">
      <c r="A179" s="12" t="s">
        <v>7169</v>
      </c>
      <c r="G179" s="19">
        <f>IFERROR(__xludf.DUMMYFUNCTION("SPLIT(A177, "" |"")"),175.0)</f>
        <v>175</v>
      </c>
      <c r="H179" s="19">
        <f>IFERROR(__xludf.DUMMYFUNCTION("""COMPUTED_VALUE"""),0.00241)</f>
        <v>0.00241</v>
      </c>
      <c r="I179" s="19" t="str">
        <f>IFERROR(__xludf.DUMMYFUNCTION("""COMPUTED_VALUE"""),"-")</f>
        <v>-</v>
      </c>
      <c r="J179" s="19">
        <f>IFERROR(__xludf.DUMMYFUNCTION("""COMPUTED_VALUE"""),0.00222)</f>
        <v>0.00222</v>
      </c>
      <c r="K179" s="19">
        <f>IFERROR(__xludf.DUMMYFUNCTION("""COMPUTED_VALUE"""),0.03986)</f>
        <v>0.03986</v>
      </c>
      <c r="L179" s="19" t="str">
        <f>IFERROR(__xludf.DUMMYFUNCTION("""COMPUTED_VALUE"""),"-")</f>
        <v>-</v>
      </c>
      <c r="M179" s="19">
        <f>IFERROR(__xludf.DUMMYFUNCTION("""COMPUTED_VALUE"""),0.04038)</f>
        <v>0.04038</v>
      </c>
    </row>
    <row r="180">
      <c r="A180" s="12" t="s">
        <v>7170</v>
      </c>
      <c r="G180" s="19">
        <f>IFERROR(__xludf.DUMMYFUNCTION("SPLIT(A178, "" |"")"),176.0)</f>
        <v>176</v>
      </c>
      <c r="H180" s="19">
        <f>IFERROR(__xludf.DUMMYFUNCTION("""COMPUTED_VALUE"""),0.0022)</f>
        <v>0.0022</v>
      </c>
      <c r="I180" s="19" t="str">
        <f>IFERROR(__xludf.DUMMYFUNCTION("""COMPUTED_VALUE"""),"-")</f>
        <v>-</v>
      </c>
      <c r="J180" s="19">
        <f>IFERROR(__xludf.DUMMYFUNCTION("""COMPUTED_VALUE"""),0.00193)</f>
        <v>0.00193</v>
      </c>
      <c r="K180" s="19">
        <f>IFERROR(__xludf.DUMMYFUNCTION("""COMPUTED_VALUE"""),0.03935)</f>
        <v>0.03935</v>
      </c>
      <c r="L180" s="19" t="str">
        <f>IFERROR(__xludf.DUMMYFUNCTION("""COMPUTED_VALUE"""),"-")</f>
        <v>-</v>
      </c>
      <c r="M180" s="19">
        <f>IFERROR(__xludf.DUMMYFUNCTION("""COMPUTED_VALUE"""),0.03737)</f>
        <v>0.03737</v>
      </c>
    </row>
    <row r="181">
      <c r="A181" s="12" t="s">
        <v>7171</v>
      </c>
      <c r="G181" s="19">
        <f>IFERROR(__xludf.DUMMYFUNCTION("SPLIT(A179, "" |"")"),177.0)</f>
        <v>177</v>
      </c>
      <c r="H181" s="19">
        <f>IFERROR(__xludf.DUMMYFUNCTION("""COMPUTED_VALUE"""),0.00218)</f>
        <v>0.00218</v>
      </c>
      <c r="I181" s="19" t="str">
        <f>IFERROR(__xludf.DUMMYFUNCTION("""COMPUTED_VALUE"""),"-")</f>
        <v>-</v>
      </c>
      <c r="J181" s="19">
        <f>IFERROR(__xludf.DUMMYFUNCTION("""COMPUTED_VALUE"""),0.00207)</f>
        <v>0.00207</v>
      </c>
      <c r="K181" s="19">
        <f>IFERROR(__xludf.DUMMYFUNCTION("""COMPUTED_VALUE"""),0.04036)</f>
        <v>0.04036</v>
      </c>
      <c r="L181" s="19" t="str">
        <f>IFERROR(__xludf.DUMMYFUNCTION("""COMPUTED_VALUE"""),"-")</f>
        <v>-</v>
      </c>
      <c r="M181" s="19">
        <f>IFERROR(__xludf.DUMMYFUNCTION("""COMPUTED_VALUE"""),0.03695)</f>
        <v>0.03695</v>
      </c>
    </row>
    <row r="182">
      <c r="A182" s="12" t="s">
        <v>7172</v>
      </c>
      <c r="G182" s="19">
        <f>IFERROR(__xludf.DUMMYFUNCTION("SPLIT(A180, "" |"")"),178.0)</f>
        <v>178</v>
      </c>
      <c r="H182" s="19">
        <f>IFERROR(__xludf.DUMMYFUNCTION("""COMPUTED_VALUE"""),0.00211)</f>
        <v>0.00211</v>
      </c>
      <c r="I182" s="19" t="str">
        <f>IFERROR(__xludf.DUMMYFUNCTION("""COMPUTED_VALUE"""),"-")</f>
        <v>-</v>
      </c>
      <c r="J182" s="19">
        <f>IFERROR(__xludf.DUMMYFUNCTION("""COMPUTED_VALUE"""),0.00188)</f>
        <v>0.00188</v>
      </c>
      <c r="K182" s="19">
        <f>IFERROR(__xludf.DUMMYFUNCTION("""COMPUTED_VALUE"""),0.03972)</f>
        <v>0.03972</v>
      </c>
      <c r="L182" s="19" t="str">
        <f>IFERROR(__xludf.DUMMYFUNCTION("""COMPUTED_VALUE"""),"-")</f>
        <v>-</v>
      </c>
      <c r="M182" s="19">
        <f>IFERROR(__xludf.DUMMYFUNCTION("""COMPUTED_VALUE"""),0.04036)</f>
        <v>0.04036</v>
      </c>
    </row>
    <row r="183">
      <c r="A183" s="12" t="s">
        <v>7173</v>
      </c>
      <c r="G183" s="19">
        <f>IFERROR(__xludf.DUMMYFUNCTION("SPLIT(A181, "" |"")"),179.0)</f>
        <v>179</v>
      </c>
      <c r="H183" s="19">
        <f>IFERROR(__xludf.DUMMYFUNCTION("""COMPUTED_VALUE"""),0.00218)</f>
        <v>0.00218</v>
      </c>
      <c r="I183" s="19" t="str">
        <f>IFERROR(__xludf.DUMMYFUNCTION("""COMPUTED_VALUE"""),"-")</f>
        <v>-</v>
      </c>
      <c r="J183" s="19">
        <f>IFERROR(__xludf.DUMMYFUNCTION("""COMPUTED_VALUE"""),0.00194)</f>
        <v>0.00194</v>
      </c>
      <c r="K183" s="19">
        <f>IFERROR(__xludf.DUMMYFUNCTION("""COMPUTED_VALUE"""),0.03949)</f>
        <v>0.03949</v>
      </c>
      <c r="L183" s="19" t="str">
        <f>IFERROR(__xludf.DUMMYFUNCTION("""COMPUTED_VALUE"""),"-")</f>
        <v>-</v>
      </c>
      <c r="M183" s="19">
        <f>IFERROR(__xludf.DUMMYFUNCTION("""COMPUTED_VALUE"""),0.03977)</f>
        <v>0.03977</v>
      </c>
    </row>
    <row r="184">
      <c r="A184" s="12" t="s">
        <v>7174</v>
      </c>
      <c r="G184" s="19">
        <f>IFERROR(__xludf.DUMMYFUNCTION("SPLIT(A182, "" |"")"),180.0)</f>
        <v>180</v>
      </c>
      <c r="H184" s="19">
        <f>IFERROR(__xludf.DUMMYFUNCTION("""COMPUTED_VALUE"""),0.00209)</f>
        <v>0.00209</v>
      </c>
      <c r="I184" s="19" t="str">
        <f>IFERROR(__xludf.DUMMYFUNCTION("""COMPUTED_VALUE"""),"-")</f>
        <v>-</v>
      </c>
      <c r="J184" s="19">
        <f>IFERROR(__xludf.DUMMYFUNCTION("""COMPUTED_VALUE"""),0.00202)</f>
        <v>0.00202</v>
      </c>
      <c r="K184" s="19">
        <f>IFERROR(__xludf.DUMMYFUNCTION("""COMPUTED_VALUE"""),0.037)</f>
        <v>0.037</v>
      </c>
      <c r="L184" s="19" t="str">
        <f>IFERROR(__xludf.DUMMYFUNCTION("""COMPUTED_VALUE"""),"-")</f>
        <v>-</v>
      </c>
      <c r="M184" s="19">
        <f>IFERROR(__xludf.DUMMYFUNCTION("""COMPUTED_VALUE"""),0.03992)</f>
        <v>0.03992</v>
      </c>
    </row>
    <row r="185">
      <c r="A185" s="12" t="s">
        <v>7175</v>
      </c>
      <c r="G185" s="19">
        <f>IFERROR(__xludf.DUMMYFUNCTION("SPLIT(A183, "" |"")"),181.0)</f>
        <v>181</v>
      </c>
      <c r="H185" s="19">
        <f>IFERROR(__xludf.DUMMYFUNCTION("""COMPUTED_VALUE"""),0.00202)</f>
        <v>0.00202</v>
      </c>
      <c r="I185" s="19" t="str">
        <f>IFERROR(__xludf.DUMMYFUNCTION("""COMPUTED_VALUE"""),"-")</f>
        <v>-</v>
      </c>
      <c r="J185" s="19">
        <f>IFERROR(__xludf.DUMMYFUNCTION("""COMPUTED_VALUE"""),0.00191)</f>
        <v>0.00191</v>
      </c>
      <c r="K185" s="19">
        <f>IFERROR(__xludf.DUMMYFUNCTION("""COMPUTED_VALUE"""),0.04018)</f>
        <v>0.04018</v>
      </c>
      <c r="L185" s="19" t="str">
        <f>IFERROR(__xludf.DUMMYFUNCTION("""COMPUTED_VALUE"""),"-")</f>
        <v>-</v>
      </c>
      <c r="M185" s="19">
        <f>IFERROR(__xludf.DUMMYFUNCTION("""COMPUTED_VALUE"""),0.03691)</f>
        <v>0.03691</v>
      </c>
    </row>
    <row r="186">
      <c r="A186" s="12" t="s">
        <v>7176</v>
      </c>
      <c r="G186" s="19">
        <f>IFERROR(__xludf.DUMMYFUNCTION("SPLIT(A184, "" |"")"),182.0)</f>
        <v>182</v>
      </c>
      <c r="H186" s="19">
        <f>IFERROR(__xludf.DUMMYFUNCTION("""COMPUTED_VALUE"""),0.00206)</f>
        <v>0.00206</v>
      </c>
      <c r="I186" s="19" t="str">
        <f>IFERROR(__xludf.DUMMYFUNCTION("""COMPUTED_VALUE"""),"-")</f>
        <v>-</v>
      </c>
      <c r="J186" s="19">
        <f>IFERROR(__xludf.DUMMYFUNCTION("""COMPUTED_VALUE"""),0.00188)</f>
        <v>0.00188</v>
      </c>
      <c r="K186" s="19">
        <f>IFERROR(__xludf.DUMMYFUNCTION("""COMPUTED_VALUE"""),0.03966)</f>
        <v>0.03966</v>
      </c>
      <c r="L186" s="19" t="str">
        <f>IFERROR(__xludf.DUMMYFUNCTION("""COMPUTED_VALUE"""),"-")</f>
        <v>-</v>
      </c>
      <c r="M186" s="19">
        <f>IFERROR(__xludf.DUMMYFUNCTION("""COMPUTED_VALUE"""),0.03997)</f>
        <v>0.03997</v>
      </c>
    </row>
    <row r="187">
      <c r="A187" s="12" t="s">
        <v>7177</v>
      </c>
      <c r="G187" s="19">
        <f>IFERROR(__xludf.DUMMYFUNCTION("SPLIT(A185, "" |"")"),183.0)</f>
        <v>183</v>
      </c>
      <c r="H187" s="19">
        <f>IFERROR(__xludf.DUMMYFUNCTION("""COMPUTED_VALUE"""),0.00214)</f>
        <v>0.00214</v>
      </c>
      <c r="I187" s="19" t="str">
        <f>IFERROR(__xludf.DUMMYFUNCTION("""COMPUTED_VALUE"""),"-")</f>
        <v>-</v>
      </c>
      <c r="J187" s="19">
        <f>IFERROR(__xludf.DUMMYFUNCTION("""COMPUTED_VALUE"""),0.00185)</f>
        <v>0.00185</v>
      </c>
      <c r="K187" s="19">
        <f>IFERROR(__xludf.DUMMYFUNCTION("""COMPUTED_VALUE"""),0.0397)</f>
        <v>0.0397</v>
      </c>
      <c r="L187" s="19" t="str">
        <f>IFERROR(__xludf.DUMMYFUNCTION("""COMPUTED_VALUE"""),"-")</f>
        <v>-</v>
      </c>
      <c r="M187" s="19">
        <f>IFERROR(__xludf.DUMMYFUNCTION("""COMPUTED_VALUE"""),0.0362)</f>
        <v>0.0362</v>
      </c>
    </row>
    <row r="188">
      <c r="A188" s="12" t="s">
        <v>7178</v>
      </c>
      <c r="G188" s="19">
        <f>IFERROR(__xludf.DUMMYFUNCTION("SPLIT(A186, "" |"")"),184.0)</f>
        <v>184</v>
      </c>
      <c r="H188" s="19">
        <f>IFERROR(__xludf.DUMMYFUNCTION("""COMPUTED_VALUE"""),0.00227)</f>
        <v>0.00227</v>
      </c>
      <c r="I188" s="19" t="str">
        <f>IFERROR(__xludf.DUMMYFUNCTION("""COMPUTED_VALUE"""),"-")</f>
        <v>-</v>
      </c>
      <c r="J188" s="19">
        <f>IFERROR(__xludf.DUMMYFUNCTION("""COMPUTED_VALUE"""),0.00194)</f>
        <v>0.00194</v>
      </c>
      <c r="K188" s="19">
        <f>IFERROR(__xludf.DUMMYFUNCTION("""COMPUTED_VALUE"""),0.04005)</f>
        <v>0.04005</v>
      </c>
      <c r="L188" s="19" t="str">
        <f>IFERROR(__xludf.DUMMYFUNCTION("""COMPUTED_VALUE"""),"-")</f>
        <v>-</v>
      </c>
      <c r="M188" s="19">
        <f>IFERROR(__xludf.DUMMYFUNCTION("""COMPUTED_VALUE"""),0.03942)</f>
        <v>0.03942</v>
      </c>
    </row>
    <row r="189">
      <c r="A189" s="12" t="s">
        <v>7179</v>
      </c>
      <c r="G189" s="19">
        <f>IFERROR(__xludf.DUMMYFUNCTION("SPLIT(A187, "" |"")"),185.0)</f>
        <v>185</v>
      </c>
      <c r="H189" s="19">
        <f>IFERROR(__xludf.DUMMYFUNCTION("""COMPUTED_VALUE"""),0.00229)</f>
        <v>0.00229</v>
      </c>
      <c r="I189" s="19" t="str">
        <f>IFERROR(__xludf.DUMMYFUNCTION("""COMPUTED_VALUE"""),"-")</f>
        <v>-</v>
      </c>
      <c r="J189" s="19">
        <f>IFERROR(__xludf.DUMMYFUNCTION("""COMPUTED_VALUE"""),0.00207)</f>
        <v>0.00207</v>
      </c>
      <c r="K189" s="19">
        <f>IFERROR(__xludf.DUMMYFUNCTION("""COMPUTED_VALUE"""),0.03821)</f>
        <v>0.03821</v>
      </c>
      <c r="L189" s="19" t="str">
        <f>IFERROR(__xludf.DUMMYFUNCTION("""COMPUTED_VALUE"""),"-")</f>
        <v>-</v>
      </c>
      <c r="M189" s="19">
        <f>IFERROR(__xludf.DUMMYFUNCTION("""COMPUTED_VALUE"""),0.03859)</f>
        <v>0.03859</v>
      </c>
    </row>
    <row r="190">
      <c r="A190" s="12" t="s">
        <v>7180</v>
      </c>
      <c r="G190" s="19">
        <f>IFERROR(__xludf.DUMMYFUNCTION("SPLIT(A188, "" |"")"),186.0)</f>
        <v>186</v>
      </c>
      <c r="H190" s="19">
        <f>IFERROR(__xludf.DUMMYFUNCTION("""COMPUTED_VALUE"""),0.0024)</f>
        <v>0.0024</v>
      </c>
      <c r="I190" s="19" t="str">
        <f>IFERROR(__xludf.DUMMYFUNCTION("""COMPUTED_VALUE"""),"-")</f>
        <v>-</v>
      </c>
      <c r="J190" s="19">
        <f>IFERROR(__xludf.DUMMYFUNCTION("""COMPUTED_VALUE"""),0.00209)</f>
        <v>0.00209</v>
      </c>
      <c r="K190" s="19">
        <f>IFERROR(__xludf.DUMMYFUNCTION("""COMPUTED_VALUE"""),0.0374)</f>
        <v>0.0374</v>
      </c>
      <c r="L190" s="19" t="str">
        <f>IFERROR(__xludf.DUMMYFUNCTION("""COMPUTED_VALUE"""),"-")</f>
        <v>-</v>
      </c>
      <c r="M190" s="19">
        <f>IFERROR(__xludf.DUMMYFUNCTION("""COMPUTED_VALUE"""),0.04015)</f>
        <v>0.04015</v>
      </c>
    </row>
    <row r="191">
      <c r="A191" s="12" t="s">
        <v>7181</v>
      </c>
      <c r="G191" s="19">
        <f>IFERROR(__xludf.DUMMYFUNCTION("SPLIT(A189, "" |"")"),187.0)</f>
        <v>187</v>
      </c>
      <c r="H191" s="19">
        <f>IFERROR(__xludf.DUMMYFUNCTION("""COMPUTED_VALUE"""),0.00224)</f>
        <v>0.00224</v>
      </c>
      <c r="I191" s="19" t="str">
        <f>IFERROR(__xludf.DUMMYFUNCTION("""COMPUTED_VALUE"""),"-")</f>
        <v>-</v>
      </c>
      <c r="J191" s="19">
        <f>IFERROR(__xludf.DUMMYFUNCTION("""COMPUTED_VALUE"""),0.00201)</f>
        <v>0.00201</v>
      </c>
      <c r="K191" s="19">
        <f>IFERROR(__xludf.DUMMYFUNCTION("""COMPUTED_VALUE"""),0.03869)</f>
        <v>0.03869</v>
      </c>
      <c r="L191" s="19" t="str">
        <f>IFERROR(__xludf.DUMMYFUNCTION("""COMPUTED_VALUE"""),"-")</f>
        <v>-</v>
      </c>
      <c r="M191" s="19">
        <f>IFERROR(__xludf.DUMMYFUNCTION("""COMPUTED_VALUE"""),0.0404)</f>
        <v>0.0404</v>
      </c>
    </row>
    <row r="192">
      <c r="A192" s="12" t="s">
        <v>7182</v>
      </c>
      <c r="G192" s="19">
        <f>IFERROR(__xludf.DUMMYFUNCTION("SPLIT(A190, "" |"")"),188.0)</f>
        <v>188</v>
      </c>
      <c r="H192" s="19">
        <f>IFERROR(__xludf.DUMMYFUNCTION("""COMPUTED_VALUE"""),0.00254)</f>
        <v>0.00254</v>
      </c>
      <c r="I192" s="19" t="str">
        <f>IFERROR(__xludf.DUMMYFUNCTION("""COMPUTED_VALUE"""),"-")</f>
        <v>-</v>
      </c>
      <c r="J192" s="19">
        <f>IFERROR(__xludf.DUMMYFUNCTION("""COMPUTED_VALUE"""),0.00224)</f>
        <v>0.00224</v>
      </c>
      <c r="K192" s="19">
        <f>IFERROR(__xludf.DUMMYFUNCTION("""COMPUTED_VALUE"""),0.03753)</f>
        <v>0.03753</v>
      </c>
      <c r="L192" s="19" t="str">
        <f>IFERROR(__xludf.DUMMYFUNCTION("""COMPUTED_VALUE"""),"-")</f>
        <v>-</v>
      </c>
      <c r="M192" s="19">
        <f>IFERROR(__xludf.DUMMYFUNCTION("""COMPUTED_VALUE"""),0.03981)</f>
        <v>0.03981</v>
      </c>
    </row>
    <row r="193">
      <c r="A193" s="12" t="s">
        <v>7183</v>
      </c>
      <c r="G193" s="19">
        <f>IFERROR(__xludf.DUMMYFUNCTION("SPLIT(A191, "" |"")"),189.0)</f>
        <v>189</v>
      </c>
      <c r="H193" s="19">
        <f>IFERROR(__xludf.DUMMYFUNCTION("""COMPUTED_VALUE"""),0.00216)</f>
        <v>0.00216</v>
      </c>
      <c r="I193" s="19" t="str">
        <f>IFERROR(__xludf.DUMMYFUNCTION("""COMPUTED_VALUE"""),"-")</f>
        <v>-</v>
      </c>
      <c r="J193" s="19">
        <f>IFERROR(__xludf.DUMMYFUNCTION("""COMPUTED_VALUE"""),0.00193)</f>
        <v>0.00193</v>
      </c>
      <c r="K193" s="19">
        <f>IFERROR(__xludf.DUMMYFUNCTION("""COMPUTED_VALUE"""),0.0397)</f>
        <v>0.0397</v>
      </c>
      <c r="L193" s="19" t="str">
        <f>IFERROR(__xludf.DUMMYFUNCTION("""COMPUTED_VALUE"""),"-")</f>
        <v>-</v>
      </c>
      <c r="M193" s="19">
        <f>IFERROR(__xludf.DUMMYFUNCTION("""COMPUTED_VALUE"""),0.04057)</f>
        <v>0.04057</v>
      </c>
    </row>
    <row r="194">
      <c r="A194" s="12" t="s">
        <v>7184</v>
      </c>
      <c r="G194" s="19">
        <f>IFERROR(__xludf.DUMMYFUNCTION("SPLIT(A192, "" |"")"),190.0)</f>
        <v>190</v>
      </c>
      <c r="H194" s="19">
        <f>IFERROR(__xludf.DUMMYFUNCTION("""COMPUTED_VALUE"""),0.0023)</f>
        <v>0.0023</v>
      </c>
      <c r="I194" s="19" t="str">
        <f>IFERROR(__xludf.DUMMYFUNCTION("""COMPUTED_VALUE"""),"-")</f>
        <v>-</v>
      </c>
      <c r="J194" s="19">
        <f>IFERROR(__xludf.DUMMYFUNCTION("""COMPUTED_VALUE"""),0.00222)</f>
        <v>0.00222</v>
      </c>
      <c r="K194" s="19">
        <f>IFERROR(__xludf.DUMMYFUNCTION("""COMPUTED_VALUE"""),0.03808)</f>
        <v>0.03808</v>
      </c>
      <c r="L194" s="19" t="str">
        <f>IFERROR(__xludf.DUMMYFUNCTION("""COMPUTED_VALUE"""),"-")</f>
        <v>-</v>
      </c>
      <c r="M194" s="19">
        <f>IFERROR(__xludf.DUMMYFUNCTION("""COMPUTED_VALUE"""),0.04012)</f>
        <v>0.04012</v>
      </c>
    </row>
    <row r="195">
      <c r="A195" s="12" t="s">
        <v>7185</v>
      </c>
      <c r="G195" s="19">
        <f>IFERROR(__xludf.DUMMYFUNCTION("SPLIT(A193, "" |"")"),191.0)</f>
        <v>191</v>
      </c>
      <c r="H195" s="19">
        <f>IFERROR(__xludf.DUMMYFUNCTION("""COMPUTED_VALUE"""),0.00235)</f>
        <v>0.00235</v>
      </c>
      <c r="I195" s="19" t="str">
        <f>IFERROR(__xludf.DUMMYFUNCTION("""COMPUTED_VALUE"""),"-")</f>
        <v>-</v>
      </c>
      <c r="J195" s="19">
        <f>IFERROR(__xludf.DUMMYFUNCTION("""COMPUTED_VALUE"""),0.00217)</f>
        <v>0.00217</v>
      </c>
      <c r="K195" s="19">
        <f>IFERROR(__xludf.DUMMYFUNCTION("""COMPUTED_VALUE"""),0.03431)</f>
        <v>0.03431</v>
      </c>
      <c r="L195" s="19" t="str">
        <f>IFERROR(__xludf.DUMMYFUNCTION("""COMPUTED_VALUE"""),"-")</f>
        <v>-</v>
      </c>
      <c r="M195" s="19">
        <f>IFERROR(__xludf.DUMMYFUNCTION("""COMPUTED_VALUE"""),0.04042)</f>
        <v>0.04042</v>
      </c>
    </row>
    <row r="196">
      <c r="A196" s="12" t="s">
        <v>7186</v>
      </c>
      <c r="G196" s="19">
        <f>IFERROR(__xludf.DUMMYFUNCTION("SPLIT(A194, "" |"")"),192.0)</f>
        <v>192</v>
      </c>
      <c r="H196" s="19">
        <f>IFERROR(__xludf.DUMMYFUNCTION("""COMPUTED_VALUE"""),0.00215)</f>
        <v>0.00215</v>
      </c>
      <c r="I196" s="19" t="str">
        <f>IFERROR(__xludf.DUMMYFUNCTION("""COMPUTED_VALUE"""),"-")</f>
        <v>-</v>
      </c>
      <c r="J196" s="19">
        <f>IFERROR(__xludf.DUMMYFUNCTION("""COMPUTED_VALUE"""),0.00195)</f>
        <v>0.00195</v>
      </c>
      <c r="K196" s="19">
        <f>IFERROR(__xludf.DUMMYFUNCTION("""COMPUTED_VALUE"""),0.03787)</f>
        <v>0.03787</v>
      </c>
      <c r="L196" s="19" t="str">
        <f>IFERROR(__xludf.DUMMYFUNCTION("""COMPUTED_VALUE"""),"-")</f>
        <v>-</v>
      </c>
      <c r="M196" s="19">
        <f>IFERROR(__xludf.DUMMYFUNCTION("""COMPUTED_VALUE"""),0.03974)</f>
        <v>0.03974</v>
      </c>
    </row>
    <row r="197">
      <c r="A197" s="12" t="s">
        <v>7187</v>
      </c>
      <c r="G197" s="19">
        <f>IFERROR(__xludf.DUMMYFUNCTION("SPLIT(A195, "" |"")"),193.0)</f>
        <v>193</v>
      </c>
      <c r="H197" s="19">
        <f>IFERROR(__xludf.DUMMYFUNCTION("""COMPUTED_VALUE"""),0.0021)</f>
        <v>0.0021</v>
      </c>
      <c r="I197" s="19" t="str">
        <f>IFERROR(__xludf.DUMMYFUNCTION("""COMPUTED_VALUE"""),"-")</f>
        <v>-</v>
      </c>
      <c r="J197" s="19">
        <f>IFERROR(__xludf.DUMMYFUNCTION("""COMPUTED_VALUE"""),0.00198)</f>
        <v>0.00198</v>
      </c>
      <c r="K197" s="19">
        <f>IFERROR(__xludf.DUMMYFUNCTION("""COMPUTED_VALUE"""),0.0387)</f>
        <v>0.0387</v>
      </c>
      <c r="L197" s="19" t="str">
        <f>IFERROR(__xludf.DUMMYFUNCTION("""COMPUTED_VALUE"""),"-")</f>
        <v>-</v>
      </c>
      <c r="M197" s="19">
        <f>IFERROR(__xludf.DUMMYFUNCTION("""COMPUTED_VALUE"""),0.04034)</f>
        <v>0.04034</v>
      </c>
    </row>
    <row r="198">
      <c r="A198" s="12" t="s">
        <v>7188</v>
      </c>
      <c r="G198" s="19">
        <f>IFERROR(__xludf.DUMMYFUNCTION("SPLIT(A196, "" |"")"),194.0)</f>
        <v>194</v>
      </c>
      <c r="H198" s="19">
        <f>IFERROR(__xludf.DUMMYFUNCTION("""COMPUTED_VALUE"""),0.00207)</f>
        <v>0.00207</v>
      </c>
      <c r="I198" s="19" t="str">
        <f>IFERROR(__xludf.DUMMYFUNCTION("""COMPUTED_VALUE"""),"-")</f>
        <v>-</v>
      </c>
      <c r="J198" s="19">
        <f>IFERROR(__xludf.DUMMYFUNCTION("""COMPUTED_VALUE"""),0.00194)</f>
        <v>0.00194</v>
      </c>
      <c r="K198" s="19">
        <f>IFERROR(__xludf.DUMMYFUNCTION("""COMPUTED_VALUE"""),0.03967)</f>
        <v>0.03967</v>
      </c>
      <c r="L198" s="19" t="str">
        <f>IFERROR(__xludf.DUMMYFUNCTION("""COMPUTED_VALUE"""),"-")</f>
        <v>-</v>
      </c>
      <c r="M198" s="19">
        <f>IFERROR(__xludf.DUMMYFUNCTION("""COMPUTED_VALUE"""),0.03984)</f>
        <v>0.03984</v>
      </c>
    </row>
    <row r="199">
      <c r="A199" s="12" t="s">
        <v>7189</v>
      </c>
      <c r="G199" s="19">
        <f>IFERROR(__xludf.DUMMYFUNCTION("SPLIT(A197, "" |"")"),195.0)</f>
        <v>195</v>
      </c>
      <c r="H199" s="19">
        <f>IFERROR(__xludf.DUMMYFUNCTION("""COMPUTED_VALUE"""),0.00192)</f>
        <v>0.00192</v>
      </c>
      <c r="I199" s="19" t="str">
        <f>IFERROR(__xludf.DUMMYFUNCTION("""COMPUTED_VALUE"""),"-")</f>
        <v>-</v>
      </c>
      <c r="J199" s="19">
        <f>IFERROR(__xludf.DUMMYFUNCTION("""COMPUTED_VALUE"""),0.00187)</f>
        <v>0.00187</v>
      </c>
      <c r="K199" s="19">
        <f>IFERROR(__xludf.DUMMYFUNCTION("""COMPUTED_VALUE"""),0.0396)</f>
        <v>0.0396</v>
      </c>
      <c r="L199" s="19" t="str">
        <f>IFERROR(__xludf.DUMMYFUNCTION("""COMPUTED_VALUE"""),"-")</f>
        <v>-</v>
      </c>
      <c r="M199" s="19">
        <f>IFERROR(__xludf.DUMMYFUNCTION("""COMPUTED_VALUE"""),0.04032)</f>
        <v>0.04032</v>
      </c>
    </row>
    <row r="200">
      <c r="A200" s="12" t="s">
        <v>7190</v>
      </c>
      <c r="G200" s="19">
        <f>IFERROR(__xludf.DUMMYFUNCTION("SPLIT(A198, "" |"")"),196.0)</f>
        <v>196</v>
      </c>
      <c r="H200" s="19">
        <f>IFERROR(__xludf.DUMMYFUNCTION("""COMPUTED_VALUE"""),0.00208)</f>
        <v>0.00208</v>
      </c>
      <c r="I200" s="19" t="str">
        <f>IFERROR(__xludf.DUMMYFUNCTION("""COMPUTED_VALUE"""),"-")</f>
        <v>-</v>
      </c>
      <c r="J200" s="19">
        <f>IFERROR(__xludf.DUMMYFUNCTION("""COMPUTED_VALUE"""),0.0019)</f>
        <v>0.0019</v>
      </c>
      <c r="K200" s="19">
        <f>IFERROR(__xludf.DUMMYFUNCTION("""COMPUTED_VALUE"""),0.03971)</f>
        <v>0.03971</v>
      </c>
      <c r="L200" s="19" t="str">
        <f>IFERROR(__xludf.DUMMYFUNCTION("""COMPUTED_VALUE"""),"-")</f>
        <v>-</v>
      </c>
      <c r="M200" s="19">
        <f>IFERROR(__xludf.DUMMYFUNCTION("""COMPUTED_VALUE"""),0.03987)</f>
        <v>0.03987</v>
      </c>
    </row>
    <row r="201">
      <c r="A201" s="12" t="s">
        <v>7191</v>
      </c>
      <c r="G201" s="19">
        <f>IFERROR(__xludf.DUMMYFUNCTION("SPLIT(A199, "" |"")"),197.0)</f>
        <v>197</v>
      </c>
      <c r="H201" s="19">
        <f>IFERROR(__xludf.DUMMYFUNCTION("""COMPUTED_VALUE"""),0.00207)</f>
        <v>0.00207</v>
      </c>
      <c r="I201" s="19" t="str">
        <f>IFERROR(__xludf.DUMMYFUNCTION("""COMPUTED_VALUE"""),"-")</f>
        <v>-</v>
      </c>
      <c r="J201" s="19">
        <f>IFERROR(__xludf.DUMMYFUNCTION("""COMPUTED_VALUE"""),0.00194)</f>
        <v>0.00194</v>
      </c>
      <c r="K201" s="19">
        <f>IFERROR(__xludf.DUMMYFUNCTION("""COMPUTED_VALUE"""),0.03968)</f>
        <v>0.03968</v>
      </c>
      <c r="L201" s="19" t="str">
        <f>IFERROR(__xludf.DUMMYFUNCTION("""COMPUTED_VALUE"""),"-")</f>
        <v>-</v>
      </c>
      <c r="M201" s="19">
        <f>IFERROR(__xludf.DUMMYFUNCTION("""COMPUTED_VALUE"""),0.04006)</f>
        <v>0.04006</v>
      </c>
    </row>
    <row r="202">
      <c r="A202" s="12" t="s">
        <v>7192</v>
      </c>
      <c r="G202" s="19">
        <f>IFERROR(__xludf.DUMMYFUNCTION("SPLIT(A200, "" |"")"),198.0)</f>
        <v>198</v>
      </c>
      <c r="H202" s="19">
        <f>IFERROR(__xludf.DUMMYFUNCTION("""COMPUTED_VALUE"""),0.00225)</f>
        <v>0.00225</v>
      </c>
      <c r="I202" s="19" t="str">
        <f>IFERROR(__xludf.DUMMYFUNCTION("""COMPUTED_VALUE"""),"-")</f>
        <v>-</v>
      </c>
      <c r="J202" s="19">
        <f>IFERROR(__xludf.DUMMYFUNCTION("""COMPUTED_VALUE"""),0.00204)</f>
        <v>0.00204</v>
      </c>
      <c r="K202" s="19">
        <f>IFERROR(__xludf.DUMMYFUNCTION("""COMPUTED_VALUE"""),0.0357)</f>
        <v>0.0357</v>
      </c>
      <c r="L202" s="19" t="str">
        <f>IFERROR(__xludf.DUMMYFUNCTION("""COMPUTED_VALUE"""),"-")</f>
        <v>-</v>
      </c>
      <c r="M202" s="19">
        <f>IFERROR(__xludf.DUMMYFUNCTION("""COMPUTED_VALUE"""),0.03972)</f>
        <v>0.03972</v>
      </c>
    </row>
    <row r="203">
      <c r="A203" s="12" t="s">
        <v>7193</v>
      </c>
      <c r="G203" s="19">
        <f>IFERROR(__xludf.DUMMYFUNCTION("SPLIT(A201, "" |"")"),199.0)</f>
        <v>199</v>
      </c>
      <c r="H203" s="19">
        <f>IFERROR(__xludf.DUMMYFUNCTION("""COMPUTED_VALUE"""),0.00221)</f>
        <v>0.00221</v>
      </c>
      <c r="I203" s="19" t="str">
        <f>IFERROR(__xludf.DUMMYFUNCTION("""COMPUTED_VALUE"""),"-")</f>
        <v>-</v>
      </c>
      <c r="J203" s="19">
        <f>IFERROR(__xludf.DUMMYFUNCTION("""COMPUTED_VALUE"""),0.00187)</f>
        <v>0.00187</v>
      </c>
      <c r="K203" s="19">
        <f>IFERROR(__xludf.DUMMYFUNCTION("""COMPUTED_VALUE"""),0.03987)</f>
        <v>0.03987</v>
      </c>
      <c r="L203" s="19" t="str">
        <f>IFERROR(__xludf.DUMMYFUNCTION("""COMPUTED_VALUE"""),"-")</f>
        <v>-</v>
      </c>
      <c r="M203" s="19">
        <f>IFERROR(__xludf.DUMMYFUNCTION("""COMPUTED_VALUE"""),0.03996)</f>
        <v>0.03996</v>
      </c>
    </row>
    <row r="204">
      <c r="A204" s="12" t="s">
        <v>7194</v>
      </c>
      <c r="G204" s="19">
        <f>IFERROR(__xludf.DUMMYFUNCTION("SPLIT(A202, "" |"")"),200.0)</f>
        <v>200</v>
      </c>
      <c r="H204" s="19">
        <f>IFERROR(__xludf.DUMMYFUNCTION("""COMPUTED_VALUE"""),0.00208)</f>
        <v>0.00208</v>
      </c>
      <c r="I204" s="19" t="str">
        <f>IFERROR(__xludf.DUMMYFUNCTION("""COMPUTED_VALUE"""),"-")</f>
        <v>-</v>
      </c>
      <c r="J204" s="19">
        <f>IFERROR(__xludf.DUMMYFUNCTION("""COMPUTED_VALUE"""),0.00196)</f>
        <v>0.00196</v>
      </c>
      <c r="K204" s="19">
        <f>IFERROR(__xludf.DUMMYFUNCTION("""COMPUTED_VALUE"""),0.03927)</f>
        <v>0.03927</v>
      </c>
      <c r="L204" s="19" t="str">
        <f>IFERROR(__xludf.DUMMYFUNCTION("""COMPUTED_VALUE"""),"-")</f>
        <v>-</v>
      </c>
      <c r="M204" s="19">
        <f>IFERROR(__xludf.DUMMYFUNCTION("""COMPUTED_VALUE"""),0.03983)</f>
        <v>0.03983</v>
      </c>
    </row>
    <row r="205">
      <c r="A205" s="12" t="s">
        <v>7195</v>
      </c>
      <c r="G205" s="19">
        <f>IFERROR(__xludf.DUMMYFUNCTION("SPLIT(A203, "" |"")"),201.0)</f>
        <v>201</v>
      </c>
      <c r="H205" s="19">
        <f>IFERROR(__xludf.DUMMYFUNCTION("""COMPUTED_VALUE"""),0.00203)</f>
        <v>0.00203</v>
      </c>
      <c r="I205" s="19" t="str">
        <f>IFERROR(__xludf.DUMMYFUNCTION("""COMPUTED_VALUE"""),"-")</f>
        <v>-</v>
      </c>
      <c r="J205" s="19">
        <f>IFERROR(__xludf.DUMMYFUNCTION("""COMPUTED_VALUE"""),0.00198)</f>
        <v>0.00198</v>
      </c>
      <c r="K205" s="19">
        <f>IFERROR(__xludf.DUMMYFUNCTION("""COMPUTED_VALUE"""),0.03956)</f>
        <v>0.03956</v>
      </c>
      <c r="L205" s="19" t="str">
        <f>IFERROR(__xludf.DUMMYFUNCTION("""COMPUTED_VALUE"""),"-")</f>
        <v>-</v>
      </c>
      <c r="M205" s="19">
        <f>IFERROR(__xludf.DUMMYFUNCTION("""COMPUTED_VALUE"""),0.03968)</f>
        <v>0.03968</v>
      </c>
    </row>
    <row r="206">
      <c r="A206" s="12" t="s">
        <v>7196</v>
      </c>
      <c r="G206" s="19">
        <f>IFERROR(__xludf.DUMMYFUNCTION("SPLIT(A204, "" |"")"),202.0)</f>
        <v>202</v>
      </c>
      <c r="H206" s="19">
        <f>IFERROR(__xludf.DUMMYFUNCTION("""COMPUTED_VALUE"""),0.002)</f>
        <v>0.002</v>
      </c>
      <c r="I206" s="19" t="str">
        <f>IFERROR(__xludf.DUMMYFUNCTION("""COMPUTED_VALUE"""),"-")</f>
        <v>-</v>
      </c>
      <c r="J206" s="19">
        <f>IFERROR(__xludf.DUMMYFUNCTION("""COMPUTED_VALUE"""),0.00185)</f>
        <v>0.00185</v>
      </c>
      <c r="K206" s="19">
        <f>IFERROR(__xludf.DUMMYFUNCTION("""COMPUTED_VALUE"""),0.03986)</f>
        <v>0.03986</v>
      </c>
      <c r="L206" s="19" t="str">
        <f>IFERROR(__xludf.DUMMYFUNCTION("""COMPUTED_VALUE"""),"-")</f>
        <v>-</v>
      </c>
      <c r="M206" s="19">
        <f>IFERROR(__xludf.DUMMYFUNCTION("""COMPUTED_VALUE"""),0.04005)</f>
        <v>0.04005</v>
      </c>
    </row>
    <row r="207">
      <c r="A207" s="12" t="s">
        <v>7197</v>
      </c>
      <c r="G207" s="19">
        <f>IFERROR(__xludf.DUMMYFUNCTION("SPLIT(A205, "" |"")"),203.0)</f>
        <v>203</v>
      </c>
      <c r="H207" s="19">
        <f>IFERROR(__xludf.DUMMYFUNCTION("""COMPUTED_VALUE"""),0.00235)</f>
        <v>0.00235</v>
      </c>
      <c r="I207" s="19" t="str">
        <f>IFERROR(__xludf.DUMMYFUNCTION("""COMPUTED_VALUE"""),"-")</f>
        <v>-</v>
      </c>
      <c r="J207" s="19">
        <f>IFERROR(__xludf.DUMMYFUNCTION("""COMPUTED_VALUE"""),0.002)</f>
        <v>0.002</v>
      </c>
      <c r="K207" s="19">
        <f>IFERROR(__xludf.DUMMYFUNCTION("""COMPUTED_VALUE"""),0.04027)</f>
        <v>0.04027</v>
      </c>
      <c r="L207" s="19" t="str">
        <f>IFERROR(__xludf.DUMMYFUNCTION("""COMPUTED_VALUE"""),"-")</f>
        <v>-</v>
      </c>
      <c r="M207" s="19">
        <f>IFERROR(__xludf.DUMMYFUNCTION("""COMPUTED_VALUE"""),0.03881)</f>
        <v>0.03881</v>
      </c>
    </row>
    <row r="208">
      <c r="A208" s="12" t="s">
        <v>7198</v>
      </c>
      <c r="G208" s="19">
        <f>IFERROR(__xludf.DUMMYFUNCTION("SPLIT(A206, "" |"")"),204.0)</f>
        <v>204</v>
      </c>
      <c r="H208" s="19">
        <f>IFERROR(__xludf.DUMMYFUNCTION("""COMPUTED_VALUE"""),0.00248)</f>
        <v>0.00248</v>
      </c>
      <c r="I208" s="19" t="str">
        <f>IFERROR(__xludf.DUMMYFUNCTION("""COMPUTED_VALUE"""),"-")</f>
        <v>-</v>
      </c>
      <c r="J208" s="19">
        <f>IFERROR(__xludf.DUMMYFUNCTION("""COMPUTED_VALUE"""),0.00237)</f>
        <v>0.00237</v>
      </c>
      <c r="K208" s="19">
        <f>IFERROR(__xludf.DUMMYFUNCTION("""COMPUTED_VALUE"""),0.0399)</f>
        <v>0.0399</v>
      </c>
      <c r="L208" s="19" t="str">
        <f>IFERROR(__xludf.DUMMYFUNCTION("""COMPUTED_VALUE"""),"-")</f>
        <v>-</v>
      </c>
      <c r="M208" s="19">
        <f>IFERROR(__xludf.DUMMYFUNCTION("""COMPUTED_VALUE"""),0.04038)</f>
        <v>0.04038</v>
      </c>
    </row>
    <row r="209">
      <c r="A209" s="12" t="s">
        <v>7199</v>
      </c>
      <c r="G209" s="19">
        <f>IFERROR(__xludf.DUMMYFUNCTION("SPLIT(A207, "" |"")"),205.0)</f>
        <v>205</v>
      </c>
      <c r="H209" s="19">
        <f>IFERROR(__xludf.DUMMYFUNCTION("""COMPUTED_VALUE"""),0.00215)</f>
        <v>0.00215</v>
      </c>
      <c r="I209" s="19" t="str">
        <f>IFERROR(__xludf.DUMMYFUNCTION("""COMPUTED_VALUE"""),"-")</f>
        <v>-</v>
      </c>
      <c r="J209" s="19">
        <f>IFERROR(__xludf.DUMMYFUNCTION("""COMPUTED_VALUE"""),0.00191)</f>
        <v>0.00191</v>
      </c>
      <c r="K209" s="19">
        <f>IFERROR(__xludf.DUMMYFUNCTION("""COMPUTED_VALUE"""),0.03972)</f>
        <v>0.03972</v>
      </c>
      <c r="L209" s="19" t="str">
        <f>IFERROR(__xludf.DUMMYFUNCTION("""COMPUTED_VALUE"""),"-")</f>
        <v>-</v>
      </c>
      <c r="M209" s="19">
        <f>IFERROR(__xludf.DUMMYFUNCTION("""COMPUTED_VALUE"""),0.04022)</f>
        <v>0.04022</v>
      </c>
    </row>
    <row r="210">
      <c r="A210" s="12" t="s">
        <v>7200</v>
      </c>
      <c r="G210" s="19">
        <f>IFERROR(__xludf.DUMMYFUNCTION("SPLIT(A208, "" |"")"),206.0)</f>
        <v>206</v>
      </c>
      <c r="H210" s="19">
        <f>IFERROR(__xludf.DUMMYFUNCTION("""COMPUTED_VALUE"""),0.00206)</f>
        <v>0.00206</v>
      </c>
      <c r="I210" s="19" t="str">
        <f>IFERROR(__xludf.DUMMYFUNCTION("""COMPUTED_VALUE"""),"-")</f>
        <v>-</v>
      </c>
      <c r="J210" s="19">
        <f>IFERROR(__xludf.DUMMYFUNCTION("""COMPUTED_VALUE"""),0.00194)</f>
        <v>0.00194</v>
      </c>
      <c r="K210" s="19">
        <f>IFERROR(__xludf.DUMMYFUNCTION("""COMPUTED_VALUE"""),0.0396)</f>
        <v>0.0396</v>
      </c>
      <c r="L210" s="19" t="str">
        <f>IFERROR(__xludf.DUMMYFUNCTION("""COMPUTED_VALUE"""),"-")</f>
        <v>-</v>
      </c>
      <c r="M210" s="19">
        <f>IFERROR(__xludf.DUMMYFUNCTION("""COMPUTED_VALUE"""),0.0406)</f>
        <v>0.0406</v>
      </c>
    </row>
    <row r="211">
      <c r="A211" s="12" t="s">
        <v>7201</v>
      </c>
      <c r="G211" s="19">
        <f>IFERROR(__xludf.DUMMYFUNCTION("SPLIT(A209, "" |"")"),207.0)</f>
        <v>207</v>
      </c>
      <c r="H211" s="19">
        <f>IFERROR(__xludf.DUMMYFUNCTION("""COMPUTED_VALUE"""),0.00218)</f>
        <v>0.00218</v>
      </c>
      <c r="I211" s="19" t="str">
        <f>IFERROR(__xludf.DUMMYFUNCTION("""COMPUTED_VALUE"""),"-")</f>
        <v>-</v>
      </c>
      <c r="J211" s="19">
        <f>IFERROR(__xludf.DUMMYFUNCTION("""COMPUTED_VALUE"""),0.00203)</f>
        <v>0.00203</v>
      </c>
      <c r="K211" s="19">
        <f>IFERROR(__xludf.DUMMYFUNCTION("""COMPUTED_VALUE"""),0.04028)</f>
        <v>0.04028</v>
      </c>
      <c r="L211" s="19" t="str">
        <f>IFERROR(__xludf.DUMMYFUNCTION("""COMPUTED_VALUE"""),"-")</f>
        <v>-</v>
      </c>
      <c r="M211" s="19">
        <f>IFERROR(__xludf.DUMMYFUNCTION("""COMPUTED_VALUE"""),0.03982)</f>
        <v>0.03982</v>
      </c>
    </row>
    <row r="212">
      <c r="A212" s="12" t="s">
        <v>7202</v>
      </c>
      <c r="G212" s="19">
        <f>IFERROR(__xludf.DUMMYFUNCTION("SPLIT(A210, "" |"")"),208.0)</f>
        <v>208</v>
      </c>
      <c r="H212" s="19">
        <f>IFERROR(__xludf.DUMMYFUNCTION("""COMPUTED_VALUE"""),0.00219)</f>
        <v>0.00219</v>
      </c>
      <c r="I212" s="19" t="str">
        <f>IFERROR(__xludf.DUMMYFUNCTION("""COMPUTED_VALUE"""),"-")</f>
        <v>-</v>
      </c>
      <c r="J212" s="19">
        <f>IFERROR(__xludf.DUMMYFUNCTION("""COMPUTED_VALUE"""),0.00186)</f>
        <v>0.00186</v>
      </c>
      <c r="K212" s="19">
        <f>IFERROR(__xludf.DUMMYFUNCTION("""COMPUTED_VALUE"""),0.03959)</f>
        <v>0.03959</v>
      </c>
      <c r="L212" s="19" t="str">
        <f>IFERROR(__xludf.DUMMYFUNCTION("""COMPUTED_VALUE"""),"-")</f>
        <v>-</v>
      </c>
      <c r="M212" s="19">
        <f>IFERROR(__xludf.DUMMYFUNCTION("""COMPUTED_VALUE"""),0.0398)</f>
        <v>0.0398</v>
      </c>
    </row>
    <row r="213">
      <c r="A213" s="12" t="s">
        <v>7203</v>
      </c>
      <c r="G213" s="19">
        <f>IFERROR(__xludf.DUMMYFUNCTION("SPLIT(A211, "" |"")"),209.0)</f>
        <v>209</v>
      </c>
      <c r="H213" s="19">
        <f>IFERROR(__xludf.DUMMYFUNCTION("""COMPUTED_VALUE"""),0.00221)</f>
        <v>0.00221</v>
      </c>
      <c r="I213" s="19" t="str">
        <f>IFERROR(__xludf.DUMMYFUNCTION("""COMPUTED_VALUE"""),"-")</f>
        <v>-</v>
      </c>
      <c r="J213" s="19">
        <f>IFERROR(__xludf.DUMMYFUNCTION("""COMPUTED_VALUE"""),0.00198)</f>
        <v>0.00198</v>
      </c>
      <c r="K213" s="19">
        <f>IFERROR(__xludf.DUMMYFUNCTION("""COMPUTED_VALUE"""),0.03973)</f>
        <v>0.03973</v>
      </c>
      <c r="L213" s="19" t="str">
        <f>IFERROR(__xludf.DUMMYFUNCTION("""COMPUTED_VALUE"""),"-")</f>
        <v>-</v>
      </c>
      <c r="M213" s="19">
        <f>IFERROR(__xludf.DUMMYFUNCTION("""COMPUTED_VALUE"""),0.0374)</f>
        <v>0.0374</v>
      </c>
    </row>
    <row r="214">
      <c r="A214" s="12" t="s">
        <v>7204</v>
      </c>
      <c r="G214" s="19">
        <f>IFERROR(__xludf.DUMMYFUNCTION("SPLIT(A212, "" |"")"),210.0)</f>
        <v>210</v>
      </c>
      <c r="H214" s="19">
        <f>IFERROR(__xludf.DUMMYFUNCTION("""COMPUTED_VALUE"""),0.00214)</f>
        <v>0.00214</v>
      </c>
      <c r="I214" s="19" t="str">
        <f>IFERROR(__xludf.DUMMYFUNCTION("""COMPUTED_VALUE"""),"-")</f>
        <v>-</v>
      </c>
      <c r="J214" s="19">
        <f>IFERROR(__xludf.DUMMYFUNCTION("""COMPUTED_VALUE"""),0.00186)</f>
        <v>0.00186</v>
      </c>
      <c r="K214" s="19">
        <f>IFERROR(__xludf.DUMMYFUNCTION("""COMPUTED_VALUE"""),0.03995)</f>
        <v>0.03995</v>
      </c>
      <c r="L214" s="19" t="str">
        <f>IFERROR(__xludf.DUMMYFUNCTION("""COMPUTED_VALUE"""),"-")</f>
        <v>-</v>
      </c>
      <c r="M214" s="19">
        <f>IFERROR(__xludf.DUMMYFUNCTION("""COMPUTED_VALUE"""),0.03855)</f>
        <v>0.03855</v>
      </c>
    </row>
    <row r="215">
      <c r="A215" s="12" t="s">
        <v>7205</v>
      </c>
      <c r="G215" s="19">
        <f>IFERROR(__xludf.DUMMYFUNCTION("SPLIT(A213, "" |"")"),211.0)</f>
        <v>211</v>
      </c>
      <c r="H215" s="19">
        <f>IFERROR(__xludf.DUMMYFUNCTION("""COMPUTED_VALUE"""),0.002)</f>
        <v>0.002</v>
      </c>
      <c r="I215" s="19" t="str">
        <f>IFERROR(__xludf.DUMMYFUNCTION("""COMPUTED_VALUE"""),"-")</f>
        <v>-</v>
      </c>
      <c r="J215" s="19">
        <f>IFERROR(__xludf.DUMMYFUNCTION("""COMPUTED_VALUE"""),0.00201)</f>
        <v>0.00201</v>
      </c>
      <c r="K215" s="19">
        <f>IFERROR(__xludf.DUMMYFUNCTION("""COMPUTED_VALUE"""),0.03959)</f>
        <v>0.03959</v>
      </c>
      <c r="L215" s="19" t="str">
        <f>IFERROR(__xludf.DUMMYFUNCTION("""COMPUTED_VALUE"""),"-")</f>
        <v>-</v>
      </c>
      <c r="M215" s="19">
        <f>IFERROR(__xludf.DUMMYFUNCTION("""COMPUTED_VALUE"""),0.03871)</f>
        <v>0.03871</v>
      </c>
    </row>
    <row r="216">
      <c r="A216" s="12" t="s">
        <v>7206</v>
      </c>
      <c r="G216" s="19">
        <f>IFERROR(__xludf.DUMMYFUNCTION("SPLIT(A214, "" |"")"),212.0)</f>
        <v>212</v>
      </c>
      <c r="H216" s="19">
        <f>IFERROR(__xludf.DUMMYFUNCTION("""COMPUTED_VALUE"""),0.00215)</f>
        <v>0.00215</v>
      </c>
      <c r="I216" s="19" t="str">
        <f>IFERROR(__xludf.DUMMYFUNCTION("""COMPUTED_VALUE"""),"-")</f>
        <v>-</v>
      </c>
      <c r="J216" s="19">
        <f>IFERROR(__xludf.DUMMYFUNCTION("""COMPUTED_VALUE"""),0.00199)</f>
        <v>0.00199</v>
      </c>
      <c r="K216" s="19">
        <f>IFERROR(__xludf.DUMMYFUNCTION("""COMPUTED_VALUE"""),0.0378)</f>
        <v>0.0378</v>
      </c>
      <c r="L216" s="19" t="str">
        <f>IFERROR(__xludf.DUMMYFUNCTION("""COMPUTED_VALUE"""),"-")</f>
        <v>-</v>
      </c>
      <c r="M216" s="19">
        <f>IFERROR(__xludf.DUMMYFUNCTION("""COMPUTED_VALUE"""),0.03977)</f>
        <v>0.03977</v>
      </c>
    </row>
    <row r="217">
      <c r="A217" s="12" t="s">
        <v>7207</v>
      </c>
      <c r="G217" s="19">
        <f>IFERROR(__xludf.DUMMYFUNCTION("SPLIT(A215, "" |"")"),213.0)</f>
        <v>213</v>
      </c>
      <c r="H217" s="19">
        <f>IFERROR(__xludf.DUMMYFUNCTION("""COMPUTED_VALUE"""),0.00213)</f>
        <v>0.00213</v>
      </c>
      <c r="I217" s="19" t="str">
        <f>IFERROR(__xludf.DUMMYFUNCTION("""COMPUTED_VALUE"""),"-")</f>
        <v>-</v>
      </c>
      <c r="J217" s="19">
        <f>IFERROR(__xludf.DUMMYFUNCTION("""COMPUTED_VALUE"""),0.00201)</f>
        <v>0.00201</v>
      </c>
      <c r="K217" s="19">
        <f>IFERROR(__xludf.DUMMYFUNCTION("""COMPUTED_VALUE"""),0.0398)</f>
        <v>0.0398</v>
      </c>
      <c r="L217" s="19" t="str">
        <f>IFERROR(__xludf.DUMMYFUNCTION("""COMPUTED_VALUE"""),"-")</f>
        <v>-</v>
      </c>
      <c r="M217" s="19">
        <f>IFERROR(__xludf.DUMMYFUNCTION("""COMPUTED_VALUE"""),0.0398)</f>
        <v>0.0398</v>
      </c>
    </row>
    <row r="218">
      <c r="A218" s="12" t="s">
        <v>7208</v>
      </c>
      <c r="G218" s="19">
        <f>IFERROR(__xludf.DUMMYFUNCTION("SPLIT(A216, "" |"")"),214.0)</f>
        <v>214</v>
      </c>
      <c r="H218" s="19">
        <f>IFERROR(__xludf.DUMMYFUNCTION("""COMPUTED_VALUE"""),0.00203)</f>
        <v>0.00203</v>
      </c>
      <c r="I218" s="19" t="str">
        <f>IFERROR(__xludf.DUMMYFUNCTION("""COMPUTED_VALUE"""),"-")</f>
        <v>-</v>
      </c>
      <c r="J218" s="19">
        <f>IFERROR(__xludf.DUMMYFUNCTION("""COMPUTED_VALUE"""),0.00183)</f>
        <v>0.00183</v>
      </c>
      <c r="K218" s="19">
        <f>IFERROR(__xludf.DUMMYFUNCTION("""COMPUTED_VALUE"""),0.03968)</f>
        <v>0.03968</v>
      </c>
      <c r="L218" s="19" t="str">
        <f>IFERROR(__xludf.DUMMYFUNCTION("""COMPUTED_VALUE"""),"-")</f>
        <v>-</v>
      </c>
      <c r="M218" s="19">
        <f>IFERROR(__xludf.DUMMYFUNCTION("""COMPUTED_VALUE"""),0.04008)</f>
        <v>0.04008</v>
      </c>
    </row>
    <row r="219">
      <c r="A219" s="12" t="s">
        <v>7209</v>
      </c>
      <c r="G219" s="19">
        <f>IFERROR(__xludf.DUMMYFUNCTION("SPLIT(A217, "" |"")"),215.0)</f>
        <v>215</v>
      </c>
      <c r="H219" s="19">
        <f>IFERROR(__xludf.DUMMYFUNCTION("""COMPUTED_VALUE"""),0.00207)</f>
        <v>0.00207</v>
      </c>
      <c r="I219" s="19" t="str">
        <f>IFERROR(__xludf.DUMMYFUNCTION("""COMPUTED_VALUE"""),"-")</f>
        <v>-</v>
      </c>
      <c r="J219" s="19">
        <f>IFERROR(__xludf.DUMMYFUNCTION("""COMPUTED_VALUE"""),0.00195)</f>
        <v>0.00195</v>
      </c>
      <c r="K219" s="19">
        <f>IFERROR(__xludf.DUMMYFUNCTION("""COMPUTED_VALUE"""),0.03971)</f>
        <v>0.03971</v>
      </c>
      <c r="L219" s="19" t="str">
        <f>IFERROR(__xludf.DUMMYFUNCTION("""COMPUTED_VALUE"""),"-")</f>
        <v>-</v>
      </c>
      <c r="M219" s="19">
        <f>IFERROR(__xludf.DUMMYFUNCTION("""COMPUTED_VALUE"""),0.03977)</f>
        <v>0.03977</v>
      </c>
    </row>
    <row r="220">
      <c r="A220" s="12" t="s">
        <v>7210</v>
      </c>
      <c r="G220" s="19">
        <f>IFERROR(__xludf.DUMMYFUNCTION("SPLIT(A218, "" |"")"),216.0)</f>
        <v>216</v>
      </c>
      <c r="H220" s="19">
        <f>IFERROR(__xludf.DUMMYFUNCTION("""COMPUTED_VALUE"""),0.00211)</f>
        <v>0.00211</v>
      </c>
      <c r="I220" s="19" t="str">
        <f>IFERROR(__xludf.DUMMYFUNCTION("""COMPUTED_VALUE"""),"-")</f>
        <v>-</v>
      </c>
      <c r="J220" s="19">
        <f>IFERROR(__xludf.DUMMYFUNCTION("""COMPUTED_VALUE"""),0.00197)</f>
        <v>0.00197</v>
      </c>
      <c r="K220" s="19">
        <f>IFERROR(__xludf.DUMMYFUNCTION("""COMPUTED_VALUE"""),0.03507)</f>
        <v>0.03507</v>
      </c>
      <c r="L220" s="19" t="str">
        <f>IFERROR(__xludf.DUMMYFUNCTION("""COMPUTED_VALUE"""),"-")</f>
        <v>-</v>
      </c>
      <c r="M220" s="19">
        <f>IFERROR(__xludf.DUMMYFUNCTION("""COMPUTED_VALUE"""),0.03936)</f>
        <v>0.03936</v>
      </c>
    </row>
    <row r="221">
      <c r="A221" s="12" t="s">
        <v>7211</v>
      </c>
      <c r="G221" s="19">
        <f>IFERROR(__xludf.DUMMYFUNCTION("SPLIT(A219, "" |"")"),217.0)</f>
        <v>217</v>
      </c>
      <c r="H221" s="19">
        <f>IFERROR(__xludf.DUMMYFUNCTION("""COMPUTED_VALUE"""),0.00202)</f>
        <v>0.00202</v>
      </c>
      <c r="I221" s="19" t="str">
        <f>IFERROR(__xludf.DUMMYFUNCTION("""COMPUTED_VALUE"""),"-")</f>
        <v>-</v>
      </c>
      <c r="J221" s="19">
        <f>IFERROR(__xludf.DUMMYFUNCTION("""COMPUTED_VALUE"""),0.00189)</f>
        <v>0.00189</v>
      </c>
      <c r="K221" s="19">
        <f>IFERROR(__xludf.DUMMYFUNCTION("""COMPUTED_VALUE"""),0.03957)</f>
        <v>0.03957</v>
      </c>
      <c r="L221" s="19" t="str">
        <f>IFERROR(__xludf.DUMMYFUNCTION("""COMPUTED_VALUE"""),"-")</f>
        <v>-</v>
      </c>
      <c r="M221" s="19">
        <f>IFERROR(__xludf.DUMMYFUNCTION("""COMPUTED_VALUE"""),0.03793)</f>
        <v>0.03793</v>
      </c>
    </row>
    <row r="222">
      <c r="A222" s="12" t="s">
        <v>7212</v>
      </c>
      <c r="G222" s="19">
        <f>IFERROR(__xludf.DUMMYFUNCTION("SPLIT(A220, "" |"")"),218.0)</f>
        <v>218</v>
      </c>
      <c r="H222" s="19">
        <f>IFERROR(__xludf.DUMMYFUNCTION("""COMPUTED_VALUE"""),0.0021)</f>
        <v>0.0021</v>
      </c>
      <c r="I222" s="19" t="str">
        <f>IFERROR(__xludf.DUMMYFUNCTION("""COMPUTED_VALUE"""),"-")</f>
        <v>-</v>
      </c>
      <c r="J222" s="19">
        <f>IFERROR(__xludf.DUMMYFUNCTION("""COMPUTED_VALUE"""),0.00199)</f>
        <v>0.00199</v>
      </c>
      <c r="K222" s="19">
        <f>IFERROR(__xludf.DUMMYFUNCTION("""COMPUTED_VALUE"""),0.03962)</f>
        <v>0.03962</v>
      </c>
      <c r="L222" s="19" t="str">
        <f>IFERROR(__xludf.DUMMYFUNCTION("""COMPUTED_VALUE"""),"-")</f>
        <v>-</v>
      </c>
      <c r="M222" s="19">
        <f>IFERROR(__xludf.DUMMYFUNCTION("""COMPUTED_VALUE"""),0.03922)</f>
        <v>0.03922</v>
      </c>
    </row>
    <row r="223">
      <c r="A223" s="12" t="s">
        <v>7213</v>
      </c>
      <c r="G223" s="19">
        <f>IFERROR(__xludf.DUMMYFUNCTION("SPLIT(A221, "" |"")"),219.0)</f>
        <v>219</v>
      </c>
      <c r="H223" s="19">
        <f>IFERROR(__xludf.DUMMYFUNCTION("""COMPUTED_VALUE"""),0.00212)</f>
        <v>0.00212</v>
      </c>
      <c r="I223" s="19" t="str">
        <f>IFERROR(__xludf.DUMMYFUNCTION("""COMPUTED_VALUE"""),"-")</f>
        <v>-</v>
      </c>
      <c r="J223" s="19">
        <f>IFERROR(__xludf.DUMMYFUNCTION("""COMPUTED_VALUE"""),0.00198)</f>
        <v>0.00198</v>
      </c>
      <c r="K223" s="19">
        <f>IFERROR(__xludf.DUMMYFUNCTION("""COMPUTED_VALUE"""),0.03972)</f>
        <v>0.03972</v>
      </c>
      <c r="L223" s="19" t="str">
        <f>IFERROR(__xludf.DUMMYFUNCTION("""COMPUTED_VALUE"""),"-")</f>
        <v>-</v>
      </c>
      <c r="M223" s="19">
        <f>IFERROR(__xludf.DUMMYFUNCTION("""COMPUTED_VALUE"""),0.03876)</f>
        <v>0.03876</v>
      </c>
    </row>
    <row r="224">
      <c r="A224" s="12" t="s">
        <v>7214</v>
      </c>
      <c r="G224" s="19">
        <f>IFERROR(__xludf.DUMMYFUNCTION("SPLIT(A222, "" |"")"),220.0)</f>
        <v>220</v>
      </c>
      <c r="H224" s="19">
        <f>IFERROR(__xludf.DUMMYFUNCTION("""COMPUTED_VALUE"""),0.00227)</f>
        <v>0.00227</v>
      </c>
      <c r="I224" s="19" t="str">
        <f>IFERROR(__xludf.DUMMYFUNCTION("""COMPUTED_VALUE"""),"-")</f>
        <v>-</v>
      </c>
      <c r="J224" s="19">
        <f>IFERROR(__xludf.DUMMYFUNCTION("""COMPUTED_VALUE"""),0.00195)</f>
        <v>0.00195</v>
      </c>
      <c r="K224" s="19">
        <f>IFERROR(__xludf.DUMMYFUNCTION("""COMPUTED_VALUE"""),0.04021)</f>
        <v>0.04021</v>
      </c>
      <c r="L224" s="19" t="str">
        <f>IFERROR(__xludf.DUMMYFUNCTION("""COMPUTED_VALUE"""),"-")</f>
        <v>-</v>
      </c>
      <c r="M224" s="19">
        <f>IFERROR(__xludf.DUMMYFUNCTION("""COMPUTED_VALUE"""),0.03994)</f>
        <v>0.03994</v>
      </c>
    </row>
    <row r="225">
      <c r="A225" s="12" t="s">
        <v>7215</v>
      </c>
      <c r="G225" s="19">
        <f>IFERROR(__xludf.DUMMYFUNCTION("SPLIT(A223, "" |"")"),221.0)</f>
        <v>221</v>
      </c>
      <c r="H225" s="19">
        <f>IFERROR(__xludf.DUMMYFUNCTION("""COMPUTED_VALUE"""),0.00268)</f>
        <v>0.00268</v>
      </c>
      <c r="I225" s="19" t="str">
        <f>IFERROR(__xludf.DUMMYFUNCTION("""COMPUTED_VALUE"""),"-")</f>
        <v>-</v>
      </c>
      <c r="J225" s="19">
        <f>IFERROR(__xludf.DUMMYFUNCTION("""COMPUTED_VALUE"""),0.00228)</f>
        <v>0.00228</v>
      </c>
      <c r="K225" s="19">
        <f>IFERROR(__xludf.DUMMYFUNCTION("""COMPUTED_VALUE"""),0.03969)</f>
        <v>0.03969</v>
      </c>
      <c r="L225" s="19" t="str">
        <f>IFERROR(__xludf.DUMMYFUNCTION("""COMPUTED_VALUE"""),"-")</f>
        <v>-</v>
      </c>
      <c r="M225" s="19">
        <f>IFERROR(__xludf.DUMMYFUNCTION("""COMPUTED_VALUE"""),0.04022)</f>
        <v>0.04022</v>
      </c>
    </row>
    <row r="226">
      <c r="A226" s="12" t="s">
        <v>7216</v>
      </c>
      <c r="G226" s="19">
        <f>IFERROR(__xludf.DUMMYFUNCTION("SPLIT(A224, "" |"")"),222.0)</f>
        <v>222</v>
      </c>
      <c r="H226" s="19">
        <f>IFERROR(__xludf.DUMMYFUNCTION("""COMPUTED_VALUE"""),0.00244)</f>
        <v>0.00244</v>
      </c>
      <c r="I226" s="19" t="str">
        <f>IFERROR(__xludf.DUMMYFUNCTION("""COMPUTED_VALUE"""),"-")</f>
        <v>-</v>
      </c>
      <c r="J226" s="19">
        <f>IFERROR(__xludf.DUMMYFUNCTION("""COMPUTED_VALUE"""),0.00224)</f>
        <v>0.00224</v>
      </c>
      <c r="K226" s="19">
        <f>IFERROR(__xludf.DUMMYFUNCTION("""COMPUTED_VALUE"""),0.03513)</f>
        <v>0.03513</v>
      </c>
      <c r="L226" s="19" t="str">
        <f>IFERROR(__xludf.DUMMYFUNCTION("""COMPUTED_VALUE"""),"-")</f>
        <v>-</v>
      </c>
      <c r="M226" s="19">
        <f>IFERROR(__xludf.DUMMYFUNCTION("""COMPUTED_VALUE"""),0.03733)</f>
        <v>0.03733</v>
      </c>
    </row>
    <row r="227">
      <c r="A227" s="12" t="s">
        <v>7217</v>
      </c>
      <c r="G227" s="19">
        <f>IFERROR(__xludf.DUMMYFUNCTION("SPLIT(A225, "" |"")"),223.0)</f>
        <v>223</v>
      </c>
      <c r="H227" s="19">
        <f>IFERROR(__xludf.DUMMYFUNCTION("""COMPUTED_VALUE"""),0.00231)</f>
        <v>0.00231</v>
      </c>
      <c r="I227" s="19" t="str">
        <f>IFERROR(__xludf.DUMMYFUNCTION("""COMPUTED_VALUE"""),"-")</f>
        <v>-</v>
      </c>
      <c r="J227" s="19">
        <f>IFERROR(__xludf.DUMMYFUNCTION("""COMPUTED_VALUE"""),0.00225)</f>
        <v>0.00225</v>
      </c>
      <c r="K227" s="19">
        <f>IFERROR(__xludf.DUMMYFUNCTION("""COMPUTED_VALUE"""),0.04031)</f>
        <v>0.04031</v>
      </c>
      <c r="L227" s="19" t="str">
        <f>IFERROR(__xludf.DUMMYFUNCTION("""COMPUTED_VALUE"""),"-")</f>
        <v>-</v>
      </c>
      <c r="M227" s="19">
        <f>IFERROR(__xludf.DUMMYFUNCTION("""COMPUTED_VALUE"""),0.04019)</f>
        <v>0.04019</v>
      </c>
    </row>
    <row r="228">
      <c r="A228" s="12" t="s">
        <v>7218</v>
      </c>
      <c r="G228" s="19">
        <f>IFERROR(__xludf.DUMMYFUNCTION("SPLIT(A226, "" |"")"),224.0)</f>
        <v>224</v>
      </c>
      <c r="H228" s="19">
        <f>IFERROR(__xludf.DUMMYFUNCTION("""COMPUTED_VALUE"""),0.00227)</f>
        <v>0.00227</v>
      </c>
      <c r="I228" s="19" t="str">
        <f>IFERROR(__xludf.DUMMYFUNCTION("""COMPUTED_VALUE"""),"-")</f>
        <v>-</v>
      </c>
      <c r="J228" s="19">
        <f>IFERROR(__xludf.DUMMYFUNCTION("""COMPUTED_VALUE"""),0.00192)</f>
        <v>0.00192</v>
      </c>
      <c r="K228" s="19">
        <f>IFERROR(__xludf.DUMMYFUNCTION("""COMPUTED_VALUE"""),0.03858)</f>
        <v>0.03858</v>
      </c>
      <c r="L228" s="19" t="str">
        <f>IFERROR(__xludf.DUMMYFUNCTION("""COMPUTED_VALUE"""),"-")</f>
        <v>-</v>
      </c>
      <c r="M228" s="19">
        <f>IFERROR(__xludf.DUMMYFUNCTION("""COMPUTED_VALUE"""),0.04073)</f>
        <v>0.04073</v>
      </c>
    </row>
    <row r="229">
      <c r="A229" s="12" t="s">
        <v>7219</v>
      </c>
      <c r="G229" s="19">
        <f>IFERROR(__xludf.DUMMYFUNCTION("SPLIT(A227, "" |"")"),225.0)</f>
        <v>225</v>
      </c>
      <c r="H229" s="19">
        <f>IFERROR(__xludf.DUMMYFUNCTION("""COMPUTED_VALUE"""),0.00226)</f>
        <v>0.00226</v>
      </c>
      <c r="I229" s="19" t="str">
        <f>IFERROR(__xludf.DUMMYFUNCTION("""COMPUTED_VALUE"""),"-")</f>
        <v>-</v>
      </c>
      <c r="J229" s="19">
        <f>IFERROR(__xludf.DUMMYFUNCTION("""COMPUTED_VALUE"""),0.00188)</f>
        <v>0.00188</v>
      </c>
      <c r="K229" s="19">
        <f>IFERROR(__xludf.DUMMYFUNCTION("""COMPUTED_VALUE"""),0.03519)</f>
        <v>0.03519</v>
      </c>
      <c r="L229" s="19" t="str">
        <f>IFERROR(__xludf.DUMMYFUNCTION("""COMPUTED_VALUE"""),"-")</f>
        <v>-</v>
      </c>
      <c r="M229" s="19">
        <f>IFERROR(__xludf.DUMMYFUNCTION("""COMPUTED_VALUE"""),0.03777)</f>
        <v>0.03777</v>
      </c>
    </row>
    <row r="230">
      <c r="A230" s="12" t="s">
        <v>7220</v>
      </c>
      <c r="G230" s="19">
        <f>IFERROR(__xludf.DUMMYFUNCTION("SPLIT(A228, "" |"")"),226.0)</f>
        <v>226</v>
      </c>
      <c r="H230" s="19">
        <f>IFERROR(__xludf.DUMMYFUNCTION("""COMPUTED_VALUE"""),0.00241)</f>
        <v>0.00241</v>
      </c>
      <c r="I230" s="19" t="str">
        <f>IFERROR(__xludf.DUMMYFUNCTION("""COMPUTED_VALUE"""),"-")</f>
        <v>-</v>
      </c>
      <c r="J230" s="19">
        <f>IFERROR(__xludf.DUMMYFUNCTION("""COMPUTED_VALUE"""),0.00221)</f>
        <v>0.00221</v>
      </c>
      <c r="K230" s="19">
        <f>IFERROR(__xludf.DUMMYFUNCTION("""COMPUTED_VALUE"""),0.03688)</f>
        <v>0.03688</v>
      </c>
      <c r="L230" s="19" t="str">
        <f>IFERROR(__xludf.DUMMYFUNCTION("""COMPUTED_VALUE"""),"-")</f>
        <v>-</v>
      </c>
      <c r="M230" s="19">
        <f>IFERROR(__xludf.DUMMYFUNCTION("""COMPUTED_VALUE"""),0.04029)</f>
        <v>0.04029</v>
      </c>
    </row>
    <row r="231">
      <c r="A231" s="12" t="s">
        <v>7221</v>
      </c>
      <c r="G231" s="19">
        <f>IFERROR(__xludf.DUMMYFUNCTION("SPLIT(A229, "" |"")"),227.0)</f>
        <v>227</v>
      </c>
      <c r="H231" s="19">
        <f>IFERROR(__xludf.DUMMYFUNCTION("""COMPUTED_VALUE"""),0.00236)</f>
        <v>0.00236</v>
      </c>
      <c r="I231" s="19" t="str">
        <f>IFERROR(__xludf.DUMMYFUNCTION("""COMPUTED_VALUE"""),"-")</f>
        <v>-</v>
      </c>
      <c r="J231" s="19">
        <f>IFERROR(__xludf.DUMMYFUNCTION("""COMPUTED_VALUE"""),0.00192)</f>
        <v>0.00192</v>
      </c>
      <c r="K231" s="19">
        <f>IFERROR(__xludf.DUMMYFUNCTION("""COMPUTED_VALUE"""),0.04002)</f>
        <v>0.04002</v>
      </c>
      <c r="L231" s="19" t="str">
        <f>IFERROR(__xludf.DUMMYFUNCTION("""COMPUTED_VALUE"""),"-")</f>
        <v>-</v>
      </c>
      <c r="M231" s="19">
        <f>IFERROR(__xludf.DUMMYFUNCTION("""COMPUTED_VALUE"""),0.03958)</f>
        <v>0.03958</v>
      </c>
    </row>
    <row r="232">
      <c r="A232" s="12" t="s">
        <v>7222</v>
      </c>
      <c r="G232" s="19">
        <f>IFERROR(__xludf.DUMMYFUNCTION("SPLIT(A230, "" |"")"),228.0)</f>
        <v>228</v>
      </c>
      <c r="H232" s="19">
        <f>IFERROR(__xludf.DUMMYFUNCTION("""COMPUTED_VALUE"""),0.00274)</f>
        <v>0.00274</v>
      </c>
      <c r="I232" s="19" t="str">
        <f>IFERROR(__xludf.DUMMYFUNCTION("""COMPUTED_VALUE"""),"-")</f>
        <v>-</v>
      </c>
      <c r="J232" s="19">
        <f>IFERROR(__xludf.DUMMYFUNCTION("""COMPUTED_VALUE"""),0.00221)</f>
        <v>0.00221</v>
      </c>
      <c r="K232" s="19">
        <f>IFERROR(__xludf.DUMMYFUNCTION("""COMPUTED_VALUE"""),0.03709)</f>
        <v>0.03709</v>
      </c>
      <c r="L232" s="19" t="str">
        <f>IFERROR(__xludf.DUMMYFUNCTION("""COMPUTED_VALUE"""),"-")</f>
        <v>-</v>
      </c>
      <c r="M232" s="19">
        <f>IFERROR(__xludf.DUMMYFUNCTION("""COMPUTED_VALUE"""),0.03662)</f>
        <v>0.03662</v>
      </c>
    </row>
    <row r="233">
      <c r="A233" s="12" t="s">
        <v>7223</v>
      </c>
      <c r="G233" s="19">
        <f>IFERROR(__xludf.DUMMYFUNCTION("SPLIT(A231, "" |"")"),229.0)</f>
        <v>229</v>
      </c>
      <c r="H233" s="19">
        <f>IFERROR(__xludf.DUMMYFUNCTION("""COMPUTED_VALUE"""),0.00228)</f>
        <v>0.00228</v>
      </c>
      <c r="I233" s="19" t="str">
        <f>IFERROR(__xludf.DUMMYFUNCTION("""COMPUTED_VALUE"""),"-")</f>
        <v>-</v>
      </c>
      <c r="J233" s="19">
        <f>IFERROR(__xludf.DUMMYFUNCTION("""COMPUTED_VALUE"""),0.00209)</f>
        <v>0.00209</v>
      </c>
      <c r="K233" s="19">
        <f>IFERROR(__xludf.DUMMYFUNCTION("""COMPUTED_VALUE"""),0.03847)</f>
        <v>0.03847</v>
      </c>
      <c r="L233" s="19" t="str">
        <f>IFERROR(__xludf.DUMMYFUNCTION("""COMPUTED_VALUE"""),"-")</f>
        <v>-</v>
      </c>
      <c r="M233" s="19">
        <f>IFERROR(__xludf.DUMMYFUNCTION("""COMPUTED_VALUE"""),0.04042)</f>
        <v>0.04042</v>
      </c>
    </row>
    <row r="234">
      <c r="A234" s="12" t="s">
        <v>7224</v>
      </c>
      <c r="G234" s="19">
        <f>IFERROR(__xludf.DUMMYFUNCTION("SPLIT(A232, "" |"")"),230.0)</f>
        <v>230</v>
      </c>
      <c r="H234" s="19">
        <f>IFERROR(__xludf.DUMMYFUNCTION("""COMPUTED_VALUE"""),0.00274)</f>
        <v>0.00274</v>
      </c>
      <c r="I234" s="19" t="str">
        <f>IFERROR(__xludf.DUMMYFUNCTION("""COMPUTED_VALUE"""),"-")</f>
        <v>-</v>
      </c>
      <c r="J234" s="19">
        <f>IFERROR(__xludf.DUMMYFUNCTION("""COMPUTED_VALUE"""),0.00205)</f>
        <v>0.00205</v>
      </c>
      <c r="K234" s="19">
        <f>IFERROR(__xludf.DUMMYFUNCTION("""COMPUTED_VALUE"""),0.03991)</f>
        <v>0.03991</v>
      </c>
      <c r="L234" s="19" t="str">
        <f>IFERROR(__xludf.DUMMYFUNCTION("""COMPUTED_VALUE"""),"-")</f>
        <v>-</v>
      </c>
      <c r="M234" s="19">
        <f>IFERROR(__xludf.DUMMYFUNCTION("""COMPUTED_VALUE"""),0.0397)</f>
        <v>0.0397</v>
      </c>
    </row>
    <row r="235">
      <c r="A235" s="12" t="s">
        <v>7225</v>
      </c>
      <c r="G235" s="19">
        <f>IFERROR(__xludf.DUMMYFUNCTION("SPLIT(A233, "" |"")"),231.0)</f>
        <v>231</v>
      </c>
      <c r="H235" s="19">
        <f>IFERROR(__xludf.DUMMYFUNCTION("""COMPUTED_VALUE"""),0.0021)</f>
        <v>0.0021</v>
      </c>
      <c r="I235" s="19" t="str">
        <f>IFERROR(__xludf.DUMMYFUNCTION("""COMPUTED_VALUE"""),"-")</f>
        <v>-</v>
      </c>
      <c r="J235" s="19">
        <f>IFERROR(__xludf.DUMMYFUNCTION("""COMPUTED_VALUE"""),0.00219)</f>
        <v>0.00219</v>
      </c>
      <c r="K235" s="19">
        <f>IFERROR(__xludf.DUMMYFUNCTION("""COMPUTED_VALUE"""),0.04007)</f>
        <v>0.04007</v>
      </c>
      <c r="L235" s="19" t="str">
        <f>IFERROR(__xludf.DUMMYFUNCTION("""COMPUTED_VALUE"""),"-")</f>
        <v>-</v>
      </c>
      <c r="M235" s="19">
        <f>IFERROR(__xludf.DUMMYFUNCTION("""COMPUTED_VALUE"""),0.03968)</f>
        <v>0.03968</v>
      </c>
    </row>
    <row r="236">
      <c r="A236" s="12" t="s">
        <v>7226</v>
      </c>
      <c r="G236" s="19">
        <f>IFERROR(__xludf.DUMMYFUNCTION("SPLIT(A234, "" |"")"),232.0)</f>
        <v>232</v>
      </c>
      <c r="H236" s="19">
        <f>IFERROR(__xludf.DUMMYFUNCTION("""COMPUTED_VALUE"""),0.00224)</f>
        <v>0.00224</v>
      </c>
      <c r="I236" s="19" t="str">
        <f>IFERROR(__xludf.DUMMYFUNCTION("""COMPUTED_VALUE"""),"-")</f>
        <v>-</v>
      </c>
      <c r="J236" s="19">
        <f>IFERROR(__xludf.DUMMYFUNCTION("""COMPUTED_VALUE"""),0.0021)</f>
        <v>0.0021</v>
      </c>
      <c r="K236" s="19">
        <f>IFERROR(__xludf.DUMMYFUNCTION("""COMPUTED_VALUE"""),0.06871)</f>
        <v>0.06871</v>
      </c>
      <c r="L236" s="19" t="str">
        <f>IFERROR(__xludf.DUMMYFUNCTION("""COMPUTED_VALUE"""),"-")</f>
        <v>-</v>
      </c>
      <c r="M236" s="19">
        <f>IFERROR(__xludf.DUMMYFUNCTION("""COMPUTED_VALUE"""),0.03997)</f>
        <v>0.03997</v>
      </c>
    </row>
    <row r="237">
      <c r="A237" s="12" t="s">
        <v>7227</v>
      </c>
      <c r="G237" s="19">
        <f>IFERROR(__xludf.DUMMYFUNCTION("SPLIT(A235, "" |"")"),233.0)</f>
        <v>233</v>
      </c>
      <c r="H237" s="19">
        <f>IFERROR(__xludf.DUMMYFUNCTION("""COMPUTED_VALUE"""),0.00221)</f>
        <v>0.00221</v>
      </c>
      <c r="I237" s="19" t="str">
        <f>IFERROR(__xludf.DUMMYFUNCTION("""COMPUTED_VALUE"""),"-")</f>
        <v>-</v>
      </c>
      <c r="J237" s="19">
        <f>IFERROR(__xludf.DUMMYFUNCTION("""COMPUTED_VALUE"""),0.00197)</f>
        <v>0.00197</v>
      </c>
      <c r="K237" s="19">
        <f>IFERROR(__xludf.DUMMYFUNCTION("""COMPUTED_VALUE"""),0.03969)</f>
        <v>0.03969</v>
      </c>
      <c r="L237" s="19" t="str">
        <f>IFERROR(__xludf.DUMMYFUNCTION("""COMPUTED_VALUE"""),"-")</f>
        <v>-</v>
      </c>
      <c r="M237" s="19">
        <f>IFERROR(__xludf.DUMMYFUNCTION("""COMPUTED_VALUE"""),0.03959)</f>
        <v>0.03959</v>
      </c>
    </row>
    <row r="238">
      <c r="A238" s="12" t="s">
        <v>7228</v>
      </c>
      <c r="G238" s="19">
        <f>IFERROR(__xludf.DUMMYFUNCTION("SPLIT(A236, "" |"")"),234.0)</f>
        <v>234</v>
      </c>
      <c r="H238" s="19">
        <f>IFERROR(__xludf.DUMMYFUNCTION("""COMPUTED_VALUE"""),0.00217)</f>
        <v>0.00217</v>
      </c>
      <c r="I238" s="19" t="str">
        <f>IFERROR(__xludf.DUMMYFUNCTION("""COMPUTED_VALUE"""),"-")</f>
        <v>-</v>
      </c>
      <c r="J238" s="19">
        <f>IFERROR(__xludf.DUMMYFUNCTION("""COMPUTED_VALUE"""),0.00193)</f>
        <v>0.00193</v>
      </c>
      <c r="K238" s="19">
        <f>IFERROR(__xludf.DUMMYFUNCTION("""COMPUTED_VALUE"""),0.03985)</f>
        <v>0.03985</v>
      </c>
      <c r="L238" s="19" t="str">
        <f>IFERROR(__xludf.DUMMYFUNCTION("""COMPUTED_VALUE"""),"-")</f>
        <v>-</v>
      </c>
      <c r="M238" s="19">
        <f>IFERROR(__xludf.DUMMYFUNCTION("""COMPUTED_VALUE"""),0.03832)</f>
        <v>0.03832</v>
      </c>
    </row>
    <row r="239">
      <c r="A239" s="12" t="s">
        <v>7229</v>
      </c>
      <c r="G239" s="19">
        <f>IFERROR(__xludf.DUMMYFUNCTION("SPLIT(A237, "" |"")"),235.0)</f>
        <v>235</v>
      </c>
      <c r="H239" s="19">
        <f>IFERROR(__xludf.DUMMYFUNCTION("""COMPUTED_VALUE"""),0.00221)</f>
        <v>0.00221</v>
      </c>
      <c r="I239" s="19" t="str">
        <f>IFERROR(__xludf.DUMMYFUNCTION("""COMPUTED_VALUE"""),"-")</f>
        <v>-</v>
      </c>
      <c r="J239" s="19">
        <f>IFERROR(__xludf.DUMMYFUNCTION("""COMPUTED_VALUE"""),0.00205)</f>
        <v>0.00205</v>
      </c>
      <c r="K239" s="19">
        <f>IFERROR(__xludf.DUMMYFUNCTION("""COMPUTED_VALUE"""),0.03546)</f>
        <v>0.03546</v>
      </c>
      <c r="L239" s="19" t="str">
        <f>IFERROR(__xludf.DUMMYFUNCTION("""COMPUTED_VALUE"""),"-")</f>
        <v>-</v>
      </c>
      <c r="M239" s="19">
        <f>IFERROR(__xludf.DUMMYFUNCTION("""COMPUTED_VALUE"""),0.03662)</f>
        <v>0.03662</v>
      </c>
    </row>
    <row r="240">
      <c r="A240" s="12" t="s">
        <v>7230</v>
      </c>
      <c r="G240" s="19">
        <f>IFERROR(__xludf.DUMMYFUNCTION("SPLIT(A238, "" |"")"),236.0)</f>
        <v>236</v>
      </c>
      <c r="H240" s="19">
        <f>IFERROR(__xludf.DUMMYFUNCTION("""COMPUTED_VALUE"""),0.00216)</f>
        <v>0.00216</v>
      </c>
      <c r="I240" s="19" t="str">
        <f>IFERROR(__xludf.DUMMYFUNCTION("""COMPUTED_VALUE"""),"-")</f>
        <v>-</v>
      </c>
      <c r="J240" s="19">
        <f>IFERROR(__xludf.DUMMYFUNCTION("""COMPUTED_VALUE"""),0.00196)</f>
        <v>0.00196</v>
      </c>
      <c r="K240" s="19">
        <f>IFERROR(__xludf.DUMMYFUNCTION("""COMPUTED_VALUE"""),0.03976)</f>
        <v>0.03976</v>
      </c>
      <c r="L240" s="19" t="str">
        <f>IFERROR(__xludf.DUMMYFUNCTION("""COMPUTED_VALUE"""),"-")</f>
        <v>-</v>
      </c>
      <c r="M240" s="19">
        <f>IFERROR(__xludf.DUMMYFUNCTION("""COMPUTED_VALUE"""),0.03975)</f>
        <v>0.03975</v>
      </c>
    </row>
    <row r="241">
      <c r="A241" s="12" t="s">
        <v>7231</v>
      </c>
      <c r="G241" s="19">
        <f>IFERROR(__xludf.DUMMYFUNCTION("SPLIT(A239, "" |"")"),237.0)</f>
        <v>237</v>
      </c>
      <c r="H241" s="19">
        <f>IFERROR(__xludf.DUMMYFUNCTION("""COMPUTED_VALUE"""),0.00201)</f>
        <v>0.00201</v>
      </c>
      <c r="I241" s="19" t="str">
        <f>IFERROR(__xludf.DUMMYFUNCTION("""COMPUTED_VALUE"""),"-")</f>
        <v>-</v>
      </c>
      <c r="J241" s="19">
        <f>IFERROR(__xludf.DUMMYFUNCTION("""COMPUTED_VALUE"""),0.00186)</f>
        <v>0.00186</v>
      </c>
      <c r="K241" s="19">
        <f>IFERROR(__xludf.DUMMYFUNCTION("""COMPUTED_VALUE"""),0.03971)</f>
        <v>0.03971</v>
      </c>
      <c r="L241" s="19" t="str">
        <f>IFERROR(__xludf.DUMMYFUNCTION("""COMPUTED_VALUE"""),"-")</f>
        <v>-</v>
      </c>
      <c r="M241" s="19">
        <f>IFERROR(__xludf.DUMMYFUNCTION("""COMPUTED_VALUE"""),0.04035)</f>
        <v>0.04035</v>
      </c>
    </row>
    <row r="242">
      <c r="A242" s="12" t="s">
        <v>7232</v>
      </c>
      <c r="G242" s="19">
        <f>IFERROR(__xludf.DUMMYFUNCTION("SPLIT(A240, "" |"")"),238.0)</f>
        <v>238</v>
      </c>
      <c r="H242" s="19">
        <f>IFERROR(__xludf.DUMMYFUNCTION("""COMPUTED_VALUE"""),0.00223)</f>
        <v>0.00223</v>
      </c>
      <c r="I242" s="19" t="str">
        <f>IFERROR(__xludf.DUMMYFUNCTION("""COMPUTED_VALUE"""),"-")</f>
        <v>-</v>
      </c>
      <c r="J242" s="19">
        <f>IFERROR(__xludf.DUMMYFUNCTION("""COMPUTED_VALUE"""),0.00199)</f>
        <v>0.00199</v>
      </c>
      <c r="K242" s="19">
        <f>IFERROR(__xludf.DUMMYFUNCTION("""COMPUTED_VALUE"""),0.03633)</f>
        <v>0.03633</v>
      </c>
      <c r="L242" s="19" t="str">
        <f>IFERROR(__xludf.DUMMYFUNCTION("""COMPUTED_VALUE"""),"-")</f>
        <v>-</v>
      </c>
      <c r="M242" s="19">
        <f>IFERROR(__xludf.DUMMYFUNCTION("""COMPUTED_VALUE"""),0.03992)</f>
        <v>0.03992</v>
      </c>
    </row>
    <row r="243">
      <c r="A243" s="12" t="s">
        <v>7233</v>
      </c>
      <c r="G243" s="19">
        <f>IFERROR(__xludf.DUMMYFUNCTION("SPLIT(A241, "" |"")"),239.0)</f>
        <v>239</v>
      </c>
      <c r="H243" s="19">
        <f>IFERROR(__xludf.DUMMYFUNCTION("""COMPUTED_VALUE"""),0.00211)</f>
        <v>0.00211</v>
      </c>
      <c r="I243" s="19" t="str">
        <f>IFERROR(__xludf.DUMMYFUNCTION("""COMPUTED_VALUE"""),"-")</f>
        <v>-</v>
      </c>
      <c r="J243" s="19">
        <f>IFERROR(__xludf.DUMMYFUNCTION("""COMPUTED_VALUE"""),0.00197)</f>
        <v>0.00197</v>
      </c>
      <c r="K243" s="19">
        <f>IFERROR(__xludf.DUMMYFUNCTION("""COMPUTED_VALUE"""),0.03966)</f>
        <v>0.03966</v>
      </c>
      <c r="L243" s="19" t="str">
        <f>IFERROR(__xludf.DUMMYFUNCTION("""COMPUTED_VALUE"""),"-")</f>
        <v>-</v>
      </c>
      <c r="M243" s="19">
        <f>IFERROR(__xludf.DUMMYFUNCTION("""COMPUTED_VALUE"""),0.03995)</f>
        <v>0.03995</v>
      </c>
    </row>
    <row r="244">
      <c r="A244" s="12" t="s">
        <v>7234</v>
      </c>
      <c r="G244" s="19">
        <f>IFERROR(__xludf.DUMMYFUNCTION("SPLIT(A242, "" |"")"),240.0)</f>
        <v>240</v>
      </c>
      <c r="H244" s="19">
        <f>IFERROR(__xludf.DUMMYFUNCTION("""COMPUTED_VALUE"""),0.00215)</f>
        <v>0.00215</v>
      </c>
      <c r="I244" s="19" t="str">
        <f>IFERROR(__xludf.DUMMYFUNCTION("""COMPUTED_VALUE"""),"-")</f>
        <v>-</v>
      </c>
      <c r="J244" s="19">
        <f>IFERROR(__xludf.DUMMYFUNCTION("""COMPUTED_VALUE"""),0.002)</f>
        <v>0.002</v>
      </c>
      <c r="K244" s="19">
        <f>IFERROR(__xludf.DUMMYFUNCTION("""COMPUTED_VALUE"""),0.03975)</f>
        <v>0.03975</v>
      </c>
      <c r="L244" s="19" t="str">
        <f>IFERROR(__xludf.DUMMYFUNCTION("""COMPUTED_VALUE"""),"-")</f>
        <v>-</v>
      </c>
      <c r="M244" s="19">
        <f>IFERROR(__xludf.DUMMYFUNCTION("""COMPUTED_VALUE"""),0.03976)</f>
        <v>0.03976</v>
      </c>
    </row>
    <row r="245">
      <c r="A245" s="12" t="s">
        <v>7235</v>
      </c>
      <c r="G245" s="19">
        <f>IFERROR(__xludf.DUMMYFUNCTION("SPLIT(A243, "" |"")"),241.0)</f>
        <v>241</v>
      </c>
      <c r="H245" s="19">
        <f>IFERROR(__xludf.DUMMYFUNCTION("""COMPUTED_VALUE"""),0.0021)</f>
        <v>0.0021</v>
      </c>
      <c r="I245" s="19" t="str">
        <f>IFERROR(__xludf.DUMMYFUNCTION("""COMPUTED_VALUE"""),"-")</f>
        <v>-</v>
      </c>
      <c r="J245" s="19">
        <f>IFERROR(__xludf.DUMMYFUNCTION("""COMPUTED_VALUE"""),0.00193)</f>
        <v>0.00193</v>
      </c>
      <c r="K245" s="19">
        <f>IFERROR(__xludf.DUMMYFUNCTION("""COMPUTED_VALUE"""),0.04005)</f>
        <v>0.04005</v>
      </c>
      <c r="L245" s="19" t="str">
        <f>IFERROR(__xludf.DUMMYFUNCTION("""COMPUTED_VALUE"""),"-")</f>
        <v>-</v>
      </c>
      <c r="M245" s="19">
        <f>IFERROR(__xludf.DUMMYFUNCTION("""COMPUTED_VALUE"""),0.03976)</f>
        <v>0.03976</v>
      </c>
    </row>
    <row r="246">
      <c r="A246" s="12" t="s">
        <v>7236</v>
      </c>
      <c r="G246" s="19">
        <f>IFERROR(__xludf.DUMMYFUNCTION("SPLIT(A244, "" |"")"),242.0)</f>
        <v>242</v>
      </c>
      <c r="H246" s="19">
        <f>IFERROR(__xludf.DUMMYFUNCTION("""COMPUTED_VALUE"""),0.00211)</f>
        <v>0.00211</v>
      </c>
      <c r="I246" s="19" t="str">
        <f>IFERROR(__xludf.DUMMYFUNCTION("""COMPUTED_VALUE"""),"-")</f>
        <v>-</v>
      </c>
      <c r="J246" s="19">
        <f>IFERROR(__xludf.DUMMYFUNCTION("""COMPUTED_VALUE"""),0.00212)</f>
        <v>0.00212</v>
      </c>
      <c r="K246" s="19">
        <f>IFERROR(__xludf.DUMMYFUNCTION("""COMPUTED_VALUE"""),0.03796)</f>
        <v>0.03796</v>
      </c>
      <c r="L246" s="19" t="str">
        <f>IFERROR(__xludf.DUMMYFUNCTION("""COMPUTED_VALUE"""),"-")</f>
        <v>-</v>
      </c>
      <c r="M246" s="19">
        <f>IFERROR(__xludf.DUMMYFUNCTION("""COMPUTED_VALUE"""),0.03949)</f>
        <v>0.03949</v>
      </c>
    </row>
    <row r="247">
      <c r="A247" s="12" t="s">
        <v>7237</v>
      </c>
      <c r="G247" s="19">
        <f>IFERROR(__xludf.DUMMYFUNCTION("SPLIT(A245, "" |"")"),243.0)</f>
        <v>243</v>
      </c>
      <c r="H247" s="19">
        <f>IFERROR(__xludf.DUMMYFUNCTION("""COMPUTED_VALUE"""),0.00277)</f>
        <v>0.00277</v>
      </c>
      <c r="I247" s="19" t="str">
        <f>IFERROR(__xludf.DUMMYFUNCTION("""COMPUTED_VALUE"""),"-")</f>
        <v>-</v>
      </c>
      <c r="J247" s="19">
        <f>IFERROR(__xludf.DUMMYFUNCTION("""COMPUTED_VALUE"""),0.00212)</f>
        <v>0.00212</v>
      </c>
      <c r="K247" s="19">
        <f>IFERROR(__xludf.DUMMYFUNCTION("""COMPUTED_VALUE"""),0.0389)</f>
        <v>0.0389</v>
      </c>
      <c r="L247" s="19" t="str">
        <f>IFERROR(__xludf.DUMMYFUNCTION("""COMPUTED_VALUE"""),"-")</f>
        <v>-</v>
      </c>
      <c r="M247" s="19">
        <f>IFERROR(__xludf.DUMMYFUNCTION("""COMPUTED_VALUE"""),0.03993)</f>
        <v>0.03993</v>
      </c>
    </row>
    <row r="248">
      <c r="A248" s="12" t="s">
        <v>7238</v>
      </c>
      <c r="G248" s="19">
        <f>IFERROR(__xludf.DUMMYFUNCTION("SPLIT(A246, "" |"")"),244.0)</f>
        <v>244</v>
      </c>
      <c r="H248" s="19">
        <f>IFERROR(__xludf.DUMMYFUNCTION("""COMPUTED_VALUE"""),0.00226)</f>
        <v>0.00226</v>
      </c>
      <c r="I248" s="19" t="str">
        <f>IFERROR(__xludf.DUMMYFUNCTION("""COMPUTED_VALUE"""),"-")</f>
        <v>-</v>
      </c>
      <c r="J248" s="19">
        <f>IFERROR(__xludf.DUMMYFUNCTION("""COMPUTED_VALUE"""),0.00195)</f>
        <v>0.00195</v>
      </c>
      <c r="K248" s="19">
        <f>IFERROR(__xludf.DUMMYFUNCTION("""COMPUTED_VALUE"""),0.03976)</f>
        <v>0.03976</v>
      </c>
      <c r="L248" s="19" t="str">
        <f>IFERROR(__xludf.DUMMYFUNCTION("""COMPUTED_VALUE"""),"-")</f>
        <v>-</v>
      </c>
      <c r="M248" s="19">
        <f>IFERROR(__xludf.DUMMYFUNCTION("""COMPUTED_VALUE"""),0.04004)</f>
        <v>0.04004</v>
      </c>
    </row>
    <row r="249">
      <c r="A249" s="12" t="s">
        <v>7239</v>
      </c>
      <c r="G249" s="19">
        <f>IFERROR(__xludf.DUMMYFUNCTION("SPLIT(A247, "" |"")"),245.0)</f>
        <v>245</v>
      </c>
      <c r="H249" s="19">
        <f>IFERROR(__xludf.DUMMYFUNCTION("""COMPUTED_VALUE"""),0.00243)</f>
        <v>0.00243</v>
      </c>
      <c r="I249" s="19" t="str">
        <f>IFERROR(__xludf.DUMMYFUNCTION("""COMPUTED_VALUE"""),"-")</f>
        <v>-</v>
      </c>
      <c r="J249" s="19">
        <f>IFERROR(__xludf.DUMMYFUNCTION("""COMPUTED_VALUE"""),0.00202)</f>
        <v>0.00202</v>
      </c>
      <c r="K249" s="19">
        <f>IFERROR(__xludf.DUMMYFUNCTION("""COMPUTED_VALUE"""),0.03987)</f>
        <v>0.03987</v>
      </c>
      <c r="L249" s="19" t="str">
        <f>IFERROR(__xludf.DUMMYFUNCTION("""COMPUTED_VALUE"""),"-")</f>
        <v>-</v>
      </c>
      <c r="M249" s="19">
        <f>IFERROR(__xludf.DUMMYFUNCTION("""COMPUTED_VALUE"""),0.03629)</f>
        <v>0.03629</v>
      </c>
    </row>
    <row r="250">
      <c r="A250" s="12" t="s">
        <v>7240</v>
      </c>
      <c r="G250" s="19">
        <f>IFERROR(__xludf.DUMMYFUNCTION("SPLIT(A248, "" |"")"),246.0)</f>
        <v>246</v>
      </c>
      <c r="H250" s="19">
        <f>IFERROR(__xludf.DUMMYFUNCTION("""COMPUTED_VALUE"""),0.0027)</f>
        <v>0.0027</v>
      </c>
      <c r="I250" s="19" t="str">
        <f>IFERROR(__xludf.DUMMYFUNCTION("""COMPUTED_VALUE"""),"-")</f>
        <v>-</v>
      </c>
      <c r="J250" s="19">
        <f>IFERROR(__xludf.DUMMYFUNCTION("""COMPUTED_VALUE"""),0.00203)</f>
        <v>0.00203</v>
      </c>
      <c r="K250" s="19">
        <f>IFERROR(__xludf.DUMMYFUNCTION("""COMPUTED_VALUE"""),0.03981)</f>
        <v>0.03981</v>
      </c>
      <c r="L250" s="19" t="str">
        <f>IFERROR(__xludf.DUMMYFUNCTION("""COMPUTED_VALUE"""),"-")</f>
        <v>-</v>
      </c>
      <c r="M250" s="19">
        <f>IFERROR(__xludf.DUMMYFUNCTION("""COMPUTED_VALUE"""),0.03865)</f>
        <v>0.03865</v>
      </c>
    </row>
    <row r="251">
      <c r="A251" s="12" t="s">
        <v>7241</v>
      </c>
      <c r="G251" s="19">
        <f>IFERROR(__xludf.DUMMYFUNCTION("SPLIT(A249, "" |"")"),247.0)</f>
        <v>247</v>
      </c>
      <c r="H251" s="19">
        <f>IFERROR(__xludf.DUMMYFUNCTION("""COMPUTED_VALUE"""),0.00263)</f>
        <v>0.00263</v>
      </c>
      <c r="I251" s="19" t="str">
        <f>IFERROR(__xludf.DUMMYFUNCTION("""COMPUTED_VALUE"""),"-")</f>
        <v>-</v>
      </c>
      <c r="J251" s="19">
        <f>IFERROR(__xludf.DUMMYFUNCTION("""COMPUTED_VALUE"""),0.00197)</f>
        <v>0.00197</v>
      </c>
      <c r="K251" s="19">
        <f>IFERROR(__xludf.DUMMYFUNCTION("""COMPUTED_VALUE"""),0.03698)</f>
        <v>0.03698</v>
      </c>
      <c r="L251" s="19" t="str">
        <f>IFERROR(__xludf.DUMMYFUNCTION("""COMPUTED_VALUE"""),"-")</f>
        <v>-</v>
      </c>
      <c r="M251" s="19">
        <f>IFERROR(__xludf.DUMMYFUNCTION("""COMPUTED_VALUE"""),0.03893)</f>
        <v>0.03893</v>
      </c>
    </row>
    <row r="252">
      <c r="A252" s="12" t="s">
        <v>7242</v>
      </c>
      <c r="G252" s="19">
        <f>IFERROR(__xludf.DUMMYFUNCTION("SPLIT(A250, "" |"")"),248.0)</f>
        <v>248</v>
      </c>
      <c r="H252" s="19">
        <f>IFERROR(__xludf.DUMMYFUNCTION("""COMPUTED_VALUE"""),0.00206)</f>
        <v>0.00206</v>
      </c>
      <c r="I252" s="19" t="str">
        <f>IFERROR(__xludf.DUMMYFUNCTION("""COMPUTED_VALUE"""),"-")</f>
        <v>-</v>
      </c>
      <c r="J252" s="19">
        <f>IFERROR(__xludf.DUMMYFUNCTION("""COMPUTED_VALUE"""),0.00199)</f>
        <v>0.00199</v>
      </c>
      <c r="K252" s="19">
        <f>IFERROR(__xludf.DUMMYFUNCTION("""COMPUTED_VALUE"""),0.0374)</f>
        <v>0.0374</v>
      </c>
      <c r="L252" s="19" t="str">
        <f>IFERROR(__xludf.DUMMYFUNCTION("""COMPUTED_VALUE"""),"-")</f>
        <v>-</v>
      </c>
      <c r="M252" s="19">
        <f>IFERROR(__xludf.DUMMYFUNCTION("""COMPUTED_VALUE"""),0.03607)</f>
        <v>0.03607</v>
      </c>
    </row>
    <row r="253">
      <c r="A253" s="12" t="s">
        <v>7243</v>
      </c>
      <c r="G253" s="19">
        <f>IFERROR(__xludf.DUMMYFUNCTION("SPLIT(A251, "" |"")"),249.0)</f>
        <v>249</v>
      </c>
      <c r="H253" s="19">
        <f>IFERROR(__xludf.DUMMYFUNCTION("""COMPUTED_VALUE"""),0.0023)</f>
        <v>0.0023</v>
      </c>
      <c r="I253" s="19" t="str">
        <f>IFERROR(__xludf.DUMMYFUNCTION("""COMPUTED_VALUE"""),"-")</f>
        <v>-</v>
      </c>
      <c r="J253" s="19">
        <f>IFERROR(__xludf.DUMMYFUNCTION("""COMPUTED_VALUE"""),0.00199)</f>
        <v>0.00199</v>
      </c>
      <c r="K253" s="19">
        <f>IFERROR(__xludf.DUMMYFUNCTION("""COMPUTED_VALUE"""),0.03979)</f>
        <v>0.03979</v>
      </c>
      <c r="L253" s="19" t="str">
        <f>IFERROR(__xludf.DUMMYFUNCTION("""COMPUTED_VALUE"""),"-")</f>
        <v>-</v>
      </c>
      <c r="M253" s="19">
        <f>IFERROR(__xludf.DUMMYFUNCTION("""COMPUTED_VALUE"""),0.04)</f>
        <v>0.04</v>
      </c>
    </row>
    <row r="254">
      <c r="A254" s="12" t="s">
        <v>7244</v>
      </c>
      <c r="G254" s="19">
        <f>IFERROR(__xludf.DUMMYFUNCTION("SPLIT(A252, "" |"")"),250.0)</f>
        <v>250</v>
      </c>
      <c r="H254" s="19">
        <f>IFERROR(__xludf.DUMMYFUNCTION("""COMPUTED_VALUE"""),0.00238)</f>
        <v>0.00238</v>
      </c>
      <c r="I254" s="19" t="str">
        <f>IFERROR(__xludf.DUMMYFUNCTION("""COMPUTED_VALUE"""),"-")</f>
        <v>-</v>
      </c>
      <c r="J254" s="19">
        <f>IFERROR(__xludf.DUMMYFUNCTION("""COMPUTED_VALUE"""),0.00198)</f>
        <v>0.00198</v>
      </c>
      <c r="K254" s="19">
        <f>IFERROR(__xludf.DUMMYFUNCTION("""COMPUTED_VALUE"""),0.03982)</f>
        <v>0.03982</v>
      </c>
      <c r="L254" s="19" t="str">
        <f>IFERROR(__xludf.DUMMYFUNCTION("""COMPUTED_VALUE"""),"-")</f>
        <v>-</v>
      </c>
      <c r="M254" s="19">
        <f>IFERROR(__xludf.DUMMYFUNCTION("""COMPUTED_VALUE"""),0.03815)</f>
        <v>0.03815</v>
      </c>
    </row>
    <row r="255">
      <c r="A255" s="12" t="s">
        <v>7245</v>
      </c>
      <c r="G255" s="19">
        <f>IFERROR(__xludf.DUMMYFUNCTION("SPLIT(A253, "" |"")"),251.0)</f>
        <v>251</v>
      </c>
      <c r="H255" s="19">
        <f>IFERROR(__xludf.DUMMYFUNCTION("""COMPUTED_VALUE"""),0.00219)</f>
        <v>0.00219</v>
      </c>
      <c r="I255" s="19" t="str">
        <f>IFERROR(__xludf.DUMMYFUNCTION("""COMPUTED_VALUE"""),"-")</f>
        <v>-</v>
      </c>
      <c r="J255" s="19">
        <f>IFERROR(__xludf.DUMMYFUNCTION("""COMPUTED_VALUE"""),0.00197)</f>
        <v>0.00197</v>
      </c>
      <c r="K255" s="19">
        <f>IFERROR(__xludf.DUMMYFUNCTION("""COMPUTED_VALUE"""),0.03966)</f>
        <v>0.03966</v>
      </c>
      <c r="L255" s="19" t="str">
        <f>IFERROR(__xludf.DUMMYFUNCTION("""COMPUTED_VALUE"""),"-")</f>
        <v>-</v>
      </c>
      <c r="M255" s="19">
        <f>IFERROR(__xludf.DUMMYFUNCTION("""COMPUTED_VALUE"""),0.03988)</f>
        <v>0.03988</v>
      </c>
    </row>
    <row r="256">
      <c r="A256" s="12" t="s">
        <v>7246</v>
      </c>
      <c r="G256" s="19">
        <f>IFERROR(__xludf.DUMMYFUNCTION("SPLIT(A254, "" |"")"),252.0)</f>
        <v>252</v>
      </c>
      <c r="H256" s="19">
        <f>IFERROR(__xludf.DUMMYFUNCTION("""COMPUTED_VALUE"""),0.00198)</f>
        <v>0.00198</v>
      </c>
      <c r="I256" s="19" t="str">
        <f>IFERROR(__xludf.DUMMYFUNCTION("""COMPUTED_VALUE"""),"-")</f>
        <v>-</v>
      </c>
      <c r="J256" s="19">
        <f>IFERROR(__xludf.DUMMYFUNCTION("""COMPUTED_VALUE"""),0.00186)</f>
        <v>0.00186</v>
      </c>
      <c r="K256" s="19">
        <f>IFERROR(__xludf.DUMMYFUNCTION("""COMPUTED_VALUE"""),0.03722)</f>
        <v>0.03722</v>
      </c>
      <c r="L256" s="19" t="str">
        <f>IFERROR(__xludf.DUMMYFUNCTION("""COMPUTED_VALUE"""),"-")</f>
        <v>-</v>
      </c>
      <c r="M256" s="19">
        <f>IFERROR(__xludf.DUMMYFUNCTION("""COMPUTED_VALUE"""),0.03879)</f>
        <v>0.03879</v>
      </c>
    </row>
    <row r="257">
      <c r="A257" s="12" t="s">
        <v>7247</v>
      </c>
      <c r="G257" s="19">
        <f>IFERROR(__xludf.DUMMYFUNCTION("SPLIT(A255, "" |"")"),253.0)</f>
        <v>253</v>
      </c>
      <c r="H257" s="19">
        <f>IFERROR(__xludf.DUMMYFUNCTION("""COMPUTED_VALUE"""),0.0022)</f>
        <v>0.0022</v>
      </c>
      <c r="I257" s="19" t="str">
        <f>IFERROR(__xludf.DUMMYFUNCTION("""COMPUTED_VALUE"""),"-")</f>
        <v>-</v>
      </c>
      <c r="J257" s="19">
        <f>IFERROR(__xludf.DUMMYFUNCTION("""COMPUTED_VALUE"""),0.00199)</f>
        <v>0.00199</v>
      </c>
      <c r="K257" s="19">
        <f>IFERROR(__xludf.DUMMYFUNCTION("""COMPUTED_VALUE"""),0.03963)</f>
        <v>0.03963</v>
      </c>
      <c r="L257" s="19" t="str">
        <f>IFERROR(__xludf.DUMMYFUNCTION("""COMPUTED_VALUE"""),"-")</f>
        <v>-</v>
      </c>
      <c r="M257" s="19">
        <f>IFERROR(__xludf.DUMMYFUNCTION("""COMPUTED_VALUE"""),0.03989)</f>
        <v>0.03989</v>
      </c>
    </row>
    <row r="258">
      <c r="A258" s="12" t="s">
        <v>7248</v>
      </c>
      <c r="G258" s="19">
        <f>IFERROR(__xludf.DUMMYFUNCTION("SPLIT(A256, "" |"")"),254.0)</f>
        <v>254</v>
      </c>
      <c r="H258" s="19">
        <f>IFERROR(__xludf.DUMMYFUNCTION("""COMPUTED_VALUE"""),0.00215)</f>
        <v>0.00215</v>
      </c>
      <c r="I258" s="19" t="str">
        <f>IFERROR(__xludf.DUMMYFUNCTION("""COMPUTED_VALUE"""),"-")</f>
        <v>-</v>
      </c>
      <c r="J258" s="19">
        <f>IFERROR(__xludf.DUMMYFUNCTION("""COMPUTED_VALUE"""),0.0018)</f>
        <v>0.0018</v>
      </c>
      <c r="K258" s="19">
        <f>IFERROR(__xludf.DUMMYFUNCTION("""COMPUTED_VALUE"""),0.03867)</f>
        <v>0.03867</v>
      </c>
      <c r="L258" s="19" t="str">
        <f>IFERROR(__xludf.DUMMYFUNCTION("""COMPUTED_VALUE"""),"-")</f>
        <v>-</v>
      </c>
      <c r="M258" s="19">
        <f>IFERROR(__xludf.DUMMYFUNCTION("""COMPUTED_VALUE"""),0.04)</f>
        <v>0.04</v>
      </c>
    </row>
    <row r="259">
      <c r="A259" s="12" t="s">
        <v>7249</v>
      </c>
      <c r="G259" s="19">
        <f>IFERROR(__xludf.DUMMYFUNCTION("SPLIT(A257, "" |"")"),255.0)</f>
        <v>255</v>
      </c>
      <c r="H259" s="19">
        <f>IFERROR(__xludf.DUMMYFUNCTION("""COMPUTED_VALUE"""),0.00207)</f>
        <v>0.00207</v>
      </c>
      <c r="I259" s="19" t="str">
        <f>IFERROR(__xludf.DUMMYFUNCTION("""COMPUTED_VALUE"""),"-")</f>
        <v>-</v>
      </c>
      <c r="J259" s="19">
        <f>IFERROR(__xludf.DUMMYFUNCTION("""COMPUTED_VALUE"""),0.00195)</f>
        <v>0.00195</v>
      </c>
      <c r="K259" s="19">
        <f>IFERROR(__xludf.DUMMYFUNCTION("""COMPUTED_VALUE"""),0.04029)</f>
        <v>0.04029</v>
      </c>
      <c r="L259" s="19" t="str">
        <f>IFERROR(__xludf.DUMMYFUNCTION("""COMPUTED_VALUE"""),"-")</f>
        <v>-</v>
      </c>
      <c r="M259" s="19">
        <f>IFERROR(__xludf.DUMMYFUNCTION("""COMPUTED_VALUE"""),0.03852)</f>
        <v>0.03852</v>
      </c>
    </row>
    <row r="260">
      <c r="A260" s="12" t="s">
        <v>7250</v>
      </c>
      <c r="G260" s="19">
        <f>IFERROR(__xludf.DUMMYFUNCTION("SPLIT(A258, "" |"")"),256.0)</f>
        <v>256</v>
      </c>
      <c r="H260" s="19">
        <f>IFERROR(__xludf.DUMMYFUNCTION("""COMPUTED_VALUE"""),0.00213)</f>
        <v>0.00213</v>
      </c>
      <c r="I260" s="19" t="str">
        <f>IFERROR(__xludf.DUMMYFUNCTION("""COMPUTED_VALUE"""),"-")</f>
        <v>-</v>
      </c>
      <c r="J260" s="19">
        <f>IFERROR(__xludf.DUMMYFUNCTION("""COMPUTED_VALUE"""),0.00193)</f>
        <v>0.00193</v>
      </c>
      <c r="K260" s="19">
        <f>IFERROR(__xludf.DUMMYFUNCTION("""COMPUTED_VALUE"""),0.03613)</f>
        <v>0.03613</v>
      </c>
      <c r="L260" s="19" t="str">
        <f>IFERROR(__xludf.DUMMYFUNCTION("""COMPUTED_VALUE"""),"-")</f>
        <v>-</v>
      </c>
      <c r="M260" s="19">
        <f>IFERROR(__xludf.DUMMYFUNCTION("""COMPUTED_VALUE"""),0.03992)</f>
        <v>0.03992</v>
      </c>
    </row>
    <row r="261">
      <c r="A261" s="12" t="s">
        <v>7251</v>
      </c>
      <c r="G261" s="19">
        <f>IFERROR(__xludf.DUMMYFUNCTION("SPLIT(A259, "" |"")"),257.0)</f>
        <v>257</v>
      </c>
      <c r="H261" s="19">
        <f>IFERROR(__xludf.DUMMYFUNCTION("""COMPUTED_VALUE"""),0.00228)</f>
        <v>0.00228</v>
      </c>
      <c r="I261" s="19" t="str">
        <f>IFERROR(__xludf.DUMMYFUNCTION("""COMPUTED_VALUE"""),"-")</f>
        <v>-</v>
      </c>
      <c r="J261" s="19">
        <f>IFERROR(__xludf.DUMMYFUNCTION("""COMPUTED_VALUE"""),0.00201)</f>
        <v>0.00201</v>
      </c>
      <c r="K261" s="19">
        <f>IFERROR(__xludf.DUMMYFUNCTION("""COMPUTED_VALUE"""),0.03643)</f>
        <v>0.03643</v>
      </c>
      <c r="L261" s="19" t="str">
        <f>IFERROR(__xludf.DUMMYFUNCTION("""COMPUTED_VALUE"""),"-")</f>
        <v>-</v>
      </c>
      <c r="M261" s="19">
        <f>IFERROR(__xludf.DUMMYFUNCTION("""COMPUTED_VALUE"""),0.04028)</f>
        <v>0.04028</v>
      </c>
    </row>
    <row r="262">
      <c r="A262" s="12" t="s">
        <v>7252</v>
      </c>
      <c r="G262" s="19">
        <f>IFERROR(__xludf.DUMMYFUNCTION("SPLIT(A260, "" |"")"),258.0)</f>
        <v>258</v>
      </c>
      <c r="H262" s="19">
        <f>IFERROR(__xludf.DUMMYFUNCTION("""COMPUTED_VALUE"""),0.00204)</f>
        <v>0.00204</v>
      </c>
      <c r="I262" s="19" t="str">
        <f>IFERROR(__xludf.DUMMYFUNCTION("""COMPUTED_VALUE"""),"-")</f>
        <v>-</v>
      </c>
      <c r="J262" s="19">
        <f>IFERROR(__xludf.DUMMYFUNCTION("""COMPUTED_VALUE"""),0.00182)</f>
        <v>0.00182</v>
      </c>
      <c r="K262" s="19">
        <f>IFERROR(__xludf.DUMMYFUNCTION("""COMPUTED_VALUE"""),0.03957)</f>
        <v>0.03957</v>
      </c>
      <c r="L262" s="19" t="str">
        <f>IFERROR(__xludf.DUMMYFUNCTION("""COMPUTED_VALUE"""),"-")</f>
        <v>-</v>
      </c>
      <c r="M262" s="19">
        <f>IFERROR(__xludf.DUMMYFUNCTION("""COMPUTED_VALUE"""),0.04007)</f>
        <v>0.04007</v>
      </c>
    </row>
    <row r="263">
      <c r="A263" s="12" t="s">
        <v>7253</v>
      </c>
      <c r="G263" s="19">
        <f>IFERROR(__xludf.DUMMYFUNCTION("SPLIT(A261, "" |"")"),259.0)</f>
        <v>259</v>
      </c>
      <c r="H263" s="19">
        <f>IFERROR(__xludf.DUMMYFUNCTION("""COMPUTED_VALUE"""),0.00206)</f>
        <v>0.00206</v>
      </c>
      <c r="I263" s="19" t="str">
        <f>IFERROR(__xludf.DUMMYFUNCTION("""COMPUTED_VALUE"""),"-")</f>
        <v>-</v>
      </c>
      <c r="J263" s="19">
        <f>IFERROR(__xludf.DUMMYFUNCTION("""COMPUTED_VALUE"""),0.00199)</f>
        <v>0.00199</v>
      </c>
      <c r="K263" s="19">
        <f>IFERROR(__xludf.DUMMYFUNCTION("""COMPUTED_VALUE"""),0.03964)</f>
        <v>0.03964</v>
      </c>
      <c r="L263" s="19" t="str">
        <f>IFERROR(__xludf.DUMMYFUNCTION("""COMPUTED_VALUE"""),"-")</f>
        <v>-</v>
      </c>
      <c r="M263" s="19">
        <f>IFERROR(__xludf.DUMMYFUNCTION("""COMPUTED_VALUE"""),0.03991)</f>
        <v>0.03991</v>
      </c>
    </row>
    <row r="264">
      <c r="A264" s="12" t="s">
        <v>7254</v>
      </c>
      <c r="G264" s="19">
        <f>IFERROR(__xludf.DUMMYFUNCTION("SPLIT(A262, "" |"")"),260.0)</f>
        <v>260</v>
      </c>
      <c r="H264" s="19">
        <f>IFERROR(__xludf.DUMMYFUNCTION("""COMPUTED_VALUE"""),0.0022)</f>
        <v>0.0022</v>
      </c>
      <c r="I264" s="19" t="str">
        <f>IFERROR(__xludf.DUMMYFUNCTION("""COMPUTED_VALUE"""),"-")</f>
        <v>-</v>
      </c>
      <c r="J264" s="19">
        <f>IFERROR(__xludf.DUMMYFUNCTION("""COMPUTED_VALUE"""),0.00194)</f>
        <v>0.00194</v>
      </c>
      <c r="K264" s="19">
        <f>IFERROR(__xludf.DUMMYFUNCTION("""COMPUTED_VALUE"""),0.03887)</f>
        <v>0.03887</v>
      </c>
      <c r="L264" s="19" t="str">
        <f>IFERROR(__xludf.DUMMYFUNCTION("""COMPUTED_VALUE"""),"-")</f>
        <v>-</v>
      </c>
      <c r="M264" s="19">
        <f>IFERROR(__xludf.DUMMYFUNCTION("""COMPUTED_VALUE"""),0.0399)</f>
        <v>0.0399</v>
      </c>
    </row>
    <row r="265">
      <c r="A265" s="12" t="s">
        <v>7255</v>
      </c>
      <c r="G265" s="19">
        <f>IFERROR(__xludf.DUMMYFUNCTION("SPLIT(A263, "" |"")"),261.0)</f>
        <v>261</v>
      </c>
      <c r="H265" s="19">
        <f>IFERROR(__xludf.DUMMYFUNCTION("""COMPUTED_VALUE"""),0.00209)</f>
        <v>0.00209</v>
      </c>
      <c r="I265" s="19" t="str">
        <f>IFERROR(__xludf.DUMMYFUNCTION("""COMPUTED_VALUE"""),"-")</f>
        <v>-</v>
      </c>
      <c r="J265" s="19">
        <f>IFERROR(__xludf.DUMMYFUNCTION("""COMPUTED_VALUE"""),0.00195)</f>
        <v>0.00195</v>
      </c>
      <c r="K265" s="19">
        <f>IFERROR(__xludf.DUMMYFUNCTION("""COMPUTED_VALUE"""),0.03961)</f>
        <v>0.03961</v>
      </c>
      <c r="L265" s="19" t="str">
        <f>IFERROR(__xludf.DUMMYFUNCTION("""COMPUTED_VALUE"""),"-")</f>
        <v>-</v>
      </c>
      <c r="M265" s="19">
        <f>IFERROR(__xludf.DUMMYFUNCTION("""COMPUTED_VALUE"""),0.03982)</f>
        <v>0.03982</v>
      </c>
    </row>
    <row r="266">
      <c r="A266" s="12" t="s">
        <v>7256</v>
      </c>
      <c r="G266" s="19">
        <f>IFERROR(__xludf.DUMMYFUNCTION("SPLIT(A264, "" |"")"),262.0)</f>
        <v>262</v>
      </c>
      <c r="H266" s="19">
        <f>IFERROR(__xludf.DUMMYFUNCTION("""COMPUTED_VALUE"""),0.00213)</f>
        <v>0.00213</v>
      </c>
      <c r="I266" s="19" t="str">
        <f>IFERROR(__xludf.DUMMYFUNCTION("""COMPUTED_VALUE"""),"-")</f>
        <v>-</v>
      </c>
      <c r="J266" s="19">
        <f>IFERROR(__xludf.DUMMYFUNCTION("""COMPUTED_VALUE"""),0.00198)</f>
        <v>0.00198</v>
      </c>
      <c r="K266" s="19">
        <f>IFERROR(__xludf.DUMMYFUNCTION("""COMPUTED_VALUE"""),0.03976)</f>
        <v>0.03976</v>
      </c>
      <c r="L266" s="19" t="str">
        <f>IFERROR(__xludf.DUMMYFUNCTION("""COMPUTED_VALUE"""),"-")</f>
        <v>-</v>
      </c>
      <c r="M266" s="19">
        <f>IFERROR(__xludf.DUMMYFUNCTION("""COMPUTED_VALUE"""),0.03994)</f>
        <v>0.03994</v>
      </c>
    </row>
    <row r="267">
      <c r="A267" s="12" t="s">
        <v>7257</v>
      </c>
      <c r="G267" s="19">
        <f>IFERROR(__xludf.DUMMYFUNCTION("SPLIT(A265, "" |"")"),263.0)</f>
        <v>263</v>
      </c>
      <c r="H267" s="19">
        <f>IFERROR(__xludf.DUMMYFUNCTION("""COMPUTED_VALUE"""),0.00213)</f>
        <v>0.00213</v>
      </c>
      <c r="I267" s="19" t="str">
        <f>IFERROR(__xludf.DUMMYFUNCTION("""COMPUTED_VALUE"""),"-")</f>
        <v>-</v>
      </c>
      <c r="J267" s="19">
        <f>IFERROR(__xludf.DUMMYFUNCTION("""COMPUTED_VALUE"""),0.00191)</f>
        <v>0.00191</v>
      </c>
      <c r="K267" s="19">
        <f>IFERROR(__xludf.DUMMYFUNCTION("""COMPUTED_VALUE"""),0.03963)</f>
        <v>0.03963</v>
      </c>
      <c r="L267" s="19" t="str">
        <f>IFERROR(__xludf.DUMMYFUNCTION("""COMPUTED_VALUE"""),"-")</f>
        <v>-</v>
      </c>
      <c r="M267" s="19">
        <f>IFERROR(__xludf.DUMMYFUNCTION("""COMPUTED_VALUE"""),0.03962)</f>
        <v>0.03962</v>
      </c>
    </row>
    <row r="268">
      <c r="A268" s="12" t="s">
        <v>7258</v>
      </c>
      <c r="G268" s="19">
        <f>IFERROR(__xludf.DUMMYFUNCTION("SPLIT(A266, "" |"")"),264.0)</f>
        <v>264</v>
      </c>
      <c r="H268" s="19">
        <f>IFERROR(__xludf.DUMMYFUNCTION("""COMPUTED_VALUE"""),0.00199)</f>
        <v>0.00199</v>
      </c>
      <c r="I268" s="19" t="str">
        <f>IFERROR(__xludf.DUMMYFUNCTION("""COMPUTED_VALUE"""),"-")</f>
        <v>-</v>
      </c>
      <c r="J268" s="19">
        <f>IFERROR(__xludf.DUMMYFUNCTION("""COMPUTED_VALUE"""),0.00197)</f>
        <v>0.00197</v>
      </c>
      <c r="K268" s="19">
        <f>IFERROR(__xludf.DUMMYFUNCTION("""COMPUTED_VALUE"""),0.03968)</f>
        <v>0.03968</v>
      </c>
      <c r="L268" s="19" t="str">
        <f>IFERROR(__xludf.DUMMYFUNCTION("""COMPUTED_VALUE"""),"-")</f>
        <v>-</v>
      </c>
      <c r="M268" s="19">
        <f>IFERROR(__xludf.DUMMYFUNCTION("""COMPUTED_VALUE"""),0.03818)</f>
        <v>0.03818</v>
      </c>
    </row>
    <row r="269">
      <c r="A269" s="12" t="s">
        <v>7259</v>
      </c>
      <c r="G269" s="19">
        <f>IFERROR(__xludf.DUMMYFUNCTION("SPLIT(A267, "" |"")"),265.0)</f>
        <v>265</v>
      </c>
      <c r="H269" s="19">
        <f>IFERROR(__xludf.DUMMYFUNCTION("""COMPUTED_VALUE"""),0.00205)</f>
        <v>0.00205</v>
      </c>
      <c r="I269" s="19" t="str">
        <f>IFERROR(__xludf.DUMMYFUNCTION("""COMPUTED_VALUE"""),"-")</f>
        <v>-</v>
      </c>
      <c r="J269" s="19">
        <f>IFERROR(__xludf.DUMMYFUNCTION("""COMPUTED_VALUE"""),0.0019)</f>
        <v>0.0019</v>
      </c>
      <c r="K269" s="19">
        <f>IFERROR(__xludf.DUMMYFUNCTION("""COMPUTED_VALUE"""),0.03965)</f>
        <v>0.03965</v>
      </c>
      <c r="L269" s="19" t="str">
        <f>IFERROR(__xludf.DUMMYFUNCTION("""COMPUTED_VALUE"""),"-")</f>
        <v>-</v>
      </c>
      <c r="M269" s="19">
        <f>IFERROR(__xludf.DUMMYFUNCTION("""COMPUTED_VALUE"""),0.03979)</f>
        <v>0.03979</v>
      </c>
    </row>
    <row r="270">
      <c r="A270" s="12" t="s">
        <v>7260</v>
      </c>
      <c r="G270" s="19">
        <f>IFERROR(__xludf.DUMMYFUNCTION("SPLIT(A268, "" |"")"),266.0)</f>
        <v>266</v>
      </c>
      <c r="H270" s="19">
        <f>IFERROR(__xludf.DUMMYFUNCTION("""COMPUTED_VALUE"""),0.00207)</f>
        <v>0.00207</v>
      </c>
      <c r="I270" s="19" t="str">
        <f>IFERROR(__xludf.DUMMYFUNCTION("""COMPUTED_VALUE"""),"-")</f>
        <v>-</v>
      </c>
      <c r="J270" s="19">
        <f>IFERROR(__xludf.DUMMYFUNCTION("""COMPUTED_VALUE"""),0.00189)</f>
        <v>0.00189</v>
      </c>
      <c r="K270" s="19">
        <f>IFERROR(__xludf.DUMMYFUNCTION("""COMPUTED_VALUE"""),0.03798)</f>
        <v>0.03798</v>
      </c>
      <c r="L270" s="19" t="str">
        <f>IFERROR(__xludf.DUMMYFUNCTION("""COMPUTED_VALUE"""),"-")</f>
        <v>-</v>
      </c>
      <c r="M270" s="19">
        <f>IFERROR(__xludf.DUMMYFUNCTION("""COMPUTED_VALUE"""),0.03818)</f>
        <v>0.03818</v>
      </c>
    </row>
    <row r="271">
      <c r="A271" s="12" t="s">
        <v>7261</v>
      </c>
      <c r="G271" s="19">
        <f>IFERROR(__xludf.DUMMYFUNCTION("SPLIT(A269, "" |"")"),267.0)</f>
        <v>267</v>
      </c>
      <c r="H271" s="19">
        <f>IFERROR(__xludf.DUMMYFUNCTION("""COMPUTED_VALUE"""),0.00236)</f>
        <v>0.00236</v>
      </c>
      <c r="I271" s="19" t="str">
        <f>IFERROR(__xludf.DUMMYFUNCTION("""COMPUTED_VALUE"""),"-")</f>
        <v>-</v>
      </c>
      <c r="J271" s="19">
        <f>IFERROR(__xludf.DUMMYFUNCTION("""COMPUTED_VALUE"""),0.00218)</f>
        <v>0.00218</v>
      </c>
      <c r="K271" s="19">
        <f>IFERROR(__xludf.DUMMYFUNCTION("""COMPUTED_VALUE"""),0.03979)</f>
        <v>0.03979</v>
      </c>
      <c r="L271" s="19" t="str">
        <f>IFERROR(__xludf.DUMMYFUNCTION("""COMPUTED_VALUE"""),"-")</f>
        <v>-</v>
      </c>
      <c r="M271" s="19">
        <f>IFERROR(__xludf.DUMMYFUNCTION("""COMPUTED_VALUE"""),0.03994)</f>
        <v>0.03994</v>
      </c>
    </row>
    <row r="272">
      <c r="A272" s="12" t="s">
        <v>7262</v>
      </c>
      <c r="G272" s="19">
        <f>IFERROR(__xludf.DUMMYFUNCTION("SPLIT(A270, "" |"")"),268.0)</f>
        <v>268</v>
      </c>
      <c r="H272" s="19">
        <f>IFERROR(__xludf.DUMMYFUNCTION("""COMPUTED_VALUE"""),0.00214)</f>
        <v>0.00214</v>
      </c>
      <c r="I272" s="19" t="str">
        <f>IFERROR(__xludf.DUMMYFUNCTION("""COMPUTED_VALUE"""),"-")</f>
        <v>-</v>
      </c>
      <c r="J272" s="19">
        <f>IFERROR(__xludf.DUMMYFUNCTION("""COMPUTED_VALUE"""),0.00192)</f>
        <v>0.00192</v>
      </c>
      <c r="K272" s="19">
        <f>IFERROR(__xludf.DUMMYFUNCTION("""COMPUTED_VALUE"""),0.03979)</f>
        <v>0.03979</v>
      </c>
      <c r="L272" s="19" t="str">
        <f>IFERROR(__xludf.DUMMYFUNCTION("""COMPUTED_VALUE"""),"-")</f>
        <v>-</v>
      </c>
      <c r="M272" s="19">
        <f>IFERROR(__xludf.DUMMYFUNCTION("""COMPUTED_VALUE"""),0.03982)</f>
        <v>0.03982</v>
      </c>
    </row>
    <row r="273">
      <c r="A273" s="12" t="s">
        <v>7263</v>
      </c>
      <c r="G273" s="19">
        <f>IFERROR(__xludf.DUMMYFUNCTION("SPLIT(A271, "" |"")"),269.0)</f>
        <v>269</v>
      </c>
      <c r="H273" s="19">
        <f>IFERROR(__xludf.DUMMYFUNCTION("""COMPUTED_VALUE"""),0.00208)</f>
        <v>0.00208</v>
      </c>
      <c r="I273" s="19" t="str">
        <f>IFERROR(__xludf.DUMMYFUNCTION("""COMPUTED_VALUE"""),"-")</f>
        <v>-</v>
      </c>
      <c r="J273" s="19">
        <f>IFERROR(__xludf.DUMMYFUNCTION("""COMPUTED_VALUE"""),0.00191)</f>
        <v>0.00191</v>
      </c>
      <c r="K273" s="19">
        <f>IFERROR(__xludf.DUMMYFUNCTION("""COMPUTED_VALUE"""),0.03971)</f>
        <v>0.03971</v>
      </c>
      <c r="L273" s="19" t="str">
        <f>IFERROR(__xludf.DUMMYFUNCTION("""COMPUTED_VALUE"""),"-")</f>
        <v>-</v>
      </c>
      <c r="M273" s="19">
        <f>IFERROR(__xludf.DUMMYFUNCTION("""COMPUTED_VALUE"""),0.03982)</f>
        <v>0.03982</v>
      </c>
    </row>
    <row r="274">
      <c r="A274" s="12" t="s">
        <v>7264</v>
      </c>
      <c r="G274" s="19">
        <f>IFERROR(__xludf.DUMMYFUNCTION("SPLIT(A272, "" |"")"),270.0)</f>
        <v>270</v>
      </c>
      <c r="H274" s="19">
        <f>IFERROR(__xludf.DUMMYFUNCTION("""COMPUTED_VALUE"""),0.00207)</f>
        <v>0.00207</v>
      </c>
      <c r="I274" s="19" t="str">
        <f>IFERROR(__xludf.DUMMYFUNCTION("""COMPUTED_VALUE"""),"-")</f>
        <v>-</v>
      </c>
      <c r="J274" s="19">
        <f>IFERROR(__xludf.DUMMYFUNCTION("""COMPUTED_VALUE"""),0.00216)</f>
        <v>0.00216</v>
      </c>
      <c r="K274" s="19">
        <f>IFERROR(__xludf.DUMMYFUNCTION("""COMPUTED_VALUE"""),0.03988)</f>
        <v>0.03988</v>
      </c>
      <c r="L274" s="19" t="str">
        <f>IFERROR(__xludf.DUMMYFUNCTION("""COMPUTED_VALUE"""),"-")</f>
        <v>-</v>
      </c>
      <c r="M274" s="19">
        <f>IFERROR(__xludf.DUMMYFUNCTION("""COMPUTED_VALUE"""),0.03982)</f>
        <v>0.03982</v>
      </c>
    </row>
    <row r="275">
      <c r="A275" s="12" t="s">
        <v>7265</v>
      </c>
      <c r="G275" s="19">
        <f>IFERROR(__xludf.DUMMYFUNCTION("SPLIT(A273, "" |"")"),271.0)</f>
        <v>271</v>
      </c>
      <c r="H275" s="19">
        <f>IFERROR(__xludf.DUMMYFUNCTION("""COMPUTED_VALUE"""),0.00214)</f>
        <v>0.00214</v>
      </c>
      <c r="I275" s="19" t="str">
        <f>IFERROR(__xludf.DUMMYFUNCTION("""COMPUTED_VALUE"""),"-")</f>
        <v>-</v>
      </c>
      <c r="J275" s="19">
        <f>IFERROR(__xludf.DUMMYFUNCTION("""COMPUTED_VALUE"""),0.00195)</f>
        <v>0.00195</v>
      </c>
      <c r="K275" s="19">
        <f>IFERROR(__xludf.DUMMYFUNCTION("""COMPUTED_VALUE"""),0.03706)</f>
        <v>0.03706</v>
      </c>
      <c r="L275" s="19" t="str">
        <f>IFERROR(__xludf.DUMMYFUNCTION("""COMPUTED_VALUE"""),"-")</f>
        <v>-</v>
      </c>
      <c r="M275" s="19">
        <f>IFERROR(__xludf.DUMMYFUNCTION("""COMPUTED_VALUE"""),0.03979)</f>
        <v>0.03979</v>
      </c>
    </row>
    <row r="276">
      <c r="A276" s="12" t="s">
        <v>7266</v>
      </c>
      <c r="G276" s="19">
        <f>IFERROR(__xludf.DUMMYFUNCTION("SPLIT(A274, "" |"")"),272.0)</f>
        <v>272</v>
      </c>
      <c r="H276" s="19">
        <f>IFERROR(__xludf.DUMMYFUNCTION("""COMPUTED_VALUE"""),0.00211)</f>
        <v>0.00211</v>
      </c>
      <c r="I276" s="19" t="str">
        <f>IFERROR(__xludf.DUMMYFUNCTION("""COMPUTED_VALUE"""),"-")</f>
        <v>-</v>
      </c>
      <c r="J276" s="19">
        <f>IFERROR(__xludf.DUMMYFUNCTION("""COMPUTED_VALUE"""),0.00202)</f>
        <v>0.00202</v>
      </c>
      <c r="K276" s="19">
        <f>IFERROR(__xludf.DUMMYFUNCTION("""COMPUTED_VALUE"""),0.03962)</f>
        <v>0.03962</v>
      </c>
      <c r="L276" s="19" t="str">
        <f>IFERROR(__xludf.DUMMYFUNCTION("""COMPUTED_VALUE"""),"-")</f>
        <v>-</v>
      </c>
      <c r="M276" s="19">
        <f>IFERROR(__xludf.DUMMYFUNCTION("""COMPUTED_VALUE"""),0.03969)</f>
        <v>0.03969</v>
      </c>
    </row>
    <row r="277">
      <c r="A277" s="12" t="s">
        <v>7267</v>
      </c>
      <c r="G277" s="19">
        <f>IFERROR(__xludf.DUMMYFUNCTION("SPLIT(A275, "" |"")"),273.0)</f>
        <v>273</v>
      </c>
      <c r="H277" s="19">
        <f>IFERROR(__xludf.DUMMYFUNCTION("""COMPUTED_VALUE"""),0.00207)</f>
        <v>0.00207</v>
      </c>
      <c r="I277" s="19" t="str">
        <f>IFERROR(__xludf.DUMMYFUNCTION("""COMPUTED_VALUE"""),"-")</f>
        <v>-</v>
      </c>
      <c r="J277" s="19">
        <f>IFERROR(__xludf.DUMMYFUNCTION("""COMPUTED_VALUE"""),0.00194)</f>
        <v>0.00194</v>
      </c>
      <c r="K277" s="19">
        <f>IFERROR(__xludf.DUMMYFUNCTION("""COMPUTED_VALUE"""),0.04018)</f>
        <v>0.04018</v>
      </c>
      <c r="L277" s="19" t="str">
        <f>IFERROR(__xludf.DUMMYFUNCTION("""COMPUTED_VALUE"""),"-")</f>
        <v>-</v>
      </c>
      <c r="M277" s="19">
        <f>IFERROR(__xludf.DUMMYFUNCTION("""COMPUTED_VALUE"""),0.03983)</f>
        <v>0.03983</v>
      </c>
    </row>
    <row r="278">
      <c r="A278" s="12" t="s">
        <v>7268</v>
      </c>
      <c r="G278" s="19">
        <f>IFERROR(__xludf.DUMMYFUNCTION("SPLIT(A276, "" |"")"),274.0)</f>
        <v>274</v>
      </c>
      <c r="H278" s="19">
        <f>IFERROR(__xludf.DUMMYFUNCTION("""COMPUTED_VALUE"""),0.00201)</f>
        <v>0.00201</v>
      </c>
      <c r="I278" s="19" t="str">
        <f>IFERROR(__xludf.DUMMYFUNCTION("""COMPUTED_VALUE"""),"-")</f>
        <v>-</v>
      </c>
      <c r="J278" s="19">
        <f>IFERROR(__xludf.DUMMYFUNCTION("""COMPUTED_VALUE"""),0.00195)</f>
        <v>0.00195</v>
      </c>
      <c r="K278" s="19">
        <f>IFERROR(__xludf.DUMMYFUNCTION("""COMPUTED_VALUE"""),0.03557)</f>
        <v>0.03557</v>
      </c>
      <c r="L278" s="19" t="str">
        <f>IFERROR(__xludf.DUMMYFUNCTION("""COMPUTED_VALUE"""),"-")</f>
        <v>-</v>
      </c>
      <c r="M278" s="19">
        <f>IFERROR(__xludf.DUMMYFUNCTION("""COMPUTED_VALUE"""),0.04007)</f>
        <v>0.04007</v>
      </c>
    </row>
    <row r="279">
      <c r="A279" s="12" t="s">
        <v>7269</v>
      </c>
      <c r="G279" s="19">
        <f>IFERROR(__xludf.DUMMYFUNCTION("SPLIT(A277, "" |"")"),275.0)</f>
        <v>275</v>
      </c>
      <c r="H279" s="19">
        <f>IFERROR(__xludf.DUMMYFUNCTION("""COMPUTED_VALUE"""),0.00211)</f>
        <v>0.00211</v>
      </c>
      <c r="I279" s="19" t="str">
        <f>IFERROR(__xludf.DUMMYFUNCTION("""COMPUTED_VALUE"""),"-")</f>
        <v>-</v>
      </c>
      <c r="J279" s="19">
        <f>IFERROR(__xludf.DUMMYFUNCTION("""COMPUTED_VALUE"""),0.00201)</f>
        <v>0.00201</v>
      </c>
      <c r="K279" s="19">
        <f>IFERROR(__xludf.DUMMYFUNCTION("""COMPUTED_VALUE"""),0.03902)</f>
        <v>0.03902</v>
      </c>
      <c r="L279" s="19" t="str">
        <f>IFERROR(__xludf.DUMMYFUNCTION("""COMPUTED_VALUE"""),"-")</f>
        <v>-</v>
      </c>
      <c r="M279" s="19">
        <f>IFERROR(__xludf.DUMMYFUNCTION("""COMPUTED_VALUE"""),0.03982)</f>
        <v>0.03982</v>
      </c>
    </row>
    <row r="280">
      <c r="A280" s="12" t="s">
        <v>7270</v>
      </c>
      <c r="G280" s="19">
        <f>IFERROR(__xludf.DUMMYFUNCTION("SPLIT(A278, "" |"")"),276.0)</f>
        <v>276</v>
      </c>
      <c r="H280" s="19">
        <f>IFERROR(__xludf.DUMMYFUNCTION("""COMPUTED_VALUE"""),0.00208)</f>
        <v>0.00208</v>
      </c>
      <c r="I280" s="19" t="str">
        <f>IFERROR(__xludf.DUMMYFUNCTION("""COMPUTED_VALUE"""),"-")</f>
        <v>-</v>
      </c>
      <c r="J280" s="19">
        <f>IFERROR(__xludf.DUMMYFUNCTION("""COMPUTED_VALUE"""),0.00194)</f>
        <v>0.00194</v>
      </c>
      <c r="K280" s="19">
        <f>IFERROR(__xludf.DUMMYFUNCTION("""COMPUTED_VALUE"""),0.03947)</f>
        <v>0.03947</v>
      </c>
      <c r="L280" s="19" t="str">
        <f>IFERROR(__xludf.DUMMYFUNCTION("""COMPUTED_VALUE"""),"-")</f>
        <v>-</v>
      </c>
      <c r="M280" s="19">
        <f>IFERROR(__xludf.DUMMYFUNCTION("""COMPUTED_VALUE"""),0.03956)</f>
        <v>0.03956</v>
      </c>
    </row>
    <row r="281">
      <c r="A281" s="12" t="s">
        <v>7271</v>
      </c>
      <c r="G281" s="19">
        <f>IFERROR(__xludf.DUMMYFUNCTION("SPLIT(A279, "" |"")"),277.0)</f>
        <v>277</v>
      </c>
      <c r="H281" s="19">
        <f>IFERROR(__xludf.DUMMYFUNCTION("""COMPUTED_VALUE"""),0.00206)</f>
        <v>0.00206</v>
      </c>
      <c r="I281" s="19" t="str">
        <f>IFERROR(__xludf.DUMMYFUNCTION("""COMPUTED_VALUE"""),"-")</f>
        <v>-</v>
      </c>
      <c r="J281" s="19">
        <f>IFERROR(__xludf.DUMMYFUNCTION("""COMPUTED_VALUE"""),0.00184)</f>
        <v>0.00184</v>
      </c>
      <c r="K281" s="19">
        <f>IFERROR(__xludf.DUMMYFUNCTION("""COMPUTED_VALUE"""),0.03965)</f>
        <v>0.03965</v>
      </c>
      <c r="L281" s="19" t="str">
        <f>IFERROR(__xludf.DUMMYFUNCTION("""COMPUTED_VALUE"""),"-")</f>
        <v>-</v>
      </c>
      <c r="M281" s="19">
        <f>IFERROR(__xludf.DUMMYFUNCTION("""COMPUTED_VALUE"""),0.03974)</f>
        <v>0.03974</v>
      </c>
    </row>
    <row r="282">
      <c r="A282" s="12" t="s">
        <v>7272</v>
      </c>
      <c r="G282" s="19">
        <f>IFERROR(__xludf.DUMMYFUNCTION("SPLIT(A280, "" |"")"),278.0)</f>
        <v>278</v>
      </c>
      <c r="H282" s="19">
        <f>IFERROR(__xludf.DUMMYFUNCTION("""COMPUTED_VALUE"""),0.00225)</f>
        <v>0.00225</v>
      </c>
      <c r="I282" s="19" t="str">
        <f>IFERROR(__xludf.DUMMYFUNCTION("""COMPUTED_VALUE"""),"-")</f>
        <v>-</v>
      </c>
      <c r="J282" s="19">
        <f>IFERROR(__xludf.DUMMYFUNCTION("""COMPUTED_VALUE"""),0.00244)</f>
        <v>0.00244</v>
      </c>
      <c r="K282" s="19">
        <f>IFERROR(__xludf.DUMMYFUNCTION("""COMPUTED_VALUE"""),0.03868)</f>
        <v>0.03868</v>
      </c>
      <c r="L282" s="19" t="str">
        <f>IFERROR(__xludf.DUMMYFUNCTION("""COMPUTED_VALUE"""),"-")</f>
        <v>-</v>
      </c>
      <c r="M282" s="19">
        <f>IFERROR(__xludf.DUMMYFUNCTION("""COMPUTED_VALUE"""),0.04021)</f>
        <v>0.04021</v>
      </c>
    </row>
    <row r="283">
      <c r="A283" s="12" t="s">
        <v>7273</v>
      </c>
      <c r="G283" s="19">
        <f>IFERROR(__xludf.DUMMYFUNCTION("SPLIT(A281, "" |"")"),279.0)</f>
        <v>279</v>
      </c>
      <c r="H283" s="19">
        <f>IFERROR(__xludf.DUMMYFUNCTION("""COMPUTED_VALUE"""),0.00225)</f>
        <v>0.00225</v>
      </c>
      <c r="I283" s="19" t="str">
        <f>IFERROR(__xludf.DUMMYFUNCTION("""COMPUTED_VALUE"""),"-")</f>
        <v>-</v>
      </c>
      <c r="J283" s="19">
        <f>IFERROR(__xludf.DUMMYFUNCTION("""COMPUTED_VALUE"""),0.0022)</f>
        <v>0.0022</v>
      </c>
      <c r="K283" s="19">
        <f>IFERROR(__xludf.DUMMYFUNCTION("""COMPUTED_VALUE"""),0.03821)</f>
        <v>0.03821</v>
      </c>
      <c r="L283" s="19" t="str">
        <f>IFERROR(__xludf.DUMMYFUNCTION("""COMPUTED_VALUE"""),"-")</f>
        <v>-</v>
      </c>
      <c r="M283" s="19">
        <f>IFERROR(__xludf.DUMMYFUNCTION("""COMPUTED_VALUE"""),0.04014)</f>
        <v>0.04014</v>
      </c>
    </row>
    <row r="284">
      <c r="A284" s="12" t="s">
        <v>7274</v>
      </c>
      <c r="G284" s="19">
        <f>IFERROR(__xludf.DUMMYFUNCTION("SPLIT(A282, "" |"")"),280.0)</f>
        <v>280</v>
      </c>
      <c r="H284" s="19">
        <f>IFERROR(__xludf.DUMMYFUNCTION("""COMPUTED_VALUE"""),0.00202)</f>
        <v>0.00202</v>
      </c>
      <c r="I284" s="19" t="str">
        <f>IFERROR(__xludf.DUMMYFUNCTION("""COMPUTED_VALUE"""),"-")</f>
        <v>-</v>
      </c>
      <c r="J284" s="19">
        <f>IFERROR(__xludf.DUMMYFUNCTION("""COMPUTED_VALUE"""),0.00208)</f>
        <v>0.00208</v>
      </c>
      <c r="K284" s="19">
        <f>IFERROR(__xludf.DUMMYFUNCTION("""COMPUTED_VALUE"""),0.03983)</f>
        <v>0.03983</v>
      </c>
      <c r="L284" s="19" t="str">
        <f>IFERROR(__xludf.DUMMYFUNCTION("""COMPUTED_VALUE"""),"-")</f>
        <v>-</v>
      </c>
      <c r="M284" s="19">
        <f>IFERROR(__xludf.DUMMYFUNCTION("""COMPUTED_VALUE"""),0.04028)</f>
        <v>0.04028</v>
      </c>
    </row>
    <row r="285">
      <c r="A285" s="12" t="s">
        <v>7275</v>
      </c>
      <c r="G285" s="19">
        <f>IFERROR(__xludf.DUMMYFUNCTION("SPLIT(A283, "" |"")"),281.0)</f>
        <v>281</v>
      </c>
      <c r="H285" s="19">
        <f>IFERROR(__xludf.DUMMYFUNCTION("""COMPUTED_VALUE"""),0.00228)</f>
        <v>0.00228</v>
      </c>
      <c r="I285" s="19" t="str">
        <f>IFERROR(__xludf.DUMMYFUNCTION("""COMPUTED_VALUE"""),"-")</f>
        <v>-</v>
      </c>
      <c r="J285" s="19">
        <f>IFERROR(__xludf.DUMMYFUNCTION("""COMPUTED_VALUE"""),0.00199)</f>
        <v>0.00199</v>
      </c>
      <c r="K285" s="19">
        <f>IFERROR(__xludf.DUMMYFUNCTION("""COMPUTED_VALUE"""),0.0382)</f>
        <v>0.0382</v>
      </c>
      <c r="L285" s="19" t="str">
        <f>IFERROR(__xludf.DUMMYFUNCTION("""COMPUTED_VALUE"""),"-")</f>
        <v>-</v>
      </c>
      <c r="M285" s="19">
        <f>IFERROR(__xludf.DUMMYFUNCTION("""COMPUTED_VALUE"""),0.03997)</f>
        <v>0.03997</v>
      </c>
    </row>
    <row r="286">
      <c r="A286" s="12" t="s">
        <v>7276</v>
      </c>
      <c r="G286" s="19">
        <f>IFERROR(__xludf.DUMMYFUNCTION("SPLIT(A284, "" |"")"),282.0)</f>
        <v>282</v>
      </c>
      <c r="H286" s="19">
        <f>IFERROR(__xludf.DUMMYFUNCTION("""COMPUTED_VALUE"""),0.00225)</f>
        <v>0.00225</v>
      </c>
      <c r="I286" s="19" t="str">
        <f>IFERROR(__xludf.DUMMYFUNCTION("""COMPUTED_VALUE"""),"-")</f>
        <v>-</v>
      </c>
      <c r="J286" s="19">
        <f>IFERROR(__xludf.DUMMYFUNCTION("""COMPUTED_VALUE"""),0.00207)</f>
        <v>0.00207</v>
      </c>
      <c r="K286" s="19">
        <f>IFERROR(__xludf.DUMMYFUNCTION("""COMPUTED_VALUE"""),0.03783)</f>
        <v>0.03783</v>
      </c>
      <c r="L286" s="19" t="str">
        <f>IFERROR(__xludf.DUMMYFUNCTION("""COMPUTED_VALUE"""),"-")</f>
        <v>-</v>
      </c>
      <c r="M286" s="19">
        <f>IFERROR(__xludf.DUMMYFUNCTION("""COMPUTED_VALUE"""),0.04062)</f>
        <v>0.04062</v>
      </c>
    </row>
    <row r="287">
      <c r="A287" s="12" t="s">
        <v>7277</v>
      </c>
      <c r="G287" s="19">
        <f>IFERROR(__xludf.DUMMYFUNCTION("SPLIT(A285, "" |"")"),283.0)</f>
        <v>283</v>
      </c>
      <c r="H287" s="19">
        <f>IFERROR(__xludf.DUMMYFUNCTION("""COMPUTED_VALUE"""),0.0023)</f>
        <v>0.0023</v>
      </c>
      <c r="I287" s="19" t="str">
        <f>IFERROR(__xludf.DUMMYFUNCTION("""COMPUTED_VALUE"""),"-")</f>
        <v>-</v>
      </c>
      <c r="J287" s="19">
        <f>IFERROR(__xludf.DUMMYFUNCTION("""COMPUTED_VALUE"""),0.00186)</f>
        <v>0.00186</v>
      </c>
      <c r="K287" s="19">
        <f>IFERROR(__xludf.DUMMYFUNCTION("""COMPUTED_VALUE"""),0.03907)</f>
        <v>0.03907</v>
      </c>
      <c r="L287" s="19" t="str">
        <f>IFERROR(__xludf.DUMMYFUNCTION("""COMPUTED_VALUE"""),"-")</f>
        <v>-</v>
      </c>
      <c r="M287" s="19">
        <f>IFERROR(__xludf.DUMMYFUNCTION("""COMPUTED_VALUE"""),0.03931)</f>
        <v>0.03931</v>
      </c>
    </row>
    <row r="288">
      <c r="A288" s="12" t="s">
        <v>7278</v>
      </c>
      <c r="G288" s="19">
        <f>IFERROR(__xludf.DUMMYFUNCTION("SPLIT(A286, "" |"")"),284.0)</f>
        <v>284</v>
      </c>
      <c r="H288" s="19">
        <f>IFERROR(__xludf.DUMMYFUNCTION("""COMPUTED_VALUE"""),0.00225)</f>
        <v>0.00225</v>
      </c>
      <c r="I288" s="19" t="str">
        <f>IFERROR(__xludf.DUMMYFUNCTION("""COMPUTED_VALUE"""),"-")</f>
        <v>-</v>
      </c>
      <c r="J288" s="19">
        <f>IFERROR(__xludf.DUMMYFUNCTION("""COMPUTED_VALUE"""),0.00206)</f>
        <v>0.00206</v>
      </c>
      <c r="K288" s="19">
        <f>IFERROR(__xludf.DUMMYFUNCTION("""COMPUTED_VALUE"""),0.03959)</f>
        <v>0.03959</v>
      </c>
      <c r="L288" s="19" t="str">
        <f>IFERROR(__xludf.DUMMYFUNCTION("""COMPUTED_VALUE"""),"-")</f>
        <v>-</v>
      </c>
      <c r="M288" s="19">
        <f>IFERROR(__xludf.DUMMYFUNCTION("""COMPUTED_VALUE"""),0.03931)</f>
        <v>0.03931</v>
      </c>
    </row>
    <row r="289">
      <c r="A289" s="12" t="s">
        <v>7279</v>
      </c>
      <c r="G289" s="19">
        <f>IFERROR(__xludf.DUMMYFUNCTION("SPLIT(A287, "" |"")"),285.0)</f>
        <v>285</v>
      </c>
      <c r="H289" s="19">
        <f>IFERROR(__xludf.DUMMYFUNCTION("""COMPUTED_VALUE"""),0.0021)</f>
        <v>0.0021</v>
      </c>
      <c r="I289" s="19" t="str">
        <f>IFERROR(__xludf.DUMMYFUNCTION("""COMPUTED_VALUE"""),"-")</f>
        <v>-</v>
      </c>
      <c r="J289" s="19">
        <f>IFERROR(__xludf.DUMMYFUNCTION("""COMPUTED_VALUE"""),0.00194)</f>
        <v>0.00194</v>
      </c>
      <c r="K289" s="19">
        <f>IFERROR(__xludf.DUMMYFUNCTION("""COMPUTED_VALUE"""),0.03914)</f>
        <v>0.03914</v>
      </c>
      <c r="L289" s="19" t="str">
        <f>IFERROR(__xludf.DUMMYFUNCTION("""COMPUTED_VALUE"""),"-")</f>
        <v>-</v>
      </c>
      <c r="M289" s="19">
        <f>IFERROR(__xludf.DUMMYFUNCTION("""COMPUTED_VALUE"""),0.03974)</f>
        <v>0.03974</v>
      </c>
    </row>
    <row r="290">
      <c r="A290" s="12" t="s">
        <v>7280</v>
      </c>
      <c r="G290" s="19">
        <f>IFERROR(__xludf.DUMMYFUNCTION("SPLIT(A288, "" |"")"),286.0)</f>
        <v>286</v>
      </c>
      <c r="H290" s="19">
        <f>IFERROR(__xludf.DUMMYFUNCTION("""COMPUTED_VALUE"""),0.00204)</f>
        <v>0.00204</v>
      </c>
      <c r="I290" s="19" t="str">
        <f>IFERROR(__xludf.DUMMYFUNCTION("""COMPUTED_VALUE"""),"-")</f>
        <v>-</v>
      </c>
      <c r="J290" s="19">
        <f>IFERROR(__xludf.DUMMYFUNCTION("""COMPUTED_VALUE"""),0.00188)</f>
        <v>0.00188</v>
      </c>
      <c r="K290" s="19">
        <f>IFERROR(__xludf.DUMMYFUNCTION("""COMPUTED_VALUE"""),0.04005)</f>
        <v>0.04005</v>
      </c>
      <c r="L290" s="19" t="str">
        <f>IFERROR(__xludf.DUMMYFUNCTION("""COMPUTED_VALUE"""),"-")</f>
        <v>-</v>
      </c>
      <c r="M290" s="19">
        <f>IFERROR(__xludf.DUMMYFUNCTION("""COMPUTED_VALUE"""),0.03951)</f>
        <v>0.03951</v>
      </c>
    </row>
    <row r="291">
      <c r="A291" s="12" t="s">
        <v>7281</v>
      </c>
      <c r="G291" s="19">
        <f>IFERROR(__xludf.DUMMYFUNCTION("SPLIT(A289, "" |"")"),287.0)</f>
        <v>287</v>
      </c>
      <c r="H291" s="19">
        <f>IFERROR(__xludf.DUMMYFUNCTION("""COMPUTED_VALUE"""),0.00216)</f>
        <v>0.00216</v>
      </c>
      <c r="I291" s="19" t="str">
        <f>IFERROR(__xludf.DUMMYFUNCTION("""COMPUTED_VALUE"""),"-")</f>
        <v>-</v>
      </c>
      <c r="J291" s="19">
        <f>IFERROR(__xludf.DUMMYFUNCTION("""COMPUTED_VALUE"""),0.00185)</f>
        <v>0.00185</v>
      </c>
      <c r="K291" s="19">
        <f>IFERROR(__xludf.DUMMYFUNCTION("""COMPUTED_VALUE"""),0.03992)</f>
        <v>0.03992</v>
      </c>
      <c r="L291" s="19" t="str">
        <f>IFERROR(__xludf.DUMMYFUNCTION("""COMPUTED_VALUE"""),"-")</f>
        <v>-</v>
      </c>
      <c r="M291" s="19">
        <f>IFERROR(__xludf.DUMMYFUNCTION("""COMPUTED_VALUE"""),0.04092)</f>
        <v>0.04092</v>
      </c>
    </row>
    <row r="292">
      <c r="A292" s="12" t="s">
        <v>7282</v>
      </c>
      <c r="G292" s="19">
        <f>IFERROR(__xludf.DUMMYFUNCTION("SPLIT(A290, "" |"")"),288.0)</f>
        <v>288</v>
      </c>
      <c r="H292" s="19">
        <f>IFERROR(__xludf.DUMMYFUNCTION("""COMPUTED_VALUE"""),0.00207)</f>
        <v>0.00207</v>
      </c>
      <c r="I292" s="19" t="str">
        <f>IFERROR(__xludf.DUMMYFUNCTION("""COMPUTED_VALUE"""),"-")</f>
        <v>-</v>
      </c>
      <c r="J292" s="19">
        <f>IFERROR(__xludf.DUMMYFUNCTION("""COMPUTED_VALUE"""),0.00184)</f>
        <v>0.00184</v>
      </c>
      <c r="K292" s="19">
        <f>IFERROR(__xludf.DUMMYFUNCTION("""COMPUTED_VALUE"""),0.03957)</f>
        <v>0.03957</v>
      </c>
      <c r="L292" s="19" t="str">
        <f>IFERROR(__xludf.DUMMYFUNCTION("""COMPUTED_VALUE"""),"-")</f>
        <v>-</v>
      </c>
      <c r="M292" s="19">
        <f>IFERROR(__xludf.DUMMYFUNCTION("""COMPUTED_VALUE"""),0.03793)</f>
        <v>0.03793</v>
      </c>
    </row>
    <row r="293">
      <c r="A293" s="12" t="s">
        <v>7283</v>
      </c>
      <c r="G293" s="19">
        <f>IFERROR(__xludf.DUMMYFUNCTION("SPLIT(A291, "" |"")"),289.0)</f>
        <v>289</v>
      </c>
      <c r="H293" s="19">
        <f>IFERROR(__xludf.DUMMYFUNCTION("""COMPUTED_VALUE"""),0.00198)</f>
        <v>0.00198</v>
      </c>
      <c r="I293" s="19" t="str">
        <f>IFERROR(__xludf.DUMMYFUNCTION("""COMPUTED_VALUE"""),"-")</f>
        <v>-</v>
      </c>
      <c r="J293" s="19">
        <f>IFERROR(__xludf.DUMMYFUNCTION("""COMPUTED_VALUE"""),0.00185)</f>
        <v>0.00185</v>
      </c>
      <c r="K293" s="19">
        <f>IFERROR(__xludf.DUMMYFUNCTION("""COMPUTED_VALUE"""),0.03972)</f>
        <v>0.03972</v>
      </c>
      <c r="L293" s="19" t="str">
        <f>IFERROR(__xludf.DUMMYFUNCTION("""COMPUTED_VALUE"""),"-")</f>
        <v>-</v>
      </c>
      <c r="M293" s="19">
        <f>IFERROR(__xludf.DUMMYFUNCTION("""COMPUTED_VALUE"""),0.04034)</f>
        <v>0.04034</v>
      </c>
    </row>
    <row r="294">
      <c r="A294" s="12" t="s">
        <v>7284</v>
      </c>
      <c r="G294" s="19">
        <f>IFERROR(__xludf.DUMMYFUNCTION("SPLIT(A292, "" |"")"),290.0)</f>
        <v>290</v>
      </c>
      <c r="H294" s="19">
        <f>IFERROR(__xludf.DUMMYFUNCTION("""COMPUTED_VALUE"""),0.00198)</f>
        <v>0.00198</v>
      </c>
      <c r="I294" s="19" t="str">
        <f>IFERROR(__xludf.DUMMYFUNCTION("""COMPUTED_VALUE"""),"-")</f>
        <v>-</v>
      </c>
      <c r="J294" s="19">
        <f>IFERROR(__xludf.DUMMYFUNCTION("""COMPUTED_VALUE"""),0.00191)</f>
        <v>0.00191</v>
      </c>
      <c r="K294" s="19">
        <f>IFERROR(__xludf.DUMMYFUNCTION("""COMPUTED_VALUE"""),0.03968)</f>
        <v>0.03968</v>
      </c>
      <c r="L294" s="19" t="str">
        <f>IFERROR(__xludf.DUMMYFUNCTION("""COMPUTED_VALUE"""),"-")</f>
        <v>-</v>
      </c>
      <c r="M294" s="19">
        <f>IFERROR(__xludf.DUMMYFUNCTION("""COMPUTED_VALUE"""),0.03977)</f>
        <v>0.03977</v>
      </c>
    </row>
    <row r="295">
      <c r="A295" s="12" t="s">
        <v>7285</v>
      </c>
      <c r="G295" s="19">
        <f>IFERROR(__xludf.DUMMYFUNCTION("SPLIT(A293, "" |"")"),291.0)</f>
        <v>291</v>
      </c>
      <c r="H295" s="19">
        <f>IFERROR(__xludf.DUMMYFUNCTION("""COMPUTED_VALUE"""),0.00194)</f>
        <v>0.00194</v>
      </c>
      <c r="I295" s="19" t="str">
        <f>IFERROR(__xludf.DUMMYFUNCTION("""COMPUTED_VALUE"""),"-")</f>
        <v>-</v>
      </c>
      <c r="J295" s="19">
        <f>IFERROR(__xludf.DUMMYFUNCTION("""COMPUTED_VALUE"""),0.00185)</f>
        <v>0.00185</v>
      </c>
      <c r="K295" s="19">
        <f>IFERROR(__xludf.DUMMYFUNCTION("""COMPUTED_VALUE"""),0.03974)</f>
        <v>0.03974</v>
      </c>
      <c r="L295" s="19" t="str">
        <f>IFERROR(__xludf.DUMMYFUNCTION("""COMPUTED_VALUE"""),"-")</f>
        <v>-</v>
      </c>
      <c r="M295" s="19">
        <f>IFERROR(__xludf.DUMMYFUNCTION("""COMPUTED_VALUE"""),0.03977)</f>
        <v>0.03977</v>
      </c>
    </row>
    <row r="296">
      <c r="A296" s="12" t="s">
        <v>7286</v>
      </c>
      <c r="G296" s="19">
        <f>IFERROR(__xludf.DUMMYFUNCTION("SPLIT(A294, "" |"")"),292.0)</f>
        <v>292</v>
      </c>
      <c r="H296" s="19">
        <f>IFERROR(__xludf.DUMMYFUNCTION("""COMPUTED_VALUE"""),0.00221)</f>
        <v>0.00221</v>
      </c>
      <c r="I296" s="19" t="str">
        <f>IFERROR(__xludf.DUMMYFUNCTION("""COMPUTED_VALUE"""),"-")</f>
        <v>-</v>
      </c>
      <c r="J296" s="19">
        <f>IFERROR(__xludf.DUMMYFUNCTION("""COMPUTED_VALUE"""),0.00191)</f>
        <v>0.00191</v>
      </c>
      <c r="K296" s="19">
        <f>IFERROR(__xludf.DUMMYFUNCTION("""COMPUTED_VALUE"""),0.03971)</f>
        <v>0.03971</v>
      </c>
      <c r="L296" s="19" t="str">
        <f>IFERROR(__xludf.DUMMYFUNCTION("""COMPUTED_VALUE"""),"-")</f>
        <v>-</v>
      </c>
      <c r="M296" s="19">
        <f>IFERROR(__xludf.DUMMYFUNCTION("""COMPUTED_VALUE"""),0.03971)</f>
        <v>0.03971</v>
      </c>
    </row>
    <row r="297">
      <c r="A297" s="12" t="s">
        <v>7287</v>
      </c>
      <c r="G297" s="19">
        <f>IFERROR(__xludf.DUMMYFUNCTION("SPLIT(A295, "" |"")"),293.0)</f>
        <v>293</v>
      </c>
      <c r="H297" s="19">
        <f>IFERROR(__xludf.DUMMYFUNCTION("""COMPUTED_VALUE"""),0.00204)</f>
        <v>0.00204</v>
      </c>
      <c r="I297" s="19" t="str">
        <f>IFERROR(__xludf.DUMMYFUNCTION("""COMPUTED_VALUE"""),"-")</f>
        <v>-</v>
      </c>
      <c r="J297" s="19">
        <f>IFERROR(__xludf.DUMMYFUNCTION("""COMPUTED_VALUE"""),0.00188)</f>
        <v>0.00188</v>
      </c>
      <c r="K297" s="19">
        <f>IFERROR(__xludf.DUMMYFUNCTION("""COMPUTED_VALUE"""),0.03974)</f>
        <v>0.03974</v>
      </c>
      <c r="L297" s="19" t="str">
        <f>IFERROR(__xludf.DUMMYFUNCTION("""COMPUTED_VALUE"""),"-")</f>
        <v>-</v>
      </c>
      <c r="M297" s="19">
        <f>IFERROR(__xludf.DUMMYFUNCTION("""COMPUTED_VALUE"""),0.0352)</f>
        <v>0.0352</v>
      </c>
    </row>
    <row r="298">
      <c r="A298" s="12" t="s">
        <v>7288</v>
      </c>
      <c r="G298" s="19">
        <f>IFERROR(__xludf.DUMMYFUNCTION("SPLIT(A296, "" |"")"),294.0)</f>
        <v>294</v>
      </c>
      <c r="H298" s="19">
        <f>IFERROR(__xludf.DUMMYFUNCTION("""COMPUTED_VALUE"""),0.00205)</f>
        <v>0.00205</v>
      </c>
      <c r="I298" s="19" t="str">
        <f>IFERROR(__xludf.DUMMYFUNCTION("""COMPUTED_VALUE"""),"-")</f>
        <v>-</v>
      </c>
      <c r="J298" s="19">
        <f>IFERROR(__xludf.DUMMYFUNCTION("""COMPUTED_VALUE"""),0.0019)</f>
        <v>0.0019</v>
      </c>
      <c r="K298" s="19">
        <f>IFERROR(__xludf.DUMMYFUNCTION("""COMPUTED_VALUE"""),0.03833)</f>
        <v>0.03833</v>
      </c>
      <c r="L298" s="19" t="str">
        <f>IFERROR(__xludf.DUMMYFUNCTION("""COMPUTED_VALUE"""),"-")</f>
        <v>-</v>
      </c>
      <c r="M298" s="19">
        <f>IFERROR(__xludf.DUMMYFUNCTION("""COMPUTED_VALUE"""),0.03968)</f>
        <v>0.03968</v>
      </c>
    </row>
    <row r="299">
      <c r="A299" s="12" t="s">
        <v>7289</v>
      </c>
      <c r="G299" s="19">
        <f>IFERROR(__xludf.DUMMYFUNCTION("SPLIT(A297, "" |"")"),295.0)</f>
        <v>295</v>
      </c>
      <c r="H299" s="19">
        <f>IFERROR(__xludf.DUMMYFUNCTION("""COMPUTED_VALUE"""),0.00213)</f>
        <v>0.00213</v>
      </c>
      <c r="I299" s="19" t="str">
        <f>IFERROR(__xludf.DUMMYFUNCTION("""COMPUTED_VALUE"""),"-")</f>
        <v>-</v>
      </c>
      <c r="J299" s="19">
        <f>IFERROR(__xludf.DUMMYFUNCTION("""COMPUTED_VALUE"""),0.00193)</f>
        <v>0.00193</v>
      </c>
      <c r="K299" s="19">
        <f>IFERROR(__xludf.DUMMYFUNCTION("""COMPUTED_VALUE"""),0.03884)</f>
        <v>0.03884</v>
      </c>
      <c r="L299" s="19" t="str">
        <f>IFERROR(__xludf.DUMMYFUNCTION("""COMPUTED_VALUE"""),"-")</f>
        <v>-</v>
      </c>
      <c r="M299" s="19">
        <f>IFERROR(__xludf.DUMMYFUNCTION("""COMPUTED_VALUE"""),0.04008)</f>
        <v>0.04008</v>
      </c>
    </row>
    <row r="300">
      <c r="A300" s="12" t="s">
        <v>7290</v>
      </c>
      <c r="G300" s="19">
        <f>IFERROR(__xludf.DUMMYFUNCTION("SPLIT(A298, "" |"")"),296.0)</f>
        <v>296</v>
      </c>
      <c r="H300" s="19">
        <f>IFERROR(__xludf.DUMMYFUNCTION("""COMPUTED_VALUE"""),0.00216)</f>
        <v>0.00216</v>
      </c>
      <c r="I300" s="19" t="str">
        <f>IFERROR(__xludf.DUMMYFUNCTION("""COMPUTED_VALUE"""),"-")</f>
        <v>-</v>
      </c>
      <c r="J300" s="19">
        <f>IFERROR(__xludf.DUMMYFUNCTION("""COMPUTED_VALUE"""),0.002)</f>
        <v>0.002</v>
      </c>
      <c r="K300" s="19">
        <f>IFERROR(__xludf.DUMMYFUNCTION("""COMPUTED_VALUE"""),0.03967)</f>
        <v>0.03967</v>
      </c>
      <c r="L300" s="19" t="str">
        <f>IFERROR(__xludf.DUMMYFUNCTION("""COMPUTED_VALUE"""),"-")</f>
        <v>-</v>
      </c>
      <c r="M300" s="19">
        <f>IFERROR(__xludf.DUMMYFUNCTION("""COMPUTED_VALUE"""),0.04035)</f>
        <v>0.04035</v>
      </c>
    </row>
    <row r="301">
      <c r="A301" s="12" t="s">
        <v>7291</v>
      </c>
      <c r="G301" s="19">
        <f>IFERROR(__xludf.DUMMYFUNCTION("SPLIT(A299, "" |"")"),297.0)</f>
        <v>297</v>
      </c>
      <c r="H301" s="19">
        <f>IFERROR(__xludf.DUMMYFUNCTION("""COMPUTED_VALUE"""),0.00209)</f>
        <v>0.00209</v>
      </c>
      <c r="I301" s="19" t="str">
        <f>IFERROR(__xludf.DUMMYFUNCTION("""COMPUTED_VALUE"""),"-")</f>
        <v>-</v>
      </c>
      <c r="J301" s="19">
        <f>IFERROR(__xludf.DUMMYFUNCTION("""COMPUTED_VALUE"""),0.002)</f>
        <v>0.002</v>
      </c>
      <c r="K301" s="19">
        <f>IFERROR(__xludf.DUMMYFUNCTION("""COMPUTED_VALUE"""),0.03965)</f>
        <v>0.03965</v>
      </c>
      <c r="L301" s="19" t="str">
        <f>IFERROR(__xludf.DUMMYFUNCTION("""COMPUTED_VALUE"""),"-")</f>
        <v>-</v>
      </c>
      <c r="M301" s="19">
        <f>IFERROR(__xludf.DUMMYFUNCTION("""COMPUTED_VALUE"""),0.0404)</f>
        <v>0.0404</v>
      </c>
    </row>
    <row r="302">
      <c r="A302" s="12" t="s">
        <v>7292</v>
      </c>
      <c r="G302" s="19">
        <f>IFERROR(__xludf.DUMMYFUNCTION("SPLIT(A300, "" |"")"),298.0)</f>
        <v>298</v>
      </c>
      <c r="H302" s="19">
        <f>IFERROR(__xludf.DUMMYFUNCTION("""COMPUTED_VALUE"""),0.0021)</f>
        <v>0.0021</v>
      </c>
      <c r="I302" s="19" t="str">
        <f>IFERROR(__xludf.DUMMYFUNCTION("""COMPUTED_VALUE"""),"-")</f>
        <v>-</v>
      </c>
      <c r="J302" s="19">
        <f>IFERROR(__xludf.DUMMYFUNCTION("""COMPUTED_VALUE"""),0.00192)</f>
        <v>0.00192</v>
      </c>
      <c r="K302" s="19">
        <f>IFERROR(__xludf.DUMMYFUNCTION("""COMPUTED_VALUE"""),0.03964)</f>
        <v>0.03964</v>
      </c>
      <c r="L302" s="19" t="str">
        <f>IFERROR(__xludf.DUMMYFUNCTION("""COMPUTED_VALUE"""),"-")</f>
        <v>-</v>
      </c>
      <c r="M302" s="19">
        <f>IFERROR(__xludf.DUMMYFUNCTION("""COMPUTED_VALUE"""),0.04057)</f>
        <v>0.04057</v>
      </c>
    </row>
    <row r="303">
      <c r="A303" s="12" t="s">
        <v>7293</v>
      </c>
      <c r="G303" s="19">
        <f>IFERROR(__xludf.DUMMYFUNCTION("SPLIT(A301, "" |"")"),299.0)</f>
        <v>299</v>
      </c>
      <c r="H303" s="19">
        <f>IFERROR(__xludf.DUMMYFUNCTION("""COMPUTED_VALUE"""),0.00221)</f>
        <v>0.00221</v>
      </c>
      <c r="I303" s="19" t="str">
        <f>IFERROR(__xludf.DUMMYFUNCTION("""COMPUTED_VALUE"""),"-")</f>
        <v>-</v>
      </c>
      <c r="J303" s="19">
        <f>IFERROR(__xludf.DUMMYFUNCTION("""COMPUTED_VALUE"""),0.00192)</f>
        <v>0.00192</v>
      </c>
      <c r="K303" s="19">
        <f>IFERROR(__xludf.DUMMYFUNCTION("""COMPUTED_VALUE"""),0.04013)</f>
        <v>0.04013</v>
      </c>
      <c r="L303" s="19" t="str">
        <f>IFERROR(__xludf.DUMMYFUNCTION("""COMPUTED_VALUE"""),"-")</f>
        <v>-</v>
      </c>
      <c r="M303" s="19">
        <f>IFERROR(__xludf.DUMMYFUNCTION("""COMPUTED_VALUE"""),0.03998)</f>
        <v>0.03998</v>
      </c>
    </row>
    <row r="304">
      <c r="A304" s="12" t="s">
        <v>7294</v>
      </c>
      <c r="G304" s="19">
        <f>IFERROR(__xludf.DUMMYFUNCTION("SPLIT(A302, "" |"")"),300.0)</f>
        <v>300</v>
      </c>
      <c r="H304" s="19">
        <f>IFERROR(__xludf.DUMMYFUNCTION("""COMPUTED_VALUE"""),0.0021)</f>
        <v>0.0021</v>
      </c>
      <c r="I304" s="19" t="str">
        <f>IFERROR(__xludf.DUMMYFUNCTION("""COMPUTED_VALUE"""),"-")</f>
        <v>-</v>
      </c>
      <c r="J304" s="19">
        <f>IFERROR(__xludf.DUMMYFUNCTION("""COMPUTED_VALUE"""),0.00195)</f>
        <v>0.00195</v>
      </c>
      <c r="K304" s="19">
        <f>IFERROR(__xludf.DUMMYFUNCTION("""COMPUTED_VALUE"""),0.04062)</f>
        <v>0.04062</v>
      </c>
      <c r="L304" s="19" t="str">
        <f>IFERROR(__xludf.DUMMYFUNCTION("""COMPUTED_VALUE"""),"-")</f>
        <v>-</v>
      </c>
      <c r="M304" s="19">
        <f>IFERROR(__xludf.DUMMYFUNCTION("""COMPUTED_VALUE"""),0.03751)</f>
        <v>0.03751</v>
      </c>
    </row>
    <row r="305">
      <c r="A305" s="12" t="s">
        <v>7295</v>
      </c>
      <c r="G305" s="19">
        <f>IFERROR(__xludf.DUMMYFUNCTION("SPLIT(A303, "" |"")"),301.0)</f>
        <v>301</v>
      </c>
      <c r="H305" s="19">
        <f>IFERROR(__xludf.DUMMYFUNCTION("""COMPUTED_VALUE"""),0.00222)</f>
        <v>0.00222</v>
      </c>
      <c r="I305" s="19" t="str">
        <f>IFERROR(__xludf.DUMMYFUNCTION("""COMPUTED_VALUE"""),"-")</f>
        <v>-</v>
      </c>
      <c r="J305" s="19">
        <f>IFERROR(__xludf.DUMMYFUNCTION("""COMPUTED_VALUE"""),0.00185)</f>
        <v>0.00185</v>
      </c>
      <c r="K305" s="19">
        <f>IFERROR(__xludf.DUMMYFUNCTION("""COMPUTED_VALUE"""),0.03966)</f>
        <v>0.03966</v>
      </c>
      <c r="L305" s="19" t="str">
        <f>IFERROR(__xludf.DUMMYFUNCTION("""COMPUTED_VALUE"""),"-")</f>
        <v>-</v>
      </c>
      <c r="M305" s="19">
        <f>IFERROR(__xludf.DUMMYFUNCTION("""COMPUTED_VALUE"""),0.04215)</f>
        <v>0.04215</v>
      </c>
    </row>
    <row r="306">
      <c r="A306" s="12" t="s">
        <v>7296</v>
      </c>
      <c r="G306" s="19">
        <f>IFERROR(__xludf.DUMMYFUNCTION("SPLIT(A304, "" |"")"),302.0)</f>
        <v>302</v>
      </c>
      <c r="H306" s="19">
        <f>IFERROR(__xludf.DUMMYFUNCTION("""COMPUTED_VALUE"""),0.0024)</f>
        <v>0.0024</v>
      </c>
      <c r="I306" s="19" t="str">
        <f>IFERROR(__xludf.DUMMYFUNCTION("""COMPUTED_VALUE"""),"-")</f>
        <v>-</v>
      </c>
      <c r="J306" s="19">
        <f>IFERROR(__xludf.DUMMYFUNCTION("""COMPUTED_VALUE"""),0.00222)</f>
        <v>0.00222</v>
      </c>
      <c r="K306" s="19">
        <f>IFERROR(__xludf.DUMMYFUNCTION("""COMPUTED_VALUE"""),0.03779)</f>
        <v>0.03779</v>
      </c>
      <c r="L306" s="19" t="str">
        <f>IFERROR(__xludf.DUMMYFUNCTION("""COMPUTED_VALUE"""),"-")</f>
        <v>-</v>
      </c>
      <c r="M306" s="19">
        <f>IFERROR(__xludf.DUMMYFUNCTION("""COMPUTED_VALUE"""),0.04005)</f>
        <v>0.04005</v>
      </c>
    </row>
    <row r="307">
      <c r="A307" s="12" t="s">
        <v>7297</v>
      </c>
      <c r="G307" s="19">
        <f>IFERROR(__xludf.DUMMYFUNCTION("SPLIT(A305, "" |"")"),303.0)</f>
        <v>303</v>
      </c>
      <c r="H307" s="19">
        <f>IFERROR(__xludf.DUMMYFUNCTION("""COMPUTED_VALUE"""),0.00219)</f>
        <v>0.00219</v>
      </c>
      <c r="I307" s="19" t="str">
        <f>IFERROR(__xludf.DUMMYFUNCTION("""COMPUTED_VALUE"""),"-")</f>
        <v>-</v>
      </c>
      <c r="J307" s="19">
        <f>IFERROR(__xludf.DUMMYFUNCTION("""COMPUTED_VALUE"""),0.00204)</f>
        <v>0.00204</v>
      </c>
      <c r="K307" s="19">
        <f>IFERROR(__xludf.DUMMYFUNCTION("""COMPUTED_VALUE"""),0.04019)</f>
        <v>0.04019</v>
      </c>
      <c r="L307" s="19" t="str">
        <f>IFERROR(__xludf.DUMMYFUNCTION("""COMPUTED_VALUE"""),"-")</f>
        <v>-</v>
      </c>
      <c r="M307" s="19">
        <f>IFERROR(__xludf.DUMMYFUNCTION("""COMPUTED_VALUE"""),0.04034)</f>
        <v>0.04034</v>
      </c>
    </row>
    <row r="308">
      <c r="A308" s="12" t="s">
        <v>7298</v>
      </c>
      <c r="G308" s="19">
        <f>IFERROR(__xludf.DUMMYFUNCTION("SPLIT(A306, "" |"")"),304.0)</f>
        <v>304</v>
      </c>
      <c r="H308" s="19">
        <f>IFERROR(__xludf.DUMMYFUNCTION("""COMPUTED_VALUE"""),0.00203)</f>
        <v>0.00203</v>
      </c>
      <c r="I308" s="19" t="str">
        <f>IFERROR(__xludf.DUMMYFUNCTION("""COMPUTED_VALUE"""),"-")</f>
        <v>-</v>
      </c>
      <c r="J308" s="19">
        <f>IFERROR(__xludf.DUMMYFUNCTION("""COMPUTED_VALUE"""),0.00185)</f>
        <v>0.00185</v>
      </c>
      <c r="K308" s="19">
        <f>IFERROR(__xludf.DUMMYFUNCTION("""COMPUTED_VALUE"""),0.03794)</f>
        <v>0.03794</v>
      </c>
      <c r="L308" s="19" t="str">
        <f>IFERROR(__xludf.DUMMYFUNCTION("""COMPUTED_VALUE"""),"-")</f>
        <v>-</v>
      </c>
      <c r="M308" s="19">
        <f>IFERROR(__xludf.DUMMYFUNCTION("""COMPUTED_VALUE"""),0.04015)</f>
        <v>0.04015</v>
      </c>
    </row>
    <row r="309">
      <c r="A309" s="12" t="s">
        <v>7299</v>
      </c>
      <c r="G309" s="19">
        <f>IFERROR(__xludf.DUMMYFUNCTION("SPLIT(A307, "" |"")"),305.0)</f>
        <v>305</v>
      </c>
      <c r="H309" s="19">
        <f>IFERROR(__xludf.DUMMYFUNCTION("""COMPUTED_VALUE"""),0.00206)</f>
        <v>0.00206</v>
      </c>
      <c r="I309" s="19" t="str">
        <f>IFERROR(__xludf.DUMMYFUNCTION("""COMPUTED_VALUE"""),"-")</f>
        <v>-</v>
      </c>
      <c r="J309" s="19">
        <f>IFERROR(__xludf.DUMMYFUNCTION("""COMPUTED_VALUE"""),0.00199)</f>
        <v>0.00199</v>
      </c>
      <c r="K309" s="19">
        <f>IFERROR(__xludf.DUMMYFUNCTION("""COMPUTED_VALUE"""),0.03972)</f>
        <v>0.03972</v>
      </c>
      <c r="L309" s="19" t="str">
        <f>IFERROR(__xludf.DUMMYFUNCTION("""COMPUTED_VALUE"""),"-")</f>
        <v>-</v>
      </c>
      <c r="M309" s="19">
        <f>IFERROR(__xludf.DUMMYFUNCTION("""COMPUTED_VALUE"""),0.04039)</f>
        <v>0.04039</v>
      </c>
    </row>
    <row r="310">
      <c r="A310" s="12" t="s">
        <v>7300</v>
      </c>
      <c r="G310" s="19">
        <f>IFERROR(__xludf.DUMMYFUNCTION("SPLIT(A308, "" |"")"),306.0)</f>
        <v>306</v>
      </c>
      <c r="H310" s="19">
        <f>IFERROR(__xludf.DUMMYFUNCTION("""COMPUTED_VALUE"""),0.00211)</f>
        <v>0.00211</v>
      </c>
      <c r="I310" s="19" t="str">
        <f>IFERROR(__xludf.DUMMYFUNCTION("""COMPUTED_VALUE"""),"-")</f>
        <v>-</v>
      </c>
      <c r="J310" s="19">
        <f>IFERROR(__xludf.DUMMYFUNCTION("""COMPUTED_VALUE"""),0.00199)</f>
        <v>0.00199</v>
      </c>
      <c r="K310" s="19">
        <f>IFERROR(__xludf.DUMMYFUNCTION("""COMPUTED_VALUE"""),0.03892)</f>
        <v>0.03892</v>
      </c>
      <c r="L310" s="19" t="str">
        <f>IFERROR(__xludf.DUMMYFUNCTION("""COMPUTED_VALUE"""),"-")</f>
        <v>-</v>
      </c>
      <c r="M310" s="19">
        <f>IFERROR(__xludf.DUMMYFUNCTION("""COMPUTED_VALUE"""),0.03977)</f>
        <v>0.03977</v>
      </c>
    </row>
    <row r="311">
      <c r="A311" s="12" t="s">
        <v>7301</v>
      </c>
      <c r="G311" s="19">
        <f>IFERROR(__xludf.DUMMYFUNCTION("SPLIT(A309, "" |"")"),307.0)</f>
        <v>307</v>
      </c>
      <c r="H311" s="19">
        <f>IFERROR(__xludf.DUMMYFUNCTION("""COMPUTED_VALUE"""),0.00202)</f>
        <v>0.00202</v>
      </c>
      <c r="I311" s="19" t="str">
        <f>IFERROR(__xludf.DUMMYFUNCTION("""COMPUTED_VALUE"""),"-")</f>
        <v>-</v>
      </c>
      <c r="J311" s="19">
        <f>IFERROR(__xludf.DUMMYFUNCTION("""COMPUTED_VALUE"""),0.00199)</f>
        <v>0.00199</v>
      </c>
      <c r="K311" s="19">
        <f>IFERROR(__xludf.DUMMYFUNCTION("""COMPUTED_VALUE"""),0.03941)</f>
        <v>0.03941</v>
      </c>
      <c r="L311" s="19" t="str">
        <f>IFERROR(__xludf.DUMMYFUNCTION("""COMPUTED_VALUE"""),"-")</f>
        <v>-</v>
      </c>
      <c r="M311" s="19">
        <f>IFERROR(__xludf.DUMMYFUNCTION("""COMPUTED_VALUE"""),0.03987)</f>
        <v>0.03987</v>
      </c>
    </row>
    <row r="312">
      <c r="A312" s="12" t="s">
        <v>7302</v>
      </c>
      <c r="G312" s="19">
        <f>IFERROR(__xludf.DUMMYFUNCTION("SPLIT(A310, "" |"")"),308.0)</f>
        <v>308</v>
      </c>
      <c r="H312" s="19">
        <f>IFERROR(__xludf.DUMMYFUNCTION("""COMPUTED_VALUE"""),0.00223)</f>
        <v>0.00223</v>
      </c>
      <c r="I312" s="19" t="str">
        <f>IFERROR(__xludf.DUMMYFUNCTION("""COMPUTED_VALUE"""),"-")</f>
        <v>-</v>
      </c>
      <c r="J312" s="19">
        <f>IFERROR(__xludf.DUMMYFUNCTION("""COMPUTED_VALUE"""),0.00196)</f>
        <v>0.00196</v>
      </c>
      <c r="K312" s="19">
        <f>IFERROR(__xludf.DUMMYFUNCTION("""COMPUTED_VALUE"""),0.03975)</f>
        <v>0.03975</v>
      </c>
      <c r="L312" s="19" t="str">
        <f>IFERROR(__xludf.DUMMYFUNCTION("""COMPUTED_VALUE"""),"-")</f>
        <v>-</v>
      </c>
      <c r="M312" s="19">
        <f>IFERROR(__xludf.DUMMYFUNCTION("""COMPUTED_VALUE"""),0.03974)</f>
        <v>0.03974</v>
      </c>
    </row>
    <row r="313">
      <c r="A313" s="12" t="s">
        <v>7303</v>
      </c>
      <c r="G313" s="19">
        <f>IFERROR(__xludf.DUMMYFUNCTION("SPLIT(A311, "" |"")"),309.0)</f>
        <v>309</v>
      </c>
      <c r="H313" s="19">
        <f>IFERROR(__xludf.DUMMYFUNCTION("""COMPUTED_VALUE"""),0.00209)</f>
        <v>0.00209</v>
      </c>
      <c r="I313" s="19" t="str">
        <f>IFERROR(__xludf.DUMMYFUNCTION("""COMPUTED_VALUE"""),"-")</f>
        <v>-</v>
      </c>
      <c r="J313" s="19">
        <f>IFERROR(__xludf.DUMMYFUNCTION("""COMPUTED_VALUE"""),0.00196)</f>
        <v>0.00196</v>
      </c>
      <c r="K313" s="19">
        <f>IFERROR(__xludf.DUMMYFUNCTION("""COMPUTED_VALUE"""),0.03967)</f>
        <v>0.03967</v>
      </c>
      <c r="L313" s="19" t="str">
        <f>IFERROR(__xludf.DUMMYFUNCTION("""COMPUTED_VALUE"""),"-")</f>
        <v>-</v>
      </c>
      <c r="M313" s="19">
        <f>IFERROR(__xludf.DUMMYFUNCTION("""COMPUTED_VALUE"""),0.03972)</f>
        <v>0.03972</v>
      </c>
    </row>
    <row r="314">
      <c r="A314" s="12" t="s">
        <v>7304</v>
      </c>
      <c r="G314" s="19">
        <f>IFERROR(__xludf.DUMMYFUNCTION("SPLIT(A312, "" |"")"),310.0)</f>
        <v>310</v>
      </c>
      <c r="H314" s="19">
        <f>IFERROR(__xludf.DUMMYFUNCTION("""COMPUTED_VALUE"""),0.00207)</f>
        <v>0.00207</v>
      </c>
      <c r="I314" s="19" t="str">
        <f>IFERROR(__xludf.DUMMYFUNCTION("""COMPUTED_VALUE"""),"-")</f>
        <v>-</v>
      </c>
      <c r="J314" s="19">
        <f>IFERROR(__xludf.DUMMYFUNCTION("""COMPUTED_VALUE"""),0.00195)</f>
        <v>0.00195</v>
      </c>
      <c r="K314" s="19">
        <f>IFERROR(__xludf.DUMMYFUNCTION("""COMPUTED_VALUE"""),0.03959)</f>
        <v>0.03959</v>
      </c>
      <c r="L314" s="19" t="str">
        <f>IFERROR(__xludf.DUMMYFUNCTION("""COMPUTED_VALUE"""),"-")</f>
        <v>-</v>
      </c>
      <c r="M314" s="19">
        <f>IFERROR(__xludf.DUMMYFUNCTION("""COMPUTED_VALUE"""),0.03986)</f>
        <v>0.03986</v>
      </c>
    </row>
    <row r="315">
      <c r="A315" s="12" t="s">
        <v>7305</v>
      </c>
      <c r="G315" s="19">
        <f>IFERROR(__xludf.DUMMYFUNCTION("SPLIT(A313, "" |"")"),311.0)</f>
        <v>311</v>
      </c>
      <c r="H315" s="19">
        <f>IFERROR(__xludf.DUMMYFUNCTION("""COMPUTED_VALUE"""),0.00227)</f>
        <v>0.00227</v>
      </c>
      <c r="I315" s="19" t="str">
        <f>IFERROR(__xludf.DUMMYFUNCTION("""COMPUTED_VALUE"""),"-")</f>
        <v>-</v>
      </c>
      <c r="J315" s="19">
        <f>IFERROR(__xludf.DUMMYFUNCTION("""COMPUTED_VALUE"""),0.00202)</f>
        <v>0.00202</v>
      </c>
      <c r="K315" s="19">
        <f>IFERROR(__xludf.DUMMYFUNCTION("""COMPUTED_VALUE"""),0.03667)</f>
        <v>0.03667</v>
      </c>
      <c r="L315" s="19" t="str">
        <f>IFERROR(__xludf.DUMMYFUNCTION("""COMPUTED_VALUE"""),"-")</f>
        <v>-</v>
      </c>
      <c r="M315" s="19">
        <f>IFERROR(__xludf.DUMMYFUNCTION("""COMPUTED_VALUE"""),0.04017)</f>
        <v>0.04017</v>
      </c>
    </row>
    <row r="316">
      <c r="A316" s="12" t="s">
        <v>7306</v>
      </c>
      <c r="G316" s="19">
        <f>IFERROR(__xludf.DUMMYFUNCTION("SPLIT(A314, "" |"")"),312.0)</f>
        <v>312</v>
      </c>
      <c r="H316" s="19">
        <f>IFERROR(__xludf.DUMMYFUNCTION("""COMPUTED_VALUE"""),0.00223)</f>
        <v>0.00223</v>
      </c>
      <c r="I316" s="19" t="str">
        <f>IFERROR(__xludf.DUMMYFUNCTION("""COMPUTED_VALUE"""),"-")</f>
        <v>-</v>
      </c>
      <c r="J316" s="19">
        <f>IFERROR(__xludf.DUMMYFUNCTION("""COMPUTED_VALUE"""),0.00211)</f>
        <v>0.00211</v>
      </c>
      <c r="K316" s="19">
        <f>IFERROR(__xludf.DUMMYFUNCTION("""COMPUTED_VALUE"""),0.03836)</f>
        <v>0.03836</v>
      </c>
      <c r="L316" s="19" t="str">
        <f>IFERROR(__xludf.DUMMYFUNCTION("""COMPUTED_VALUE"""),"-")</f>
        <v>-</v>
      </c>
      <c r="M316" s="19">
        <f>IFERROR(__xludf.DUMMYFUNCTION("""COMPUTED_VALUE"""),0.0401)</f>
        <v>0.0401</v>
      </c>
    </row>
    <row r="317">
      <c r="A317" s="12" t="s">
        <v>7307</v>
      </c>
      <c r="G317" s="19">
        <f>IFERROR(__xludf.DUMMYFUNCTION("SPLIT(A315, "" |"")"),313.0)</f>
        <v>313</v>
      </c>
      <c r="H317" s="19">
        <f>IFERROR(__xludf.DUMMYFUNCTION("""COMPUTED_VALUE"""),0.00206)</f>
        <v>0.00206</v>
      </c>
      <c r="I317" s="19" t="str">
        <f>IFERROR(__xludf.DUMMYFUNCTION("""COMPUTED_VALUE"""),"-")</f>
        <v>-</v>
      </c>
      <c r="J317" s="19">
        <f>IFERROR(__xludf.DUMMYFUNCTION("""COMPUTED_VALUE"""),0.00185)</f>
        <v>0.00185</v>
      </c>
      <c r="K317" s="19">
        <f>IFERROR(__xludf.DUMMYFUNCTION("""COMPUTED_VALUE"""),0.03911)</f>
        <v>0.03911</v>
      </c>
      <c r="L317" s="19" t="str">
        <f>IFERROR(__xludf.DUMMYFUNCTION("""COMPUTED_VALUE"""),"-")</f>
        <v>-</v>
      </c>
      <c r="M317" s="19">
        <f>IFERROR(__xludf.DUMMYFUNCTION("""COMPUTED_VALUE"""),0.03827)</f>
        <v>0.03827</v>
      </c>
    </row>
    <row r="318">
      <c r="A318" s="12" t="s">
        <v>7308</v>
      </c>
      <c r="G318" s="19">
        <f>IFERROR(__xludf.DUMMYFUNCTION("SPLIT(A316, "" |"")"),314.0)</f>
        <v>314</v>
      </c>
      <c r="H318" s="19">
        <f>IFERROR(__xludf.DUMMYFUNCTION("""COMPUTED_VALUE"""),0.00209)</f>
        <v>0.00209</v>
      </c>
      <c r="I318" s="19" t="str">
        <f>IFERROR(__xludf.DUMMYFUNCTION("""COMPUTED_VALUE"""),"-")</f>
        <v>-</v>
      </c>
      <c r="J318" s="19">
        <f>IFERROR(__xludf.DUMMYFUNCTION("""COMPUTED_VALUE"""),0.00185)</f>
        <v>0.00185</v>
      </c>
      <c r="K318" s="19">
        <f>IFERROR(__xludf.DUMMYFUNCTION("""COMPUTED_VALUE"""),0.03946)</f>
        <v>0.03946</v>
      </c>
      <c r="L318" s="19" t="str">
        <f>IFERROR(__xludf.DUMMYFUNCTION("""COMPUTED_VALUE"""),"-")</f>
        <v>-</v>
      </c>
      <c r="M318" s="19">
        <f>IFERROR(__xludf.DUMMYFUNCTION("""COMPUTED_VALUE"""),0.03989)</f>
        <v>0.03989</v>
      </c>
    </row>
    <row r="319">
      <c r="A319" s="12" t="s">
        <v>7309</v>
      </c>
      <c r="G319" s="19">
        <f>IFERROR(__xludf.DUMMYFUNCTION("SPLIT(A317, "" |"")"),315.0)</f>
        <v>315</v>
      </c>
      <c r="H319" s="19">
        <f>IFERROR(__xludf.DUMMYFUNCTION("""COMPUTED_VALUE"""),0.00205)</f>
        <v>0.00205</v>
      </c>
      <c r="I319" s="19" t="str">
        <f>IFERROR(__xludf.DUMMYFUNCTION("""COMPUTED_VALUE"""),"-")</f>
        <v>-</v>
      </c>
      <c r="J319" s="19">
        <f>IFERROR(__xludf.DUMMYFUNCTION("""COMPUTED_VALUE"""),0.00181)</f>
        <v>0.00181</v>
      </c>
      <c r="K319" s="19">
        <f>IFERROR(__xludf.DUMMYFUNCTION("""COMPUTED_VALUE"""),0.03684)</f>
        <v>0.03684</v>
      </c>
      <c r="L319" s="19" t="str">
        <f>IFERROR(__xludf.DUMMYFUNCTION("""COMPUTED_VALUE"""),"-")</f>
        <v>-</v>
      </c>
      <c r="M319" s="19">
        <f>IFERROR(__xludf.DUMMYFUNCTION("""COMPUTED_VALUE"""),0.03742)</f>
        <v>0.03742</v>
      </c>
    </row>
    <row r="320">
      <c r="A320" s="12" t="s">
        <v>7310</v>
      </c>
      <c r="G320" s="19">
        <f>IFERROR(__xludf.DUMMYFUNCTION("SPLIT(A318, "" |"")"),316.0)</f>
        <v>316</v>
      </c>
      <c r="H320" s="19">
        <f>IFERROR(__xludf.DUMMYFUNCTION("""COMPUTED_VALUE"""),0.00219)</f>
        <v>0.00219</v>
      </c>
      <c r="I320" s="19" t="str">
        <f>IFERROR(__xludf.DUMMYFUNCTION("""COMPUTED_VALUE"""),"-")</f>
        <v>-</v>
      </c>
      <c r="J320" s="19">
        <f>IFERROR(__xludf.DUMMYFUNCTION("""COMPUTED_VALUE"""),0.00193)</f>
        <v>0.00193</v>
      </c>
      <c r="K320" s="19">
        <f>IFERROR(__xludf.DUMMYFUNCTION("""COMPUTED_VALUE"""),0.03745)</f>
        <v>0.03745</v>
      </c>
      <c r="L320" s="19" t="str">
        <f>IFERROR(__xludf.DUMMYFUNCTION("""COMPUTED_VALUE"""),"-")</f>
        <v>-</v>
      </c>
      <c r="M320" s="19">
        <f>IFERROR(__xludf.DUMMYFUNCTION("""COMPUTED_VALUE"""),0.03754)</f>
        <v>0.03754</v>
      </c>
    </row>
    <row r="321">
      <c r="A321" s="12" t="s">
        <v>7311</v>
      </c>
      <c r="G321" s="19">
        <f>IFERROR(__xludf.DUMMYFUNCTION("SPLIT(A319, "" |"")"),317.0)</f>
        <v>317</v>
      </c>
      <c r="H321" s="19">
        <f>IFERROR(__xludf.DUMMYFUNCTION("""COMPUTED_VALUE"""),0.00213)</f>
        <v>0.00213</v>
      </c>
      <c r="I321" s="19" t="str">
        <f>IFERROR(__xludf.DUMMYFUNCTION("""COMPUTED_VALUE"""),"-")</f>
        <v>-</v>
      </c>
      <c r="J321" s="19">
        <f>IFERROR(__xludf.DUMMYFUNCTION("""COMPUTED_VALUE"""),0.0019)</f>
        <v>0.0019</v>
      </c>
      <c r="K321" s="19">
        <f>IFERROR(__xludf.DUMMYFUNCTION("""COMPUTED_VALUE"""),0.03901)</f>
        <v>0.03901</v>
      </c>
      <c r="L321" s="19" t="str">
        <f>IFERROR(__xludf.DUMMYFUNCTION("""COMPUTED_VALUE"""),"-")</f>
        <v>-</v>
      </c>
      <c r="M321" s="19">
        <f>IFERROR(__xludf.DUMMYFUNCTION("""COMPUTED_VALUE"""),0.03931)</f>
        <v>0.03931</v>
      </c>
    </row>
    <row r="322">
      <c r="A322" s="12" t="s">
        <v>7312</v>
      </c>
      <c r="G322" s="19">
        <f>IFERROR(__xludf.DUMMYFUNCTION("SPLIT(A320, "" |"")"),318.0)</f>
        <v>318</v>
      </c>
      <c r="H322" s="19">
        <f>IFERROR(__xludf.DUMMYFUNCTION("""COMPUTED_VALUE"""),0.00228)</f>
        <v>0.00228</v>
      </c>
      <c r="I322" s="19" t="str">
        <f>IFERROR(__xludf.DUMMYFUNCTION("""COMPUTED_VALUE"""),"-")</f>
        <v>-</v>
      </c>
      <c r="J322" s="19">
        <f>IFERROR(__xludf.DUMMYFUNCTION("""COMPUTED_VALUE"""),0.00211)</f>
        <v>0.00211</v>
      </c>
      <c r="K322" s="19">
        <f>IFERROR(__xludf.DUMMYFUNCTION("""COMPUTED_VALUE"""),0.03908)</f>
        <v>0.03908</v>
      </c>
      <c r="L322" s="19" t="str">
        <f>IFERROR(__xludf.DUMMYFUNCTION("""COMPUTED_VALUE"""),"-")</f>
        <v>-</v>
      </c>
      <c r="M322" s="19">
        <f>IFERROR(__xludf.DUMMYFUNCTION("""COMPUTED_VALUE"""),0.04009)</f>
        <v>0.04009</v>
      </c>
    </row>
    <row r="323">
      <c r="A323" s="12" t="s">
        <v>7313</v>
      </c>
      <c r="G323" s="19">
        <f>IFERROR(__xludf.DUMMYFUNCTION("SPLIT(A321, "" |"")"),319.0)</f>
        <v>319</v>
      </c>
      <c r="H323" s="19">
        <f>IFERROR(__xludf.DUMMYFUNCTION("""COMPUTED_VALUE"""),0.00268)</f>
        <v>0.00268</v>
      </c>
      <c r="I323" s="19" t="str">
        <f>IFERROR(__xludf.DUMMYFUNCTION("""COMPUTED_VALUE"""),"-")</f>
        <v>-</v>
      </c>
      <c r="J323" s="19">
        <f>IFERROR(__xludf.DUMMYFUNCTION("""COMPUTED_VALUE"""),0.00205)</f>
        <v>0.00205</v>
      </c>
      <c r="K323" s="19">
        <f>IFERROR(__xludf.DUMMYFUNCTION("""COMPUTED_VALUE"""),0.03894)</f>
        <v>0.03894</v>
      </c>
      <c r="L323" s="19" t="str">
        <f>IFERROR(__xludf.DUMMYFUNCTION("""COMPUTED_VALUE"""),"-")</f>
        <v>-</v>
      </c>
      <c r="M323" s="19">
        <f>IFERROR(__xludf.DUMMYFUNCTION("""COMPUTED_VALUE"""),0.04)</f>
        <v>0.04</v>
      </c>
    </row>
    <row r="324">
      <c r="A324" s="12" t="s">
        <v>7314</v>
      </c>
      <c r="G324" s="19">
        <f>IFERROR(__xludf.DUMMYFUNCTION("SPLIT(A322, "" |"")"),320.0)</f>
        <v>320</v>
      </c>
      <c r="H324" s="19">
        <f>IFERROR(__xludf.DUMMYFUNCTION("""COMPUTED_VALUE"""),0.00209)</f>
        <v>0.00209</v>
      </c>
      <c r="I324" s="19" t="str">
        <f>IFERROR(__xludf.DUMMYFUNCTION("""COMPUTED_VALUE"""),"-")</f>
        <v>-</v>
      </c>
      <c r="J324" s="19">
        <f>IFERROR(__xludf.DUMMYFUNCTION("""COMPUTED_VALUE"""),0.00199)</f>
        <v>0.00199</v>
      </c>
      <c r="K324" s="19">
        <f>IFERROR(__xludf.DUMMYFUNCTION("""COMPUTED_VALUE"""),0.04007)</f>
        <v>0.04007</v>
      </c>
      <c r="L324" s="19" t="str">
        <f>IFERROR(__xludf.DUMMYFUNCTION("""COMPUTED_VALUE"""),"-")</f>
        <v>-</v>
      </c>
      <c r="M324" s="19">
        <f>IFERROR(__xludf.DUMMYFUNCTION("""COMPUTED_VALUE"""),0.03848)</f>
        <v>0.03848</v>
      </c>
    </row>
    <row r="325">
      <c r="A325" s="12" t="s">
        <v>7315</v>
      </c>
      <c r="G325" s="19">
        <f>IFERROR(__xludf.DUMMYFUNCTION("SPLIT(A323, "" |"")"),321.0)</f>
        <v>321</v>
      </c>
      <c r="H325" s="19">
        <f>IFERROR(__xludf.DUMMYFUNCTION("""COMPUTED_VALUE"""),0.00234)</f>
        <v>0.00234</v>
      </c>
      <c r="I325" s="19" t="str">
        <f>IFERROR(__xludf.DUMMYFUNCTION("""COMPUTED_VALUE"""),"-")</f>
        <v>-</v>
      </c>
      <c r="J325" s="19">
        <f>IFERROR(__xludf.DUMMYFUNCTION("""COMPUTED_VALUE"""),0.00215)</f>
        <v>0.00215</v>
      </c>
      <c r="K325" s="19">
        <f>IFERROR(__xludf.DUMMYFUNCTION("""COMPUTED_VALUE"""),0.0384)</f>
        <v>0.0384</v>
      </c>
      <c r="L325" s="19" t="str">
        <f>IFERROR(__xludf.DUMMYFUNCTION("""COMPUTED_VALUE"""),"-")</f>
        <v>-</v>
      </c>
      <c r="M325" s="19">
        <f>IFERROR(__xludf.DUMMYFUNCTION("""COMPUTED_VALUE"""),0.03996)</f>
        <v>0.03996</v>
      </c>
    </row>
    <row r="326">
      <c r="A326" s="12" t="s">
        <v>7316</v>
      </c>
      <c r="G326" s="19">
        <f>IFERROR(__xludf.DUMMYFUNCTION("SPLIT(A324, "" |"")"),322.0)</f>
        <v>322</v>
      </c>
      <c r="H326" s="19">
        <f>IFERROR(__xludf.DUMMYFUNCTION("""COMPUTED_VALUE"""),0.0023)</f>
        <v>0.0023</v>
      </c>
      <c r="I326" s="19" t="str">
        <f>IFERROR(__xludf.DUMMYFUNCTION("""COMPUTED_VALUE"""),"-")</f>
        <v>-</v>
      </c>
      <c r="J326" s="19">
        <f>IFERROR(__xludf.DUMMYFUNCTION("""COMPUTED_VALUE"""),0.00216)</f>
        <v>0.00216</v>
      </c>
      <c r="K326" s="19">
        <f>IFERROR(__xludf.DUMMYFUNCTION("""COMPUTED_VALUE"""),0.03996)</f>
        <v>0.03996</v>
      </c>
      <c r="L326" s="19" t="str">
        <f>IFERROR(__xludf.DUMMYFUNCTION("""COMPUTED_VALUE"""),"-")</f>
        <v>-</v>
      </c>
      <c r="M326" s="19">
        <f>IFERROR(__xludf.DUMMYFUNCTION("""COMPUTED_VALUE"""),0.04043)</f>
        <v>0.04043</v>
      </c>
    </row>
    <row r="327">
      <c r="A327" s="12" t="s">
        <v>7317</v>
      </c>
      <c r="G327" s="19">
        <f>IFERROR(__xludf.DUMMYFUNCTION("SPLIT(A325, "" |"")"),323.0)</f>
        <v>323</v>
      </c>
      <c r="H327" s="19">
        <f>IFERROR(__xludf.DUMMYFUNCTION("""COMPUTED_VALUE"""),0.00249)</f>
        <v>0.00249</v>
      </c>
      <c r="I327" s="19" t="str">
        <f>IFERROR(__xludf.DUMMYFUNCTION("""COMPUTED_VALUE"""),"-")</f>
        <v>-</v>
      </c>
      <c r="J327" s="19">
        <f>IFERROR(__xludf.DUMMYFUNCTION("""COMPUTED_VALUE"""),0.00223)</f>
        <v>0.00223</v>
      </c>
      <c r="K327" s="19">
        <f>IFERROR(__xludf.DUMMYFUNCTION("""COMPUTED_VALUE"""),0.03639)</f>
        <v>0.03639</v>
      </c>
      <c r="L327" s="19" t="str">
        <f>IFERROR(__xludf.DUMMYFUNCTION("""COMPUTED_VALUE"""),"-")</f>
        <v>-</v>
      </c>
      <c r="M327" s="19">
        <f>IFERROR(__xludf.DUMMYFUNCTION("""COMPUTED_VALUE"""),0.04022)</f>
        <v>0.04022</v>
      </c>
    </row>
    <row r="328">
      <c r="A328" s="12" t="s">
        <v>7318</v>
      </c>
      <c r="G328" s="19">
        <f>IFERROR(__xludf.DUMMYFUNCTION("SPLIT(A326, "" |"")"),324.0)</f>
        <v>324</v>
      </c>
      <c r="H328" s="19">
        <f>IFERROR(__xludf.DUMMYFUNCTION("""COMPUTED_VALUE"""),0.00261)</f>
        <v>0.00261</v>
      </c>
      <c r="I328" s="19" t="str">
        <f>IFERROR(__xludf.DUMMYFUNCTION("""COMPUTED_VALUE"""),"-")</f>
        <v>-</v>
      </c>
      <c r="J328" s="19">
        <f>IFERROR(__xludf.DUMMYFUNCTION("""COMPUTED_VALUE"""),0.00207)</f>
        <v>0.00207</v>
      </c>
      <c r="K328" s="19">
        <f>IFERROR(__xludf.DUMMYFUNCTION("""COMPUTED_VALUE"""),0.0401)</f>
        <v>0.0401</v>
      </c>
      <c r="L328" s="19" t="str">
        <f>IFERROR(__xludf.DUMMYFUNCTION("""COMPUTED_VALUE"""),"-")</f>
        <v>-</v>
      </c>
      <c r="M328" s="19">
        <f>IFERROR(__xludf.DUMMYFUNCTION("""COMPUTED_VALUE"""),0.04049)</f>
        <v>0.04049</v>
      </c>
    </row>
    <row r="329">
      <c r="A329" s="12" t="s">
        <v>7319</v>
      </c>
      <c r="G329" s="19">
        <f>IFERROR(__xludf.DUMMYFUNCTION("SPLIT(A327, "" |"")"),325.0)</f>
        <v>325</v>
      </c>
      <c r="H329" s="19">
        <f>IFERROR(__xludf.DUMMYFUNCTION("""COMPUTED_VALUE"""),0.00257)</f>
        <v>0.00257</v>
      </c>
      <c r="I329" s="19" t="str">
        <f>IFERROR(__xludf.DUMMYFUNCTION("""COMPUTED_VALUE"""),"-")</f>
        <v>-</v>
      </c>
      <c r="J329" s="19">
        <f>IFERROR(__xludf.DUMMYFUNCTION("""COMPUTED_VALUE"""),0.00213)</f>
        <v>0.00213</v>
      </c>
      <c r="K329" s="19">
        <f>IFERROR(__xludf.DUMMYFUNCTION("""COMPUTED_VALUE"""),0.0374)</f>
        <v>0.0374</v>
      </c>
      <c r="L329" s="19" t="str">
        <f>IFERROR(__xludf.DUMMYFUNCTION("""COMPUTED_VALUE"""),"-")</f>
        <v>-</v>
      </c>
      <c r="M329" s="19">
        <f>IFERROR(__xludf.DUMMYFUNCTION("""COMPUTED_VALUE"""),0.04019)</f>
        <v>0.04019</v>
      </c>
    </row>
    <row r="330">
      <c r="A330" s="12" t="s">
        <v>7320</v>
      </c>
      <c r="G330" s="19">
        <f>IFERROR(__xludf.DUMMYFUNCTION("SPLIT(A328, "" |"")"),326.0)</f>
        <v>326</v>
      </c>
      <c r="H330" s="19">
        <f>IFERROR(__xludf.DUMMYFUNCTION("""COMPUTED_VALUE"""),0.00216)</f>
        <v>0.00216</v>
      </c>
      <c r="I330" s="19" t="str">
        <f>IFERROR(__xludf.DUMMYFUNCTION("""COMPUTED_VALUE"""),"-")</f>
        <v>-</v>
      </c>
      <c r="J330" s="19">
        <f>IFERROR(__xludf.DUMMYFUNCTION("""COMPUTED_VALUE"""),0.002)</f>
        <v>0.002</v>
      </c>
      <c r="K330" s="19">
        <f>IFERROR(__xludf.DUMMYFUNCTION("""COMPUTED_VALUE"""),0.03862)</f>
        <v>0.03862</v>
      </c>
      <c r="L330" s="19" t="str">
        <f>IFERROR(__xludf.DUMMYFUNCTION("""COMPUTED_VALUE"""),"-")</f>
        <v>-</v>
      </c>
      <c r="M330" s="19">
        <f>IFERROR(__xludf.DUMMYFUNCTION("""COMPUTED_VALUE"""),0.04011)</f>
        <v>0.04011</v>
      </c>
    </row>
    <row r="331">
      <c r="A331" s="12" t="s">
        <v>7321</v>
      </c>
      <c r="G331" s="19">
        <f>IFERROR(__xludf.DUMMYFUNCTION("SPLIT(A329, "" |"")"),327.0)</f>
        <v>327</v>
      </c>
      <c r="H331" s="19">
        <f>IFERROR(__xludf.DUMMYFUNCTION("""COMPUTED_VALUE"""),0.00237)</f>
        <v>0.00237</v>
      </c>
      <c r="I331" s="19" t="str">
        <f>IFERROR(__xludf.DUMMYFUNCTION("""COMPUTED_VALUE"""),"-")</f>
        <v>-</v>
      </c>
      <c r="J331" s="19">
        <f>IFERROR(__xludf.DUMMYFUNCTION("""COMPUTED_VALUE"""),0.00218)</f>
        <v>0.00218</v>
      </c>
      <c r="K331" s="19">
        <f>IFERROR(__xludf.DUMMYFUNCTION("""COMPUTED_VALUE"""),0.03733)</f>
        <v>0.03733</v>
      </c>
      <c r="L331" s="19" t="str">
        <f>IFERROR(__xludf.DUMMYFUNCTION("""COMPUTED_VALUE"""),"-")</f>
        <v>-</v>
      </c>
      <c r="M331" s="19">
        <f>IFERROR(__xludf.DUMMYFUNCTION("""COMPUTED_VALUE"""),0.03695)</f>
        <v>0.03695</v>
      </c>
    </row>
    <row r="332">
      <c r="A332" s="12" t="s">
        <v>7322</v>
      </c>
      <c r="G332" s="19">
        <f>IFERROR(__xludf.DUMMYFUNCTION("SPLIT(A330, "" |"")"),328.0)</f>
        <v>328</v>
      </c>
      <c r="H332" s="19">
        <f>IFERROR(__xludf.DUMMYFUNCTION("""COMPUTED_VALUE"""),0.00226)</f>
        <v>0.00226</v>
      </c>
      <c r="I332" s="19" t="str">
        <f>IFERROR(__xludf.DUMMYFUNCTION("""COMPUTED_VALUE"""),"-")</f>
        <v>-</v>
      </c>
      <c r="J332" s="19">
        <f>IFERROR(__xludf.DUMMYFUNCTION("""COMPUTED_VALUE"""),0.00208)</f>
        <v>0.00208</v>
      </c>
      <c r="K332" s="19">
        <f>IFERROR(__xludf.DUMMYFUNCTION("""COMPUTED_VALUE"""),0.0404)</f>
        <v>0.0404</v>
      </c>
      <c r="L332" s="19" t="str">
        <f>IFERROR(__xludf.DUMMYFUNCTION("""COMPUTED_VALUE"""),"-")</f>
        <v>-</v>
      </c>
      <c r="M332" s="19">
        <f>IFERROR(__xludf.DUMMYFUNCTION("""COMPUTED_VALUE"""),0.03987)</f>
        <v>0.03987</v>
      </c>
    </row>
    <row r="333">
      <c r="A333" s="12" t="s">
        <v>7323</v>
      </c>
      <c r="G333" s="19">
        <f>IFERROR(__xludf.DUMMYFUNCTION("SPLIT(A331, "" |"")"),329.0)</f>
        <v>329</v>
      </c>
      <c r="H333" s="19">
        <f>IFERROR(__xludf.DUMMYFUNCTION("""COMPUTED_VALUE"""),0.00258)</f>
        <v>0.00258</v>
      </c>
      <c r="I333" s="19" t="str">
        <f>IFERROR(__xludf.DUMMYFUNCTION("""COMPUTED_VALUE"""),"-")</f>
        <v>-</v>
      </c>
      <c r="J333" s="19">
        <f>IFERROR(__xludf.DUMMYFUNCTION("""COMPUTED_VALUE"""),0.00225)</f>
        <v>0.00225</v>
      </c>
      <c r="K333" s="19">
        <f>IFERROR(__xludf.DUMMYFUNCTION("""COMPUTED_VALUE"""),0.03995)</f>
        <v>0.03995</v>
      </c>
      <c r="L333" s="19" t="str">
        <f>IFERROR(__xludf.DUMMYFUNCTION("""COMPUTED_VALUE"""),"-")</f>
        <v>-</v>
      </c>
      <c r="M333" s="19">
        <f>IFERROR(__xludf.DUMMYFUNCTION("""COMPUTED_VALUE"""),0.04061)</f>
        <v>0.04061</v>
      </c>
    </row>
    <row r="334">
      <c r="A334" s="12" t="s">
        <v>7324</v>
      </c>
      <c r="G334" s="19">
        <f>IFERROR(__xludf.DUMMYFUNCTION("SPLIT(A332, "" |"")"),330.0)</f>
        <v>330</v>
      </c>
      <c r="H334" s="19">
        <f>IFERROR(__xludf.DUMMYFUNCTION("""COMPUTED_VALUE"""),0.00226)</f>
        <v>0.00226</v>
      </c>
      <c r="I334" s="19" t="str">
        <f>IFERROR(__xludf.DUMMYFUNCTION("""COMPUTED_VALUE"""),"-")</f>
        <v>-</v>
      </c>
      <c r="J334" s="19">
        <f>IFERROR(__xludf.DUMMYFUNCTION("""COMPUTED_VALUE"""),0.00219)</f>
        <v>0.00219</v>
      </c>
      <c r="K334" s="19">
        <f>IFERROR(__xludf.DUMMYFUNCTION("""COMPUTED_VALUE"""),0.03911)</f>
        <v>0.03911</v>
      </c>
      <c r="L334" s="19" t="str">
        <f>IFERROR(__xludf.DUMMYFUNCTION("""COMPUTED_VALUE"""),"-")</f>
        <v>-</v>
      </c>
      <c r="M334" s="19">
        <f>IFERROR(__xludf.DUMMYFUNCTION("""COMPUTED_VALUE"""),0.04009)</f>
        <v>0.04009</v>
      </c>
    </row>
    <row r="335">
      <c r="A335" s="12" t="s">
        <v>7325</v>
      </c>
      <c r="G335" s="19">
        <f>IFERROR(__xludf.DUMMYFUNCTION("SPLIT(A333, "" |"")"),331.0)</f>
        <v>331</v>
      </c>
      <c r="H335" s="19">
        <f>IFERROR(__xludf.DUMMYFUNCTION("""COMPUTED_VALUE"""),0.0023)</f>
        <v>0.0023</v>
      </c>
      <c r="I335" s="19" t="str">
        <f>IFERROR(__xludf.DUMMYFUNCTION("""COMPUTED_VALUE"""),"-")</f>
        <v>-</v>
      </c>
      <c r="J335" s="19">
        <f>IFERROR(__xludf.DUMMYFUNCTION("""COMPUTED_VALUE"""),0.00208)</f>
        <v>0.00208</v>
      </c>
      <c r="K335" s="19">
        <f>IFERROR(__xludf.DUMMYFUNCTION("""COMPUTED_VALUE"""),0.03967)</f>
        <v>0.03967</v>
      </c>
      <c r="L335" s="19" t="str">
        <f>IFERROR(__xludf.DUMMYFUNCTION("""COMPUTED_VALUE"""),"-")</f>
        <v>-</v>
      </c>
      <c r="M335" s="19">
        <f>IFERROR(__xludf.DUMMYFUNCTION("""COMPUTED_VALUE"""),0.03878)</f>
        <v>0.03878</v>
      </c>
    </row>
    <row r="336">
      <c r="A336" s="12" t="s">
        <v>7326</v>
      </c>
      <c r="G336" s="19">
        <f>IFERROR(__xludf.DUMMYFUNCTION("SPLIT(A334, "" |"")"),332.0)</f>
        <v>332</v>
      </c>
      <c r="H336" s="19">
        <f>IFERROR(__xludf.DUMMYFUNCTION("""COMPUTED_VALUE"""),0.00253)</f>
        <v>0.00253</v>
      </c>
      <c r="I336" s="19" t="str">
        <f>IFERROR(__xludf.DUMMYFUNCTION("""COMPUTED_VALUE"""),"-")</f>
        <v>-</v>
      </c>
      <c r="J336" s="19">
        <f>IFERROR(__xludf.DUMMYFUNCTION("""COMPUTED_VALUE"""),0.00215)</f>
        <v>0.00215</v>
      </c>
      <c r="K336" s="19">
        <f>IFERROR(__xludf.DUMMYFUNCTION("""COMPUTED_VALUE"""),0.03679)</f>
        <v>0.03679</v>
      </c>
      <c r="L336" s="19" t="str">
        <f>IFERROR(__xludf.DUMMYFUNCTION("""COMPUTED_VALUE"""),"-")</f>
        <v>-</v>
      </c>
      <c r="M336" s="19">
        <f>IFERROR(__xludf.DUMMYFUNCTION("""COMPUTED_VALUE"""),0.04013)</f>
        <v>0.04013</v>
      </c>
    </row>
    <row r="337">
      <c r="A337" s="12" t="s">
        <v>7327</v>
      </c>
      <c r="G337" s="19">
        <f>IFERROR(__xludf.DUMMYFUNCTION("SPLIT(A335, "" |"")"),333.0)</f>
        <v>333</v>
      </c>
      <c r="H337" s="19">
        <f>IFERROR(__xludf.DUMMYFUNCTION("""COMPUTED_VALUE"""),0.00224)</f>
        <v>0.00224</v>
      </c>
      <c r="I337" s="19" t="str">
        <f>IFERROR(__xludf.DUMMYFUNCTION("""COMPUTED_VALUE"""),"-")</f>
        <v>-</v>
      </c>
      <c r="J337" s="19">
        <f>IFERROR(__xludf.DUMMYFUNCTION("""COMPUTED_VALUE"""),0.00228)</f>
        <v>0.00228</v>
      </c>
      <c r="K337" s="19">
        <f>IFERROR(__xludf.DUMMYFUNCTION("""COMPUTED_VALUE"""),0.03981)</f>
        <v>0.03981</v>
      </c>
      <c r="L337" s="19" t="str">
        <f>IFERROR(__xludf.DUMMYFUNCTION("""COMPUTED_VALUE"""),"-")</f>
        <v>-</v>
      </c>
      <c r="M337" s="19">
        <f>IFERROR(__xludf.DUMMYFUNCTION("""COMPUTED_VALUE"""),0.0394)</f>
        <v>0.0394</v>
      </c>
    </row>
    <row r="338">
      <c r="A338" s="12" t="s">
        <v>7328</v>
      </c>
      <c r="G338" s="19">
        <f>IFERROR(__xludf.DUMMYFUNCTION("SPLIT(A336, "" |"")"),334.0)</f>
        <v>334</v>
      </c>
      <c r="H338" s="19">
        <f>IFERROR(__xludf.DUMMYFUNCTION("""COMPUTED_VALUE"""),0.0023)</f>
        <v>0.0023</v>
      </c>
      <c r="I338" s="19" t="str">
        <f>IFERROR(__xludf.DUMMYFUNCTION("""COMPUTED_VALUE"""),"-")</f>
        <v>-</v>
      </c>
      <c r="J338" s="19">
        <f>IFERROR(__xludf.DUMMYFUNCTION("""COMPUTED_VALUE"""),0.00192)</f>
        <v>0.00192</v>
      </c>
      <c r="K338" s="19">
        <f>IFERROR(__xludf.DUMMYFUNCTION("""COMPUTED_VALUE"""),0.03976)</f>
        <v>0.03976</v>
      </c>
      <c r="L338" s="19" t="str">
        <f>IFERROR(__xludf.DUMMYFUNCTION("""COMPUTED_VALUE"""),"-")</f>
        <v>-</v>
      </c>
      <c r="M338" s="19">
        <f>IFERROR(__xludf.DUMMYFUNCTION("""COMPUTED_VALUE"""),0.04011)</f>
        <v>0.04011</v>
      </c>
    </row>
    <row r="339">
      <c r="A339" s="12" t="s">
        <v>7329</v>
      </c>
      <c r="G339" s="19">
        <f>IFERROR(__xludf.DUMMYFUNCTION("SPLIT(A337, "" |"")"),335.0)</f>
        <v>335</v>
      </c>
      <c r="H339" s="19">
        <f>IFERROR(__xludf.DUMMYFUNCTION("""COMPUTED_VALUE"""),0.00229)</f>
        <v>0.00229</v>
      </c>
      <c r="I339" s="19" t="str">
        <f>IFERROR(__xludf.DUMMYFUNCTION("""COMPUTED_VALUE"""),"-")</f>
        <v>-</v>
      </c>
      <c r="J339" s="19">
        <f>IFERROR(__xludf.DUMMYFUNCTION("""COMPUTED_VALUE"""),0.0021)</f>
        <v>0.0021</v>
      </c>
      <c r="K339" s="19">
        <f>IFERROR(__xludf.DUMMYFUNCTION("""COMPUTED_VALUE"""),0.0384)</f>
        <v>0.0384</v>
      </c>
      <c r="L339" s="19" t="str">
        <f>IFERROR(__xludf.DUMMYFUNCTION("""COMPUTED_VALUE"""),"-")</f>
        <v>-</v>
      </c>
      <c r="M339" s="19">
        <f>IFERROR(__xludf.DUMMYFUNCTION("""COMPUTED_VALUE"""),0.03937)</f>
        <v>0.03937</v>
      </c>
    </row>
    <row r="340">
      <c r="A340" s="12" t="s">
        <v>7330</v>
      </c>
      <c r="G340" s="19">
        <f>IFERROR(__xludf.DUMMYFUNCTION("SPLIT(A338, "" |"")"),336.0)</f>
        <v>336</v>
      </c>
      <c r="H340" s="19">
        <f>IFERROR(__xludf.DUMMYFUNCTION("""COMPUTED_VALUE"""),0.00212)</f>
        <v>0.00212</v>
      </c>
      <c r="I340" s="19" t="str">
        <f>IFERROR(__xludf.DUMMYFUNCTION("""COMPUTED_VALUE"""),"-")</f>
        <v>-</v>
      </c>
      <c r="J340" s="19">
        <f>IFERROR(__xludf.DUMMYFUNCTION("""COMPUTED_VALUE"""),0.0019)</f>
        <v>0.0019</v>
      </c>
      <c r="K340" s="19">
        <f>IFERROR(__xludf.DUMMYFUNCTION("""COMPUTED_VALUE"""),0.03974)</f>
        <v>0.03974</v>
      </c>
      <c r="L340" s="19" t="str">
        <f>IFERROR(__xludf.DUMMYFUNCTION("""COMPUTED_VALUE"""),"-")</f>
        <v>-</v>
      </c>
      <c r="M340" s="19">
        <f>IFERROR(__xludf.DUMMYFUNCTION("""COMPUTED_VALUE"""),0.04048)</f>
        <v>0.04048</v>
      </c>
    </row>
    <row r="341">
      <c r="A341" s="12" t="s">
        <v>7331</v>
      </c>
      <c r="G341" s="19">
        <f>IFERROR(__xludf.DUMMYFUNCTION("SPLIT(A339, "" |"")"),337.0)</f>
        <v>337</v>
      </c>
      <c r="H341" s="19">
        <f>IFERROR(__xludf.DUMMYFUNCTION("""COMPUTED_VALUE"""),0.00252)</f>
        <v>0.00252</v>
      </c>
      <c r="I341" s="19" t="str">
        <f>IFERROR(__xludf.DUMMYFUNCTION("""COMPUTED_VALUE"""),"-")</f>
        <v>-</v>
      </c>
      <c r="J341" s="19">
        <f>IFERROR(__xludf.DUMMYFUNCTION("""COMPUTED_VALUE"""),0.00209)</f>
        <v>0.00209</v>
      </c>
      <c r="K341" s="19">
        <f>IFERROR(__xludf.DUMMYFUNCTION("""COMPUTED_VALUE"""),0.03789)</f>
        <v>0.03789</v>
      </c>
      <c r="L341" s="19" t="str">
        <f>IFERROR(__xludf.DUMMYFUNCTION("""COMPUTED_VALUE"""),"-")</f>
        <v>-</v>
      </c>
      <c r="M341" s="19">
        <f>IFERROR(__xludf.DUMMYFUNCTION("""COMPUTED_VALUE"""),0.03813)</f>
        <v>0.03813</v>
      </c>
    </row>
    <row r="342">
      <c r="A342" s="12" t="s">
        <v>7332</v>
      </c>
      <c r="G342" s="19">
        <f>IFERROR(__xludf.DUMMYFUNCTION("SPLIT(A340, "" |"")"),338.0)</f>
        <v>338</v>
      </c>
      <c r="H342" s="19">
        <f>IFERROR(__xludf.DUMMYFUNCTION("""COMPUTED_VALUE"""),0.00226)</f>
        <v>0.00226</v>
      </c>
      <c r="I342" s="19" t="str">
        <f>IFERROR(__xludf.DUMMYFUNCTION("""COMPUTED_VALUE"""),"-")</f>
        <v>-</v>
      </c>
      <c r="J342" s="19">
        <f>IFERROR(__xludf.DUMMYFUNCTION("""COMPUTED_VALUE"""),0.00195)</f>
        <v>0.00195</v>
      </c>
      <c r="K342" s="19">
        <f>IFERROR(__xludf.DUMMYFUNCTION("""COMPUTED_VALUE"""),0.03982)</f>
        <v>0.03982</v>
      </c>
      <c r="L342" s="19" t="str">
        <f>IFERROR(__xludf.DUMMYFUNCTION("""COMPUTED_VALUE"""),"-")</f>
        <v>-</v>
      </c>
      <c r="M342" s="19">
        <f>IFERROR(__xludf.DUMMYFUNCTION("""COMPUTED_VALUE"""),0.03977)</f>
        <v>0.03977</v>
      </c>
    </row>
    <row r="343">
      <c r="A343" s="12" t="s">
        <v>7333</v>
      </c>
      <c r="G343" s="19">
        <f>IFERROR(__xludf.DUMMYFUNCTION("SPLIT(A341, "" |"")"),339.0)</f>
        <v>339</v>
      </c>
      <c r="H343" s="19">
        <f>IFERROR(__xludf.DUMMYFUNCTION("""COMPUTED_VALUE"""),0.00206)</f>
        <v>0.00206</v>
      </c>
      <c r="I343" s="19" t="str">
        <f>IFERROR(__xludf.DUMMYFUNCTION("""COMPUTED_VALUE"""),"-")</f>
        <v>-</v>
      </c>
      <c r="J343" s="19">
        <f>IFERROR(__xludf.DUMMYFUNCTION("""COMPUTED_VALUE"""),0.00201)</f>
        <v>0.00201</v>
      </c>
      <c r="K343" s="19">
        <f>IFERROR(__xludf.DUMMYFUNCTION("""COMPUTED_VALUE"""),0.0397)</f>
        <v>0.0397</v>
      </c>
      <c r="L343" s="19" t="str">
        <f>IFERROR(__xludf.DUMMYFUNCTION("""COMPUTED_VALUE"""),"-")</f>
        <v>-</v>
      </c>
      <c r="M343" s="19">
        <f>IFERROR(__xludf.DUMMYFUNCTION("""COMPUTED_VALUE"""),0.03985)</f>
        <v>0.03985</v>
      </c>
    </row>
    <row r="344">
      <c r="A344" s="12" t="s">
        <v>7334</v>
      </c>
      <c r="G344" s="19">
        <f>IFERROR(__xludf.DUMMYFUNCTION("SPLIT(A342, "" |"")"),340.0)</f>
        <v>340</v>
      </c>
      <c r="H344" s="19">
        <f>IFERROR(__xludf.DUMMYFUNCTION("""COMPUTED_VALUE"""),0.00228)</f>
        <v>0.00228</v>
      </c>
      <c r="I344" s="19" t="str">
        <f>IFERROR(__xludf.DUMMYFUNCTION("""COMPUTED_VALUE"""),"-")</f>
        <v>-</v>
      </c>
      <c r="J344" s="19">
        <f>IFERROR(__xludf.DUMMYFUNCTION("""COMPUTED_VALUE"""),0.00192)</f>
        <v>0.00192</v>
      </c>
      <c r="K344" s="19">
        <f>IFERROR(__xludf.DUMMYFUNCTION("""COMPUTED_VALUE"""),0.03977)</f>
        <v>0.03977</v>
      </c>
      <c r="L344" s="19" t="str">
        <f>IFERROR(__xludf.DUMMYFUNCTION("""COMPUTED_VALUE"""),"-")</f>
        <v>-</v>
      </c>
      <c r="M344" s="19">
        <f>IFERROR(__xludf.DUMMYFUNCTION("""COMPUTED_VALUE"""),0.03981)</f>
        <v>0.03981</v>
      </c>
    </row>
    <row r="345">
      <c r="A345" s="12" t="s">
        <v>7335</v>
      </c>
      <c r="G345" s="19">
        <f>IFERROR(__xludf.DUMMYFUNCTION("SPLIT(A343, "" |"")"),341.0)</f>
        <v>341</v>
      </c>
      <c r="H345" s="19">
        <f>IFERROR(__xludf.DUMMYFUNCTION("""COMPUTED_VALUE"""),0.00229)</f>
        <v>0.00229</v>
      </c>
      <c r="I345" s="19" t="str">
        <f>IFERROR(__xludf.DUMMYFUNCTION("""COMPUTED_VALUE"""),"-")</f>
        <v>-</v>
      </c>
      <c r="J345" s="19">
        <f>IFERROR(__xludf.DUMMYFUNCTION("""COMPUTED_VALUE"""),0.00197)</f>
        <v>0.00197</v>
      </c>
      <c r="K345" s="19">
        <f>IFERROR(__xludf.DUMMYFUNCTION("""COMPUTED_VALUE"""),0.03996)</f>
        <v>0.03996</v>
      </c>
      <c r="L345" s="19" t="str">
        <f>IFERROR(__xludf.DUMMYFUNCTION("""COMPUTED_VALUE"""),"-")</f>
        <v>-</v>
      </c>
      <c r="M345" s="19">
        <f>IFERROR(__xludf.DUMMYFUNCTION("""COMPUTED_VALUE"""),0.0401)</f>
        <v>0.0401</v>
      </c>
    </row>
    <row r="346">
      <c r="A346" s="12" t="s">
        <v>7336</v>
      </c>
      <c r="G346" s="19">
        <f>IFERROR(__xludf.DUMMYFUNCTION("SPLIT(A344, "" |"")"),342.0)</f>
        <v>342</v>
      </c>
      <c r="H346" s="19">
        <f>IFERROR(__xludf.DUMMYFUNCTION("""COMPUTED_VALUE"""),0.00211)</f>
        <v>0.00211</v>
      </c>
      <c r="I346" s="19" t="str">
        <f>IFERROR(__xludf.DUMMYFUNCTION("""COMPUTED_VALUE"""),"-")</f>
        <v>-</v>
      </c>
      <c r="J346" s="19">
        <f>IFERROR(__xludf.DUMMYFUNCTION("""COMPUTED_VALUE"""),0.00202)</f>
        <v>0.00202</v>
      </c>
      <c r="K346" s="19">
        <f>IFERROR(__xludf.DUMMYFUNCTION("""COMPUTED_VALUE"""),0.03491)</f>
        <v>0.03491</v>
      </c>
      <c r="L346" s="19" t="str">
        <f>IFERROR(__xludf.DUMMYFUNCTION("""COMPUTED_VALUE"""),"-")</f>
        <v>-</v>
      </c>
      <c r="M346" s="19">
        <f>IFERROR(__xludf.DUMMYFUNCTION("""COMPUTED_VALUE"""),0.03789)</f>
        <v>0.03789</v>
      </c>
    </row>
    <row r="347">
      <c r="A347" s="12" t="s">
        <v>7337</v>
      </c>
      <c r="G347" s="19">
        <f>IFERROR(__xludf.DUMMYFUNCTION("SPLIT(A345, "" |"")"),343.0)</f>
        <v>343</v>
      </c>
      <c r="H347" s="19">
        <f>IFERROR(__xludf.DUMMYFUNCTION("""COMPUTED_VALUE"""),0.00214)</f>
        <v>0.00214</v>
      </c>
      <c r="I347" s="19" t="str">
        <f>IFERROR(__xludf.DUMMYFUNCTION("""COMPUTED_VALUE"""),"-")</f>
        <v>-</v>
      </c>
      <c r="J347" s="19">
        <f>IFERROR(__xludf.DUMMYFUNCTION("""COMPUTED_VALUE"""),0.00175)</f>
        <v>0.00175</v>
      </c>
      <c r="K347" s="19">
        <f>IFERROR(__xludf.DUMMYFUNCTION("""COMPUTED_VALUE"""),0.03778)</f>
        <v>0.03778</v>
      </c>
      <c r="L347" s="19" t="str">
        <f>IFERROR(__xludf.DUMMYFUNCTION("""COMPUTED_VALUE"""),"-")</f>
        <v>-</v>
      </c>
      <c r="M347" s="19">
        <f>IFERROR(__xludf.DUMMYFUNCTION("""COMPUTED_VALUE"""),0.03999)</f>
        <v>0.03999</v>
      </c>
    </row>
    <row r="348">
      <c r="A348" s="12" t="s">
        <v>7338</v>
      </c>
      <c r="G348" s="19">
        <f>IFERROR(__xludf.DUMMYFUNCTION("SPLIT(A346, "" |"")"),344.0)</f>
        <v>344</v>
      </c>
      <c r="H348" s="19">
        <f>IFERROR(__xludf.DUMMYFUNCTION("""COMPUTED_VALUE"""),0.00236)</f>
        <v>0.00236</v>
      </c>
      <c r="I348" s="19" t="str">
        <f>IFERROR(__xludf.DUMMYFUNCTION("""COMPUTED_VALUE"""),"-")</f>
        <v>-</v>
      </c>
      <c r="J348" s="19">
        <f>IFERROR(__xludf.DUMMYFUNCTION("""COMPUTED_VALUE"""),0.00199)</f>
        <v>0.00199</v>
      </c>
      <c r="K348" s="19">
        <f>IFERROR(__xludf.DUMMYFUNCTION("""COMPUTED_VALUE"""),0.04009)</f>
        <v>0.04009</v>
      </c>
      <c r="L348" s="19" t="str">
        <f>IFERROR(__xludf.DUMMYFUNCTION("""COMPUTED_VALUE"""),"-")</f>
        <v>-</v>
      </c>
      <c r="M348" s="19">
        <f>IFERROR(__xludf.DUMMYFUNCTION("""COMPUTED_VALUE"""),0.04001)</f>
        <v>0.04001</v>
      </c>
    </row>
    <row r="349">
      <c r="A349" s="12" t="s">
        <v>7339</v>
      </c>
      <c r="G349" s="19">
        <f>IFERROR(__xludf.DUMMYFUNCTION("SPLIT(A347, "" |"")"),345.0)</f>
        <v>345</v>
      </c>
      <c r="H349" s="19">
        <f>IFERROR(__xludf.DUMMYFUNCTION("""COMPUTED_VALUE"""),0.00213)</f>
        <v>0.00213</v>
      </c>
      <c r="I349" s="19" t="str">
        <f>IFERROR(__xludf.DUMMYFUNCTION("""COMPUTED_VALUE"""),"-")</f>
        <v>-</v>
      </c>
      <c r="J349" s="19">
        <f>IFERROR(__xludf.DUMMYFUNCTION("""COMPUTED_VALUE"""),0.00205)</f>
        <v>0.00205</v>
      </c>
      <c r="K349" s="19">
        <f>IFERROR(__xludf.DUMMYFUNCTION("""COMPUTED_VALUE"""),0.03928)</f>
        <v>0.03928</v>
      </c>
      <c r="L349" s="19" t="str">
        <f>IFERROR(__xludf.DUMMYFUNCTION("""COMPUTED_VALUE"""),"-")</f>
        <v>-</v>
      </c>
      <c r="M349" s="19">
        <f>IFERROR(__xludf.DUMMYFUNCTION("""COMPUTED_VALUE"""),0.03996)</f>
        <v>0.03996</v>
      </c>
    </row>
    <row r="350">
      <c r="A350" s="12" t="s">
        <v>7340</v>
      </c>
      <c r="G350" s="19">
        <f>IFERROR(__xludf.DUMMYFUNCTION("SPLIT(A348, "" |"")"),346.0)</f>
        <v>346</v>
      </c>
      <c r="H350" s="19">
        <f>IFERROR(__xludf.DUMMYFUNCTION("""COMPUTED_VALUE"""),0.00226)</f>
        <v>0.00226</v>
      </c>
      <c r="I350" s="19" t="str">
        <f>IFERROR(__xludf.DUMMYFUNCTION("""COMPUTED_VALUE"""),"-")</f>
        <v>-</v>
      </c>
      <c r="J350" s="19">
        <f>IFERROR(__xludf.DUMMYFUNCTION("""COMPUTED_VALUE"""),0.00196)</f>
        <v>0.00196</v>
      </c>
      <c r="K350" s="19">
        <f>IFERROR(__xludf.DUMMYFUNCTION("""COMPUTED_VALUE"""),0.03661)</f>
        <v>0.03661</v>
      </c>
      <c r="L350" s="19" t="str">
        <f>IFERROR(__xludf.DUMMYFUNCTION("""COMPUTED_VALUE"""),"-")</f>
        <v>-</v>
      </c>
      <c r="M350" s="19">
        <f>IFERROR(__xludf.DUMMYFUNCTION("""COMPUTED_VALUE"""),0.03985)</f>
        <v>0.03985</v>
      </c>
    </row>
    <row r="351">
      <c r="A351" s="12" t="s">
        <v>7341</v>
      </c>
      <c r="G351" s="19">
        <f>IFERROR(__xludf.DUMMYFUNCTION("SPLIT(A349, "" |"")"),347.0)</f>
        <v>347</v>
      </c>
      <c r="H351" s="19">
        <f>IFERROR(__xludf.DUMMYFUNCTION("""COMPUTED_VALUE"""),0.00239)</f>
        <v>0.00239</v>
      </c>
      <c r="I351" s="19" t="str">
        <f>IFERROR(__xludf.DUMMYFUNCTION("""COMPUTED_VALUE"""),"-")</f>
        <v>-</v>
      </c>
      <c r="J351" s="19">
        <f>IFERROR(__xludf.DUMMYFUNCTION("""COMPUTED_VALUE"""),0.00211)</f>
        <v>0.00211</v>
      </c>
      <c r="K351" s="19">
        <f>IFERROR(__xludf.DUMMYFUNCTION("""COMPUTED_VALUE"""),0.04252)</f>
        <v>0.04252</v>
      </c>
      <c r="L351" s="19" t="str">
        <f>IFERROR(__xludf.DUMMYFUNCTION("""COMPUTED_VALUE"""),"-")</f>
        <v>-</v>
      </c>
      <c r="M351" s="19">
        <f>IFERROR(__xludf.DUMMYFUNCTION("""COMPUTED_VALUE"""),0.08189)</f>
        <v>0.08189</v>
      </c>
    </row>
    <row r="352">
      <c r="A352" s="12" t="s">
        <v>7342</v>
      </c>
      <c r="G352" s="19">
        <f>IFERROR(__xludf.DUMMYFUNCTION("SPLIT(A350, "" |"")"),348.0)</f>
        <v>348</v>
      </c>
      <c r="H352" s="19">
        <f>IFERROR(__xludf.DUMMYFUNCTION("""COMPUTED_VALUE"""),0.00229)</f>
        <v>0.00229</v>
      </c>
      <c r="I352" s="19" t="str">
        <f>IFERROR(__xludf.DUMMYFUNCTION("""COMPUTED_VALUE"""),"-")</f>
        <v>-</v>
      </c>
      <c r="J352" s="19">
        <f>IFERROR(__xludf.DUMMYFUNCTION("""COMPUTED_VALUE"""),0.00207)</f>
        <v>0.00207</v>
      </c>
      <c r="K352" s="19">
        <f>IFERROR(__xludf.DUMMYFUNCTION("""COMPUTED_VALUE"""),0.03882)</f>
        <v>0.03882</v>
      </c>
      <c r="L352" s="19" t="str">
        <f>IFERROR(__xludf.DUMMYFUNCTION("""COMPUTED_VALUE"""),"-")</f>
        <v>-</v>
      </c>
      <c r="M352" s="19">
        <f>IFERROR(__xludf.DUMMYFUNCTION("""COMPUTED_VALUE"""),0.04044)</f>
        <v>0.04044</v>
      </c>
    </row>
    <row r="353">
      <c r="A353" s="12" t="s">
        <v>7343</v>
      </c>
      <c r="G353" s="19">
        <f>IFERROR(__xludf.DUMMYFUNCTION("SPLIT(A351, "" |"")"),349.0)</f>
        <v>349</v>
      </c>
      <c r="H353" s="19">
        <f>IFERROR(__xludf.DUMMYFUNCTION("""COMPUTED_VALUE"""),0.00255)</f>
        <v>0.00255</v>
      </c>
      <c r="I353" s="19" t="str">
        <f>IFERROR(__xludf.DUMMYFUNCTION("""COMPUTED_VALUE"""),"-")</f>
        <v>-</v>
      </c>
      <c r="J353" s="19">
        <f>IFERROR(__xludf.DUMMYFUNCTION("""COMPUTED_VALUE"""),0.00228)</f>
        <v>0.00228</v>
      </c>
      <c r="K353" s="19">
        <f>IFERROR(__xludf.DUMMYFUNCTION("""COMPUTED_VALUE"""),0.04004)</f>
        <v>0.04004</v>
      </c>
      <c r="L353" s="19" t="str">
        <f>IFERROR(__xludf.DUMMYFUNCTION("""COMPUTED_VALUE"""),"-")</f>
        <v>-</v>
      </c>
      <c r="M353" s="19">
        <f>IFERROR(__xludf.DUMMYFUNCTION("""COMPUTED_VALUE"""),0.04004)</f>
        <v>0.04004</v>
      </c>
    </row>
    <row r="354">
      <c r="A354" s="12" t="s">
        <v>7344</v>
      </c>
      <c r="G354" s="19">
        <f>IFERROR(__xludf.DUMMYFUNCTION("SPLIT(A352, "" |"")"),350.0)</f>
        <v>350</v>
      </c>
      <c r="H354" s="19">
        <f>IFERROR(__xludf.DUMMYFUNCTION("""COMPUTED_VALUE"""),0.00269)</f>
        <v>0.00269</v>
      </c>
      <c r="I354" s="19" t="str">
        <f>IFERROR(__xludf.DUMMYFUNCTION("""COMPUTED_VALUE"""),"-")</f>
        <v>-</v>
      </c>
      <c r="J354" s="19">
        <f>IFERROR(__xludf.DUMMYFUNCTION("""COMPUTED_VALUE"""),0.00201)</f>
        <v>0.00201</v>
      </c>
      <c r="K354" s="19">
        <f>IFERROR(__xludf.DUMMYFUNCTION("""COMPUTED_VALUE"""),0.04004)</f>
        <v>0.04004</v>
      </c>
      <c r="L354" s="19" t="str">
        <f>IFERROR(__xludf.DUMMYFUNCTION("""COMPUTED_VALUE"""),"-")</f>
        <v>-</v>
      </c>
      <c r="M354" s="19">
        <f>IFERROR(__xludf.DUMMYFUNCTION("""COMPUTED_VALUE"""),0.04008)</f>
        <v>0.04008</v>
      </c>
    </row>
    <row r="355">
      <c r="A355" s="12" t="s">
        <v>7345</v>
      </c>
      <c r="G355" s="19">
        <f>IFERROR(__xludf.DUMMYFUNCTION("SPLIT(A353, "" |"")"),351.0)</f>
        <v>351</v>
      </c>
      <c r="H355" s="19">
        <f>IFERROR(__xludf.DUMMYFUNCTION("""COMPUTED_VALUE"""),0.00234)</f>
        <v>0.00234</v>
      </c>
      <c r="I355" s="19" t="str">
        <f>IFERROR(__xludf.DUMMYFUNCTION("""COMPUTED_VALUE"""),"-")</f>
        <v>-</v>
      </c>
      <c r="J355" s="19">
        <f>IFERROR(__xludf.DUMMYFUNCTION("""COMPUTED_VALUE"""),0.00217)</f>
        <v>0.00217</v>
      </c>
      <c r="K355" s="19">
        <f>IFERROR(__xludf.DUMMYFUNCTION("""COMPUTED_VALUE"""),0.03996)</f>
        <v>0.03996</v>
      </c>
      <c r="L355" s="19" t="str">
        <f>IFERROR(__xludf.DUMMYFUNCTION("""COMPUTED_VALUE"""),"-")</f>
        <v>-</v>
      </c>
      <c r="M355" s="19">
        <f>IFERROR(__xludf.DUMMYFUNCTION("""COMPUTED_VALUE"""),0.04008)</f>
        <v>0.04008</v>
      </c>
    </row>
    <row r="356">
      <c r="A356" s="12" t="s">
        <v>7346</v>
      </c>
      <c r="G356" s="19">
        <f>IFERROR(__xludf.DUMMYFUNCTION("SPLIT(A354, "" |"")"),352.0)</f>
        <v>352</v>
      </c>
      <c r="H356" s="19">
        <f>IFERROR(__xludf.DUMMYFUNCTION("""COMPUTED_VALUE"""),0.00218)</f>
        <v>0.00218</v>
      </c>
      <c r="I356" s="19" t="str">
        <f>IFERROR(__xludf.DUMMYFUNCTION("""COMPUTED_VALUE"""),"-")</f>
        <v>-</v>
      </c>
      <c r="J356" s="19">
        <f>IFERROR(__xludf.DUMMYFUNCTION("""COMPUTED_VALUE"""),0.00214)</f>
        <v>0.00214</v>
      </c>
      <c r="K356" s="19">
        <f>IFERROR(__xludf.DUMMYFUNCTION("""COMPUTED_VALUE"""),0.03838)</f>
        <v>0.03838</v>
      </c>
      <c r="L356" s="19" t="str">
        <f>IFERROR(__xludf.DUMMYFUNCTION("""COMPUTED_VALUE"""),"-")</f>
        <v>-</v>
      </c>
      <c r="M356" s="19">
        <f>IFERROR(__xludf.DUMMYFUNCTION("""COMPUTED_VALUE"""),0.04013)</f>
        <v>0.04013</v>
      </c>
    </row>
    <row r="357">
      <c r="A357" s="12" t="s">
        <v>7347</v>
      </c>
      <c r="G357" s="19">
        <f>IFERROR(__xludf.DUMMYFUNCTION("SPLIT(A355, "" |"")"),353.0)</f>
        <v>353</v>
      </c>
      <c r="H357" s="19">
        <f>IFERROR(__xludf.DUMMYFUNCTION("""COMPUTED_VALUE"""),0.0024)</f>
        <v>0.0024</v>
      </c>
      <c r="I357" s="19" t="str">
        <f>IFERROR(__xludf.DUMMYFUNCTION("""COMPUTED_VALUE"""),"-")</f>
        <v>-</v>
      </c>
      <c r="J357" s="19">
        <f>IFERROR(__xludf.DUMMYFUNCTION("""COMPUTED_VALUE"""),0.00265)</f>
        <v>0.00265</v>
      </c>
      <c r="K357" s="19">
        <f>IFERROR(__xludf.DUMMYFUNCTION("""COMPUTED_VALUE"""),0.03995)</f>
        <v>0.03995</v>
      </c>
      <c r="L357" s="19" t="str">
        <f>IFERROR(__xludf.DUMMYFUNCTION("""COMPUTED_VALUE"""),"-")</f>
        <v>-</v>
      </c>
      <c r="M357" s="19">
        <f>IFERROR(__xludf.DUMMYFUNCTION("""COMPUTED_VALUE"""),0.03957)</f>
        <v>0.03957</v>
      </c>
    </row>
    <row r="358">
      <c r="A358" s="12" t="s">
        <v>7348</v>
      </c>
      <c r="G358" s="19">
        <f>IFERROR(__xludf.DUMMYFUNCTION("SPLIT(A356, "" |"")"),354.0)</f>
        <v>354</v>
      </c>
      <c r="H358" s="19">
        <f>IFERROR(__xludf.DUMMYFUNCTION("""COMPUTED_VALUE"""),0.00217)</f>
        <v>0.00217</v>
      </c>
      <c r="I358" s="19" t="str">
        <f>IFERROR(__xludf.DUMMYFUNCTION("""COMPUTED_VALUE"""),"-")</f>
        <v>-</v>
      </c>
      <c r="J358" s="19">
        <f>IFERROR(__xludf.DUMMYFUNCTION("""COMPUTED_VALUE"""),0.00218)</f>
        <v>0.00218</v>
      </c>
      <c r="K358" s="19">
        <f>IFERROR(__xludf.DUMMYFUNCTION("""COMPUTED_VALUE"""),0.04035)</f>
        <v>0.04035</v>
      </c>
      <c r="L358" s="19" t="str">
        <f>IFERROR(__xludf.DUMMYFUNCTION("""COMPUTED_VALUE"""),"-")</f>
        <v>-</v>
      </c>
      <c r="M358" s="19">
        <f>IFERROR(__xludf.DUMMYFUNCTION("""COMPUTED_VALUE"""),0.04026)</f>
        <v>0.04026</v>
      </c>
    </row>
    <row r="359">
      <c r="A359" s="12" t="s">
        <v>7349</v>
      </c>
      <c r="G359" s="19">
        <f>IFERROR(__xludf.DUMMYFUNCTION("SPLIT(A357, "" |"")"),355.0)</f>
        <v>355</v>
      </c>
      <c r="H359" s="19">
        <f>IFERROR(__xludf.DUMMYFUNCTION("""COMPUTED_VALUE"""),0.00233)</f>
        <v>0.00233</v>
      </c>
      <c r="I359" s="19" t="str">
        <f>IFERROR(__xludf.DUMMYFUNCTION("""COMPUTED_VALUE"""),"-")</f>
        <v>-</v>
      </c>
      <c r="J359" s="19">
        <f>IFERROR(__xludf.DUMMYFUNCTION("""COMPUTED_VALUE"""),0.00199)</f>
        <v>0.00199</v>
      </c>
      <c r="K359" s="19">
        <f>IFERROR(__xludf.DUMMYFUNCTION("""COMPUTED_VALUE"""),0.03978)</f>
        <v>0.03978</v>
      </c>
      <c r="L359" s="19" t="str">
        <f>IFERROR(__xludf.DUMMYFUNCTION("""COMPUTED_VALUE"""),"-")</f>
        <v>-</v>
      </c>
      <c r="M359" s="19">
        <f>IFERROR(__xludf.DUMMYFUNCTION("""COMPUTED_VALUE"""),0.03754)</f>
        <v>0.03754</v>
      </c>
    </row>
    <row r="360">
      <c r="A360" s="12" t="s">
        <v>7350</v>
      </c>
      <c r="G360" s="19">
        <f>IFERROR(__xludf.DUMMYFUNCTION("SPLIT(A358, "" |"")"),356.0)</f>
        <v>356</v>
      </c>
      <c r="H360" s="19">
        <f>IFERROR(__xludf.DUMMYFUNCTION("""COMPUTED_VALUE"""),0.00217)</f>
        <v>0.00217</v>
      </c>
      <c r="I360" s="19" t="str">
        <f>IFERROR(__xludf.DUMMYFUNCTION("""COMPUTED_VALUE"""),"-")</f>
        <v>-</v>
      </c>
      <c r="J360" s="19">
        <f>IFERROR(__xludf.DUMMYFUNCTION("""COMPUTED_VALUE"""),0.00197)</f>
        <v>0.00197</v>
      </c>
      <c r="K360" s="19">
        <f>IFERROR(__xludf.DUMMYFUNCTION("""COMPUTED_VALUE"""),0.03969)</f>
        <v>0.03969</v>
      </c>
      <c r="L360" s="19" t="str">
        <f>IFERROR(__xludf.DUMMYFUNCTION("""COMPUTED_VALUE"""),"-")</f>
        <v>-</v>
      </c>
      <c r="M360" s="19">
        <f>IFERROR(__xludf.DUMMYFUNCTION("""COMPUTED_VALUE"""),0.03819)</f>
        <v>0.03819</v>
      </c>
    </row>
    <row r="361">
      <c r="A361" s="12" t="s">
        <v>7351</v>
      </c>
      <c r="G361" s="19">
        <f>IFERROR(__xludf.DUMMYFUNCTION("SPLIT(A359, "" |"")"),357.0)</f>
        <v>357</v>
      </c>
      <c r="H361" s="19">
        <f>IFERROR(__xludf.DUMMYFUNCTION("""COMPUTED_VALUE"""),0.00206)</f>
        <v>0.00206</v>
      </c>
      <c r="I361" s="19" t="str">
        <f>IFERROR(__xludf.DUMMYFUNCTION("""COMPUTED_VALUE"""),"-")</f>
        <v>-</v>
      </c>
      <c r="J361" s="19">
        <f>IFERROR(__xludf.DUMMYFUNCTION("""COMPUTED_VALUE"""),0.00184)</f>
        <v>0.00184</v>
      </c>
      <c r="K361" s="19">
        <f>IFERROR(__xludf.DUMMYFUNCTION("""COMPUTED_VALUE"""),0.03708)</f>
        <v>0.03708</v>
      </c>
      <c r="L361" s="19" t="str">
        <f>IFERROR(__xludf.DUMMYFUNCTION("""COMPUTED_VALUE"""),"-")</f>
        <v>-</v>
      </c>
      <c r="M361" s="19">
        <f>IFERROR(__xludf.DUMMYFUNCTION("""COMPUTED_VALUE"""),0.03989)</f>
        <v>0.03989</v>
      </c>
    </row>
    <row r="362">
      <c r="A362" s="12" t="s">
        <v>7352</v>
      </c>
      <c r="G362" s="19">
        <f>IFERROR(__xludf.DUMMYFUNCTION("SPLIT(A360, "" |"")"),358.0)</f>
        <v>358</v>
      </c>
      <c r="H362" s="19">
        <f>IFERROR(__xludf.DUMMYFUNCTION("""COMPUTED_VALUE"""),0.00214)</f>
        <v>0.00214</v>
      </c>
      <c r="I362" s="19" t="str">
        <f>IFERROR(__xludf.DUMMYFUNCTION("""COMPUTED_VALUE"""),"-")</f>
        <v>-</v>
      </c>
      <c r="J362" s="19">
        <f>IFERROR(__xludf.DUMMYFUNCTION("""COMPUTED_VALUE"""),0.00213)</f>
        <v>0.00213</v>
      </c>
      <c r="K362" s="19">
        <f>IFERROR(__xludf.DUMMYFUNCTION("""COMPUTED_VALUE"""),0.0369)</f>
        <v>0.0369</v>
      </c>
      <c r="L362" s="19" t="str">
        <f>IFERROR(__xludf.DUMMYFUNCTION("""COMPUTED_VALUE"""),"-")</f>
        <v>-</v>
      </c>
      <c r="M362" s="19">
        <f>IFERROR(__xludf.DUMMYFUNCTION("""COMPUTED_VALUE"""),0.03999)</f>
        <v>0.03999</v>
      </c>
    </row>
    <row r="363">
      <c r="A363" s="12" t="s">
        <v>7353</v>
      </c>
      <c r="G363" s="19">
        <f>IFERROR(__xludf.DUMMYFUNCTION("SPLIT(A361, "" |"")"),359.0)</f>
        <v>359</v>
      </c>
      <c r="H363" s="19">
        <f>IFERROR(__xludf.DUMMYFUNCTION("""COMPUTED_VALUE"""),0.00221)</f>
        <v>0.00221</v>
      </c>
      <c r="I363" s="19" t="str">
        <f>IFERROR(__xludf.DUMMYFUNCTION("""COMPUTED_VALUE"""),"-")</f>
        <v>-</v>
      </c>
      <c r="J363" s="19">
        <f>IFERROR(__xludf.DUMMYFUNCTION("""COMPUTED_VALUE"""),0.00198)</f>
        <v>0.00198</v>
      </c>
      <c r="K363" s="19">
        <f>IFERROR(__xludf.DUMMYFUNCTION("""COMPUTED_VALUE"""),0.03987)</f>
        <v>0.03987</v>
      </c>
      <c r="L363" s="19" t="str">
        <f>IFERROR(__xludf.DUMMYFUNCTION("""COMPUTED_VALUE"""),"-")</f>
        <v>-</v>
      </c>
      <c r="M363" s="19">
        <f>IFERROR(__xludf.DUMMYFUNCTION("""COMPUTED_VALUE"""),0.04043)</f>
        <v>0.04043</v>
      </c>
    </row>
    <row r="364">
      <c r="A364" s="12" t="s">
        <v>7354</v>
      </c>
      <c r="G364" s="19">
        <f>IFERROR(__xludf.DUMMYFUNCTION("SPLIT(A362, "" |"")"),360.0)</f>
        <v>360</v>
      </c>
      <c r="H364" s="19">
        <f>IFERROR(__xludf.DUMMYFUNCTION("""COMPUTED_VALUE"""),0.00213)</f>
        <v>0.00213</v>
      </c>
      <c r="I364" s="19" t="str">
        <f>IFERROR(__xludf.DUMMYFUNCTION("""COMPUTED_VALUE"""),"-")</f>
        <v>-</v>
      </c>
      <c r="J364" s="19">
        <f>IFERROR(__xludf.DUMMYFUNCTION("""COMPUTED_VALUE"""),0.00197)</f>
        <v>0.00197</v>
      </c>
      <c r="K364" s="19">
        <f>IFERROR(__xludf.DUMMYFUNCTION("""COMPUTED_VALUE"""),0.03975)</f>
        <v>0.03975</v>
      </c>
      <c r="L364" s="19" t="str">
        <f>IFERROR(__xludf.DUMMYFUNCTION("""COMPUTED_VALUE"""),"-")</f>
        <v>-</v>
      </c>
      <c r="M364" s="19">
        <f>IFERROR(__xludf.DUMMYFUNCTION("""COMPUTED_VALUE"""),0.03985)</f>
        <v>0.03985</v>
      </c>
    </row>
    <row r="365">
      <c r="A365" s="12" t="s">
        <v>7355</v>
      </c>
      <c r="G365" s="19">
        <f>IFERROR(__xludf.DUMMYFUNCTION("SPLIT(A363, "" |"")"),361.0)</f>
        <v>361</v>
      </c>
      <c r="H365" s="19">
        <f>IFERROR(__xludf.DUMMYFUNCTION("""COMPUTED_VALUE"""),0.00216)</f>
        <v>0.00216</v>
      </c>
      <c r="I365" s="19" t="str">
        <f>IFERROR(__xludf.DUMMYFUNCTION("""COMPUTED_VALUE"""),"-")</f>
        <v>-</v>
      </c>
      <c r="J365" s="19">
        <f>IFERROR(__xludf.DUMMYFUNCTION("""COMPUTED_VALUE"""),0.00202)</f>
        <v>0.00202</v>
      </c>
      <c r="K365" s="19">
        <f>IFERROR(__xludf.DUMMYFUNCTION("""COMPUTED_VALUE"""),0.03965)</f>
        <v>0.03965</v>
      </c>
      <c r="L365" s="19" t="str">
        <f>IFERROR(__xludf.DUMMYFUNCTION("""COMPUTED_VALUE"""),"-")</f>
        <v>-</v>
      </c>
      <c r="M365" s="19">
        <f>IFERROR(__xludf.DUMMYFUNCTION("""COMPUTED_VALUE"""),0.03744)</f>
        <v>0.03744</v>
      </c>
    </row>
    <row r="366">
      <c r="A366" s="12" t="s">
        <v>7356</v>
      </c>
      <c r="G366" s="19">
        <f>IFERROR(__xludf.DUMMYFUNCTION("SPLIT(A364, "" |"")"),362.0)</f>
        <v>362</v>
      </c>
      <c r="H366" s="19">
        <f>IFERROR(__xludf.DUMMYFUNCTION("""COMPUTED_VALUE"""),0.0023)</f>
        <v>0.0023</v>
      </c>
      <c r="I366" s="19" t="str">
        <f>IFERROR(__xludf.DUMMYFUNCTION("""COMPUTED_VALUE"""),"-")</f>
        <v>-</v>
      </c>
      <c r="J366" s="19">
        <f>IFERROR(__xludf.DUMMYFUNCTION("""COMPUTED_VALUE"""),0.00192)</f>
        <v>0.00192</v>
      </c>
      <c r="K366" s="19">
        <f>IFERROR(__xludf.DUMMYFUNCTION("""COMPUTED_VALUE"""),0.04018)</f>
        <v>0.04018</v>
      </c>
      <c r="L366" s="19" t="str">
        <f>IFERROR(__xludf.DUMMYFUNCTION("""COMPUTED_VALUE"""),"-")</f>
        <v>-</v>
      </c>
      <c r="M366" s="19">
        <f>IFERROR(__xludf.DUMMYFUNCTION("""COMPUTED_VALUE"""),0.03919)</f>
        <v>0.03919</v>
      </c>
    </row>
    <row r="367">
      <c r="A367" s="12" t="s">
        <v>7357</v>
      </c>
      <c r="G367" s="19">
        <f>IFERROR(__xludf.DUMMYFUNCTION("SPLIT(A365, "" |"")"),363.0)</f>
        <v>363</v>
      </c>
      <c r="H367" s="19">
        <f>IFERROR(__xludf.DUMMYFUNCTION("""COMPUTED_VALUE"""),0.0022)</f>
        <v>0.0022</v>
      </c>
      <c r="I367" s="19" t="str">
        <f>IFERROR(__xludf.DUMMYFUNCTION("""COMPUTED_VALUE"""),"-")</f>
        <v>-</v>
      </c>
      <c r="J367" s="19">
        <f>IFERROR(__xludf.DUMMYFUNCTION("""COMPUTED_VALUE"""),0.00206)</f>
        <v>0.00206</v>
      </c>
      <c r="K367" s="19">
        <f>IFERROR(__xludf.DUMMYFUNCTION("""COMPUTED_VALUE"""),0.03997)</f>
        <v>0.03997</v>
      </c>
      <c r="L367" s="19" t="str">
        <f>IFERROR(__xludf.DUMMYFUNCTION("""COMPUTED_VALUE"""),"-")</f>
        <v>-</v>
      </c>
      <c r="M367" s="19">
        <f>IFERROR(__xludf.DUMMYFUNCTION("""COMPUTED_VALUE"""),0.0401)</f>
        <v>0.0401</v>
      </c>
    </row>
    <row r="368">
      <c r="A368" s="12" t="s">
        <v>7358</v>
      </c>
      <c r="G368" s="19">
        <f>IFERROR(__xludf.DUMMYFUNCTION("SPLIT(A366, "" |"")"),364.0)</f>
        <v>364</v>
      </c>
      <c r="H368" s="19">
        <f>IFERROR(__xludf.DUMMYFUNCTION("""COMPUTED_VALUE"""),0.00217)</f>
        <v>0.00217</v>
      </c>
      <c r="I368" s="19" t="str">
        <f>IFERROR(__xludf.DUMMYFUNCTION("""COMPUTED_VALUE"""),"-")</f>
        <v>-</v>
      </c>
      <c r="J368" s="19">
        <f>IFERROR(__xludf.DUMMYFUNCTION("""COMPUTED_VALUE"""),0.00188)</f>
        <v>0.00188</v>
      </c>
      <c r="K368" s="19">
        <f>IFERROR(__xludf.DUMMYFUNCTION("""COMPUTED_VALUE"""),0.04001)</f>
        <v>0.04001</v>
      </c>
      <c r="L368" s="19" t="str">
        <f>IFERROR(__xludf.DUMMYFUNCTION("""COMPUTED_VALUE"""),"-")</f>
        <v>-</v>
      </c>
      <c r="M368" s="19">
        <f>IFERROR(__xludf.DUMMYFUNCTION("""COMPUTED_VALUE"""),0.03855)</f>
        <v>0.03855</v>
      </c>
    </row>
    <row r="369">
      <c r="A369" s="12" t="s">
        <v>7359</v>
      </c>
      <c r="G369" s="19">
        <f>IFERROR(__xludf.DUMMYFUNCTION("SPLIT(A367, "" |"")"),365.0)</f>
        <v>365</v>
      </c>
      <c r="H369" s="19">
        <f>IFERROR(__xludf.DUMMYFUNCTION("""COMPUTED_VALUE"""),0.00203)</f>
        <v>0.00203</v>
      </c>
      <c r="I369" s="19" t="str">
        <f>IFERROR(__xludf.DUMMYFUNCTION("""COMPUTED_VALUE"""),"-")</f>
        <v>-</v>
      </c>
      <c r="J369" s="19">
        <f>IFERROR(__xludf.DUMMYFUNCTION("""COMPUTED_VALUE"""),0.0019)</f>
        <v>0.0019</v>
      </c>
      <c r="K369" s="19">
        <f>IFERROR(__xludf.DUMMYFUNCTION("""COMPUTED_VALUE"""),0.03714)</f>
        <v>0.03714</v>
      </c>
      <c r="L369" s="19" t="str">
        <f>IFERROR(__xludf.DUMMYFUNCTION("""COMPUTED_VALUE"""),"-")</f>
        <v>-</v>
      </c>
      <c r="M369" s="19">
        <f>IFERROR(__xludf.DUMMYFUNCTION("""COMPUTED_VALUE"""),0.03993)</f>
        <v>0.03993</v>
      </c>
    </row>
    <row r="370">
      <c r="A370" s="12" t="s">
        <v>7360</v>
      </c>
      <c r="G370" s="19">
        <f>IFERROR(__xludf.DUMMYFUNCTION("SPLIT(A368, "" |"")"),366.0)</f>
        <v>366</v>
      </c>
      <c r="H370" s="19">
        <f>IFERROR(__xludf.DUMMYFUNCTION("""COMPUTED_VALUE"""),0.00218)</f>
        <v>0.00218</v>
      </c>
      <c r="I370" s="19" t="str">
        <f>IFERROR(__xludf.DUMMYFUNCTION("""COMPUTED_VALUE"""),"-")</f>
        <v>-</v>
      </c>
      <c r="J370" s="19">
        <f>IFERROR(__xludf.DUMMYFUNCTION("""COMPUTED_VALUE"""),0.00201)</f>
        <v>0.00201</v>
      </c>
      <c r="K370" s="19">
        <f>IFERROR(__xludf.DUMMYFUNCTION("""COMPUTED_VALUE"""),0.03969)</f>
        <v>0.03969</v>
      </c>
      <c r="L370" s="19" t="str">
        <f>IFERROR(__xludf.DUMMYFUNCTION("""COMPUTED_VALUE"""),"-")</f>
        <v>-</v>
      </c>
      <c r="M370" s="19">
        <f>IFERROR(__xludf.DUMMYFUNCTION("""COMPUTED_VALUE"""),0.03981)</f>
        <v>0.03981</v>
      </c>
    </row>
    <row r="371">
      <c r="A371" s="12" t="s">
        <v>7361</v>
      </c>
      <c r="G371" s="19">
        <f>IFERROR(__xludf.DUMMYFUNCTION("SPLIT(A369, "" |"")"),367.0)</f>
        <v>367</v>
      </c>
      <c r="H371" s="19">
        <f>IFERROR(__xludf.DUMMYFUNCTION("""COMPUTED_VALUE"""),0.00218)</f>
        <v>0.00218</v>
      </c>
      <c r="I371" s="19" t="str">
        <f>IFERROR(__xludf.DUMMYFUNCTION("""COMPUTED_VALUE"""),"-")</f>
        <v>-</v>
      </c>
      <c r="J371" s="19">
        <f>IFERROR(__xludf.DUMMYFUNCTION("""COMPUTED_VALUE"""),0.00197)</f>
        <v>0.00197</v>
      </c>
      <c r="K371" s="19">
        <f>IFERROR(__xludf.DUMMYFUNCTION("""COMPUTED_VALUE"""),0.03969)</f>
        <v>0.03969</v>
      </c>
      <c r="L371" s="19" t="str">
        <f>IFERROR(__xludf.DUMMYFUNCTION("""COMPUTED_VALUE"""),"-")</f>
        <v>-</v>
      </c>
      <c r="M371" s="19">
        <f>IFERROR(__xludf.DUMMYFUNCTION("""COMPUTED_VALUE"""),0.03994)</f>
        <v>0.03994</v>
      </c>
    </row>
    <row r="372">
      <c r="A372" s="12" t="s">
        <v>7362</v>
      </c>
      <c r="G372" s="19">
        <f>IFERROR(__xludf.DUMMYFUNCTION("SPLIT(A370, "" |"")"),368.0)</f>
        <v>368</v>
      </c>
      <c r="H372" s="19">
        <f>IFERROR(__xludf.DUMMYFUNCTION("""COMPUTED_VALUE"""),0.00203)</f>
        <v>0.00203</v>
      </c>
      <c r="I372" s="19" t="str">
        <f>IFERROR(__xludf.DUMMYFUNCTION("""COMPUTED_VALUE"""),"-")</f>
        <v>-</v>
      </c>
      <c r="J372" s="19">
        <f>IFERROR(__xludf.DUMMYFUNCTION("""COMPUTED_VALUE"""),0.00207)</f>
        <v>0.00207</v>
      </c>
      <c r="K372" s="19">
        <f>IFERROR(__xludf.DUMMYFUNCTION("""COMPUTED_VALUE"""),0.03974)</f>
        <v>0.03974</v>
      </c>
      <c r="L372" s="19" t="str">
        <f>IFERROR(__xludf.DUMMYFUNCTION("""COMPUTED_VALUE"""),"-")</f>
        <v>-</v>
      </c>
      <c r="M372" s="19">
        <f>IFERROR(__xludf.DUMMYFUNCTION("""COMPUTED_VALUE"""),0.03953)</f>
        <v>0.03953</v>
      </c>
    </row>
    <row r="373">
      <c r="A373" s="12" t="s">
        <v>7363</v>
      </c>
      <c r="G373" s="19">
        <f>IFERROR(__xludf.DUMMYFUNCTION("SPLIT(A371, "" |"")"),369.0)</f>
        <v>369</v>
      </c>
      <c r="H373" s="19">
        <f>IFERROR(__xludf.DUMMYFUNCTION("""COMPUTED_VALUE"""),0.0022)</f>
        <v>0.0022</v>
      </c>
      <c r="I373" s="19" t="str">
        <f>IFERROR(__xludf.DUMMYFUNCTION("""COMPUTED_VALUE"""),"-")</f>
        <v>-</v>
      </c>
      <c r="J373" s="19">
        <f>IFERROR(__xludf.DUMMYFUNCTION("""COMPUTED_VALUE"""),0.00195)</f>
        <v>0.00195</v>
      </c>
      <c r="K373" s="19">
        <f>IFERROR(__xludf.DUMMYFUNCTION("""COMPUTED_VALUE"""),0.03901)</f>
        <v>0.03901</v>
      </c>
      <c r="L373" s="19" t="str">
        <f>IFERROR(__xludf.DUMMYFUNCTION("""COMPUTED_VALUE"""),"-")</f>
        <v>-</v>
      </c>
      <c r="M373" s="19">
        <f>IFERROR(__xludf.DUMMYFUNCTION("""COMPUTED_VALUE"""),0.03974)</f>
        <v>0.03974</v>
      </c>
    </row>
    <row r="374">
      <c r="A374" s="12" t="s">
        <v>7364</v>
      </c>
      <c r="G374" s="19">
        <f>IFERROR(__xludf.DUMMYFUNCTION("SPLIT(A372, "" |"")"),370.0)</f>
        <v>370</v>
      </c>
      <c r="H374" s="19">
        <f>IFERROR(__xludf.DUMMYFUNCTION("""COMPUTED_VALUE"""),0.00206)</f>
        <v>0.00206</v>
      </c>
      <c r="I374" s="19" t="str">
        <f>IFERROR(__xludf.DUMMYFUNCTION("""COMPUTED_VALUE"""),"-")</f>
        <v>-</v>
      </c>
      <c r="J374" s="19">
        <f>IFERROR(__xludf.DUMMYFUNCTION("""COMPUTED_VALUE"""),0.00197)</f>
        <v>0.00197</v>
      </c>
      <c r="K374" s="19">
        <f>IFERROR(__xludf.DUMMYFUNCTION("""COMPUTED_VALUE"""),0.04045)</f>
        <v>0.04045</v>
      </c>
      <c r="L374" s="19" t="str">
        <f>IFERROR(__xludf.DUMMYFUNCTION("""COMPUTED_VALUE"""),"-")</f>
        <v>-</v>
      </c>
      <c r="M374" s="19">
        <f>IFERROR(__xludf.DUMMYFUNCTION("""COMPUTED_VALUE"""),0.0395)</f>
        <v>0.0395</v>
      </c>
    </row>
    <row r="375">
      <c r="A375" s="12" t="s">
        <v>7365</v>
      </c>
      <c r="G375" s="19">
        <f>IFERROR(__xludf.DUMMYFUNCTION("SPLIT(A373, "" |"")"),371.0)</f>
        <v>371</v>
      </c>
      <c r="H375" s="19">
        <f>IFERROR(__xludf.DUMMYFUNCTION("""COMPUTED_VALUE"""),0.00232)</f>
        <v>0.00232</v>
      </c>
      <c r="I375" s="19" t="str">
        <f>IFERROR(__xludf.DUMMYFUNCTION("""COMPUTED_VALUE"""),"-")</f>
        <v>-</v>
      </c>
      <c r="J375" s="19">
        <f>IFERROR(__xludf.DUMMYFUNCTION("""COMPUTED_VALUE"""),0.00186)</f>
        <v>0.00186</v>
      </c>
      <c r="K375" s="19">
        <f>IFERROR(__xludf.DUMMYFUNCTION("""COMPUTED_VALUE"""),0.03961)</f>
        <v>0.03961</v>
      </c>
      <c r="L375" s="19" t="str">
        <f>IFERROR(__xludf.DUMMYFUNCTION("""COMPUTED_VALUE"""),"-")</f>
        <v>-</v>
      </c>
      <c r="M375" s="19">
        <f>IFERROR(__xludf.DUMMYFUNCTION("""COMPUTED_VALUE"""),0.04017)</f>
        <v>0.04017</v>
      </c>
    </row>
    <row r="376">
      <c r="A376" s="12" t="s">
        <v>7366</v>
      </c>
      <c r="G376" s="19">
        <f>IFERROR(__xludf.DUMMYFUNCTION("SPLIT(A374, "" |"")"),372.0)</f>
        <v>372</v>
      </c>
      <c r="H376" s="19">
        <f>IFERROR(__xludf.DUMMYFUNCTION("""COMPUTED_VALUE"""),0.00221)</f>
        <v>0.00221</v>
      </c>
      <c r="I376" s="19" t="str">
        <f>IFERROR(__xludf.DUMMYFUNCTION("""COMPUTED_VALUE"""),"-")</f>
        <v>-</v>
      </c>
      <c r="J376" s="19">
        <f>IFERROR(__xludf.DUMMYFUNCTION("""COMPUTED_VALUE"""),0.00202)</f>
        <v>0.00202</v>
      </c>
      <c r="K376" s="19">
        <f>IFERROR(__xludf.DUMMYFUNCTION("""COMPUTED_VALUE"""),0.0396)</f>
        <v>0.0396</v>
      </c>
      <c r="L376" s="19" t="str">
        <f>IFERROR(__xludf.DUMMYFUNCTION("""COMPUTED_VALUE"""),"-")</f>
        <v>-</v>
      </c>
      <c r="M376" s="19">
        <f>IFERROR(__xludf.DUMMYFUNCTION("""COMPUTED_VALUE"""),0.03796)</f>
        <v>0.03796</v>
      </c>
    </row>
    <row r="377">
      <c r="A377" s="12" t="s">
        <v>7367</v>
      </c>
      <c r="G377" s="19">
        <f>IFERROR(__xludf.DUMMYFUNCTION("SPLIT(A375, "" |"")"),373.0)</f>
        <v>373</v>
      </c>
      <c r="H377" s="19">
        <f>IFERROR(__xludf.DUMMYFUNCTION("""COMPUTED_VALUE"""),0.00215)</f>
        <v>0.00215</v>
      </c>
      <c r="I377" s="19" t="str">
        <f>IFERROR(__xludf.DUMMYFUNCTION("""COMPUTED_VALUE"""),"-")</f>
        <v>-</v>
      </c>
      <c r="J377" s="19">
        <f>IFERROR(__xludf.DUMMYFUNCTION("""COMPUTED_VALUE"""),0.00212)</f>
        <v>0.00212</v>
      </c>
      <c r="K377" s="19">
        <f>IFERROR(__xludf.DUMMYFUNCTION("""COMPUTED_VALUE"""),0.03981)</f>
        <v>0.03981</v>
      </c>
      <c r="L377" s="19" t="str">
        <f>IFERROR(__xludf.DUMMYFUNCTION("""COMPUTED_VALUE"""),"-")</f>
        <v>-</v>
      </c>
      <c r="M377" s="19">
        <f>IFERROR(__xludf.DUMMYFUNCTION("""COMPUTED_VALUE"""),0.03974)</f>
        <v>0.03974</v>
      </c>
    </row>
    <row r="378">
      <c r="A378" s="12" t="s">
        <v>7368</v>
      </c>
      <c r="G378" s="19">
        <f>IFERROR(__xludf.DUMMYFUNCTION("SPLIT(A376, "" |"")"),374.0)</f>
        <v>374</v>
      </c>
      <c r="H378" s="19">
        <f>IFERROR(__xludf.DUMMYFUNCTION("""COMPUTED_VALUE"""),0.00196)</f>
        <v>0.00196</v>
      </c>
      <c r="I378" s="19" t="str">
        <f>IFERROR(__xludf.DUMMYFUNCTION("""COMPUTED_VALUE"""),"-")</f>
        <v>-</v>
      </c>
      <c r="J378" s="19">
        <f>IFERROR(__xludf.DUMMYFUNCTION("""COMPUTED_VALUE"""),0.00193)</f>
        <v>0.00193</v>
      </c>
      <c r="K378" s="19">
        <f>IFERROR(__xludf.DUMMYFUNCTION("""COMPUTED_VALUE"""),0.03965)</f>
        <v>0.03965</v>
      </c>
      <c r="L378" s="19" t="str">
        <f>IFERROR(__xludf.DUMMYFUNCTION("""COMPUTED_VALUE"""),"-")</f>
        <v>-</v>
      </c>
      <c r="M378" s="19">
        <f>IFERROR(__xludf.DUMMYFUNCTION("""COMPUTED_VALUE"""),0.03588)</f>
        <v>0.03588</v>
      </c>
    </row>
    <row r="379">
      <c r="A379" s="12" t="s">
        <v>7369</v>
      </c>
      <c r="G379" s="19">
        <f>IFERROR(__xludf.DUMMYFUNCTION("SPLIT(A377, "" |"")"),375.0)</f>
        <v>375</v>
      </c>
      <c r="H379" s="19">
        <f>IFERROR(__xludf.DUMMYFUNCTION("""COMPUTED_VALUE"""),0.00206)</f>
        <v>0.00206</v>
      </c>
      <c r="I379" s="19" t="str">
        <f>IFERROR(__xludf.DUMMYFUNCTION("""COMPUTED_VALUE"""),"-")</f>
        <v>-</v>
      </c>
      <c r="J379" s="19">
        <f>IFERROR(__xludf.DUMMYFUNCTION("""COMPUTED_VALUE"""),0.00186)</f>
        <v>0.00186</v>
      </c>
      <c r="K379" s="19">
        <f>IFERROR(__xludf.DUMMYFUNCTION("""COMPUTED_VALUE"""),0.03968)</f>
        <v>0.03968</v>
      </c>
      <c r="L379" s="19" t="str">
        <f>IFERROR(__xludf.DUMMYFUNCTION("""COMPUTED_VALUE"""),"-")</f>
        <v>-</v>
      </c>
      <c r="M379" s="19">
        <f>IFERROR(__xludf.DUMMYFUNCTION("""COMPUTED_VALUE"""),0.04005)</f>
        <v>0.04005</v>
      </c>
    </row>
    <row r="380">
      <c r="A380" s="12" t="s">
        <v>7370</v>
      </c>
      <c r="G380" s="19">
        <f>IFERROR(__xludf.DUMMYFUNCTION("SPLIT(A378, "" |"")"),376.0)</f>
        <v>376</v>
      </c>
      <c r="H380" s="19">
        <f>IFERROR(__xludf.DUMMYFUNCTION("""COMPUTED_VALUE"""),0.0021)</f>
        <v>0.0021</v>
      </c>
      <c r="I380" s="19" t="str">
        <f>IFERROR(__xludf.DUMMYFUNCTION("""COMPUTED_VALUE"""),"-")</f>
        <v>-</v>
      </c>
      <c r="J380" s="19">
        <f>IFERROR(__xludf.DUMMYFUNCTION("""COMPUTED_VALUE"""),0.00186)</f>
        <v>0.00186</v>
      </c>
      <c r="K380" s="19">
        <f>IFERROR(__xludf.DUMMYFUNCTION("""COMPUTED_VALUE"""),0.03962)</f>
        <v>0.03962</v>
      </c>
      <c r="L380" s="19" t="str">
        <f>IFERROR(__xludf.DUMMYFUNCTION("""COMPUTED_VALUE"""),"-")</f>
        <v>-</v>
      </c>
      <c r="M380" s="19">
        <f>IFERROR(__xludf.DUMMYFUNCTION("""COMPUTED_VALUE"""),0.04019)</f>
        <v>0.04019</v>
      </c>
    </row>
    <row r="381">
      <c r="A381" s="12" t="s">
        <v>7371</v>
      </c>
      <c r="G381" s="19">
        <f>IFERROR(__xludf.DUMMYFUNCTION("SPLIT(A379, "" |"")"),377.0)</f>
        <v>377</v>
      </c>
      <c r="H381" s="19">
        <f>IFERROR(__xludf.DUMMYFUNCTION("""COMPUTED_VALUE"""),0.00221)</f>
        <v>0.00221</v>
      </c>
      <c r="I381" s="19" t="str">
        <f>IFERROR(__xludf.DUMMYFUNCTION("""COMPUTED_VALUE"""),"-")</f>
        <v>-</v>
      </c>
      <c r="J381" s="19">
        <f>IFERROR(__xludf.DUMMYFUNCTION("""COMPUTED_VALUE"""),0.00201)</f>
        <v>0.00201</v>
      </c>
      <c r="K381" s="19">
        <f>IFERROR(__xludf.DUMMYFUNCTION("""COMPUTED_VALUE"""),0.03971)</f>
        <v>0.03971</v>
      </c>
      <c r="L381" s="19" t="str">
        <f>IFERROR(__xludf.DUMMYFUNCTION("""COMPUTED_VALUE"""),"-")</f>
        <v>-</v>
      </c>
      <c r="M381" s="19">
        <f>IFERROR(__xludf.DUMMYFUNCTION("""COMPUTED_VALUE"""),0.04038)</f>
        <v>0.04038</v>
      </c>
    </row>
    <row r="382">
      <c r="A382" s="12" t="s">
        <v>7372</v>
      </c>
      <c r="G382" s="19">
        <f>IFERROR(__xludf.DUMMYFUNCTION("SPLIT(A380, "" |"")"),378.0)</f>
        <v>378</v>
      </c>
      <c r="H382" s="19">
        <f>IFERROR(__xludf.DUMMYFUNCTION("""COMPUTED_VALUE"""),0.0021)</f>
        <v>0.0021</v>
      </c>
      <c r="I382" s="19" t="str">
        <f>IFERROR(__xludf.DUMMYFUNCTION("""COMPUTED_VALUE"""),"-")</f>
        <v>-</v>
      </c>
      <c r="J382" s="19">
        <f>IFERROR(__xludf.DUMMYFUNCTION("""COMPUTED_VALUE"""),0.00191)</f>
        <v>0.00191</v>
      </c>
      <c r="K382" s="19">
        <f>IFERROR(__xludf.DUMMYFUNCTION("""COMPUTED_VALUE"""),0.03961)</f>
        <v>0.03961</v>
      </c>
      <c r="L382" s="19" t="str">
        <f>IFERROR(__xludf.DUMMYFUNCTION("""COMPUTED_VALUE"""),"-")</f>
        <v>-</v>
      </c>
      <c r="M382" s="19">
        <f>IFERROR(__xludf.DUMMYFUNCTION("""COMPUTED_VALUE"""),0.03982)</f>
        <v>0.03982</v>
      </c>
    </row>
    <row r="383">
      <c r="A383" s="12" t="s">
        <v>7373</v>
      </c>
      <c r="G383" s="19">
        <f>IFERROR(__xludf.DUMMYFUNCTION("SPLIT(A381, "" |"")"),379.0)</f>
        <v>379</v>
      </c>
      <c r="H383" s="19">
        <f>IFERROR(__xludf.DUMMYFUNCTION("""COMPUTED_VALUE"""),0.00193)</f>
        <v>0.00193</v>
      </c>
      <c r="I383" s="19" t="str">
        <f>IFERROR(__xludf.DUMMYFUNCTION("""COMPUTED_VALUE"""),"-")</f>
        <v>-</v>
      </c>
      <c r="J383" s="19">
        <f>IFERROR(__xludf.DUMMYFUNCTION("""COMPUTED_VALUE"""),0.00192)</f>
        <v>0.00192</v>
      </c>
      <c r="K383" s="19">
        <f>IFERROR(__xludf.DUMMYFUNCTION("""COMPUTED_VALUE"""),0.03962)</f>
        <v>0.03962</v>
      </c>
      <c r="L383" s="19" t="str">
        <f>IFERROR(__xludf.DUMMYFUNCTION("""COMPUTED_VALUE"""),"-")</f>
        <v>-</v>
      </c>
      <c r="M383" s="19">
        <f>IFERROR(__xludf.DUMMYFUNCTION("""COMPUTED_VALUE"""),0.03618)</f>
        <v>0.03618</v>
      </c>
    </row>
    <row r="384">
      <c r="A384" s="12" t="s">
        <v>7374</v>
      </c>
      <c r="G384" s="19">
        <f>IFERROR(__xludf.DUMMYFUNCTION("SPLIT(A382, "" |"")"),380.0)</f>
        <v>380</v>
      </c>
      <c r="H384" s="19">
        <f>IFERROR(__xludf.DUMMYFUNCTION("""COMPUTED_VALUE"""),0.00207)</f>
        <v>0.00207</v>
      </c>
      <c r="I384" s="19" t="str">
        <f>IFERROR(__xludf.DUMMYFUNCTION("""COMPUTED_VALUE"""),"-")</f>
        <v>-</v>
      </c>
      <c r="J384" s="19">
        <f>IFERROR(__xludf.DUMMYFUNCTION("""COMPUTED_VALUE"""),0.00191)</f>
        <v>0.00191</v>
      </c>
      <c r="K384" s="19">
        <f>IFERROR(__xludf.DUMMYFUNCTION("""COMPUTED_VALUE"""),0.04025)</f>
        <v>0.04025</v>
      </c>
      <c r="L384" s="19" t="str">
        <f>IFERROR(__xludf.DUMMYFUNCTION("""COMPUTED_VALUE"""),"-")</f>
        <v>-</v>
      </c>
      <c r="M384" s="19">
        <f>IFERROR(__xludf.DUMMYFUNCTION("""COMPUTED_VALUE"""),0.03975)</f>
        <v>0.03975</v>
      </c>
    </row>
    <row r="385">
      <c r="A385" s="12" t="s">
        <v>7375</v>
      </c>
      <c r="G385" s="19">
        <f>IFERROR(__xludf.DUMMYFUNCTION("SPLIT(A383, "" |"")"),381.0)</f>
        <v>381</v>
      </c>
      <c r="H385" s="19">
        <f>IFERROR(__xludf.DUMMYFUNCTION("""COMPUTED_VALUE"""),0.00199)</f>
        <v>0.00199</v>
      </c>
      <c r="I385" s="19" t="str">
        <f>IFERROR(__xludf.DUMMYFUNCTION("""COMPUTED_VALUE"""),"-")</f>
        <v>-</v>
      </c>
      <c r="J385" s="19">
        <f>IFERROR(__xludf.DUMMYFUNCTION("""COMPUTED_VALUE"""),0.00183)</f>
        <v>0.00183</v>
      </c>
      <c r="K385" s="19">
        <f>IFERROR(__xludf.DUMMYFUNCTION("""COMPUTED_VALUE"""),0.03964)</f>
        <v>0.03964</v>
      </c>
      <c r="L385" s="19" t="str">
        <f>IFERROR(__xludf.DUMMYFUNCTION("""COMPUTED_VALUE"""),"-")</f>
        <v>-</v>
      </c>
      <c r="M385" s="19">
        <f>IFERROR(__xludf.DUMMYFUNCTION("""COMPUTED_VALUE"""),0.0398)</f>
        <v>0.0398</v>
      </c>
    </row>
    <row r="386">
      <c r="A386" s="12" t="s">
        <v>7376</v>
      </c>
      <c r="G386" s="19">
        <f>IFERROR(__xludf.DUMMYFUNCTION("SPLIT(A384, "" |"")"),382.0)</f>
        <v>382</v>
      </c>
      <c r="H386" s="19">
        <f>IFERROR(__xludf.DUMMYFUNCTION("""COMPUTED_VALUE"""),0.00221)</f>
        <v>0.00221</v>
      </c>
      <c r="I386" s="19" t="str">
        <f>IFERROR(__xludf.DUMMYFUNCTION("""COMPUTED_VALUE"""),"-")</f>
        <v>-</v>
      </c>
      <c r="J386" s="19">
        <f>IFERROR(__xludf.DUMMYFUNCTION("""COMPUTED_VALUE"""),0.00187)</f>
        <v>0.00187</v>
      </c>
      <c r="K386" s="19">
        <f>IFERROR(__xludf.DUMMYFUNCTION("""COMPUTED_VALUE"""),0.03974)</f>
        <v>0.03974</v>
      </c>
      <c r="L386" s="19" t="str">
        <f>IFERROR(__xludf.DUMMYFUNCTION("""COMPUTED_VALUE"""),"-")</f>
        <v>-</v>
      </c>
      <c r="M386" s="19">
        <f>IFERROR(__xludf.DUMMYFUNCTION("""COMPUTED_VALUE"""),0.03856)</f>
        <v>0.03856</v>
      </c>
    </row>
    <row r="387">
      <c r="A387" s="12" t="s">
        <v>7377</v>
      </c>
      <c r="G387" s="19">
        <f>IFERROR(__xludf.DUMMYFUNCTION("SPLIT(A385, "" |"")"),383.0)</f>
        <v>383</v>
      </c>
      <c r="H387" s="19">
        <f>IFERROR(__xludf.DUMMYFUNCTION("""COMPUTED_VALUE"""),0.00216)</f>
        <v>0.00216</v>
      </c>
      <c r="I387" s="19" t="str">
        <f>IFERROR(__xludf.DUMMYFUNCTION("""COMPUTED_VALUE"""),"-")</f>
        <v>-</v>
      </c>
      <c r="J387" s="19">
        <f>IFERROR(__xludf.DUMMYFUNCTION("""COMPUTED_VALUE"""),0.00185)</f>
        <v>0.00185</v>
      </c>
      <c r="K387" s="19">
        <f>IFERROR(__xludf.DUMMYFUNCTION("""COMPUTED_VALUE"""),0.03957)</f>
        <v>0.03957</v>
      </c>
      <c r="L387" s="19" t="str">
        <f>IFERROR(__xludf.DUMMYFUNCTION("""COMPUTED_VALUE"""),"-")</f>
        <v>-</v>
      </c>
      <c r="M387" s="19">
        <f>IFERROR(__xludf.DUMMYFUNCTION("""COMPUTED_VALUE"""),0.03996)</f>
        <v>0.03996</v>
      </c>
    </row>
    <row r="388">
      <c r="A388" s="12" t="s">
        <v>7378</v>
      </c>
      <c r="G388" s="19">
        <f>IFERROR(__xludf.DUMMYFUNCTION("SPLIT(A386, "" |"")"),384.0)</f>
        <v>384</v>
      </c>
      <c r="H388" s="19">
        <f>IFERROR(__xludf.DUMMYFUNCTION("""COMPUTED_VALUE"""),0.00203)</f>
        <v>0.00203</v>
      </c>
      <c r="I388" s="19" t="str">
        <f>IFERROR(__xludf.DUMMYFUNCTION("""COMPUTED_VALUE"""),"-")</f>
        <v>-</v>
      </c>
      <c r="J388" s="19">
        <f>IFERROR(__xludf.DUMMYFUNCTION("""COMPUTED_VALUE"""),0.00198)</f>
        <v>0.00198</v>
      </c>
      <c r="K388" s="19">
        <f>IFERROR(__xludf.DUMMYFUNCTION("""COMPUTED_VALUE"""),0.03965)</f>
        <v>0.03965</v>
      </c>
      <c r="L388" s="19" t="str">
        <f>IFERROR(__xludf.DUMMYFUNCTION("""COMPUTED_VALUE"""),"-")</f>
        <v>-</v>
      </c>
      <c r="M388" s="19">
        <f>IFERROR(__xludf.DUMMYFUNCTION("""COMPUTED_VALUE"""),0.03972)</f>
        <v>0.03972</v>
      </c>
    </row>
    <row r="389">
      <c r="A389" s="12" t="s">
        <v>7379</v>
      </c>
      <c r="G389" s="19">
        <f>IFERROR(__xludf.DUMMYFUNCTION("SPLIT(A387, "" |"")"),385.0)</f>
        <v>385</v>
      </c>
      <c r="H389" s="19">
        <f>IFERROR(__xludf.DUMMYFUNCTION("""COMPUTED_VALUE"""),0.00211)</f>
        <v>0.00211</v>
      </c>
      <c r="I389" s="19" t="str">
        <f>IFERROR(__xludf.DUMMYFUNCTION("""COMPUTED_VALUE"""),"-")</f>
        <v>-</v>
      </c>
      <c r="J389" s="19">
        <f>IFERROR(__xludf.DUMMYFUNCTION("""COMPUTED_VALUE"""),0.00186)</f>
        <v>0.00186</v>
      </c>
      <c r="K389" s="19">
        <f>IFERROR(__xludf.DUMMYFUNCTION("""COMPUTED_VALUE"""),0.03958)</f>
        <v>0.03958</v>
      </c>
      <c r="L389" s="19" t="str">
        <f>IFERROR(__xludf.DUMMYFUNCTION("""COMPUTED_VALUE"""),"-")</f>
        <v>-</v>
      </c>
      <c r="M389" s="19">
        <f>IFERROR(__xludf.DUMMYFUNCTION("""COMPUTED_VALUE"""),0.04062)</f>
        <v>0.04062</v>
      </c>
    </row>
    <row r="390">
      <c r="A390" s="12" t="s">
        <v>7380</v>
      </c>
      <c r="G390" s="19">
        <f>IFERROR(__xludf.DUMMYFUNCTION("SPLIT(A388, "" |"")"),386.0)</f>
        <v>386</v>
      </c>
      <c r="H390" s="19">
        <f>IFERROR(__xludf.DUMMYFUNCTION("""COMPUTED_VALUE"""),0.00219)</f>
        <v>0.00219</v>
      </c>
      <c r="I390" s="19" t="str">
        <f>IFERROR(__xludf.DUMMYFUNCTION("""COMPUTED_VALUE"""),"-")</f>
        <v>-</v>
      </c>
      <c r="J390" s="19">
        <f>IFERROR(__xludf.DUMMYFUNCTION("""COMPUTED_VALUE"""),0.00196)</f>
        <v>0.00196</v>
      </c>
      <c r="K390" s="19">
        <f>IFERROR(__xludf.DUMMYFUNCTION("""COMPUTED_VALUE"""),0.03993)</f>
        <v>0.03993</v>
      </c>
      <c r="L390" s="19" t="str">
        <f>IFERROR(__xludf.DUMMYFUNCTION("""COMPUTED_VALUE"""),"-")</f>
        <v>-</v>
      </c>
      <c r="M390" s="19">
        <f>IFERROR(__xludf.DUMMYFUNCTION("""COMPUTED_VALUE"""),0.03823)</f>
        <v>0.03823</v>
      </c>
    </row>
    <row r="391">
      <c r="A391" s="12" t="s">
        <v>7381</v>
      </c>
      <c r="G391" s="19">
        <f>IFERROR(__xludf.DUMMYFUNCTION("SPLIT(A389, "" |"")"),387.0)</f>
        <v>387</v>
      </c>
      <c r="H391" s="19">
        <f>IFERROR(__xludf.DUMMYFUNCTION("""COMPUTED_VALUE"""),0.00227)</f>
        <v>0.00227</v>
      </c>
      <c r="I391" s="19" t="str">
        <f>IFERROR(__xludf.DUMMYFUNCTION("""COMPUTED_VALUE"""),"-")</f>
        <v>-</v>
      </c>
      <c r="J391" s="19">
        <f>IFERROR(__xludf.DUMMYFUNCTION("""COMPUTED_VALUE"""),0.00211)</f>
        <v>0.00211</v>
      </c>
      <c r="K391" s="19">
        <f>IFERROR(__xludf.DUMMYFUNCTION("""COMPUTED_VALUE"""),0.03972)</f>
        <v>0.03972</v>
      </c>
      <c r="L391" s="19" t="str">
        <f>IFERROR(__xludf.DUMMYFUNCTION("""COMPUTED_VALUE"""),"-")</f>
        <v>-</v>
      </c>
      <c r="M391" s="19">
        <f>IFERROR(__xludf.DUMMYFUNCTION("""COMPUTED_VALUE"""),0.04027)</f>
        <v>0.04027</v>
      </c>
    </row>
    <row r="392">
      <c r="A392" s="12" t="s">
        <v>7382</v>
      </c>
      <c r="G392" s="19">
        <f>IFERROR(__xludf.DUMMYFUNCTION("SPLIT(A390, "" |"")"),388.0)</f>
        <v>388</v>
      </c>
      <c r="H392" s="19">
        <f>IFERROR(__xludf.DUMMYFUNCTION("""COMPUTED_VALUE"""),0.00221)</f>
        <v>0.00221</v>
      </c>
      <c r="I392" s="19" t="str">
        <f>IFERROR(__xludf.DUMMYFUNCTION("""COMPUTED_VALUE"""),"-")</f>
        <v>-</v>
      </c>
      <c r="J392" s="19">
        <f>IFERROR(__xludf.DUMMYFUNCTION("""COMPUTED_VALUE"""),0.00202)</f>
        <v>0.00202</v>
      </c>
      <c r="K392" s="19">
        <f>IFERROR(__xludf.DUMMYFUNCTION("""COMPUTED_VALUE"""),0.04036)</f>
        <v>0.04036</v>
      </c>
      <c r="L392" s="19" t="str">
        <f>IFERROR(__xludf.DUMMYFUNCTION("""COMPUTED_VALUE"""),"-")</f>
        <v>-</v>
      </c>
      <c r="M392" s="19">
        <f>IFERROR(__xludf.DUMMYFUNCTION("""COMPUTED_VALUE"""),0.04001)</f>
        <v>0.04001</v>
      </c>
    </row>
    <row r="393">
      <c r="A393" s="12" t="s">
        <v>7383</v>
      </c>
      <c r="G393" s="19">
        <f>IFERROR(__xludf.DUMMYFUNCTION("SPLIT(A391, "" |"")"),389.0)</f>
        <v>389</v>
      </c>
      <c r="H393" s="19">
        <f>IFERROR(__xludf.DUMMYFUNCTION("""COMPUTED_VALUE"""),0.00201)</f>
        <v>0.00201</v>
      </c>
      <c r="I393" s="19" t="str">
        <f>IFERROR(__xludf.DUMMYFUNCTION("""COMPUTED_VALUE"""),"-")</f>
        <v>-</v>
      </c>
      <c r="J393" s="19">
        <f>IFERROR(__xludf.DUMMYFUNCTION("""COMPUTED_VALUE"""),0.00237)</f>
        <v>0.00237</v>
      </c>
      <c r="K393" s="19">
        <f>IFERROR(__xludf.DUMMYFUNCTION("""COMPUTED_VALUE"""),0.03885)</f>
        <v>0.03885</v>
      </c>
      <c r="L393" s="19" t="str">
        <f>IFERROR(__xludf.DUMMYFUNCTION("""COMPUTED_VALUE"""),"-")</f>
        <v>-</v>
      </c>
      <c r="M393" s="19">
        <f>IFERROR(__xludf.DUMMYFUNCTION("""COMPUTED_VALUE"""),0.04049)</f>
        <v>0.04049</v>
      </c>
    </row>
    <row r="394">
      <c r="A394" s="12" t="s">
        <v>7384</v>
      </c>
      <c r="G394" s="19">
        <f>IFERROR(__xludf.DUMMYFUNCTION("SPLIT(A392, "" |"")"),390.0)</f>
        <v>390</v>
      </c>
      <c r="H394" s="19">
        <f>IFERROR(__xludf.DUMMYFUNCTION("""COMPUTED_VALUE"""),0.00218)</f>
        <v>0.00218</v>
      </c>
      <c r="I394" s="19" t="str">
        <f>IFERROR(__xludf.DUMMYFUNCTION("""COMPUTED_VALUE"""),"-")</f>
        <v>-</v>
      </c>
      <c r="J394" s="19">
        <f>IFERROR(__xludf.DUMMYFUNCTION("""COMPUTED_VALUE"""),0.00191)</f>
        <v>0.00191</v>
      </c>
      <c r="K394" s="19">
        <f>IFERROR(__xludf.DUMMYFUNCTION("""COMPUTED_VALUE"""),0.03964)</f>
        <v>0.03964</v>
      </c>
      <c r="L394" s="19" t="str">
        <f>IFERROR(__xludf.DUMMYFUNCTION("""COMPUTED_VALUE"""),"-")</f>
        <v>-</v>
      </c>
      <c r="M394" s="19">
        <f>IFERROR(__xludf.DUMMYFUNCTION("""COMPUTED_VALUE"""),0.0398)</f>
        <v>0.0398</v>
      </c>
    </row>
    <row r="395">
      <c r="A395" s="12" t="s">
        <v>7385</v>
      </c>
      <c r="G395" s="19">
        <f>IFERROR(__xludf.DUMMYFUNCTION("SPLIT(A393, "" |"")"),391.0)</f>
        <v>391</v>
      </c>
      <c r="H395" s="19">
        <f>IFERROR(__xludf.DUMMYFUNCTION("""COMPUTED_VALUE"""),0.00216)</f>
        <v>0.00216</v>
      </c>
      <c r="I395" s="19" t="str">
        <f>IFERROR(__xludf.DUMMYFUNCTION("""COMPUTED_VALUE"""),"-")</f>
        <v>-</v>
      </c>
      <c r="J395" s="19">
        <f>IFERROR(__xludf.DUMMYFUNCTION("""COMPUTED_VALUE"""),0.00182)</f>
        <v>0.00182</v>
      </c>
      <c r="K395" s="19">
        <f>IFERROR(__xludf.DUMMYFUNCTION("""COMPUTED_VALUE"""),0.03976)</f>
        <v>0.03976</v>
      </c>
      <c r="L395" s="19" t="str">
        <f>IFERROR(__xludf.DUMMYFUNCTION("""COMPUTED_VALUE"""),"-")</f>
        <v>-</v>
      </c>
      <c r="M395" s="19">
        <f>IFERROR(__xludf.DUMMYFUNCTION("""COMPUTED_VALUE"""),0.03991)</f>
        <v>0.03991</v>
      </c>
    </row>
    <row r="396">
      <c r="A396" s="12" t="s">
        <v>7386</v>
      </c>
      <c r="G396" s="19">
        <f>IFERROR(__xludf.DUMMYFUNCTION("SPLIT(A394, "" |"")"),392.0)</f>
        <v>392</v>
      </c>
      <c r="H396" s="19">
        <f>IFERROR(__xludf.DUMMYFUNCTION("""COMPUTED_VALUE"""),0.00218)</f>
        <v>0.00218</v>
      </c>
      <c r="I396" s="19" t="str">
        <f>IFERROR(__xludf.DUMMYFUNCTION("""COMPUTED_VALUE"""),"-")</f>
        <v>-</v>
      </c>
      <c r="J396" s="19">
        <f>IFERROR(__xludf.DUMMYFUNCTION("""COMPUTED_VALUE"""),0.00199)</f>
        <v>0.00199</v>
      </c>
      <c r="K396" s="19">
        <f>IFERROR(__xludf.DUMMYFUNCTION("""COMPUTED_VALUE"""),0.03957)</f>
        <v>0.03957</v>
      </c>
      <c r="L396" s="19" t="str">
        <f>IFERROR(__xludf.DUMMYFUNCTION("""COMPUTED_VALUE"""),"-")</f>
        <v>-</v>
      </c>
      <c r="M396" s="19">
        <f>IFERROR(__xludf.DUMMYFUNCTION("""COMPUTED_VALUE"""),0.0399)</f>
        <v>0.0399</v>
      </c>
    </row>
    <row r="397">
      <c r="A397" s="12" t="s">
        <v>7387</v>
      </c>
      <c r="G397" s="19">
        <f>IFERROR(__xludf.DUMMYFUNCTION("SPLIT(A395, "" |"")"),393.0)</f>
        <v>393</v>
      </c>
      <c r="H397" s="19">
        <f>IFERROR(__xludf.DUMMYFUNCTION("""COMPUTED_VALUE"""),0.00203)</f>
        <v>0.00203</v>
      </c>
      <c r="I397" s="19" t="str">
        <f>IFERROR(__xludf.DUMMYFUNCTION("""COMPUTED_VALUE"""),"-")</f>
        <v>-</v>
      </c>
      <c r="J397" s="19">
        <f>IFERROR(__xludf.DUMMYFUNCTION("""COMPUTED_VALUE"""),0.00185)</f>
        <v>0.00185</v>
      </c>
      <c r="K397" s="19">
        <f>IFERROR(__xludf.DUMMYFUNCTION("""COMPUTED_VALUE"""),0.03874)</f>
        <v>0.03874</v>
      </c>
      <c r="L397" s="19" t="str">
        <f>IFERROR(__xludf.DUMMYFUNCTION("""COMPUTED_VALUE"""),"-")</f>
        <v>-</v>
      </c>
      <c r="M397" s="19">
        <f>IFERROR(__xludf.DUMMYFUNCTION("""COMPUTED_VALUE"""),0.03987)</f>
        <v>0.03987</v>
      </c>
    </row>
    <row r="398">
      <c r="A398" s="12" t="s">
        <v>7388</v>
      </c>
      <c r="G398" s="19">
        <f>IFERROR(__xludf.DUMMYFUNCTION("SPLIT(A396, "" |"")"),394.0)</f>
        <v>394</v>
      </c>
      <c r="H398" s="19">
        <f>IFERROR(__xludf.DUMMYFUNCTION("""COMPUTED_VALUE"""),0.00212)</f>
        <v>0.00212</v>
      </c>
      <c r="I398" s="19" t="str">
        <f>IFERROR(__xludf.DUMMYFUNCTION("""COMPUTED_VALUE"""),"-")</f>
        <v>-</v>
      </c>
      <c r="J398" s="19">
        <f>IFERROR(__xludf.DUMMYFUNCTION("""COMPUTED_VALUE"""),0.00201)</f>
        <v>0.00201</v>
      </c>
      <c r="K398" s="19">
        <f>IFERROR(__xludf.DUMMYFUNCTION("""COMPUTED_VALUE"""),0.03978)</f>
        <v>0.03978</v>
      </c>
      <c r="L398" s="19" t="str">
        <f>IFERROR(__xludf.DUMMYFUNCTION("""COMPUTED_VALUE"""),"-")</f>
        <v>-</v>
      </c>
      <c r="M398" s="19">
        <f>IFERROR(__xludf.DUMMYFUNCTION("""COMPUTED_VALUE"""),0.03985)</f>
        <v>0.03985</v>
      </c>
    </row>
    <row r="399">
      <c r="A399" s="12" t="s">
        <v>7389</v>
      </c>
      <c r="G399" s="19">
        <f>IFERROR(__xludf.DUMMYFUNCTION("SPLIT(A397, "" |"")"),395.0)</f>
        <v>395</v>
      </c>
      <c r="H399" s="19">
        <f>IFERROR(__xludf.DUMMYFUNCTION("""COMPUTED_VALUE"""),0.00217)</f>
        <v>0.00217</v>
      </c>
      <c r="I399" s="19" t="str">
        <f>IFERROR(__xludf.DUMMYFUNCTION("""COMPUTED_VALUE"""),"-")</f>
        <v>-</v>
      </c>
      <c r="J399" s="19">
        <f>IFERROR(__xludf.DUMMYFUNCTION("""COMPUTED_VALUE"""),0.00189)</f>
        <v>0.00189</v>
      </c>
      <c r="K399" s="19">
        <f>IFERROR(__xludf.DUMMYFUNCTION("""COMPUTED_VALUE"""),0.04006)</f>
        <v>0.04006</v>
      </c>
      <c r="L399" s="19" t="str">
        <f>IFERROR(__xludf.DUMMYFUNCTION("""COMPUTED_VALUE"""),"-")</f>
        <v>-</v>
      </c>
      <c r="M399" s="19">
        <f>IFERROR(__xludf.DUMMYFUNCTION("""COMPUTED_VALUE"""),0.03977)</f>
        <v>0.03977</v>
      </c>
    </row>
    <row r="400">
      <c r="A400" s="12" t="s">
        <v>7390</v>
      </c>
      <c r="G400" s="19">
        <f>IFERROR(__xludf.DUMMYFUNCTION("SPLIT(A398, "" |"")"),396.0)</f>
        <v>396</v>
      </c>
      <c r="H400" s="19">
        <f>IFERROR(__xludf.DUMMYFUNCTION("""COMPUTED_VALUE"""),0.00207)</f>
        <v>0.00207</v>
      </c>
      <c r="I400" s="19" t="str">
        <f>IFERROR(__xludf.DUMMYFUNCTION("""COMPUTED_VALUE"""),"-")</f>
        <v>-</v>
      </c>
      <c r="J400" s="19">
        <f>IFERROR(__xludf.DUMMYFUNCTION("""COMPUTED_VALUE"""),0.00197)</f>
        <v>0.00197</v>
      </c>
      <c r="K400" s="19">
        <f>IFERROR(__xludf.DUMMYFUNCTION("""COMPUTED_VALUE"""),0.03963)</f>
        <v>0.03963</v>
      </c>
      <c r="L400" s="19" t="str">
        <f>IFERROR(__xludf.DUMMYFUNCTION("""COMPUTED_VALUE"""),"-")</f>
        <v>-</v>
      </c>
      <c r="M400" s="19">
        <f>IFERROR(__xludf.DUMMYFUNCTION("""COMPUTED_VALUE"""),0.03999)</f>
        <v>0.03999</v>
      </c>
    </row>
    <row r="401">
      <c r="A401" s="12" t="s">
        <v>7391</v>
      </c>
      <c r="G401" s="19">
        <f>IFERROR(__xludf.DUMMYFUNCTION("SPLIT(A399, "" |"")"),397.0)</f>
        <v>397</v>
      </c>
      <c r="H401" s="19">
        <f>IFERROR(__xludf.DUMMYFUNCTION("""COMPUTED_VALUE"""),0.00209)</f>
        <v>0.00209</v>
      </c>
      <c r="I401" s="19" t="str">
        <f>IFERROR(__xludf.DUMMYFUNCTION("""COMPUTED_VALUE"""),"-")</f>
        <v>-</v>
      </c>
      <c r="J401" s="19">
        <f>IFERROR(__xludf.DUMMYFUNCTION("""COMPUTED_VALUE"""),0.00185)</f>
        <v>0.00185</v>
      </c>
      <c r="K401" s="19">
        <f>IFERROR(__xludf.DUMMYFUNCTION("""COMPUTED_VALUE"""),0.03979)</f>
        <v>0.03979</v>
      </c>
      <c r="L401" s="19" t="str">
        <f>IFERROR(__xludf.DUMMYFUNCTION("""COMPUTED_VALUE"""),"-")</f>
        <v>-</v>
      </c>
      <c r="M401" s="19">
        <f>IFERROR(__xludf.DUMMYFUNCTION("""COMPUTED_VALUE"""),0.03989)</f>
        <v>0.03989</v>
      </c>
    </row>
    <row r="402">
      <c r="A402" s="12" t="s">
        <v>7392</v>
      </c>
      <c r="G402" s="19">
        <f>IFERROR(__xludf.DUMMYFUNCTION("SPLIT(A400, "" |"")"),398.0)</f>
        <v>398</v>
      </c>
      <c r="H402" s="19">
        <f>IFERROR(__xludf.DUMMYFUNCTION("""COMPUTED_VALUE"""),0.00222)</f>
        <v>0.00222</v>
      </c>
      <c r="I402" s="19" t="str">
        <f>IFERROR(__xludf.DUMMYFUNCTION("""COMPUTED_VALUE"""),"-")</f>
        <v>-</v>
      </c>
      <c r="J402" s="19">
        <f>IFERROR(__xludf.DUMMYFUNCTION("""COMPUTED_VALUE"""),0.00202)</f>
        <v>0.00202</v>
      </c>
      <c r="K402" s="19">
        <f>IFERROR(__xludf.DUMMYFUNCTION("""COMPUTED_VALUE"""),0.03979)</f>
        <v>0.03979</v>
      </c>
      <c r="L402" s="19" t="str">
        <f>IFERROR(__xludf.DUMMYFUNCTION("""COMPUTED_VALUE"""),"-")</f>
        <v>-</v>
      </c>
      <c r="M402" s="19">
        <f>IFERROR(__xludf.DUMMYFUNCTION("""COMPUTED_VALUE"""),0.03792)</f>
        <v>0.03792</v>
      </c>
    </row>
    <row r="403">
      <c r="A403" s="12" t="s">
        <v>7393</v>
      </c>
      <c r="G403" s="19">
        <f>IFERROR(__xludf.DUMMYFUNCTION("SPLIT(A401, "" |"")"),399.0)</f>
        <v>399</v>
      </c>
      <c r="H403" s="19">
        <f>IFERROR(__xludf.DUMMYFUNCTION("""COMPUTED_VALUE"""),0.00218)</f>
        <v>0.00218</v>
      </c>
      <c r="I403" s="19" t="str">
        <f>IFERROR(__xludf.DUMMYFUNCTION("""COMPUTED_VALUE"""),"-")</f>
        <v>-</v>
      </c>
      <c r="J403" s="19">
        <f>IFERROR(__xludf.DUMMYFUNCTION("""COMPUTED_VALUE"""),0.00208)</f>
        <v>0.00208</v>
      </c>
      <c r="K403" s="19">
        <f>IFERROR(__xludf.DUMMYFUNCTION("""COMPUTED_VALUE"""),0.03951)</f>
        <v>0.03951</v>
      </c>
      <c r="L403" s="19" t="str">
        <f>IFERROR(__xludf.DUMMYFUNCTION("""COMPUTED_VALUE"""),"-")</f>
        <v>-</v>
      </c>
      <c r="M403" s="19">
        <f>IFERROR(__xludf.DUMMYFUNCTION("""COMPUTED_VALUE"""),0.03995)</f>
        <v>0.03995</v>
      </c>
    </row>
    <row r="404">
      <c r="A404" s="12" t="s">
        <v>7394</v>
      </c>
      <c r="G404" s="19">
        <f>IFERROR(__xludf.DUMMYFUNCTION("SPLIT(A402, "" |"")"),400.0)</f>
        <v>400</v>
      </c>
      <c r="H404" s="19">
        <f>IFERROR(__xludf.DUMMYFUNCTION("""COMPUTED_VALUE"""),0.00208)</f>
        <v>0.00208</v>
      </c>
      <c r="I404" s="19" t="str">
        <f>IFERROR(__xludf.DUMMYFUNCTION("""COMPUTED_VALUE"""),"-")</f>
        <v>-</v>
      </c>
      <c r="J404" s="19">
        <f>IFERROR(__xludf.DUMMYFUNCTION("""COMPUTED_VALUE"""),0.00185)</f>
        <v>0.00185</v>
      </c>
      <c r="K404" s="19">
        <f>IFERROR(__xludf.DUMMYFUNCTION("""COMPUTED_VALUE"""),0.03967)</f>
        <v>0.03967</v>
      </c>
      <c r="L404" s="19" t="str">
        <f>IFERROR(__xludf.DUMMYFUNCTION("""COMPUTED_VALUE"""),"-")</f>
        <v>-</v>
      </c>
      <c r="M404" s="19">
        <f>IFERROR(__xludf.DUMMYFUNCTION("""COMPUTED_VALUE"""),0.03997)</f>
        <v>0.03997</v>
      </c>
    </row>
    <row r="405">
      <c r="A405" s="12" t="s">
        <v>7395</v>
      </c>
      <c r="G405" s="19">
        <f>IFERROR(__xludf.DUMMYFUNCTION("SPLIT(A403, "" |"")"),401.0)</f>
        <v>401</v>
      </c>
      <c r="H405" s="19">
        <f>IFERROR(__xludf.DUMMYFUNCTION("""COMPUTED_VALUE"""),0.00221)</f>
        <v>0.00221</v>
      </c>
      <c r="I405" s="19" t="str">
        <f>IFERROR(__xludf.DUMMYFUNCTION("""COMPUTED_VALUE"""),"-")</f>
        <v>-</v>
      </c>
      <c r="J405" s="19">
        <f>IFERROR(__xludf.DUMMYFUNCTION("""COMPUTED_VALUE"""),0.00195)</f>
        <v>0.00195</v>
      </c>
      <c r="K405" s="19">
        <f>IFERROR(__xludf.DUMMYFUNCTION("""COMPUTED_VALUE"""),0.03983)</f>
        <v>0.03983</v>
      </c>
      <c r="L405" s="19" t="str">
        <f>IFERROR(__xludf.DUMMYFUNCTION("""COMPUTED_VALUE"""),"-")</f>
        <v>-</v>
      </c>
      <c r="M405" s="19">
        <f>IFERROR(__xludf.DUMMYFUNCTION("""COMPUTED_VALUE"""),0.04007)</f>
        <v>0.04007</v>
      </c>
    </row>
    <row r="406">
      <c r="A406" s="12" t="s">
        <v>7396</v>
      </c>
      <c r="G406" s="19">
        <f>IFERROR(__xludf.DUMMYFUNCTION("SPLIT(A404, "" |"")"),402.0)</f>
        <v>402</v>
      </c>
      <c r="H406" s="19">
        <f>IFERROR(__xludf.DUMMYFUNCTION("""COMPUTED_VALUE"""),0.0022)</f>
        <v>0.0022</v>
      </c>
      <c r="I406" s="19" t="str">
        <f>IFERROR(__xludf.DUMMYFUNCTION("""COMPUTED_VALUE"""),"-")</f>
        <v>-</v>
      </c>
      <c r="J406" s="19">
        <f>IFERROR(__xludf.DUMMYFUNCTION("""COMPUTED_VALUE"""),0.00231)</f>
        <v>0.00231</v>
      </c>
      <c r="K406" s="19">
        <f>IFERROR(__xludf.DUMMYFUNCTION("""COMPUTED_VALUE"""),0.04014)</f>
        <v>0.04014</v>
      </c>
      <c r="L406" s="19" t="str">
        <f>IFERROR(__xludf.DUMMYFUNCTION("""COMPUTED_VALUE"""),"-")</f>
        <v>-</v>
      </c>
      <c r="M406" s="19">
        <f>IFERROR(__xludf.DUMMYFUNCTION("""COMPUTED_VALUE"""),0.04072)</f>
        <v>0.04072</v>
      </c>
    </row>
    <row r="407">
      <c r="A407" s="12" t="s">
        <v>7397</v>
      </c>
      <c r="G407" s="19">
        <f>IFERROR(__xludf.DUMMYFUNCTION("SPLIT(A405, "" |"")"),403.0)</f>
        <v>403</v>
      </c>
      <c r="H407" s="19">
        <f>IFERROR(__xludf.DUMMYFUNCTION("""COMPUTED_VALUE"""),0.00242)</f>
        <v>0.00242</v>
      </c>
      <c r="I407" s="19" t="str">
        <f>IFERROR(__xludf.DUMMYFUNCTION("""COMPUTED_VALUE"""),"-")</f>
        <v>-</v>
      </c>
      <c r="J407" s="19">
        <f>IFERROR(__xludf.DUMMYFUNCTION("""COMPUTED_VALUE"""),0.00221)</f>
        <v>0.00221</v>
      </c>
      <c r="K407" s="19">
        <f>IFERROR(__xludf.DUMMYFUNCTION("""COMPUTED_VALUE"""),0.03699)</f>
        <v>0.03699</v>
      </c>
      <c r="L407" s="19" t="str">
        <f>IFERROR(__xludf.DUMMYFUNCTION("""COMPUTED_VALUE"""),"-")</f>
        <v>-</v>
      </c>
      <c r="M407" s="19">
        <f>IFERROR(__xludf.DUMMYFUNCTION("""COMPUTED_VALUE"""),0.04026)</f>
        <v>0.04026</v>
      </c>
    </row>
    <row r="408">
      <c r="A408" s="12" t="s">
        <v>7398</v>
      </c>
      <c r="G408" s="19">
        <f>IFERROR(__xludf.DUMMYFUNCTION("SPLIT(A406, "" |"")"),404.0)</f>
        <v>404</v>
      </c>
      <c r="H408" s="19">
        <f>IFERROR(__xludf.DUMMYFUNCTION("""COMPUTED_VALUE"""),0.00248)</f>
        <v>0.00248</v>
      </c>
      <c r="I408" s="19" t="str">
        <f>IFERROR(__xludf.DUMMYFUNCTION("""COMPUTED_VALUE"""),"-")</f>
        <v>-</v>
      </c>
      <c r="J408" s="19">
        <f>IFERROR(__xludf.DUMMYFUNCTION("""COMPUTED_VALUE"""),0.00317)</f>
        <v>0.00317</v>
      </c>
      <c r="K408" s="19">
        <f>IFERROR(__xludf.DUMMYFUNCTION("""COMPUTED_VALUE"""),0.03671)</f>
        <v>0.03671</v>
      </c>
      <c r="L408" s="19" t="str">
        <f>IFERROR(__xludf.DUMMYFUNCTION("""COMPUTED_VALUE"""),"-")</f>
        <v>-</v>
      </c>
      <c r="M408" s="19">
        <f>IFERROR(__xludf.DUMMYFUNCTION("""COMPUTED_VALUE"""),0.03997)</f>
        <v>0.03997</v>
      </c>
    </row>
    <row r="409">
      <c r="A409" s="12" t="s">
        <v>7399</v>
      </c>
      <c r="G409" s="19">
        <f>IFERROR(__xludf.DUMMYFUNCTION("SPLIT(A407, "" |"")"),405.0)</f>
        <v>405</v>
      </c>
      <c r="H409" s="19">
        <f>IFERROR(__xludf.DUMMYFUNCTION("""COMPUTED_VALUE"""),0.00224)</f>
        <v>0.00224</v>
      </c>
      <c r="I409" s="19" t="str">
        <f>IFERROR(__xludf.DUMMYFUNCTION("""COMPUTED_VALUE"""),"-")</f>
        <v>-</v>
      </c>
      <c r="J409" s="19">
        <f>IFERROR(__xludf.DUMMYFUNCTION("""COMPUTED_VALUE"""),0.00212)</f>
        <v>0.00212</v>
      </c>
      <c r="K409" s="19">
        <f>IFERROR(__xludf.DUMMYFUNCTION("""COMPUTED_VALUE"""),0.04001)</f>
        <v>0.04001</v>
      </c>
      <c r="L409" s="19" t="str">
        <f>IFERROR(__xludf.DUMMYFUNCTION("""COMPUTED_VALUE"""),"-")</f>
        <v>-</v>
      </c>
      <c r="M409" s="19">
        <f>IFERROR(__xludf.DUMMYFUNCTION("""COMPUTED_VALUE"""),0.03942)</f>
        <v>0.03942</v>
      </c>
    </row>
    <row r="410">
      <c r="A410" s="12" t="s">
        <v>7400</v>
      </c>
      <c r="G410" s="19">
        <f>IFERROR(__xludf.DUMMYFUNCTION("SPLIT(A408, "" |"")"),406.0)</f>
        <v>406</v>
      </c>
      <c r="H410" s="19">
        <f>IFERROR(__xludf.DUMMYFUNCTION("""COMPUTED_VALUE"""),0.00212)</f>
        <v>0.00212</v>
      </c>
      <c r="I410" s="19" t="str">
        <f>IFERROR(__xludf.DUMMYFUNCTION("""COMPUTED_VALUE"""),"-")</f>
        <v>-</v>
      </c>
      <c r="J410" s="19">
        <f>IFERROR(__xludf.DUMMYFUNCTION("""COMPUTED_VALUE"""),0.00208)</f>
        <v>0.00208</v>
      </c>
      <c r="K410" s="19">
        <f>IFERROR(__xludf.DUMMYFUNCTION("""COMPUTED_VALUE"""),0.04009)</f>
        <v>0.04009</v>
      </c>
      <c r="L410" s="19" t="str">
        <f>IFERROR(__xludf.DUMMYFUNCTION("""COMPUTED_VALUE"""),"-")</f>
        <v>-</v>
      </c>
      <c r="M410" s="19">
        <f>IFERROR(__xludf.DUMMYFUNCTION("""COMPUTED_VALUE"""),0.04014)</f>
        <v>0.04014</v>
      </c>
    </row>
    <row r="411">
      <c r="A411" s="12" t="s">
        <v>7401</v>
      </c>
      <c r="G411" s="19">
        <f>IFERROR(__xludf.DUMMYFUNCTION("SPLIT(A409, "" |"")"),407.0)</f>
        <v>407</v>
      </c>
      <c r="H411" s="19">
        <f>IFERROR(__xludf.DUMMYFUNCTION("""COMPUTED_VALUE"""),0.00288)</f>
        <v>0.00288</v>
      </c>
      <c r="I411" s="19" t="str">
        <f>IFERROR(__xludf.DUMMYFUNCTION("""COMPUTED_VALUE"""),"-")</f>
        <v>-</v>
      </c>
      <c r="J411" s="19">
        <f>IFERROR(__xludf.DUMMYFUNCTION("""COMPUTED_VALUE"""),0.00213)</f>
        <v>0.00213</v>
      </c>
      <c r="K411" s="19">
        <f>IFERROR(__xludf.DUMMYFUNCTION("""COMPUTED_VALUE"""),0.04041)</f>
        <v>0.04041</v>
      </c>
      <c r="L411" s="19" t="str">
        <f>IFERROR(__xludf.DUMMYFUNCTION("""COMPUTED_VALUE"""),"-")</f>
        <v>-</v>
      </c>
      <c r="M411" s="19">
        <f>IFERROR(__xludf.DUMMYFUNCTION("""COMPUTED_VALUE"""),0.04061)</f>
        <v>0.04061</v>
      </c>
    </row>
    <row r="412">
      <c r="A412" s="12" t="s">
        <v>7402</v>
      </c>
      <c r="G412" s="19">
        <f>IFERROR(__xludf.DUMMYFUNCTION("SPLIT(A410, "" |"")"),408.0)</f>
        <v>408</v>
      </c>
      <c r="H412" s="19">
        <f>IFERROR(__xludf.DUMMYFUNCTION("""COMPUTED_VALUE"""),0.00226)</f>
        <v>0.00226</v>
      </c>
      <c r="I412" s="19" t="str">
        <f>IFERROR(__xludf.DUMMYFUNCTION("""COMPUTED_VALUE"""),"-")</f>
        <v>-</v>
      </c>
      <c r="J412" s="19">
        <f>IFERROR(__xludf.DUMMYFUNCTION("""COMPUTED_VALUE"""),0.00195)</f>
        <v>0.00195</v>
      </c>
      <c r="K412" s="19">
        <f>IFERROR(__xludf.DUMMYFUNCTION("""COMPUTED_VALUE"""),0.03961)</f>
        <v>0.03961</v>
      </c>
      <c r="L412" s="19" t="str">
        <f>IFERROR(__xludf.DUMMYFUNCTION("""COMPUTED_VALUE"""),"-")</f>
        <v>-</v>
      </c>
      <c r="M412" s="19">
        <f>IFERROR(__xludf.DUMMYFUNCTION("""COMPUTED_VALUE"""),0.04039)</f>
        <v>0.04039</v>
      </c>
    </row>
    <row r="413">
      <c r="A413" s="12" t="s">
        <v>7403</v>
      </c>
      <c r="G413" s="19">
        <f>IFERROR(__xludf.DUMMYFUNCTION("SPLIT(A411, "" |"")"),409.0)</f>
        <v>409</v>
      </c>
      <c r="H413" s="19">
        <f>IFERROR(__xludf.DUMMYFUNCTION("""COMPUTED_VALUE"""),0.00225)</f>
        <v>0.00225</v>
      </c>
      <c r="I413" s="19" t="str">
        <f>IFERROR(__xludf.DUMMYFUNCTION("""COMPUTED_VALUE"""),"-")</f>
        <v>-</v>
      </c>
      <c r="J413" s="19">
        <f>IFERROR(__xludf.DUMMYFUNCTION("""COMPUTED_VALUE"""),0.00201)</f>
        <v>0.00201</v>
      </c>
      <c r="K413" s="19">
        <f>IFERROR(__xludf.DUMMYFUNCTION("""COMPUTED_VALUE"""),0.03968)</f>
        <v>0.03968</v>
      </c>
      <c r="L413" s="19" t="str">
        <f>IFERROR(__xludf.DUMMYFUNCTION("""COMPUTED_VALUE"""),"-")</f>
        <v>-</v>
      </c>
      <c r="M413" s="19">
        <f>IFERROR(__xludf.DUMMYFUNCTION("""COMPUTED_VALUE"""),0.04008)</f>
        <v>0.04008</v>
      </c>
    </row>
    <row r="414">
      <c r="A414" s="12" t="s">
        <v>7404</v>
      </c>
      <c r="G414" s="19">
        <f>IFERROR(__xludf.DUMMYFUNCTION("SPLIT(A412, "" |"")"),410.0)</f>
        <v>410</v>
      </c>
      <c r="H414" s="19">
        <f>IFERROR(__xludf.DUMMYFUNCTION("""COMPUTED_VALUE"""),0.00226)</f>
        <v>0.00226</v>
      </c>
      <c r="I414" s="19" t="str">
        <f>IFERROR(__xludf.DUMMYFUNCTION("""COMPUTED_VALUE"""),"-")</f>
        <v>-</v>
      </c>
      <c r="J414" s="19">
        <f>IFERROR(__xludf.DUMMYFUNCTION("""COMPUTED_VALUE"""),0.00216)</f>
        <v>0.00216</v>
      </c>
      <c r="K414" s="19">
        <f>IFERROR(__xludf.DUMMYFUNCTION("""COMPUTED_VALUE"""),0.03649)</f>
        <v>0.03649</v>
      </c>
      <c r="L414" s="19" t="str">
        <f>IFERROR(__xludf.DUMMYFUNCTION("""COMPUTED_VALUE"""),"-")</f>
        <v>-</v>
      </c>
      <c r="M414" s="19">
        <f>IFERROR(__xludf.DUMMYFUNCTION("""COMPUTED_VALUE"""),0.03755)</f>
        <v>0.03755</v>
      </c>
    </row>
    <row r="415">
      <c r="A415" s="12" t="s">
        <v>7405</v>
      </c>
      <c r="G415" s="19">
        <f>IFERROR(__xludf.DUMMYFUNCTION("SPLIT(A413, "" |"")"),411.0)</f>
        <v>411</v>
      </c>
      <c r="H415" s="19">
        <f>IFERROR(__xludf.DUMMYFUNCTION("""COMPUTED_VALUE"""),0.00211)</f>
        <v>0.00211</v>
      </c>
      <c r="I415" s="19" t="str">
        <f>IFERROR(__xludf.DUMMYFUNCTION("""COMPUTED_VALUE"""),"-")</f>
        <v>-</v>
      </c>
      <c r="J415" s="19">
        <f>IFERROR(__xludf.DUMMYFUNCTION("""COMPUTED_VALUE"""),0.0019)</f>
        <v>0.0019</v>
      </c>
      <c r="K415" s="19">
        <f>IFERROR(__xludf.DUMMYFUNCTION("""COMPUTED_VALUE"""),0.03755)</f>
        <v>0.03755</v>
      </c>
      <c r="L415" s="19" t="str">
        <f>IFERROR(__xludf.DUMMYFUNCTION("""COMPUTED_VALUE"""),"-")</f>
        <v>-</v>
      </c>
      <c r="M415" s="19">
        <f>IFERROR(__xludf.DUMMYFUNCTION("""COMPUTED_VALUE"""),0.03744)</f>
        <v>0.03744</v>
      </c>
    </row>
    <row r="416">
      <c r="A416" s="12" t="s">
        <v>7406</v>
      </c>
      <c r="G416" s="19">
        <f>IFERROR(__xludf.DUMMYFUNCTION("SPLIT(A414, "" |"")"),412.0)</f>
        <v>412</v>
      </c>
      <c r="H416" s="19">
        <f>IFERROR(__xludf.DUMMYFUNCTION("""COMPUTED_VALUE"""),0.00217)</f>
        <v>0.00217</v>
      </c>
      <c r="I416" s="19" t="str">
        <f>IFERROR(__xludf.DUMMYFUNCTION("""COMPUTED_VALUE"""),"-")</f>
        <v>-</v>
      </c>
      <c r="J416" s="19">
        <f>IFERROR(__xludf.DUMMYFUNCTION("""COMPUTED_VALUE"""),0.00213)</f>
        <v>0.00213</v>
      </c>
      <c r="K416" s="19">
        <f>IFERROR(__xludf.DUMMYFUNCTION("""COMPUTED_VALUE"""),0.03727)</f>
        <v>0.03727</v>
      </c>
      <c r="L416" s="19" t="str">
        <f>IFERROR(__xludf.DUMMYFUNCTION("""COMPUTED_VALUE"""),"-")</f>
        <v>-</v>
      </c>
      <c r="M416" s="19">
        <f>IFERROR(__xludf.DUMMYFUNCTION("""COMPUTED_VALUE"""),0.04037)</f>
        <v>0.04037</v>
      </c>
    </row>
    <row r="417">
      <c r="A417" s="12" t="s">
        <v>7407</v>
      </c>
      <c r="G417" s="19">
        <f>IFERROR(__xludf.DUMMYFUNCTION("SPLIT(A415, "" |"")"),413.0)</f>
        <v>413</v>
      </c>
      <c r="H417" s="19">
        <f>IFERROR(__xludf.DUMMYFUNCTION("""COMPUTED_VALUE"""),0.00219)</f>
        <v>0.00219</v>
      </c>
      <c r="I417" s="19" t="str">
        <f>IFERROR(__xludf.DUMMYFUNCTION("""COMPUTED_VALUE"""),"-")</f>
        <v>-</v>
      </c>
      <c r="J417" s="19">
        <f>IFERROR(__xludf.DUMMYFUNCTION("""COMPUTED_VALUE"""),0.00203)</f>
        <v>0.00203</v>
      </c>
      <c r="K417" s="19">
        <f>IFERROR(__xludf.DUMMYFUNCTION("""COMPUTED_VALUE"""),0.03785)</f>
        <v>0.03785</v>
      </c>
      <c r="L417" s="19" t="str">
        <f>IFERROR(__xludf.DUMMYFUNCTION("""COMPUTED_VALUE"""),"-")</f>
        <v>-</v>
      </c>
      <c r="M417" s="19">
        <f>IFERROR(__xludf.DUMMYFUNCTION("""COMPUTED_VALUE"""),0.04)</f>
        <v>0.04</v>
      </c>
    </row>
    <row r="418">
      <c r="A418" s="12" t="s">
        <v>7408</v>
      </c>
      <c r="G418" s="19">
        <f>IFERROR(__xludf.DUMMYFUNCTION("SPLIT(A416, "" |"")"),414.0)</f>
        <v>414</v>
      </c>
      <c r="H418" s="19">
        <f>IFERROR(__xludf.DUMMYFUNCTION("""COMPUTED_VALUE"""),0.00233)</f>
        <v>0.00233</v>
      </c>
      <c r="I418" s="19" t="str">
        <f>IFERROR(__xludf.DUMMYFUNCTION("""COMPUTED_VALUE"""),"-")</f>
        <v>-</v>
      </c>
      <c r="J418" s="19">
        <f>IFERROR(__xludf.DUMMYFUNCTION("""COMPUTED_VALUE"""),0.00219)</f>
        <v>0.00219</v>
      </c>
      <c r="K418" s="19">
        <f>IFERROR(__xludf.DUMMYFUNCTION("""COMPUTED_VALUE"""),0.03974)</f>
        <v>0.03974</v>
      </c>
      <c r="L418" s="19" t="str">
        <f>IFERROR(__xludf.DUMMYFUNCTION("""COMPUTED_VALUE"""),"-")</f>
        <v>-</v>
      </c>
      <c r="M418" s="19">
        <f>IFERROR(__xludf.DUMMYFUNCTION("""COMPUTED_VALUE"""),0.03989)</f>
        <v>0.03989</v>
      </c>
    </row>
    <row r="419">
      <c r="A419" s="12" t="s">
        <v>7409</v>
      </c>
      <c r="G419" s="19">
        <f>IFERROR(__xludf.DUMMYFUNCTION("SPLIT(A417, "" |"")"),415.0)</f>
        <v>415</v>
      </c>
      <c r="H419" s="19">
        <f>IFERROR(__xludf.DUMMYFUNCTION("""COMPUTED_VALUE"""),0.00217)</f>
        <v>0.00217</v>
      </c>
      <c r="I419" s="19" t="str">
        <f>IFERROR(__xludf.DUMMYFUNCTION("""COMPUTED_VALUE"""),"-")</f>
        <v>-</v>
      </c>
      <c r="J419" s="19">
        <f>IFERROR(__xludf.DUMMYFUNCTION("""COMPUTED_VALUE"""),0.00192)</f>
        <v>0.00192</v>
      </c>
      <c r="K419" s="19">
        <f>IFERROR(__xludf.DUMMYFUNCTION("""COMPUTED_VALUE"""),0.03897)</f>
        <v>0.03897</v>
      </c>
      <c r="L419" s="19" t="str">
        <f>IFERROR(__xludf.DUMMYFUNCTION("""COMPUTED_VALUE"""),"-")</f>
        <v>-</v>
      </c>
      <c r="M419" s="19">
        <f>IFERROR(__xludf.DUMMYFUNCTION("""COMPUTED_VALUE"""),0.03914)</f>
        <v>0.03914</v>
      </c>
    </row>
    <row r="420">
      <c r="A420" s="12" t="s">
        <v>7410</v>
      </c>
      <c r="G420" s="19">
        <f>IFERROR(__xludf.DUMMYFUNCTION("SPLIT(A418, "" |"")"),416.0)</f>
        <v>416</v>
      </c>
      <c r="H420" s="19">
        <f>IFERROR(__xludf.DUMMYFUNCTION("""COMPUTED_VALUE"""),0.00217)</f>
        <v>0.00217</v>
      </c>
      <c r="I420" s="19" t="str">
        <f>IFERROR(__xludf.DUMMYFUNCTION("""COMPUTED_VALUE"""),"-")</f>
        <v>-</v>
      </c>
      <c r="J420" s="19">
        <f>IFERROR(__xludf.DUMMYFUNCTION("""COMPUTED_VALUE"""),0.00212)</f>
        <v>0.00212</v>
      </c>
      <c r="K420" s="19">
        <f>IFERROR(__xludf.DUMMYFUNCTION("""COMPUTED_VALUE"""),0.03973)</f>
        <v>0.03973</v>
      </c>
      <c r="L420" s="19" t="str">
        <f>IFERROR(__xludf.DUMMYFUNCTION("""COMPUTED_VALUE"""),"-")</f>
        <v>-</v>
      </c>
      <c r="M420" s="19">
        <f>IFERROR(__xludf.DUMMYFUNCTION("""COMPUTED_VALUE"""),0.03994)</f>
        <v>0.03994</v>
      </c>
    </row>
    <row r="421">
      <c r="A421" s="12" t="s">
        <v>7411</v>
      </c>
      <c r="G421" s="19">
        <f>IFERROR(__xludf.DUMMYFUNCTION("SPLIT(A419, "" |"")"),417.0)</f>
        <v>417</v>
      </c>
      <c r="H421" s="19">
        <f>IFERROR(__xludf.DUMMYFUNCTION("""COMPUTED_VALUE"""),0.00208)</f>
        <v>0.00208</v>
      </c>
      <c r="I421" s="19" t="str">
        <f>IFERROR(__xludf.DUMMYFUNCTION("""COMPUTED_VALUE"""),"-")</f>
        <v>-</v>
      </c>
      <c r="J421" s="19">
        <f>IFERROR(__xludf.DUMMYFUNCTION("""COMPUTED_VALUE"""),0.00194)</f>
        <v>0.00194</v>
      </c>
      <c r="K421" s="19">
        <f>IFERROR(__xludf.DUMMYFUNCTION("""COMPUTED_VALUE"""),0.04012)</f>
        <v>0.04012</v>
      </c>
      <c r="L421" s="19" t="str">
        <f>IFERROR(__xludf.DUMMYFUNCTION("""COMPUTED_VALUE"""),"-")</f>
        <v>-</v>
      </c>
      <c r="M421" s="19">
        <f>IFERROR(__xludf.DUMMYFUNCTION("""COMPUTED_VALUE"""),0.03647)</f>
        <v>0.03647</v>
      </c>
    </row>
    <row r="422">
      <c r="A422" s="12" t="s">
        <v>7412</v>
      </c>
      <c r="G422" s="19">
        <f>IFERROR(__xludf.DUMMYFUNCTION("SPLIT(A420, "" |"")"),418.0)</f>
        <v>418</v>
      </c>
      <c r="H422" s="19">
        <f>IFERROR(__xludf.DUMMYFUNCTION("""COMPUTED_VALUE"""),0.00213)</f>
        <v>0.00213</v>
      </c>
      <c r="I422" s="19" t="str">
        <f>IFERROR(__xludf.DUMMYFUNCTION("""COMPUTED_VALUE"""),"-")</f>
        <v>-</v>
      </c>
      <c r="J422" s="19">
        <f>IFERROR(__xludf.DUMMYFUNCTION("""COMPUTED_VALUE"""),0.00195)</f>
        <v>0.00195</v>
      </c>
      <c r="K422" s="19">
        <f>IFERROR(__xludf.DUMMYFUNCTION("""COMPUTED_VALUE"""),0.03762)</f>
        <v>0.03762</v>
      </c>
      <c r="L422" s="19" t="str">
        <f>IFERROR(__xludf.DUMMYFUNCTION("""COMPUTED_VALUE"""),"-")</f>
        <v>-</v>
      </c>
      <c r="M422" s="19">
        <f>IFERROR(__xludf.DUMMYFUNCTION("""COMPUTED_VALUE"""),0.03796)</f>
        <v>0.03796</v>
      </c>
    </row>
    <row r="423">
      <c r="A423" s="12" t="s">
        <v>7413</v>
      </c>
      <c r="G423" s="19">
        <f>IFERROR(__xludf.DUMMYFUNCTION("SPLIT(A421, "" |"")"),419.0)</f>
        <v>419</v>
      </c>
      <c r="H423" s="19">
        <f>IFERROR(__xludf.DUMMYFUNCTION("""COMPUTED_VALUE"""),0.00225)</f>
        <v>0.00225</v>
      </c>
      <c r="I423" s="19" t="str">
        <f>IFERROR(__xludf.DUMMYFUNCTION("""COMPUTED_VALUE"""),"-")</f>
        <v>-</v>
      </c>
      <c r="J423" s="19">
        <f>IFERROR(__xludf.DUMMYFUNCTION("""COMPUTED_VALUE"""),0.00202)</f>
        <v>0.00202</v>
      </c>
      <c r="K423" s="19">
        <f>IFERROR(__xludf.DUMMYFUNCTION("""COMPUTED_VALUE"""),0.03978)</f>
        <v>0.03978</v>
      </c>
      <c r="L423" s="19" t="str">
        <f>IFERROR(__xludf.DUMMYFUNCTION("""COMPUTED_VALUE"""),"-")</f>
        <v>-</v>
      </c>
      <c r="M423" s="19">
        <f>IFERROR(__xludf.DUMMYFUNCTION("""COMPUTED_VALUE"""),0.03852)</f>
        <v>0.03852</v>
      </c>
    </row>
    <row r="424">
      <c r="A424" s="12" t="s">
        <v>7414</v>
      </c>
      <c r="G424" s="19">
        <f>IFERROR(__xludf.DUMMYFUNCTION("SPLIT(A422, "" |"")"),420.0)</f>
        <v>420</v>
      </c>
      <c r="H424" s="19">
        <f>IFERROR(__xludf.DUMMYFUNCTION("""COMPUTED_VALUE"""),0.00218)</f>
        <v>0.00218</v>
      </c>
      <c r="I424" s="19" t="str">
        <f>IFERROR(__xludf.DUMMYFUNCTION("""COMPUTED_VALUE"""),"-")</f>
        <v>-</v>
      </c>
      <c r="J424" s="19">
        <f>IFERROR(__xludf.DUMMYFUNCTION("""COMPUTED_VALUE"""),0.00188)</f>
        <v>0.00188</v>
      </c>
      <c r="K424" s="19">
        <f>IFERROR(__xludf.DUMMYFUNCTION("""COMPUTED_VALUE"""),0.03944)</f>
        <v>0.03944</v>
      </c>
      <c r="L424" s="19" t="str">
        <f>IFERROR(__xludf.DUMMYFUNCTION("""COMPUTED_VALUE"""),"-")</f>
        <v>-</v>
      </c>
      <c r="M424" s="19">
        <f>IFERROR(__xludf.DUMMYFUNCTION("""COMPUTED_VALUE"""),0.03556)</f>
        <v>0.03556</v>
      </c>
    </row>
    <row r="425">
      <c r="A425" s="12" t="s">
        <v>7415</v>
      </c>
      <c r="G425" s="19">
        <f>IFERROR(__xludf.DUMMYFUNCTION("SPLIT(A423, "" |"")"),421.0)</f>
        <v>421</v>
      </c>
      <c r="H425" s="19">
        <f>IFERROR(__xludf.DUMMYFUNCTION("""COMPUTED_VALUE"""),0.00208)</f>
        <v>0.00208</v>
      </c>
      <c r="I425" s="19" t="str">
        <f>IFERROR(__xludf.DUMMYFUNCTION("""COMPUTED_VALUE"""),"-")</f>
        <v>-</v>
      </c>
      <c r="J425" s="19">
        <f>IFERROR(__xludf.DUMMYFUNCTION("""COMPUTED_VALUE"""),0.00195)</f>
        <v>0.00195</v>
      </c>
      <c r="K425" s="19">
        <f>IFERROR(__xludf.DUMMYFUNCTION("""COMPUTED_VALUE"""),0.03757)</f>
        <v>0.03757</v>
      </c>
      <c r="L425" s="19" t="str">
        <f>IFERROR(__xludf.DUMMYFUNCTION("""COMPUTED_VALUE"""),"-")</f>
        <v>-</v>
      </c>
      <c r="M425" s="19">
        <f>IFERROR(__xludf.DUMMYFUNCTION("""COMPUTED_VALUE"""),0.03744)</f>
        <v>0.03744</v>
      </c>
    </row>
    <row r="426">
      <c r="A426" s="12" t="s">
        <v>7416</v>
      </c>
      <c r="G426" s="19">
        <f>IFERROR(__xludf.DUMMYFUNCTION("SPLIT(A424, "" |"")"),422.0)</f>
        <v>422</v>
      </c>
      <c r="H426" s="19">
        <f>IFERROR(__xludf.DUMMYFUNCTION("""COMPUTED_VALUE"""),0.00213)</f>
        <v>0.00213</v>
      </c>
      <c r="I426" s="19" t="str">
        <f>IFERROR(__xludf.DUMMYFUNCTION("""COMPUTED_VALUE"""),"-")</f>
        <v>-</v>
      </c>
      <c r="J426" s="19">
        <f>IFERROR(__xludf.DUMMYFUNCTION("""COMPUTED_VALUE"""),0.00195)</f>
        <v>0.00195</v>
      </c>
      <c r="K426" s="19">
        <f>IFERROR(__xludf.DUMMYFUNCTION("""COMPUTED_VALUE"""),0.03754)</f>
        <v>0.03754</v>
      </c>
      <c r="L426" s="19" t="str">
        <f>IFERROR(__xludf.DUMMYFUNCTION("""COMPUTED_VALUE"""),"-")</f>
        <v>-</v>
      </c>
      <c r="M426" s="19">
        <f>IFERROR(__xludf.DUMMYFUNCTION("""COMPUTED_VALUE"""),0.03751)</f>
        <v>0.03751</v>
      </c>
    </row>
    <row r="427">
      <c r="A427" s="12" t="s">
        <v>7417</v>
      </c>
      <c r="G427" s="19">
        <f>IFERROR(__xludf.DUMMYFUNCTION("SPLIT(A425, "" |"")"),423.0)</f>
        <v>423</v>
      </c>
      <c r="H427" s="19">
        <f>IFERROR(__xludf.DUMMYFUNCTION("""COMPUTED_VALUE"""),0.0022)</f>
        <v>0.0022</v>
      </c>
      <c r="I427" s="19" t="str">
        <f>IFERROR(__xludf.DUMMYFUNCTION("""COMPUTED_VALUE"""),"-")</f>
        <v>-</v>
      </c>
      <c r="J427" s="19">
        <f>IFERROR(__xludf.DUMMYFUNCTION("""COMPUTED_VALUE"""),0.00208)</f>
        <v>0.00208</v>
      </c>
      <c r="K427" s="19">
        <f>IFERROR(__xludf.DUMMYFUNCTION("""COMPUTED_VALUE"""),0.04034)</f>
        <v>0.04034</v>
      </c>
      <c r="L427" s="19" t="str">
        <f>IFERROR(__xludf.DUMMYFUNCTION("""COMPUTED_VALUE"""),"-")</f>
        <v>-</v>
      </c>
      <c r="M427" s="19">
        <f>IFERROR(__xludf.DUMMYFUNCTION("""COMPUTED_VALUE"""),0.04007)</f>
        <v>0.04007</v>
      </c>
    </row>
    <row r="428">
      <c r="A428" s="12" t="s">
        <v>7418</v>
      </c>
      <c r="G428" s="19">
        <f>IFERROR(__xludf.DUMMYFUNCTION("SPLIT(A426, "" |"")"),424.0)</f>
        <v>424</v>
      </c>
      <c r="H428" s="19">
        <f>IFERROR(__xludf.DUMMYFUNCTION("""COMPUTED_VALUE"""),0.00212)</f>
        <v>0.00212</v>
      </c>
      <c r="I428" s="19" t="str">
        <f>IFERROR(__xludf.DUMMYFUNCTION("""COMPUTED_VALUE"""),"-")</f>
        <v>-</v>
      </c>
      <c r="J428" s="19">
        <f>IFERROR(__xludf.DUMMYFUNCTION("""COMPUTED_VALUE"""),0.00203)</f>
        <v>0.00203</v>
      </c>
      <c r="K428" s="19">
        <f>IFERROR(__xludf.DUMMYFUNCTION("""COMPUTED_VALUE"""),0.0359)</f>
        <v>0.0359</v>
      </c>
      <c r="L428" s="19" t="str">
        <f>IFERROR(__xludf.DUMMYFUNCTION("""COMPUTED_VALUE"""),"-")</f>
        <v>-</v>
      </c>
      <c r="M428" s="19">
        <f>IFERROR(__xludf.DUMMYFUNCTION("""COMPUTED_VALUE"""),0.03745)</f>
        <v>0.03745</v>
      </c>
    </row>
    <row r="429">
      <c r="A429" s="12" t="s">
        <v>7419</v>
      </c>
      <c r="G429" s="19">
        <f>IFERROR(__xludf.DUMMYFUNCTION("SPLIT(A427, "" |"")"),425.0)</f>
        <v>425</v>
      </c>
      <c r="H429" s="19">
        <f>IFERROR(__xludf.DUMMYFUNCTION("""COMPUTED_VALUE"""),0.00224)</f>
        <v>0.00224</v>
      </c>
      <c r="I429" s="19" t="str">
        <f>IFERROR(__xludf.DUMMYFUNCTION("""COMPUTED_VALUE"""),"-")</f>
        <v>-</v>
      </c>
      <c r="J429" s="19">
        <f>IFERROR(__xludf.DUMMYFUNCTION("""COMPUTED_VALUE"""),0.00175)</f>
        <v>0.00175</v>
      </c>
      <c r="K429" s="19">
        <f>IFERROR(__xludf.DUMMYFUNCTION("""COMPUTED_VALUE"""),0.03754)</f>
        <v>0.03754</v>
      </c>
      <c r="L429" s="19" t="str">
        <f>IFERROR(__xludf.DUMMYFUNCTION("""COMPUTED_VALUE"""),"-")</f>
        <v>-</v>
      </c>
      <c r="M429" s="19">
        <f>IFERROR(__xludf.DUMMYFUNCTION("""COMPUTED_VALUE"""),0.03966)</f>
        <v>0.03966</v>
      </c>
    </row>
    <row r="430">
      <c r="A430" s="12" t="s">
        <v>7420</v>
      </c>
      <c r="G430" s="19">
        <f>IFERROR(__xludf.DUMMYFUNCTION("SPLIT(A428, "" |"")"),426.0)</f>
        <v>426</v>
      </c>
      <c r="H430" s="19">
        <f>IFERROR(__xludf.DUMMYFUNCTION("""COMPUTED_VALUE"""),0.00221)</f>
        <v>0.00221</v>
      </c>
      <c r="I430" s="19" t="str">
        <f>IFERROR(__xludf.DUMMYFUNCTION("""COMPUTED_VALUE"""),"-")</f>
        <v>-</v>
      </c>
      <c r="J430" s="19">
        <f>IFERROR(__xludf.DUMMYFUNCTION("""COMPUTED_VALUE"""),0.00189)</f>
        <v>0.00189</v>
      </c>
      <c r="K430" s="19">
        <f>IFERROR(__xludf.DUMMYFUNCTION("""COMPUTED_VALUE"""),0.03962)</f>
        <v>0.03962</v>
      </c>
      <c r="L430" s="19" t="str">
        <f>IFERROR(__xludf.DUMMYFUNCTION("""COMPUTED_VALUE"""),"-")</f>
        <v>-</v>
      </c>
      <c r="M430" s="19">
        <f>IFERROR(__xludf.DUMMYFUNCTION("""COMPUTED_VALUE"""),0.03728)</f>
        <v>0.03728</v>
      </c>
    </row>
    <row r="431">
      <c r="A431" s="12" t="s">
        <v>7421</v>
      </c>
      <c r="G431" s="19">
        <f>IFERROR(__xludf.DUMMYFUNCTION("SPLIT(A429, "" |"")"),427.0)</f>
        <v>427</v>
      </c>
      <c r="H431" s="19">
        <f>IFERROR(__xludf.DUMMYFUNCTION("""COMPUTED_VALUE"""),0.00216)</f>
        <v>0.00216</v>
      </c>
      <c r="I431" s="19" t="str">
        <f>IFERROR(__xludf.DUMMYFUNCTION("""COMPUTED_VALUE"""),"-")</f>
        <v>-</v>
      </c>
      <c r="J431" s="19">
        <f>IFERROR(__xludf.DUMMYFUNCTION("""COMPUTED_VALUE"""),0.00197)</f>
        <v>0.00197</v>
      </c>
      <c r="K431" s="19">
        <f>IFERROR(__xludf.DUMMYFUNCTION("""COMPUTED_VALUE"""),0.04011)</f>
        <v>0.04011</v>
      </c>
      <c r="L431" s="19" t="str">
        <f>IFERROR(__xludf.DUMMYFUNCTION("""COMPUTED_VALUE"""),"-")</f>
        <v>-</v>
      </c>
      <c r="M431" s="19">
        <f>IFERROR(__xludf.DUMMYFUNCTION("""COMPUTED_VALUE"""),0.04084)</f>
        <v>0.04084</v>
      </c>
    </row>
    <row r="432">
      <c r="A432" s="12" t="s">
        <v>7422</v>
      </c>
      <c r="G432" s="19">
        <f>IFERROR(__xludf.DUMMYFUNCTION("SPLIT(A430, "" |"")"),428.0)</f>
        <v>428</v>
      </c>
      <c r="H432" s="19">
        <f>IFERROR(__xludf.DUMMYFUNCTION("""COMPUTED_VALUE"""),0.00213)</f>
        <v>0.00213</v>
      </c>
      <c r="I432" s="19" t="str">
        <f>IFERROR(__xludf.DUMMYFUNCTION("""COMPUTED_VALUE"""),"-")</f>
        <v>-</v>
      </c>
      <c r="J432" s="19">
        <f>IFERROR(__xludf.DUMMYFUNCTION("""COMPUTED_VALUE"""),0.0019)</f>
        <v>0.0019</v>
      </c>
      <c r="K432" s="19">
        <f>IFERROR(__xludf.DUMMYFUNCTION("""COMPUTED_VALUE"""),0.03957)</f>
        <v>0.03957</v>
      </c>
      <c r="L432" s="19" t="str">
        <f>IFERROR(__xludf.DUMMYFUNCTION("""COMPUTED_VALUE"""),"-")</f>
        <v>-</v>
      </c>
      <c r="M432" s="19">
        <f>IFERROR(__xludf.DUMMYFUNCTION("""COMPUTED_VALUE"""),0.03933)</f>
        <v>0.03933</v>
      </c>
    </row>
    <row r="433">
      <c r="A433" s="12" t="s">
        <v>7423</v>
      </c>
      <c r="G433" s="19">
        <f>IFERROR(__xludf.DUMMYFUNCTION("SPLIT(A431, "" |"")"),429.0)</f>
        <v>429</v>
      </c>
      <c r="H433" s="19">
        <f>IFERROR(__xludf.DUMMYFUNCTION("""COMPUTED_VALUE"""),0.00236)</f>
        <v>0.00236</v>
      </c>
      <c r="I433" s="19" t="str">
        <f>IFERROR(__xludf.DUMMYFUNCTION("""COMPUTED_VALUE"""),"-")</f>
        <v>-</v>
      </c>
      <c r="J433" s="19">
        <f>IFERROR(__xludf.DUMMYFUNCTION("""COMPUTED_VALUE"""),0.00208)</f>
        <v>0.00208</v>
      </c>
      <c r="K433" s="19">
        <f>IFERROR(__xludf.DUMMYFUNCTION("""COMPUTED_VALUE"""),0.03983)</f>
        <v>0.03983</v>
      </c>
      <c r="L433" s="19" t="str">
        <f>IFERROR(__xludf.DUMMYFUNCTION("""COMPUTED_VALUE"""),"-")</f>
        <v>-</v>
      </c>
      <c r="M433" s="19">
        <f>IFERROR(__xludf.DUMMYFUNCTION("""COMPUTED_VALUE"""),0.03991)</f>
        <v>0.03991</v>
      </c>
    </row>
    <row r="434">
      <c r="A434" s="12" t="s">
        <v>7424</v>
      </c>
      <c r="G434" s="19">
        <f>IFERROR(__xludf.DUMMYFUNCTION("SPLIT(A432, "" |"")"),430.0)</f>
        <v>430</v>
      </c>
      <c r="H434" s="19">
        <f>IFERROR(__xludf.DUMMYFUNCTION("""COMPUTED_VALUE"""),0.00214)</f>
        <v>0.00214</v>
      </c>
      <c r="I434" s="19" t="str">
        <f>IFERROR(__xludf.DUMMYFUNCTION("""COMPUTED_VALUE"""),"-")</f>
        <v>-</v>
      </c>
      <c r="J434" s="19">
        <f>IFERROR(__xludf.DUMMYFUNCTION("""COMPUTED_VALUE"""),0.00199)</f>
        <v>0.00199</v>
      </c>
      <c r="K434" s="19">
        <f>IFERROR(__xludf.DUMMYFUNCTION("""COMPUTED_VALUE"""),0.03985)</f>
        <v>0.03985</v>
      </c>
      <c r="L434" s="19" t="str">
        <f>IFERROR(__xludf.DUMMYFUNCTION("""COMPUTED_VALUE"""),"-")</f>
        <v>-</v>
      </c>
      <c r="M434" s="19">
        <f>IFERROR(__xludf.DUMMYFUNCTION("""COMPUTED_VALUE"""),0.0399)</f>
        <v>0.0399</v>
      </c>
    </row>
    <row r="435">
      <c r="A435" s="12" t="s">
        <v>7425</v>
      </c>
      <c r="G435" s="19">
        <f>IFERROR(__xludf.DUMMYFUNCTION("SPLIT(A433, "" |"")"),431.0)</f>
        <v>431</v>
      </c>
      <c r="H435" s="19">
        <f>IFERROR(__xludf.DUMMYFUNCTION("""COMPUTED_VALUE"""),0.00205)</f>
        <v>0.00205</v>
      </c>
      <c r="I435" s="19" t="str">
        <f>IFERROR(__xludf.DUMMYFUNCTION("""COMPUTED_VALUE"""),"-")</f>
        <v>-</v>
      </c>
      <c r="J435" s="19">
        <f>IFERROR(__xludf.DUMMYFUNCTION("""COMPUTED_VALUE"""),0.00194)</f>
        <v>0.00194</v>
      </c>
      <c r="K435" s="19">
        <f>IFERROR(__xludf.DUMMYFUNCTION("""COMPUTED_VALUE"""),0.0397)</f>
        <v>0.0397</v>
      </c>
      <c r="L435" s="19" t="str">
        <f>IFERROR(__xludf.DUMMYFUNCTION("""COMPUTED_VALUE"""),"-")</f>
        <v>-</v>
      </c>
      <c r="M435" s="19">
        <f>IFERROR(__xludf.DUMMYFUNCTION("""COMPUTED_VALUE"""),0.04006)</f>
        <v>0.04006</v>
      </c>
    </row>
    <row r="436">
      <c r="A436" s="12" t="s">
        <v>7426</v>
      </c>
      <c r="G436" s="19">
        <f>IFERROR(__xludf.DUMMYFUNCTION("SPLIT(A434, "" |"")"),432.0)</f>
        <v>432</v>
      </c>
      <c r="H436" s="19">
        <f>IFERROR(__xludf.DUMMYFUNCTION("""COMPUTED_VALUE"""),0.00211)</f>
        <v>0.00211</v>
      </c>
      <c r="I436" s="19" t="str">
        <f>IFERROR(__xludf.DUMMYFUNCTION("""COMPUTED_VALUE"""),"-")</f>
        <v>-</v>
      </c>
      <c r="J436" s="19">
        <f>IFERROR(__xludf.DUMMYFUNCTION("""COMPUTED_VALUE"""),0.00194)</f>
        <v>0.00194</v>
      </c>
      <c r="K436" s="19">
        <f>IFERROR(__xludf.DUMMYFUNCTION("""COMPUTED_VALUE"""),0.03974)</f>
        <v>0.03974</v>
      </c>
      <c r="L436" s="19" t="str">
        <f>IFERROR(__xludf.DUMMYFUNCTION("""COMPUTED_VALUE"""),"-")</f>
        <v>-</v>
      </c>
      <c r="M436" s="19">
        <f>IFERROR(__xludf.DUMMYFUNCTION("""COMPUTED_VALUE"""),0.03993)</f>
        <v>0.03993</v>
      </c>
    </row>
    <row r="437">
      <c r="A437" s="12" t="s">
        <v>7427</v>
      </c>
      <c r="G437" s="19">
        <f>IFERROR(__xludf.DUMMYFUNCTION("SPLIT(A435, "" |"")"),433.0)</f>
        <v>433</v>
      </c>
      <c r="H437" s="19">
        <f>IFERROR(__xludf.DUMMYFUNCTION("""COMPUTED_VALUE"""),0.00207)</f>
        <v>0.00207</v>
      </c>
      <c r="I437" s="19" t="str">
        <f>IFERROR(__xludf.DUMMYFUNCTION("""COMPUTED_VALUE"""),"-")</f>
        <v>-</v>
      </c>
      <c r="J437" s="19">
        <f>IFERROR(__xludf.DUMMYFUNCTION("""COMPUTED_VALUE"""),0.00198)</f>
        <v>0.00198</v>
      </c>
      <c r="K437" s="19">
        <f>IFERROR(__xludf.DUMMYFUNCTION("""COMPUTED_VALUE"""),0.0397)</f>
        <v>0.0397</v>
      </c>
      <c r="L437" s="19" t="str">
        <f>IFERROR(__xludf.DUMMYFUNCTION("""COMPUTED_VALUE"""),"-")</f>
        <v>-</v>
      </c>
      <c r="M437" s="19">
        <f>IFERROR(__xludf.DUMMYFUNCTION("""COMPUTED_VALUE"""),0.03983)</f>
        <v>0.03983</v>
      </c>
    </row>
    <row r="438">
      <c r="A438" s="12" t="s">
        <v>7428</v>
      </c>
      <c r="G438" s="19">
        <f>IFERROR(__xludf.DUMMYFUNCTION("SPLIT(A436, "" |"")"),434.0)</f>
        <v>434</v>
      </c>
      <c r="H438" s="19">
        <f>IFERROR(__xludf.DUMMYFUNCTION("""COMPUTED_VALUE"""),0.00207)</f>
        <v>0.00207</v>
      </c>
      <c r="I438" s="19" t="str">
        <f>IFERROR(__xludf.DUMMYFUNCTION("""COMPUTED_VALUE"""),"-")</f>
        <v>-</v>
      </c>
      <c r="J438" s="19">
        <f>IFERROR(__xludf.DUMMYFUNCTION("""COMPUTED_VALUE"""),0.00198)</f>
        <v>0.00198</v>
      </c>
      <c r="K438" s="19">
        <f>IFERROR(__xludf.DUMMYFUNCTION("""COMPUTED_VALUE"""),0.04024)</f>
        <v>0.04024</v>
      </c>
      <c r="L438" s="19" t="str">
        <f>IFERROR(__xludf.DUMMYFUNCTION("""COMPUTED_VALUE"""),"-")</f>
        <v>-</v>
      </c>
      <c r="M438" s="19">
        <f>IFERROR(__xludf.DUMMYFUNCTION("""COMPUTED_VALUE"""),0.0399)</f>
        <v>0.0399</v>
      </c>
    </row>
    <row r="439">
      <c r="A439" s="12" t="s">
        <v>7429</v>
      </c>
      <c r="G439" s="19">
        <f>IFERROR(__xludf.DUMMYFUNCTION("SPLIT(A437, "" |"")"),435.0)</f>
        <v>435</v>
      </c>
      <c r="H439" s="19">
        <f>IFERROR(__xludf.DUMMYFUNCTION("""COMPUTED_VALUE"""),0.00213)</f>
        <v>0.00213</v>
      </c>
      <c r="I439" s="19" t="str">
        <f>IFERROR(__xludf.DUMMYFUNCTION("""COMPUTED_VALUE"""),"-")</f>
        <v>-</v>
      </c>
      <c r="J439" s="19">
        <f>IFERROR(__xludf.DUMMYFUNCTION("""COMPUTED_VALUE"""),0.00186)</f>
        <v>0.00186</v>
      </c>
      <c r="K439" s="19">
        <f>IFERROR(__xludf.DUMMYFUNCTION("""COMPUTED_VALUE"""),0.03964)</f>
        <v>0.03964</v>
      </c>
      <c r="L439" s="19" t="str">
        <f>IFERROR(__xludf.DUMMYFUNCTION("""COMPUTED_VALUE"""),"-")</f>
        <v>-</v>
      </c>
      <c r="M439" s="19">
        <f>IFERROR(__xludf.DUMMYFUNCTION("""COMPUTED_VALUE"""),0.03951)</f>
        <v>0.03951</v>
      </c>
    </row>
    <row r="440">
      <c r="A440" s="12" t="s">
        <v>7430</v>
      </c>
      <c r="G440" s="19">
        <f>IFERROR(__xludf.DUMMYFUNCTION("SPLIT(A438, "" |"")"),436.0)</f>
        <v>436</v>
      </c>
      <c r="H440" s="19">
        <f>IFERROR(__xludf.DUMMYFUNCTION("""COMPUTED_VALUE"""),0.00215)</f>
        <v>0.00215</v>
      </c>
      <c r="I440" s="19" t="str">
        <f>IFERROR(__xludf.DUMMYFUNCTION("""COMPUTED_VALUE"""),"-")</f>
        <v>-</v>
      </c>
      <c r="J440" s="19">
        <f>IFERROR(__xludf.DUMMYFUNCTION("""COMPUTED_VALUE"""),0.00202)</f>
        <v>0.00202</v>
      </c>
      <c r="K440" s="19">
        <f>IFERROR(__xludf.DUMMYFUNCTION("""COMPUTED_VALUE"""),0.03976)</f>
        <v>0.03976</v>
      </c>
      <c r="L440" s="19" t="str">
        <f>IFERROR(__xludf.DUMMYFUNCTION("""COMPUTED_VALUE"""),"-")</f>
        <v>-</v>
      </c>
      <c r="M440" s="19">
        <f>IFERROR(__xludf.DUMMYFUNCTION("""COMPUTED_VALUE"""),0.03978)</f>
        <v>0.03978</v>
      </c>
    </row>
    <row r="441">
      <c r="A441" s="12" t="s">
        <v>7431</v>
      </c>
      <c r="G441" s="19">
        <f>IFERROR(__xludf.DUMMYFUNCTION("SPLIT(A439, "" |"")"),437.0)</f>
        <v>437</v>
      </c>
      <c r="H441" s="19">
        <f>IFERROR(__xludf.DUMMYFUNCTION("""COMPUTED_VALUE"""),0.00208)</f>
        <v>0.00208</v>
      </c>
      <c r="I441" s="19" t="str">
        <f>IFERROR(__xludf.DUMMYFUNCTION("""COMPUTED_VALUE"""),"-")</f>
        <v>-</v>
      </c>
      <c r="J441" s="19">
        <f>IFERROR(__xludf.DUMMYFUNCTION("""COMPUTED_VALUE"""),0.00199)</f>
        <v>0.00199</v>
      </c>
      <c r="K441" s="19">
        <f>IFERROR(__xludf.DUMMYFUNCTION("""COMPUTED_VALUE"""),0.03973)</f>
        <v>0.03973</v>
      </c>
      <c r="L441" s="19" t="str">
        <f>IFERROR(__xludf.DUMMYFUNCTION("""COMPUTED_VALUE"""),"-")</f>
        <v>-</v>
      </c>
      <c r="M441" s="19">
        <f>IFERROR(__xludf.DUMMYFUNCTION("""COMPUTED_VALUE"""),0.03837)</f>
        <v>0.03837</v>
      </c>
    </row>
    <row r="442">
      <c r="A442" s="12" t="s">
        <v>7432</v>
      </c>
      <c r="G442" s="19">
        <f>IFERROR(__xludf.DUMMYFUNCTION("SPLIT(A440, "" |"")"),438.0)</f>
        <v>438</v>
      </c>
      <c r="H442" s="19">
        <f>IFERROR(__xludf.DUMMYFUNCTION("""COMPUTED_VALUE"""),0.0021)</f>
        <v>0.0021</v>
      </c>
      <c r="I442" s="19" t="str">
        <f>IFERROR(__xludf.DUMMYFUNCTION("""COMPUTED_VALUE"""),"-")</f>
        <v>-</v>
      </c>
      <c r="J442" s="19">
        <f>IFERROR(__xludf.DUMMYFUNCTION("""COMPUTED_VALUE"""),0.00201)</f>
        <v>0.00201</v>
      </c>
      <c r="K442" s="19">
        <f>IFERROR(__xludf.DUMMYFUNCTION("""COMPUTED_VALUE"""),0.03966)</f>
        <v>0.03966</v>
      </c>
      <c r="L442" s="19" t="str">
        <f>IFERROR(__xludf.DUMMYFUNCTION("""COMPUTED_VALUE"""),"-")</f>
        <v>-</v>
      </c>
      <c r="M442" s="19">
        <f>IFERROR(__xludf.DUMMYFUNCTION("""COMPUTED_VALUE"""),0.04022)</f>
        <v>0.04022</v>
      </c>
    </row>
    <row r="443">
      <c r="A443" s="12" t="s">
        <v>7433</v>
      </c>
      <c r="G443" s="19">
        <f>IFERROR(__xludf.DUMMYFUNCTION("SPLIT(A441, "" |"")"),439.0)</f>
        <v>439</v>
      </c>
      <c r="H443" s="19">
        <f>IFERROR(__xludf.DUMMYFUNCTION("""COMPUTED_VALUE"""),0.00205)</f>
        <v>0.00205</v>
      </c>
      <c r="I443" s="19" t="str">
        <f>IFERROR(__xludf.DUMMYFUNCTION("""COMPUTED_VALUE"""),"-")</f>
        <v>-</v>
      </c>
      <c r="J443" s="19">
        <f>IFERROR(__xludf.DUMMYFUNCTION("""COMPUTED_VALUE"""),0.0019)</f>
        <v>0.0019</v>
      </c>
      <c r="K443" s="19">
        <f>IFERROR(__xludf.DUMMYFUNCTION("""COMPUTED_VALUE"""),0.03961)</f>
        <v>0.03961</v>
      </c>
      <c r="L443" s="19" t="str">
        <f>IFERROR(__xludf.DUMMYFUNCTION("""COMPUTED_VALUE"""),"-")</f>
        <v>-</v>
      </c>
      <c r="M443" s="19">
        <f>IFERROR(__xludf.DUMMYFUNCTION("""COMPUTED_VALUE"""),0.03979)</f>
        <v>0.03979</v>
      </c>
    </row>
    <row r="444">
      <c r="A444" s="12" t="s">
        <v>7434</v>
      </c>
      <c r="G444" s="19">
        <f>IFERROR(__xludf.DUMMYFUNCTION("SPLIT(A442, "" |"")"),440.0)</f>
        <v>440</v>
      </c>
      <c r="H444" s="19">
        <f>IFERROR(__xludf.DUMMYFUNCTION("""COMPUTED_VALUE"""),0.00209)</f>
        <v>0.00209</v>
      </c>
      <c r="I444" s="19" t="str">
        <f>IFERROR(__xludf.DUMMYFUNCTION("""COMPUTED_VALUE"""),"-")</f>
        <v>-</v>
      </c>
      <c r="J444" s="19">
        <f>IFERROR(__xludf.DUMMYFUNCTION("""COMPUTED_VALUE"""),0.00198)</f>
        <v>0.00198</v>
      </c>
      <c r="K444" s="19">
        <f>IFERROR(__xludf.DUMMYFUNCTION("""COMPUTED_VALUE"""),0.03954)</f>
        <v>0.03954</v>
      </c>
      <c r="L444" s="19" t="str">
        <f>IFERROR(__xludf.DUMMYFUNCTION("""COMPUTED_VALUE"""),"-")</f>
        <v>-</v>
      </c>
      <c r="M444" s="19">
        <f>IFERROR(__xludf.DUMMYFUNCTION("""COMPUTED_VALUE"""),0.03978)</f>
        <v>0.03978</v>
      </c>
    </row>
    <row r="445">
      <c r="A445" s="12" t="s">
        <v>7435</v>
      </c>
      <c r="G445" s="19">
        <f>IFERROR(__xludf.DUMMYFUNCTION("SPLIT(A443, "" |"")"),441.0)</f>
        <v>441</v>
      </c>
      <c r="H445" s="19">
        <f>IFERROR(__xludf.DUMMYFUNCTION("""COMPUTED_VALUE"""),0.00214)</f>
        <v>0.00214</v>
      </c>
      <c r="I445" s="19" t="str">
        <f>IFERROR(__xludf.DUMMYFUNCTION("""COMPUTED_VALUE"""),"-")</f>
        <v>-</v>
      </c>
      <c r="J445" s="19">
        <f>IFERROR(__xludf.DUMMYFUNCTION("""COMPUTED_VALUE"""),0.00198)</f>
        <v>0.00198</v>
      </c>
      <c r="K445" s="19">
        <f>IFERROR(__xludf.DUMMYFUNCTION("""COMPUTED_VALUE"""),0.03969)</f>
        <v>0.03969</v>
      </c>
      <c r="L445" s="19" t="str">
        <f>IFERROR(__xludf.DUMMYFUNCTION("""COMPUTED_VALUE"""),"-")</f>
        <v>-</v>
      </c>
      <c r="M445" s="19">
        <f>IFERROR(__xludf.DUMMYFUNCTION("""COMPUTED_VALUE"""),0.03988)</f>
        <v>0.03988</v>
      </c>
    </row>
    <row r="446">
      <c r="A446" s="12" t="s">
        <v>7436</v>
      </c>
      <c r="G446" s="19">
        <f>IFERROR(__xludf.DUMMYFUNCTION("SPLIT(A444, "" |"")"),442.0)</f>
        <v>442</v>
      </c>
      <c r="H446" s="19">
        <f>IFERROR(__xludf.DUMMYFUNCTION("""COMPUTED_VALUE"""),0.00208)</f>
        <v>0.00208</v>
      </c>
      <c r="I446" s="19" t="str">
        <f>IFERROR(__xludf.DUMMYFUNCTION("""COMPUTED_VALUE"""),"-")</f>
        <v>-</v>
      </c>
      <c r="J446" s="19">
        <f>IFERROR(__xludf.DUMMYFUNCTION("""COMPUTED_VALUE"""),0.00201)</f>
        <v>0.00201</v>
      </c>
      <c r="K446" s="19">
        <f>IFERROR(__xludf.DUMMYFUNCTION("""COMPUTED_VALUE"""),0.03981)</f>
        <v>0.03981</v>
      </c>
      <c r="L446" s="19" t="str">
        <f>IFERROR(__xludf.DUMMYFUNCTION("""COMPUTED_VALUE"""),"-")</f>
        <v>-</v>
      </c>
      <c r="M446" s="19">
        <f>IFERROR(__xludf.DUMMYFUNCTION("""COMPUTED_VALUE"""),0.03982)</f>
        <v>0.03982</v>
      </c>
    </row>
    <row r="447">
      <c r="A447" s="12" t="s">
        <v>7437</v>
      </c>
      <c r="G447" s="19">
        <f>IFERROR(__xludf.DUMMYFUNCTION("SPLIT(A445, "" |"")"),443.0)</f>
        <v>443</v>
      </c>
      <c r="H447" s="19">
        <f>IFERROR(__xludf.DUMMYFUNCTION("""COMPUTED_VALUE"""),0.00207)</f>
        <v>0.00207</v>
      </c>
      <c r="I447" s="19" t="str">
        <f>IFERROR(__xludf.DUMMYFUNCTION("""COMPUTED_VALUE"""),"-")</f>
        <v>-</v>
      </c>
      <c r="J447" s="19">
        <f>IFERROR(__xludf.DUMMYFUNCTION("""COMPUTED_VALUE"""),0.00182)</f>
        <v>0.00182</v>
      </c>
      <c r="K447" s="19">
        <f>IFERROR(__xludf.DUMMYFUNCTION("""COMPUTED_VALUE"""),0.03967)</f>
        <v>0.03967</v>
      </c>
      <c r="L447" s="19" t="str">
        <f>IFERROR(__xludf.DUMMYFUNCTION("""COMPUTED_VALUE"""),"-")</f>
        <v>-</v>
      </c>
      <c r="M447" s="19">
        <f>IFERROR(__xludf.DUMMYFUNCTION("""COMPUTED_VALUE"""),0.0399)</f>
        <v>0.0399</v>
      </c>
    </row>
    <row r="448">
      <c r="A448" s="12" t="s">
        <v>7438</v>
      </c>
      <c r="G448" s="19">
        <f>IFERROR(__xludf.DUMMYFUNCTION("SPLIT(A446, "" |"")"),444.0)</f>
        <v>444</v>
      </c>
      <c r="H448" s="19">
        <f>IFERROR(__xludf.DUMMYFUNCTION("""COMPUTED_VALUE"""),0.00209)</f>
        <v>0.00209</v>
      </c>
      <c r="I448" s="19" t="str">
        <f>IFERROR(__xludf.DUMMYFUNCTION("""COMPUTED_VALUE"""),"-")</f>
        <v>-</v>
      </c>
      <c r="J448" s="19">
        <f>IFERROR(__xludf.DUMMYFUNCTION("""COMPUTED_VALUE"""),0.00199)</f>
        <v>0.00199</v>
      </c>
      <c r="K448" s="19">
        <f>IFERROR(__xludf.DUMMYFUNCTION("""COMPUTED_VALUE"""),0.03975)</f>
        <v>0.03975</v>
      </c>
      <c r="L448" s="19" t="str">
        <f>IFERROR(__xludf.DUMMYFUNCTION("""COMPUTED_VALUE"""),"-")</f>
        <v>-</v>
      </c>
      <c r="M448" s="19">
        <f>IFERROR(__xludf.DUMMYFUNCTION("""COMPUTED_VALUE"""),0.03983)</f>
        <v>0.03983</v>
      </c>
    </row>
    <row r="449">
      <c r="A449" s="12" t="s">
        <v>7439</v>
      </c>
      <c r="G449" s="19">
        <f>IFERROR(__xludf.DUMMYFUNCTION("SPLIT(A447, "" |"")"),445.0)</f>
        <v>445</v>
      </c>
      <c r="H449" s="19">
        <f>IFERROR(__xludf.DUMMYFUNCTION("""COMPUTED_VALUE"""),0.00226)</f>
        <v>0.00226</v>
      </c>
      <c r="I449" s="19" t="str">
        <f>IFERROR(__xludf.DUMMYFUNCTION("""COMPUTED_VALUE"""),"-")</f>
        <v>-</v>
      </c>
      <c r="J449" s="19">
        <f>IFERROR(__xludf.DUMMYFUNCTION("""COMPUTED_VALUE"""),0.00197)</f>
        <v>0.00197</v>
      </c>
      <c r="K449" s="19">
        <f>IFERROR(__xludf.DUMMYFUNCTION("""COMPUTED_VALUE"""),0.08331)</f>
        <v>0.08331</v>
      </c>
      <c r="L449" s="19" t="str">
        <f>IFERROR(__xludf.DUMMYFUNCTION("""COMPUTED_VALUE"""),"-")</f>
        <v>-</v>
      </c>
      <c r="M449" s="19">
        <f>IFERROR(__xludf.DUMMYFUNCTION("""COMPUTED_VALUE"""),0.03956)</f>
        <v>0.03956</v>
      </c>
    </row>
    <row r="450">
      <c r="A450" s="12" t="s">
        <v>7440</v>
      </c>
      <c r="G450" s="19">
        <f>IFERROR(__xludf.DUMMYFUNCTION("SPLIT(A448, "" |"")"),446.0)</f>
        <v>446</v>
      </c>
      <c r="H450" s="19">
        <f>IFERROR(__xludf.DUMMYFUNCTION("""COMPUTED_VALUE"""),0.00237)</f>
        <v>0.00237</v>
      </c>
      <c r="I450" s="19" t="str">
        <f>IFERROR(__xludf.DUMMYFUNCTION("""COMPUTED_VALUE"""),"-")</f>
        <v>-</v>
      </c>
      <c r="J450" s="19">
        <f>IFERROR(__xludf.DUMMYFUNCTION("""COMPUTED_VALUE"""),0.00223)</f>
        <v>0.00223</v>
      </c>
      <c r="K450" s="19">
        <f>IFERROR(__xludf.DUMMYFUNCTION("""COMPUTED_VALUE"""),0.03988)</f>
        <v>0.03988</v>
      </c>
      <c r="L450" s="19" t="str">
        <f>IFERROR(__xludf.DUMMYFUNCTION("""COMPUTED_VALUE"""),"-")</f>
        <v>-</v>
      </c>
      <c r="M450" s="19">
        <f>IFERROR(__xludf.DUMMYFUNCTION("""COMPUTED_VALUE"""),0.03955)</f>
        <v>0.03955</v>
      </c>
    </row>
    <row r="451">
      <c r="A451" s="12" t="s">
        <v>7441</v>
      </c>
      <c r="G451" s="19">
        <f>IFERROR(__xludf.DUMMYFUNCTION("SPLIT(A449, "" |"")"),447.0)</f>
        <v>447</v>
      </c>
      <c r="H451" s="19">
        <f>IFERROR(__xludf.DUMMYFUNCTION("""COMPUTED_VALUE"""),0.00208)</f>
        <v>0.00208</v>
      </c>
      <c r="I451" s="19" t="str">
        <f>IFERROR(__xludf.DUMMYFUNCTION("""COMPUTED_VALUE"""),"-")</f>
        <v>-</v>
      </c>
      <c r="J451" s="19">
        <f>IFERROR(__xludf.DUMMYFUNCTION("""COMPUTED_VALUE"""),0.00198)</f>
        <v>0.00198</v>
      </c>
      <c r="K451" s="19">
        <f>IFERROR(__xludf.DUMMYFUNCTION("""COMPUTED_VALUE"""),0.03964)</f>
        <v>0.03964</v>
      </c>
      <c r="L451" s="19" t="str">
        <f>IFERROR(__xludf.DUMMYFUNCTION("""COMPUTED_VALUE"""),"-")</f>
        <v>-</v>
      </c>
      <c r="M451" s="19">
        <f>IFERROR(__xludf.DUMMYFUNCTION("""COMPUTED_VALUE"""),0.03978)</f>
        <v>0.03978</v>
      </c>
    </row>
    <row r="452">
      <c r="A452" s="12" t="s">
        <v>7442</v>
      </c>
      <c r="G452" s="19">
        <f>IFERROR(__xludf.DUMMYFUNCTION("SPLIT(A450, "" |"")"),448.0)</f>
        <v>448</v>
      </c>
      <c r="H452" s="19">
        <f>IFERROR(__xludf.DUMMYFUNCTION("""COMPUTED_VALUE"""),0.00215)</f>
        <v>0.00215</v>
      </c>
      <c r="I452" s="19" t="str">
        <f>IFERROR(__xludf.DUMMYFUNCTION("""COMPUTED_VALUE"""),"-")</f>
        <v>-</v>
      </c>
      <c r="J452" s="19">
        <f>IFERROR(__xludf.DUMMYFUNCTION("""COMPUTED_VALUE"""),0.00193)</f>
        <v>0.00193</v>
      </c>
      <c r="K452" s="19">
        <f>IFERROR(__xludf.DUMMYFUNCTION("""COMPUTED_VALUE"""),0.03573)</f>
        <v>0.03573</v>
      </c>
      <c r="L452" s="19" t="str">
        <f>IFERROR(__xludf.DUMMYFUNCTION("""COMPUTED_VALUE"""),"-")</f>
        <v>-</v>
      </c>
      <c r="M452" s="19">
        <f>IFERROR(__xludf.DUMMYFUNCTION("""COMPUTED_VALUE"""),0.0375)</f>
        <v>0.0375</v>
      </c>
    </row>
    <row r="453">
      <c r="A453" s="12" t="s">
        <v>7443</v>
      </c>
      <c r="G453" s="19">
        <f>IFERROR(__xludf.DUMMYFUNCTION("SPLIT(A451, "" |"")"),449.0)</f>
        <v>449</v>
      </c>
      <c r="H453" s="19">
        <f>IFERROR(__xludf.DUMMYFUNCTION("""COMPUTED_VALUE"""),0.00227)</f>
        <v>0.00227</v>
      </c>
      <c r="I453" s="19" t="str">
        <f>IFERROR(__xludf.DUMMYFUNCTION("""COMPUTED_VALUE"""),"-")</f>
        <v>-</v>
      </c>
      <c r="J453" s="19">
        <f>IFERROR(__xludf.DUMMYFUNCTION("""COMPUTED_VALUE"""),0.00192)</f>
        <v>0.00192</v>
      </c>
      <c r="K453" s="19">
        <f>IFERROR(__xludf.DUMMYFUNCTION("""COMPUTED_VALUE"""),0.03973)</f>
        <v>0.03973</v>
      </c>
      <c r="L453" s="19" t="str">
        <f>IFERROR(__xludf.DUMMYFUNCTION("""COMPUTED_VALUE"""),"-")</f>
        <v>-</v>
      </c>
      <c r="M453" s="19">
        <f>IFERROR(__xludf.DUMMYFUNCTION("""COMPUTED_VALUE"""),0.03518)</f>
        <v>0.03518</v>
      </c>
    </row>
    <row r="454">
      <c r="A454" s="12" t="s">
        <v>7444</v>
      </c>
      <c r="G454" s="19">
        <f>IFERROR(__xludf.DUMMYFUNCTION("SPLIT(A452, "" |"")"),450.0)</f>
        <v>450</v>
      </c>
      <c r="H454" s="19">
        <f>IFERROR(__xludf.DUMMYFUNCTION("""COMPUTED_VALUE"""),0.00221)</f>
        <v>0.00221</v>
      </c>
      <c r="I454" s="19" t="str">
        <f>IFERROR(__xludf.DUMMYFUNCTION("""COMPUTED_VALUE"""),"-")</f>
        <v>-</v>
      </c>
      <c r="J454" s="19">
        <f>IFERROR(__xludf.DUMMYFUNCTION("""COMPUTED_VALUE"""),0.0021)</f>
        <v>0.0021</v>
      </c>
      <c r="K454" s="19">
        <f>IFERROR(__xludf.DUMMYFUNCTION("""COMPUTED_VALUE"""),0.04089)</f>
        <v>0.04089</v>
      </c>
      <c r="L454" s="19" t="str">
        <f>IFERROR(__xludf.DUMMYFUNCTION("""COMPUTED_VALUE"""),"-")</f>
        <v>-</v>
      </c>
      <c r="M454" s="19">
        <f>IFERROR(__xludf.DUMMYFUNCTION("""COMPUTED_VALUE"""),0.03824)</f>
        <v>0.03824</v>
      </c>
    </row>
    <row r="455">
      <c r="A455" s="12" t="s">
        <v>7445</v>
      </c>
      <c r="G455" s="19">
        <f>IFERROR(__xludf.DUMMYFUNCTION("SPLIT(A453, "" |"")"),451.0)</f>
        <v>451</v>
      </c>
      <c r="H455" s="19">
        <f>IFERROR(__xludf.DUMMYFUNCTION("""COMPUTED_VALUE"""),0.00213)</f>
        <v>0.00213</v>
      </c>
      <c r="I455" s="19" t="str">
        <f>IFERROR(__xludf.DUMMYFUNCTION("""COMPUTED_VALUE"""),"-")</f>
        <v>-</v>
      </c>
      <c r="J455" s="19">
        <f>IFERROR(__xludf.DUMMYFUNCTION("""COMPUTED_VALUE"""),0.00203)</f>
        <v>0.00203</v>
      </c>
      <c r="K455" s="19">
        <f>IFERROR(__xludf.DUMMYFUNCTION("""COMPUTED_VALUE"""),0.0396)</f>
        <v>0.0396</v>
      </c>
      <c r="L455" s="19" t="str">
        <f>IFERROR(__xludf.DUMMYFUNCTION("""COMPUTED_VALUE"""),"-")</f>
        <v>-</v>
      </c>
      <c r="M455" s="19">
        <f>IFERROR(__xludf.DUMMYFUNCTION("""COMPUTED_VALUE"""),0.03816)</f>
        <v>0.03816</v>
      </c>
    </row>
    <row r="456">
      <c r="A456" s="12" t="s">
        <v>7446</v>
      </c>
      <c r="G456" s="19">
        <f>IFERROR(__xludf.DUMMYFUNCTION("SPLIT(A454, "" |"")"),452.0)</f>
        <v>452</v>
      </c>
      <c r="H456" s="19">
        <f>IFERROR(__xludf.DUMMYFUNCTION("""COMPUTED_VALUE"""),0.00216)</f>
        <v>0.00216</v>
      </c>
      <c r="I456" s="19" t="str">
        <f>IFERROR(__xludf.DUMMYFUNCTION("""COMPUTED_VALUE"""),"-")</f>
        <v>-</v>
      </c>
      <c r="J456" s="19">
        <f>IFERROR(__xludf.DUMMYFUNCTION("""COMPUTED_VALUE"""),0.00204)</f>
        <v>0.00204</v>
      </c>
      <c r="K456" s="19">
        <f>IFERROR(__xludf.DUMMYFUNCTION("""COMPUTED_VALUE"""),0.03846)</f>
        <v>0.03846</v>
      </c>
      <c r="L456" s="19" t="str">
        <f>IFERROR(__xludf.DUMMYFUNCTION("""COMPUTED_VALUE"""),"-")</f>
        <v>-</v>
      </c>
      <c r="M456" s="19">
        <f>IFERROR(__xludf.DUMMYFUNCTION("""COMPUTED_VALUE"""),0.03991)</f>
        <v>0.03991</v>
      </c>
    </row>
    <row r="457">
      <c r="A457" s="12" t="s">
        <v>7447</v>
      </c>
      <c r="G457" s="19">
        <f>IFERROR(__xludf.DUMMYFUNCTION("SPLIT(A455, "" |"")"),453.0)</f>
        <v>453</v>
      </c>
      <c r="H457" s="19">
        <f>IFERROR(__xludf.DUMMYFUNCTION("""COMPUTED_VALUE"""),0.00199)</f>
        <v>0.00199</v>
      </c>
      <c r="I457" s="19" t="str">
        <f>IFERROR(__xludf.DUMMYFUNCTION("""COMPUTED_VALUE"""),"-")</f>
        <v>-</v>
      </c>
      <c r="J457" s="19">
        <f>IFERROR(__xludf.DUMMYFUNCTION("""COMPUTED_VALUE"""),0.00335)</f>
        <v>0.00335</v>
      </c>
      <c r="K457" s="19">
        <f>IFERROR(__xludf.DUMMYFUNCTION("""COMPUTED_VALUE"""),0.03812)</f>
        <v>0.03812</v>
      </c>
      <c r="L457" s="19" t="str">
        <f>IFERROR(__xludf.DUMMYFUNCTION("""COMPUTED_VALUE"""),"-")</f>
        <v>-</v>
      </c>
      <c r="M457" s="19">
        <f>IFERROR(__xludf.DUMMYFUNCTION("""COMPUTED_VALUE"""),0.04107)</f>
        <v>0.04107</v>
      </c>
    </row>
    <row r="458">
      <c r="A458" s="12" t="s">
        <v>7448</v>
      </c>
      <c r="G458" s="19">
        <f>IFERROR(__xludf.DUMMYFUNCTION("SPLIT(A456, "" |"")"),454.0)</f>
        <v>454</v>
      </c>
      <c r="H458" s="19">
        <f>IFERROR(__xludf.DUMMYFUNCTION("""COMPUTED_VALUE"""),0.00229)</f>
        <v>0.00229</v>
      </c>
      <c r="I458" s="19" t="str">
        <f>IFERROR(__xludf.DUMMYFUNCTION("""COMPUTED_VALUE"""),"-")</f>
        <v>-</v>
      </c>
      <c r="J458" s="19">
        <f>IFERROR(__xludf.DUMMYFUNCTION("""COMPUTED_VALUE"""),0.00223)</f>
        <v>0.00223</v>
      </c>
      <c r="K458" s="19">
        <f>IFERROR(__xludf.DUMMYFUNCTION("""COMPUTED_VALUE"""),0.03689)</f>
        <v>0.03689</v>
      </c>
      <c r="L458" s="19" t="str">
        <f>IFERROR(__xludf.DUMMYFUNCTION("""COMPUTED_VALUE"""),"-")</f>
        <v>-</v>
      </c>
      <c r="M458" s="19">
        <f>IFERROR(__xludf.DUMMYFUNCTION("""COMPUTED_VALUE"""),0.04075)</f>
        <v>0.04075</v>
      </c>
    </row>
    <row r="459">
      <c r="A459" s="12" t="s">
        <v>7449</v>
      </c>
      <c r="G459" s="19">
        <f>IFERROR(__xludf.DUMMYFUNCTION("SPLIT(A457, "" |"")"),455.0)</f>
        <v>455</v>
      </c>
      <c r="H459" s="19">
        <f>IFERROR(__xludf.DUMMYFUNCTION("""COMPUTED_VALUE"""),0.00243)</f>
        <v>0.00243</v>
      </c>
      <c r="I459" s="19" t="str">
        <f>IFERROR(__xludf.DUMMYFUNCTION("""COMPUTED_VALUE"""),"-")</f>
        <v>-</v>
      </c>
      <c r="J459" s="19">
        <f>IFERROR(__xludf.DUMMYFUNCTION("""COMPUTED_VALUE"""),0.00225)</f>
        <v>0.00225</v>
      </c>
      <c r="K459" s="19">
        <f>IFERROR(__xludf.DUMMYFUNCTION("""COMPUTED_VALUE"""),0.03684)</f>
        <v>0.03684</v>
      </c>
      <c r="L459" s="19" t="str">
        <f>IFERROR(__xludf.DUMMYFUNCTION("""COMPUTED_VALUE"""),"-")</f>
        <v>-</v>
      </c>
      <c r="M459" s="19">
        <f>IFERROR(__xludf.DUMMYFUNCTION("""COMPUTED_VALUE"""),0.03922)</f>
        <v>0.03922</v>
      </c>
    </row>
    <row r="460">
      <c r="A460" s="12" t="s">
        <v>7450</v>
      </c>
      <c r="G460" s="19">
        <f>IFERROR(__xludf.DUMMYFUNCTION("SPLIT(A458, "" |"")"),456.0)</f>
        <v>456</v>
      </c>
      <c r="H460" s="19">
        <f>IFERROR(__xludf.DUMMYFUNCTION("""COMPUTED_VALUE"""),0.00213)</f>
        <v>0.00213</v>
      </c>
      <c r="I460" s="19" t="str">
        <f>IFERROR(__xludf.DUMMYFUNCTION("""COMPUTED_VALUE"""),"-")</f>
        <v>-</v>
      </c>
      <c r="J460" s="19">
        <f>IFERROR(__xludf.DUMMYFUNCTION("""COMPUTED_VALUE"""),0.00182)</f>
        <v>0.00182</v>
      </c>
      <c r="K460" s="19">
        <f>IFERROR(__xludf.DUMMYFUNCTION("""COMPUTED_VALUE"""),0.03969)</f>
        <v>0.03969</v>
      </c>
      <c r="L460" s="19" t="str">
        <f>IFERROR(__xludf.DUMMYFUNCTION("""COMPUTED_VALUE"""),"-")</f>
        <v>-</v>
      </c>
      <c r="M460" s="19">
        <f>IFERROR(__xludf.DUMMYFUNCTION("""COMPUTED_VALUE"""),0.0398)</f>
        <v>0.0398</v>
      </c>
    </row>
    <row r="461">
      <c r="A461" s="12" t="s">
        <v>7451</v>
      </c>
      <c r="G461" s="19">
        <f>IFERROR(__xludf.DUMMYFUNCTION("SPLIT(A459, "" |"")"),457.0)</f>
        <v>457</v>
      </c>
      <c r="H461" s="19">
        <f>IFERROR(__xludf.DUMMYFUNCTION("""COMPUTED_VALUE"""),0.00224)</f>
        <v>0.00224</v>
      </c>
      <c r="I461" s="19" t="str">
        <f>IFERROR(__xludf.DUMMYFUNCTION("""COMPUTED_VALUE"""),"-")</f>
        <v>-</v>
      </c>
      <c r="J461" s="19">
        <f>IFERROR(__xludf.DUMMYFUNCTION("""COMPUTED_VALUE"""),0.00203)</f>
        <v>0.00203</v>
      </c>
      <c r="K461" s="19">
        <f>IFERROR(__xludf.DUMMYFUNCTION("""COMPUTED_VALUE"""),0.03965)</f>
        <v>0.03965</v>
      </c>
      <c r="L461" s="19" t="str">
        <f>IFERROR(__xludf.DUMMYFUNCTION("""COMPUTED_VALUE"""),"-")</f>
        <v>-</v>
      </c>
      <c r="M461" s="19">
        <f>IFERROR(__xludf.DUMMYFUNCTION("""COMPUTED_VALUE"""),0.03984)</f>
        <v>0.03984</v>
      </c>
    </row>
    <row r="462">
      <c r="A462" s="12" t="s">
        <v>7452</v>
      </c>
      <c r="G462" s="19">
        <f>IFERROR(__xludf.DUMMYFUNCTION("SPLIT(A460, "" |"")"),458.0)</f>
        <v>458</v>
      </c>
      <c r="H462" s="19">
        <f>IFERROR(__xludf.DUMMYFUNCTION("""COMPUTED_VALUE"""),0.00206)</f>
        <v>0.00206</v>
      </c>
      <c r="I462" s="19" t="str">
        <f>IFERROR(__xludf.DUMMYFUNCTION("""COMPUTED_VALUE"""),"-")</f>
        <v>-</v>
      </c>
      <c r="J462" s="19">
        <f>IFERROR(__xludf.DUMMYFUNCTION("""COMPUTED_VALUE"""),0.00201)</f>
        <v>0.00201</v>
      </c>
      <c r="K462" s="19">
        <f>IFERROR(__xludf.DUMMYFUNCTION("""COMPUTED_VALUE"""),0.03977)</f>
        <v>0.03977</v>
      </c>
      <c r="L462" s="19" t="str">
        <f>IFERROR(__xludf.DUMMYFUNCTION("""COMPUTED_VALUE"""),"-")</f>
        <v>-</v>
      </c>
      <c r="M462" s="19">
        <f>IFERROR(__xludf.DUMMYFUNCTION("""COMPUTED_VALUE"""),0.04037)</f>
        <v>0.04037</v>
      </c>
    </row>
    <row r="463">
      <c r="A463" s="12" t="s">
        <v>7453</v>
      </c>
      <c r="G463" s="19">
        <f>IFERROR(__xludf.DUMMYFUNCTION("SPLIT(A461, "" |"")"),459.0)</f>
        <v>459</v>
      </c>
      <c r="H463" s="19">
        <f>IFERROR(__xludf.DUMMYFUNCTION("""COMPUTED_VALUE"""),0.00209)</f>
        <v>0.00209</v>
      </c>
      <c r="I463" s="19" t="str">
        <f>IFERROR(__xludf.DUMMYFUNCTION("""COMPUTED_VALUE"""),"-")</f>
        <v>-</v>
      </c>
      <c r="J463" s="19">
        <f>IFERROR(__xludf.DUMMYFUNCTION("""COMPUTED_VALUE"""),0.00186)</f>
        <v>0.00186</v>
      </c>
      <c r="K463" s="19">
        <f>IFERROR(__xludf.DUMMYFUNCTION("""COMPUTED_VALUE"""),0.03971)</f>
        <v>0.03971</v>
      </c>
      <c r="L463" s="19" t="str">
        <f>IFERROR(__xludf.DUMMYFUNCTION("""COMPUTED_VALUE"""),"-")</f>
        <v>-</v>
      </c>
      <c r="M463" s="19">
        <f>IFERROR(__xludf.DUMMYFUNCTION("""COMPUTED_VALUE"""),0.039)</f>
        <v>0.039</v>
      </c>
    </row>
    <row r="464">
      <c r="A464" s="12" t="s">
        <v>7454</v>
      </c>
      <c r="G464" s="19">
        <f>IFERROR(__xludf.DUMMYFUNCTION("SPLIT(A462, "" |"")"),460.0)</f>
        <v>460</v>
      </c>
      <c r="H464" s="19">
        <f>IFERROR(__xludf.DUMMYFUNCTION("""COMPUTED_VALUE"""),0.00236)</f>
        <v>0.00236</v>
      </c>
      <c r="I464" s="19" t="str">
        <f>IFERROR(__xludf.DUMMYFUNCTION("""COMPUTED_VALUE"""),"-")</f>
        <v>-</v>
      </c>
      <c r="J464" s="19">
        <f>IFERROR(__xludf.DUMMYFUNCTION("""COMPUTED_VALUE"""),0.00229)</f>
        <v>0.00229</v>
      </c>
      <c r="K464" s="19">
        <f>IFERROR(__xludf.DUMMYFUNCTION("""COMPUTED_VALUE"""),0.07218)</f>
        <v>0.07218</v>
      </c>
      <c r="L464" s="19" t="str">
        <f>IFERROR(__xludf.DUMMYFUNCTION("""COMPUTED_VALUE"""),"-")</f>
        <v>-</v>
      </c>
      <c r="M464" s="19">
        <f>IFERROR(__xludf.DUMMYFUNCTION("""COMPUTED_VALUE"""),0.03998)</f>
        <v>0.03998</v>
      </c>
    </row>
    <row r="465">
      <c r="A465" s="12" t="s">
        <v>7455</v>
      </c>
      <c r="G465" s="19">
        <f>IFERROR(__xludf.DUMMYFUNCTION("SPLIT(A463, "" |"")"),461.0)</f>
        <v>461</v>
      </c>
      <c r="H465" s="19">
        <f>IFERROR(__xludf.DUMMYFUNCTION("""COMPUTED_VALUE"""),0.00215)</f>
        <v>0.00215</v>
      </c>
      <c r="I465" s="19" t="str">
        <f>IFERROR(__xludf.DUMMYFUNCTION("""COMPUTED_VALUE"""),"-")</f>
        <v>-</v>
      </c>
      <c r="J465" s="19">
        <f>IFERROR(__xludf.DUMMYFUNCTION("""COMPUTED_VALUE"""),0.00199)</f>
        <v>0.00199</v>
      </c>
      <c r="K465" s="19">
        <f>IFERROR(__xludf.DUMMYFUNCTION("""COMPUTED_VALUE"""),0.03967)</f>
        <v>0.03967</v>
      </c>
      <c r="L465" s="19" t="str">
        <f>IFERROR(__xludf.DUMMYFUNCTION("""COMPUTED_VALUE"""),"-")</f>
        <v>-</v>
      </c>
      <c r="M465" s="19">
        <f>IFERROR(__xludf.DUMMYFUNCTION("""COMPUTED_VALUE"""),0.0381)</f>
        <v>0.0381</v>
      </c>
    </row>
    <row r="466">
      <c r="A466" s="12" t="s">
        <v>7456</v>
      </c>
      <c r="G466" s="19">
        <f>IFERROR(__xludf.DUMMYFUNCTION("SPLIT(A464, "" |"")"),462.0)</f>
        <v>462</v>
      </c>
      <c r="H466" s="19">
        <f>IFERROR(__xludf.DUMMYFUNCTION("""COMPUTED_VALUE"""),0.00223)</f>
        <v>0.00223</v>
      </c>
      <c r="I466" s="19" t="str">
        <f>IFERROR(__xludf.DUMMYFUNCTION("""COMPUTED_VALUE"""),"-")</f>
        <v>-</v>
      </c>
      <c r="J466" s="19">
        <f>IFERROR(__xludf.DUMMYFUNCTION("""COMPUTED_VALUE"""),0.00188)</f>
        <v>0.00188</v>
      </c>
      <c r="K466" s="19">
        <f>IFERROR(__xludf.DUMMYFUNCTION("""COMPUTED_VALUE"""),0.03962)</f>
        <v>0.03962</v>
      </c>
      <c r="L466" s="19" t="str">
        <f>IFERROR(__xludf.DUMMYFUNCTION("""COMPUTED_VALUE"""),"-")</f>
        <v>-</v>
      </c>
      <c r="M466" s="19">
        <f>IFERROR(__xludf.DUMMYFUNCTION("""COMPUTED_VALUE"""),0.0399)</f>
        <v>0.0399</v>
      </c>
    </row>
    <row r="467">
      <c r="A467" s="12" t="s">
        <v>7457</v>
      </c>
      <c r="G467" s="19">
        <f>IFERROR(__xludf.DUMMYFUNCTION("SPLIT(A465, "" |"")"),463.0)</f>
        <v>463</v>
      </c>
      <c r="H467" s="19">
        <f>IFERROR(__xludf.DUMMYFUNCTION("""COMPUTED_VALUE"""),0.00222)</f>
        <v>0.00222</v>
      </c>
      <c r="I467" s="19" t="str">
        <f>IFERROR(__xludf.DUMMYFUNCTION("""COMPUTED_VALUE"""),"-")</f>
        <v>-</v>
      </c>
      <c r="J467" s="19">
        <f>IFERROR(__xludf.DUMMYFUNCTION("""COMPUTED_VALUE"""),0.00195)</f>
        <v>0.00195</v>
      </c>
      <c r="K467" s="19">
        <f>IFERROR(__xludf.DUMMYFUNCTION("""COMPUTED_VALUE"""),0.03982)</f>
        <v>0.03982</v>
      </c>
      <c r="L467" s="19" t="str">
        <f>IFERROR(__xludf.DUMMYFUNCTION("""COMPUTED_VALUE"""),"-")</f>
        <v>-</v>
      </c>
      <c r="M467" s="19">
        <f>IFERROR(__xludf.DUMMYFUNCTION("""COMPUTED_VALUE"""),0.03992)</f>
        <v>0.03992</v>
      </c>
    </row>
    <row r="468">
      <c r="A468" s="12" t="s">
        <v>7458</v>
      </c>
      <c r="G468" s="19">
        <f>IFERROR(__xludf.DUMMYFUNCTION("SPLIT(A466, "" |"")"),464.0)</f>
        <v>464</v>
      </c>
      <c r="H468" s="19">
        <f>IFERROR(__xludf.DUMMYFUNCTION("""COMPUTED_VALUE"""),0.00211)</f>
        <v>0.00211</v>
      </c>
      <c r="I468" s="19" t="str">
        <f>IFERROR(__xludf.DUMMYFUNCTION("""COMPUTED_VALUE"""),"-")</f>
        <v>-</v>
      </c>
      <c r="J468" s="19">
        <f>IFERROR(__xludf.DUMMYFUNCTION("""COMPUTED_VALUE"""),0.00201)</f>
        <v>0.00201</v>
      </c>
      <c r="K468" s="19">
        <f>IFERROR(__xludf.DUMMYFUNCTION("""COMPUTED_VALUE"""),0.03895)</f>
        <v>0.03895</v>
      </c>
      <c r="L468" s="19" t="str">
        <f>IFERROR(__xludf.DUMMYFUNCTION("""COMPUTED_VALUE"""),"-")</f>
        <v>-</v>
      </c>
      <c r="M468" s="19">
        <f>IFERROR(__xludf.DUMMYFUNCTION("""COMPUTED_VALUE"""),0.03945)</f>
        <v>0.03945</v>
      </c>
    </row>
    <row r="469">
      <c r="A469" s="12" t="s">
        <v>7459</v>
      </c>
      <c r="G469" s="19">
        <f>IFERROR(__xludf.DUMMYFUNCTION("SPLIT(A467, "" |"")"),465.0)</f>
        <v>465</v>
      </c>
      <c r="H469" s="19">
        <f>IFERROR(__xludf.DUMMYFUNCTION("""COMPUTED_VALUE"""),0.00216)</f>
        <v>0.00216</v>
      </c>
      <c r="I469" s="19" t="str">
        <f>IFERROR(__xludf.DUMMYFUNCTION("""COMPUTED_VALUE"""),"-")</f>
        <v>-</v>
      </c>
      <c r="J469" s="19">
        <f>IFERROR(__xludf.DUMMYFUNCTION("""COMPUTED_VALUE"""),0.00201)</f>
        <v>0.00201</v>
      </c>
      <c r="K469" s="19">
        <f>IFERROR(__xludf.DUMMYFUNCTION("""COMPUTED_VALUE"""),0.0398)</f>
        <v>0.0398</v>
      </c>
      <c r="L469" s="19" t="str">
        <f>IFERROR(__xludf.DUMMYFUNCTION("""COMPUTED_VALUE"""),"-")</f>
        <v>-</v>
      </c>
      <c r="M469" s="19">
        <f>IFERROR(__xludf.DUMMYFUNCTION("""COMPUTED_VALUE"""),0.03975)</f>
        <v>0.03975</v>
      </c>
    </row>
    <row r="470">
      <c r="A470" s="12" t="s">
        <v>7460</v>
      </c>
      <c r="G470" s="19">
        <f>IFERROR(__xludf.DUMMYFUNCTION("SPLIT(A468, "" |"")"),466.0)</f>
        <v>466</v>
      </c>
      <c r="H470" s="19">
        <f>IFERROR(__xludf.DUMMYFUNCTION("""COMPUTED_VALUE"""),0.00209)</f>
        <v>0.00209</v>
      </c>
      <c r="I470" s="19" t="str">
        <f>IFERROR(__xludf.DUMMYFUNCTION("""COMPUTED_VALUE"""),"-")</f>
        <v>-</v>
      </c>
      <c r="J470" s="19">
        <f>IFERROR(__xludf.DUMMYFUNCTION("""COMPUTED_VALUE"""),0.00199)</f>
        <v>0.00199</v>
      </c>
      <c r="K470" s="19">
        <f>IFERROR(__xludf.DUMMYFUNCTION("""COMPUTED_VALUE"""),0.0397)</f>
        <v>0.0397</v>
      </c>
      <c r="L470" s="19" t="str">
        <f>IFERROR(__xludf.DUMMYFUNCTION("""COMPUTED_VALUE"""),"-")</f>
        <v>-</v>
      </c>
      <c r="M470" s="19">
        <f>IFERROR(__xludf.DUMMYFUNCTION("""COMPUTED_VALUE"""),0.03987)</f>
        <v>0.03987</v>
      </c>
    </row>
    <row r="471">
      <c r="A471" s="12" t="s">
        <v>7461</v>
      </c>
      <c r="G471" s="19">
        <f>IFERROR(__xludf.DUMMYFUNCTION("SPLIT(A469, "" |"")"),467.0)</f>
        <v>467</v>
      </c>
      <c r="H471" s="19">
        <f>IFERROR(__xludf.DUMMYFUNCTION("""COMPUTED_VALUE"""),0.00225)</f>
        <v>0.00225</v>
      </c>
      <c r="I471" s="19" t="str">
        <f>IFERROR(__xludf.DUMMYFUNCTION("""COMPUTED_VALUE"""),"-")</f>
        <v>-</v>
      </c>
      <c r="J471" s="19">
        <f>IFERROR(__xludf.DUMMYFUNCTION("""COMPUTED_VALUE"""),0.00202)</f>
        <v>0.00202</v>
      </c>
      <c r="K471" s="19">
        <f>IFERROR(__xludf.DUMMYFUNCTION("""COMPUTED_VALUE"""),0.03976)</f>
        <v>0.03976</v>
      </c>
      <c r="L471" s="19" t="str">
        <f>IFERROR(__xludf.DUMMYFUNCTION("""COMPUTED_VALUE"""),"-")</f>
        <v>-</v>
      </c>
      <c r="M471" s="19">
        <f>IFERROR(__xludf.DUMMYFUNCTION("""COMPUTED_VALUE"""),0.03973)</f>
        <v>0.03973</v>
      </c>
    </row>
    <row r="472">
      <c r="A472" s="12" t="s">
        <v>7462</v>
      </c>
      <c r="G472" s="19">
        <f>IFERROR(__xludf.DUMMYFUNCTION("SPLIT(A470, "" |"")"),468.0)</f>
        <v>468</v>
      </c>
      <c r="H472" s="19">
        <f>IFERROR(__xludf.DUMMYFUNCTION("""COMPUTED_VALUE"""),0.00202)</f>
        <v>0.00202</v>
      </c>
      <c r="I472" s="19" t="str">
        <f>IFERROR(__xludf.DUMMYFUNCTION("""COMPUTED_VALUE"""),"-")</f>
        <v>-</v>
      </c>
      <c r="J472" s="19">
        <f>IFERROR(__xludf.DUMMYFUNCTION("""COMPUTED_VALUE"""),0.002)</f>
        <v>0.002</v>
      </c>
      <c r="K472" s="19">
        <f>IFERROR(__xludf.DUMMYFUNCTION("""COMPUTED_VALUE"""),0.0384)</f>
        <v>0.0384</v>
      </c>
      <c r="L472" s="19" t="str">
        <f>IFERROR(__xludf.DUMMYFUNCTION("""COMPUTED_VALUE"""),"-")</f>
        <v>-</v>
      </c>
      <c r="M472" s="19">
        <f>IFERROR(__xludf.DUMMYFUNCTION("""COMPUTED_VALUE"""),0.03786)</f>
        <v>0.03786</v>
      </c>
    </row>
    <row r="473">
      <c r="A473" s="12" t="s">
        <v>7463</v>
      </c>
      <c r="G473" s="19">
        <f>IFERROR(__xludf.DUMMYFUNCTION("SPLIT(A471, "" |"")"),469.0)</f>
        <v>469</v>
      </c>
      <c r="H473" s="19">
        <f>IFERROR(__xludf.DUMMYFUNCTION("""COMPUTED_VALUE"""),0.00216)</f>
        <v>0.00216</v>
      </c>
      <c r="I473" s="19" t="str">
        <f>IFERROR(__xludf.DUMMYFUNCTION("""COMPUTED_VALUE"""),"-")</f>
        <v>-</v>
      </c>
      <c r="J473" s="19">
        <f>IFERROR(__xludf.DUMMYFUNCTION("""COMPUTED_VALUE"""),0.00201)</f>
        <v>0.00201</v>
      </c>
      <c r="K473" s="19">
        <f>IFERROR(__xludf.DUMMYFUNCTION("""COMPUTED_VALUE"""),0.03976)</f>
        <v>0.03976</v>
      </c>
      <c r="L473" s="19" t="str">
        <f>IFERROR(__xludf.DUMMYFUNCTION("""COMPUTED_VALUE"""),"-")</f>
        <v>-</v>
      </c>
      <c r="M473" s="19">
        <f>IFERROR(__xludf.DUMMYFUNCTION("""COMPUTED_VALUE"""),0.03562)</f>
        <v>0.03562</v>
      </c>
    </row>
    <row r="474">
      <c r="A474" s="12" t="s">
        <v>7464</v>
      </c>
      <c r="G474" s="19">
        <f>IFERROR(__xludf.DUMMYFUNCTION("SPLIT(A472, "" |"")"),470.0)</f>
        <v>470</v>
      </c>
      <c r="H474" s="19">
        <f>IFERROR(__xludf.DUMMYFUNCTION("""COMPUTED_VALUE"""),0.00228)</f>
        <v>0.00228</v>
      </c>
      <c r="I474" s="19" t="str">
        <f>IFERROR(__xludf.DUMMYFUNCTION("""COMPUTED_VALUE"""),"-")</f>
        <v>-</v>
      </c>
      <c r="J474" s="19">
        <f>IFERROR(__xludf.DUMMYFUNCTION("""COMPUTED_VALUE"""),0.00208)</f>
        <v>0.00208</v>
      </c>
      <c r="K474" s="19">
        <f>IFERROR(__xludf.DUMMYFUNCTION("""COMPUTED_VALUE"""),0.03978)</f>
        <v>0.03978</v>
      </c>
      <c r="L474" s="19" t="str">
        <f>IFERROR(__xludf.DUMMYFUNCTION("""COMPUTED_VALUE"""),"-")</f>
        <v>-</v>
      </c>
      <c r="M474" s="19">
        <f>IFERROR(__xludf.DUMMYFUNCTION("""COMPUTED_VALUE"""),0.04033)</f>
        <v>0.04033</v>
      </c>
    </row>
    <row r="475">
      <c r="A475" s="12" t="s">
        <v>7465</v>
      </c>
      <c r="G475" s="19">
        <f>IFERROR(__xludf.DUMMYFUNCTION("SPLIT(A473, "" |"")"),471.0)</f>
        <v>471</v>
      </c>
      <c r="H475" s="19">
        <f>IFERROR(__xludf.DUMMYFUNCTION("""COMPUTED_VALUE"""),0.00195)</f>
        <v>0.00195</v>
      </c>
      <c r="I475" s="19" t="str">
        <f>IFERROR(__xludf.DUMMYFUNCTION("""COMPUTED_VALUE"""),"-")</f>
        <v>-</v>
      </c>
      <c r="J475" s="19">
        <f>IFERROR(__xludf.DUMMYFUNCTION("""COMPUTED_VALUE"""),0.00192)</f>
        <v>0.00192</v>
      </c>
      <c r="K475" s="19">
        <f>IFERROR(__xludf.DUMMYFUNCTION("""COMPUTED_VALUE"""),0.0396)</f>
        <v>0.0396</v>
      </c>
      <c r="L475" s="19" t="str">
        <f>IFERROR(__xludf.DUMMYFUNCTION("""COMPUTED_VALUE"""),"-")</f>
        <v>-</v>
      </c>
      <c r="M475" s="19">
        <f>IFERROR(__xludf.DUMMYFUNCTION("""COMPUTED_VALUE"""),0.0386)</f>
        <v>0.0386</v>
      </c>
    </row>
    <row r="476">
      <c r="A476" s="12" t="s">
        <v>7466</v>
      </c>
      <c r="G476" s="19">
        <f>IFERROR(__xludf.DUMMYFUNCTION("SPLIT(A474, "" |"")"),472.0)</f>
        <v>472</v>
      </c>
      <c r="H476" s="19">
        <f>IFERROR(__xludf.DUMMYFUNCTION("""COMPUTED_VALUE"""),0.00214)</f>
        <v>0.00214</v>
      </c>
      <c r="I476" s="19" t="str">
        <f>IFERROR(__xludf.DUMMYFUNCTION("""COMPUTED_VALUE"""),"-")</f>
        <v>-</v>
      </c>
      <c r="J476" s="19">
        <f>IFERROR(__xludf.DUMMYFUNCTION("""COMPUTED_VALUE"""),0.00197)</f>
        <v>0.00197</v>
      </c>
      <c r="K476" s="19">
        <f>IFERROR(__xludf.DUMMYFUNCTION("""COMPUTED_VALUE"""),0.03941)</f>
        <v>0.03941</v>
      </c>
      <c r="L476" s="19" t="str">
        <f>IFERROR(__xludf.DUMMYFUNCTION("""COMPUTED_VALUE"""),"-")</f>
        <v>-</v>
      </c>
      <c r="M476" s="19">
        <f>IFERROR(__xludf.DUMMYFUNCTION("""COMPUTED_VALUE"""),0.04017)</f>
        <v>0.04017</v>
      </c>
    </row>
    <row r="477">
      <c r="A477" s="12" t="s">
        <v>7467</v>
      </c>
      <c r="G477" s="19">
        <f>IFERROR(__xludf.DUMMYFUNCTION("SPLIT(A475, "" |"")"),473.0)</f>
        <v>473</v>
      </c>
      <c r="H477" s="19">
        <f>IFERROR(__xludf.DUMMYFUNCTION("""COMPUTED_VALUE"""),0.00222)</f>
        <v>0.00222</v>
      </c>
      <c r="I477" s="19" t="str">
        <f>IFERROR(__xludf.DUMMYFUNCTION("""COMPUTED_VALUE"""),"-")</f>
        <v>-</v>
      </c>
      <c r="J477" s="19">
        <f>IFERROR(__xludf.DUMMYFUNCTION("""COMPUTED_VALUE"""),0.00205)</f>
        <v>0.00205</v>
      </c>
      <c r="K477" s="19">
        <f>IFERROR(__xludf.DUMMYFUNCTION("""COMPUTED_VALUE"""),0.03927)</f>
        <v>0.03927</v>
      </c>
      <c r="L477" s="19" t="str">
        <f>IFERROR(__xludf.DUMMYFUNCTION("""COMPUTED_VALUE"""),"-")</f>
        <v>-</v>
      </c>
      <c r="M477" s="19">
        <f>IFERROR(__xludf.DUMMYFUNCTION("""COMPUTED_VALUE"""),0.04042)</f>
        <v>0.04042</v>
      </c>
    </row>
    <row r="478">
      <c r="A478" s="12" t="s">
        <v>7468</v>
      </c>
      <c r="G478" s="19">
        <f>IFERROR(__xludf.DUMMYFUNCTION("SPLIT(A476, "" |"")"),474.0)</f>
        <v>474</v>
      </c>
      <c r="H478" s="19">
        <f>IFERROR(__xludf.DUMMYFUNCTION("""COMPUTED_VALUE"""),0.00236)</f>
        <v>0.00236</v>
      </c>
      <c r="I478" s="19" t="str">
        <f>IFERROR(__xludf.DUMMYFUNCTION("""COMPUTED_VALUE"""),"-")</f>
        <v>-</v>
      </c>
      <c r="J478" s="19">
        <f>IFERROR(__xludf.DUMMYFUNCTION("""COMPUTED_VALUE"""),0.00192)</f>
        <v>0.00192</v>
      </c>
      <c r="K478" s="19">
        <f>IFERROR(__xludf.DUMMYFUNCTION("""COMPUTED_VALUE"""),0.03965)</f>
        <v>0.03965</v>
      </c>
      <c r="L478" s="19" t="str">
        <f>IFERROR(__xludf.DUMMYFUNCTION("""COMPUTED_VALUE"""),"-")</f>
        <v>-</v>
      </c>
      <c r="M478" s="19">
        <f>IFERROR(__xludf.DUMMYFUNCTION("""COMPUTED_VALUE"""),0.04065)</f>
        <v>0.04065</v>
      </c>
    </row>
    <row r="479">
      <c r="A479" s="12" t="s">
        <v>7469</v>
      </c>
      <c r="G479" s="19">
        <f>IFERROR(__xludf.DUMMYFUNCTION("SPLIT(A477, "" |"")"),475.0)</f>
        <v>475</v>
      </c>
      <c r="H479" s="19">
        <f>IFERROR(__xludf.DUMMYFUNCTION("""COMPUTED_VALUE"""),0.00199)</f>
        <v>0.00199</v>
      </c>
      <c r="I479" s="19" t="str">
        <f>IFERROR(__xludf.DUMMYFUNCTION("""COMPUTED_VALUE"""),"-")</f>
        <v>-</v>
      </c>
      <c r="J479" s="19">
        <f>IFERROR(__xludf.DUMMYFUNCTION("""COMPUTED_VALUE"""),0.00202)</f>
        <v>0.00202</v>
      </c>
      <c r="K479" s="19">
        <f>IFERROR(__xludf.DUMMYFUNCTION("""COMPUTED_VALUE"""),0.03966)</f>
        <v>0.03966</v>
      </c>
      <c r="L479" s="19" t="str">
        <f>IFERROR(__xludf.DUMMYFUNCTION("""COMPUTED_VALUE"""),"-")</f>
        <v>-</v>
      </c>
      <c r="M479" s="19">
        <f>IFERROR(__xludf.DUMMYFUNCTION("""COMPUTED_VALUE"""),0.03995)</f>
        <v>0.03995</v>
      </c>
    </row>
    <row r="480">
      <c r="A480" s="12" t="s">
        <v>7470</v>
      </c>
      <c r="G480" s="19">
        <f>IFERROR(__xludf.DUMMYFUNCTION("SPLIT(A478, "" |"")"),476.0)</f>
        <v>476</v>
      </c>
      <c r="H480" s="19">
        <f>IFERROR(__xludf.DUMMYFUNCTION("""COMPUTED_VALUE"""),0.00242)</f>
        <v>0.00242</v>
      </c>
      <c r="I480" s="19" t="str">
        <f>IFERROR(__xludf.DUMMYFUNCTION("""COMPUTED_VALUE"""),"-")</f>
        <v>-</v>
      </c>
      <c r="J480" s="19">
        <f>IFERROR(__xludf.DUMMYFUNCTION("""COMPUTED_VALUE"""),0.00239)</f>
        <v>0.00239</v>
      </c>
      <c r="K480" s="19">
        <f>IFERROR(__xludf.DUMMYFUNCTION("""COMPUTED_VALUE"""),0.04027)</f>
        <v>0.04027</v>
      </c>
      <c r="L480" s="19" t="str">
        <f>IFERROR(__xludf.DUMMYFUNCTION("""COMPUTED_VALUE"""),"-")</f>
        <v>-</v>
      </c>
      <c r="M480" s="19">
        <f>IFERROR(__xludf.DUMMYFUNCTION("""COMPUTED_VALUE"""),0.03994)</f>
        <v>0.03994</v>
      </c>
    </row>
    <row r="481">
      <c r="A481" s="12" t="s">
        <v>7471</v>
      </c>
      <c r="G481" s="19">
        <f>IFERROR(__xludf.DUMMYFUNCTION("SPLIT(A479, "" |"")"),477.0)</f>
        <v>477</v>
      </c>
      <c r="H481" s="19">
        <f>IFERROR(__xludf.DUMMYFUNCTION("""COMPUTED_VALUE"""),0.00225)</f>
        <v>0.00225</v>
      </c>
      <c r="I481" s="19" t="str">
        <f>IFERROR(__xludf.DUMMYFUNCTION("""COMPUTED_VALUE"""),"-")</f>
        <v>-</v>
      </c>
      <c r="J481" s="19">
        <f>IFERROR(__xludf.DUMMYFUNCTION("""COMPUTED_VALUE"""),0.0019)</f>
        <v>0.0019</v>
      </c>
      <c r="K481" s="19">
        <f>IFERROR(__xludf.DUMMYFUNCTION("""COMPUTED_VALUE"""),0.03972)</f>
        <v>0.03972</v>
      </c>
      <c r="L481" s="19" t="str">
        <f>IFERROR(__xludf.DUMMYFUNCTION("""COMPUTED_VALUE"""),"-")</f>
        <v>-</v>
      </c>
      <c r="M481" s="19">
        <f>IFERROR(__xludf.DUMMYFUNCTION("""COMPUTED_VALUE"""),0.04079)</f>
        <v>0.04079</v>
      </c>
    </row>
    <row r="482">
      <c r="A482" s="12" t="s">
        <v>7472</v>
      </c>
      <c r="G482" s="19">
        <f>IFERROR(__xludf.DUMMYFUNCTION("SPLIT(A480, "" |"")"),478.0)</f>
        <v>478</v>
      </c>
      <c r="H482" s="19">
        <f>IFERROR(__xludf.DUMMYFUNCTION("""COMPUTED_VALUE"""),0.00212)</f>
        <v>0.00212</v>
      </c>
      <c r="I482" s="19" t="str">
        <f>IFERROR(__xludf.DUMMYFUNCTION("""COMPUTED_VALUE"""),"-")</f>
        <v>-</v>
      </c>
      <c r="J482" s="19">
        <f>IFERROR(__xludf.DUMMYFUNCTION("""COMPUTED_VALUE"""),0.00197)</f>
        <v>0.00197</v>
      </c>
      <c r="K482" s="19">
        <f>IFERROR(__xludf.DUMMYFUNCTION("""COMPUTED_VALUE"""),0.03818)</f>
        <v>0.03818</v>
      </c>
      <c r="L482" s="19" t="str">
        <f>IFERROR(__xludf.DUMMYFUNCTION("""COMPUTED_VALUE"""),"-")</f>
        <v>-</v>
      </c>
      <c r="M482" s="19">
        <f>IFERROR(__xludf.DUMMYFUNCTION("""COMPUTED_VALUE"""),0.03954)</f>
        <v>0.03954</v>
      </c>
    </row>
    <row r="483">
      <c r="A483" s="12" t="s">
        <v>7473</v>
      </c>
      <c r="G483" s="19">
        <f>IFERROR(__xludf.DUMMYFUNCTION("SPLIT(A481, "" |"")"),479.0)</f>
        <v>479</v>
      </c>
      <c r="H483" s="19">
        <f>IFERROR(__xludf.DUMMYFUNCTION("""COMPUTED_VALUE"""),0.00205)</f>
        <v>0.00205</v>
      </c>
      <c r="I483" s="19" t="str">
        <f>IFERROR(__xludf.DUMMYFUNCTION("""COMPUTED_VALUE"""),"-")</f>
        <v>-</v>
      </c>
      <c r="J483" s="19">
        <f>IFERROR(__xludf.DUMMYFUNCTION("""COMPUTED_VALUE"""),0.00207)</f>
        <v>0.00207</v>
      </c>
      <c r="K483" s="19">
        <f>IFERROR(__xludf.DUMMYFUNCTION("""COMPUTED_VALUE"""),0.03968)</f>
        <v>0.03968</v>
      </c>
      <c r="L483" s="19" t="str">
        <f>IFERROR(__xludf.DUMMYFUNCTION("""COMPUTED_VALUE"""),"-")</f>
        <v>-</v>
      </c>
      <c r="M483" s="19">
        <f>IFERROR(__xludf.DUMMYFUNCTION("""COMPUTED_VALUE"""),0.03713)</f>
        <v>0.03713</v>
      </c>
    </row>
    <row r="484">
      <c r="A484" s="12" t="s">
        <v>7474</v>
      </c>
      <c r="G484" s="19">
        <f>IFERROR(__xludf.DUMMYFUNCTION("SPLIT(A482, "" |"")"),480.0)</f>
        <v>480</v>
      </c>
      <c r="H484" s="19">
        <f>IFERROR(__xludf.DUMMYFUNCTION("""COMPUTED_VALUE"""),0.00211)</f>
        <v>0.00211</v>
      </c>
      <c r="I484" s="19" t="str">
        <f>IFERROR(__xludf.DUMMYFUNCTION("""COMPUTED_VALUE"""),"-")</f>
        <v>-</v>
      </c>
      <c r="J484" s="19">
        <f>IFERROR(__xludf.DUMMYFUNCTION("""COMPUTED_VALUE"""),0.00196)</f>
        <v>0.00196</v>
      </c>
      <c r="K484" s="19">
        <f>IFERROR(__xludf.DUMMYFUNCTION("""COMPUTED_VALUE"""),0.03957)</f>
        <v>0.03957</v>
      </c>
      <c r="L484" s="19" t="str">
        <f>IFERROR(__xludf.DUMMYFUNCTION("""COMPUTED_VALUE"""),"-")</f>
        <v>-</v>
      </c>
      <c r="M484" s="19">
        <f>IFERROR(__xludf.DUMMYFUNCTION("""COMPUTED_VALUE"""),0.04085)</f>
        <v>0.04085</v>
      </c>
    </row>
    <row r="485">
      <c r="A485" s="12" t="s">
        <v>7475</v>
      </c>
      <c r="G485" s="19">
        <f>IFERROR(__xludf.DUMMYFUNCTION("SPLIT(A483, "" |"")"),481.0)</f>
        <v>481</v>
      </c>
      <c r="H485" s="19">
        <f>IFERROR(__xludf.DUMMYFUNCTION("""COMPUTED_VALUE"""),0.00221)</f>
        <v>0.00221</v>
      </c>
      <c r="I485" s="19" t="str">
        <f>IFERROR(__xludf.DUMMYFUNCTION("""COMPUTED_VALUE"""),"-")</f>
        <v>-</v>
      </c>
      <c r="J485" s="19">
        <f>IFERROR(__xludf.DUMMYFUNCTION("""COMPUTED_VALUE"""),0.00197)</f>
        <v>0.00197</v>
      </c>
      <c r="K485" s="19">
        <f>IFERROR(__xludf.DUMMYFUNCTION("""COMPUTED_VALUE"""),0.03976)</f>
        <v>0.03976</v>
      </c>
      <c r="L485" s="19" t="str">
        <f>IFERROR(__xludf.DUMMYFUNCTION("""COMPUTED_VALUE"""),"-")</f>
        <v>-</v>
      </c>
      <c r="M485" s="19">
        <f>IFERROR(__xludf.DUMMYFUNCTION("""COMPUTED_VALUE"""),0.04029)</f>
        <v>0.04029</v>
      </c>
    </row>
    <row r="486">
      <c r="A486" s="12" t="s">
        <v>7476</v>
      </c>
      <c r="G486" s="19">
        <f>IFERROR(__xludf.DUMMYFUNCTION("SPLIT(A484, "" |"")"),482.0)</f>
        <v>482</v>
      </c>
      <c r="H486" s="19">
        <f>IFERROR(__xludf.DUMMYFUNCTION("""COMPUTED_VALUE"""),0.00207)</f>
        <v>0.00207</v>
      </c>
      <c r="I486" s="19" t="str">
        <f>IFERROR(__xludf.DUMMYFUNCTION("""COMPUTED_VALUE"""),"-")</f>
        <v>-</v>
      </c>
      <c r="J486" s="19">
        <f>IFERROR(__xludf.DUMMYFUNCTION("""COMPUTED_VALUE"""),0.00186)</f>
        <v>0.00186</v>
      </c>
      <c r="K486" s="19">
        <f>IFERROR(__xludf.DUMMYFUNCTION("""COMPUTED_VALUE"""),0.03969)</f>
        <v>0.03969</v>
      </c>
      <c r="L486" s="19" t="str">
        <f>IFERROR(__xludf.DUMMYFUNCTION("""COMPUTED_VALUE"""),"-")</f>
        <v>-</v>
      </c>
      <c r="M486" s="19">
        <f>IFERROR(__xludf.DUMMYFUNCTION("""COMPUTED_VALUE"""),0.03989)</f>
        <v>0.03989</v>
      </c>
    </row>
    <row r="487">
      <c r="A487" s="12" t="s">
        <v>7477</v>
      </c>
      <c r="G487" s="19">
        <f>IFERROR(__xludf.DUMMYFUNCTION("SPLIT(A485, "" |"")"),483.0)</f>
        <v>483</v>
      </c>
      <c r="H487" s="19">
        <f>IFERROR(__xludf.DUMMYFUNCTION("""COMPUTED_VALUE"""),0.00222)</f>
        <v>0.00222</v>
      </c>
      <c r="I487" s="19" t="str">
        <f>IFERROR(__xludf.DUMMYFUNCTION("""COMPUTED_VALUE"""),"-")</f>
        <v>-</v>
      </c>
      <c r="J487" s="19">
        <f>IFERROR(__xludf.DUMMYFUNCTION("""COMPUTED_VALUE"""),0.00202)</f>
        <v>0.00202</v>
      </c>
      <c r="K487" s="19">
        <f>IFERROR(__xludf.DUMMYFUNCTION("""COMPUTED_VALUE"""),0.03971)</f>
        <v>0.03971</v>
      </c>
      <c r="L487" s="19" t="str">
        <f>IFERROR(__xludf.DUMMYFUNCTION("""COMPUTED_VALUE"""),"-")</f>
        <v>-</v>
      </c>
      <c r="M487" s="19">
        <f>IFERROR(__xludf.DUMMYFUNCTION("""COMPUTED_VALUE"""),0.03989)</f>
        <v>0.03989</v>
      </c>
    </row>
    <row r="488">
      <c r="A488" s="12" t="s">
        <v>7478</v>
      </c>
      <c r="G488" s="19">
        <f>IFERROR(__xludf.DUMMYFUNCTION("SPLIT(A486, "" |"")"),484.0)</f>
        <v>484</v>
      </c>
      <c r="H488" s="19">
        <f>IFERROR(__xludf.DUMMYFUNCTION("""COMPUTED_VALUE"""),0.00228)</f>
        <v>0.00228</v>
      </c>
      <c r="I488" s="19" t="str">
        <f>IFERROR(__xludf.DUMMYFUNCTION("""COMPUTED_VALUE"""),"-")</f>
        <v>-</v>
      </c>
      <c r="J488" s="19">
        <f>IFERROR(__xludf.DUMMYFUNCTION("""COMPUTED_VALUE"""),0.00224)</f>
        <v>0.00224</v>
      </c>
      <c r="K488" s="19">
        <f>IFERROR(__xludf.DUMMYFUNCTION("""COMPUTED_VALUE"""),0.03984)</f>
        <v>0.03984</v>
      </c>
      <c r="L488" s="19" t="str">
        <f>IFERROR(__xludf.DUMMYFUNCTION("""COMPUTED_VALUE"""),"-")</f>
        <v>-</v>
      </c>
      <c r="M488" s="19">
        <f>IFERROR(__xludf.DUMMYFUNCTION("""COMPUTED_VALUE"""),0.03876)</f>
        <v>0.03876</v>
      </c>
    </row>
    <row r="489">
      <c r="A489" s="12" t="s">
        <v>7479</v>
      </c>
      <c r="G489" s="19">
        <f>IFERROR(__xludf.DUMMYFUNCTION("SPLIT(A487, "" |"")"),485.0)</f>
        <v>485</v>
      </c>
      <c r="H489" s="19">
        <f>IFERROR(__xludf.DUMMYFUNCTION("""COMPUTED_VALUE"""),0.00221)</f>
        <v>0.00221</v>
      </c>
      <c r="I489" s="19" t="str">
        <f>IFERROR(__xludf.DUMMYFUNCTION("""COMPUTED_VALUE"""),"-")</f>
        <v>-</v>
      </c>
      <c r="J489" s="19">
        <f>IFERROR(__xludf.DUMMYFUNCTION("""COMPUTED_VALUE"""),0.00206)</f>
        <v>0.00206</v>
      </c>
      <c r="K489" s="19">
        <f>IFERROR(__xludf.DUMMYFUNCTION("""COMPUTED_VALUE"""),0.03994)</f>
        <v>0.03994</v>
      </c>
      <c r="L489" s="19" t="str">
        <f>IFERROR(__xludf.DUMMYFUNCTION("""COMPUTED_VALUE"""),"-")</f>
        <v>-</v>
      </c>
      <c r="M489" s="19">
        <f>IFERROR(__xludf.DUMMYFUNCTION("""COMPUTED_VALUE"""),0.04042)</f>
        <v>0.04042</v>
      </c>
    </row>
    <row r="490">
      <c r="A490" s="12" t="s">
        <v>7480</v>
      </c>
      <c r="G490" s="19">
        <f>IFERROR(__xludf.DUMMYFUNCTION("SPLIT(A488, "" |"")"),486.0)</f>
        <v>486</v>
      </c>
      <c r="H490" s="19">
        <f>IFERROR(__xludf.DUMMYFUNCTION("""COMPUTED_VALUE"""),0.0022)</f>
        <v>0.0022</v>
      </c>
      <c r="I490" s="19" t="str">
        <f>IFERROR(__xludf.DUMMYFUNCTION("""COMPUTED_VALUE"""),"-")</f>
        <v>-</v>
      </c>
      <c r="J490" s="19">
        <f>IFERROR(__xludf.DUMMYFUNCTION("""COMPUTED_VALUE"""),0.00189)</f>
        <v>0.00189</v>
      </c>
      <c r="K490" s="19">
        <f>IFERROR(__xludf.DUMMYFUNCTION("""COMPUTED_VALUE"""),0.03985)</f>
        <v>0.03985</v>
      </c>
      <c r="L490" s="19" t="str">
        <f>IFERROR(__xludf.DUMMYFUNCTION("""COMPUTED_VALUE"""),"-")</f>
        <v>-</v>
      </c>
      <c r="M490" s="19">
        <f>IFERROR(__xludf.DUMMYFUNCTION("""COMPUTED_VALUE"""),0.04002)</f>
        <v>0.04002</v>
      </c>
    </row>
    <row r="491">
      <c r="A491" s="12" t="s">
        <v>7481</v>
      </c>
      <c r="G491" s="19">
        <f>IFERROR(__xludf.DUMMYFUNCTION("SPLIT(A489, "" |"")"),487.0)</f>
        <v>487</v>
      </c>
      <c r="H491" s="19">
        <f>IFERROR(__xludf.DUMMYFUNCTION("""COMPUTED_VALUE"""),0.00211)</f>
        <v>0.00211</v>
      </c>
      <c r="I491" s="19" t="str">
        <f>IFERROR(__xludf.DUMMYFUNCTION("""COMPUTED_VALUE"""),"-")</f>
        <v>-</v>
      </c>
      <c r="J491" s="19">
        <f>IFERROR(__xludf.DUMMYFUNCTION("""COMPUTED_VALUE"""),0.00197)</f>
        <v>0.00197</v>
      </c>
      <c r="K491" s="19">
        <f>IFERROR(__xludf.DUMMYFUNCTION("""COMPUTED_VALUE"""),0.04053)</f>
        <v>0.04053</v>
      </c>
      <c r="L491" s="19" t="str">
        <f>IFERROR(__xludf.DUMMYFUNCTION("""COMPUTED_VALUE"""),"-")</f>
        <v>-</v>
      </c>
      <c r="M491" s="19">
        <f>IFERROR(__xludf.DUMMYFUNCTION("""COMPUTED_VALUE"""),0.03858)</f>
        <v>0.03858</v>
      </c>
    </row>
    <row r="492">
      <c r="A492" s="12" t="s">
        <v>7482</v>
      </c>
      <c r="G492" s="19">
        <f>IFERROR(__xludf.DUMMYFUNCTION("SPLIT(A490, "" |"")"),488.0)</f>
        <v>488</v>
      </c>
      <c r="H492" s="19">
        <f>IFERROR(__xludf.DUMMYFUNCTION("""COMPUTED_VALUE"""),0.00208)</f>
        <v>0.00208</v>
      </c>
      <c r="I492" s="19" t="str">
        <f>IFERROR(__xludf.DUMMYFUNCTION("""COMPUTED_VALUE"""),"-")</f>
        <v>-</v>
      </c>
      <c r="J492" s="19">
        <f>IFERROR(__xludf.DUMMYFUNCTION("""COMPUTED_VALUE"""),0.0019)</f>
        <v>0.0019</v>
      </c>
      <c r="K492" s="19">
        <f>IFERROR(__xludf.DUMMYFUNCTION("""COMPUTED_VALUE"""),0.04032)</f>
        <v>0.04032</v>
      </c>
      <c r="L492" s="19" t="str">
        <f>IFERROR(__xludf.DUMMYFUNCTION("""COMPUTED_VALUE"""),"-")</f>
        <v>-</v>
      </c>
      <c r="M492" s="19">
        <f>IFERROR(__xludf.DUMMYFUNCTION("""COMPUTED_VALUE"""),0.03986)</f>
        <v>0.03986</v>
      </c>
    </row>
    <row r="493">
      <c r="A493" s="12" t="s">
        <v>7483</v>
      </c>
      <c r="G493" s="19">
        <f>IFERROR(__xludf.DUMMYFUNCTION("SPLIT(A491, "" |"")"),489.0)</f>
        <v>489</v>
      </c>
      <c r="H493" s="19">
        <f>IFERROR(__xludf.DUMMYFUNCTION("""COMPUTED_VALUE"""),0.00216)</f>
        <v>0.00216</v>
      </c>
      <c r="I493" s="19" t="str">
        <f>IFERROR(__xludf.DUMMYFUNCTION("""COMPUTED_VALUE"""),"-")</f>
        <v>-</v>
      </c>
      <c r="J493" s="19">
        <f>IFERROR(__xludf.DUMMYFUNCTION("""COMPUTED_VALUE"""),0.00196)</f>
        <v>0.00196</v>
      </c>
      <c r="K493" s="19">
        <f>IFERROR(__xludf.DUMMYFUNCTION("""COMPUTED_VALUE"""),0.03991)</f>
        <v>0.03991</v>
      </c>
      <c r="L493" s="19" t="str">
        <f>IFERROR(__xludf.DUMMYFUNCTION("""COMPUTED_VALUE"""),"-")</f>
        <v>-</v>
      </c>
      <c r="M493" s="19">
        <f>IFERROR(__xludf.DUMMYFUNCTION("""COMPUTED_VALUE"""),0.04067)</f>
        <v>0.04067</v>
      </c>
    </row>
    <row r="494">
      <c r="A494" s="12" t="s">
        <v>7484</v>
      </c>
      <c r="G494" s="19">
        <f>IFERROR(__xludf.DUMMYFUNCTION("SPLIT(A492, "" |"")"),490.0)</f>
        <v>490</v>
      </c>
      <c r="H494" s="19">
        <f>IFERROR(__xludf.DUMMYFUNCTION("""COMPUTED_VALUE"""),0.00213)</f>
        <v>0.00213</v>
      </c>
      <c r="I494" s="19" t="str">
        <f>IFERROR(__xludf.DUMMYFUNCTION("""COMPUTED_VALUE"""),"-")</f>
        <v>-</v>
      </c>
      <c r="J494" s="19">
        <f>IFERROR(__xludf.DUMMYFUNCTION("""COMPUTED_VALUE"""),0.00205)</f>
        <v>0.00205</v>
      </c>
      <c r="K494" s="19">
        <f>IFERROR(__xludf.DUMMYFUNCTION("""COMPUTED_VALUE"""),0.04028)</f>
        <v>0.04028</v>
      </c>
      <c r="L494" s="19" t="str">
        <f>IFERROR(__xludf.DUMMYFUNCTION("""COMPUTED_VALUE"""),"-")</f>
        <v>-</v>
      </c>
      <c r="M494" s="19">
        <f>IFERROR(__xludf.DUMMYFUNCTION("""COMPUTED_VALUE"""),0.04029)</f>
        <v>0.04029</v>
      </c>
    </row>
    <row r="495">
      <c r="A495" s="12" t="s">
        <v>7485</v>
      </c>
      <c r="G495" s="19">
        <f>IFERROR(__xludf.DUMMYFUNCTION("SPLIT(A493, "" |"")"),491.0)</f>
        <v>491</v>
      </c>
      <c r="H495" s="19">
        <f>IFERROR(__xludf.DUMMYFUNCTION("""COMPUTED_VALUE"""),0.00219)</f>
        <v>0.00219</v>
      </c>
      <c r="I495" s="19" t="str">
        <f>IFERROR(__xludf.DUMMYFUNCTION("""COMPUTED_VALUE"""),"-")</f>
        <v>-</v>
      </c>
      <c r="J495" s="19">
        <f>IFERROR(__xludf.DUMMYFUNCTION("""COMPUTED_VALUE"""),0.0024)</f>
        <v>0.0024</v>
      </c>
      <c r="K495" s="19">
        <f>IFERROR(__xludf.DUMMYFUNCTION("""COMPUTED_VALUE"""),0.04013)</f>
        <v>0.04013</v>
      </c>
      <c r="L495" s="19" t="str">
        <f>IFERROR(__xludf.DUMMYFUNCTION("""COMPUTED_VALUE"""),"-")</f>
        <v>-</v>
      </c>
      <c r="M495" s="19">
        <f>IFERROR(__xludf.DUMMYFUNCTION("""COMPUTED_VALUE"""),0.03995)</f>
        <v>0.03995</v>
      </c>
    </row>
    <row r="496">
      <c r="A496" s="12" t="s">
        <v>7486</v>
      </c>
      <c r="G496" s="19">
        <f>IFERROR(__xludf.DUMMYFUNCTION("SPLIT(A494, "" |"")"),492.0)</f>
        <v>492</v>
      </c>
      <c r="H496" s="19">
        <f>IFERROR(__xludf.DUMMYFUNCTION("""COMPUTED_VALUE"""),0.00224)</f>
        <v>0.00224</v>
      </c>
      <c r="I496" s="19" t="str">
        <f>IFERROR(__xludf.DUMMYFUNCTION("""COMPUTED_VALUE"""),"-")</f>
        <v>-</v>
      </c>
      <c r="J496" s="19">
        <f>IFERROR(__xludf.DUMMYFUNCTION("""COMPUTED_VALUE"""),0.00189)</f>
        <v>0.00189</v>
      </c>
      <c r="K496" s="19">
        <f>IFERROR(__xludf.DUMMYFUNCTION("""COMPUTED_VALUE"""),0.03995)</f>
        <v>0.03995</v>
      </c>
      <c r="L496" s="19" t="str">
        <f>IFERROR(__xludf.DUMMYFUNCTION("""COMPUTED_VALUE"""),"-")</f>
        <v>-</v>
      </c>
      <c r="M496" s="19">
        <f>IFERROR(__xludf.DUMMYFUNCTION("""COMPUTED_VALUE"""),0.03985)</f>
        <v>0.03985</v>
      </c>
    </row>
    <row r="497">
      <c r="A497" s="12" t="s">
        <v>7487</v>
      </c>
      <c r="G497" s="19">
        <f>IFERROR(__xludf.DUMMYFUNCTION("SPLIT(A495, "" |"")"),493.0)</f>
        <v>493</v>
      </c>
      <c r="H497" s="19">
        <f>IFERROR(__xludf.DUMMYFUNCTION("""COMPUTED_VALUE"""),0.00266)</f>
        <v>0.00266</v>
      </c>
      <c r="I497" s="19" t="str">
        <f>IFERROR(__xludf.DUMMYFUNCTION("""COMPUTED_VALUE"""),"-")</f>
        <v>-</v>
      </c>
      <c r="J497" s="19">
        <f>IFERROR(__xludf.DUMMYFUNCTION("""COMPUTED_VALUE"""),0.00179)</f>
        <v>0.00179</v>
      </c>
      <c r="K497" s="19">
        <f>IFERROR(__xludf.DUMMYFUNCTION("""COMPUTED_VALUE"""),0.03957)</f>
        <v>0.03957</v>
      </c>
      <c r="L497" s="19" t="str">
        <f>IFERROR(__xludf.DUMMYFUNCTION("""COMPUTED_VALUE"""),"-")</f>
        <v>-</v>
      </c>
      <c r="M497" s="19">
        <f>IFERROR(__xludf.DUMMYFUNCTION("""COMPUTED_VALUE"""),0.03544)</f>
        <v>0.03544</v>
      </c>
    </row>
    <row r="498">
      <c r="A498" s="12" t="s">
        <v>7488</v>
      </c>
      <c r="G498" s="19">
        <f>IFERROR(__xludf.DUMMYFUNCTION("SPLIT(A496, "" |"")"),494.0)</f>
        <v>494</v>
      </c>
      <c r="H498" s="19">
        <f>IFERROR(__xludf.DUMMYFUNCTION("""COMPUTED_VALUE"""),0.00227)</f>
        <v>0.00227</v>
      </c>
      <c r="I498" s="19" t="str">
        <f>IFERROR(__xludf.DUMMYFUNCTION("""COMPUTED_VALUE"""),"-")</f>
        <v>-</v>
      </c>
      <c r="J498" s="19">
        <f>IFERROR(__xludf.DUMMYFUNCTION("""COMPUTED_VALUE"""),0.00209)</f>
        <v>0.00209</v>
      </c>
      <c r="K498" s="19">
        <f>IFERROR(__xludf.DUMMYFUNCTION("""COMPUTED_VALUE"""),0.03999)</f>
        <v>0.03999</v>
      </c>
      <c r="L498" s="19" t="str">
        <f>IFERROR(__xludf.DUMMYFUNCTION("""COMPUTED_VALUE"""),"-")</f>
        <v>-</v>
      </c>
      <c r="M498" s="19">
        <f>IFERROR(__xludf.DUMMYFUNCTION("""COMPUTED_VALUE"""),0.03883)</f>
        <v>0.03883</v>
      </c>
    </row>
    <row r="499">
      <c r="A499" s="12" t="s">
        <v>7489</v>
      </c>
      <c r="G499" s="19">
        <f>IFERROR(__xludf.DUMMYFUNCTION("SPLIT(A497, "" |"")"),495.0)</f>
        <v>495</v>
      </c>
      <c r="H499" s="19">
        <f>IFERROR(__xludf.DUMMYFUNCTION("""COMPUTED_VALUE"""),0.0022)</f>
        <v>0.0022</v>
      </c>
      <c r="I499" s="19" t="str">
        <f>IFERROR(__xludf.DUMMYFUNCTION("""COMPUTED_VALUE"""),"-")</f>
        <v>-</v>
      </c>
      <c r="J499" s="19">
        <f>IFERROR(__xludf.DUMMYFUNCTION("""COMPUTED_VALUE"""),0.00209)</f>
        <v>0.00209</v>
      </c>
      <c r="K499" s="19">
        <f>IFERROR(__xludf.DUMMYFUNCTION("""COMPUTED_VALUE"""),0.04073)</f>
        <v>0.04073</v>
      </c>
      <c r="L499" s="19" t="str">
        <f>IFERROR(__xludf.DUMMYFUNCTION("""COMPUTED_VALUE"""),"-")</f>
        <v>-</v>
      </c>
      <c r="M499" s="19">
        <f>IFERROR(__xludf.DUMMYFUNCTION("""COMPUTED_VALUE"""),0.04012)</f>
        <v>0.04012</v>
      </c>
    </row>
    <row r="500">
      <c r="A500" s="12" t="s">
        <v>7490</v>
      </c>
      <c r="G500" s="19">
        <f>IFERROR(__xludf.DUMMYFUNCTION("SPLIT(A498, "" |"")"),496.0)</f>
        <v>496</v>
      </c>
      <c r="H500" s="19">
        <f>IFERROR(__xludf.DUMMYFUNCTION("""COMPUTED_VALUE"""),0.00229)</f>
        <v>0.00229</v>
      </c>
      <c r="I500" s="19" t="str">
        <f>IFERROR(__xludf.DUMMYFUNCTION("""COMPUTED_VALUE"""),"-")</f>
        <v>-</v>
      </c>
      <c r="J500" s="19">
        <f>IFERROR(__xludf.DUMMYFUNCTION("""COMPUTED_VALUE"""),0.00187)</f>
        <v>0.00187</v>
      </c>
      <c r="K500" s="19">
        <f>IFERROR(__xludf.DUMMYFUNCTION("""COMPUTED_VALUE"""),0.03881)</f>
        <v>0.03881</v>
      </c>
      <c r="L500" s="19" t="str">
        <f>IFERROR(__xludf.DUMMYFUNCTION("""COMPUTED_VALUE"""),"-")</f>
        <v>-</v>
      </c>
      <c r="M500" s="19">
        <f>IFERROR(__xludf.DUMMYFUNCTION("""COMPUTED_VALUE"""),0.04014)</f>
        <v>0.04014</v>
      </c>
    </row>
    <row r="501">
      <c r="A501" s="12" t="s">
        <v>7491</v>
      </c>
      <c r="G501" s="19">
        <f>IFERROR(__xludf.DUMMYFUNCTION("SPLIT(A499, "" |"")"),497.0)</f>
        <v>497</v>
      </c>
      <c r="H501" s="19">
        <f>IFERROR(__xludf.DUMMYFUNCTION("""COMPUTED_VALUE"""),0.00232)</f>
        <v>0.00232</v>
      </c>
      <c r="I501" s="19" t="str">
        <f>IFERROR(__xludf.DUMMYFUNCTION("""COMPUTED_VALUE"""),"-")</f>
        <v>-</v>
      </c>
      <c r="J501" s="19">
        <f>IFERROR(__xludf.DUMMYFUNCTION("""COMPUTED_VALUE"""),0.0019)</f>
        <v>0.0019</v>
      </c>
      <c r="K501" s="19">
        <f>IFERROR(__xludf.DUMMYFUNCTION("""COMPUTED_VALUE"""),0.03963)</f>
        <v>0.03963</v>
      </c>
      <c r="L501" s="19" t="str">
        <f>IFERROR(__xludf.DUMMYFUNCTION("""COMPUTED_VALUE"""),"-")</f>
        <v>-</v>
      </c>
      <c r="M501" s="19">
        <f>IFERROR(__xludf.DUMMYFUNCTION("""COMPUTED_VALUE"""),0.04013)</f>
        <v>0.04013</v>
      </c>
    </row>
    <row r="502">
      <c r="A502" s="12" t="s">
        <v>7492</v>
      </c>
      <c r="G502" s="19">
        <f>IFERROR(__xludf.DUMMYFUNCTION("SPLIT(A500, "" |"")"),498.0)</f>
        <v>498</v>
      </c>
      <c r="H502" s="19">
        <f>IFERROR(__xludf.DUMMYFUNCTION("""COMPUTED_VALUE"""),0.00212)</f>
        <v>0.00212</v>
      </c>
      <c r="I502" s="19" t="str">
        <f>IFERROR(__xludf.DUMMYFUNCTION("""COMPUTED_VALUE"""),"-")</f>
        <v>-</v>
      </c>
      <c r="J502" s="19">
        <f>IFERROR(__xludf.DUMMYFUNCTION("""COMPUTED_VALUE"""),0.00188)</f>
        <v>0.00188</v>
      </c>
      <c r="K502" s="19">
        <f>IFERROR(__xludf.DUMMYFUNCTION("""COMPUTED_VALUE"""),0.04018)</f>
        <v>0.04018</v>
      </c>
      <c r="L502" s="19" t="str">
        <f>IFERROR(__xludf.DUMMYFUNCTION("""COMPUTED_VALUE"""),"-")</f>
        <v>-</v>
      </c>
      <c r="M502" s="19">
        <f>IFERROR(__xludf.DUMMYFUNCTION("""COMPUTED_VALUE"""),0.04094)</f>
        <v>0.04094</v>
      </c>
    </row>
    <row r="503">
      <c r="A503" s="12" t="s">
        <v>7493</v>
      </c>
      <c r="G503" s="19">
        <f>IFERROR(__xludf.DUMMYFUNCTION("SPLIT(A501, "" |"")"),499.0)</f>
        <v>499</v>
      </c>
      <c r="H503" s="19">
        <f>IFERROR(__xludf.DUMMYFUNCTION("""COMPUTED_VALUE"""),0.00216)</f>
        <v>0.00216</v>
      </c>
      <c r="I503" s="19" t="str">
        <f>IFERROR(__xludf.DUMMYFUNCTION("""COMPUTED_VALUE"""),"-")</f>
        <v>-</v>
      </c>
      <c r="J503" s="19">
        <f>IFERROR(__xludf.DUMMYFUNCTION("""COMPUTED_VALUE"""),0.00186)</f>
        <v>0.00186</v>
      </c>
      <c r="K503" s="19">
        <f>IFERROR(__xludf.DUMMYFUNCTION("""COMPUTED_VALUE"""),0.03959)</f>
        <v>0.03959</v>
      </c>
      <c r="L503" s="19" t="str">
        <f>IFERROR(__xludf.DUMMYFUNCTION("""COMPUTED_VALUE"""),"-")</f>
        <v>-</v>
      </c>
      <c r="M503" s="19">
        <f>IFERROR(__xludf.DUMMYFUNCTION("""COMPUTED_VALUE"""),0.04084)</f>
        <v>0.04084</v>
      </c>
    </row>
    <row r="504">
      <c r="A504" s="12" t="s">
        <v>7494</v>
      </c>
      <c r="G504" s="19">
        <f>IFERROR(__xludf.DUMMYFUNCTION("SPLIT(A502, "" |"")"),500.0)</f>
        <v>500</v>
      </c>
      <c r="H504" s="19">
        <f>IFERROR(__xludf.DUMMYFUNCTION("""COMPUTED_VALUE"""),0.00201)</f>
        <v>0.00201</v>
      </c>
      <c r="I504" s="19" t="str">
        <f>IFERROR(__xludf.DUMMYFUNCTION("""COMPUTED_VALUE"""),"-")</f>
        <v>-</v>
      </c>
      <c r="J504" s="19">
        <f>IFERROR(__xludf.DUMMYFUNCTION("""COMPUTED_VALUE"""),0.0019)</f>
        <v>0.0019</v>
      </c>
      <c r="K504" s="19">
        <f>IFERROR(__xludf.DUMMYFUNCTION("""COMPUTED_VALUE"""),0.03957)</f>
        <v>0.03957</v>
      </c>
      <c r="L504" s="19" t="str">
        <f>IFERROR(__xludf.DUMMYFUNCTION("""COMPUTED_VALUE"""),"-")</f>
        <v>-</v>
      </c>
      <c r="M504" s="19">
        <f>IFERROR(__xludf.DUMMYFUNCTION("""COMPUTED_VALUE"""),0.03724)</f>
        <v>0.03724</v>
      </c>
    </row>
    <row r="505">
      <c r="A505" s="12" t="s">
        <v>7495</v>
      </c>
      <c r="G505" s="19">
        <f>IFERROR(__xludf.DUMMYFUNCTION("SPLIT(A503, "" |"")"),501.0)</f>
        <v>501</v>
      </c>
      <c r="H505" s="19">
        <f>IFERROR(__xludf.DUMMYFUNCTION("""COMPUTED_VALUE"""),0.00228)</f>
        <v>0.00228</v>
      </c>
      <c r="I505" s="19" t="str">
        <f>IFERROR(__xludf.DUMMYFUNCTION("""COMPUTED_VALUE"""),"-")</f>
        <v>-</v>
      </c>
      <c r="J505" s="19">
        <f>IFERROR(__xludf.DUMMYFUNCTION("""COMPUTED_VALUE"""),0.00182)</f>
        <v>0.00182</v>
      </c>
      <c r="K505" s="19">
        <f>IFERROR(__xludf.DUMMYFUNCTION("""COMPUTED_VALUE"""),0.03919)</f>
        <v>0.03919</v>
      </c>
      <c r="L505" s="19" t="str">
        <f>IFERROR(__xludf.DUMMYFUNCTION("""COMPUTED_VALUE"""),"-")</f>
        <v>-</v>
      </c>
      <c r="M505" s="19">
        <f>IFERROR(__xludf.DUMMYFUNCTION("""COMPUTED_VALUE"""),0.03983)</f>
        <v>0.03983</v>
      </c>
    </row>
    <row r="506">
      <c r="A506" s="12" t="s">
        <v>7496</v>
      </c>
      <c r="G506" s="19">
        <f>IFERROR(__xludf.DUMMYFUNCTION("SPLIT(A504, "" |"")"),502.0)</f>
        <v>502</v>
      </c>
      <c r="H506" s="19">
        <f>IFERROR(__xludf.DUMMYFUNCTION("""COMPUTED_VALUE"""),0.00225)</f>
        <v>0.00225</v>
      </c>
      <c r="I506" s="19" t="str">
        <f>IFERROR(__xludf.DUMMYFUNCTION("""COMPUTED_VALUE"""),"-")</f>
        <v>-</v>
      </c>
      <c r="J506" s="19">
        <f>IFERROR(__xludf.DUMMYFUNCTION("""COMPUTED_VALUE"""),0.00185)</f>
        <v>0.00185</v>
      </c>
      <c r="K506" s="19">
        <f>IFERROR(__xludf.DUMMYFUNCTION("""COMPUTED_VALUE"""),0.04024)</f>
        <v>0.04024</v>
      </c>
      <c r="L506" s="19" t="str">
        <f>IFERROR(__xludf.DUMMYFUNCTION("""COMPUTED_VALUE"""),"-")</f>
        <v>-</v>
      </c>
      <c r="M506" s="19">
        <f>IFERROR(__xludf.DUMMYFUNCTION("""COMPUTED_VALUE"""),0.04008)</f>
        <v>0.04008</v>
      </c>
    </row>
    <row r="507">
      <c r="A507" s="12" t="s">
        <v>7497</v>
      </c>
      <c r="G507" s="19">
        <f>IFERROR(__xludf.DUMMYFUNCTION("SPLIT(A505, "" |"")"),503.0)</f>
        <v>503</v>
      </c>
      <c r="H507" s="19">
        <f>IFERROR(__xludf.DUMMYFUNCTION("""COMPUTED_VALUE"""),0.00213)</f>
        <v>0.00213</v>
      </c>
      <c r="I507" s="19" t="str">
        <f>IFERROR(__xludf.DUMMYFUNCTION("""COMPUTED_VALUE"""),"-")</f>
        <v>-</v>
      </c>
      <c r="J507" s="19">
        <f>IFERROR(__xludf.DUMMYFUNCTION("""COMPUTED_VALUE"""),0.002)</f>
        <v>0.002</v>
      </c>
      <c r="K507" s="19">
        <f>IFERROR(__xludf.DUMMYFUNCTION("""COMPUTED_VALUE"""),0.03973)</f>
        <v>0.03973</v>
      </c>
      <c r="L507" s="19" t="str">
        <f>IFERROR(__xludf.DUMMYFUNCTION("""COMPUTED_VALUE"""),"-")</f>
        <v>-</v>
      </c>
      <c r="M507" s="19">
        <f>IFERROR(__xludf.DUMMYFUNCTION("""COMPUTED_VALUE"""),0.04059)</f>
        <v>0.04059</v>
      </c>
    </row>
    <row r="508">
      <c r="A508" s="12" t="s">
        <v>7498</v>
      </c>
      <c r="G508" s="19">
        <f>IFERROR(__xludf.DUMMYFUNCTION("SPLIT(A506, "" |"")"),504.0)</f>
        <v>504</v>
      </c>
      <c r="H508" s="19">
        <f>IFERROR(__xludf.DUMMYFUNCTION("""COMPUTED_VALUE"""),0.00215)</f>
        <v>0.00215</v>
      </c>
      <c r="I508" s="19" t="str">
        <f>IFERROR(__xludf.DUMMYFUNCTION("""COMPUTED_VALUE"""),"-")</f>
        <v>-</v>
      </c>
      <c r="J508" s="19">
        <f>IFERROR(__xludf.DUMMYFUNCTION("""COMPUTED_VALUE"""),0.00203)</f>
        <v>0.00203</v>
      </c>
      <c r="K508" s="19">
        <f>IFERROR(__xludf.DUMMYFUNCTION("""COMPUTED_VALUE"""),0.04014)</f>
        <v>0.04014</v>
      </c>
      <c r="L508" s="19" t="str">
        <f>IFERROR(__xludf.DUMMYFUNCTION("""COMPUTED_VALUE"""),"-")</f>
        <v>-</v>
      </c>
      <c r="M508" s="19">
        <f>IFERROR(__xludf.DUMMYFUNCTION("""COMPUTED_VALUE"""),0.03988)</f>
        <v>0.03988</v>
      </c>
    </row>
    <row r="509">
      <c r="A509" s="12" t="s">
        <v>7499</v>
      </c>
      <c r="G509" s="19">
        <f>IFERROR(__xludf.DUMMYFUNCTION("SPLIT(A507, "" |"")"),505.0)</f>
        <v>505</v>
      </c>
      <c r="H509" s="19">
        <f>IFERROR(__xludf.DUMMYFUNCTION("""COMPUTED_VALUE"""),0.00224)</f>
        <v>0.00224</v>
      </c>
      <c r="I509" s="19" t="str">
        <f>IFERROR(__xludf.DUMMYFUNCTION("""COMPUTED_VALUE"""),"-")</f>
        <v>-</v>
      </c>
      <c r="J509" s="19">
        <f>IFERROR(__xludf.DUMMYFUNCTION("""COMPUTED_VALUE"""),0.00213)</f>
        <v>0.00213</v>
      </c>
      <c r="K509" s="19">
        <f>IFERROR(__xludf.DUMMYFUNCTION("""COMPUTED_VALUE"""),0.03973)</f>
        <v>0.03973</v>
      </c>
      <c r="L509" s="19" t="str">
        <f>IFERROR(__xludf.DUMMYFUNCTION("""COMPUTED_VALUE"""),"-")</f>
        <v>-</v>
      </c>
      <c r="M509" s="19">
        <f>IFERROR(__xludf.DUMMYFUNCTION("""COMPUTED_VALUE"""),0.03979)</f>
        <v>0.03979</v>
      </c>
    </row>
    <row r="510">
      <c r="A510" s="12" t="s">
        <v>7500</v>
      </c>
      <c r="G510" s="19">
        <f>IFERROR(__xludf.DUMMYFUNCTION("SPLIT(A508, "" |"")"),506.0)</f>
        <v>506</v>
      </c>
      <c r="H510" s="19">
        <f>IFERROR(__xludf.DUMMYFUNCTION("""COMPUTED_VALUE"""),0.00208)</f>
        <v>0.00208</v>
      </c>
      <c r="I510" s="19" t="str">
        <f>IFERROR(__xludf.DUMMYFUNCTION("""COMPUTED_VALUE"""),"-")</f>
        <v>-</v>
      </c>
      <c r="J510" s="19">
        <f>IFERROR(__xludf.DUMMYFUNCTION("""COMPUTED_VALUE"""),0.00195)</f>
        <v>0.00195</v>
      </c>
      <c r="K510" s="19">
        <f>IFERROR(__xludf.DUMMYFUNCTION("""COMPUTED_VALUE"""),0.03659)</f>
        <v>0.03659</v>
      </c>
      <c r="L510" s="19" t="str">
        <f>IFERROR(__xludf.DUMMYFUNCTION("""COMPUTED_VALUE"""),"-")</f>
        <v>-</v>
      </c>
      <c r="M510" s="19">
        <f>IFERROR(__xludf.DUMMYFUNCTION("""COMPUTED_VALUE"""),0.04084)</f>
        <v>0.04084</v>
      </c>
    </row>
    <row r="511">
      <c r="A511" s="12" t="s">
        <v>7501</v>
      </c>
      <c r="G511" s="19">
        <f>IFERROR(__xludf.DUMMYFUNCTION("SPLIT(A509, "" |"")"),507.0)</f>
        <v>507</v>
      </c>
      <c r="H511" s="19">
        <f>IFERROR(__xludf.DUMMYFUNCTION("""COMPUTED_VALUE"""),0.00212)</f>
        <v>0.00212</v>
      </c>
      <c r="I511" s="19" t="str">
        <f>IFERROR(__xludf.DUMMYFUNCTION("""COMPUTED_VALUE"""),"-")</f>
        <v>-</v>
      </c>
      <c r="J511" s="19">
        <f>IFERROR(__xludf.DUMMYFUNCTION("""COMPUTED_VALUE"""),0.00186)</f>
        <v>0.00186</v>
      </c>
      <c r="K511" s="19">
        <f>IFERROR(__xludf.DUMMYFUNCTION("""COMPUTED_VALUE"""),0.04008)</f>
        <v>0.04008</v>
      </c>
      <c r="L511" s="19" t="str">
        <f>IFERROR(__xludf.DUMMYFUNCTION("""COMPUTED_VALUE"""),"-")</f>
        <v>-</v>
      </c>
      <c r="M511" s="19">
        <f>IFERROR(__xludf.DUMMYFUNCTION("""COMPUTED_VALUE"""),0.03974)</f>
        <v>0.03974</v>
      </c>
    </row>
    <row r="512">
      <c r="A512" s="12" t="s">
        <v>7502</v>
      </c>
      <c r="G512" s="19">
        <f>IFERROR(__xludf.DUMMYFUNCTION("SPLIT(A510, "" |"")"),508.0)</f>
        <v>508</v>
      </c>
      <c r="H512" s="19">
        <f>IFERROR(__xludf.DUMMYFUNCTION("""COMPUTED_VALUE"""),0.00208)</f>
        <v>0.00208</v>
      </c>
      <c r="I512" s="19" t="str">
        <f>IFERROR(__xludf.DUMMYFUNCTION("""COMPUTED_VALUE"""),"-")</f>
        <v>-</v>
      </c>
      <c r="J512" s="19">
        <f>IFERROR(__xludf.DUMMYFUNCTION("""COMPUTED_VALUE"""),0.002)</f>
        <v>0.002</v>
      </c>
      <c r="K512" s="19">
        <f>IFERROR(__xludf.DUMMYFUNCTION("""COMPUTED_VALUE"""),0.03989)</f>
        <v>0.03989</v>
      </c>
      <c r="L512" s="19" t="str">
        <f>IFERROR(__xludf.DUMMYFUNCTION("""COMPUTED_VALUE"""),"-")</f>
        <v>-</v>
      </c>
      <c r="M512" s="19">
        <f>IFERROR(__xludf.DUMMYFUNCTION("""COMPUTED_VALUE"""),0.03832)</f>
        <v>0.03832</v>
      </c>
    </row>
    <row r="513">
      <c r="A513" s="12" t="s">
        <v>7503</v>
      </c>
      <c r="G513" s="19">
        <f>IFERROR(__xludf.DUMMYFUNCTION("SPLIT(A511, "" |"")"),509.0)</f>
        <v>509</v>
      </c>
      <c r="H513" s="19">
        <f>IFERROR(__xludf.DUMMYFUNCTION("""COMPUTED_VALUE"""),0.00211)</f>
        <v>0.00211</v>
      </c>
      <c r="I513" s="19" t="str">
        <f>IFERROR(__xludf.DUMMYFUNCTION("""COMPUTED_VALUE"""),"-")</f>
        <v>-</v>
      </c>
      <c r="J513" s="19">
        <f>IFERROR(__xludf.DUMMYFUNCTION("""COMPUTED_VALUE"""),0.00213)</f>
        <v>0.00213</v>
      </c>
      <c r="K513" s="19">
        <f>IFERROR(__xludf.DUMMYFUNCTION("""COMPUTED_VALUE"""),0.03971)</f>
        <v>0.03971</v>
      </c>
      <c r="L513" s="19" t="str">
        <f>IFERROR(__xludf.DUMMYFUNCTION("""COMPUTED_VALUE"""),"-")</f>
        <v>-</v>
      </c>
      <c r="M513" s="19">
        <f>IFERROR(__xludf.DUMMYFUNCTION("""COMPUTED_VALUE"""),0.04007)</f>
        <v>0.04007</v>
      </c>
    </row>
    <row r="514">
      <c r="A514" s="12" t="s">
        <v>7504</v>
      </c>
      <c r="G514" s="19">
        <f>IFERROR(__xludf.DUMMYFUNCTION("SPLIT(A512, "" |"")"),510.0)</f>
        <v>510</v>
      </c>
      <c r="H514" s="19">
        <f>IFERROR(__xludf.DUMMYFUNCTION("""COMPUTED_VALUE"""),0.00209)</f>
        <v>0.00209</v>
      </c>
      <c r="I514" s="19" t="str">
        <f>IFERROR(__xludf.DUMMYFUNCTION("""COMPUTED_VALUE"""),"-")</f>
        <v>-</v>
      </c>
      <c r="J514" s="19">
        <f>IFERROR(__xludf.DUMMYFUNCTION("""COMPUTED_VALUE"""),0.00197)</f>
        <v>0.00197</v>
      </c>
      <c r="K514" s="19">
        <f>IFERROR(__xludf.DUMMYFUNCTION("""COMPUTED_VALUE"""),0.03975)</f>
        <v>0.03975</v>
      </c>
      <c r="L514" s="19" t="str">
        <f>IFERROR(__xludf.DUMMYFUNCTION("""COMPUTED_VALUE"""),"-")</f>
        <v>-</v>
      </c>
      <c r="M514" s="19">
        <f>IFERROR(__xludf.DUMMYFUNCTION("""COMPUTED_VALUE"""),0.04046)</f>
        <v>0.04046</v>
      </c>
    </row>
    <row r="515">
      <c r="A515" s="12" t="s">
        <v>7505</v>
      </c>
      <c r="G515" s="19">
        <f>IFERROR(__xludf.DUMMYFUNCTION("SPLIT(A513, "" |"")"),511.0)</f>
        <v>511</v>
      </c>
      <c r="H515" s="19">
        <f>IFERROR(__xludf.DUMMYFUNCTION("""COMPUTED_VALUE"""),0.00225)</f>
        <v>0.00225</v>
      </c>
      <c r="I515" s="19" t="str">
        <f>IFERROR(__xludf.DUMMYFUNCTION("""COMPUTED_VALUE"""),"-")</f>
        <v>-</v>
      </c>
      <c r="J515" s="19">
        <f>IFERROR(__xludf.DUMMYFUNCTION("""COMPUTED_VALUE"""),0.00201)</f>
        <v>0.00201</v>
      </c>
      <c r="K515" s="19">
        <f>IFERROR(__xludf.DUMMYFUNCTION("""COMPUTED_VALUE"""),0.03985)</f>
        <v>0.03985</v>
      </c>
      <c r="L515" s="19" t="str">
        <f>IFERROR(__xludf.DUMMYFUNCTION("""COMPUTED_VALUE"""),"-")</f>
        <v>-</v>
      </c>
      <c r="M515" s="19">
        <f>IFERROR(__xludf.DUMMYFUNCTION("""COMPUTED_VALUE"""),0.03991)</f>
        <v>0.03991</v>
      </c>
    </row>
    <row r="516">
      <c r="A516" s="12" t="s">
        <v>7506</v>
      </c>
      <c r="G516" s="19">
        <f>IFERROR(__xludf.DUMMYFUNCTION("SPLIT(A514, "" |"")"),512.0)</f>
        <v>512</v>
      </c>
      <c r="H516" s="19">
        <f>IFERROR(__xludf.DUMMYFUNCTION("""COMPUTED_VALUE"""),0.00213)</f>
        <v>0.00213</v>
      </c>
      <c r="I516" s="19" t="str">
        <f>IFERROR(__xludf.DUMMYFUNCTION("""COMPUTED_VALUE"""),"-")</f>
        <v>-</v>
      </c>
      <c r="J516" s="19">
        <f>IFERROR(__xludf.DUMMYFUNCTION("""COMPUTED_VALUE"""),0.00205)</f>
        <v>0.00205</v>
      </c>
      <c r="K516" s="19">
        <f>IFERROR(__xludf.DUMMYFUNCTION("""COMPUTED_VALUE"""),0.03968)</f>
        <v>0.03968</v>
      </c>
      <c r="L516" s="19" t="str">
        <f>IFERROR(__xludf.DUMMYFUNCTION("""COMPUTED_VALUE"""),"-")</f>
        <v>-</v>
      </c>
      <c r="M516" s="19">
        <f>IFERROR(__xludf.DUMMYFUNCTION("""COMPUTED_VALUE"""),0.0365)</f>
        <v>0.0365</v>
      </c>
    </row>
    <row r="517">
      <c r="A517" s="12" t="s">
        <v>7507</v>
      </c>
      <c r="G517" s="19">
        <f>IFERROR(__xludf.DUMMYFUNCTION("SPLIT(A515, "" |"")"),513.0)</f>
        <v>513</v>
      </c>
      <c r="H517" s="19">
        <f>IFERROR(__xludf.DUMMYFUNCTION("""COMPUTED_VALUE"""),0.00214)</f>
        <v>0.00214</v>
      </c>
      <c r="I517" s="19" t="str">
        <f>IFERROR(__xludf.DUMMYFUNCTION("""COMPUTED_VALUE"""),"-")</f>
        <v>-</v>
      </c>
      <c r="J517" s="19">
        <f>IFERROR(__xludf.DUMMYFUNCTION("""COMPUTED_VALUE"""),0.00193)</f>
        <v>0.00193</v>
      </c>
      <c r="K517" s="19">
        <f>IFERROR(__xludf.DUMMYFUNCTION("""COMPUTED_VALUE"""),0.04014)</f>
        <v>0.04014</v>
      </c>
      <c r="L517" s="19" t="str">
        <f>IFERROR(__xludf.DUMMYFUNCTION("""COMPUTED_VALUE"""),"-")</f>
        <v>-</v>
      </c>
      <c r="M517" s="19">
        <f>IFERROR(__xludf.DUMMYFUNCTION("""COMPUTED_VALUE"""),0.03969)</f>
        <v>0.03969</v>
      </c>
    </row>
    <row r="518">
      <c r="A518" s="12" t="s">
        <v>7508</v>
      </c>
      <c r="G518" s="19">
        <f>IFERROR(__xludf.DUMMYFUNCTION("SPLIT(A516, "" |"")"),514.0)</f>
        <v>514</v>
      </c>
      <c r="H518" s="19">
        <f>IFERROR(__xludf.DUMMYFUNCTION("""COMPUTED_VALUE"""),0.00209)</f>
        <v>0.00209</v>
      </c>
      <c r="I518" s="19" t="str">
        <f>IFERROR(__xludf.DUMMYFUNCTION("""COMPUTED_VALUE"""),"-")</f>
        <v>-</v>
      </c>
      <c r="J518" s="19">
        <f>IFERROR(__xludf.DUMMYFUNCTION("""COMPUTED_VALUE"""),0.00197)</f>
        <v>0.00197</v>
      </c>
      <c r="K518" s="19">
        <f>IFERROR(__xludf.DUMMYFUNCTION("""COMPUTED_VALUE"""),0.03975)</f>
        <v>0.03975</v>
      </c>
      <c r="L518" s="19" t="str">
        <f>IFERROR(__xludf.DUMMYFUNCTION("""COMPUTED_VALUE"""),"-")</f>
        <v>-</v>
      </c>
      <c r="M518" s="19">
        <f>IFERROR(__xludf.DUMMYFUNCTION("""COMPUTED_VALUE"""),0.04012)</f>
        <v>0.04012</v>
      </c>
    </row>
    <row r="519">
      <c r="A519" s="12" t="s">
        <v>7509</v>
      </c>
      <c r="G519" s="19">
        <f>IFERROR(__xludf.DUMMYFUNCTION("SPLIT(A517, "" |"")"),515.0)</f>
        <v>515</v>
      </c>
      <c r="H519" s="19">
        <f>IFERROR(__xludf.DUMMYFUNCTION("""COMPUTED_VALUE"""),0.00212)</f>
        <v>0.00212</v>
      </c>
      <c r="I519" s="19" t="str">
        <f>IFERROR(__xludf.DUMMYFUNCTION("""COMPUTED_VALUE"""),"-")</f>
        <v>-</v>
      </c>
      <c r="J519" s="19">
        <f>IFERROR(__xludf.DUMMYFUNCTION("""COMPUTED_VALUE"""),0.00208)</f>
        <v>0.00208</v>
      </c>
      <c r="K519" s="19">
        <f>IFERROR(__xludf.DUMMYFUNCTION("""COMPUTED_VALUE"""),0.0401)</f>
        <v>0.0401</v>
      </c>
      <c r="L519" s="19" t="str">
        <f>IFERROR(__xludf.DUMMYFUNCTION("""COMPUTED_VALUE"""),"-")</f>
        <v>-</v>
      </c>
      <c r="M519" s="19">
        <f>IFERROR(__xludf.DUMMYFUNCTION("""COMPUTED_VALUE"""),0.04046)</f>
        <v>0.04046</v>
      </c>
    </row>
    <row r="520">
      <c r="A520" s="12" t="s">
        <v>7510</v>
      </c>
      <c r="G520" s="19">
        <f>IFERROR(__xludf.DUMMYFUNCTION("SPLIT(A518, "" |"")"),516.0)</f>
        <v>516</v>
      </c>
      <c r="H520" s="19">
        <f>IFERROR(__xludf.DUMMYFUNCTION("""COMPUTED_VALUE"""),0.00223)</f>
        <v>0.00223</v>
      </c>
      <c r="I520" s="19" t="str">
        <f>IFERROR(__xludf.DUMMYFUNCTION("""COMPUTED_VALUE"""),"-")</f>
        <v>-</v>
      </c>
      <c r="J520" s="19">
        <f>IFERROR(__xludf.DUMMYFUNCTION("""COMPUTED_VALUE"""),0.00208)</f>
        <v>0.00208</v>
      </c>
      <c r="K520" s="19">
        <f>IFERROR(__xludf.DUMMYFUNCTION("""COMPUTED_VALUE"""),0.03977)</f>
        <v>0.03977</v>
      </c>
      <c r="L520" s="19" t="str">
        <f>IFERROR(__xludf.DUMMYFUNCTION("""COMPUTED_VALUE"""),"-")</f>
        <v>-</v>
      </c>
      <c r="M520" s="19">
        <f>IFERROR(__xludf.DUMMYFUNCTION("""COMPUTED_VALUE"""),0.04)</f>
        <v>0.04</v>
      </c>
    </row>
    <row r="521">
      <c r="A521" s="12" t="s">
        <v>7511</v>
      </c>
      <c r="G521" s="19">
        <f>IFERROR(__xludf.DUMMYFUNCTION("SPLIT(A519, "" |"")"),517.0)</f>
        <v>517</v>
      </c>
      <c r="H521" s="19">
        <f>IFERROR(__xludf.DUMMYFUNCTION("""COMPUTED_VALUE"""),0.00219)</f>
        <v>0.00219</v>
      </c>
      <c r="I521" s="19" t="str">
        <f>IFERROR(__xludf.DUMMYFUNCTION("""COMPUTED_VALUE"""),"-")</f>
        <v>-</v>
      </c>
      <c r="J521" s="19">
        <f>IFERROR(__xludf.DUMMYFUNCTION("""COMPUTED_VALUE"""),0.00192)</f>
        <v>0.00192</v>
      </c>
      <c r="K521" s="19">
        <f>IFERROR(__xludf.DUMMYFUNCTION("""COMPUTED_VALUE"""),0.03914)</f>
        <v>0.03914</v>
      </c>
      <c r="L521" s="19" t="str">
        <f>IFERROR(__xludf.DUMMYFUNCTION("""COMPUTED_VALUE"""),"-")</f>
        <v>-</v>
      </c>
      <c r="M521" s="19">
        <f>IFERROR(__xludf.DUMMYFUNCTION("""COMPUTED_VALUE"""),0.03838)</f>
        <v>0.03838</v>
      </c>
    </row>
    <row r="522">
      <c r="A522" s="12" t="s">
        <v>7512</v>
      </c>
      <c r="G522" s="19">
        <f>IFERROR(__xludf.DUMMYFUNCTION("SPLIT(A520, "" |"")"),518.0)</f>
        <v>518</v>
      </c>
      <c r="H522" s="19">
        <f>IFERROR(__xludf.DUMMYFUNCTION("""COMPUTED_VALUE"""),0.00213)</f>
        <v>0.00213</v>
      </c>
      <c r="I522" s="19" t="str">
        <f>IFERROR(__xludf.DUMMYFUNCTION("""COMPUTED_VALUE"""),"-")</f>
        <v>-</v>
      </c>
      <c r="J522" s="19">
        <f>IFERROR(__xludf.DUMMYFUNCTION("""COMPUTED_VALUE"""),0.00197)</f>
        <v>0.00197</v>
      </c>
      <c r="K522" s="19">
        <f>IFERROR(__xludf.DUMMYFUNCTION("""COMPUTED_VALUE"""),0.03708)</f>
        <v>0.03708</v>
      </c>
      <c r="L522" s="19" t="str">
        <f>IFERROR(__xludf.DUMMYFUNCTION("""COMPUTED_VALUE"""),"-")</f>
        <v>-</v>
      </c>
      <c r="M522" s="19">
        <f>IFERROR(__xludf.DUMMYFUNCTION("""COMPUTED_VALUE"""),0.04076)</f>
        <v>0.04076</v>
      </c>
    </row>
    <row r="523">
      <c r="A523" s="12" t="s">
        <v>7513</v>
      </c>
      <c r="G523" s="19">
        <f>IFERROR(__xludf.DUMMYFUNCTION("SPLIT(A521, "" |"")"),519.0)</f>
        <v>519</v>
      </c>
      <c r="H523" s="19">
        <f>IFERROR(__xludf.DUMMYFUNCTION("""COMPUTED_VALUE"""),0.0022)</f>
        <v>0.0022</v>
      </c>
      <c r="I523" s="19" t="str">
        <f>IFERROR(__xludf.DUMMYFUNCTION("""COMPUTED_VALUE"""),"-")</f>
        <v>-</v>
      </c>
      <c r="J523" s="19">
        <f>IFERROR(__xludf.DUMMYFUNCTION("""COMPUTED_VALUE"""),0.00208)</f>
        <v>0.00208</v>
      </c>
      <c r="K523" s="19">
        <f>IFERROR(__xludf.DUMMYFUNCTION("""COMPUTED_VALUE"""),0.03982)</f>
        <v>0.03982</v>
      </c>
      <c r="L523" s="19" t="str">
        <f>IFERROR(__xludf.DUMMYFUNCTION("""COMPUTED_VALUE"""),"-")</f>
        <v>-</v>
      </c>
      <c r="M523" s="19">
        <f>IFERROR(__xludf.DUMMYFUNCTION("""COMPUTED_VALUE"""),0.04042)</f>
        <v>0.04042</v>
      </c>
    </row>
    <row r="524">
      <c r="A524" s="12" t="s">
        <v>7514</v>
      </c>
      <c r="G524" s="19">
        <f>IFERROR(__xludf.DUMMYFUNCTION("SPLIT(A522, "" |"")"),520.0)</f>
        <v>520</v>
      </c>
      <c r="H524" s="19">
        <f>IFERROR(__xludf.DUMMYFUNCTION("""COMPUTED_VALUE"""),0.00232)</f>
        <v>0.00232</v>
      </c>
      <c r="I524" s="19" t="str">
        <f>IFERROR(__xludf.DUMMYFUNCTION("""COMPUTED_VALUE"""),"-")</f>
        <v>-</v>
      </c>
      <c r="J524" s="19">
        <f>IFERROR(__xludf.DUMMYFUNCTION("""COMPUTED_VALUE"""),0.00197)</f>
        <v>0.00197</v>
      </c>
      <c r="K524" s="19">
        <f>IFERROR(__xludf.DUMMYFUNCTION("""COMPUTED_VALUE"""),0.03842)</f>
        <v>0.03842</v>
      </c>
      <c r="L524" s="19" t="str">
        <f>IFERROR(__xludf.DUMMYFUNCTION("""COMPUTED_VALUE"""),"-")</f>
        <v>-</v>
      </c>
      <c r="M524" s="19">
        <f>IFERROR(__xludf.DUMMYFUNCTION("""COMPUTED_VALUE"""),0.03996)</f>
        <v>0.03996</v>
      </c>
    </row>
    <row r="525">
      <c r="A525" s="12" t="s">
        <v>7515</v>
      </c>
      <c r="G525" s="19">
        <f>IFERROR(__xludf.DUMMYFUNCTION("SPLIT(A523, "" |"")"),521.0)</f>
        <v>521</v>
      </c>
      <c r="H525" s="19">
        <f>IFERROR(__xludf.DUMMYFUNCTION("""COMPUTED_VALUE"""),0.00211)</f>
        <v>0.00211</v>
      </c>
      <c r="I525" s="19" t="str">
        <f>IFERROR(__xludf.DUMMYFUNCTION("""COMPUTED_VALUE"""),"-")</f>
        <v>-</v>
      </c>
      <c r="J525" s="19">
        <f>IFERROR(__xludf.DUMMYFUNCTION("""COMPUTED_VALUE"""),0.00196)</f>
        <v>0.00196</v>
      </c>
      <c r="K525" s="19">
        <f>IFERROR(__xludf.DUMMYFUNCTION("""COMPUTED_VALUE"""),0.04013)</f>
        <v>0.04013</v>
      </c>
      <c r="L525" s="19" t="str">
        <f>IFERROR(__xludf.DUMMYFUNCTION("""COMPUTED_VALUE"""),"-")</f>
        <v>-</v>
      </c>
      <c r="M525" s="19">
        <f>IFERROR(__xludf.DUMMYFUNCTION("""COMPUTED_VALUE"""),0.03665)</f>
        <v>0.03665</v>
      </c>
    </row>
    <row r="526">
      <c r="A526" s="12" t="s">
        <v>7516</v>
      </c>
      <c r="G526" s="19">
        <f>IFERROR(__xludf.DUMMYFUNCTION("SPLIT(A524, "" |"")"),522.0)</f>
        <v>522</v>
      </c>
      <c r="H526" s="19">
        <f>IFERROR(__xludf.DUMMYFUNCTION("""COMPUTED_VALUE"""),0.00206)</f>
        <v>0.00206</v>
      </c>
      <c r="I526" s="19" t="str">
        <f>IFERROR(__xludf.DUMMYFUNCTION("""COMPUTED_VALUE"""),"-")</f>
        <v>-</v>
      </c>
      <c r="J526" s="19">
        <f>IFERROR(__xludf.DUMMYFUNCTION("""COMPUTED_VALUE"""),0.00199)</f>
        <v>0.00199</v>
      </c>
      <c r="K526" s="19">
        <f>IFERROR(__xludf.DUMMYFUNCTION("""COMPUTED_VALUE"""),0.04003)</f>
        <v>0.04003</v>
      </c>
      <c r="L526" s="19" t="str">
        <f>IFERROR(__xludf.DUMMYFUNCTION("""COMPUTED_VALUE"""),"-")</f>
        <v>-</v>
      </c>
      <c r="M526" s="19">
        <f>IFERROR(__xludf.DUMMYFUNCTION("""COMPUTED_VALUE"""),0.03912)</f>
        <v>0.03912</v>
      </c>
    </row>
    <row r="527">
      <c r="A527" s="12" t="s">
        <v>7517</v>
      </c>
      <c r="G527" s="19">
        <f>IFERROR(__xludf.DUMMYFUNCTION("SPLIT(A525, "" |"")"),523.0)</f>
        <v>523</v>
      </c>
      <c r="H527" s="19">
        <f>IFERROR(__xludf.DUMMYFUNCTION("""COMPUTED_VALUE"""),0.00207)</f>
        <v>0.00207</v>
      </c>
      <c r="I527" s="19" t="str">
        <f>IFERROR(__xludf.DUMMYFUNCTION("""COMPUTED_VALUE"""),"-")</f>
        <v>-</v>
      </c>
      <c r="J527" s="19">
        <f>IFERROR(__xludf.DUMMYFUNCTION("""COMPUTED_VALUE"""),0.00186)</f>
        <v>0.00186</v>
      </c>
      <c r="K527" s="19">
        <f>IFERROR(__xludf.DUMMYFUNCTION("""COMPUTED_VALUE"""),0.03957)</f>
        <v>0.03957</v>
      </c>
      <c r="L527" s="19" t="str">
        <f>IFERROR(__xludf.DUMMYFUNCTION("""COMPUTED_VALUE"""),"-")</f>
        <v>-</v>
      </c>
      <c r="M527" s="19">
        <f>IFERROR(__xludf.DUMMYFUNCTION("""COMPUTED_VALUE"""),0.03742)</f>
        <v>0.03742</v>
      </c>
    </row>
    <row r="528">
      <c r="A528" s="12" t="s">
        <v>7518</v>
      </c>
      <c r="G528" s="19">
        <f>IFERROR(__xludf.DUMMYFUNCTION("SPLIT(A526, "" |"")"),524.0)</f>
        <v>524</v>
      </c>
      <c r="H528" s="19">
        <f>IFERROR(__xludf.DUMMYFUNCTION("""COMPUTED_VALUE"""),0.00225)</f>
        <v>0.00225</v>
      </c>
      <c r="I528" s="19" t="str">
        <f>IFERROR(__xludf.DUMMYFUNCTION("""COMPUTED_VALUE"""),"-")</f>
        <v>-</v>
      </c>
      <c r="J528" s="19">
        <f>IFERROR(__xludf.DUMMYFUNCTION("""COMPUTED_VALUE"""),0.00186)</f>
        <v>0.00186</v>
      </c>
      <c r="K528" s="19">
        <f>IFERROR(__xludf.DUMMYFUNCTION("""COMPUTED_VALUE"""),0.03958)</f>
        <v>0.03958</v>
      </c>
      <c r="L528" s="19" t="str">
        <f>IFERROR(__xludf.DUMMYFUNCTION("""COMPUTED_VALUE"""),"-")</f>
        <v>-</v>
      </c>
      <c r="M528" s="19">
        <f>IFERROR(__xludf.DUMMYFUNCTION("""COMPUTED_VALUE"""),0.04101)</f>
        <v>0.04101</v>
      </c>
    </row>
    <row r="529">
      <c r="A529" s="12" t="s">
        <v>7519</v>
      </c>
      <c r="G529" s="19">
        <f>IFERROR(__xludf.DUMMYFUNCTION("SPLIT(A527, "" |"")"),525.0)</f>
        <v>525</v>
      </c>
      <c r="H529" s="19">
        <f>IFERROR(__xludf.DUMMYFUNCTION("""COMPUTED_VALUE"""),0.00222)</f>
        <v>0.00222</v>
      </c>
      <c r="I529" s="19" t="str">
        <f>IFERROR(__xludf.DUMMYFUNCTION("""COMPUTED_VALUE"""),"-")</f>
        <v>-</v>
      </c>
      <c r="J529" s="19">
        <f>IFERROR(__xludf.DUMMYFUNCTION("""COMPUTED_VALUE"""),0.00191)</f>
        <v>0.00191</v>
      </c>
      <c r="K529" s="19">
        <f>IFERROR(__xludf.DUMMYFUNCTION("""COMPUTED_VALUE"""),0.04017)</f>
        <v>0.04017</v>
      </c>
      <c r="L529" s="19" t="str">
        <f>IFERROR(__xludf.DUMMYFUNCTION("""COMPUTED_VALUE"""),"-")</f>
        <v>-</v>
      </c>
      <c r="M529" s="19">
        <f>IFERROR(__xludf.DUMMYFUNCTION("""COMPUTED_VALUE"""),0.03976)</f>
        <v>0.03976</v>
      </c>
    </row>
    <row r="530">
      <c r="A530" s="12" t="s">
        <v>7520</v>
      </c>
      <c r="G530" s="19">
        <f>IFERROR(__xludf.DUMMYFUNCTION("SPLIT(A528, "" |"")"),526.0)</f>
        <v>526</v>
      </c>
      <c r="H530" s="19">
        <f>IFERROR(__xludf.DUMMYFUNCTION("""COMPUTED_VALUE"""),0.002)</f>
        <v>0.002</v>
      </c>
      <c r="I530" s="19" t="str">
        <f>IFERROR(__xludf.DUMMYFUNCTION("""COMPUTED_VALUE"""),"-")</f>
        <v>-</v>
      </c>
      <c r="J530" s="19">
        <f>IFERROR(__xludf.DUMMYFUNCTION("""COMPUTED_VALUE"""),0.00184)</f>
        <v>0.00184</v>
      </c>
      <c r="K530" s="19">
        <f>IFERROR(__xludf.DUMMYFUNCTION("""COMPUTED_VALUE"""),0.03962)</f>
        <v>0.03962</v>
      </c>
      <c r="L530" s="19" t="str">
        <f>IFERROR(__xludf.DUMMYFUNCTION("""COMPUTED_VALUE"""),"-")</f>
        <v>-</v>
      </c>
      <c r="M530" s="19">
        <f>IFERROR(__xludf.DUMMYFUNCTION("""COMPUTED_VALUE"""),0.03975)</f>
        <v>0.03975</v>
      </c>
    </row>
    <row r="531">
      <c r="A531" s="12" t="s">
        <v>7521</v>
      </c>
      <c r="G531" s="19">
        <f>IFERROR(__xludf.DUMMYFUNCTION("SPLIT(A529, "" |"")"),527.0)</f>
        <v>527</v>
      </c>
      <c r="H531" s="19">
        <f>IFERROR(__xludf.DUMMYFUNCTION("""COMPUTED_VALUE"""),0.00184)</f>
        <v>0.00184</v>
      </c>
      <c r="I531" s="19" t="str">
        <f>IFERROR(__xludf.DUMMYFUNCTION("""COMPUTED_VALUE"""),"-")</f>
        <v>-</v>
      </c>
      <c r="J531" s="19">
        <f>IFERROR(__xludf.DUMMYFUNCTION("""COMPUTED_VALUE"""),0.00226)</f>
        <v>0.00226</v>
      </c>
      <c r="K531" s="19">
        <f>IFERROR(__xludf.DUMMYFUNCTION("""COMPUTED_VALUE"""),0.03965)</f>
        <v>0.03965</v>
      </c>
      <c r="L531" s="19" t="str">
        <f>IFERROR(__xludf.DUMMYFUNCTION("""COMPUTED_VALUE"""),"-")</f>
        <v>-</v>
      </c>
      <c r="M531" s="19">
        <f>IFERROR(__xludf.DUMMYFUNCTION("""COMPUTED_VALUE"""),0.03614)</f>
        <v>0.03614</v>
      </c>
    </row>
    <row r="532">
      <c r="A532" s="12" t="s">
        <v>7522</v>
      </c>
      <c r="G532" s="19">
        <f>IFERROR(__xludf.DUMMYFUNCTION("SPLIT(A530, "" |"")"),528.0)</f>
        <v>528</v>
      </c>
      <c r="H532" s="19">
        <f>IFERROR(__xludf.DUMMYFUNCTION("""COMPUTED_VALUE"""),0.00271)</f>
        <v>0.00271</v>
      </c>
      <c r="I532" s="19" t="str">
        <f>IFERROR(__xludf.DUMMYFUNCTION("""COMPUTED_VALUE"""),"-")</f>
        <v>-</v>
      </c>
      <c r="J532" s="19">
        <f>IFERROR(__xludf.DUMMYFUNCTION("""COMPUTED_VALUE"""),0.00251)</f>
        <v>0.00251</v>
      </c>
      <c r="K532" s="19">
        <f>IFERROR(__xludf.DUMMYFUNCTION("""COMPUTED_VALUE"""),0.04644)</f>
        <v>0.04644</v>
      </c>
      <c r="L532" s="19" t="str">
        <f>IFERROR(__xludf.DUMMYFUNCTION("""COMPUTED_VALUE"""),"-")</f>
        <v>-</v>
      </c>
      <c r="M532" s="19">
        <f>IFERROR(__xludf.DUMMYFUNCTION("""COMPUTED_VALUE"""),0.08161)</f>
        <v>0.08161</v>
      </c>
    </row>
    <row r="533">
      <c r="A533" s="12" t="s">
        <v>7523</v>
      </c>
      <c r="G533" s="19">
        <f>IFERROR(__xludf.DUMMYFUNCTION("SPLIT(A531, "" |"")"),529.0)</f>
        <v>529</v>
      </c>
      <c r="H533" s="19">
        <f>IFERROR(__xludf.DUMMYFUNCTION("""COMPUTED_VALUE"""),0.00304)</f>
        <v>0.00304</v>
      </c>
      <c r="I533" s="19" t="str">
        <f>IFERROR(__xludf.DUMMYFUNCTION("""COMPUTED_VALUE"""),"-")</f>
        <v>-</v>
      </c>
      <c r="J533" s="19">
        <f>IFERROR(__xludf.DUMMYFUNCTION("""COMPUTED_VALUE"""),0.00195)</f>
        <v>0.00195</v>
      </c>
      <c r="K533" s="19">
        <f>IFERROR(__xludf.DUMMYFUNCTION("""COMPUTED_VALUE"""),0.03963)</f>
        <v>0.03963</v>
      </c>
      <c r="L533" s="19" t="str">
        <f>IFERROR(__xludf.DUMMYFUNCTION("""COMPUTED_VALUE"""),"-")</f>
        <v>-</v>
      </c>
      <c r="M533" s="19">
        <f>IFERROR(__xludf.DUMMYFUNCTION("""COMPUTED_VALUE"""),0.04054)</f>
        <v>0.04054</v>
      </c>
    </row>
    <row r="534">
      <c r="A534" s="12" t="s">
        <v>7524</v>
      </c>
      <c r="G534" s="19">
        <f>IFERROR(__xludf.DUMMYFUNCTION("SPLIT(A532, "" |"")"),530.0)</f>
        <v>530</v>
      </c>
      <c r="H534" s="19">
        <f>IFERROR(__xludf.DUMMYFUNCTION("""COMPUTED_VALUE"""),0.00225)</f>
        <v>0.00225</v>
      </c>
      <c r="I534" s="19" t="str">
        <f>IFERROR(__xludf.DUMMYFUNCTION("""COMPUTED_VALUE"""),"-")</f>
        <v>-</v>
      </c>
      <c r="J534" s="19">
        <f>IFERROR(__xludf.DUMMYFUNCTION("""COMPUTED_VALUE"""),0.00217)</f>
        <v>0.00217</v>
      </c>
      <c r="K534" s="19">
        <f>IFERROR(__xludf.DUMMYFUNCTION("""COMPUTED_VALUE"""),0.04)</f>
        <v>0.04</v>
      </c>
      <c r="L534" s="19" t="str">
        <f>IFERROR(__xludf.DUMMYFUNCTION("""COMPUTED_VALUE"""),"-")</f>
        <v>-</v>
      </c>
      <c r="M534" s="19">
        <f>IFERROR(__xludf.DUMMYFUNCTION("""COMPUTED_VALUE"""),0.04003)</f>
        <v>0.04003</v>
      </c>
    </row>
    <row r="535">
      <c r="A535" s="12" t="s">
        <v>7525</v>
      </c>
      <c r="G535" s="19">
        <f>IFERROR(__xludf.DUMMYFUNCTION("SPLIT(A533, "" |"")"),531.0)</f>
        <v>531</v>
      </c>
      <c r="H535" s="19">
        <f>IFERROR(__xludf.DUMMYFUNCTION("""COMPUTED_VALUE"""),0.00208)</f>
        <v>0.00208</v>
      </c>
      <c r="I535" s="19" t="str">
        <f>IFERROR(__xludf.DUMMYFUNCTION("""COMPUTED_VALUE"""),"-")</f>
        <v>-</v>
      </c>
      <c r="J535" s="19">
        <f>IFERROR(__xludf.DUMMYFUNCTION("""COMPUTED_VALUE"""),0.00204)</f>
        <v>0.00204</v>
      </c>
      <c r="K535" s="19">
        <f>IFERROR(__xludf.DUMMYFUNCTION("""COMPUTED_VALUE"""),0.03979)</f>
        <v>0.03979</v>
      </c>
      <c r="L535" s="19" t="str">
        <f>IFERROR(__xludf.DUMMYFUNCTION("""COMPUTED_VALUE"""),"-")</f>
        <v>-</v>
      </c>
      <c r="M535" s="19">
        <f>IFERROR(__xludf.DUMMYFUNCTION("""COMPUTED_VALUE"""),0.0399)</f>
        <v>0.0399</v>
      </c>
    </row>
    <row r="536">
      <c r="A536" s="12" t="s">
        <v>7526</v>
      </c>
      <c r="G536" s="19">
        <f>IFERROR(__xludf.DUMMYFUNCTION("SPLIT(A534, "" |"")"),532.0)</f>
        <v>532</v>
      </c>
      <c r="H536" s="19">
        <f>IFERROR(__xludf.DUMMYFUNCTION("""COMPUTED_VALUE"""),0.00217)</f>
        <v>0.00217</v>
      </c>
      <c r="I536" s="19" t="str">
        <f>IFERROR(__xludf.DUMMYFUNCTION("""COMPUTED_VALUE"""),"-")</f>
        <v>-</v>
      </c>
      <c r="J536" s="19">
        <f>IFERROR(__xludf.DUMMYFUNCTION("""COMPUTED_VALUE"""),0.002)</f>
        <v>0.002</v>
      </c>
      <c r="K536" s="19">
        <f>IFERROR(__xludf.DUMMYFUNCTION("""COMPUTED_VALUE"""),0.03973)</f>
        <v>0.03973</v>
      </c>
      <c r="L536" s="19" t="str">
        <f>IFERROR(__xludf.DUMMYFUNCTION("""COMPUTED_VALUE"""),"-")</f>
        <v>-</v>
      </c>
      <c r="M536" s="19">
        <f>IFERROR(__xludf.DUMMYFUNCTION("""COMPUTED_VALUE"""),0.03982)</f>
        <v>0.03982</v>
      </c>
    </row>
    <row r="537">
      <c r="A537" s="12" t="s">
        <v>7527</v>
      </c>
      <c r="G537" s="19">
        <f>IFERROR(__xludf.DUMMYFUNCTION("SPLIT(A535, "" |"")"),533.0)</f>
        <v>533</v>
      </c>
      <c r="H537" s="19">
        <f>IFERROR(__xludf.DUMMYFUNCTION("""COMPUTED_VALUE"""),0.00216)</f>
        <v>0.00216</v>
      </c>
      <c r="I537" s="19" t="str">
        <f>IFERROR(__xludf.DUMMYFUNCTION("""COMPUTED_VALUE"""),"-")</f>
        <v>-</v>
      </c>
      <c r="J537" s="19">
        <f>IFERROR(__xludf.DUMMYFUNCTION("""COMPUTED_VALUE"""),0.00203)</f>
        <v>0.00203</v>
      </c>
      <c r="K537" s="19">
        <f>IFERROR(__xludf.DUMMYFUNCTION("""COMPUTED_VALUE"""),0.0396)</f>
        <v>0.0396</v>
      </c>
      <c r="L537" s="19" t="str">
        <f>IFERROR(__xludf.DUMMYFUNCTION("""COMPUTED_VALUE"""),"-")</f>
        <v>-</v>
      </c>
      <c r="M537" s="19">
        <f>IFERROR(__xludf.DUMMYFUNCTION("""COMPUTED_VALUE"""),0.03996)</f>
        <v>0.03996</v>
      </c>
    </row>
    <row r="538">
      <c r="A538" s="12" t="s">
        <v>7528</v>
      </c>
      <c r="G538" s="19">
        <f>IFERROR(__xludf.DUMMYFUNCTION("SPLIT(A536, "" |"")"),534.0)</f>
        <v>534</v>
      </c>
      <c r="H538" s="19">
        <f>IFERROR(__xludf.DUMMYFUNCTION("""COMPUTED_VALUE"""),0.00209)</f>
        <v>0.00209</v>
      </c>
      <c r="I538" s="19" t="str">
        <f>IFERROR(__xludf.DUMMYFUNCTION("""COMPUTED_VALUE"""),"-")</f>
        <v>-</v>
      </c>
      <c r="J538" s="19">
        <f>IFERROR(__xludf.DUMMYFUNCTION("""COMPUTED_VALUE"""),0.00201)</f>
        <v>0.00201</v>
      </c>
      <c r="K538" s="19">
        <f>IFERROR(__xludf.DUMMYFUNCTION("""COMPUTED_VALUE"""),0.03966)</f>
        <v>0.03966</v>
      </c>
      <c r="L538" s="19" t="str">
        <f>IFERROR(__xludf.DUMMYFUNCTION("""COMPUTED_VALUE"""),"-")</f>
        <v>-</v>
      </c>
      <c r="M538" s="19">
        <f>IFERROR(__xludf.DUMMYFUNCTION("""COMPUTED_VALUE"""),0.03987)</f>
        <v>0.03987</v>
      </c>
    </row>
    <row r="539">
      <c r="A539" s="12" t="s">
        <v>7529</v>
      </c>
      <c r="G539" s="19">
        <f>IFERROR(__xludf.DUMMYFUNCTION("SPLIT(A537, "" |"")"),535.0)</f>
        <v>535</v>
      </c>
      <c r="H539" s="19">
        <f>IFERROR(__xludf.DUMMYFUNCTION("""COMPUTED_VALUE"""),0.00207)</f>
        <v>0.00207</v>
      </c>
      <c r="I539" s="19" t="str">
        <f>IFERROR(__xludf.DUMMYFUNCTION("""COMPUTED_VALUE"""),"-")</f>
        <v>-</v>
      </c>
      <c r="J539" s="19">
        <f>IFERROR(__xludf.DUMMYFUNCTION("""COMPUTED_VALUE"""),0.00201)</f>
        <v>0.00201</v>
      </c>
      <c r="K539" s="19">
        <f>IFERROR(__xludf.DUMMYFUNCTION("""COMPUTED_VALUE"""),0.0397)</f>
        <v>0.0397</v>
      </c>
      <c r="L539" s="19" t="str">
        <f>IFERROR(__xludf.DUMMYFUNCTION("""COMPUTED_VALUE"""),"-")</f>
        <v>-</v>
      </c>
      <c r="M539" s="19">
        <f>IFERROR(__xludf.DUMMYFUNCTION("""COMPUTED_VALUE"""),0.03983)</f>
        <v>0.03983</v>
      </c>
    </row>
    <row r="540">
      <c r="A540" s="12" t="s">
        <v>7530</v>
      </c>
      <c r="G540" s="19">
        <f>IFERROR(__xludf.DUMMYFUNCTION("SPLIT(A538, "" |"")"),536.0)</f>
        <v>536</v>
      </c>
      <c r="H540" s="19">
        <f>IFERROR(__xludf.DUMMYFUNCTION("""COMPUTED_VALUE"""),0.00211)</f>
        <v>0.00211</v>
      </c>
      <c r="I540" s="19" t="str">
        <f>IFERROR(__xludf.DUMMYFUNCTION("""COMPUTED_VALUE"""),"-")</f>
        <v>-</v>
      </c>
      <c r="J540" s="19">
        <f>IFERROR(__xludf.DUMMYFUNCTION("""COMPUTED_VALUE"""),0.00197)</f>
        <v>0.00197</v>
      </c>
      <c r="K540" s="19">
        <f>IFERROR(__xludf.DUMMYFUNCTION("""COMPUTED_VALUE"""),0.0377)</f>
        <v>0.0377</v>
      </c>
      <c r="L540" s="19" t="str">
        <f>IFERROR(__xludf.DUMMYFUNCTION("""COMPUTED_VALUE"""),"-")</f>
        <v>-</v>
      </c>
      <c r="M540" s="19">
        <f>IFERROR(__xludf.DUMMYFUNCTION("""COMPUTED_VALUE"""),0.03765)</f>
        <v>0.03765</v>
      </c>
    </row>
    <row r="541">
      <c r="A541" s="12" t="s">
        <v>7531</v>
      </c>
      <c r="G541" s="19">
        <f>IFERROR(__xludf.DUMMYFUNCTION("SPLIT(A539, "" |"")"),537.0)</f>
        <v>537</v>
      </c>
      <c r="H541" s="19">
        <f>IFERROR(__xludf.DUMMYFUNCTION("""COMPUTED_VALUE"""),0.00215)</f>
        <v>0.00215</v>
      </c>
      <c r="I541" s="19" t="str">
        <f>IFERROR(__xludf.DUMMYFUNCTION("""COMPUTED_VALUE"""),"-")</f>
        <v>-</v>
      </c>
      <c r="J541" s="19">
        <f>IFERROR(__xludf.DUMMYFUNCTION("""COMPUTED_VALUE"""),0.0021)</f>
        <v>0.0021</v>
      </c>
      <c r="K541" s="19">
        <f>IFERROR(__xludf.DUMMYFUNCTION("""COMPUTED_VALUE"""),0.03974)</f>
        <v>0.03974</v>
      </c>
      <c r="L541" s="19" t="str">
        <f>IFERROR(__xludf.DUMMYFUNCTION("""COMPUTED_VALUE"""),"-")</f>
        <v>-</v>
      </c>
      <c r="M541" s="19">
        <f>IFERROR(__xludf.DUMMYFUNCTION("""COMPUTED_VALUE"""),0.03974)</f>
        <v>0.03974</v>
      </c>
    </row>
    <row r="542">
      <c r="A542" s="12" t="s">
        <v>7532</v>
      </c>
      <c r="G542" s="19">
        <f>IFERROR(__xludf.DUMMYFUNCTION("SPLIT(A540, "" |"")"),538.0)</f>
        <v>538</v>
      </c>
      <c r="H542" s="19">
        <f>IFERROR(__xludf.DUMMYFUNCTION("""COMPUTED_VALUE"""),0.00213)</f>
        <v>0.00213</v>
      </c>
      <c r="I542" s="19" t="str">
        <f>IFERROR(__xludf.DUMMYFUNCTION("""COMPUTED_VALUE"""),"-")</f>
        <v>-</v>
      </c>
      <c r="J542" s="19">
        <f>IFERROR(__xludf.DUMMYFUNCTION("""COMPUTED_VALUE"""),0.00204)</f>
        <v>0.00204</v>
      </c>
      <c r="K542" s="19">
        <f>IFERROR(__xludf.DUMMYFUNCTION("""COMPUTED_VALUE"""),0.03968)</f>
        <v>0.03968</v>
      </c>
      <c r="L542" s="19" t="str">
        <f>IFERROR(__xludf.DUMMYFUNCTION("""COMPUTED_VALUE"""),"-")</f>
        <v>-</v>
      </c>
      <c r="M542" s="19">
        <f>IFERROR(__xludf.DUMMYFUNCTION("""COMPUTED_VALUE"""),0.03971)</f>
        <v>0.03971</v>
      </c>
    </row>
    <row r="543">
      <c r="A543" s="12" t="s">
        <v>7533</v>
      </c>
      <c r="G543" s="19">
        <f>IFERROR(__xludf.DUMMYFUNCTION("SPLIT(A541, "" |"")"),539.0)</f>
        <v>539</v>
      </c>
      <c r="H543" s="19">
        <f>IFERROR(__xludf.DUMMYFUNCTION("""COMPUTED_VALUE"""),0.00221)</f>
        <v>0.00221</v>
      </c>
      <c r="I543" s="19" t="str">
        <f>IFERROR(__xludf.DUMMYFUNCTION("""COMPUTED_VALUE"""),"-")</f>
        <v>-</v>
      </c>
      <c r="J543" s="19">
        <f>IFERROR(__xludf.DUMMYFUNCTION("""COMPUTED_VALUE"""),0.00188)</f>
        <v>0.00188</v>
      </c>
      <c r="K543" s="19">
        <f>IFERROR(__xludf.DUMMYFUNCTION("""COMPUTED_VALUE"""),0.03961)</f>
        <v>0.03961</v>
      </c>
      <c r="L543" s="19" t="str">
        <f>IFERROR(__xludf.DUMMYFUNCTION("""COMPUTED_VALUE"""),"-")</f>
        <v>-</v>
      </c>
      <c r="M543" s="19">
        <f>IFERROR(__xludf.DUMMYFUNCTION("""COMPUTED_VALUE"""),0.04041)</f>
        <v>0.04041</v>
      </c>
    </row>
    <row r="544">
      <c r="A544" s="12" t="s">
        <v>7534</v>
      </c>
      <c r="G544" s="19">
        <f>IFERROR(__xludf.DUMMYFUNCTION("SPLIT(A542, "" |"")"),540.0)</f>
        <v>540</v>
      </c>
      <c r="H544" s="19">
        <f>IFERROR(__xludf.DUMMYFUNCTION("""COMPUTED_VALUE"""),0.00204)</f>
        <v>0.00204</v>
      </c>
      <c r="I544" s="19" t="str">
        <f>IFERROR(__xludf.DUMMYFUNCTION("""COMPUTED_VALUE"""),"-")</f>
        <v>-</v>
      </c>
      <c r="J544" s="19">
        <f>IFERROR(__xludf.DUMMYFUNCTION("""COMPUTED_VALUE"""),0.00188)</f>
        <v>0.00188</v>
      </c>
      <c r="K544" s="19">
        <f>IFERROR(__xludf.DUMMYFUNCTION("""COMPUTED_VALUE"""),0.0402)</f>
        <v>0.0402</v>
      </c>
      <c r="L544" s="19" t="str">
        <f>IFERROR(__xludf.DUMMYFUNCTION("""COMPUTED_VALUE"""),"-")</f>
        <v>-</v>
      </c>
      <c r="M544" s="19">
        <f>IFERROR(__xludf.DUMMYFUNCTION("""COMPUTED_VALUE"""),0.03969)</f>
        <v>0.03969</v>
      </c>
    </row>
    <row r="545">
      <c r="A545" s="12" t="s">
        <v>7535</v>
      </c>
      <c r="G545" s="19">
        <f>IFERROR(__xludf.DUMMYFUNCTION("SPLIT(A543, "" |"")"),541.0)</f>
        <v>541</v>
      </c>
      <c r="H545" s="19">
        <f>IFERROR(__xludf.DUMMYFUNCTION("""COMPUTED_VALUE"""),0.00199)</f>
        <v>0.00199</v>
      </c>
      <c r="I545" s="19" t="str">
        <f>IFERROR(__xludf.DUMMYFUNCTION("""COMPUTED_VALUE"""),"-")</f>
        <v>-</v>
      </c>
      <c r="J545" s="19">
        <f>IFERROR(__xludf.DUMMYFUNCTION("""COMPUTED_VALUE"""),0.00203)</f>
        <v>0.00203</v>
      </c>
      <c r="K545" s="19">
        <f>IFERROR(__xludf.DUMMYFUNCTION("""COMPUTED_VALUE"""),0.03955)</f>
        <v>0.03955</v>
      </c>
      <c r="L545" s="19" t="str">
        <f>IFERROR(__xludf.DUMMYFUNCTION("""COMPUTED_VALUE"""),"-")</f>
        <v>-</v>
      </c>
      <c r="M545" s="19">
        <f>IFERROR(__xludf.DUMMYFUNCTION("""COMPUTED_VALUE"""),0.03981)</f>
        <v>0.03981</v>
      </c>
    </row>
    <row r="546">
      <c r="A546" s="12" t="s">
        <v>7536</v>
      </c>
      <c r="G546" s="19">
        <f>IFERROR(__xludf.DUMMYFUNCTION("SPLIT(A544, "" |"")"),542.0)</f>
        <v>542</v>
      </c>
      <c r="H546" s="19">
        <f>IFERROR(__xludf.DUMMYFUNCTION("""COMPUTED_VALUE"""),0.00205)</f>
        <v>0.00205</v>
      </c>
      <c r="I546" s="19" t="str">
        <f>IFERROR(__xludf.DUMMYFUNCTION("""COMPUTED_VALUE"""),"-")</f>
        <v>-</v>
      </c>
      <c r="J546" s="19">
        <f>IFERROR(__xludf.DUMMYFUNCTION("""COMPUTED_VALUE"""),0.00204)</f>
        <v>0.00204</v>
      </c>
      <c r="K546" s="19">
        <f>IFERROR(__xludf.DUMMYFUNCTION("""COMPUTED_VALUE"""),0.0398)</f>
        <v>0.0398</v>
      </c>
      <c r="L546" s="19" t="str">
        <f>IFERROR(__xludf.DUMMYFUNCTION("""COMPUTED_VALUE"""),"-")</f>
        <v>-</v>
      </c>
      <c r="M546" s="19">
        <f>IFERROR(__xludf.DUMMYFUNCTION("""COMPUTED_VALUE"""),0.03982)</f>
        <v>0.03982</v>
      </c>
    </row>
    <row r="547">
      <c r="A547" s="12" t="s">
        <v>7537</v>
      </c>
      <c r="G547" s="19">
        <f>IFERROR(__xludf.DUMMYFUNCTION("SPLIT(A545, "" |"")"),543.0)</f>
        <v>543</v>
      </c>
      <c r="H547" s="19">
        <f>IFERROR(__xludf.DUMMYFUNCTION("""COMPUTED_VALUE"""),0.00212)</f>
        <v>0.00212</v>
      </c>
      <c r="I547" s="19" t="str">
        <f>IFERROR(__xludf.DUMMYFUNCTION("""COMPUTED_VALUE"""),"-")</f>
        <v>-</v>
      </c>
      <c r="J547" s="19">
        <f>IFERROR(__xludf.DUMMYFUNCTION("""COMPUTED_VALUE"""),0.002)</f>
        <v>0.002</v>
      </c>
      <c r="K547" s="19">
        <f>IFERROR(__xludf.DUMMYFUNCTION("""COMPUTED_VALUE"""),0.03963)</f>
        <v>0.03963</v>
      </c>
      <c r="L547" s="19" t="str">
        <f>IFERROR(__xludf.DUMMYFUNCTION("""COMPUTED_VALUE"""),"-")</f>
        <v>-</v>
      </c>
      <c r="M547" s="19">
        <f>IFERROR(__xludf.DUMMYFUNCTION("""COMPUTED_VALUE"""),0.03969)</f>
        <v>0.03969</v>
      </c>
    </row>
    <row r="548">
      <c r="A548" s="12" t="s">
        <v>7538</v>
      </c>
      <c r="G548" s="19">
        <f>IFERROR(__xludf.DUMMYFUNCTION("SPLIT(A546, "" |"")"),544.0)</f>
        <v>544</v>
      </c>
      <c r="H548" s="19">
        <f>IFERROR(__xludf.DUMMYFUNCTION("""COMPUTED_VALUE"""),0.00213)</f>
        <v>0.00213</v>
      </c>
      <c r="I548" s="19" t="str">
        <f>IFERROR(__xludf.DUMMYFUNCTION("""COMPUTED_VALUE"""),"-")</f>
        <v>-</v>
      </c>
      <c r="J548" s="19">
        <f>IFERROR(__xludf.DUMMYFUNCTION("""COMPUTED_VALUE"""),0.00207)</f>
        <v>0.00207</v>
      </c>
      <c r="K548" s="19">
        <f>IFERROR(__xludf.DUMMYFUNCTION("""COMPUTED_VALUE"""),0.03978)</f>
        <v>0.03978</v>
      </c>
      <c r="L548" s="19" t="str">
        <f>IFERROR(__xludf.DUMMYFUNCTION("""COMPUTED_VALUE"""),"-")</f>
        <v>-</v>
      </c>
      <c r="M548" s="19">
        <f>IFERROR(__xludf.DUMMYFUNCTION("""COMPUTED_VALUE"""),0.03971)</f>
        <v>0.03971</v>
      </c>
    </row>
    <row r="549">
      <c r="A549" s="12" t="s">
        <v>7539</v>
      </c>
      <c r="G549" s="19">
        <f>IFERROR(__xludf.DUMMYFUNCTION("SPLIT(A547, "" |"")"),545.0)</f>
        <v>545</v>
      </c>
      <c r="H549" s="19">
        <f>IFERROR(__xludf.DUMMYFUNCTION("""COMPUTED_VALUE"""),0.002)</f>
        <v>0.002</v>
      </c>
      <c r="I549" s="19" t="str">
        <f>IFERROR(__xludf.DUMMYFUNCTION("""COMPUTED_VALUE"""),"-")</f>
        <v>-</v>
      </c>
      <c r="J549" s="19">
        <f>IFERROR(__xludf.DUMMYFUNCTION("""COMPUTED_VALUE"""),0.00187)</f>
        <v>0.00187</v>
      </c>
      <c r="K549" s="19">
        <f>IFERROR(__xludf.DUMMYFUNCTION("""COMPUTED_VALUE"""),0.03993)</f>
        <v>0.03993</v>
      </c>
      <c r="L549" s="19" t="str">
        <f>IFERROR(__xludf.DUMMYFUNCTION("""COMPUTED_VALUE"""),"-")</f>
        <v>-</v>
      </c>
      <c r="M549" s="19">
        <f>IFERROR(__xludf.DUMMYFUNCTION("""COMPUTED_VALUE"""),0.03998)</f>
        <v>0.03998</v>
      </c>
    </row>
    <row r="550">
      <c r="A550" s="12" t="s">
        <v>7540</v>
      </c>
      <c r="G550" s="19">
        <f>IFERROR(__xludf.DUMMYFUNCTION("SPLIT(A548, "" |"")"),546.0)</f>
        <v>546</v>
      </c>
      <c r="H550" s="19">
        <f>IFERROR(__xludf.DUMMYFUNCTION("""COMPUTED_VALUE"""),0.00288)</f>
        <v>0.00288</v>
      </c>
      <c r="I550" s="19" t="str">
        <f>IFERROR(__xludf.DUMMYFUNCTION("""COMPUTED_VALUE"""),"-")</f>
        <v>-</v>
      </c>
      <c r="J550" s="19">
        <f>IFERROR(__xludf.DUMMYFUNCTION("""COMPUTED_VALUE"""),0.00203)</f>
        <v>0.00203</v>
      </c>
      <c r="K550" s="19">
        <f>IFERROR(__xludf.DUMMYFUNCTION("""COMPUTED_VALUE"""),0.04057)</f>
        <v>0.04057</v>
      </c>
      <c r="L550" s="19" t="str">
        <f>IFERROR(__xludf.DUMMYFUNCTION("""COMPUTED_VALUE"""),"-")</f>
        <v>-</v>
      </c>
      <c r="M550" s="19">
        <f>IFERROR(__xludf.DUMMYFUNCTION("""COMPUTED_VALUE"""),0.04064)</f>
        <v>0.04064</v>
      </c>
    </row>
    <row r="551">
      <c r="A551" s="12" t="s">
        <v>7541</v>
      </c>
      <c r="G551" s="19">
        <f>IFERROR(__xludf.DUMMYFUNCTION("SPLIT(A549, "" |"")"),547.0)</f>
        <v>547</v>
      </c>
      <c r="H551" s="19">
        <f>IFERROR(__xludf.DUMMYFUNCTION("""COMPUTED_VALUE"""),0.00216)</f>
        <v>0.00216</v>
      </c>
      <c r="I551" s="19" t="str">
        <f>IFERROR(__xludf.DUMMYFUNCTION("""COMPUTED_VALUE"""),"-")</f>
        <v>-</v>
      </c>
      <c r="J551" s="19">
        <f>IFERROR(__xludf.DUMMYFUNCTION("""COMPUTED_VALUE"""),0.00204)</f>
        <v>0.00204</v>
      </c>
      <c r="K551" s="19">
        <f>IFERROR(__xludf.DUMMYFUNCTION("""COMPUTED_VALUE"""),0.03974)</f>
        <v>0.03974</v>
      </c>
      <c r="L551" s="19" t="str">
        <f>IFERROR(__xludf.DUMMYFUNCTION("""COMPUTED_VALUE"""),"-")</f>
        <v>-</v>
      </c>
      <c r="M551" s="19">
        <f>IFERROR(__xludf.DUMMYFUNCTION("""COMPUTED_VALUE"""),0.03987)</f>
        <v>0.03987</v>
      </c>
    </row>
    <row r="552">
      <c r="A552" s="12" t="s">
        <v>7542</v>
      </c>
      <c r="G552" s="19">
        <f>IFERROR(__xludf.DUMMYFUNCTION("SPLIT(A550, "" |"")"),548.0)</f>
        <v>548</v>
      </c>
      <c r="H552" s="19">
        <f>IFERROR(__xludf.DUMMYFUNCTION("""COMPUTED_VALUE"""),0.00206)</f>
        <v>0.00206</v>
      </c>
      <c r="I552" s="19" t="str">
        <f>IFERROR(__xludf.DUMMYFUNCTION("""COMPUTED_VALUE"""),"-")</f>
        <v>-</v>
      </c>
      <c r="J552" s="19">
        <f>IFERROR(__xludf.DUMMYFUNCTION("""COMPUTED_VALUE"""),0.00192)</f>
        <v>0.00192</v>
      </c>
      <c r="K552" s="19">
        <f>IFERROR(__xludf.DUMMYFUNCTION("""COMPUTED_VALUE"""),0.03885)</f>
        <v>0.03885</v>
      </c>
      <c r="L552" s="19" t="str">
        <f>IFERROR(__xludf.DUMMYFUNCTION("""COMPUTED_VALUE"""),"-")</f>
        <v>-</v>
      </c>
      <c r="M552" s="19">
        <f>IFERROR(__xludf.DUMMYFUNCTION("""COMPUTED_VALUE"""),0.03764)</f>
        <v>0.03764</v>
      </c>
    </row>
    <row r="553">
      <c r="A553" s="12" t="s">
        <v>7543</v>
      </c>
      <c r="G553" s="19">
        <f>IFERROR(__xludf.DUMMYFUNCTION("SPLIT(A551, "" |"")"),549.0)</f>
        <v>549</v>
      </c>
      <c r="H553" s="19">
        <f>IFERROR(__xludf.DUMMYFUNCTION("""COMPUTED_VALUE"""),0.00215)</f>
        <v>0.00215</v>
      </c>
      <c r="I553" s="19" t="str">
        <f>IFERROR(__xludf.DUMMYFUNCTION("""COMPUTED_VALUE"""),"-")</f>
        <v>-</v>
      </c>
      <c r="J553" s="19">
        <f>IFERROR(__xludf.DUMMYFUNCTION("""COMPUTED_VALUE"""),0.00201)</f>
        <v>0.00201</v>
      </c>
      <c r="K553" s="19">
        <f>IFERROR(__xludf.DUMMYFUNCTION("""COMPUTED_VALUE"""),0.0397)</f>
        <v>0.0397</v>
      </c>
      <c r="L553" s="19" t="str">
        <f>IFERROR(__xludf.DUMMYFUNCTION("""COMPUTED_VALUE"""),"-")</f>
        <v>-</v>
      </c>
      <c r="M553" s="19">
        <f>IFERROR(__xludf.DUMMYFUNCTION("""COMPUTED_VALUE"""),0.03606)</f>
        <v>0.03606</v>
      </c>
    </row>
    <row r="554">
      <c r="A554" s="12" t="s">
        <v>7544</v>
      </c>
      <c r="G554" s="19">
        <f>IFERROR(__xludf.DUMMYFUNCTION("SPLIT(A552, "" |"")"),550.0)</f>
        <v>550</v>
      </c>
      <c r="H554" s="19">
        <f>IFERROR(__xludf.DUMMYFUNCTION("""COMPUTED_VALUE"""),0.00208)</f>
        <v>0.00208</v>
      </c>
      <c r="I554" s="19" t="str">
        <f>IFERROR(__xludf.DUMMYFUNCTION("""COMPUTED_VALUE"""),"-")</f>
        <v>-</v>
      </c>
      <c r="J554" s="19">
        <f>IFERROR(__xludf.DUMMYFUNCTION("""COMPUTED_VALUE"""),0.00199)</f>
        <v>0.00199</v>
      </c>
      <c r="K554" s="19">
        <f>IFERROR(__xludf.DUMMYFUNCTION("""COMPUTED_VALUE"""),0.03875)</f>
        <v>0.03875</v>
      </c>
      <c r="L554" s="19" t="str">
        <f>IFERROR(__xludf.DUMMYFUNCTION("""COMPUTED_VALUE"""),"-")</f>
        <v>-</v>
      </c>
      <c r="M554" s="19">
        <f>IFERROR(__xludf.DUMMYFUNCTION("""COMPUTED_VALUE"""),0.03969)</f>
        <v>0.03969</v>
      </c>
    </row>
    <row r="555">
      <c r="A555" s="12" t="s">
        <v>7545</v>
      </c>
      <c r="G555" s="19">
        <f>IFERROR(__xludf.DUMMYFUNCTION("SPLIT(A553, "" |"")"),551.0)</f>
        <v>551</v>
      </c>
      <c r="H555" s="19">
        <f>IFERROR(__xludf.DUMMYFUNCTION("""COMPUTED_VALUE"""),0.00201)</f>
        <v>0.00201</v>
      </c>
      <c r="I555" s="19" t="str">
        <f>IFERROR(__xludf.DUMMYFUNCTION("""COMPUTED_VALUE"""),"-")</f>
        <v>-</v>
      </c>
      <c r="J555" s="19">
        <f>IFERROR(__xludf.DUMMYFUNCTION("""COMPUTED_VALUE"""),0.00244)</f>
        <v>0.00244</v>
      </c>
      <c r="K555" s="19">
        <f>IFERROR(__xludf.DUMMYFUNCTION("""COMPUTED_VALUE"""),0.04002)</f>
        <v>0.04002</v>
      </c>
      <c r="L555" s="19" t="str">
        <f>IFERROR(__xludf.DUMMYFUNCTION("""COMPUTED_VALUE"""),"-")</f>
        <v>-</v>
      </c>
      <c r="M555" s="19">
        <f>IFERROR(__xludf.DUMMYFUNCTION("""COMPUTED_VALUE"""),0.03678)</f>
        <v>0.03678</v>
      </c>
    </row>
    <row r="556">
      <c r="A556" s="12" t="s">
        <v>7546</v>
      </c>
      <c r="G556" s="19">
        <f>IFERROR(__xludf.DUMMYFUNCTION("SPLIT(A554, "" |"")"),552.0)</f>
        <v>552</v>
      </c>
      <c r="H556" s="19">
        <f>IFERROR(__xludf.DUMMYFUNCTION("""COMPUTED_VALUE"""),0.00202)</f>
        <v>0.00202</v>
      </c>
      <c r="I556" s="19" t="str">
        <f>IFERROR(__xludf.DUMMYFUNCTION("""COMPUTED_VALUE"""),"-")</f>
        <v>-</v>
      </c>
      <c r="J556" s="19">
        <f>IFERROR(__xludf.DUMMYFUNCTION("""COMPUTED_VALUE"""),0.00189)</f>
        <v>0.00189</v>
      </c>
      <c r="K556" s="19">
        <f>IFERROR(__xludf.DUMMYFUNCTION("""COMPUTED_VALUE"""),0.03976)</f>
        <v>0.03976</v>
      </c>
      <c r="L556" s="19" t="str">
        <f>IFERROR(__xludf.DUMMYFUNCTION("""COMPUTED_VALUE"""),"-")</f>
        <v>-</v>
      </c>
      <c r="M556" s="19">
        <f>IFERROR(__xludf.DUMMYFUNCTION("""COMPUTED_VALUE"""),0.04012)</f>
        <v>0.04012</v>
      </c>
    </row>
    <row r="557">
      <c r="A557" s="12" t="s">
        <v>7547</v>
      </c>
      <c r="G557" s="19">
        <f>IFERROR(__xludf.DUMMYFUNCTION("SPLIT(A555, "" |"")"),553.0)</f>
        <v>553</v>
      </c>
      <c r="H557" s="19">
        <f>IFERROR(__xludf.DUMMYFUNCTION("""COMPUTED_VALUE"""),0.00219)</f>
        <v>0.00219</v>
      </c>
      <c r="I557" s="19" t="str">
        <f>IFERROR(__xludf.DUMMYFUNCTION("""COMPUTED_VALUE"""),"-")</f>
        <v>-</v>
      </c>
      <c r="J557" s="19">
        <f>IFERROR(__xludf.DUMMYFUNCTION("""COMPUTED_VALUE"""),0.00195)</f>
        <v>0.00195</v>
      </c>
      <c r="K557" s="19">
        <f>IFERROR(__xludf.DUMMYFUNCTION("""COMPUTED_VALUE"""),0.03964)</f>
        <v>0.03964</v>
      </c>
      <c r="L557" s="19" t="str">
        <f>IFERROR(__xludf.DUMMYFUNCTION("""COMPUTED_VALUE"""),"-")</f>
        <v>-</v>
      </c>
      <c r="M557" s="19">
        <f>IFERROR(__xludf.DUMMYFUNCTION("""COMPUTED_VALUE"""),0.04025)</f>
        <v>0.04025</v>
      </c>
    </row>
    <row r="558">
      <c r="A558" s="12" t="s">
        <v>7548</v>
      </c>
      <c r="G558" s="19">
        <f>IFERROR(__xludf.DUMMYFUNCTION("SPLIT(A556, "" |"")"),554.0)</f>
        <v>554</v>
      </c>
      <c r="H558" s="19">
        <f>IFERROR(__xludf.DUMMYFUNCTION("""COMPUTED_VALUE"""),0.00211)</f>
        <v>0.00211</v>
      </c>
      <c r="I558" s="19" t="str">
        <f>IFERROR(__xludf.DUMMYFUNCTION("""COMPUTED_VALUE"""),"-")</f>
        <v>-</v>
      </c>
      <c r="J558" s="19">
        <f>IFERROR(__xludf.DUMMYFUNCTION("""COMPUTED_VALUE"""),0.00189)</f>
        <v>0.00189</v>
      </c>
      <c r="K558" s="19">
        <f>IFERROR(__xludf.DUMMYFUNCTION("""COMPUTED_VALUE"""),0.03971)</f>
        <v>0.03971</v>
      </c>
      <c r="L558" s="19" t="str">
        <f>IFERROR(__xludf.DUMMYFUNCTION("""COMPUTED_VALUE"""),"-")</f>
        <v>-</v>
      </c>
      <c r="M558" s="19">
        <f>IFERROR(__xludf.DUMMYFUNCTION("""COMPUTED_VALUE"""),0.03987)</f>
        <v>0.03987</v>
      </c>
    </row>
    <row r="559">
      <c r="A559" s="12" t="s">
        <v>7549</v>
      </c>
      <c r="G559" s="19">
        <f>IFERROR(__xludf.DUMMYFUNCTION("SPLIT(A557, "" |"")"),555.0)</f>
        <v>555</v>
      </c>
      <c r="H559" s="19">
        <f>IFERROR(__xludf.DUMMYFUNCTION("""COMPUTED_VALUE"""),0.00217)</f>
        <v>0.00217</v>
      </c>
      <c r="I559" s="19" t="str">
        <f>IFERROR(__xludf.DUMMYFUNCTION("""COMPUTED_VALUE"""),"-")</f>
        <v>-</v>
      </c>
      <c r="J559" s="19">
        <f>IFERROR(__xludf.DUMMYFUNCTION("""COMPUTED_VALUE"""),0.0022)</f>
        <v>0.0022</v>
      </c>
      <c r="K559" s="19">
        <f>IFERROR(__xludf.DUMMYFUNCTION("""COMPUTED_VALUE"""),0.04)</f>
        <v>0.04</v>
      </c>
      <c r="L559" s="19" t="str">
        <f>IFERROR(__xludf.DUMMYFUNCTION("""COMPUTED_VALUE"""),"-")</f>
        <v>-</v>
      </c>
      <c r="M559" s="19">
        <f>IFERROR(__xludf.DUMMYFUNCTION("""COMPUTED_VALUE"""),0.0393)</f>
        <v>0.0393</v>
      </c>
    </row>
    <row r="560">
      <c r="A560" s="12" t="s">
        <v>7550</v>
      </c>
      <c r="G560" s="19">
        <f>IFERROR(__xludf.DUMMYFUNCTION("SPLIT(A558, "" |"")"),556.0)</f>
        <v>556</v>
      </c>
      <c r="H560" s="19">
        <f>IFERROR(__xludf.DUMMYFUNCTION("""COMPUTED_VALUE"""),0.00238)</f>
        <v>0.00238</v>
      </c>
      <c r="I560" s="19" t="str">
        <f>IFERROR(__xludf.DUMMYFUNCTION("""COMPUTED_VALUE"""),"-")</f>
        <v>-</v>
      </c>
      <c r="J560" s="19">
        <f>IFERROR(__xludf.DUMMYFUNCTION("""COMPUTED_VALUE"""),0.00215)</f>
        <v>0.00215</v>
      </c>
      <c r="K560" s="19">
        <f>IFERROR(__xludf.DUMMYFUNCTION("""COMPUTED_VALUE"""),0.04018)</f>
        <v>0.04018</v>
      </c>
      <c r="L560" s="19" t="str">
        <f>IFERROR(__xludf.DUMMYFUNCTION("""COMPUTED_VALUE"""),"-")</f>
        <v>-</v>
      </c>
      <c r="M560" s="19">
        <f>IFERROR(__xludf.DUMMYFUNCTION("""COMPUTED_VALUE"""),0.03942)</f>
        <v>0.03942</v>
      </c>
    </row>
    <row r="561">
      <c r="A561" s="12" t="s">
        <v>7551</v>
      </c>
      <c r="G561" s="19">
        <f>IFERROR(__xludf.DUMMYFUNCTION("SPLIT(A559, "" |"")"),557.0)</f>
        <v>557</v>
      </c>
      <c r="H561" s="19">
        <f>IFERROR(__xludf.DUMMYFUNCTION("""COMPUTED_VALUE"""),0.00224)</f>
        <v>0.00224</v>
      </c>
      <c r="I561" s="19" t="str">
        <f>IFERROR(__xludf.DUMMYFUNCTION("""COMPUTED_VALUE"""),"-")</f>
        <v>-</v>
      </c>
      <c r="J561" s="19">
        <f>IFERROR(__xludf.DUMMYFUNCTION("""COMPUTED_VALUE"""),0.00191)</f>
        <v>0.00191</v>
      </c>
      <c r="K561" s="19">
        <f>IFERROR(__xludf.DUMMYFUNCTION("""COMPUTED_VALUE"""),0.04016)</f>
        <v>0.04016</v>
      </c>
      <c r="L561" s="19" t="str">
        <f>IFERROR(__xludf.DUMMYFUNCTION("""COMPUTED_VALUE"""),"-")</f>
        <v>-</v>
      </c>
      <c r="M561" s="19">
        <f>IFERROR(__xludf.DUMMYFUNCTION("""COMPUTED_VALUE"""),0.04005)</f>
        <v>0.04005</v>
      </c>
    </row>
    <row r="562">
      <c r="A562" s="12" t="s">
        <v>7552</v>
      </c>
      <c r="G562" s="19">
        <f>IFERROR(__xludf.DUMMYFUNCTION("SPLIT(A560, "" |"")"),558.0)</f>
        <v>558</v>
      </c>
      <c r="H562" s="19">
        <f>IFERROR(__xludf.DUMMYFUNCTION("""COMPUTED_VALUE"""),0.0021)</f>
        <v>0.0021</v>
      </c>
      <c r="I562" s="19" t="str">
        <f>IFERROR(__xludf.DUMMYFUNCTION("""COMPUTED_VALUE"""),"-")</f>
        <v>-</v>
      </c>
      <c r="J562" s="19">
        <f>IFERROR(__xludf.DUMMYFUNCTION("""COMPUTED_VALUE"""),0.00202)</f>
        <v>0.00202</v>
      </c>
      <c r="K562" s="19">
        <f>IFERROR(__xludf.DUMMYFUNCTION("""COMPUTED_VALUE"""),0.03966)</f>
        <v>0.03966</v>
      </c>
      <c r="L562" s="19" t="str">
        <f>IFERROR(__xludf.DUMMYFUNCTION("""COMPUTED_VALUE"""),"-")</f>
        <v>-</v>
      </c>
      <c r="M562" s="19">
        <f>IFERROR(__xludf.DUMMYFUNCTION("""COMPUTED_VALUE"""),0.04038)</f>
        <v>0.04038</v>
      </c>
    </row>
    <row r="563">
      <c r="A563" s="12" t="s">
        <v>7553</v>
      </c>
      <c r="G563" s="19">
        <f>IFERROR(__xludf.DUMMYFUNCTION("SPLIT(A561, "" |"")"),559.0)</f>
        <v>559</v>
      </c>
      <c r="H563" s="19">
        <f>IFERROR(__xludf.DUMMYFUNCTION("""COMPUTED_VALUE"""),0.00206)</f>
        <v>0.00206</v>
      </c>
      <c r="I563" s="19" t="str">
        <f>IFERROR(__xludf.DUMMYFUNCTION("""COMPUTED_VALUE"""),"-")</f>
        <v>-</v>
      </c>
      <c r="J563" s="19">
        <f>IFERROR(__xludf.DUMMYFUNCTION("""COMPUTED_VALUE"""),0.00201)</f>
        <v>0.00201</v>
      </c>
      <c r="K563" s="19">
        <f>IFERROR(__xludf.DUMMYFUNCTION("""COMPUTED_VALUE"""),0.03982)</f>
        <v>0.03982</v>
      </c>
      <c r="L563" s="19" t="str">
        <f>IFERROR(__xludf.DUMMYFUNCTION("""COMPUTED_VALUE"""),"-")</f>
        <v>-</v>
      </c>
      <c r="M563" s="19">
        <f>IFERROR(__xludf.DUMMYFUNCTION("""COMPUTED_VALUE"""),0.04039)</f>
        <v>0.04039</v>
      </c>
    </row>
    <row r="564">
      <c r="A564" s="12" t="s">
        <v>7554</v>
      </c>
      <c r="G564" s="19">
        <f>IFERROR(__xludf.DUMMYFUNCTION("SPLIT(A562, "" |"")"),560.0)</f>
        <v>560</v>
      </c>
      <c r="H564" s="19">
        <f>IFERROR(__xludf.DUMMYFUNCTION("""COMPUTED_VALUE"""),0.00223)</f>
        <v>0.00223</v>
      </c>
      <c r="I564" s="19" t="str">
        <f>IFERROR(__xludf.DUMMYFUNCTION("""COMPUTED_VALUE"""),"-")</f>
        <v>-</v>
      </c>
      <c r="J564" s="19">
        <f>IFERROR(__xludf.DUMMYFUNCTION("""COMPUTED_VALUE"""),0.0019)</f>
        <v>0.0019</v>
      </c>
      <c r="K564" s="19">
        <f>IFERROR(__xludf.DUMMYFUNCTION("""COMPUTED_VALUE"""),0.03975)</f>
        <v>0.03975</v>
      </c>
      <c r="L564" s="19" t="str">
        <f>IFERROR(__xludf.DUMMYFUNCTION("""COMPUTED_VALUE"""),"-")</f>
        <v>-</v>
      </c>
      <c r="M564" s="19">
        <f>IFERROR(__xludf.DUMMYFUNCTION("""COMPUTED_VALUE"""),0.03851)</f>
        <v>0.03851</v>
      </c>
    </row>
    <row r="565">
      <c r="A565" s="12" t="s">
        <v>7555</v>
      </c>
      <c r="G565" s="19">
        <f>IFERROR(__xludf.DUMMYFUNCTION("SPLIT(A563, "" |"")"),561.0)</f>
        <v>561</v>
      </c>
      <c r="H565" s="19">
        <f>IFERROR(__xludf.DUMMYFUNCTION("""COMPUTED_VALUE"""),0.00239)</f>
        <v>0.00239</v>
      </c>
      <c r="I565" s="19" t="str">
        <f>IFERROR(__xludf.DUMMYFUNCTION("""COMPUTED_VALUE"""),"-")</f>
        <v>-</v>
      </c>
      <c r="J565" s="19">
        <f>IFERROR(__xludf.DUMMYFUNCTION("""COMPUTED_VALUE"""),0.00221)</f>
        <v>0.00221</v>
      </c>
      <c r="K565" s="19">
        <f>IFERROR(__xludf.DUMMYFUNCTION("""COMPUTED_VALUE"""),0.03683)</f>
        <v>0.03683</v>
      </c>
      <c r="L565" s="19" t="str">
        <f>IFERROR(__xludf.DUMMYFUNCTION("""COMPUTED_VALUE"""),"-")</f>
        <v>-</v>
      </c>
      <c r="M565" s="19">
        <f>IFERROR(__xludf.DUMMYFUNCTION("""COMPUTED_VALUE"""),0.03887)</f>
        <v>0.03887</v>
      </c>
    </row>
    <row r="566">
      <c r="A566" s="12" t="s">
        <v>7556</v>
      </c>
      <c r="G566" s="19">
        <f>IFERROR(__xludf.DUMMYFUNCTION("SPLIT(A564, "" |"")"),562.0)</f>
        <v>562</v>
      </c>
      <c r="H566" s="19">
        <f>IFERROR(__xludf.DUMMYFUNCTION("""COMPUTED_VALUE"""),0.0022)</f>
        <v>0.0022</v>
      </c>
      <c r="I566" s="19" t="str">
        <f>IFERROR(__xludf.DUMMYFUNCTION("""COMPUTED_VALUE"""),"-")</f>
        <v>-</v>
      </c>
      <c r="J566" s="19">
        <f>IFERROR(__xludf.DUMMYFUNCTION("""COMPUTED_VALUE"""),0.00208)</f>
        <v>0.00208</v>
      </c>
      <c r="K566" s="19">
        <f>IFERROR(__xludf.DUMMYFUNCTION("""COMPUTED_VALUE"""),0.03927)</f>
        <v>0.03927</v>
      </c>
      <c r="L566" s="19" t="str">
        <f>IFERROR(__xludf.DUMMYFUNCTION("""COMPUTED_VALUE"""),"-")</f>
        <v>-</v>
      </c>
      <c r="M566" s="19">
        <f>IFERROR(__xludf.DUMMYFUNCTION("""COMPUTED_VALUE"""),0.03989)</f>
        <v>0.03989</v>
      </c>
    </row>
    <row r="567">
      <c r="A567" s="12" t="s">
        <v>7557</v>
      </c>
      <c r="G567" s="19">
        <f>IFERROR(__xludf.DUMMYFUNCTION("SPLIT(A565, "" |"")"),563.0)</f>
        <v>563</v>
      </c>
      <c r="H567" s="19">
        <f>IFERROR(__xludf.DUMMYFUNCTION("""COMPUTED_VALUE"""),0.00223)</f>
        <v>0.00223</v>
      </c>
      <c r="I567" s="19" t="str">
        <f>IFERROR(__xludf.DUMMYFUNCTION("""COMPUTED_VALUE"""),"-")</f>
        <v>-</v>
      </c>
      <c r="J567" s="19">
        <f>IFERROR(__xludf.DUMMYFUNCTION("""COMPUTED_VALUE"""),0.00199)</f>
        <v>0.00199</v>
      </c>
      <c r="K567" s="19">
        <f>IFERROR(__xludf.DUMMYFUNCTION("""COMPUTED_VALUE"""),0.03979)</f>
        <v>0.03979</v>
      </c>
      <c r="L567" s="19" t="str">
        <f>IFERROR(__xludf.DUMMYFUNCTION("""COMPUTED_VALUE"""),"-")</f>
        <v>-</v>
      </c>
      <c r="M567" s="19">
        <f>IFERROR(__xludf.DUMMYFUNCTION("""COMPUTED_VALUE"""),0.04006)</f>
        <v>0.04006</v>
      </c>
    </row>
    <row r="568">
      <c r="A568" s="12" t="s">
        <v>7558</v>
      </c>
      <c r="G568" s="19">
        <f>IFERROR(__xludf.DUMMYFUNCTION("SPLIT(A566, "" |"")"),564.0)</f>
        <v>564</v>
      </c>
      <c r="H568" s="19">
        <f>IFERROR(__xludf.DUMMYFUNCTION("""COMPUTED_VALUE"""),0.00223)</f>
        <v>0.00223</v>
      </c>
      <c r="I568" s="19" t="str">
        <f>IFERROR(__xludf.DUMMYFUNCTION("""COMPUTED_VALUE"""),"-")</f>
        <v>-</v>
      </c>
      <c r="J568" s="19">
        <f>IFERROR(__xludf.DUMMYFUNCTION("""COMPUTED_VALUE"""),0.00194)</f>
        <v>0.00194</v>
      </c>
      <c r="K568" s="19">
        <f>IFERROR(__xludf.DUMMYFUNCTION("""COMPUTED_VALUE"""),0.03989)</f>
        <v>0.03989</v>
      </c>
      <c r="L568" s="19" t="str">
        <f>IFERROR(__xludf.DUMMYFUNCTION("""COMPUTED_VALUE"""),"-")</f>
        <v>-</v>
      </c>
      <c r="M568" s="19">
        <f>IFERROR(__xludf.DUMMYFUNCTION("""COMPUTED_VALUE"""),0.04011)</f>
        <v>0.04011</v>
      </c>
    </row>
    <row r="569">
      <c r="A569" s="12" t="s">
        <v>7559</v>
      </c>
      <c r="G569" s="19">
        <f>IFERROR(__xludf.DUMMYFUNCTION("SPLIT(A567, "" |"")"),565.0)</f>
        <v>565</v>
      </c>
      <c r="H569" s="19">
        <f>IFERROR(__xludf.DUMMYFUNCTION("""COMPUTED_VALUE"""),0.0021)</f>
        <v>0.0021</v>
      </c>
      <c r="I569" s="19" t="str">
        <f>IFERROR(__xludf.DUMMYFUNCTION("""COMPUTED_VALUE"""),"-")</f>
        <v>-</v>
      </c>
      <c r="J569" s="19">
        <f>IFERROR(__xludf.DUMMYFUNCTION("""COMPUTED_VALUE"""),0.00192)</f>
        <v>0.00192</v>
      </c>
      <c r="K569" s="19">
        <f>IFERROR(__xludf.DUMMYFUNCTION("""COMPUTED_VALUE"""),0.0398)</f>
        <v>0.0398</v>
      </c>
      <c r="L569" s="19" t="str">
        <f>IFERROR(__xludf.DUMMYFUNCTION("""COMPUTED_VALUE"""),"-")</f>
        <v>-</v>
      </c>
      <c r="M569" s="19">
        <f>IFERROR(__xludf.DUMMYFUNCTION("""COMPUTED_VALUE"""),0.03991)</f>
        <v>0.03991</v>
      </c>
    </row>
    <row r="570">
      <c r="A570" s="12" t="s">
        <v>7560</v>
      </c>
      <c r="G570" s="19">
        <f>IFERROR(__xludf.DUMMYFUNCTION("SPLIT(A568, "" |"")"),566.0)</f>
        <v>566</v>
      </c>
      <c r="H570" s="19">
        <f>IFERROR(__xludf.DUMMYFUNCTION("""COMPUTED_VALUE"""),0.00215)</f>
        <v>0.00215</v>
      </c>
      <c r="I570" s="19" t="str">
        <f>IFERROR(__xludf.DUMMYFUNCTION("""COMPUTED_VALUE"""),"-")</f>
        <v>-</v>
      </c>
      <c r="J570" s="19">
        <f>IFERROR(__xludf.DUMMYFUNCTION("""COMPUTED_VALUE"""),0.00203)</f>
        <v>0.00203</v>
      </c>
      <c r="K570" s="19">
        <f>IFERROR(__xludf.DUMMYFUNCTION("""COMPUTED_VALUE"""),0.03987)</f>
        <v>0.03987</v>
      </c>
      <c r="L570" s="19" t="str">
        <f>IFERROR(__xludf.DUMMYFUNCTION("""COMPUTED_VALUE"""),"-")</f>
        <v>-</v>
      </c>
      <c r="M570" s="19">
        <f>IFERROR(__xludf.DUMMYFUNCTION("""COMPUTED_VALUE"""),0.0377)</f>
        <v>0.0377</v>
      </c>
    </row>
    <row r="571">
      <c r="A571" s="12" t="s">
        <v>7561</v>
      </c>
      <c r="G571" s="19">
        <f>IFERROR(__xludf.DUMMYFUNCTION("SPLIT(A569, "" |"")"),567.0)</f>
        <v>567</v>
      </c>
      <c r="H571" s="19">
        <f>IFERROR(__xludf.DUMMYFUNCTION("""COMPUTED_VALUE"""),0.00223)</f>
        <v>0.00223</v>
      </c>
      <c r="I571" s="19" t="str">
        <f>IFERROR(__xludf.DUMMYFUNCTION("""COMPUTED_VALUE"""),"-")</f>
        <v>-</v>
      </c>
      <c r="J571" s="19">
        <f>IFERROR(__xludf.DUMMYFUNCTION("""COMPUTED_VALUE"""),0.00206)</f>
        <v>0.00206</v>
      </c>
      <c r="K571" s="19">
        <f>IFERROR(__xludf.DUMMYFUNCTION("""COMPUTED_VALUE"""),0.03981)</f>
        <v>0.03981</v>
      </c>
      <c r="L571" s="19" t="str">
        <f>IFERROR(__xludf.DUMMYFUNCTION("""COMPUTED_VALUE"""),"-")</f>
        <v>-</v>
      </c>
      <c r="M571" s="19">
        <f>IFERROR(__xludf.DUMMYFUNCTION("""COMPUTED_VALUE"""),0.03995)</f>
        <v>0.03995</v>
      </c>
    </row>
    <row r="572">
      <c r="A572" s="12" t="s">
        <v>7562</v>
      </c>
      <c r="G572" s="19">
        <f>IFERROR(__xludf.DUMMYFUNCTION("SPLIT(A570, "" |"")"),568.0)</f>
        <v>568</v>
      </c>
      <c r="H572" s="19">
        <f>IFERROR(__xludf.DUMMYFUNCTION("""COMPUTED_VALUE"""),0.00214)</f>
        <v>0.00214</v>
      </c>
      <c r="I572" s="19" t="str">
        <f>IFERROR(__xludf.DUMMYFUNCTION("""COMPUTED_VALUE"""),"-")</f>
        <v>-</v>
      </c>
      <c r="J572" s="19">
        <f>IFERROR(__xludf.DUMMYFUNCTION("""COMPUTED_VALUE"""),0.00195)</f>
        <v>0.00195</v>
      </c>
      <c r="K572" s="19">
        <f>IFERROR(__xludf.DUMMYFUNCTION("""COMPUTED_VALUE"""),0.034)</f>
        <v>0.034</v>
      </c>
      <c r="L572" s="19" t="str">
        <f>IFERROR(__xludf.DUMMYFUNCTION("""COMPUTED_VALUE"""),"-")</f>
        <v>-</v>
      </c>
      <c r="M572" s="19">
        <f>IFERROR(__xludf.DUMMYFUNCTION("""COMPUTED_VALUE"""),0.04015)</f>
        <v>0.04015</v>
      </c>
    </row>
    <row r="573">
      <c r="A573" s="12" t="s">
        <v>7563</v>
      </c>
      <c r="G573" s="19">
        <f>IFERROR(__xludf.DUMMYFUNCTION("SPLIT(A571, "" |"")"),569.0)</f>
        <v>569</v>
      </c>
      <c r="H573" s="19">
        <f>IFERROR(__xludf.DUMMYFUNCTION("""COMPUTED_VALUE"""),0.00215)</f>
        <v>0.00215</v>
      </c>
      <c r="I573" s="19" t="str">
        <f>IFERROR(__xludf.DUMMYFUNCTION("""COMPUTED_VALUE"""),"-")</f>
        <v>-</v>
      </c>
      <c r="J573" s="19">
        <f>IFERROR(__xludf.DUMMYFUNCTION("""COMPUTED_VALUE"""),0.00227)</f>
        <v>0.00227</v>
      </c>
      <c r="K573" s="19">
        <f>IFERROR(__xludf.DUMMYFUNCTION("""COMPUTED_VALUE"""),0.03987)</f>
        <v>0.03987</v>
      </c>
      <c r="L573" s="19" t="str">
        <f>IFERROR(__xludf.DUMMYFUNCTION("""COMPUTED_VALUE"""),"-")</f>
        <v>-</v>
      </c>
      <c r="M573" s="19">
        <f>IFERROR(__xludf.DUMMYFUNCTION("""COMPUTED_VALUE"""),0.03995)</f>
        <v>0.03995</v>
      </c>
    </row>
    <row r="574">
      <c r="A574" s="12" t="s">
        <v>7564</v>
      </c>
      <c r="G574" s="19">
        <f>IFERROR(__xludf.DUMMYFUNCTION("SPLIT(A572, "" |"")"),570.0)</f>
        <v>570</v>
      </c>
      <c r="H574" s="19">
        <f>IFERROR(__xludf.DUMMYFUNCTION("""COMPUTED_VALUE"""),0.00233)</f>
        <v>0.00233</v>
      </c>
      <c r="I574" s="19" t="str">
        <f>IFERROR(__xludf.DUMMYFUNCTION("""COMPUTED_VALUE"""),"-")</f>
        <v>-</v>
      </c>
      <c r="J574" s="19">
        <f>IFERROR(__xludf.DUMMYFUNCTION("""COMPUTED_VALUE"""),0.00205)</f>
        <v>0.00205</v>
      </c>
      <c r="K574" s="19">
        <f>IFERROR(__xludf.DUMMYFUNCTION("""COMPUTED_VALUE"""),0.03772)</f>
        <v>0.03772</v>
      </c>
      <c r="L574" s="19" t="str">
        <f>IFERROR(__xludf.DUMMYFUNCTION("""COMPUTED_VALUE"""),"-")</f>
        <v>-</v>
      </c>
      <c r="M574" s="19">
        <f>IFERROR(__xludf.DUMMYFUNCTION("""COMPUTED_VALUE"""),0.03733)</f>
        <v>0.03733</v>
      </c>
    </row>
    <row r="575">
      <c r="A575" s="12" t="s">
        <v>7565</v>
      </c>
      <c r="G575" s="19">
        <f>IFERROR(__xludf.DUMMYFUNCTION("SPLIT(A573, "" |"")"),571.0)</f>
        <v>571</v>
      </c>
      <c r="H575" s="19">
        <f>IFERROR(__xludf.DUMMYFUNCTION("""COMPUTED_VALUE"""),0.00205)</f>
        <v>0.00205</v>
      </c>
      <c r="I575" s="19" t="str">
        <f>IFERROR(__xludf.DUMMYFUNCTION("""COMPUTED_VALUE"""),"-")</f>
        <v>-</v>
      </c>
      <c r="J575" s="19">
        <f>IFERROR(__xludf.DUMMYFUNCTION("""COMPUTED_VALUE"""),0.00189)</f>
        <v>0.00189</v>
      </c>
      <c r="K575" s="19">
        <f>IFERROR(__xludf.DUMMYFUNCTION("""COMPUTED_VALUE"""),0.0377)</f>
        <v>0.0377</v>
      </c>
      <c r="L575" s="19" t="str">
        <f>IFERROR(__xludf.DUMMYFUNCTION("""COMPUTED_VALUE"""),"-")</f>
        <v>-</v>
      </c>
      <c r="M575" s="19">
        <f>IFERROR(__xludf.DUMMYFUNCTION("""COMPUTED_VALUE"""),0.03989)</f>
        <v>0.03989</v>
      </c>
    </row>
    <row r="576">
      <c r="A576" s="12" t="s">
        <v>7566</v>
      </c>
      <c r="G576" s="19">
        <f>IFERROR(__xludf.DUMMYFUNCTION("SPLIT(A574, "" |"")"),572.0)</f>
        <v>572</v>
      </c>
      <c r="H576" s="19">
        <f>IFERROR(__xludf.DUMMYFUNCTION("""COMPUTED_VALUE"""),0.0023)</f>
        <v>0.0023</v>
      </c>
      <c r="I576" s="19" t="str">
        <f>IFERROR(__xludf.DUMMYFUNCTION("""COMPUTED_VALUE"""),"-")</f>
        <v>-</v>
      </c>
      <c r="J576" s="19">
        <f>IFERROR(__xludf.DUMMYFUNCTION("""COMPUTED_VALUE"""),0.00203)</f>
        <v>0.00203</v>
      </c>
      <c r="K576" s="19">
        <f>IFERROR(__xludf.DUMMYFUNCTION("""COMPUTED_VALUE"""),0.03912)</f>
        <v>0.03912</v>
      </c>
      <c r="L576" s="19" t="str">
        <f>IFERROR(__xludf.DUMMYFUNCTION("""COMPUTED_VALUE"""),"-")</f>
        <v>-</v>
      </c>
      <c r="M576" s="19">
        <f>IFERROR(__xludf.DUMMYFUNCTION("""COMPUTED_VALUE"""),0.0373)</f>
        <v>0.0373</v>
      </c>
    </row>
    <row r="577">
      <c r="A577" s="12" t="s">
        <v>7567</v>
      </c>
      <c r="G577" s="19">
        <f>IFERROR(__xludf.DUMMYFUNCTION("SPLIT(A575, "" |"")"),573.0)</f>
        <v>573</v>
      </c>
      <c r="H577" s="19">
        <f>IFERROR(__xludf.DUMMYFUNCTION("""COMPUTED_VALUE"""),0.00225)</f>
        <v>0.00225</v>
      </c>
      <c r="I577" s="19" t="str">
        <f>IFERROR(__xludf.DUMMYFUNCTION("""COMPUTED_VALUE"""),"-")</f>
        <v>-</v>
      </c>
      <c r="J577" s="19">
        <f>IFERROR(__xludf.DUMMYFUNCTION("""COMPUTED_VALUE"""),0.00204)</f>
        <v>0.00204</v>
      </c>
      <c r="K577" s="19">
        <f>IFERROR(__xludf.DUMMYFUNCTION("""COMPUTED_VALUE"""),0.04023)</f>
        <v>0.04023</v>
      </c>
      <c r="L577" s="19" t="str">
        <f>IFERROR(__xludf.DUMMYFUNCTION("""COMPUTED_VALUE"""),"-")</f>
        <v>-</v>
      </c>
      <c r="M577" s="19">
        <f>IFERROR(__xludf.DUMMYFUNCTION("""COMPUTED_VALUE"""),0.04004)</f>
        <v>0.04004</v>
      </c>
    </row>
    <row r="578">
      <c r="A578" s="12" t="s">
        <v>7568</v>
      </c>
      <c r="G578" s="19">
        <f>IFERROR(__xludf.DUMMYFUNCTION("SPLIT(A576, "" |"")"),574.0)</f>
        <v>574</v>
      </c>
      <c r="H578" s="19">
        <f>IFERROR(__xludf.DUMMYFUNCTION("""COMPUTED_VALUE"""),0.0023)</f>
        <v>0.0023</v>
      </c>
      <c r="I578" s="19" t="str">
        <f>IFERROR(__xludf.DUMMYFUNCTION("""COMPUTED_VALUE"""),"-")</f>
        <v>-</v>
      </c>
      <c r="J578" s="19">
        <f>IFERROR(__xludf.DUMMYFUNCTION("""COMPUTED_VALUE"""),0.00204)</f>
        <v>0.00204</v>
      </c>
      <c r="K578" s="19">
        <f>IFERROR(__xludf.DUMMYFUNCTION("""COMPUTED_VALUE"""),0.03583)</f>
        <v>0.03583</v>
      </c>
      <c r="L578" s="19" t="str">
        <f>IFERROR(__xludf.DUMMYFUNCTION("""COMPUTED_VALUE"""),"-")</f>
        <v>-</v>
      </c>
      <c r="M578" s="19">
        <f>IFERROR(__xludf.DUMMYFUNCTION("""COMPUTED_VALUE"""),0.0375)</f>
        <v>0.0375</v>
      </c>
    </row>
    <row r="579">
      <c r="A579" s="12" t="s">
        <v>7569</v>
      </c>
      <c r="G579" s="19">
        <f>IFERROR(__xludf.DUMMYFUNCTION("SPLIT(A577, "" |"")"),575.0)</f>
        <v>575</v>
      </c>
      <c r="H579" s="19">
        <f>IFERROR(__xludf.DUMMYFUNCTION("""COMPUTED_VALUE"""),0.00213)</f>
        <v>0.00213</v>
      </c>
      <c r="I579" s="19" t="str">
        <f>IFERROR(__xludf.DUMMYFUNCTION("""COMPUTED_VALUE"""),"-")</f>
        <v>-</v>
      </c>
      <c r="J579" s="19">
        <f>IFERROR(__xludf.DUMMYFUNCTION("""COMPUTED_VALUE"""),0.00189)</f>
        <v>0.00189</v>
      </c>
      <c r="K579" s="19">
        <f>IFERROR(__xludf.DUMMYFUNCTION("""COMPUTED_VALUE"""),0.04025)</f>
        <v>0.04025</v>
      </c>
      <c r="L579" s="19" t="str">
        <f>IFERROR(__xludf.DUMMYFUNCTION("""COMPUTED_VALUE"""),"-")</f>
        <v>-</v>
      </c>
      <c r="M579" s="19">
        <f>IFERROR(__xludf.DUMMYFUNCTION("""COMPUTED_VALUE"""),0.03551)</f>
        <v>0.03551</v>
      </c>
    </row>
    <row r="580">
      <c r="A580" s="12" t="s">
        <v>7570</v>
      </c>
      <c r="G580" s="19">
        <f>IFERROR(__xludf.DUMMYFUNCTION("SPLIT(A578, "" |"")"),576.0)</f>
        <v>576</v>
      </c>
      <c r="H580" s="19">
        <f>IFERROR(__xludf.DUMMYFUNCTION("""COMPUTED_VALUE"""),0.00225)</f>
        <v>0.00225</v>
      </c>
      <c r="I580" s="19" t="str">
        <f>IFERROR(__xludf.DUMMYFUNCTION("""COMPUTED_VALUE"""),"-")</f>
        <v>-</v>
      </c>
      <c r="J580" s="19">
        <f>IFERROR(__xludf.DUMMYFUNCTION("""COMPUTED_VALUE"""),0.00195)</f>
        <v>0.00195</v>
      </c>
      <c r="K580" s="19">
        <f>IFERROR(__xludf.DUMMYFUNCTION("""COMPUTED_VALUE"""),0.03944)</f>
        <v>0.03944</v>
      </c>
      <c r="L580" s="19" t="str">
        <f>IFERROR(__xludf.DUMMYFUNCTION("""COMPUTED_VALUE"""),"-")</f>
        <v>-</v>
      </c>
      <c r="M580" s="19">
        <f>IFERROR(__xludf.DUMMYFUNCTION("""COMPUTED_VALUE"""),0.03817)</f>
        <v>0.03817</v>
      </c>
    </row>
    <row r="581">
      <c r="A581" s="12" t="s">
        <v>7571</v>
      </c>
      <c r="G581" s="19">
        <f>IFERROR(__xludf.DUMMYFUNCTION("SPLIT(A579, "" |"")"),577.0)</f>
        <v>577</v>
      </c>
      <c r="H581" s="19">
        <f>IFERROR(__xludf.DUMMYFUNCTION("""COMPUTED_VALUE"""),0.00217)</f>
        <v>0.00217</v>
      </c>
      <c r="I581" s="19" t="str">
        <f>IFERROR(__xludf.DUMMYFUNCTION("""COMPUTED_VALUE"""),"-")</f>
        <v>-</v>
      </c>
      <c r="J581" s="19">
        <f>IFERROR(__xludf.DUMMYFUNCTION("""COMPUTED_VALUE"""),0.00208)</f>
        <v>0.00208</v>
      </c>
      <c r="K581" s="19">
        <f>IFERROR(__xludf.DUMMYFUNCTION("""COMPUTED_VALUE"""),0.03976)</f>
        <v>0.03976</v>
      </c>
      <c r="L581" s="19" t="str">
        <f>IFERROR(__xludf.DUMMYFUNCTION("""COMPUTED_VALUE"""),"-")</f>
        <v>-</v>
      </c>
      <c r="M581" s="19">
        <f>IFERROR(__xludf.DUMMYFUNCTION("""COMPUTED_VALUE"""),0.03982)</f>
        <v>0.03982</v>
      </c>
    </row>
    <row r="582">
      <c r="A582" s="12" t="s">
        <v>7572</v>
      </c>
      <c r="G582" s="19">
        <f>IFERROR(__xludf.DUMMYFUNCTION("SPLIT(A580, "" |"")"),578.0)</f>
        <v>578</v>
      </c>
      <c r="H582" s="19">
        <f>IFERROR(__xludf.DUMMYFUNCTION("""COMPUTED_VALUE"""),0.00213)</f>
        <v>0.00213</v>
      </c>
      <c r="I582" s="19" t="str">
        <f>IFERROR(__xludf.DUMMYFUNCTION("""COMPUTED_VALUE"""),"-")</f>
        <v>-</v>
      </c>
      <c r="J582" s="19">
        <f>IFERROR(__xludf.DUMMYFUNCTION("""COMPUTED_VALUE"""),0.00197)</f>
        <v>0.00197</v>
      </c>
      <c r="K582" s="19">
        <f>IFERROR(__xludf.DUMMYFUNCTION("""COMPUTED_VALUE"""),0.03986)</f>
        <v>0.03986</v>
      </c>
      <c r="L582" s="19" t="str">
        <f>IFERROR(__xludf.DUMMYFUNCTION("""COMPUTED_VALUE"""),"-")</f>
        <v>-</v>
      </c>
      <c r="M582" s="19">
        <f>IFERROR(__xludf.DUMMYFUNCTION("""COMPUTED_VALUE"""),0.03511)</f>
        <v>0.03511</v>
      </c>
    </row>
    <row r="583">
      <c r="A583" s="12" t="s">
        <v>7573</v>
      </c>
      <c r="G583" s="19">
        <f>IFERROR(__xludf.DUMMYFUNCTION("SPLIT(A581, "" |"")"),579.0)</f>
        <v>579</v>
      </c>
      <c r="H583" s="19">
        <f>IFERROR(__xludf.DUMMYFUNCTION("""COMPUTED_VALUE"""),0.00214)</f>
        <v>0.00214</v>
      </c>
      <c r="I583" s="19" t="str">
        <f>IFERROR(__xludf.DUMMYFUNCTION("""COMPUTED_VALUE"""),"-")</f>
        <v>-</v>
      </c>
      <c r="J583" s="19">
        <f>IFERROR(__xludf.DUMMYFUNCTION("""COMPUTED_VALUE"""),0.00189)</f>
        <v>0.00189</v>
      </c>
      <c r="K583" s="19">
        <f>IFERROR(__xludf.DUMMYFUNCTION("""COMPUTED_VALUE"""),0.03925)</f>
        <v>0.03925</v>
      </c>
      <c r="L583" s="19" t="str">
        <f>IFERROR(__xludf.DUMMYFUNCTION("""COMPUTED_VALUE"""),"-")</f>
        <v>-</v>
      </c>
      <c r="M583" s="19">
        <f>IFERROR(__xludf.DUMMYFUNCTION("""COMPUTED_VALUE"""),0.03577)</f>
        <v>0.03577</v>
      </c>
    </row>
    <row r="584">
      <c r="A584" s="12" t="s">
        <v>7574</v>
      </c>
      <c r="G584" s="19">
        <f>IFERROR(__xludf.DUMMYFUNCTION("SPLIT(A582, "" |"")"),580.0)</f>
        <v>580</v>
      </c>
      <c r="H584" s="19">
        <f>IFERROR(__xludf.DUMMYFUNCTION("""COMPUTED_VALUE"""),0.00198)</f>
        <v>0.00198</v>
      </c>
      <c r="I584" s="19" t="str">
        <f>IFERROR(__xludf.DUMMYFUNCTION("""COMPUTED_VALUE"""),"-")</f>
        <v>-</v>
      </c>
      <c r="J584" s="19">
        <f>IFERROR(__xludf.DUMMYFUNCTION("""COMPUTED_VALUE"""),0.00199)</f>
        <v>0.00199</v>
      </c>
      <c r="K584" s="19">
        <f>IFERROR(__xludf.DUMMYFUNCTION("""COMPUTED_VALUE"""),0.03349)</f>
        <v>0.03349</v>
      </c>
      <c r="L584" s="19" t="str">
        <f>IFERROR(__xludf.DUMMYFUNCTION("""COMPUTED_VALUE"""),"-")</f>
        <v>-</v>
      </c>
      <c r="M584" s="19">
        <f>IFERROR(__xludf.DUMMYFUNCTION("""COMPUTED_VALUE"""),0.04034)</f>
        <v>0.04034</v>
      </c>
    </row>
    <row r="585">
      <c r="A585" s="12" t="s">
        <v>7575</v>
      </c>
      <c r="G585" s="19">
        <f>IFERROR(__xludf.DUMMYFUNCTION("SPLIT(A583, "" |"")"),581.0)</f>
        <v>581</v>
      </c>
      <c r="H585" s="19">
        <f>IFERROR(__xludf.DUMMYFUNCTION("""COMPUTED_VALUE"""),0.00264)</f>
        <v>0.00264</v>
      </c>
      <c r="I585" s="19" t="str">
        <f>IFERROR(__xludf.DUMMYFUNCTION("""COMPUTED_VALUE"""),"-")</f>
        <v>-</v>
      </c>
      <c r="J585" s="19">
        <f>IFERROR(__xludf.DUMMYFUNCTION("""COMPUTED_VALUE"""),0.00218)</f>
        <v>0.00218</v>
      </c>
      <c r="K585" s="19">
        <f>IFERROR(__xludf.DUMMYFUNCTION("""COMPUTED_VALUE"""),0.03953)</f>
        <v>0.03953</v>
      </c>
      <c r="L585" s="19" t="str">
        <f>IFERROR(__xludf.DUMMYFUNCTION("""COMPUTED_VALUE"""),"-")</f>
        <v>-</v>
      </c>
      <c r="M585" s="19">
        <f>IFERROR(__xludf.DUMMYFUNCTION("""COMPUTED_VALUE"""),0.03983)</f>
        <v>0.03983</v>
      </c>
    </row>
    <row r="586">
      <c r="A586" s="12" t="s">
        <v>7576</v>
      </c>
      <c r="G586" s="19">
        <f>IFERROR(__xludf.DUMMYFUNCTION("SPLIT(A584, "" |"")"),582.0)</f>
        <v>582</v>
      </c>
      <c r="H586" s="19">
        <f>IFERROR(__xludf.DUMMYFUNCTION("""COMPUTED_VALUE"""),0.00223)</f>
        <v>0.00223</v>
      </c>
      <c r="I586" s="19" t="str">
        <f>IFERROR(__xludf.DUMMYFUNCTION("""COMPUTED_VALUE"""),"-")</f>
        <v>-</v>
      </c>
      <c r="J586" s="19">
        <f>IFERROR(__xludf.DUMMYFUNCTION("""COMPUTED_VALUE"""),0.00199)</f>
        <v>0.00199</v>
      </c>
      <c r="K586" s="19">
        <f>IFERROR(__xludf.DUMMYFUNCTION("""COMPUTED_VALUE"""),0.03931)</f>
        <v>0.03931</v>
      </c>
      <c r="L586" s="19" t="str">
        <f>IFERROR(__xludf.DUMMYFUNCTION("""COMPUTED_VALUE"""),"-")</f>
        <v>-</v>
      </c>
      <c r="M586" s="19">
        <f>IFERROR(__xludf.DUMMYFUNCTION("""COMPUTED_VALUE"""),0.03987)</f>
        <v>0.03987</v>
      </c>
    </row>
    <row r="587">
      <c r="A587" s="12" t="s">
        <v>7577</v>
      </c>
      <c r="G587" s="19">
        <f>IFERROR(__xludf.DUMMYFUNCTION("SPLIT(A585, "" |"")"),583.0)</f>
        <v>583</v>
      </c>
      <c r="H587" s="19">
        <f>IFERROR(__xludf.DUMMYFUNCTION("""COMPUTED_VALUE"""),0.00217)</f>
        <v>0.00217</v>
      </c>
      <c r="I587" s="19" t="str">
        <f>IFERROR(__xludf.DUMMYFUNCTION("""COMPUTED_VALUE"""),"-")</f>
        <v>-</v>
      </c>
      <c r="J587" s="19">
        <f>IFERROR(__xludf.DUMMYFUNCTION("""COMPUTED_VALUE"""),0.00204)</f>
        <v>0.00204</v>
      </c>
      <c r="K587" s="19">
        <f>IFERROR(__xludf.DUMMYFUNCTION("""COMPUTED_VALUE"""),0.0396)</f>
        <v>0.0396</v>
      </c>
      <c r="L587" s="19" t="str">
        <f>IFERROR(__xludf.DUMMYFUNCTION("""COMPUTED_VALUE"""),"-")</f>
        <v>-</v>
      </c>
      <c r="M587" s="19">
        <f>IFERROR(__xludf.DUMMYFUNCTION("""COMPUTED_VALUE"""),0.04028)</f>
        <v>0.04028</v>
      </c>
    </row>
    <row r="588">
      <c r="A588" s="12" t="s">
        <v>7578</v>
      </c>
      <c r="G588" s="19">
        <f>IFERROR(__xludf.DUMMYFUNCTION("SPLIT(A586, "" |"")"),584.0)</f>
        <v>584</v>
      </c>
      <c r="H588" s="19">
        <f>IFERROR(__xludf.DUMMYFUNCTION("""COMPUTED_VALUE"""),0.00219)</f>
        <v>0.00219</v>
      </c>
      <c r="I588" s="19" t="str">
        <f>IFERROR(__xludf.DUMMYFUNCTION("""COMPUTED_VALUE"""),"-")</f>
        <v>-</v>
      </c>
      <c r="J588" s="19">
        <f>IFERROR(__xludf.DUMMYFUNCTION("""COMPUTED_VALUE"""),0.00216)</f>
        <v>0.00216</v>
      </c>
      <c r="K588" s="19">
        <f>IFERROR(__xludf.DUMMYFUNCTION("""COMPUTED_VALUE"""),0.04009)</f>
        <v>0.04009</v>
      </c>
      <c r="L588" s="19" t="str">
        <f>IFERROR(__xludf.DUMMYFUNCTION("""COMPUTED_VALUE"""),"-")</f>
        <v>-</v>
      </c>
      <c r="M588" s="19">
        <f>IFERROR(__xludf.DUMMYFUNCTION("""COMPUTED_VALUE"""),0.04016)</f>
        <v>0.04016</v>
      </c>
    </row>
    <row r="589">
      <c r="A589" s="12" t="s">
        <v>7579</v>
      </c>
      <c r="G589" s="19">
        <f>IFERROR(__xludf.DUMMYFUNCTION("SPLIT(A587, "" |"")"),585.0)</f>
        <v>585</v>
      </c>
      <c r="H589" s="19">
        <f>IFERROR(__xludf.DUMMYFUNCTION("""COMPUTED_VALUE"""),0.0022)</f>
        <v>0.0022</v>
      </c>
      <c r="I589" s="19" t="str">
        <f>IFERROR(__xludf.DUMMYFUNCTION("""COMPUTED_VALUE"""),"-")</f>
        <v>-</v>
      </c>
      <c r="J589" s="19">
        <f>IFERROR(__xludf.DUMMYFUNCTION("""COMPUTED_VALUE"""),0.00194)</f>
        <v>0.00194</v>
      </c>
      <c r="K589" s="19">
        <f>IFERROR(__xludf.DUMMYFUNCTION("""COMPUTED_VALUE"""),0.03999)</f>
        <v>0.03999</v>
      </c>
      <c r="L589" s="19" t="str">
        <f>IFERROR(__xludf.DUMMYFUNCTION("""COMPUTED_VALUE"""),"-")</f>
        <v>-</v>
      </c>
      <c r="M589" s="19">
        <f>IFERROR(__xludf.DUMMYFUNCTION("""COMPUTED_VALUE"""),0.04009)</f>
        <v>0.04009</v>
      </c>
    </row>
    <row r="590">
      <c r="A590" s="12" t="s">
        <v>7580</v>
      </c>
      <c r="G590" s="19">
        <f>IFERROR(__xludf.DUMMYFUNCTION("SPLIT(A588, "" |"")"),586.0)</f>
        <v>586</v>
      </c>
      <c r="H590" s="19">
        <f>IFERROR(__xludf.DUMMYFUNCTION("""COMPUTED_VALUE"""),0.00208)</f>
        <v>0.00208</v>
      </c>
      <c r="I590" s="19" t="str">
        <f>IFERROR(__xludf.DUMMYFUNCTION("""COMPUTED_VALUE"""),"-")</f>
        <v>-</v>
      </c>
      <c r="J590" s="19">
        <f>IFERROR(__xludf.DUMMYFUNCTION("""COMPUTED_VALUE"""),0.00194)</f>
        <v>0.00194</v>
      </c>
      <c r="K590" s="19">
        <f>IFERROR(__xludf.DUMMYFUNCTION("""COMPUTED_VALUE"""),0.03857)</f>
        <v>0.03857</v>
      </c>
      <c r="L590" s="19" t="str">
        <f>IFERROR(__xludf.DUMMYFUNCTION("""COMPUTED_VALUE"""),"-")</f>
        <v>-</v>
      </c>
      <c r="M590" s="19">
        <f>IFERROR(__xludf.DUMMYFUNCTION("""COMPUTED_VALUE"""),0.03915)</f>
        <v>0.03915</v>
      </c>
    </row>
    <row r="591">
      <c r="A591" s="12" t="s">
        <v>7581</v>
      </c>
      <c r="G591" s="19">
        <f>IFERROR(__xludf.DUMMYFUNCTION("SPLIT(A589, "" |"")"),587.0)</f>
        <v>587</v>
      </c>
      <c r="H591" s="19">
        <f>IFERROR(__xludf.DUMMYFUNCTION("""COMPUTED_VALUE"""),0.0022)</f>
        <v>0.0022</v>
      </c>
      <c r="I591" s="19" t="str">
        <f>IFERROR(__xludf.DUMMYFUNCTION("""COMPUTED_VALUE"""),"-")</f>
        <v>-</v>
      </c>
      <c r="J591" s="19">
        <f>IFERROR(__xludf.DUMMYFUNCTION("""COMPUTED_VALUE"""),0.00198)</f>
        <v>0.00198</v>
      </c>
      <c r="K591" s="19">
        <f>IFERROR(__xludf.DUMMYFUNCTION("""COMPUTED_VALUE"""),0.0397)</f>
        <v>0.0397</v>
      </c>
      <c r="L591" s="19" t="str">
        <f>IFERROR(__xludf.DUMMYFUNCTION("""COMPUTED_VALUE"""),"-")</f>
        <v>-</v>
      </c>
      <c r="M591" s="19">
        <f>IFERROR(__xludf.DUMMYFUNCTION("""COMPUTED_VALUE"""),0.04009)</f>
        <v>0.04009</v>
      </c>
    </row>
    <row r="592">
      <c r="A592" s="12" t="s">
        <v>7582</v>
      </c>
      <c r="G592" s="19">
        <f>IFERROR(__xludf.DUMMYFUNCTION("SPLIT(A590, "" |"")"),588.0)</f>
        <v>588</v>
      </c>
      <c r="H592" s="19">
        <f>IFERROR(__xludf.DUMMYFUNCTION("""COMPUTED_VALUE"""),0.00231)</f>
        <v>0.00231</v>
      </c>
      <c r="I592" s="19" t="str">
        <f>IFERROR(__xludf.DUMMYFUNCTION("""COMPUTED_VALUE"""),"-")</f>
        <v>-</v>
      </c>
      <c r="J592" s="19">
        <f>IFERROR(__xludf.DUMMYFUNCTION("""COMPUTED_VALUE"""),0.00212)</f>
        <v>0.00212</v>
      </c>
      <c r="K592" s="19">
        <f>IFERROR(__xludf.DUMMYFUNCTION("""COMPUTED_VALUE"""),0.03905)</f>
        <v>0.03905</v>
      </c>
      <c r="L592" s="19" t="str">
        <f>IFERROR(__xludf.DUMMYFUNCTION("""COMPUTED_VALUE"""),"-")</f>
        <v>-</v>
      </c>
      <c r="M592" s="19">
        <f>IFERROR(__xludf.DUMMYFUNCTION("""COMPUTED_VALUE"""),0.03706)</f>
        <v>0.03706</v>
      </c>
    </row>
    <row r="593">
      <c r="A593" s="12" t="s">
        <v>7583</v>
      </c>
      <c r="G593" s="19">
        <f>IFERROR(__xludf.DUMMYFUNCTION("SPLIT(A591, "" |"")"),589.0)</f>
        <v>589</v>
      </c>
      <c r="H593" s="19">
        <f>IFERROR(__xludf.DUMMYFUNCTION("""COMPUTED_VALUE"""),0.00222)</f>
        <v>0.00222</v>
      </c>
      <c r="I593" s="19" t="str">
        <f>IFERROR(__xludf.DUMMYFUNCTION("""COMPUTED_VALUE"""),"-")</f>
        <v>-</v>
      </c>
      <c r="J593" s="19">
        <f>IFERROR(__xludf.DUMMYFUNCTION("""COMPUTED_VALUE"""),0.002)</f>
        <v>0.002</v>
      </c>
      <c r="K593" s="19">
        <f>IFERROR(__xludf.DUMMYFUNCTION("""COMPUTED_VALUE"""),0.04086)</f>
        <v>0.04086</v>
      </c>
      <c r="L593" s="19" t="str">
        <f>IFERROR(__xludf.DUMMYFUNCTION("""COMPUTED_VALUE"""),"-")</f>
        <v>-</v>
      </c>
      <c r="M593" s="19">
        <f>IFERROR(__xludf.DUMMYFUNCTION("""COMPUTED_VALUE"""),0.03983)</f>
        <v>0.03983</v>
      </c>
    </row>
    <row r="594">
      <c r="A594" s="12" t="s">
        <v>7584</v>
      </c>
      <c r="G594" s="19">
        <f>IFERROR(__xludf.DUMMYFUNCTION("SPLIT(A592, "" |"")"),590.0)</f>
        <v>590</v>
      </c>
      <c r="H594" s="19">
        <f>IFERROR(__xludf.DUMMYFUNCTION("""COMPUTED_VALUE"""),0.00229)</f>
        <v>0.00229</v>
      </c>
      <c r="I594" s="19" t="str">
        <f>IFERROR(__xludf.DUMMYFUNCTION("""COMPUTED_VALUE"""),"-")</f>
        <v>-</v>
      </c>
      <c r="J594" s="19">
        <f>IFERROR(__xludf.DUMMYFUNCTION("""COMPUTED_VALUE"""),0.00219)</f>
        <v>0.00219</v>
      </c>
      <c r="K594" s="19">
        <f>IFERROR(__xludf.DUMMYFUNCTION("""COMPUTED_VALUE"""),0.03762)</f>
        <v>0.03762</v>
      </c>
      <c r="L594" s="19" t="str">
        <f>IFERROR(__xludf.DUMMYFUNCTION("""COMPUTED_VALUE"""),"-")</f>
        <v>-</v>
      </c>
      <c r="M594" s="19">
        <f>IFERROR(__xludf.DUMMYFUNCTION("""COMPUTED_VALUE"""),0.03911)</f>
        <v>0.03911</v>
      </c>
    </row>
    <row r="595">
      <c r="A595" s="12" t="s">
        <v>7585</v>
      </c>
      <c r="G595" s="19">
        <f>IFERROR(__xludf.DUMMYFUNCTION("SPLIT(A593, "" |"")"),591.0)</f>
        <v>591</v>
      </c>
      <c r="H595" s="19">
        <f>IFERROR(__xludf.DUMMYFUNCTION("""COMPUTED_VALUE"""),0.0023)</f>
        <v>0.0023</v>
      </c>
      <c r="I595" s="19" t="str">
        <f>IFERROR(__xludf.DUMMYFUNCTION("""COMPUTED_VALUE"""),"-")</f>
        <v>-</v>
      </c>
      <c r="J595" s="19">
        <f>IFERROR(__xludf.DUMMYFUNCTION("""COMPUTED_VALUE"""),0.00226)</f>
        <v>0.00226</v>
      </c>
      <c r="K595" s="19">
        <f>IFERROR(__xludf.DUMMYFUNCTION("""COMPUTED_VALUE"""),0.03722)</f>
        <v>0.03722</v>
      </c>
      <c r="L595" s="19" t="str">
        <f>IFERROR(__xludf.DUMMYFUNCTION("""COMPUTED_VALUE"""),"-")</f>
        <v>-</v>
      </c>
      <c r="M595" s="19">
        <f>IFERROR(__xludf.DUMMYFUNCTION("""COMPUTED_VALUE"""),0.0401)</f>
        <v>0.0401</v>
      </c>
    </row>
    <row r="596">
      <c r="A596" s="12" t="s">
        <v>7586</v>
      </c>
      <c r="G596" s="19">
        <f>IFERROR(__xludf.DUMMYFUNCTION("SPLIT(A594, "" |"")"),592.0)</f>
        <v>592</v>
      </c>
      <c r="H596" s="19">
        <f>IFERROR(__xludf.DUMMYFUNCTION("""COMPUTED_VALUE"""),0.00229)</f>
        <v>0.00229</v>
      </c>
      <c r="I596" s="19" t="str">
        <f>IFERROR(__xludf.DUMMYFUNCTION("""COMPUTED_VALUE"""),"-")</f>
        <v>-</v>
      </c>
      <c r="J596" s="19">
        <f>IFERROR(__xludf.DUMMYFUNCTION("""COMPUTED_VALUE"""),0.00214)</f>
        <v>0.00214</v>
      </c>
      <c r="K596" s="19">
        <f>IFERROR(__xludf.DUMMYFUNCTION("""COMPUTED_VALUE"""),0.03995)</f>
        <v>0.03995</v>
      </c>
      <c r="L596" s="19" t="str">
        <f>IFERROR(__xludf.DUMMYFUNCTION("""COMPUTED_VALUE"""),"-")</f>
        <v>-</v>
      </c>
      <c r="M596" s="19">
        <f>IFERROR(__xludf.DUMMYFUNCTION("""COMPUTED_VALUE"""),0.03676)</f>
        <v>0.03676</v>
      </c>
    </row>
    <row r="597">
      <c r="A597" s="12" t="s">
        <v>7587</v>
      </c>
      <c r="G597" s="19">
        <f>IFERROR(__xludf.DUMMYFUNCTION("SPLIT(A595, "" |"")"),593.0)</f>
        <v>593</v>
      </c>
      <c r="H597" s="19">
        <f>IFERROR(__xludf.DUMMYFUNCTION("""COMPUTED_VALUE"""),0.00229)</f>
        <v>0.00229</v>
      </c>
      <c r="I597" s="19" t="str">
        <f>IFERROR(__xludf.DUMMYFUNCTION("""COMPUTED_VALUE"""),"-")</f>
        <v>-</v>
      </c>
      <c r="J597" s="19">
        <f>IFERROR(__xludf.DUMMYFUNCTION("""COMPUTED_VALUE"""),0.00204)</f>
        <v>0.00204</v>
      </c>
      <c r="K597" s="19">
        <f>IFERROR(__xludf.DUMMYFUNCTION("""COMPUTED_VALUE"""),0.04)</f>
        <v>0.04</v>
      </c>
      <c r="L597" s="19" t="str">
        <f>IFERROR(__xludf.DUMMYFUNCTION("""COMPUTED_VALUE"""),"-")</f>
        <v>-</v>
      </c>
      <c r="M597" s="19">
        <f>IFERROR(__xludf.DUMMYFUNCTION("""COMPUTED_VALUE"""),0.0388)</f>
        <v>0.0388</v>
      </c>
    </row>
    <row r="598">
      <c r="A598" s="12" t="s">
        <v>7588</v>
      </c>
      <c r="G598" s="19">
        <f>IFERROR(__xludf.DUMMYFUNCTION("SPLIT(A596, "" |"")"),594.0)</f>
        <v>594</v>
      </c>
      <c r="H598" s="19">
        <f>IFERROR(__xludf.DUMMYFUNCTION("""COMPUTED_VALUE"""),0.0025)</f>
        <v>0.0025</v>
      </c>
      <c r="I598" s="19" t="str">
        <f>IFERROR(__xludf.DUMMYFUNCTION("""COMPUTED_VALUE"""),"-")</f>
        <v>-</v>
      </c>
      <c r="J598" s="19">
        <f>IFERROR(__xludf.DUMMYFUNCTION("""COMPUTED_VALUE"""),0.00201)</f>
        <v>0.00201</v>
      </c>
      <c r="K598" s="19">
        <f>IFERROR(__xludf.DUMMYFUNCTION("""COMPUTED_VALUE"""),0.03775)</f>
        <v>0.03775</v>
      </c>
      <c r="L598" s="19" t="str">
        <f>IFERROR(__xludf.DUMMYFUNCTION("""COMPUTED_VALUE"""),"-")</f>
        <v>-</v>
      </c>
      <c r="M598" s="19">
        <f>IFERROR(__xludf.DUMMYFUNCTION("""COMPUTED_VALUE"""),0.04053)</f>
        <v>0.04053</v>
      </c>
    </row>
    <row r="599">
      <c r="A599" s="12" t="s">
        <v>7589</v>
      </c>
      <c r="G599" s="19">
        <f>IFERROR(__xludf.DUMMYFUNCTION("SPLIT(A597, "" |"")"),595.0)</f>
        <v>595</v>
      </c>
      <c r="H599" s="19">
        <f>IFERROR(__xludf.DUMMYFUNCTION("""COMPUTED_VALUE"""),0.00235)</f>
        <v>0.00235</v>
      </c>
      <c r="I599" s="19" t="str">
        <f>IFERROR(__xludf.DUMMYFUNCTION("""COMPUTED_VALUE"""),"-")</f>
        <v>-</v>
      </c>
      <c r="J599" s="19">
        <f>IFERROR(__xludf.DUMMYFUNCTION("""COMPUTED_VALUE"""),0.00214)</f>
        <v>0.00214</v>
      </c>
      <c r="K599" s="19">
        <f>IFERROR(__xludf.DUMMYFUNCTION("""COMPUTED_VALUE"""),0.0378)</f>
        <v>0.0378</v>
      </c>
      <c r="L599" s="19" t="str">
        <f>IFERROR(__xludf.DUMMYFUNCTION("""COMPUTED_VALUE"""),"-")</f>
        <v>-</v>
      </c>
      <c r="M599" s="19">
        <f>IFERROR(__xludf.DUMMYFUNCTION("""COMPUTED_VALUE"""),0.04034)</f>
        <v>0.04034</v>
      </c>
    </row>
    <row r="600">
      <c r="A600" s="12" t="s">
        <v>7590</v>
      </c>
      <c r="G600" s="19">
        <f>IFERROR(__xludf.DUMMYFUNCTION("SPLIT(A598, "" |"")"),596.0)</f>
        <v>596</v>
      </c>
      <c r="H600" s="19">
        <f>IFERROR(__xludf.DUMMYFUNCTION("""COMPUTED_VALUE"""),0.00228)</f>
        <v>0.00228</v>
      </c>
      <c r="I600" s="19" t="str">
        <f>IFERROR(__xludf.DUMMYFUNCTION("""COMPUTED_VALUE"""),"-")</f>
        <v>-</v>
      </c>
      <c r="J600" s="19">
        <f>IFERROR(__xludf.DUMMYFUNCTION("""COMPUTED_VALUE"""),0.0021)</f>
        <v>0.0021</v>
      </c>
      <c r="K600" s="19">
        <f>IFERROR(__xludf.DUMMYFUNCTION("""COMPUTED_VALUE"""),0.03902)</f>
        <v>0.03902</v>
      </c>
      <c r="L600" s="19" t="str">
        <f>IFERROR(__xludf.DUMMYFUNCTION("""COMPUTED_VALUE"""),"-")</f>
        <v>-</v>
      </c>
      <c r="M600" s="19">
        <f>IFERROR(__xludf.DUMMYFUNCTION("""COMPUTED_VALUE"""),0.0403)</f>
        <v>0.0403</v>
      </c>
    </row>
    <row r="601">
      <c r="A601" s="12" t="s">
        <v>7591</v>
      </c>
      <c r="G601" s="19">
        <f>IFERROR(__xludf.DUMMYFUNCTION("SPLIT(A599, "" |"")"),597.0)</f>
        <v>597</v>
      </c>
      <c r="H601" s="19">
        <f>IFERROR(__xludf.DUMMYFUNCTION("""COMPUTED_VALUE"""),0.00212)</f>
        <v>0.00212</v>
      </c>
      <c r="I601" s="19" t="str">
        <f>IFERROR(__xludf.DUMMYFUNCTION("""COMPUTED_VALUE"""),"-")</f>
        <v>-</v>
      </c>
      <c r="J601" s="19">
        <f>IFERROR(__xludf.DUMMYFUNCTION("""COMPUTED_VALUE"""),0.00196)</f>
        <v>0.00196</v>
      </c>
      <c r="K601" s="19">
        <f>IFERROR(__xludf.DUMMYFUNCTION("""COMPUTED_VALUE"""),0.04011)</f>
        <v>0.04011</v>
      </c>
      <c r="L601" s="19" t="str">
        <f>IFERROR(__xludf.DUMMYFUNCTION("""COMPUTED_VALUE"""),"-")</f>
        <v>-</v>
      </c>
      <c r="M601" s="19">
        <f>IFERROR(__xludf.DUMMYFUNCTION("""COMPUTED_VALUE"""),0.03975)</f>
        <v>0.03975</v>
      </c>
    </row>
    <row r="602">
      <c r="A602" s="12" t="s">
        <v>7592</v>
      </c>
      <c r="G602" s="19">
        <f>IFERROR(__xludf.DUMMYFUNCTION("SPLIT(A600, "" |"")"),598.0)</f>
        <v>598</v>
      </c>
      <c r="H602" s="19">
        <f>IFERROR(__xludf.DUMMYFUNCTION("""COMPUTED_VALUE"""),0.00202)</f>
        <v>0.00202</v>
      </c>
      <c r="I602" s="19" t="str">
        <f>IFERROR(__xludf.DUMMYFUNCTION("""COMPUTED_VALUE"""),"-")</f>
        <v>-</v>
      </c>
      <c r="J602" s="19">
        <f>IFERROR(__xludf.DUMMYFUNCTION("""COMPUTED_VALUE"""),0.00196)</f>
        <v>0.00196</v>
      </c>
      <c r="K602" s="19">
        <f>IFERROR(__xludf.DUMMYFUNCTION("""COMPUTED_VALUE"""),0.03991)</f>
        <v>0.03991</v>
      </c>
      <c r="L602" s="19" t="str">
        <f>IFERROR(__xludf.DUMMYFUNCTION("""COMPUTED_VALUE"""),"-")</f>
        <v>-</v>
      </c>
      <c r="M602" s="19">
        <f>IFERROR(__xludf.DUMMYFUNCTION("""COMPUTED_VALUE"""),0.03997)</f>
        <v>0.03997</v>
      </c>
    </row>
    <row r="603">
      <c r="A603" s="12" t="s">
        <v>7593</v>
      </c>
      <c r="G603" s="19">
        <f>IFERROR(__xludf.DUMMYFUNCTION("SPLIT(A601, "" |"")"),599.0)</f>
        <v>599</v>
      </c>
      <c r="H603" s="19">
        <f>IFERROR(__xludf.DUMMYFUNCTION("""COMPUTED_VALUE"""),0.00216)</f>
        <v>0.00216</v>
      </c>
      <c r="I603" s="19" t="str">
        <f>IFERROR(__xludf.DUMMYFUNCTION("""COMPUTED_VALUE"""),"-")</f>
        <v>-</v>
      </c>
      <c r="J603" s="19">
        <f>IFERROR(__xludf.DUMMYFUNCTION("""COMPUTED_VALUE"""),0.00199)</f>
        <v>0.00199</v>
      </c>
      <c r="K603" s="19">
        <f>IFERROR(__xludf.DUMMYFUNCTION("""COMPUTED_VALUE"""),0.03963)</f>
        <v>0.03963</v>
      </c>
      <c r="L603" s="19" t="str">
        <f>IFERROR(__xludf.DUMMYFUNCTION("""COMPUTED_VALUE"""),"-")</f>
        <v>-</v>
      </c>
      <c r="M603" s="19">
        <f>IFERROR(__xludf.DUMMYFUNCTION("""COMPUTED_VALUE"""),0.03869)</f>
        <v>0.03869</v>
      </c>
    </row>
    <row r="604">
      <c r="A604" s="12" t="s">
        <v>7594</v>
      </c>
      <c r="G604" s="19">
        <f>IFERROR(__xludf.DUMMYFUNCTION("SPLIT(A602, "" |"")"),600.0)</f>
        <v>600</v>
      </c>
      <c r="H604" s="19">
        <f>IFERROR(__xludf.DUMMYFUNCTION("""COMPUTED_VALUE"""),0.00222)</f>
        <v>0.00222</v>
      </c>
      <c r="I604" s="19" t="str">
        <f>IFERROR(__xludf.DUMMYFUNCTION("""COMPUTED_VALUE"""),"-")</f>
        <v>-</v>
      </c>
      <c r="J604" s="19">
        <f>IFERROR(__xludf.DUMMYFUNCTION("""COMPUTED_VALUE"""),0.00232)</f>
        <v>0.00232</v>
      </c>
      <c r="K604" s="19">
        <f>IFERROR(__xludf.DUMMYFUNCTION("""COMPUTED_VALUE"""),0.04084)</f>
        <v>0.04084</v>
      </c>
      <c r="L604" s="19" t="str">
        <f>IFERROR(__xludf.DUMMYFUNCTION("""COMPUTED_VALUE"""),"-")</f>
        <v>-</v>
      </c>
      <c r="M604" s="19">
        <f>IFERROR(__xludf.DUMMYFUNCTION("""COMPUTED_VALUE"""),0.03829)</f>
        <v>0.03829</v>
      </c>
    </row>
    <row r="605">
      <c r="A605" s="12" t="s">
        <v>7595</v>
      </c>
      <c r="G605" s="19">
        <f>IFERROR(__xludf.DUMMYFUNCTION("SPLIT(A603, "" |"")"),601.0)</f>
        <v>601</v>
      </c>
      <c r="H605" s="19">
        <f>IFERROR(__xludf.DUMMYFUNCTION("""COMPUTED_VALUE"""),0.00214)</f>
        <v>0.00214</v>
      </c>
      <c r="I605" s="19" t="str">
        <f>IFERROR(__xludf.DUMMYFUNCTION("""COMPUTED_VALUE"""),"-")</f>
        <v>-</v>
      </c>
      <c r="J605" s="19">
        <f>IFERROR(__xludf.DUMMYFUNCTION("""COMPUTED_VALUE"""),0.00197)</f>
        <v>0.00197</v>
      </c>
      <c r="K605" s="19">
        <f>IFERROR(__xludf.DUMMYFUNCTION("""COMPUTED_VALUE"""),0.03689)</f>
        <v>0.03689</v>
      </c>
      <c r="L605" s="19" t="str">
        <f>IFERROR(__xludf.DUMMYFUNCTION("""COMPUTED_VALUE"""),"-")</f>
        <v>-</v>
      </c>
      <c r="M605" s="19">
        <f>IFERROR(__xludf.DUMMYFUNCTION("""COMPUTED_VALUE"""),0.04002)</f>
        <v>0.04002</v>
      </c>
    </row>
    <row r="606">
      <c r="A606" s="12" t="s">
        <v>7596</v>
      </c>
      <c r="G606" s="19">
        <f>IFERROR(__xludf.DUMMYFUNCTION("SPLIT(A604, "" |"")"),602.0)</f>
        <v>602</v>
      </c>
      <c r="H606" s="19">
        <f>IFERROR(__xludf.DUMMYFUNCTION("""COMPUTED_VALUE"""),0.00223)</f>
        <v>0.00223</v>
      </c>
      <c r="I606" s="19" t="str">
        <f>IFERROR(__xludf.DUMMYFUNCTION("""COMPUTED_VALUE"""),"-")</f>
        <v>-</v>
      </c>
      <c r="J606" s="19">
        <f>IFERROR(__xludf.DUMMYFUNCTION("""COMPUTED_VALUE"""),0.00209)</f>
        <v>0.00209</v>
      </c>
      <c r="K606" s="19">
        <f>IFERROR(__xludf.DUMMYFUNCTION("""COMPUTED_VALUE"""),0.03986)</f>
        <v>0.03986</v>
      </c>
      <c r="L606" s="19" t="str">
        <f>IFERROR(__xludf.DUMMYFUNCTION("""COMPUTED_VALUE"""),"-")</f>
        <v>-</v>
      </c>
      <c r="M606" s="19">
        <f>IFERROR(__xludf.DUMMYFUNCTION("""COMPUTED_VALUE"""),0.03998)</f>
        <v>0.03998</v>
      </c>
    </row>
    <row r="607">
      <c r="A607" s="12" t="s">
        <v>7597</v>
      </c>
      <c r="G607" s="19">
        <f>IFERROR(__xludf.DUMMYFUNCTION("SPLIT(A605, "" |"")"),603.0)</f>
        <v>603</v>
      </c>
      <c r="H607" s="19">
        <f>IFERROR(__xludf.DUMMYFUNCTION("""COMPUTED_VALUE"""),0.00219)</f>
        <v>0.00219</v>
      </c>
      <c r="I607" s="19" t="str">
        <f>IFERROR(__xludf.DUMMYFUNCTION("""COMPUTED_VALUE"""),"-")</f>
        <v>-</v>
      </c>
      <c r="J607" s="19">
        <f>IFERROR(__xludf.DUMMYFUNCTION("""COMPUTED_VALUE"""),0.00204)</f>
        <v>0.00204</v>
      </c>
      <c r="K607" s="19">
        <f>IFERROR(__xludf.DUMMYFUNCTION("""COMPUTED_VALUE"""),0.03974)</f>
        <v>0.03974</v>
      </c>
      <c r="L607" s="19" t="str">
        <f>IFERROR(__xludf.DUMMYFUNCTION("""COMPUTED_VALUE"""),"-")</f>
        <v>-</v>
      </c>
      <c r="M607" s="19">
        <f>IFERROR(__xludf.DUMMYFUNCTION("""COMPUTED_VALUE"""),0.03967)</f>
        <v>0.03967</v>
      </c>
    </row>
    <row r="608">
      <c r="A608" s="12" t="s">
        <v>7598</v>
      </c>
      <c r="G608" s="19">
        <f>IFERROR(__xludf.DUMMYFUNCTION("SPLIT(A606, "" |"")"),604.0)</f>
        <v>604</v>
      </c>
      <c r="H608" s="19">
        <f>IFERROR(__xludf.DUMMYFUNCTION("""COMPUTED_VALUE"""),0.0022)</f>
        <v>0.0022</v>
      </c>
      <c r="I608" s="19" t="str">
        <f>IFERROR(__xludf.DUMMYFUNCTION("""COMPUTED_VALUE"""),"-")</f>
        <v>-</v>
      </c>
      <c r="J608" s="19">
        <f>IFERROR(__xludf.DUMMYFUNCTION("""COMPUTED_VALUE"""),0.00191)</f>
        <v>0.00191</v>
      </c>
      <c r="K608" s="19">
        <f>IFERROR(__xludf.DUMMYFUNCTION("""COMPUTED_VALUE"""),0.03908)</f>
        <v>0.03908</v>
      </c>
      <c r="L608" s="19" t="str">
        <f>IFERROR(__xludf.DUMMYFUNCTION("""COMPUTED_VALUE"""),"-")</f>
        <v>-</v>
      </c>
      <c r="M608" s="19">
        <f>IFERROR(__xludf.DUMMYFUNCTION("""COMPUTED_VALUE"""),0.04004)</f>
        <v>0.04004</v>
      </c>
    </row>
    <row r="609">
      <c r="A609" s="12" t="s">
        <v>7599</v>
      </c>
      <c r="G609" s="19">
        <f>IFERROR(__xludf.DUMMYFUNCTION("SPLIT(A607, "" |"")"),605.0)</f>
        <v>605</v>
      </c>
      <c r="H609" s="19">
        <f>IFERROR(__xludf.DUMMYFUNCTION("""COMPUTED_VALUE"""),0.00242)</f>
        <v>0.00242</v>
      </c>
      <c r="I609" s="19" t="str">
        <f>IFERROR(__xludf.DUMMYFUNCTION("""COMPUTED_VALUE"""),"-")</f>
        <v>-</v>
      </c>
      <c r="J609" s="19">
        <f>IFERROR(__xludf.DUMMYFUNCTION("""COMPUTED_VALUE"""),0.00239)</f>
        <v>0.00239</v>
      </c>
      <c r="K609" s="19">
        <f>IFERROR(__xludf.DUMMYFUNCTION("""COMPUTED_VALUE"""),0.03675)</f>
        <v>0.03675</v>
      </c>
      <c r="L609" s="19" t="str">
        <f>IFERROR(__xludf.DUMMYFUNCTION("""COMPUTED_VALUE"""),"-")</f>
        <v>-</v>
      </c>
      <c r="M609" s="19">
        <f>IFERROR(__xludf.DUMMYFUNCTION("""COMPUTED_VALUE"""),0.04031)</f>
        <v>0.04031</v>
      </c>
    </row>
    <row r="610">
      <c r="A610" s="12" t="s">
        <v>7600</v>
      </c>
      <c r="G610" s="19">
        <f>IFERROR(__xludf.DUMMYFUNCTION("SPLIT(A608, "" |"")"),606.0)</f>
        <v>606</v>
      </c>
      <c r="H610" s="19">
        <f>IFERROR(__xludf.DUMMYFUNCTION("""COMPUTED_VALUE"""),0.00226)</f>
        <v>0.00226</v>
      </c>
      <c r="I610" s="19" t="str">
        <f>IFERROR(__xludf.DUMMYFUNCTION("""COMPUTED_VALUE"""),"-")</f>
        <v>-</v>
      </c>
      <c r="J610" s="19">
        <f>IFERROR(__xludf.DUMMYFUNCTION("""COMPUTED_VALUE"""),0.00226)</f>
        <v>0.00226</v>
      </c>
      <c r="K610" s="19">
        <f>IFERROR(__xludf.DUMMYFUNCTION("""COMPUTED_VALUE"""),0.03867)</f>
        <v>0.03867</v>
      </c>
      <c r="L610" s="19" t="str">
        <f>IFERROR(__xludf.DUMMYFUNCTION("""COMPUTED_VALUE"""),"-")</f>
        <v>-</v>
      </c>
      <c r="M610" s="19">
        <f>IFERROR(__xludf.DUMMYFUNCTION("""COMPUTED_VALUE"""),0.04038)</f>
        <v>0.04038</v>
      </c>
    </row>
    <row r="611">
      <c r="A611" s="12" t="s">
        <v>7601</v>
      </c>
      <c r="G611" s="19">
        <f>IFERROR(__xludf.DUMMYFUNCTION("SPLIT(A609, "" |"")"),607.0)</f>
        <v>607</v>
      </c>
      <c r="H611" s="19">
        <f>IFERROR(__xludf.DUMMYFUNCTION("""COMPUTED_VALUE"""),0.00214)</f>
        <v>0.00214</v>
      </c>
      <c r="I611" s="19" t="str">
        <f>IFERROR(__xludf.DUMMYFUNCTION("""COMPUTED_VALUE"""),"-")</f>
        <v>-</v>
      </c>
      <c r="J611" s="19">
        <f>IFERROR(__xludf.DUMMYFUNCTION("""COMPUTED_VALUE"""),0.00203)</f>
        <v>0.00203</v>
      </c>
      <c r="K611" s="19">
        <f>IFERROR(__xludf.DUMMYFUNCTION("""COMPUTED_VALUE"""),0.03957)</f>
        <v>0.03957</v>
      </c>
      <c r="L611" s="19" t="str">
        <f>IFERROR(__xludf.DUMMYFUNCTION("""COMPUTED_VALUE"""),"-")</f>
        <v>-</v>
      </c>
      <c r="M611" s="19">
        <f>IFERROR(__xludf.DUMMYFUNCTION("""COMPUTED_VALUE"""),0.04082)</f>
        <v>0.04082</v>
      </c>
    </row>
    <row r="612">
      <c r="A612" s="12" t="s">
        <v>7602</v>
      </c>
      <c r="G612" s="19">
        <f>IFERROR(__xludf.DUMMYFUNCTION("SPLIT(A610, "" |"")"),608.0)</f>
        <v>608</v>
      </c>
      <c r="H612" s="19">
        <f>IFERROR(__xludf.DUMMYFUNCTION("""COMPUTED_VALUE"""),0.00208)</f>
        <v>0.00208</v>
      </c>
      <c r="I612" s="19" t="str">
        <f>IFERROR(__xludf.DUMMYFUNCTION("""COMPUTED_VALUE"""),"-")</f>
        <v>-</v>
      </c>
      <c r="J612" s="19">
        <f>IFERROR(__xludf.DUMMYFUNCTION("""COMPUTED_VALUE"""),0.00194)</f>
        <v>0.00194</v>
      </c>
      <c r="K612" s="19">
        <f>IFERROR(__xludf.DUMMYFUNCTION("""COMPUTED_VALUE"""),0.03963)</f>
        <v>0.03963</v>
      </c>
      <c r="L612" s="19" t="str">
        <f>IFERROR(__xludf.DUMMYFUNCTION("""COMPUTED_VALUE"""),"-")</f>
        <v>-</v>
      </c>
      <c r="M612" s="19">
        <f>IFERROR(__xludf.DUMMYFUNCTION("""COMPUTED_VALUE"""),0.0392)</f>
        <v>0.0392</v>
      </c>
    </row>
    <row r="613">
      <c r="A613" s="12" t="s">
        <v>7603</v>
      </c>
      <c r="G613" s="19">
        <f>IFERROR(__xludf.DUMMYFUNCTION("SPLIT(A611, "" |"")"),609.0)</f>
        <v>609</v>
      </c>
      <c r="H613" s="19">
        <f>IFERROR(__xludf.DUMMYFUNCTION("""COMPUTED_VALUE"""),0.00207)</f>
        <v>0.00207</v>
      </c>
      <c r="I613" s="19" t="str">
        <f>IFERROR(__xludf.DUMMYFUNCTION("""COMPUTED_VALUE"""),"-")</f>
        <v>-</v>
      </c>
      <c r="J613" s="19">
        <f>IFERROR(__xludf.DUMMYFUNCTION("""COMPUTED_VALUE"""),0.00197)</f>
        <v>0.00197</v>
      </c>
      <c r="K613" s="19">
        <f>IFERROR(__xludf.DUMMYFUNCTION("""COMPUTED_VALUE"""),0.0397)</f>
        <v>0.0397</v>
      </c>
      <c r="L613" s="19" t="str">
        <f>IFERROR(__xludf.DUMMYFUNCTION("""COMPUTED_VALUE"""),"-")</f>
        <v>-</v>
      </c>
      <c r="M613" s="19">
        <f>IFERROR(__xludf.DUMMYFUNCTION("""COMPUTED_VALUE"""),0.03991)</f>
        <v>0.03991</v>
      </c>
    </row>
    <row r="614">
      <c r="A614" s="12" t="s">
        <v>7604</v>
      </c>
      <c r="G614" s="19">
        <f>IFERROR(__xludf.DUMMYFUNCTION("SPLIT(A612, "" |"")"),610.0)</f>
        <v>610</v>
      </c>
      <c r="H614" s="19">
        <f>IFERROR(__xludf.DUMMYFUNCTION("""COMPUTED_VALUE"""),0.00245)</f>
        <v>0.00245</v>
      </c>
      <c r="I614" s="19" t="str">
        <f>IFERROR(__xludf.DUMMYFUNCTION("""COMPUTED_VALUE"""),"-")</f>
        <v>-</v>
      </c>
      <c r="J614" s="19">
        <f>IFERROR(__xludf.DUMMYFUNCTION("""COMPUTED_VALUE"""),0.00239)</f>
        <v>0.00239</v>
      </c>
      <c r="K614" s="19">
        <f>IFERROR(__xludf.DUMMYFUNCTION("""COMPUTED_VALUE"""),0.0356)</f>
        <v>0.0356</v>
      </c>
      <c r="L614" s="19" t="str">
        <f>IFERROR(__xludf.DUMMYFUNCTION("""COMPUTED_VALUE"""),"-")</f>
        <v>-</v>
      </c>
      <c r="M614" s="19">
        <f>IFERROR(__xludf.DUMMYFUNCTION("""COMPUTED_VALUE"""),0.04018)</f>
        <v>0.04018</v>
      </c>
    </row>
    <row r="615">
      <c r="A615" s="12" t="s">
        <v>7605</v>
      </c>
      <c r="G615" s="19">
        <f>IFERROR(__xludf.DUMMYFUNCTION("SPLIT(A613, "" |"")"),611.0)</f>
        <v>611</v>
      </c>
      <c r="H615" s="19">
        <f>IFERROR(__xludf.DUMMYFUNCTION("""COMPUTED_VALUE"""),0.00235)</f>
        <v>0.00235</v>
      </c>
      <c r="I615" s="19" t="str">
        <f>IFERROR(__xludf.DUMMYFUNCTION("""COMPUTED_VALUE"""),"-")</f>
        <v>-</v>
      </c>
      <c r="J615" s="19">
        <f>IFERROR(__xludf.DUMMYFUNCTION("""COMPUTED_VALUE"""),0.00208)</f>
        <v>0.00208</v>
      </c>
      <c r="K615" s="19">
        <f>IFERROR(__xludf.DUMMYFUNCTION("""COMPUTED_VALUE"""),0.04018)</f>
        <v>0.04018</v>
      </c>
      <c r="L615" s="19" t="str">
        <f>IFERROR(__xludf.DUMMYFUNCTION("""COMPUTED_VALUE"""),"-")</f>
        <v>-</v>
      </c>
      <c r="M615" s="19">
        <f>IFERROR(__xludf.DUMMYFUNCTION("""COMPUTED_VALUE"""),0.04012)</f>
        <v>0.04012</v>
      </c>
    </row>
    <row r="616">
      <c r="A616" s="12" t="s">
        <v>7606</v>
      </c>
      <c r="G616" s="19">
        <f>IFERROR(__xludf.DUMMYFUNCTION("SPLIT(A614, "" |"")"),612.0)</f>
        <v>612</v>
      </c>
      <c r="H616" s="19">
        <f>IFERROR(__xludf.DUMMYFUNCTION("""COMPUTED_VALUE"""),0.00256)</f>
        <v>0.00256</v>
      </c>
      <c r="I616" s="19" t="str">
        <f>IFERROR(__xludf.DUMMYFUNCTION("""COMPUTED_VALUE"""),"-")</f>
        <v>-</v>
      </c>
      <c r="J616" s="19">
        <f>IFERROR(__xludf.DUMMYFUNCTION("""COMPUTED_VALUE"""),0.00207)</f>
        <v>0.00207</v>
      </c>
      <c r="K616" s="19">
        <f>IFERROR(__xludf.DUMMYFUNCTION("""COMPUTED_VALUE"""),0.03727)</f>
        <v>0.03727</v>
      </c>
      <c r="L616" s="19" t="str">
        <f>IFERROR(__xludf.DUMMYFUNCTION("""COMPUTED_VALUE"""),"-")</f>
        <v>-</v>
      </c>
      <c r="M616" s="19">
        <f>IFERROR(__xludf.DUMMYFUNCTION("""COMPUTED_VALUE"""),0.04026)</f>
        <v>0.04026</v>
      </c>
    </row>
    <row r="617">
      <c r="A617" s="12" t="s">
        <v>7607</v>
      </c>
      <c r="G617" s="19">
        <f>IFERROR(__xludf.DUMMYFUNCTION("SPLIT(A615, "" |"")"),613.0)</f>
        <v>613</v>
      </c>
      <c r="H617" s="19">
        <f>IFERROR(__xludf.DUMMYFUNCTION("""COMPUTED_VALUE"""),0.00228)</f>
        <v>0.00228</v>
      </c>
      <c r="I617" s="19" t="str">
        <f>IFERROR(__xludf.DUMMYFUNCTION("""COMPUTED_VALUE"""),"-")</f>
        <v>-</v>
      </c>
      <c r="J617" s="19">
        <f>IFERROR(__xludf.DUMMYFUNCTION("""COMPUTED_VALUE"""),0.00212)</f>
        <v>0.00212</v>
      </c>
      <c r="K617" s="19">
        <f>IFERROR(__xludf.DUMMYFUNCTION("""COMPUTED_VALUE"""),0.0401)</f>
        <v>0.0401</v>
      </c>
      <c r="L617" s="19" t="str">
        <f>IFERROR(__xludf.DUMMYFUNCTION("""COMPUTED_VALUE"""),"-")</f>
        <v>-</v>
      </c>
      <c r="M617" s="19">
        <f>IFERROR(__xludf.DUMMYFUNCTION("""COMPUTED_VALUE"""),0.04051)</f>
        <v>0.04051</v>
      </c>
    </row>
    <row r="618">
      <c r="A618" s="12" t="s">
        <v>7608</v>
      </c>
      <c r="G618" s="19">
        <f>IFERROR(__xludf.DUMMYFUNCTION("SPLIT(A616, "" |"")"),614.0)</f>
        <v>614</v>
      </c>
      <c r="H618" s="19">
        <f>IFERROR(__xludf.DUMMYFUNCTION("""COMPUTED_VALUE"""),0.00233)</f>
        <v>0.00233</v>
      </c>
      <c r="I618" s="19" t="str">
        <f>IFERROR(__xludf.DUMMYFUNCTION("""COMPUTED_VALUE"""),"-")</f>
        <v>-</v>
      </c>
      <c r="J618" s="19">
        <f>IFERROR(__xludf.DUMMYFUNCTION("""COMPUTED_VALUE"""),0.00206)</f>
        <v>0.00206</v>
      </c>
      <c r="K618" s="19">
        <f>IFERROR(__xludf.DUMMYFUNCTION("""COMPUTED_VALUE"""),0.03688)</f>
        <v>0.03688</v>
      </c>
      <c r="L618" s="19" t="str">
        <f>IFERROR(__xludf.DUMMYFUNCTION("""COMPUTED_VALUE"""),"-")</f>
        <v>-</v>
      </c>
      <c r="M618" s="19">
        <f>IFERROR(__xludf.DUMMYFUNCTION("""COMPUTED_VALUE"""),0.04027)</f>
        <v>0.04027</v>
      </c>
    </row>
    <row r="619">
      <c r="A619" s="12" t="s">
        <v>7609</v>
      </c>
      <c r="G619" s="19">
        <f>IFERROR(__xludf.DUMMYFUNCTION("SPLIT(A617, "" |"")"),615.0)</f>
        <v>615</v>
      </c>
      <c r="H619" s="19">
        <f>IFERROR(__xludf.DUMMYFUNCTION("""COMPUTED_VALUE"""),0.00234)</f>
        <v>0.00234</v>
      </c>
      <c r="I619" s="19" t="str">
        <f>IFERROR(__xludf.DUMMYFUNCTION("""COMPUTED_VALUE"""),"-")</f>
        <v>-</v>
      </c>
      <c r="J619" s="19">
        <f>IFERROR(__xludf.DUMMYFUNCTION("""COMPUTED_VALUE"""),0.00218)</f>
        <v>0.00218</v>
      </c>
      <c r="K619" s="19">
        <f>IFERROR(__xludf.DUMMYFUNCTION("""COMPUTED_VALUE"""),0.03831)</f>
        <v>0.03831</v>
      </c>
      <c r="L619" s="19" t="str">
        <f>IFERROR(__xludf.DUMMYFUNCTION("""COMPUTED_VALUE"""),"-")</f>
        <v>-</v>
      </c>
      <c r="M619" s="19">
        <f>IFERROR(__xludf.DUMMYFUNCTION("""COMPUTED_VALUE"""),0.04049)</f>
        <v>0.04049</v>
      </c>
    </row>
    <row r="620">
      <c r="A620" s="12" t="s">
        <v>7610</v>
      </c>
      <c r="G620" s="19">
        <f>IFERROR(__xludf.DUMMYFUNCTION("SPLIT(A618, "" |"")"),616.0)</f>
        <v>616</v>
      </c>
      <c r="H620" s="19">
        <f>IFERROR(__xludf.DUMMYFUNCTION("""COMPUTED_VALUE"""),0.00231)</f>
        <v>0.00231</v>
      </c>
      <c r="I620" s="19" t="str">
        <f>IFERROR(__xludf.DUMMYFUNCTION("""COMPUTED_VALUE"""),"-")</f>
        <v>-</v>
      </c>
      <c r="J620" s="19">
        <f>IFERROR(__xludf.DUMMYFUNCTION("""COMPUTED_VALUE"""),0.00206)</f>
        <v>0.00206</v>
      </c>
      <c r="K620" s="19">
        <f>IFERROR(__xludf.DUMMYFUNCTION("""COMPUTED_VALUE"""),0.03901)</f>
        <v>0.03901</v>
      </c>
      <c r="L620" s="19" t="str">
        <f>IFERROR(__xludf.DUMMYFUNCTION("""COMPUTED_VALUE"""),"-")</f>
        <v>-</v>
      </c>
      <c r="M620" s="19">
        <f>IFERROR(__xludf.DUMMYFUNCTION("""COMPUTED_VALUE"""),0.03987)</f>
        <v>0.03987</v>
      </c>
    </row>
    <row r="621">
      <c r="A621" s="12" t="s">
        <v>7611</v>
      </c>
      <c r="G621" s="19">
        <f>IFERROR(__xludf.DUMMYFUNCTION("SPLIT(A619, "" |"")"),617.0)</f>
        <v>617</v>
      </c>
      <c r="H621" s="19">
        <f>IFERROR(__xludf.DUMMYFUNCTION("""COMPUTED_VALUE"""),0.00216)</f>
        <v>0.00216</v>
      </c>
      <c r="I621" s="19" t="str">
        <f>IFERROR(__xludf.DUMMYFUNCTION("""COMPUTED_VALUE"""),"-")</f>
        <v>-</v>
      </c>
      <c r="J621" s="19">
        <f>IFERROR(__xludf.DUMMYFUNCTION("""COMPUTED_VALUE"""),0.00209)</f>
        <v>0.00209</v>
      </c>
      <c r="K621" s="19">
        <f>IFERROR(__xludf.DUMMYFUNCTION("""COMPUTED_VALUE"""),0.03803)</f>
        <v>0.03803</v>
      </c>
      <c r="L621" s="19" t="str">
        <f>IFERROR(__xludf.DUMMYFUNCTION("""COMPUTED_VALUE"""),"-")</f>
        <v>-</v>
      </c>
      <c r="M621" s="19">
        <f>IFERROR(__xludf.DUMMYFUNCTION("""COMPUTED_VALUE"""),0.03952)</f>
        <v>0.03952</v>
      </c>
    </row>
    <row r="622">
      <c r="A622" s="12" t="s">
        <v>7612</v>
      </c>
      <c r="G622" s="19">
        <f>IFERROR(__xludf.DUMMYFUNCTION("SPLIT(A620, "" |"")"),618.0)</f>
        <v>618</v>
      </c>
      <c r="H622" s="19">
        <f>IFERROR(__xludf.DUMMYFUNCTION("""COMPUTED_VALUE"""),0.00215)</f>
        <v>0.00215</v>
      </c>
      <c r="I622" s="19" t="str">
        <f>IFERROR(__xludf.DUMMYFUNCTION("""COMPUTED_VALUE"""),"-")</f>
        <v>-</v>
      </c>
      <c r="J622" s="19">
        <f>IFERROR(__xludf.DUMMYFUNCTION("""COMPUTED_VALUE"""),0.00187)</f>
        <v>0.00187</v>
      </c>
      <c r="K622" s="19">
        <f>IFERROR(__xludf.DUMMYFUNCTION("""COMPUTED_VALUE"""),0.03889)</f>
        <v>0.03889</v>
      </c>
      <c r="L622" s="19" t="str">
        <f>IFERROR(__xludf.DUMMYFUNCTION("""COMPUTED_VALUE"""),"-")</f>
        <v>-</v>
      </c>
      <c r="M622" s="19">
        <f>IFERROR(__xludf.DUMMYFUNCTION("""COMPUTED_VALUE"""),0.04052)</f>
        <v>0.04052</v>
      </c>
    </row>
    <row r="623">
      <c r="A623" s="12" t="s">
        <v>7613</v>
      </c>
      <c r="G623" s="19">
        <f>IFERROR(__xludf.DUMMYFUNCTION("SPLIT(A621, "" |"")"),619.0)</f>
        <v>619</v>
      </c>
      <c r="H623" s="19">
        <f>IFERROR(__xludf.DUMMYFUNCTION("""COMPUTED_VALUE"""),0.00211)</f>
        <v>0.00211</v>
      </c>
      <c r="I623" s="19" t="str">
        <f>IFERROR(__xludf.DUMMYFUNCTION("""COMPUTED_VALUE"""),"-")</f>
        <v>-</v>
      </c>
      <c r="J623" s="19">
        <f>IFERROR(__xludf.DUMMYFUNCTION("""COMPUTED_VALUE"""),0.00195)</f>
        <v>0.00195</v>
      </c>
      <c r="K623" s="19">
        <f>IFERROR(__xludf.DUMMYFUNCTION("""COMPUTED_VALUE"""),0.03973)</f>
        <v>0.03973</v>
      </c>
      <c r="L623" s="19" t="str">
        <f>IFERROR(__xludf.DUMMYFUNCTION("""COMPUTED_VALUE"""),"-")</f>
        <v>-</v>
      </c>
      <c r="M623" s="19">
        <f>IFERROR(__xludf.DUMMYFUNCTION("""COMPUTED_VALUE"""),0.03998)</f>
        <v>0.03998</v>
      </c>
    </row>
    <row r="624">
      <c r="A624" s="12" t="s">
        <v>7614</v>
      </c>
      <c r="G624" s="19">
        <f>IFERROR(__xludf.DUMMYFUNCTION("SPLIT(A622, "" |"")"),620.0)</f>
        <v>620</v>
      </c>
      <c r="H624" s="19">
        <f>IFERROR(__xludf.DUMMYFUNCTION("""COMPUTED_VALUE"""),0.00202)</f>
        <v>0.00202</v>
      </c>
      <c r="I624" s="19" t="str">
        <f>IFERROR(__xludf.DUMMYFUNCTION("""COMPUTED_VALUE"""),"-")</f>
        <v>-</v>
      </c>
      <c r="J624" s="19">
        <f>IFERROR(__xludf.DUMMYFUNCTION("""COMPUTED_VALUE"""),0.00194)</f>
        <v>0.00194</v>
      </c>
      <c r="K624" s="19">
        <f>IFERROR(__xludf.DUMMYFUNCTION("""COMPUTED_VALUE"""),0.0396)</f>
        <v>0.0396</v>
      </c>
      <c r="L624" s="19" t="str">
        <f>IFERROR(__xludf.DUMMYFUNCTION("""COMPUTED_VALUE"""),"-")</f>
        <v>-</v>
      </c>
      <c r="M624" s="19">
        <f>IFERROR(__xludf.DUMMYFUNCTION("""COMPUTED_VALUE"""),0.03989)</f>
        <v>0.03989</v>
      </c>
    </row>
    <row r="625">
      <c r="A625" s="12" t="s">
        <v>7615</v>
      </c>
      <c r="G625" s="19">
        <f>IFERROR(__xludf.DUMMYFUNCTION("SPLIT(A623, "" |"")"),621.0)</f>
        <v>621</v>
      </c>
      <c r="H625" s="19">
        <f>IFERROR(__xludf.DUMMYFUNCTION("""COMPUTED_VALUE"""),0.00221)</f>
        <v>0.00221</v>
      </c>
      <c r="I625" s="19" t="str">
        <f>IFERROR(__xludf.DUMMYFUNCTION("""COMPUTED_VALUE"""),"-")</f>
        <v>-</v>
      </c>
      <c r="J625" s="19">
        <f>IFERROR(__xludf.DUMMYFUNCTION("""COMPUTED_VALUE"""),0.00204)</f>
        <v>0.00204</v>
      </c>
      <c r="K625" s="19">
        <f>IFERROR(__xludf.DUMMYFUNCTION("""COMPUTED_VALUE"""),0.03977)</f>
        <v>0.03977</v>
      </c>
      <c r="L625" s="19" t="str">
        <f>IFERROR(__xludf.DUMMYFUNCTION("""COMPUTED_VALUE"""),"-")</f>
        <v>-</v>
      </c>
      <c r="M625" s="19">
        <f>IFERROR(__xludf.DUMMYFUNCTION("""COMPUTED_VALUE"""),0.03962)</f>
        <v>0.03962</v>
      </c>
    </row>
    <row r="626">
      <c r="A626" s="12" t="s">
        <v>7616</v>
      </c>
      <c r="G626" s="19">
        <f>IFERROR(__xludf.DUMMYFUNCTION("SPLIT(A624, "" |"")"),622.0)</f>
        <v>622</v>
      </c>
      <c r="H626" s="19">
        <f>IFERROR(__xludf.DUMMYFUNCTION("""COMPUTED_VALUE"""),0.00214)</f>
        <v>0.00214</v>
      </c>
      <c r="I626" s="19" t="str">
        <f>IFERROR(__xludf.DUMMYFUNCTION("""COMPUTED_VALUE"""),"-")</f>
        <v>-</v>
      </c>
      <c r="J626" s="19">
        <f>IFERROR(__xludf.DUMMYFUNCTION("""COMPUTED_VALUE"""),0.00202)</f>
        <v>0.00202</v>
      </c>
      <c r="K626" s="19">
        <f>IFERROR(__xludf.DUMMYFUNCTION("""COMPUTED_VALUE"""),0.03824)</f>
        <v>0.03824</v>
      </c>
      <c r="L626" s="19" t="str">
        <f>IFERROR(__xludf.DUMMYFUNCTION("""COMPUTED_VALUE"""),"-")</f>
        <v>-</v>
      </c>
      <c r="M626" s="19">
        <f>IFERROR(__xludf.DUMMYFUNCTION("""COMPUTED_VALUE"""),0.04063)</f>
        <v>0.04063</v>
      </c>
    </row>
    <row r="627">
      <c r="A627" s="12" t="s">
        <v>7617</v>
      </c>
      <c r="G627" s="19">
        <f>IFERROR(__xludf.DUMMYFUNCTION("SPLIT(A625, "" |"")"),623.0)</f>
        <v>623</v>
      </c>
      <c r="H627" s="19">
        <f>IFERROR(__xludf.DUMMYFUNCTION("""COMPUTED_VALUE"""),0.00213)</f>
        <v>0.00213</v>
      </c>
      <c r="I627" s="19" t="str">
        <f>IFERROR(__xludf.DUMMYFUNCTION("""COMPUTED_VALUE"""),"-")</f>
        <v>-</v>
      </c>
      <c r="J627" s="19">
        <f>IFERROR(__xludf.DUMMYFUNCTION("""COMPUTED_VALUE"""),0.00204)</f>
        <v>0.00204</v>
      </c>
      <c r="K627" s="19">
        <f>IFERROR(__xludf.DUMMYFUNCTION("""COMPUTED_VALUE"""),0.03975)</f>
        <v>0.03975</v>
      </c>
      <c r="L627" s="19" t="str">
        <f>IFERROR(__xludf.DUMMYFUNCTION("""COMPUTED_VALUE"""),"-")</f>
        <v>-</v>
      </c>
      <c r="M627" s="19">
        <f>IFERROR(__xludf.DUMMYFUNCTION("""COMPUTED_VALUE"""),0.0403)</f>
        <v>0.0403</v>
      </c>
    </row>
    <row r="628">
      <c r="A628" s="12" t="s">
        <v>7618</v>
      </c>
      <c r="G628" s="19">
        <f>IFERROR(__xludf.DUMMYFUNCTION("SPLIT(A626, "" |"")"),624.0)</f>
        <v>624</v>
      </c>
      <c r="H628" s="19">
        <f>IFERROR(__xludf.DUMMYFUNCTION("""COMPUTED_VALUE"""),0.00203)</f>
        <v>0.00203</v>
      </c>
      <c r="I628" s="19" t="str">
        <f>IFERROR(__xludf.DUMMYFUNCTION("""COMPUTED_VALUE"""),"-")</f>
        <v>-</v>
      </c>
      <c r="J628" s="19">
        <f>IFERROR(__xludf.DUMMYFUNCTION("""COMPUTED_VALUE"""),0.00202)</f>
        <v>0.00202</v>
      </c>
      <c r="K628" s="19">
        <f>IFERROR(__xludf.DUMMYFUNCTION("""COMPUTED_VALUE"""),0.03972)</f>
        <v>0.03972</v>
      </c>
      <c r="L628" s="19" t="str">
        <f>IFERROR(__xludf.DUMMYFUNCTION("""COMPUTED_VALUE"""),"-")</f>
        <v>-</v>
      </c>
      <c r="M628" s="19">
        <f>IFERROR(__xludf.DUMMYFUNCTION("""COMPUTED_VALUE"""),0.03984)</f>
        <v>0.03984</v>
      </c>
    </row>
    <row r="629">
      <c r="A629" s="12" t="s">
        <v>7619</v>
      </c>
      <c r="G629" s="19">
        <f>IFERROR(__xludf.DUMMYFUNCTION("SPLIT(A627, "" |"")"),625.0)</f>
        <v>625</v>
      </c>
      <c r="H629" s="19">
        <f>IFERROR(__xludf.DUMMYFUNCTION("""COMPUTED_VALUE"""),0.00228)</f>
        <v>0.00228</v>
      </c>
      <c r="I629" s="19" t="str">
        <f>IFERROR(__xludf.DUMMYFUNCTION("""COMPUTED_VALUE"""),"-")</f>
        <v>-</v>
      </c>
      <c r="J629" s="19">
        <f>IFERROR(__xludf.DUMMYFUNCTION("""COMPUTED_VALUE"""),0.00211)</f>
        <v>0.00211</v>
      </c>
      <c r="K629" s="19">
        <f>IFERROR(__xludf.DUMMYFUNCTION("""COMPUTED_VALUE"""),0.04146)</f>
        <v>0.04146</v>
      </c>
      <c r="L629" s="19" t="str">
        <f>IFERROR(__xludf.DUMMYFUNCTION("""COMPUTED_VALUE"""),"-")</f>
        <v>-</v>
      </c>
      <c r="M629" s="19">
        <f>IFERROR(__xludf.DUMMYFUNCTION("""COMPUTED_VALUE"""),0.0401)</f>
        <v>0.0401</v>
      </c>
    </row>
    <row r="630">
      <c r="A630" s="12" t="s">
        <v>7620</v>
      </c>
      <c r="G630" s="19">
        <f>IFERROR(__xludf.DUMMYFUNCTION("SPLIT(A628, "" |"")"),626.0)</f>
        <v>626</v>
      </c>
      <c r="H630" s="19">
        <f>IFERROR(__xludf.DUMMYFUNCTION("""COMPUTED_VALUE"""),0.00232)</f>
        <v>0.00232</v>
      </c>
      <c r="I630" s="19" t="str">
        <f>IFERROR(__xludf.DUMMYFUNCTION("""COMPUTED_VALUE"""),"-")</f>
        <v>-</v>
      </c>
      <c r="J630" s="19">
        <f>IFERROR(__xludf.DUMMYFUNCTION("""COMPUTED_VALUE"""),0.00219)</f>
        <v>0.00219</v>
      </c>
      <c r="K630" s="19">
        <f>IFERROR(__xludf.DUMMYFUNCTION("""COMPUTED_VALUE"""),0.03751)</f>
        <v>0.03751</v>
      </c>
      <c r="L630" s="19" t="str">
        <f>IFERROR(__xludf.DUMMYFUNCTION("""COMPUTED_VALUE"""),"-")</f>
        <v>-</v>
      </c>
      <c r="M630" s="19">
        <f>IFERROR(__xludf.DUMMYFUNCTION("""COMPUTED_VALUE"""),0.04001)</f>
        <v>0.04001</v>
      </c>
    </row>
    <row r="631">
      <c r="A631" s="12" t="s">
        <v>7621</v>
      </c>
      <c r="G631" s="19">
        <f>IFERROR(__xludf.DUMMYFUNCTION("SPLIT(A629, "" |"")"),627.0)</f>
        <v>627</v>
      </c>
      <c r="H631" s="19">
        <f>IFERROR(__xludf.DUMMYFUNCTION("""COMPUTED_VALUE"""),0.00214)</f>
        <v>0.00214</v>
      </c>
      <c r="I631" s="19" t="str">
        <f>IFERROR(__xludf.DUMMYFUNCTION("""COMPUTED_VALUE"""),"-")</f>
        <v>-</v>
      </c>
      <c r="J631" s="19">
        <f>IFERROR(__xludf.DUMMYFUNCTION("""COMPUTED_VALUE"""),0.00203)</f>
        <v>0.00203</v>
      </c>
      <c r="K631" s="19">
        <f>IFERROR(__xludf.DUMMYFUNCTION("""COMPUTED_VALUE"""),0.03582)</f>
        <v>0.03582</v>
      </c>
      <c r="L631" s="19" t="str">
        <f>IFERROR(__xludf.DUMMYFUNCTION("""COMPUTED_VALUE"""),"-")</f>
        <v>-</v>
      </c>
      <c r="M631" s="19">
        <f>IFERROR(__xludf.DUMMYFUNCTION("""COMPUTED_VALUE"""),0.03646)</f>
        <v>0.03646</v>
      </c>
    </row>
    <row r="632">
      <c r="A632" s="12" t="s">
        <v>7622</v>
      </c>
      <c r="G632" s="19">
        <f>IFERROR(__xludf.DUMMYFUNCTION("SPLIT(A630, "" |"")"),628.0)</f>
        <v>628</v>
      </c>
      <c r="H632" s="19">
        <f>IFERROR(__xludf.DUMMYFUNCTION("""COMPUTED_VALUE"""),0.00219)</f>
        <v>0.00219</v>
      </c>
      <c r="I632" s="19" t="str">
        <f>IFERROR(__xludf.DUMMYFUNCTION("""COMPUTED_VALUE"""),"-")</f>
        <v>-</v>
      </c>
      <c r="J632" s="19">
        <f>IFERROR(__xludf.DUMMYFUNCTION("""COMPUTED_VALUE"""),0.00229)</f>
        <v>0.00229</v>
      </c>
      <c r="K632" s="19">
        <f>IFERROR(__xludf.DUMMYFUNCTION("""COMPUTED_VALUE"""),0.03713)</f>
        <v>0.03713</v>
      </c>
      <c r="L632" s="19" t="str">
        <f>IFERROR(__xludf.DUMMYFUNCTION("""COMPUTED_VALUE"""),"-")</f>
        <v>-</v>
      </c>
      <c r="M632" s="19">
        <f>IFERROR(__xludf.DUMMYFUNCTION("""COMPUTED_VALUE"""),0.03741)</f>
        <v>0.03741</v>
      </c>
    </row>
    <row r="633">
      <c r="A633" s="12" t="s">
        <v>7623</v>
      </c>
      <c r="G633" s="19">
        <f>IFERROR(__xludf.DUMMYFUNCTION("SPLIT(A631, "" |"")"),629.0)</f>
        <v>629</v>
      </c>
      <c r="H633" s="19">
        <f>IFERROR(__xludf.DUMMYFUNCTION("""COMPUTED_VALUE"""),0.0023)</f>
        <v>0.0023</v>
      </c>
      <c r="I633" s="19" t="str">
        <f>IFERROR(__xludf.DUMMYFUNCTION("""COMPUTED_VALUE"""),"-")</f>
        <v>-</v>
      </c>
      <c r="J633" s="19">
        <f>IFERROR(__xludf.DUMMYFUNCTION("""COMPUTED_VALUE"""),0.00215)</f>
        <v>0.00215</v>
      </c>
      <c r="K633" s="19">
        <f>IFERROR(__xludf.DUMMYFUNCTION("""COMPUTED_VALUE"""),0.03823)</f>
        <v>0.03823</v>
      </c>
      <c r="L633" s="19" t="str">
        <f>IFERROR(__xludf.DUMMYFUNCTION("""COMPUTED_VALUE"""),"-")</f>
        <v>-</v>
      </c>
      <c r="M633" s="19">
        <f>IFERROR(__xludf.DUMMYFUNCTION("""COMPUTED_VALUE"""),0.03636)</f>
        <v>0.03636</v>
      </c>
    </row>
    <row r="634">
      <c r="A634" s="12" t="s">
        <v>7624</v>
      </c>
      <c r="G634" s="19">
        <f>IFERROR(__xludf.DUMMYFUNCTION("SPLIT(A632, "" |"")"),630.0)</f>
        <v>630</v>
      </c>
      <c r="H634" s="19">
        <f>IFERROR(__xludf.DUMMYFUNCTION("""COMPUTED_VALUE"""),0.00218)</f>
        <v>0.00218</v>
      </c>
      <c r="I634" s="19" t="str">
        <f>IFERROR(__xludf.DUMMYFUNCTION("""COMPUTED_VALUE"""),"-")</f>
        <v>-</v>
      </c>
      <c r="J634" s="19">
        <f>IFERROR(__xludf.DUMMYFUNCTION("""COMPUTED_VALUE"""),0.00193)</f>
        <v>0.00193</v>
      </c>
      <c r="K634" s="19">
        <f>IFERROR(__xludf.DUMMYFUNCTION("""COMPUTED_VALUE"""),0.03749)</f>
        <v>0.03749</v>
      </c>
      <c r="L634" s="19" t="str">
        <f>IFERROR(__xludf.DUMMYFUNCTION("""COMPUTED_VALUE"""),"-")</f>
        <v>-</v>
      </c>
      <c r="M634" s="19">
        <f>IFERROR(__xludf.DUMMYFUNCTION("""COMPUTED_VALUE"""),0.03827)</f>
        <v>0.03827</v>
      </c>
    </row>
    <row r="635">
      <c r="A635" s="12" t="s">
        <v>7625</v>
      </c>
      <c r="G635" s="19">
        <f>IFERROR(__xludf.DUMMYFUNCTION("SPLIT(A633, "" |"")"),631.0)</f>
        <v>631</v>
      </c>
      <c r="H635" s="19">
        <f>IFERROR(__xludf.DUMMYFUNCTION("""COMPUTED_VALUE"""),0.00217)</f>
        <v>0.00217</v>
      </c>
      <c r="I635" s="19" t="str">
        <f>IFERROR(__xludf.DUMMYFUNCTION("""COMPUTED_VALUE"""),"-")</f>
        <v>-</v>
      </c>
      <c r="J635" s="19">
        <f>IFERROR(__xludf.DUMMYFUNCTION("""COMPUTED_VALUE"""),0.0022)</f>
        <v>0.0022</v>
      </c>
      <c r="K635" s="19">
        <f>IFERROR(__xludf.DUMMYFUNCTION("""COMPUTED_VALUE"""),0.0397)</f>
        <v>0.0397</v>
      </c>
      <c r="L635" s="19" t="str">
        <f>IFERROR(__xludf.DUMMYFUNCTION("""COMPUTED_VALUE"""),"-")</f>
        <v>-</v>
      </c>
      <c r="M635" s="19">
        <f>IFERROR(__xludf.DUMMYFUNCTION("""COMPUTED_VALUE"""),0.03914)</f>
        <v>0.03914</v>
      </c>
    </row>
    <row r="636">
      <c r="A636" s="12" t="s">
        <v>7626</v>
      </c>
      <c r="G636" s="19">
        <f>IFERROR(__xludf.DUMMYFUNCTION("SPLIT(A634, "" |"")"),632.0)</f>
        <v>632</v>
      </c>
      <c r="H636" s="19">
        <f>IFERROR(__xludf.DUMMYFUNCTION("""COMPUTED_VALUE"""),0.00215)</f>
        <v>0.00215</v>
      </c>
      <c r="I636" s="19" t="str">
        <f>IFERROR(__xludf.DUMMYFUNCTION("""COMPUTED_VALUE"""),"-")</f>
        <v>-</v>
      </c>
      <c r="J636" s="19">
        <f>IFERROR(__xludf.DUMMYFUNCTION("""COMPUTED_VALUE"""),0.002)</f>
        <v>0.002</v>
      </c>
      <c r="K636" s="19">
        <f>IFERROR(__xludf.DUMMYFUNCTION("""COMPUTED_VALUE"""),0.04017)</f>
        <v>0.04017</v>
      </c>
      <c r="L636" s="19" t="str">
        <f>IFERROR(__xludf.DUMMYFUNCTION("""COMPUTED_VALUE"""),"-")</f>
        <v>-</v>
      </c>
      <c r="M636" s="19">
        <f>IFERROR(__xludf.DUMMYFUNCTION("""COMPUTED_VALUE"""),0.04051)</f>
        <v>0.04051</v>
      </c>
    </row>
    <row r="637">
      <c r="A637" s="12" t="s">
        <v>7627</v>
      </c>
      <c r="G637" s="19">
        <f>IFERROR(__xludf.DUMMYFUNCTION("SPLIT(A635, "" |"")"),633.0)</f>
        <v>633</v>
      </c>
      <c r="H637" s="19">
        <f>IFERROR(__xludf.DUMMYFUNCTION("""COMPUTED_VALUE"""),0.0023)</f>
        <v>0.0023</v>
      </c>
      <c r="I637" s="19" t="str">
        <f>IFERROR(__xludf.DUMMYFUNCTION("""COMPUTED_VALUE"""),"-")</f>
        <v>-</v>
      </c>
      <c r="J637" s="19">
        <f>IFERROR(__xludf.DUMMYFUNCTION("""COMPUTED_VALUE"""),0.00209)</f>
        <v>0.00209</v>
      </c>
      <c r="K637" s="19">
        <f>IFERROR(__xludf.DUMMYFUNCTION("""COMPUTED_VALUE"""),0.03797)</f>
        <v>0.03797</v>
      </c>
      <c r="L637" s="19" t="str">
        <f>IFERROR(__xludf.DUMMYFUNCTION("""COMPUTED_VALUE"""),"-")</f>
        <v>-</v>
      </c>
      <c r="M637" s="19">
        <f>IFERROR(__xludf.DUMMYFUNCTION("""COMPUTED_VALUE"""),0.03952)</f>
        <v>0.03952</v>
      </c>
    </row>
    <row r="638">
      <c r="A638" s="12" t="s">
        <v>7628</v>
      </c>
      <c r="G638" s="19">
        <f>IFERROR(__xludf.DUMMYFUNCTION("SPLIT(A636, "" |"")"),634.0)</f>
        <v>634</v>
      </c>
      <c r="H638" s="19">
        <f>IFERROR(__xludf.DUMMYFUNCTION("""COMPUTED_VALUE"""),0.00233)</f>
        <v>0.00233</v>
      </c>
      <c r="I638" s="19" t="str">
        <f>IFERROR(__xludf.DUMMYFUNCTION("""COMPUTED_VALUE"""),"-")</f>
        <v>-</v>
      </c>
      <c r="J638" s="19">
        <f>IFERROR(__xludf.DUMMYFUNCTION("""COMPUTED_VALUE"""),0.00256)</f>
        <v>0.00256</v>
      </c>
      <c r="K638" s="19">
        <f>IFERROR(__xludf.DUMMYFUNCTION("""COMPUTED_VALUE"""),0.03598)</f>
        <v>0.03598</v>
      </c>
      <c r="L638" s="19" t="str">
        <f>IFERROR(__xludf.DUMMYFUNCTION("""COMPUTED_VALUE"""),"-")</f>
        <v>-</v>
      </c>
      <c r="M638" s="19">
        <f>IFERROR(__xludf.DUMMYFUNCTION("""COMPUTED_VALUE"""),0.03706)</f>
        <v>0.03706</v>
      </c>
    </row>
    <row r="639">
      <c r="A639" s="12" t="s">
        <v>7629</v>
      </c>
      <c r="G639" s="19">
        <f>IFERROR(__xludf.DUMMYFUNCTION("SPLIT(A637, "" |"")"),635.0)</f>
        <v>635</v>
      </c>
      <c r="H639" s="19">
        <f>IFERROR(__xludf.DUMMYFUNCTION("""COMPUTED_VALUE"""),0.00249)</f>
        <v>0.00249</v>
      </c>
      <c r="I639" s="19" t="str">
        <f>IFERROR(__xludf.DUMMYFUNCTION("""COMPUTED_VALUE"""),"-")</f>
        <v>-</v>
      </c>
      <c r="J639" s="19">
        <f>IFERROR(__xludf.DUMMYFUNCTION("""COMPUTED_VALUE"""),0.00218)</f>
        <v>0.00218</v>
      </c>
      <c r="K639" s="19">
        <f>IFERROR(__xludf.DUMMYFUNCTION("""COMPUTED_VALUE"""),0.03671)</f>
        <v>0.03671</v>
      </c>
      <c r="L639" s="19" t="str">
        <f>IFERROR(__xludf.DUMMYFUNCTION("""COMPUTED_VALUE"""),"-")</f>
        <v>-</v>
      </c>
      <c r="M639" s="19">
        <f>IFERROR(__xludf.DUMMYFUNCTION("""COMPUTED_VALUE"""),0.03803)</f>
        <v>0.03803</v>
      </c>
    </row>
    <row r="640">
      <c r="A640" s="12" t="s">
        <v>7630</v>
      </c>
      <c r="G640" s="19">
        <f>IFERROR(__xludf.DUMMYFUNCTION("SPLIT(A638, "" |"")"),636.0)</f>
        <v>636</v>
      </c>
      <c r="H640" s="19">
        <f>IFERROR(__xludf.DUMMYFUNCTION("""COMPUTED_VALUE"""),0.00215)</f>
        <v>0.00215</v>
      </c>
      <c r="I640" s="19" t="str">
        <f>IFERROR(__xludf.DUMMYFUNCTION("""COMPUTED_VALUE"""),"-")</f>
        <v>-</v>
      </c>
      <c r="J640" s="19">
        <f>IFERROR(__xludf.DUMMYFUNCTION("""COMPUTED_VALUE"""),0.00192)</f>
        <v>0.00192</v>
      </c>
      <c r="K640" s="19">
        <f>IFERROR(__xludf.DUMMYFUNCTION("""COMPUTED_VALUE"""),0.0375)</f>
        <v>0.0375</v>
      </c>
      <c r="L640" s="19" t="str">
        <f>IFERROR(__xludf.DUMMYFUNCTION("""COMPUTED_VALUE"""),"-")</f>
        <v>-</v>
      </c>
      <c r="M640" s="19">
        <f>IFERROR(__xludf.DUMMYFUNCTION("""COMPUTED_VALUE"""),0.03693)</f>
        <v>0.03693</v>
      </c>
    </row>
    <row r="641">
      <c r="A641" s="12" t="s">
        <v>7631</v>
      </c>
      <c r="G641" s="19">
        <f>IFERROR(__xludf.DUMMYFUNCTION("SPLIT(A639, "" |"")"),637.0)</f>
        <v>637</v>
      </c>
      <c r="H641" s="19">
        <f>IFERROR(__xludf.DUMMYFUNCTION("""COMPUTED_VALUE"""),0.00221)</f>
        <v>0.00221</v>
      </c>
      <c r="I641" s="19" t="str">
        <f>IFERROR(__xludf.DUMMYFUNCTION("""COMPUTED_VALUE"""),"-")</f>
        <v>-</v>
      </c>
      <c r="J641" s="19">
        <f>IFERROR(__xludf.DUMMYFUNCTION("""COMPUTED_VALUE"""),0.00214)</f>
        <v>0.00214</v>
      </c>
      <c r="K641" s="19">
        <f>IFERROR(__xludf.DUMMYFUNCTION("""COMPUTED_VALUE"""),0.04489)</f>
        <v>0.04489</v>
      </c>
      <c r="L641" s="19" t="str">
        <f>IFERROR(__xludf.DUMMYFUNCTION("""COMPUTED_VALUE"""),"-")</f>
        <v>-</v>
      </c>
      <c r="M641" s="19">
        <f>IFERROR(__xludf.DUMMYFUNCTION("""COMPUTED_VALUE"""),0.07173)</f>
        <v>0.07173</v>
      </c>
    </row>
    <row r="642">
      <c r="A642" s="12" t="s">
        <v>7632</v>
      </c>
      <c r="G642" s="19">
        <f>IFERROR(__xludf.DUMMYFUNCTION("SPLIT(A640, "" |"")"),638.0)</f>
        <v>638</v>
      </c>
      <c r="H642" s="19">
        <f>IFERROR(__xludf.DUMMYFUNCTION("""COMPUTED_VALUE"""),0.00229)</f>
        <v>0.00229</v>
      </c>
      <c r="I642" s="19" t="str">
        <f>IFERROR(__xludf.DUMMYFUNCTION("""COMPUTED_VALUE"""),"-")</f>
        <v>-</v>
      </c>
      <c r="J642" s="19">
        <f>IFERROR(__xludf.DUMMYFUNCTION("""COMPUTED_VALUE"""),0.00216)</f>
        <v>0.00216</v>
      </c>
      <c r="K642" s="19">
        <f>IFERROR(__xludf.DUMMYFUNCTION("""COMPUTED_VALUE"""),0.03863)</f>
        <v>0.03863</v>
      </c>
      <c r="L642" s="19" t="str">
        <f>IFERROR(__xludf.DUMMYFUNCTION("""COMPUTED_VALUE"""),"-")</f>
        <v>-</v>
      </c>
      <c r="M642" s="19">
        <f>IFERROR(__xludf.DUMMYFUNCTION("""COMPUTED_VALUE"""),0.03994)</f>
        <v>0.03994</v>
      </c>
    </row>
    <row r="643">
      <c r="A643" s="12" t="s">
        <v>7633</v>
      </c>
      <c r="G643" s="19">
        <f>IFERROR(__xludf.DUMMYFUNCTION("SPLIT(A641, "" |"")"),639.0)</f>
        <v>639</v>
      </c>
      <c r="H643" s="19">
        <f>IFERROR(__xludf.DUMMYFUNCTION("""COMPUTED_VALUE"""),0.00215)</f>
        <v>0.00215</v>
      </c>
      <c r="I643" s="19" t="str">
        <f>IFERROR(__xludf.DUMMYFUNCTION("""COMPUTED_VALUE"""),"-")</f>
        <v>-</v>
      </c>
      <c r="J643" s="19">
        <f>IFERROR(__xludf.DUMMYFUNCTION("""COMPUTED_VALUE"""),0.00202)</f>
        <v>0.00202</v>
      </c>
      <c r="K643" s="19">
        <f>IFERROR(__xludf.DUMMYFUNCTION("""COMPUTED_VALUE"""),0.03964)</f>
        <v>0.03964</v>
      </c>
      <c r="L643" s="19" t="str">
        <f>IFERROR(__xludf.DUMMYFUNCTION("""COMPUTED_VALUE"""),"-")</f>
        <v>-</v>
      </c>
      <c r="M643" s="19">
        <f>IFERROR(__xludf.DUMMYFUNCTION("""COMPUTED_VALUE"""),0.03984)</f>
        <v>0.03984</v>
      </c>
    </row>
    <row r="644">
      <c r="A644" s="12" t="s">
        <v>7634</v>
      </c>
      <c r="G644" s="19">
        <f>IFERROR(__xludf.DUMMYFUNCTION("SPLIT(A642, "" |"")"),640.0)</f>
        <v>640</v>
      </c>
      <c r="H644" s="19">
        <f>IFERROR(__xludf.DUMMYFUNCTION("""COMPUTED_VALUE"""),0.00202)</f>
        <v>0.00202</v>
      </c>
      <c r="I644" s="19" t="str">
        <f>IFERROR(__xludf.DUMMYFUNCTION("""COMPUTED_VALUE"""),"-")</f>
        <v>-</v>
      </c>
      <c r="J644" s="19">
        <f>IFERROR(__xludf.DUMMYFUNCTION("""COMPUTED_VALUE"""),0.00206)</f>
        <v>0.00206</v>
      </c>
      <c r="K644" s="19">
        <f>IFERROR(__xludf.DUMMYFUNCTION("""COMPUTED_VALUE"""),0.0376)</f>
        <v>0.0376</v>
      </c>
      <c r="L644" s="19" t="str">
        <f>IFERROR(__xludf.DUMMYFUNCTION("""COMPUTED_VALUE"""),"-")</f>
        <v>-</v>
      </c>
      <c r="M644" s="19">
        <f>IFERROR(__xludf.DUMMYFUNCTION("""COMPUTED_VALUE"""),0.04015)</f>
        <v>0.04015</v>
      </c>
    </row>
    <row r="645">
      <c r="A645" s="12" t="s">
        <v>7635</v>
      </c>
      <c r="G645" s="19">
        <f>IFERROR(__xludf.DUMMYFUNCTION("SPLIT(A643, "" |"")"),641.0)</f>
        <v>641</v>
      </c>
      <c r="H645" s="19">
        <f>IFERROR(__xludf.DUMMYFUNCTION("""COMPUTED_VALUE"""),0.00232)</f>
        <v>0.00232</v>
      </c>
      <c r="I645" s="19" t="str">
        <f>IFERROR(__xludf.DUMMYFUNCTION("""COMPUTED_VALUE"""),"-")</f>
        <v>-</v>
      </c>
      <c r="J645" s="19">
        <f>IFERROR(__xludf.DUMMYFUNCTION("""COMPUTED_VALUE"""),0.00213)</f>
        <v>0.00213</v>
      </c>
      <c r="K645" s="19">
        <f>IFERROR(__xludf.DUMMYFUNCTION("""COMPUTED_VALUE"""),0.03776)</f>
        <v>0.03776</v>
      </c>
      <c r="L645" s="19" t="str">
        <f>IFERROR(__xludf.DUMMYFUNCTION("""COMPUTED_VALUE"""),"-")</f>
        <v>-</v>
      </c>
      <c r="M645" s="19">
        <f>IFERROR(__xludf.DUMMYFUNCTION("""COMPUTED_VALUE"""),0.03985)</f>
        <v>0.03985</v>
      </c>
    </row>
    <row r="646">
      <c r="A646" s="12" t="s">
        <v>7636</v>
      </c>
      <c r="G646" s="19">
        <f>IFERROR(__xludf.DUMMYFUNCTION("SPLIT(A644, "" |"")"),642.0)</f>
        <v>642</v>
      </c>
      <c r="H646" s="19">
        <f>IFERROR(__xludf.DUMMYFUNCTION("""COMPUTED_VALUE"""),0.00228)</f>
        <v>0.00228</v>
      </c>
      <c r="I646" s="19" t="str">
        <f>IFERROR(__xludf.DUMMYFUNCTION("""COMPUTED_VALUE"""),"-")</f>
        <v>-</v>
      </c>
      <c r="J646" s="19">
        <f>IFERROR(__xludf.DUMMYFUNCTION("""COMPUTED_VALUE"""),0.00222)</f>
        <v>0.00222</v>
      </c>
      <c r="K646" s="19">
        <f>IFERROR(__xludf.DUMMYFUNCTION("""COMPUTED_VALUE"""),0.03917)</f>
        <v>0.03917</v>
      </c>
      <c r="L646" s="19" t="str">
        <f>IFERROR(__xludf.DUMMYFUNCTION("""COMPUTED_VALUE"""),"-")</f>
        <v>-</v>
      </c>
      <c r="M646" s="19">
        <f>IFERROR(__xludf.DUMMYFUNCTION("""COMPUTED_VALUE"""),0.03999)</f>
        <v>0.03999</v>
      </c>
    </row>
    <row r="647">
      <c r="A647" s="12" t="s">
        <v>7637</v>
      </c>
      <c r="G647" s="19">
        <f>IFERROR(__xludf.DUMMYFUNCTION("SPLIT(A645, "" |"")"),643.0)</f>
        <v>643</v>
      </c>
      <c r="H647" s="19">
        <f>IFERROR(__xludf.DUMMYFUNCTION("""COMPUTED_VALUE"""),0.00209)</f>
        <v>0.00209</v>
      </c>
      <c r="I647" s="19" t="str">
        <f>IFERROR(__xludf.DUMMYFUNCTION("""COMPUTED_VALUE"""),"-")</f>
        <v>-</v>
      </c>
      <c r="J647" s="19">
        <f>IFERROR(__xludf.DUMMYFUNCTION("""COMPUTED_VALUE"""),0.00193)</f>
        <v>0.00193</v>
      </c>
      <c r="K647" s="19">
        <f>IFERROR(__xludf.DUMMYFUNCTION("""COMPUTED_VALUE"""),0.03968)</f>
        <v>0.03968</v>
      </c>
      <c r="L647" s="19" t="str">
        <f>IFERROR(__xludf.DUMMYFUNCTION("""COMPUTED_VALUE"""),"-")</f>
        <v>-</v>
      </c>
      <c r="M647" s="19">
        <f>IFERROR(__xludf.DUMMYFUNCTION("""COMPUTED_VALUE"""),0.04032)</f>
        <v>0.04032</v>
      </c>
    </row>
    <row r="648">
      <c r="A648" s="12" t="s">
        <v>7638</v>
      </c>
      <c r="G648" s="19">
        <f>IFERROR(__xludf.DUMMYFUNCTION("SPLIT(A646, "" |"")"),644.0)</f>
        <v>644</v>
      </c>
      <c r="H648" s="19">
        <f>IFERROR(__xludf.DUMMYFUNCTION("""COMPUTED_VALUE"""),0.00211)</f>
        <v>0.00211</v>
      </c>
      <c r="I648" s="19" t="str">
        <f>IFERROR(__xludf.DUMMYFUNCTION("""COMPUTED_VALUE"""),"-")</f>
        <v>-</v>
      </c>
      <c r="J648" s="19">
        <f>IFERROR(__xludf.DUMMYFUNCTION("""COMPUTED_VALUE"""),0.00195)</f>
        <v>0.00195</v>
      </c>
      <c r="K648" s="19">
        <f>IFERROR(__xludf.DUMMYFUNCTION("""COMPUTED_VALUE"""),0.03967)</f>
        <v>0.03967</v>
      </c>
      <c r="L648" s="19" t="str">
        <f>IFERROR(__xludf.DUMMYFUNCTION("""COMPUTED_VALUE"""),"-")</f>
        <v>-</v>
      </c>
      <c r="M648" s="19">
        <f>IFERROR(__xludf.DUMMYFUNCTION("""COMPUTED_VALUE"""),0.03673)</f>
        <v>0.03673</v>
      </c>
    </row>
    <row r="649">
      <c r="A649" s="12" t="s">
        <v>7639</v>
      </c>
      <c r="G649" s="19">
        <f>IFERROR(__xludf.DUMMYFUNCTION("SPLIT(A647, "" |"")"),645.0)</f>
        <v>645</v>
      </c>
      <c r="H649" s="19">
        <f>IFERROR(__xludf.DUMMYFUNCTION("""COMPUTED_VALUE"""),0.00222)</f>
        <v>0.00222</v>
      </c>
      <c r="I649" s="19" t="str">
        <f>IFERROR(__xludf.DUMMYFUNCTION("""COMPUTED_VALUE"""),"-")</f>
        <v>-</v>
      </c>
      <c r="J649" s="19">
        <f>IFERROR(__xludf.DUMMYFUNCTION("""COMPUTED_VALUE"""),0.00194)</f>
        <v>0.00194</v>
      </c>
      <c r="K649" s="19">
        <f>IFERROR(__xludf.DUMMYFUNCTION("""COMPUTED_VALUE"""),0.04086)</f>
        <v>0.04086</v>
      </c>
      <c r="L649" s="19" t="str">
        <f>IFERROR(__xludf.DUMMYFUNCTION("""COMPUTED_VALUE"""),"-")</f>
        <v>-</v>
      </c>
      <c r="M649" s="19">
        <f>IFERROR(__xludf.DUMMYFUNCTION("""COMPUTED_VALUE"""),0.04051)</f>
        <v>0.04051</v>
      </c>
    </row>
    <row r="650">
      <c r="A650" s="12" t="s">
        <v>7640</v>
      </c>
      <c r="G650" s="19">
        <f>IFERROR(__xludf.DUMMYFUNCTION("SPLIT(A648, "" |"")"),646.0)</f>
        <v>646</v>
      </c>
      <c r="H650" s="19">
        <f>IFERROR(__xludf.DUMMYFUNCTION("""COMPUTED_VALUE"""),0.0023)</f>
        <v>0.0023</v>
      </c>
      <c r="I650" s="19" t="str">
        <f>IFERROR(__xludf.DUMMYFUNCTION("""COMPUTED_VALUE"""),"-")</f>
        <v>-</v>
      </c>
      <c r="J650" s="19">
        <f>IFERROR(__xludf.DUMMYFUNCTION("""COMPUTED_VALUE"""),0.00194)</f>
        <v>0.00194</v>
      </c>
      <c r="K650" s="19">
        <f>IFERROR(__xludf.DUMMYFUNCTION("""COMPUTED_VALUE"""),0.04077)</f>
        <v>0.04077</v>
      </c>
      <c r="L650" s="19" t="str">
        <f>IFERROR(__xludf.DUMMYFUNCTION("""COMPUTED_VALUE"""),"-")</f>
        <v>-</v>
      </c>
      <c r="M650" s="19">
        <f>IFERROR(__xludf.DUMMYFUNCTION("""COMPUTED_VALUE"""),0.03995)</f>
        <v>0.03995</v>
      </c>
    </row>
    <row r="651">
      <c r="A651" s="12" t="s">
        <v>7641</v>
      </c>
      <c r="G651" s="19">
        <f>IFERROR(__xludf.DUMMYFUNCTION("SPLIT(A649, "" |"")"),647.0)</f>
        <v>647</v>
      </c>
      <c r="H651" s="19">
        <f>IFERROR(__xludf.DUMMYFUNCTION("""COMPUTED_VALUE"""),0.00307)</f>
        <v>0.00307</v>
      </c>
      <c r="I651" s="19" t="str">
        <f>IFERROR(__xludf.DUMMYFUNCTION("""COMPUTED_VALUE"""),"-")</f>
        <v>-</v>
      </c>
      <c r="J651" s="19">
        <f>IFERROR(__xludf.DUMMYFUNCTION("""COMPUTED_VALUE"""),0.00189)</f>
        <v>0.00189</v>
      </c>
      <c r="K651" s="19">
        <f>IFERROR(__xludf.DUMMYFUNCTION("""COMPUTED_VALUE"""),0.03968)</f>
        <v>0.03968</v>
      </c>
      <c r="L651" s="19" t="str">
        <f>IFERROR(__xludf.DUMMYFUNCTION("""COMPUTED_VALUE"""),"-")</f>
        <v>-</v>
      </c>
      <c r="M651" s="19">
        <f>IFERROR(__xludf.DUMMYFUNCTION("""COMPUTED_VALUE"""),0.03988)</f>
        <v>0.03988</v>
      </c>
    </row>
    <row r="652">
      <c r="A652" s="12" t="s">
        <v>7642</v>
      </c>
      <c r="G652" s="19">
        <f>IFERROR(__xludf.DUMMYFUNCTION("SPLIT(A650, "" |"")"),648.0)</f>
        <v>648</v>
      </c>
      <c r="H652" s="19">
        <f>IFERROR(__xludf.DUMMYFUNCTION("""COMPUTED_VALUE"""),0.00219)</f>
        <v>0.00219</v>
      </c>
      <c r="I652" s="19" t="str">
        <f>IFERROR(__xludf.DUMMYFUNCTION("""COMPUTED_VALUE"""),"-")</f>
        <v>-</v>
      </c>
      <c r="J652" s="19">
        <f>IFERROR(__xludf.DUMMYFUNCTION("""COMPUTED_VALUE"""),0.00191)</f>
        <v>0.00191</v>
      </c>
      <c r="K652" s="19">
        <f>IFERROR(__xludf.DUMMYFUNCTION("""COMPUTED_VALUE"""),0.03981)</f>
        <v>0.03981</v>
      </c>
      <c r="L652" s="19" t="str">
        <f>IFERROR(__xludf.DUMMYFUNCTION("""COMPUTED_VALUE"""),"-")</f>
        <v>-</v>
      </c>
      <c r="M652" s="19">
        <f>IFERROR(__xludf.DUMMYFUNCTION("""COMPUTED_VALUE"""),0.03953)</f>
        <v>0.03953</v>
      </c>
    </row>
    <row r="653">
      <c r="A653" s="12" t="s">
        <v>7643</v>
      </c>
      <c r="G653" s="19">
        <f>IFERROR(__xludf.DUMMYFUNCTION("SPLIT(A651, "" |"")"),649.0)</f>
        <v>649</v>
      </c>
      <c r="H653" s="19">
        <f>IFERROR(__xludf.DUMMYFUNCTION("""COMPUTED_VALUE"""),0.0022)</f>
        <v>0.0022</v>
      </c>
      <c r="I653" s="19" t="str">
        <f>IFERROR(__xludf.DUMMYFUNCTION("""COMPUTED_VALUE"""),"-")</f>
        <v>-</v>
      </c>
      <c r="J653" s="19">
        <f>IFERROR(__xludf.DUMMYFUNCTION("""COMPUTED_VALUE"""),0.00205)</f>
        <v>0.00205</v>
      </c>
      <c r="K653" s="19">
        <f>IFERROR(__xludf.DUMMYFUNCTION("""COMPUTED_VALUE"""),0.04035)</f>
        <v>0.04035</v>
      </c>
      <c r="L653" s="19" t="str">
        <f>IFERROR(__xludf.DUMMYFUNCTION("""COMPUTED_VALUE"""),"-")</f>
        <v>-</v>
      </c>
      <c r="M653" s="19">
        <f>IFERROR(__xludf.DUMMYFUNCTION("""COMPUTED_VALUE"""),0.04014)</f>
        <v>0.04014</v>
      </c>
    </row>
    <row r="654">
      <c r="A654" s="12" t="s">
        <v>7644</v>
      </c>
      <c r="G654" s="19">
        <f>IFERROR(__xludf.DUMMYFUNCTION("SPLIT(A652, "" |"")"),650.0)</f>
        <v>650</v>
      </c>
      <c r="H654" s="19">
        <f>IFERROR(__xludf.DUMMYFUNCTION("""COMPUTED_VALUE"""),0.00229)</f>
        <v>0.00229</v>
      </c>
      <c r="I654" s="19" t="str">
        <f>IFERROR(__xludf.DUMMYFUNCTION("""COMPUTED_VALUE"""),"-")</f>
        <v>-</v>
      </c>
      <c r="J654" s="19">
        <f>IFERROR(__xludf.DUMMYFUNCTION("""COMPUTED_VALUE"""),0.00202)</f>
        <v>0.00202</v>
      </c>
      <c r="K654" s="19">
        <f>IFERROR(__xludf.DUMMYFUNCTION("""COMPUTED_VALUE"""),0.03927)</f>
        <v>0.03927</v>
      </c>
      <c r="L654" s="19" t="str">
        <f>IFERROR(__xludf.DUMMYFUNCTION("""COMPUTED_VALUE"""),"-")</f>
        <v>-</v>
      </c>
      <c r="M654" s="19">
        <f>IFERROR(__xludf.DUMMYFUNCTION("""COMPUTED_VALUE"""),0.03994)</f>
        <v>0.03994</v>
      </c>
    </row>
    <row r="655">
      <c r="A655" s="12" t="s">
        <v>7645</v>
      </c>
      <c r="G655" s="19">
        <f>IFERROR(__xludf.DUMMYFUNCTION("SPLIT(A653, "" |"")"),651.0)</f>
        <v>651</v>
      </c>
      <c r="H655" s="19">
        <f>IFERROR(__xludf.DUMMYFUNCTION("""COMPUTED_VALUE"""),0.00225)</f>
        <v>0.00225</v>
      </c>
      <c r="I655" s="19" t="str">
        <f>IFERROR(__xludf.DUMMYFUNCTION("""COMPUTED_VALUE"""),"-")</f>
        <v>-</v>
      </c>
      <c r="J655" s="19">
        <f>IFERROR(__xludf.DUMMYFUNCTION("""COMPUTED_VALUE"""),0.00207)</f>
        <v>0.00207</v>
      </c>
      <c r="K655" s="19">
        <f>IFERROR(__xludf.DUMMYFUNCTION("""COMPUTED_VALUE"""),0.03992)</f>
        <v>0.03992</v>
      </c>
      <c r="L655" s="19" t="str">
        <f>IFERROR(__xludf.DUMMYFUNCTION("""COMPUTED_VALUE"""),"-")</f>
        <v>-</v>
      </c>
      <c r="M655" s="19">
        <f>IFERROR(__xludf.DUMMYFUNCTION("""COMPUTED_VALUE"""),0.03982)</f>
        <v>0.03982</v>
      </c>
    </row>
    <row r="656">
      <c r="A656" s="12" t="s">
        <v>7646</v>
      </c>
      <c r="G656" s="19">
        <f>IFERROR(__xludf.DUMMYFUNCTION("SPLIT(A654, "" |"")"),652.0)</f>
        <v>652</v>
      </c>
      <c r="H656" s="19">
        <f>IFERROR(__xludf.DUMMYFUNCTION("""COMPUTED_VALUE"""),0.00241)</f>
        <v>0.00241</v>
      </c>
      <c r="I656" s="19" t="str">
        <f>IFERROR(__xludf.DUMMYFUNCTION("""COMPUTED_VALUE"""),"-")</f>
        <v>-</v>
      </c>
      <c r="J656" s="19">
        <f>IFERROR(__xludf.DUMMYFUNCTION("""COMPUTED_VALUE"""),0.00206)</f>
        <v>0.00206</v>
      </c>
      <c r="K656" s="19">
        <f>IFERROR(__xludf.DUMMYFUNCTION("""COMPUTED_VALUE"""),0.04026)</f>
        <v>0.04026</v>
      </c>
      <c r="L656" s="19" t="str">
        <f>IFERROR(__xludf.DUMMYFUNCTION("""COMPUTED_VALUE"""),"-")</f>
        <v>-</v>
      </c>
      <c r="M656" s="19">
        <f>IFERROR(__xludf.DUMMYFUNCTION("""COMPUTED_VALUE"""),0.04045)</f>
        <v>0.04045</v>
      </c>
    </row>
    <row r="657">
      <c r="A657" s="12" t="s">
        <v>7647</v>
      </c>
      <c r="G657" s="19">
        <f>IFERROR(__xludf.DUMMYFUNCTION("SPLIT(A655, "" |"")"),653.0)</f>
        <v>653</v>
      </c>
      <c r="H657" s="19">
        <f>IFERROR(__xludf.DUMMYFUNCTION("""COMPUTED_VALUE"""),0.00235)</f>
        <v>0.00235</v>
      </c>
      <c r="I657" s="19" t="str">
        <f>IFERROR(__xludf.DUMMYFUNCTION("""COMPUTED_VALUE"""),"-")</f>
        <v>-</v>
      </c>
      <c r="J657" s="19">
        <f>IFERROR(__xludf.DUMMYFUNCTION("""COMPUTED_VALUE"""),0.00227)</f>
        <v>0.00227</v>
      </c>
      <c r="K657" s="19">
        <f>IFERROR(__xludf.DUMMYFUNCTION("""COMPUTED_VALUE"""),0.03902)</f>
        <v>0.03902</v>
      </c>
      <c r="L657" s="19" t="str">
        <f>IFERROR(__xludf.DUMMYFUNCTION("""COMPUTED_VALUE"""),"-")</f>
        <v>-</v>
      </c>
      <c r="M657" s="19">
        <f>IFERROR(__xludf.DUMMYFUNCTION("""COMPUTED_VALUE"""),0.04053)</f>
        <v>0.04053</v>
      </c>
    </row>
    <row r="658">
      <c r="A658" s="12" t="s">
        <v>7648</v>
      </c>
      <c r="G658" s="19">
        <f>IFERROR(__xludf.DUMMYFUNCTION("SPLIT(A656, "" |"")"),654.0)</f>
        <v>654</v>
      </c>
      <c r="H658" s="19">
        <f>IFERROR(__xludf.DUMMYFUNCTION("""COMPUTED_VALUE"""),0.00235)</f>
        <v>0.00235</v>
      </c>
      <c r="I658" s="19" t="str">
        <f>IFERROR(__xludf.DUMMYFUNCTION("""COMPUTED_VALUE"""),"-")</f>
        <v>-</v>
      </c>
      <c r="J658" s="19">
        <f>IFERROR(__xludf.DUMMYFUNCTION("""COMPUTED_VALUE"""),0.00238)</f>
        <v>0.00238</v>
      </c>
      <c r="K658" s="19">
        <f>IFERROR(__xludf.DUMMYFUNCTION("""COMPUTED_VALUE"""),0.03971)</f>
        <v>0.03971</v>
      </c>
      <c r="L658" s="19" t="str">
        <f>IFERROR(__xludf.DUMMYFUNCTION("""COMPUTED_VALUE"""),"-")</f>
        <v>-</v>
      </c>
      <c r="M658" s="19">
        <f>IFERROR(__xludf.DUMMYFUNCTION("""COMPUTED_VALUE"""),0.03896)</f>
        <v>0.03896</v>
      </c>
    </row>
    <row r="659">
      <c r="A659" s="12" t="s">
        <v>7649</v>
      </c>
      <c r="G659" s="19">
        <f>IFERROR(__xludf.DUMMYFUNCTION("SPLIT(A657, "" |"")"),655.0)</f>
        <v>655</v>
      </c>
      <c r="H659" s="19">
        <f>IFERROR(__xludf.DUMMYFUNCTION("""COMPUTED_VALUE"""),0.00236)</f>
        <v>0.00236</v>
      </c>
      <c r="I659" s="19" t="str">
        <f>IFERROR(__xludf.DUMMYFUNCTION("""COMPUTED_VALUE"""),"-")</f>
        <v>-</v>
      </c>
      <c r="J659" s="19">
        <f>IFERROR(__xludf.DUMMYFUNCTION("""COMPUTED_VALUE"""),0.00209)</f>
        <v>0.00209</v>
      </c>
      <c r="K659" s="19">
        <f>IFERROR(__xludf.DUMMYFUNCTION("""COMPUTED_VALUE"""),0.03704)</f>
        <v>0.03704</v>
      </c>
      <c r="L659" s="19" t="str">
        <f>IFERROR(__xludf.DUMMYFUNCTION("""COMPUTED_VALUE"""),"-")</f>
        <v>-</v>
      </c>
      <c r="M659" s="19">
        <f>IFERROR(__xludf.DUMMYFUNCTION("""COMPUTED_VALUE"""),0.04039)</f>
        <v>0.04039</v>
      </c>
    </row>
    <row r="660">
      <c r="A660" s="12" t="s">
        <v>7650</v>
      </c>
      <c r="G660" s="19">
        <f>IFERROR(__xludf.DUMMYFUNCTION("SPLIT(A658, "" |"")"),656.0)</f>
        <v>656</v>
      </c>
      <c r="H660" s="19">
        <f>IFERROR(__xludf.DUMMYFUNCTION("""COMPUTED_VALUE"""),0.00222)</f>
        <v>0.00222</v>
      </c>
      <c r="I660" s="19" t="str">
        <f>IFERROR(__xludf.DUMMYFUNCTION("""COMPUTED_VALUE"""),"-")</f>
        <v>-</v>
      </c>
      <c r="J660" s="19">
        <f>IFERROR(__xludf.DUMMYFUNCTION("""COMPUTED_VALUE"""),0.00209)</f>
        <v>0.00209</v>
      </c>
      <c r="K660" s="19">
        <f>IFERROR(__xludf.DUMMYFUNCTION("""COMPUTED_VALUE"""),0.03982)</f>
        <v>0.03982</v>
      </c>
      <c r="L660" s="19" t="str">
        <f>IFERROR(__xludf.DUMMYFUNCTION("""COMPUTED_VALUE"""),"-")</f>
        <v>-</v>
      </c>
      <c r="M660" s="19">
        <f>IFERROR(__xludf.DUMMYFUNCTION("""COMPUTED_VALUE"""),0.03785)</f>
        <v>0.03785</v>
      </c>
    </row>
    <row r="661">
      <c r="A661" s="12" t="s">
        <v>7651</v>
      </c>
      <c r="G661" s="19">
        <f>IFERROR(__xludf.DUMMYFUNCTION("SPLIT(A659, "" |"")"),657.0)</f>
        <v>657</v>
      </c>
      <c r="H661" s="19">
        <f>IFERROR(__xludf.DUMMYFUNCTION("""COMPUTED_VALUE"""),0.0021)</f>
        <v>0.0021</v>
      </c>
      <c r="I661" s="19" t="str">
        <f>IFERROR(__xludf.DUMMYFUNCTION("""COMPUTED_VALUE"""),"-")</f>
        <v>-</v>
      </c>
      <c r="J661" s="19">
        <f>IFERROR(__xludf.DUMMYFUNCTION("""COMPUTED_VALUE"""),0.00196)</f>
        <v>0.00196</v>
      </c>
      <c r="K661" s="19">
        <f>IFERROR(__xludf.DUMMYFUNCTION("""COMPUTED_VALUE"""),0.03451)</f>
        <v>0.03451</v>
      </c>
      <c r="L661" s="19" t="str">
        <f>IFERROR(__xludf.DUMMYFUNCTION("""COMPUTED_VALUE"""),"-")</f>
        <v>-</v>
      </c>
      <c r="M661" s="19">
        <f>IFERROR(__xludf.DUMMYFUNCTION("""COMPUTED_VALUE"""),0.04029)</f>
        <v>0.04029</v>
      </c>
    </row>
    <row r="662">
      <c r="A662" s="12" t="s">
        <v>7652</v>
      </c>
      <c r="G662" s="19">
        <f>IFERROR(__xludf.DUMMYFUNCTION("SPLIT(A660, "" |"")"),658.0)</f>
        <v>658</v>
      </c>
      <c r="H662" s="19">
        <f>IFERROR(__xludf.DUMMYFUNCTION("""COMPUTED_VALUE"""),0.00209)</f>
        <v>0.00209</v>
      </c>
      <c r="I662" s="19" t="str">
        <f>IFERROR(__xludf.DUMMYFUNCTION("""COMPUTED_VALUE"""),"-")</f>
        <v>-</v>
      </c>
      <c r="J662" s="19">
        <f>IFERROR(__xludf.DUMMYFUNCTION("""COMPUTED_VALUE"""),0.0019)</f>
        <v>0.0019</v>
      </c>
      <c r="K662" s="19">
        <f>IFERROR(__xludf.DUMMYFUNCTION("""COMPUTED_VALUE"""),0.03975)</f>
        <v>0.03975</v>
      </c>
      <c r="L662" s="19" t="str">
        <f>IFERROR(__xludf.DUMMYFUNCTION("""COMPUTED_VALUE"""),"-")</f>
        <v>-</v>
      </c>
      <c r="M662" s="19">
        <f>IFERROR(__xludf.DUMMYFUNCTION("""COMPUTED_VALUE"""),0.03995)</f>
        <v>0.03995</v>
      </c>
    </row>
    <row r="663">
      <c r="A663" s="12" t="s">
        <v>7653</v>
      </c>
      <c r="G663" s="19">
        <f>IFERROR(__xludf.DUMMYFUNCTION("SPLIT(A661, "" |"")"),659.0)</f>
        <v>659</v>
      </c>
      <c r="H663" s="19">
        <f>IFERROR(__xludf.DUMMYFUNCTION("""COMPUTED_VALUE"""),0.00253)</f>
        <v>0.00253</v>
      </c>
      <c r="I663" s="19" t="str">
        <f>IFERROR(__xludf.DUMMYFUNCTION("""COMPUTED_VALUE"""),"-")</f>
        <v>-</v>
      </c>
      <c r="J663" s="19">
        <f>IFERROR(__xludf.DUMMYFUNCTION("""COMPUTED_VALUE"""),0.00219)</f>
        <v>0.00219</v>
      </c>
      <c r="K663" s="19">
        <f>IFERROR(__xludf.DUMMYFUNCTION("""COMPUTED_VALUE"""),0.03726)</f>
        <v>0.03726</v>
      </c>
      <c r="L663" s="19" t="str">
        <f>IFERROR(__xludf.DUMMYFUNCTION("""COMPUTED_VALUE"""),"-")</f>
        <v>-</v>
      </c>
      <c r="M663" s="19">
        <f>IFERROR(__xludf.DUMMYFUNCTION("""COMPUTED_VALUE"""),0.03826)</f>
        <v>0.03826</v>
      </c>
    </row>
    <row r="664">
      <c r="A664" s="12" t="s">
        <v>7654</v>
      </c>
      <c r="G664" s="19">
        <f>IFERROR(__xludf.DUMMYFUNCTION("SPLIT(A662, "" |"")"),660.0)</f>
        <v>660</v>
      </c>
      <c r="H664" s="19">
        <f>IFERROR(__xludf.DUMMYFUNCTION("""COMPUTED_VALUE"""),0.00221)</f>
        <v>0.00221</v>
      </c>
      <c r="I664" s="19" t="str">
        <f>IFERROR(__xludf.DUMMYFUNCTION("""COMPUTED_VALUE"""),"-")</f>
        <v>-</v>
      </c>
      <c r="J664" s="19">
        <f>IFERROR(__xludf.DUMMYFUNCTION("""COMPUTED_VALUE"""),0.00212)</f>
        <v>0.00212</v>
      </c>
      <c r="K664" s="19">
        <f>IFERROR(__xludf.DUMMYFUNCTION("""COMPUTED_VALUE"""),0.03979)</f>
        <v>0.03979</v>
      </c>
      <c r="L664" s="19" t="str">
        <f>IFERROR(__xludf.DUMMYFUNCTION("""COMPUTED_VALUE"""),"-")</f>
        <v>-</v>
      </c>
      <c r="M664" s="19">
        <f>IFERROR(__xludf.DUMMYFUNCTION("""COMPUTED_VALUE"""),0.03919)</f>
        <v>0.03919</v>
      </c>
    </row>
    <row r="665">
      <c r="A665" s="12" t="s">
        <v>7655</v>
      </c>
      <c r="G665" s="19">
        <f>IFERROR(__xludf.DUMMYFUNCTION("SPLIT(A663, "" |"")"),661.0)</f>
        <v>661</v>
      </c>
      <c r="H665" s="19">
        <f>IFERROR(__xludf.DUMMYFUNCTION("""COMPUTED_VALUE"""),0.00209)</f>
        <v>0.00209</v>
      </c>
      <c r="I665" s="19" t="str">
        <f>IFERROR(__xludf.DUMMYFUNCTION("""COMPUTED_VALUE"""),"-")</f>
        <v>-</v>
      </c>
      <c r="J665" s="19">
        <f>IFERROR(__xludf.DUMMYFUNCTION("""COMPUTED_VALUE"""),0.00192)</f>
        <v>0.00192</v>
      </c>
      <c r="K665" s="19">
        <f>IFERROR(__xludf.DUMMYFUNCTION("""COMPUTED_VALUE"""),0.03956)</f>
        <v>0.03956</v>
      </c>
      <c r="L665" s="19" t="str">
        <f>IFERROR(__xludf.DUMMYFUNCTION("""COMPUTED_VALUE"""),"-")</f>
        <v>-</v>
      </c>
      <c r="M665" s="19">
        <f>IFERROR(__xludf.DUMMYFUNCTION("""COMPUTED_VALUE"""),0.03911)</f>
        <v>0.03911</v>
      </c>
    </row>
    <row r="666">
      <c r="A666" s="12" t="s">
        <v>7656</v>
      </c>
      <c r="G666" s="19">
        <f>IFERROR(__xludf.DUMMYFUNCTION("SPLIT(A664, "" |"")"),662.0)</f>
        <v>662</v>
      </c>
      <c r="H666" s="19">
        <f>IFERROR(__xludf.DUMMYFUNCTION("""COMPUTED_VALUE"""),0.00216)</f>
        <v>0.00216</v>
      </c>
      <c r="I666" s="19" t="str">
        <f>IFERROR(__xludf.DUMMYFUNCTION("""COMPUTED_VALUE"""),"-")</f>
        <v>-</v>
      </c>
      <c r="J666" s="19">
        <f>IFERROR(__xludf.DUMMYFUNCTION("""COMPUTED_VALUE"""),0.00195)</f>
        <v>0.00195</v>
      </c>
      <c r="K666" s="19">
        <f>IFERROR(__xludf.DUMMYFUNCTION("""COMPUTED_VALUE"""),0.03577)</f>
        <v>0.03577</v>
      </c>
      <c r="L666" s="19" t="str">
        <f>IFERROR(__xludf.DUMMYFUNCTION("""COMPUTED_VALUE"""),"-")</f>
        <v>-</v>
      </c>
      <c r="M666" s="19">
        <f>IFERROR(__xludf.DUMMYFUNCTION("""COMPUTED_VALUE"""),0.03616)</f>
        <v>0.03616</v>
      </c>
    </row>
    <row r="667">
      <c r="A667" s="12" t="s">
        <v>7657</v>
      </c>
      <c r="G667" s="19">
        <f>IFERROR(__xludf.DUMMYFUNCTION("SPLIT(A665, "" |"")"),663.0)</f>
        <v>663</v>
      </c>
      <c r="H667" s="19">
        <f>IFERROR(__xludf.DUMMYFUNCTION("""COMPUTED_VALUE"""),0.00218)</f>
        <v>0.00218</v>
      </c>
      <c r="I667" s="19" t="str">
        <f>IFERROR(__xludf.DUMMYFUNCTION("""COMPUTED_VALUE"""),"-")</f>
        <v>-</v>
      </c>
      <c r="J667" s="19">
        <f>IFERROR(__xludf.DUMMYFUNCTION("""COMPUTED_VALUE"""),0.00185)</f>
        <v>0.00185</v>
      </c>
      <c r="K667" s="19">
        <f>IFERROR(__xludf.DUMMYFUNCTION("""COMPUTED_VALUE"""),0.03759)</f>
        <v>0.03759</v>
      </c>
      <c r="L667" s="19" t="str">
        <f>IFERROR(__xludf.DUMMYFUNCTION("""COMPUTED_VALUE"""),"-")</f>
        <v>-</v>
      </c>
      <c r="M667" s="19">
        <f>IFERROR(__xludf.DUMMYFUNCTION("""COMPUTED_VALUE"""),0.03744)</f>
        <v>0.03744</v>
      </c>
    </row>
    <row r="668">
      <c r="A668" s="12" t="s">
        <v>7658</v>
      </c>
      <c r="G668" s="19">
        <f>IFERROR(__xludf.DUMMYFUNCTION("SPLIT(A666, "" |"")"),664.0)</f>
        <v>664</v>
      </c>
      <c r="H668" s="19">
        <f>IFERROR(__xludf.DUMMYFUNCTION("""COMPUTED_VALUE"""),0.00207)</f>
        <v>0.00207</v>
      </c>
      <c r="I668" s="19" t="str">
        <f>IFERROR(__xludf.DUMMYFUNCTION("""COMPUTED_VALUE"""),"-")</f>
        <v>-</v>
      </c>
      <c r="J668" s="19">
        <f>IFERROR(__xludf.DUMMYFUNCTION("""COMPUTED_VALUE"""),0.00192)</f>
        <v>0.00192</v>
      </c>
      <c r="K668" s="19">
        <f>IFERROR(__xludf.DUMMYFUNCTION("""COMPUTED_VALUE"""),0.03339)</f>
        <v>0.03339</v>
      </c>
      <c r="L668" s="19" t="str">
        <f>IFERROR(__xludf.DUMMYFUNCTION("""COMPUTED_VALUE"""),"-")</f>
        <v>-</v>
      </c>
      <c r="M668" s="19">
        <f>IFERROR(__xludf.DUMMYFUNCTION("""COMPUTED_VALUE"""),0.04019)</f>
        <v>0.04019</v>
      </c>
    </row>
    <row r="669">
      <c r="A669" s="12" t="s">
        <v>7659</v>
      </c>
      <c r="G669" s="19">
        <f>IFERROR(__xludf.DUMMYFUNCTION("SPLIT(A667, "" |"")"),665.0)</f>
        <v>665</v>
      </c>
      <c r="H669" s="19">
        <f>IFERROR(__xludf.DUMMYFUNCTION("""COMPUTED_VALUE"""),0.00206)</f>
        <v>0.00206</v>
      </c>
      <c r="I669" s="19" t="str">
        <f>IFERROR(__xludf.DUMMYFUNCTION("""COMPUTED_VALUE"""),"-")</f>
        <v>-</v>
      </c>
      <c r="J669" s="19">
        <f>IFERROR(__xludf.DUMMYFUNCTION("""COMPUTED_VALUE"""),0.00204)</f>
        <v>0.00204</v>
      </c>
      <c r="K669" s="19">
        <f>IFERROR(__xludf.DUMMYFUNCTION("""COMPUTED_VALUE"""),0.03979)</f>
        <v>0.03979</v>
      </c>
      <c r="L669" s="19" t="str">
        <f>IFERROR(__xludf.DUMMYFUNCTION("""COMPUTED_VALUE"""),"-")</f>
        <v>-</v>
      </c>
      <c r="M669" s="19">
        <f>IFERROR(__xludf.DUMMYFUNCTION("""COMPUTED_VALUE"""),0.04014)</f>
        <v>0.04014</v>
      </c>
    </row>
    <row r="670">
      <c r="A670" s="12" t="s">
        <v>7660</v>
      </c>
      <c r="G670" s="19">
        <f>IFERROR(__xludf.DUMMYFUNCTION("SPLIT(A668, "" |"")"),666.0)</f>
        <v>666</v>
      </c>
      <c r="H670" s="19">
        <f>IFERROR(__xludf.DUMMYFUNCTION("""COMPUTED_VALUE"""),0.00212)</f>
        <v>0.00212</v>
      </c>
      <c r="I670" s="19" t="str">
        <f>IFERROR(__xludf.DUMMYFUNCTION("""COMPUTED_VALUE"""),"-")</f>
        <v>-</v>
      </c>
      <c r="J670" s="19">
        <f>IFERROR(__xludf.DUMMYFUNCTION("""COMPUTED_VALUE"""),0.00191)</f>
        <v>0.00191</v>
      </c>
      <c r="K670" s="19">
        <f>IFERROR(__xludf.DUMMYFUNCTION("""COMPUTED_VALUE"""),0.0387)</f>
        <v>0.0387</v>
      </c>
      <c r="L670" s="19" t="str">
        <f>IFERROR(__xludf.DUMMYFUNCTION("""COMPUTED_VALUE"""),"-")</f>
        <v>-</v>
      </c>
      <c r="M670" s="19">
        <f>IFERROR(__xludf.DUMMYFUNCTION("""COMPUTED_VALUE"""),0.04036)</f>
        <v>0.04036</v>
      </c>
    </row>
    <row r="671">
      <c r="A671" s="12" t="s">
        <v>7661</v>
      </c>
      <c r="G671" s="19">
        <f>IFERROR(__xludf.DUMMYFUNCTION("SPLIT(A669, "" |"")"),667.0)</f>
        <v>667</v>
      </c>
      <c r="H671" s="19">
        <f>IFERROR(__xludf.DUMMYFUNCTION("""COMPUTED_VALUE"""),0.00217)</f>
        <v>0.00217</v>
      </c>
      <c r="I671" s="19" t="str">
        <f>IFERROR(__xludf.DUMMYFUNCTION("""COMPUTED_VALUE"""),"-")</f>
        <v>-</v>
      </c>
      <c r="J671" s="19">
        <f>IFERROR(__xludf.DUMMYFUNCTION("""COMPUTED_VALUE"""),0.00194)</f>
        <v>0.00194</v>
      </c>
      <c r="K671" s="19">
        <f>IFERROR(__xludf.DUMMYFUNCTION("""COMPUTED_VALUE"""),0.03924)</f>
        <v>0.03924</v>
      </c>
      <c r="L671" s="19" t="str">
        <f>IFERROR(__xludf.DUMMYFUNCTION("""COMPUTED_VALUE"""),"-")</f>
        <v>-</v>
      </c>
      <c r="M671" s="19">
        <f>IFERROR(__xludf.DUMMYFUNCTION("""COMPUTED_VALUE"""),0.04047)</f>
        <v>0.04047</v>
      </c>
    </row>
    <row r="672">
      <c r="A672" s="12" t="s">
        <v>7662</v>
      </c>
      <c r="G672" s="19">
        <f>IFERROR(__xludf.DUMMYFUNCTION("SPLIT(A670, "" |"")"),668.0)</f>
        <v>668</v>
      </c>
      <c r="H672" s="19">
        <f>IFERROR(__xludf.DUMMYFUNCTION("""COMPUTED_VALUE"""),0.00213)</f>
        <v>0.00213</v>
      </c>
      <c r="I672" s="19" t="str">
        <f>IFERROR(__xludf.DUMMYFUNCTION("""COMPUTED_VALUE"""),"-")</f>
        <v>-</v>
      </c>
      <c r="J672" s="19">
        <f>IFERROR(__xludf.DUMMYFUNCTION("""COMPUTED_VALUE"""),0.00206)</f>
        <v>0.00206</v>
      </c>
      <c r="K672" s="19">
        <f>IFERROR(__xludf.DUMMYFUNCTION("""COMPUTED_VALUE"""),0.03965)</f>
        <v>0.03965</v>
      </c>
      <c r="L672" s="19" t="str">
        <f>IFERROR(__xludf.DUMMYFUNCTION("""COMPUTED_VALUE"""),"-")</f>
        <v>-</v>
      </c>
      <c r="M672" s="19">
        <f>IFERROR(__xludf.DUMMYFUNCTION("""COMPUTED_VALUE"""),0.0398)</f>
        <v>0.0398</v>
      </c>
    </row>
    <row r="673">
      <c r="A673" s="12" t="s">
        <v>7663</v>
      </c>
      <c r="G673" s="19">
        <f>IFERROR(__xludf.DUMMYFUNCTION("SPLIT(A671, "" |"")"),669.0)</f>
        <v>669</v>
      </c>
      <c r="H673" s="19">
        <f>IFERROR(__xludf.DUMMYFUNCTION("""COMPUTED_VALUE"""),0.00216)</f>
        <v>0.00216</v>
      </c>
      <c r="I673" s="19" t="str">
        <f>IFERROR(__xludf.DUMMYFUNCTION("""COMPUTED_VALUE"""),"-")</f>
        <v>-</v>
      </c>
      <c r="J673" s="19">
        <f>IFERROR(__xludf.DUMMYFUNCTION("""COMPUTED_VALUE"""),0.002)</f>
        <v>0.002</v>
      </c>
      <c r="K673" s="19">
        <f>IFERROR(__xludf.DUMMYFUNCTION("""COMPUTED_VALUE"""),0.03981)</f>
        <v>0.03981</v>
      </c>
      <c r="L673" s="19" t="str">
        <f>IFERROR(__xludf.DUMMYFUNCTION("""COMPUTED_VALUE"""),"-")</f>
        <v>-</v>
      </c>
      <c r="M673" s="19">
        <f>IFERROR(__xludf.DUMMYFUNCTION("""COMPUTED_VALUE"""),0.0399)</f>
        <v>0.0399</v>
      </c>
    </row>
    <row r="674">
      <c r="A674" s="12" t="s">
        <v>7664</v>
      </c>
      <c r="G674" s="19">
        <f>IFERROR(__xludf.DUMMYFUNCTION("SPLIT(A672, "" |"")"),670.0)</f>
        <v>670</v>
      </c>
      <c r="H674" s="19">
        <f>IFERROR(__xludf.DUMMYFUNCTION("""COMPUTED_VALUE"""),0.00213)</f>
        <v>0.00213</v>
      </c>
      <c r="I674" s="19" t="str">
        <f>IFERROR(__xludf.DUMMYFUNCTION("""COMPUTED_VALUE"""),"-")</f>
        <v>-</v>
      </c>
      <c r="J674" s="19">
        <f>IFERROR(__xludf.DUMMYFUNCTION("""COMPUTED_VALUE"""),0.00199)</f>
        <v>0.00199</v>
      </c>
      <c r="K674" s="19">
        <f>IFERROR(__xludf.DUMMYFUNCTION("""COMPUTED_VALUE"""),0.03972)</f>
        <v>0.03972</v>
      </c>
      <c r="L674" s="19" t="str">
        <f>IFERROR(__xludf.DUMMYFUNCTION("""COMPUTED_VALUE"""),"-")</f>
        <v>-</v>
      </c>
      <c r="M674" s="19">
        <f>IFERROR(__xludf.DUMMYFUNCTION("""COMPUTED_VALUE"""),0.03987)</f>
        <v>0.03987</v>
      </c>
    </row>
    <row r="675">
      <c r="A675" s="12" t="s">
        <v>7665</v>
      </c>
      <c r="G675" s="19">
        <f>IFERROR(__xludf.DUMMYFUNCTION("SPLIT(A673, "" |"")"),671.0)</f>
        <v>671</v>
      </c>
      <c r="H675" s="19">
        <f>IFERROR(__xludf.DUMMYFUNCTION("""COMPUTED_VALUE"""),0.00213)</f>
        <v>0.00213</v>
      </c>
      <c r="I675" s="19" t="str">
        <f>IFERROR(__xludf.DUMMYFUNCTION("""COMPUTED_VALUE"""),"-")</f>
        <v>-</v>
      </c>
      <c r="J675" s="19">
        <f>IFERROR(__xludf.DUMMYFUNCTION("""COMPUTED_VALUE"""),0.00201)</f>
        <v>0.00201</v>
      </c>
      <c r="K675" s="19">
        <f>IFERROR(__xludf.DUMMYFUNCTION("""COMPUTED_VALUE"""),0.03968)</f>
        <v>0.03968</v>
      </c>
      <c r="L675" s="19" t="str">
        <f>IFERROR(__xludf.DUMMYFUNCTION("""COMPUTED_VALUE"""),"-")</f>
        <v>-</v>
      </c>
      <c r="M675" s="19">
        <f>IFERROR(__xludf.DUMMYFUNCTION("""COMPUTED_VALUE"""),0.03987)</f>
        <v>0.03987</v>
      </c>
    </row>
    <row r="676">
      <c r="A676" s="12" t="s">
        <v>7666</v>
      </c>
      <c r="G676" s="19">
        <f>IFERROR(__xludf.DUMMYFUNCTION("SPLIT(A674, "" |"")"),672.0)</f>
        <v>672</v>
      </c>
      <c r="H676" s="19">
        <f>IFERROR(__xludf.DUMMYFUNCTION("""COMPUTED_VALUE"""),0.0022)</f>
        <v>0.0022</v>
      </c>
      <c r="I676" s="19" t="str">
        <f>IFERROR(__xludf.DUMMYFUNCTION("""COMPUTED_VALUE"""),"-")</f>
        <v>-</v>
      </c>
      <c r="J676" s="19">
        <f>IFERROR(__xludf.DUMMYFUNCTION("""COMPUTED_VALUE"""),0.00203)</f>
        <v>0.00203</v>
      </c>
      <c r="K676" s="19">
        <f>IFERROR(__xludf.DUMMYFUNCTION("""COMPUTED_VALUE"""),0.03964)</f>
        <v>0.03964</v>
      </c>
      <c r="L676" s="19" t="str">
        <f>IFERROR(__xludf.DUMMYFUNCTION("""COMPUTED_VALUE"""),"-")</f>
        <v>-</v>
      </c>
      <c r="M676" s="19">
        <f>IFERROR(__xludf.DUMMYFUNCTION("""COMPUTED_VALUE"""),0.04027)</f>
        <v>0.04027</v>
      </c>
    </row>
    <row r="677">
      <c r="A677" s="12" t="s">
        <v>7667</v>
      </c>
      <c r="G677" s="19">
        <f>IFERROR(__xludf.DUMMYFUNCTION("SPLIT(A675, "" |"")"),673.0)</f>
        <v>673</v>
      </c>
      <c r="H677" s="19">
        <f>IFERROR(__xludf.DUMMYFUNCTION("""COMPUTED_VALUE"""),0.00212)</f>
        <v>0.00212</v>
      </c>
      <c r="I677" s="19" t="str">
        <f>IFERROR(__xludf.DUMMYFUNCTION("""COMPUTED_VALUE"""),"-")</f>
        <v>-</v>
      </c>
      <c r="J677" s="19">
        <f>IFERROR(__xludf.DUMMYFUNCTION("""COMPUTED_VALUE"""),0.00199)</f>
        <v>0.00199</v>
      </c>
      <c r="K677" s="19">
        <f>IFERROR(__xludf.DUMMYFUNCTION("""COMPUTED_VALUE"""),0.03978)</f>
        <v>0.03978</v>
      </c>
      <c r="L677" s="19" t="str">
        <f>IFERROR(__xludf.DUMMYFUNCTION("""COMPUTED_VALUE"""),"-")</f>
        <v>-</v>
      </c>
      <c r="M677" s="19">
        <f>IFERROR(__xludf.DUMMYFUNCTION("""COMPUTED_VALUE"""),0.0403)</f>
        <v>0.0403</v>
      </c>
    </row>
    <row r="678">
      <c r="A678" s="12" t="s">
        <v>7668</v>
      </c>
      <c r="G678" s="19">
        <f>IFERROR(__xludf.DUMMYFUNCTION("SPLIT(A676, "" |"")"),674.0)</f>
        <v>674</v>
      </c>
      <c r="H678" s="19">
        <f>IFERROR(__xludf.DUMMYFUNCTION("""COMPUTED_VALUE"""),0.00194)</f>
        <v>0.00194</v>
      </c>
      <c r="I678" s="19" t="str">
        <f>IFERROR(__xludf.DUMMYFUNCTION("""COMPUTED_VALUE"""),"-")</f>
        <v>-</v>
      </c>
      <c r="J678" s="19">
        <f>IFERROR(__xludf.DUMMYFUNCTION("""COMPUTED_VALUE"""),0.00182)</f>
        <v>0.00182</v>
      </c>
      <c r="K678" s="19">
        <f>IFERROR(__xludf.DUMMYFUNCTION("""COMPUTED_VALUE"""),0.0397)</f>
        <v>0.0397</v>
      </c>
      <c r="L678" s="19" t="str">
        <f>IFERROR(__xludf.DUMMYFUNCTION("""COMPUTED_VALUE"""),"-")</f>
        <v>-</v>
      </c>
      <c r="M678" s="19">
        <f>IFERROR(__xludf.DUMMYFUNCTION("""COMPUTED_VALUE"""),0.03698)</f>
        <v>0.03698</v>
      </c>
    </row>
    <row r="679">
      <c r="A679" s="12" t="s">
        <v>7669</v>
      </c>
      <c r="G679" s="19">
        <f>IFERROR(__xludf.DUMMYFUNCTION("SPLIT(A677, "" |"")"),675.0)</f>
        <v>675</v>
      </c>
      <c r="H679" s="19">
        <f>IFERROR(__xludf.DUMMYFUNCTION("""COMPUTED_VALUE"""),0.00217)</f>
        <v>0.00217</v>
      </c>
      <c r="I679" s="19" t="str">
        <f>IFERROR(__xludf.DUMMYFUNCTION("""COMPUTED_VALUE"""),"-")</f>
        <v>-</v>
      </c>
      <c r="J679" s="19">
        <f>IFERROR(__xludf.DUMMYFUNCTION("""COMPUTED_VALUE"""),0.00199)</f>
        <v>0.00199</v>
      </c>
      <c r="K679" s="19">
        <f>IFERROR(__xludf.DUMMYFUNCTION("""COMPUTED_VALUE"""),0.03976)</f>
        <v>0.03976</v>
      </c>
      <c r="L679" s="19" t="str">
        <f>IFERROR(__xludf.DUMMYFUNCTION("""COMPUTED_VALUE"""),"-")</f>
        <v>-</v>
      </c>
      <c r="M679" s="19">
        <f>IFERROR(__xludf.DUMMYFUNCTION("""COMPUTED_VALUE"""),0.03886)</f>
        <v>0.03886</v>
      </c>
    </row>
    <row r="680">
      <c r="A680" s="12" t="s">
        <v>7670</v>
      </c>
      <c r="G680" s="19">
        <f>IFERROR(__xludf.DUMMYFUNCTION("SPLIT(A678, "" |"")"),676.0)</f>
        <v>676</v>
      </c>
      <c r="H680" s="19">
        <f>IFERROR(__xludf.DUMMYFUNCTION("""COMPUTED_VALUE"""),0.00205)</f>
        <v>0.00205</v>
      </c>
      <c r="I680" s="19" t="str">
        <f>IFERROR(__xludf.DUMMYFUNCTION("""COMPUTED_VALUE"""),"-")</f>
        <v>-</v>
      </c>
      <c r="J680" s="19">
        <f>IFERROR(__xludf.DUMMYFUNCTION("""COMPUTED_VALUE"""),0.00205)</f>
        <v>0.00205</v>
      </c>
      <c r="K680" s="19">
        <f>IFERROR(__xludf.DUMMYFUNCTION("""COMPUTED_VALUE"""),0.03983)</f>
        <v>0.03983</v>
      </c>
      <c r="L680" s="19" t="str">
        <f>IFERROR(__xludf.DUMMYFUNCTION("""COMPUTED_VALUE"""),"-")</f>
        <v>-</v>
      </c>
      <c r="M680" s="19">
        <f>IFERROR(__xludf.DUMMYFUNCTION("""COMPUTED_VALUE"""),0.03986)</f>
        <v>0.03986</v>
      </c>
    </row>
    <row r="681">
      <c r="A681" s="12" t="s">
        <v>7671</v>
      </c>
      <c r="G681" s="19">
        <f>IFERROR(__xludf.DUMMYFUNCTION("SPLIT(A679, "" |"")"),677.0)</f>
        <v>677</v>
      </c>
      <c r="H681" s="19">
        <f>IFERROR(__xludf.DUMMYFUNCTION("""COMPUTED_VALUE"""),0.00196)</f>
        <v>0.00196</v>
      </c>
      <c r="I681" s="19" t="str">
        <f>IFERROR(__xludf.DUMMYFUNCTION("""COMPUTED_VALUE"""),"-")</f>
        <v>-</v>
      </c>
      <c r="J681" s="19">
        <f>IFERROR(__xludf.DUMMYFUNCTION("""COMPUTED_VALUE"""),0.00184)</f>
        <v>0.00184</v>
      </c>
      <c r="K681" s="19">
        <f>IFERROR(__xludf.DUMMYFUNCTION("""COMPUTED_VALUE"""),0.03954)</f>
        <v>0.03954</v>
      </c>
      <c r="L681" s="19" t="str">
        <f>IFERROR(__xludf.DUMMYFUNCTION("""COMPUTED_VALUE"""),"-")</f>
        <v>-</v>
      </c>
      <c r="M681" s="19">
        <f>IFERROR(__xludf.DUMMYFUNCTION("""COMPUTED_VALUE"""),0.03832)</f>
        <v>0.03832</v>
      </c>
    </row>
    <row r="682">
      <c r="A682" s="12" t="s">
        <v>7672</v>
      </c>
      <c r="G682" s="19">
        <f>IFERROR(__xludf.DUMMYFUNCTION("SPLIT(A680, "" |"")"),678.0)</f>
        <v>678</v>
      </c>
      <c r="H682" s="19">
        <f>IFERROR(__xludf.DUMMYFUNCTION("""COMPUTED_VALUE"""),0.00213)</f>
        <v>0.00213</v>
      </c>
      <c r="I682" s="19" t="str">
        <f>IFERROR(__xludf.DUMMYFUNCTION("""COMPUTED_VALUE"""),"-")</f>
        <v>-</v>
      </c>
      <c r="J682" s="19">
        <f>IFERROR(__xludf.DUMMYFUNCTION("""COMPUTED_VALUE"""),0.00209)</f>
        <v>0.00209</v>
      </c>
      <c r="K682" s="19">
        <f>IFERROR(__xludf.DUMMYFUNCTION("""COMPUTED_VALUE"""),0.03972)</f>
        <v>0.03972</v>
      </c>
      <c r="L682" s="19" t="str">
        <f>IFERROR(__xludf.DUMMYFUNCTION("""COMPUTED_VALUE"""),"-")</f>
        <v>-</v>
      </c>
      <c r="M682" s="19">
        <f>IFERROR(__xludf.DUMMYFUNCTION("""COMPUTED_VALUE"""),0.04031)</f>
        <v>0.04031</v>
      </c>
    </row>
    <row r="683">
      <c r="A683" s="12" t="s">
        <v>7673</v>
      </c>
      <c r="G683" s="19">
        <f>IFERROR(__xludf.DUMMYFUNCTION("SPLIT(A681, "" |"")"),679.0)</f>
        <v>679</v>
      </c>
      <c r="H683" s="19">
        <f>IFERROR(__xludf.DUMMYFUNCTION("""COMPUTED_VALUE"""),0.0023)</f>
        <v>0.0023</v>
      </c>
      <c r="I683" s="19" t="str">
        <f>IFERROR(__xludf.DUMMYFUNCTION("""COMPUTED_VALUE"""),"-")</f>
        <v>-</v>
      </c>
      <c r="J683" s="19">
        <f>IFERROR(__xludf.DUMMYFUNCTION("""COMPUTED_VALUE"""),0.00208)</f>
        <v>0.00208</v>
      </c>
      <c r="K683" s="19">
        <f>IFERROR(__xludf.DUMMYFUNCTION("""COMPUTED_VALUE"""),0.03993)</f>
        <v>0.03993</v>
      </c>
      <c r="L683" s="19" t="str">
        <f>IFERROR(__xludf.DUMMYFUNCTION("""COMPUTED_VALUE"""),"-")</f>
        <v>-</v>
      </c>
      <c r="M683" s="19">
        <f>IFERROR(__xludf.DUMMYFUNCTION("""COMPUTED_VALUE"""),0.03891)</f>
        <v>0.03891</v>
      </c>
    </row>
    <row r="684">
      <c r="A684" s="12" t="s">
        <v>7674</v>
      </c>
      <c r="G684" s="19">
        <f>IFERROR(__xludf.DUMMYFUNCTION("SPLIT(A682, "" |"")"),680.0)</f>
        <v>680</v>
      </c>
      <c r="H684" s="19">
        <f>IFERROR(__xludf.DUMMYFUNCTION("""COMPUTED_VALUE"""),0.00239)</f>
        <v>0.00239</v>
      </c>
      <c r="I684" s="19" t="str">
        <f>IFERROR(__xludf.DUMMYFUNCTION("""COMPUTED_VALUE"""),"-")</f>
        <v>-</v>
      </c>
      <c r="J684" s="19">
        <f>IFERROR(__xludf.DUMMYFUNCTION("""COMPUTED_VALUE"""),0.00222)</f>
        <v>0.00222</v>
      </c>
      <c r="K684" s="19">
        <f>IFERROR(__xludf.DUMMYFUNCTION("""COMPUTED_VALUE"""),0.03752)</f>
        <v>0.03752</v>
      </c>
      <c r="L684" s="19" t="str">
        <f>IFERROR(__xludf.DUMMYFUNCTION("""COMPUTED_VALUE"""),"-")</f>
        <v>-</v>
      </c>
      <c r="M684" s="19">
        <f>IFERROR(__xludf.DUMMYFUNCTION("""COMPUTED_VALUE"""),0.04013)</f>
        <v>0.04013</v>
      </c>
    </row>
    <row r="685">
      <c r="A685" s="12" t="s">
        <v>7675</v>
      </c>
      <c r="G685" s="19">
        <f>IFERROR(__xludf.DUMMYFUNCTION("SPLIT(A683, "" |"")"),681.0)</f>
        <v>681</v>
      </c>
      <c r="H685" s="19">
        <f>IFERROR(__xludf.DUMMYFUNCTION("""COMPUTED_VALUE"""),0.00253)</f>
        <v>0.00253</v>
      </c>
      <c r="I685" s="19" t="str">
        <f>IFERROR(__xludf.DUMMYFUNCTION("""COMPUTED_VALUE"""),"-")</f>
        <v>-</v>
      </c>
      <c r="J685" s="19">
        <f>IFERROR(__xludf.DUMMYFUNCTION("""COMPUTED_VALUE"""),0.00155)</f>
        <v>0.00155</v>
      </c>
      <c r="K685" s="19">
        <f>IFERROR(__xludf.DUMMYFUNCTION("""COMPUTED_VALUE"""),0.03796)</f>
        <v>0.03796</v>
      </c>
      <c r="L685" s="19" t="str">
        <f>IFERROR(__xludf.DUMMYFUNCTION("""COMPUTED_VALUE"""),"-")</f>
        <v>-</v>
      </c>
      <c r="M685" s="19">
        <f>IFERROR(__xludf.DUMMYFUNCTION("""COMPUTED_VALUE"""),0.03982)</f>
        <v>0.03982</v>
      </c>
    </row>
    <row r="686">
      <c r="A686" s="12" t="s">
        <v>7676</v>
      </c>
      <c r="G686" s="19">
        <f>IFERROR(__xludf.DUMMYFUNCTION("SPLIT(A684, "" |"")"),682.0)</f>
        <v>682</v>
      </c>
      <c r="H686" s="19">
        <f>IFERROR(__xludf.DUMMYFUNCTION("""COMPUTED_VALUE"""),0.00225)</f>
        <v>0.00225</v>
      </c>
      <c r="I686" s="19" t="str">
        <f>IFERROR(__xludf.DUMMYFUNCTION("""COMPUTED_VALUE"""),"-")</f>
        <v>-</v>
      </c>
      <c r="J686" s="19">
        <f>IFERROR(__xludf.DUMMYFUNCTION("""COMPUTED_VALUE"""),0.00201)</f>
        <v>0.00201</v>
      </c>
      <c r="K686" s="19">
        <f>IFERROR(__xludf.DUMMYFUNCTION("""COMPUTED_VALUE"""),0.0398)</f>
        <v>0.0398</v>
      </c>
      <c r="L686" s="19" t="str">
        <f>IFERROR(__xludf.DUMMYFUNCTION("""COMPUTED_VALUE"""),"-")</f>
        <v>-</v>
      </c>
      <c r="M686" s="19">
        <f>IFERROR(__xludf.DUMMYFUNCTION("""COMPUTED_VALUE"""),0.03934)</f>
        <v>0.03934</v>
      </c>
    </row>
    <row r="687">
      <c r="A687" s="12" t="s">
        <v>7677</v>
      </c>
      <c r="G687" s="19">
        <f>IFERROR(__xludf.DUMMYFUNCTION("SPLIT(A685, "" |"")"),683.0)</f>
        <v>683</v>
      </c>
      <c r="H687" s="19">
        <f>IFERROR(__xludf.DUMMYFUNCTION("""COMPUTED_VALUE"""),0.00239)</f>
        <v>0.00239</v>
      </c>
      <c r="I687" s="19" t="str">
        <f>IFERROR(__xludf.DUMMYFUNCTION("""COMPUTED_VALUE"""),"-")</f>
        <v>-</v>
      </c>
      <c r="J687" s="19">
        <f>IFERROR(__xludf.DUMMYFUNCTION("""COMPUTED_VALUE"""),0.00232)</f>
        <v>0.00232</v>
      </c>
      <c r="K687" s="19">
        <f>IFERROR(__xludf.DUMMYFUNCTION("""COMPUTED_VALUE"""),0.03869)</f>
        <v>0.03869</v>
      </c>
      <c r="L687" s="19" t="str">
        <f>IFERROR(__xludf.DUMMYFUNCTION("""COMPUTED_VALUE"""),"-")</f>
        <v>-</v>
      </c>
      <c r="M687" s="19">
        <f>IFERROR(__xludf.DUMMYFUNCTION("""COMPUTED_VALUE"""),0.04044)</f>
        <v>0.04044</v>
      </c>
    </row>
    <row r="688">
      <c r="A688" s="12" t="s">
        <v>7678</v>
      </c>
      <c r="G688" s="19">
        <f>IFERROR(__xludf.DUMMYFUNCTION("SPLIT(A686, "" |"")"),684.0)</f>
        <v>684</v>
      </c>
      <c r="H688" s="19">
        <f>IFERROR(__xludf.DUMMYFUNCTION("""COMPUTED_VALUE"""),0.00285)</f>
        <v>0.00285</v>
      </c>
      <c r="I688" s="19" t="str">
        <f>IFERROR(__xludf.DUMMYFUNCTION("""COMPUTED_VALUE"""),"-")</f>
        <v>-</v>
      </c>
      <c r="J688" s="19">
        <f>IFERROR(__xludf.DUMMYFUNCTION("""COMPUTED_VALUE"""),0.00267)</f>
        <v>0.00267</v>
      </c>
      <c r="K688" s="19">
        <f>IFERROR(__xludf.DUMMYFUNCTION("""COMPUTED_VALUE"""),0.0417)</f>
        <v>0.0417</v>
      </c>
      <c r="L688" s="19" t="str">
        <f>IFERROR(__xludf.DUMMYFUNCTION("""COMPUTED_VALUE"""),"-")</f>
        <v>-</v>
      </c>
      <c r="M688" s="19">
        <f>IFERROR(__xludf.DUMMYFUNCTION("""COMPUTED_VALUE"""),0.03967)</f>
        <v>0.03967</v>
      </c>
    </row>
    <row r="689">
      <c r="A689" s="12" t="s">
        <v>7679</v>
      </c>
      <c r="G689" s="19">
        <f>IFERROR(__xludf.DUMMYFUNCTION("SPLIT(A687, "" |"")"),685.0)</f>
        <v>685</v>
      </c>
      <c r="H689" s="19">
        <f>IFERROR(__xludf.DUMMYFUNCTION("""COMPUTED_VALUE"""),0.00275)</f>
        <v>0.00275</v>
      </c>
      <c r="I689" s="19" t="str">
        <f>IFERROR(__xludf.DUMMYFUNCTION("""COMPUTED_VALUE"""),"-")</f>
        <v>-</v>
      </c>
      <c r="J689" s="19">
        <f>IFERROR(__xludf.DUMMYFUNCTION("""COMPUTED_VALUE"""),0.00243)</f>
        <v>0.00243</v>
      </c>
      <c r="K689" s="19">
        <f>IFERROR(__xludf.DUMMYFUNCTION("""COMPUTED_VALUE"""),0.04099)</f>
        <v>0.04099</v>
      </c>
      <c r="L689" s="19" t="str">
        <f>IFERROR(__xludf.DUMMYFUNCTION("""COMPUTED_VALUE"""),"-")</f>
        <v>-</v>
      </c>
      <c r="M689" s="19">
        <f>IFERROR(__xludf.DUMMYFUNCTION("""COMPUTED_VALUE"""),0.03618)</f>
        <v>0.03618</v>
      </c>
    </row>
    <row r="690">
      <c r="A690" s="12" t="s">
        <v>7680</v>
      </c>
      <c r="G690" s="19">
        <f>IFERROR(__xludf.DUMMYFUNCTION("SPLIT(A688, "" |"")"),686.0)</f>
        <v>686</v>
      </c>
      <c r="H690" s="19">
        <f>IFERROR(__xludf.DUMMYFUNCTION("""COMPUTED_VALUE"""),0.00228)</f>
        <v>0.00228</v>
      </c>
      <c r="I690" s="19" t="str">
        <f>IFERROR(__xludf.DUMMYFUNCTION("""COMPUTED_VALUE"""),"-")</f>
        <v>-</v>
      </c>
      <c r="J690" s="19">
        <f>IFERROR(__xludf.DUMMYFUNCTION("""COMPUTED_VALUE"""),0.00249)</f>
        <v>0.00249</v>
      </c>
      <c r="K690" s="19">
        <f>IFERROR(__xludf.DUMMYFUNCTION("""COMPUTED_VALUE"""),0.03925)</f>
        <v>0.03925</v>
      </c>
      <c r="L690" s="19" t="str">
        <f>IFERROR(__xludf.DUMMYFUNCTION("""COMPUTED_VALUE"""),"-")</f>
        <v>-</v>
      </c>
      <c r="M690" s="19">
        <f>IFERROR(__xludf.DUMMYFUNCTION("""COMPUTED_VALUE"""),0.04032)</f>
        <v>0.04032</v>
      </c>
    </row>
    <row r="691">
      <c r="A691" s="12" t="s">
        <v>7681</v>
      </c>
      <c r="G691" s="19">
        <f>IFERROR(__xludf.DUMMYFUNCTION("SPLIT(A689, "" |"")"),687.0)</f>
        <v>687</v>
      </c>
      <c r="H691" s="19">
        <f>IFERROR(__xludf.DUMMYFUNCTION("""COMPUTED_VALUE"""),0.00249)</f>
        <v>0.00249</v>
      </c>
      <c r="I691" s="19" t="str">
        <f>IFERROR(__xludf.DUMMYFUNCTION("""COMPUTED_VALUE"""),"-")</f>
        <v>-</v>
      </c>
      <c r="J691" s="19">
        <f>IFERROR(__xludf.DUMMYFUNCTION("""COMPUTED_VALUE"""),0.00241)</f>
        <v>0.00241</v>
      </c>
      <c r="K691" s="19">
        <f>IFERROR(__xludf.DUMMYFUNCTION("""COMPUTED_VALUE"""),0.07213)</f>
        <v>0.07213</v>
      </c>
      <c r="L691" s="19" t="str">
        <f>IFERROR(__xludf.DUMMYFUNCTION("""COMPUTED_VALUE"""),"-")</f>
        <v>-</v>
      </c>
      <c r="M691" s="19">
        <f>IFERROR(__xludf.DUMMYFUNCTION("""COMPUTED_VALUE"""),0.04069)</f>
        <v>0.04069</v>
      </c>
    </row>
    <row r="692">
      <c r="A692" s="12" t="s">
        <v>7682</v>
      </c>
      <c r="G692" s="19">
        <f>IFERROR(__xludf.DUMMYFUNCTION("SPLIT(A690, "" |"")"),688.0)</f>
        <v>688</v>
      </c>
      <c r="H692" s="19">
        <f>IFERROR(__xludf.DUMMYFUNCTION("""COMPUTED_VALUE"""),0.00331)</f>
        <v>0.00331</v>
      </c>
      <c r="I692" s="19" t="str">
        <f>IFERROR(__xludf.DUMMYFUNCTION("""COMPUTED_VALUE"""),"-")</f>
        <v>-</v>
      </c>
      <c r="J692" s="19">
        <f>IFERROR(__xludf.DUMMYFUNCTION("""COMPUTED_VALUE"""),0.00257)</f>
        <v>0.00257</v>
      </c>
      <c r="K692" s="19">
        <f>IFERROR(__xludf.DUMMYFUNCTION("""COMPUTED_VALUE"""),0.04041)</f>
        <v>0.04041</v>
      </c>
      <c r="L692" s="19" t="str">
        <f>IFERROR(__xludf.DUMMYFUNCTION("""COMPUTED_VALUE"""),"-")</f>
        <v>-</v>
      </c>
      <c r="M692" s="19">
        <f>IFERROR(__xludf.DUMMYFUNCTION("""COMPUTED_VALUE"""),0.03923)</f>
        <v>0.03923</v>
      </c>
    </row>
    <row r="693">
      <c r="A693" s="12" t="s">
        <v>7683</v>
      </c>
      <c r="G693" s="19">
        <f>IFERROR(__xludf.DUMMYFUNCTION("SPLIT(A691, "" |"")"),689.0)</f>
        <v>689</v>
      </c>
      <c r="H693" s="19">
        <f>IFERROR(__xludf.DUMMYFUNCTION("""COMPUTED_VALUE"""),0.00256)</f>
        <v>0.00256</v>
      </c>
      <c r="I693" s="19" t="str">
        <f>IFERROR(__xludf.DUMMYFUNCTION("""COMPUTED_VALUE"""),"-")</f>
        <v>-</v>
      </c>
      <c r="J693" s="19">
        <f>IFERROR(__xludf.DUMMYFUNCTION("""COMPUTED_VALUE"""),0.0024)</f>
        <v>0.0024</v>
      </c>
      <c r="K693" s="19">
        <f>IFERROR(__xludf.DUMMYFUNCTION("""COMPUTED_VALUE"""),0.04034)</f>
        <v>0.04034</v>
      </c>
      <c r="L693" s="19" t="str">
        <f>IFERROR(__xludf.DUMMYFUNCTION("""COMPUTED_VALUE"""),"-")</f>
        <v>-</v>
      </c>
      <c r="M693" s="19">
        <f>IFERROR(__xludf.DUMMYFUNCTION("""COMPUTED_VALUE"""),0.04434)</f>
        <v>0.04434</v>
      </c>
    </row>
    <row r="694">
      <c r="A694" s="12" t="s">
        <v>7684</v>
      </c>
      <c r="G694" s="19">
        <f>IFERROR(__xludf.DUMMYFUNCTION("SPLIT(A692, "" |"")"),690.0)</f>
        <v>690</v>
      </c>
      <c r="H694" s="19">
        <f>IFERROR(__xludf.DUMMYFUNCTION("""COMPUTED_VALUE"""),0.00225)</f>
        <v>0.00225</v>
      </c>
      <c r="I694" s="19" t="str">
        <f>IFERROR(__xludf.DUMMYFUNCTION("""COMPUTED_VALUE"""),"-")</f>
        <v>-</v>
      </c>
      <c r="J694" s="19">
        <f>IFERROR(__xludf.DUMMYFUNCTION("""COMPUTED_VALUE"""),0.00221)</f>
        <v>0.00221</v>
      </c>
      <c r="K694" s="19">
        <f>IFERROR(__xludf.DUMMYFUNCTION("""COMPUTED_VALUE"""),0.04056)</f>
        <v>0.04056</v>
      </c>
      <c r="L694" s="19" t="str">
        <f>IFERROR(__xludf.DUMMYFUNCTION("""COMPUTED_VALUE"""),"-")</f>
        <v>-</v>
      </c>
      <c r="M694" s="19">
        <f>IFERROR(__xludf.DUMMYFUNCTION("""COMPUTED_VALUE"""),0.03963)</f>
        <v>0.03963</v>
      </c>
    </row>
    <row r="695">
      <c r="A695" s="12" t="s">
        <v>7685</v>
      </c>
      <c r="G695" s="19">
        <f>IFERROR(__xludf.DUMMYFUNCTION("SPLIT(A693, "" |"")"),691.0)</f>
        <v>691</v>
      </c>
      <c r="H695" s="19">
        <f>IFERROR(__xludf.DUMMYFUNCTION("""COMPUTED_VALUE"""),0.00162)</f>
        <v>0.00162</v>
      </c>
      <c r="I695" s="19" t="str">
        <f>IFERROR(__xludf.DUMMYFUNCTION("""COMPUTED_VALUE"""),"-")</f>
        <v>-</v>
      </c>
      <c r="J695" s="19">
        <f>IFERROR(__xludf.DUMMYFUNCTION("""COMPUTED_VALUE"""),0.00207)</f>
        <v>0.00207</v>
      </c>
      <c r="K695" s="19">
        <f>IFERROR(__xludf.DUMMYFUNCTION("""COMPUTED_VALUE"""),0.03719)</f>
        <v>0.03719</v>
      </c>
      <c r="L695" s="19" t="str">
        <f>IFERROR(__xludf.DUMMYFUNCTION("""COMPUTED_VALUE"""),"-")</f>
        <v>-</v>
      </c>
      <c r="M695" s="19">
        <f>IFERROR(__xludf.DUMMYFUNCTION("""COMPUTED_VALUE"""),0.03584)</f>
        <v>0.03584</v>
      </c>
    </row>
    <row r="696">
      <c r="A696" s="12" t="s">
        <v>7686</v>
      </c>
      <c r="G696" s="19">
        <f>IFERROR(__xludf.DUMMYFUNCTION("SPLIT(A694, "" |"")"),692.0)</f>
        <v>692</v>
      </c>
      <c r="H696" s="19">
        <f>IFERROR(__xludf.DUMMYFUNCTION("""COMPUTED_VALUE"""),0.00233)</f>
        <v>0.00233</v>
      </c>
      <c r="I696" s="19" t="str">
        <f>IFERROR(__xludf.DUMMYFUNCTION("""COMPUTED_VALUE"""),"-")</f>
        <v>-</v>
      </c>
      <c r="J696" s="19">
        <f>IFERROR(__xludf.DUMMYFUNCTION("""COMPUTED_VALUE"""),0.00228)</f>
        <v>0.00228</v>
      </c>
      <c r="K696" s="19">
        <f>IFERROR(__xludf.DUMMYFUNCTION("""COMPUTED_VALUE"""),0.04033)</f>
        <v>0.04033</v>
      </c>
      <c r="L696" s="19" t="str">
        <f>IFERROR(__xludf.DUMMYFUNCTION("""COMPUTED_VALUE"""),"-")</f>
        <v>-</v>
      </c>
      <c r="M696" s="19">
        <f>IFERROR(__xludf.DUMMYFUNCTION("""COMPUTED_VALUE"""),0.03847)</f>
        <v>0.03847</v>
      </c>
    </row>
    <row r="697">
      <c r="A697" s="12" t="s">
        <v>7687</v>
      </c>
      <c r="G697" s="19">
        <f>IFERROR(__xludf.DUMMYFUNCTION("SPLIT(A695, "" |"")"),693.0)</f>
        <v>693</v>
      </c>
      <c r="H697" s="19">
        <f>IFERROR(__xludf.DUMMYFUNCTION("""COMPUTED_VALUE"""),0.00234)</f>
        <v>0.00234</v>
      </c>
      <c r="I697" s="19" t="str">
        <f>IFERROR(__xludf.DUMMYFUNCTION("""COMPUTED_VALUE"""),"-")</f>
        <v>-</v>
      </c>
      <c r="J697" s="19">
        <f>IFERROR(__xludf.DUMMYFUNCTION("""COMPUTED_VALUE"""),0.00217)</f>
        <v>0.00217</v>
      </c>
      <c r="K697" s="19">
        <f>IFERROR(__xludf.DUMMYFUNCTION("""COMPUTED_VALUE"""),0.0385)</f>
        <v>0.0385</v>
      </c>
      <c r="L697" s="19" t="str">
        <f>IFERROR(__xludf.DUMMYFUNCTION("""COMPUTED_VALUE"""),"-")</f>
        <v>-</v>
      </c>
      <c r="M697" s="19">
        <f>IFERROR(__xludf.DUMMYFUNCTION("""COMPUTED_VALUE"""),0.0401)</f>
        <v>0.0401</v>
      </c>
    </row>
    <row r="698">
      <c r="A698" s="12" t="s">
        <v>7688</v>
      </c>
      <c r="G698" s="19">
        <f>IFERROR(__xludf.DUMMYFUNCTION("SPLIT(A696, "" |"")"),694.0)</f>
        <v>694</v>
      </c>
      <c r="H698" s="19">
        <f>IFERROR(__xludf.DUMMYFUNCTION("""COMPUTED_VALUE"""),0.00209)</f>
        <v>0.00209</v>
      </c>
      <c r="I698" s="19" t="str">
        <f>IFERROR(__xludf.DUMMYFUNCTION("""COMPUTED_VALUE"""),"-")</f>
        <v>-</v>
      </c>
      <c r="J698" s="19">
        <f>IFERROR(__xludf.DUMMYFUNCTION("""COMPUTED_VALUE"""),0.00197)</f>
        <v>0.00197</v>
      </c>
      <c r="K698" s="19">
        <f>IFERROR(__xludf.DUMMYFUNCTION("""COMPUTED_VALUE"""),0.03982)</f>
        <v>0.03982</v>
      </c>
      <c r="L698" s="19" t="str">
        <f>IFERROR(__xludf.DUMMYFUNCTION("""COMPUTED_VALUE"""),"-")</f>
        <v>-</v>
      </c>
      <c r="M698" s="19">
        <f>IFERROR(__xludf.DUMMYFUNCTION("""COMPUTED_VALUE"""),0.04004)</f>
        <v>0.04004</v>
      </c>
    </row>
    <row r="699">
      <c r="A699" s="12" t="s">
        <v>7689</v>
      </c>
      <c r="G699" s="19">
        <f>IFERROR(__xludf.DUMMYFUNCTION("SPLIT(A697, "" |"")"),695.0)</f>
        <v>695</v>
      </c>
      <c r="H699" s="19">
        <f>IFERROR(__xludf.DUMMYFUNCTION("""COMPUTED_VALUE"""),0.00231)</f>
        <v>0.00231</v>
      </c>
      <c r="I699" s="19" t="str">
        <f>IFERROR(__xludf.DUMMYFUNCTION("""COMPUTED_VALUE"""),"-")</f>
        <v>-</v>
      </c>
      <c r="J699" s="19">
        <f>IFERROR(__xludf.DUMMYFUNCTION("""COMPUTED_VALUE"""),0.00224)</f>
        <v>0.00224</v>
      </c>
      <c r="K699" s="19">
        <f>IFERROR(__xludf.DUMMYFUNCTION("""COMPUTED_VALUE"""),0.03984)</f>
        <v>0.03984</v>
      </c>
      <c r="L699" s="19" t="str">
        <f>IFERROR(__xludf.DUMMYFUNCTION("""COMPUTED_VALUE"""),"-")</f>
        <v>-</v>
      </c>
      <c r="M699" s="19">
        <f>IFERROR(__xludf.DUMMYFUNCTION("""COMPUTED_VALUE"""),0.04034)</f>
        <v>0.04034</v>
      </c>
    </row>
    <row r="700">
      <c r="A700" s="12" t="s">
        <v>7690</v>
      </c>
      <c r="G700" s="19">
        <f>IFERROR(__xludf.DUMMYFUNCTION("SPLIT(A698, "" |"")"),696.0)</f>
        <v>696</v>
      </c>
      <c r="H700" s="19">
        <f>IFERROR(__xludf.DUMMYFUNCTION("""COMPUTED_VALUE"""),0.00212)</f>
        <v>0.00212</v>
      </c>
      <c r="I700" s="19" t="str">
        <f>IFERROR(__xludf.DUMMYFUNCTION("""COMPUTED_VALUE"""),"-")</f>
        <v>-</v>
      </c>
      <c r="J700" s="19">
        <f>IFERROR(__xludf.DUMMYFUNCTION("""COMPUTED_VALUE"""),0.002)</f>
        <v>0.002</v>
      </c>
      <c r="K700" s="19">
        <f>IFERROR(__xludf.DUMMYFUNCTION("""COMPUTED_VALUE"""),0.03671)</f>
        <v>0.03671</v>
      </c>
      <c r="L700" s="19" t="str">
        <f>IFERROR(__xludf.DUMMYFUNCTION("""COMPUTED_VALUE"""),"-")</f>
        <v>-</v>
      </c>
      <c r="M700" s="19">
        <f>IFERROR(__xludf.DUMMYFUNCTION("""COMPUTED_VALUE"""),0.04007)</f>
        <v>0.04007</v>
      </c>
    </row>
    <row r="701">
      <c r="A701" s="12" t="s">
        <v>7691</v>
      </c>
      <c r="G701" s="19">
        <f>IFERROR(__xludf.DUMMYFUNCTION("SPLIT(A699, "" |"")"),697.0)</f>
        <v>697</v>
      </c>
      <c r="H701" s="19">
        <f>IFERROR(__xludf.DUMMYFUNCTION("""COMPUTED_VALUE"""),0.00219)</f>
        <v>0.00219</v>
      </c>
      <c r="I701" s="19" t="str">
        <f>IFERROR(__xludf.DUMMYFUNCTION("""COMPUTED_VALUE"""),"-")</f>
        <v>-</v>
      </c>
      <c r="J701" s="19">
        <f>IFERROR(__xludf.DUMMYFUNCTION("""COMPUTED_VALUE"""),0.00195)</f>
        <v>0.00195</v>
      </c>
      <c r="K701" s="19">
        <f>IFERROR(__xludf.DUMMYFUNCTION("""COMPUTED_VALUE"""),0.03853)</f>
        <v>0.03853</v>
      </c>
      <c r="L701" s="19" t="str">
        <f>IFERROR(__xludf.DUMMYFUNCTION("""COMPUTED_VALUE"""),"-")</f>
        <v>-</v>
      </c>
      <c r="M701" s="19">
        <f>IFERROR(__xludf.DUMMYFUNCTION("""COMPUTED_VALUE"""),0.0391)</f>
        <v>0.0391</v>
      </c>
    </row>
    <row r="702">
      <c r="A702" s="12" t="s">
        <v>7692</v>
      </c>
      <c r="G702" s="19">
        <f>IFERROR(__xludf.DUMMYFUNCTION("SPLIT(A700, "" |"")"),698.0)</f>
        <v>698</v>
      </c>
      <c r="H702" s="19">
        <f>IFERROR(__xludf.DUMMYFUNCTION("""COMPUTED_VALUE"""),0.00225)</f>
        <v>0.00225</v>
      </c>
      <c r="I702" s="19" t="str">
        <f>IFERROR(__xludf.DUMMYFUNCTION("""COMPUTED_VALUE"""),"-")</f>
        <v>-</v>
      </c>
      <c r="J702" s="19">
        <f>IFERROR(__xludf.DUMMYFUNCTION("""COMPUTED_VALUE"""),0.00207)</f>
        <v>0.00207</v>
      </c>
      <c r="K702" s="19">
        <f>IFERROR(__xludf.DUMMYFUNCTION("""COMPUTED_VALUE"""),0.03952)</f>
        <v>0.03952</v>
      </c>
      <c r="L702" s="19" t="str">
        <f>IFERROR(__xludf.DUMMYFUNCTION("""COMPUTED_VALUE"""),"-")</f>
        <v>-</v>
      </c>
      <c r="M702" s="19">
        <f>IFERROR(__xludf.DUMMYFUNCTION("""COMPUTED_VALUE"""),0.04036)</f>
        <v>0.04036</v>
      </c>
    </row>
    <row r="703">
      <c r="A703" s="12" t="s">
        <v>7693</v>
      </c>
      <c r="G703" s="19">
        <f>IFERROR(__xludf.DUMMYFUNCTION("SPLIT(A701, "" |"")"),699.0)</f>
        <v>699</v>
      </c>
      <c r="H703" s="19">
        <f>IFERROR(__xludf.DUMMYFUNCTION("""COMPUTED_VALUE"""),0.00244)</f>
        <v>0.00244</v>
      </c>
      <c r="I703" s="19" t="str">
        <f>IFERROR(__xludf.DUMMYFUNCTION("""COMPUTED_VALUE"""),"-")</f>
        <v>-</v>
      </c>
      <c r="J703" s="19">
        <f>IFERROR(__xludf.DUMMYFUNCTION("""COMPUTED_VALUE"""),0.00205)</f>
        <v>0.00205</v>
      </c>
      <c r="K703" s="19">
        <f>IFERROR(__xludf.DUMMYFUNCTION("""COMPUTED_VALUE"""),0.03968)</f>
        <v>0.03968</v>
      </c>
      <c r="L703" s="19" t="str">
        <f>IFERROR(__xludf.DUMMYFUNCTION("""COMPUTED_VALUE"""),"-")</f>
        <v>-</v>
      </c>
      <c r="M703" s="19">
        <f>IFERROR(__xludf.DUMMYFUNCTION("""COMPUTED_VALUE"""),0.03989)</f>
        <v>0.03989</v>
      </c>
    </row>
    <row r="704">
      <c r="A704" s="12" t="s">
        <v>7694</v>
      </c>
      <c r="G704" s="19">
        <f>IFERROR(__xludf.DUMMYFUNCTION("SPLIT(A702, "" |"")"),700.0)</f>
        <v>700</v>
      </c>
      <c r="H704" s="19">
        <f>IFERROR(__xludf.DUMMYFUNCTION("""COMPUTED_VALUE"""),0.00206)</f>
        <v>0.00206</v>
      </c>
      <c r="I704" s="19" t="str">
        <f>IFERROR(__xludf.DUMMYFUNCTION("""COMPUTED_VALUE"""),"-")</f>
        <v>-</v>
      </c>
      <c r="J704" s="19">
        <f>IFERROR(__xludf.DUMMYFUNCTION("""COMPUTED_VALUE"""),0.00193)</f>
        <v>0.00193</v>
      </c>
      <c r="K704" s="19">
        <f>IFERROR(__xludf.DUMMYFUNCTION("""COMPUTED_VALUE"""),0.0397)</f>
        <v>0.0397</v>
      </c>
      <c r="L704" s="19" t="str">
        <f>IFERROR(__xludf.DUMMYFUNCTION("""COMPUTED_VALUE"""),"-")</f>
        <v>-</v>
      </c>
      <c r="M704" s="19">
        <f>IFERROR(__xludf.DUMMYFUNCTION("""COMPUTED_VALUE"""),0.03998)</f>
        <v>0.03998</v>
      </c>
    </row>
    <row r="705">
      <c r="A705" s="12" t="s">
        <v>7695</v>
      </c>
      <c r="G705" s="19">
        <f>IFERROR(__xludf.DUMMYFUNCTION("SPLIT(A703, "" |"")"),701.0)</f>
        <v>701</v>
      </c>
      <c r="H705" s="19">
        <f>IFERROR(__xludf.DUMMYFUNCTION("""COMPUTED_VALUE"""),0.00219)</f>
        <v>0.00219</v>
      </c>
      <c r="I705" s="19" t="str">
        <f>IFERROR(__xludf.DUMMYFUNCTION("""COMPUTED_VALUE"""),"-")</f>
        <v>-</v>
      </c>
      <c r="J705" s="19">
        <f>IFERROR(__xludf.DUMMYFUNCTION("""COMPUTED_VALUE"""),0.00201)</f>
        <v>0.00201</v>
      </c>
      <c r="K705" s="19">
        <f>IFERROR(__xludf.DUMMYFUNCTION("""COMPUTED_VALUE"""),0.03974)</f>
        <v>0.03974</v>
      </c>
      <c r="L705" s="19" t="str">
        <f>IFERROR(__xludf.DUMMYFUNCTION("""COMPUTED_VALUE"""),"-")</f>
        <v>-</v>
      </c>
      <c r="M705" s="19">
        <f>IFERROR(__xludf.DUMMYFUNCTION("""COMPUTED_VALUE"""),0.03996)</f>
        <v>0.03996</v>
      </c>
    </row>
    <row r="706">
      <c r="A706" s="12" t="s">
        <v>7696</v>
      </c>
      <c r="G706" s="19">
        <f>IFERROR(__xludf.DUMMYFUNCTION("SPLIT(A704, "" |"")"),702.0)</f>
        <v>702</v>
      </c>
      <c r="H706" s="19">
        <f>IFERROR(__xludf.DUMMYFUNCTION("""COMPUTED_VALUE"""),0.0021)</f>
        <v>0.0021</v>
      </c>
      <c r="I706" s="19" t="str">
        <f>IFERROR(__xludf.DUMMYFUNCTION("""COMPUTED_VALUE"""),"-")</f>
        <v>-</v>
      </c>
      <c r="J706" s="19">
        <f>IFERROR(__xludf.DUMMYFUNCTION("""COMPUTED_VALUE"""),0.00201)</f>
        <v>0.00201</v>
      </c>
      <c r="K706" s="19">
        <f>IFERROR(__xludf.DUMMYFUNCTION("""COMPUTED_VALUE"""),0.03958)</f>
        <v>0.03958</v>
      </c>
      <c r="L706" s="19" t="str">
        <f>IFERROR(__xludf.DUMMYFUNCTION("""COMPUTED_VALUE"""),"-")</f>
        <v>-</v>
      </c>
      <c r="M706" s="19">
        <f>IFERROR(__xludf.DUMMYFUNCTION("""COMPUTED_VALUE"""),0.03988)</f>
        <v>0.03988</v>
      </c>
    </row>
    <row r="707">
      <c r="A707" s="12" t="s">
        <v>7697</v>
      </c>
      <c r="G707" s="19">
        <f>IFERROR(__xludf.DUMMYFUNCTION("SPLIT(A705, "" |"")"),703.0)</f>
        <v>703</v>
      </c>
      <c r="H707" s="19">
        <f>IFERROR(__xludf.DUMMYFUNCTION("""COMPUTED_VALUE"""),0.00214)</f>
        <v>0.00214</v>
      </c>
      <c r="I707" s="19" t="str">
        <f>IFERROR(__xludf.DUMMYFUNCTION("""COMPUTED_VALUE"""),"-")</f>
        <v>-</v>
      </c>
      <c r="J707" s="19">
        <f>IFERROR(__xludf.DUMMYFUNCTION("""COMPUTED_VALUE"""),0.00186)</f>
        <v>0.00186</v>
      </c>
      <c r="K707" s="19">
        <f>IFERROR(__xludf.DUMMYFUNCTION("""COMPUTED_VALUE"""),0.0398)</f>
        <v>0.0398</v>
      </c>
      <c r="L707" s="19" t="str">
        <f>IFERROR(__xludf.DUMMYFUNCTION("""COMPUTED_VALUE"""),"-")</f>
        <v>-</v>
      </c>
      <c r="M707" s="19">
        <f>IFERROR(__xludf.DUMMYFUNCTION("""COMPUTED_VALUE"""),0.03864)</f>
        <v>0.03864</v>
      </c>
    </row>
    <row r="708">
      <c r="A708" s="12" t="s">
        <v>7698</v>
      </c>
      <c r="G708" s="19">
        <f>IFERROR(__xludf.DUMMYFUNCTION("SPLIT(A706, "" |"")"),704.0)</f>
        <v>704</v>
      </c>
      <c r="H708" s="19">
        <f>IFERROR(__xludf.DUMMYFUNCTION("""COMPUTED_VALUE"""),0.00208)</f>
        <v>0.00208</v>
      </c>
      <c r="I708" s="19" t="str">
        <f>IFERROR(__xludf.DUMMYFUNCTION("""COMPUTED_VALUE"""),"-")</f>
        <v>-</v>
      </c>
      <c r="J708" s="19">
        <f>IFERROR(__xludf.DUMMYFUNCTION("""COMPUTED_VALUE"""),0.00191)</f>
        <v>0.00191</v>
      </c>
      <c r="K708" s="19">
        <f>IFERROR(__xludf.DUMMYFUNCTION("""COMPUTED_VALUE"""),0.03805)</f>
        <v>0.03805</v>
      </c>
      <c r="L708" s="19" t="str">
        <f>IFERROR(__xludf.DUMMYFUNCTION("""COMPUTED_VALUE"""),"-")</f>
        <v>-</v>
      </c>
      <c r="M708" s="19">
        <f>IFERROR(__xludf.DUMMYFUNCTION("""COMPUTED_VALUE"""),0.04006)</f>
        <v>0.04006</v>
      </c>
    </row>
    <row r="709">
      <c r="A709" s="12" t="s">
        <v>7699</v>
      </c>
      <c r="G709" s="19">
        <f>IFERROR(__xludf.DUMMYFUNCTION("SPLIT(A707, "" |"")"),705.0)</f>
        <v>705</v>
      </c>
      <c r="H709" s="19">
        <f>IFERROR(__xludf.DUMMYFUNCTION("""COMPUTED_VALUE"""),0.00204)</f>
        <v>0.00204</v>
      </c>
      <c r="I709" s="19" t="str">
        <f>IFERROR(__xludf.DUMMYFUNCTION("""COMPUTED_VALUE"""),"-")</f>
        <v>-</v>
      </c>
      <c r="J709" s="19">
        <f>IFERROR(__xludf.DUMMYFUNCTION("""COMPUTED_VALUE"""),0.00189)</f>
        <v>0.00189</v>
      </c>
      <c r="K709" s="19">
        <f>IFERROR(__xludf.DUMMYFUNCTION("""COMPUTED_VALUE"""),0.03967)</f>
        <v>0.03967</v>
      </c>
      <c r="L709" s="19" t="str">
        <f>IFERROR(__xludf.DUMMYFUNCTION("""COMPUTED_VALUE"""),"-")</f>
        <v>-</v>
      </c>
      <c r="M709" s="19">
        <f>IFERROR(__xludf.DUMMYFUNCTION("""COMPUTED_VALUE"""),0.03968)</f>
        <v>0.03968</v>
      </c>
    </row>
    <row r="710">
      <c r="A710" s="12" t="s">
        <v>7700</v>
      </c>
      <c r="G710" s="19">
        <f>IFERROR(__xludf.DUMMYFUNCTION("SPLIT(A708, "" |"")"),706.0)</f>
        <v>706</v>
      </c>
      <c r="H710" s="19">
        <f>IFERROR(__xludf.DUMMYFUNCTION("""COMPUTED_VALUE"""),0.00245)</f>
        <v>0.00245</v>
      </c>
      <c r="I710" s="19" t="str">
        <f>IFERROR(__xludf.DUMMYFUNCTION("""COMPUTED_VALUE"""),"-")</f>
        <v>-</v>
      </c>
      <c r="J710" s="19">
        <f>IFERROR(__xludf.DUMMYFUNCTION("""COMPUTED_VALUE"""),0.00214)</f>
        <v>0.00214</v>
      </c>
      <c r="K710" s="19">
        <f>IFERROR(__xludf.DUMMYFUNCTION("""COMPUTED_VALUE"""),0.03969)</f>
        <v>0.03969</v>
      </c>
      <c r="L710" s="19" t="str">
        <f>IFERROR(__xludf.DUMMYFUNCTION("""COMPUTED_VALUE"""),"-")</f>
        <v>-</v>
      </c>
      <c r="M710" s="19">
        <f>IFERROR(__xludf.DUMMYFUNCTION("""COMPUTED_VALUE"""),0.03938)</f>
        <v>0.03938</v>
      </c>
    </row>
    <row r="711">
      <c r="A711" s="12" t="s">
        <v>7701</v>
      </c>
      <c r="G711" s="19">
        <f>IFERROR(__xludf.DUMMYFUNCTION("SPLIT(A709, "" |"")"),707.0)</f>
        <v>707</v>
      </c>
      <c r="H711" s="19">
        <f>IFERROR(__xludf.DUMMYFUNCTION("""COMPUTED_VALUE"""),0.00218)</f>
        <v>0.00218</v>
      </c>
      <c r="I711" s="19" t="str">
        <f>IFERROR(__xludf.DUMMYFUNCTION("""COMPUTED_VALUE"""),"-")</f>
        <v>-</v>
      </c>
      <c r="J711" s="19">
        <f>IFERROR(__xludf.DUMMYFUNCTION("""COMPUTED_VALUE"""),0.00197)</f>
        <v>0.00197</v>
      </c>
      <c r="K711" s="19">
        <f>IFERROR(__xludf.DUMMYFUNCTION("""COMPUTED_VALUE"""),0.03951)</f>
        <v>0.03951</v>
      </c>
      <c r="L711" s="19" t="str">
        <f>IFERROR(__xludf.DUMMYFUNCTION("""COMPUTED_VALUE"""),"-")</f>
        <v>-</v>
      </c>
      <c r="M711" s="19">
        <f>IFERROR(__xludf.DUMMYFUNCTION("""COMPUTED_VALUE"""),0.04016)</f>
        <v>0.04016</v>
      </c>
    </row>
    <row r="712">
      <c r="A712" s="12" t="s">
        <v>7702</v>
      </c>
      <c r="G712" s="19">
        <f>IFERROR(__xludf.DUMMYFUNCTION("SPLIT(A710, "" |"")"),708.0)</f>
        <v>708</v>
      </c>
      <c r="H712" s="19">
        <f>IFERROR(__xludf.DUMMYFUNCTION("""COMPUTED_VALUE"""),0.00208)</f>
        <v>0.00208</v>
      </c>
      <c r="I712" s="19" t="str">
        <f>IFERROR(__xludf.DUMMYFUNCTION("""COMPUTED_VALUE"""),"-")</f>
        <v>-</v>
      </c>
      <c r="J712" s="19">
        <f>IFERROR(__xludf.DUMMYFUNCTION("""COMPUTED_VALUE"""),0.00196)</f>
        <v>0.00196</v>
      </c>
      <c r="K712" s="19">
        <f>IFERROR(__xludf.DUMMYFUNCTION("""COMPUTED_VALUE"""),0.03973)</f>
        <v>0.03973</v>
      </c>
      <c r="L712" s="19" t="str">
        <f>IFERROR(__xludf.DUMMYFUNCTION("""COMPUTED_VALUE"""),"-")</f>
        <v>-</v>
      </c>
      <c r="M712" s="19">
        <f>IFERROR(__xludf.DUMMYFUNCTION("""COMPUTED_VALUE"""),0.04008)</f>
        <v>0.04008</v>
      </c>
    </row>
    <row r="713">
      <c r="A713" s="12" t="s">
        <v>7703</v>
      </c>
      <c r="G713" s="19">
        <f>IFERROR(__xludf.DUMMYFUNCTION("SPLIT(A711, "" |"")"),709.0)</f>
        <v>709</v>
      </c>
      <c r="H713" s="19">
        <f>IFERROR(__xludf.DUMMYFUNCTION("""COMPUTED_VALUE"""),0.00216)</f>
        <v>0.00216</v>
      </c>
      <c r="I713" s="19" t="str">
        <f>IFERROR(__xludf.DUMMYFUNCTION("""COMPUTED_VALUE"""),"-")</f>
        <v>-</v>
      </c>
      <c r="J713" s="19">
        <f>IFERROR(__xludf.DUMMYFUNCTION("""COMPUTED_VALUE"""),0.0019)</f>
        <v>0.0019</v>
      </c>
      <c r="K713" s="19">
        <f>IFERROR(__xludf.DUMMYFUNCTION("""COMPUTED_VALUE"""),0.03984)</f>
        <v>0.03984</v>
      </c>
      <c r="L713" s="19" t="str">
        <f>IFERROR(__xludf.DUMMYFUNCTION("""COMPUTED_VALUE"""),"-")</f>
        <v>-</v>
      </c>
      <c r="M713" s="19">
        <f>IFERROR(__xludf.DUMMYFUNCTION("""COMPUTED_VALUE"""),0.03991)</f>
        <v>0.03991</v>
      </c>
    </row>
    <row r="714">
      <c r="A714" s="12" t="s">
        <v>7704</v>
      </c>
      <c r="G714" s="19">
        <f>IFERROR(__xludf.DUMMYFUNCTION("SPLIT(A712, "" |"")"),710.0)</f>
        <v>710</v>
      </c>
      <c r="H714" s="19">
        <f>IFERROR(__xludf.DUMMYFUNCTION("""COMPUTED_VALUE"""),0.00216)</f>
        <v>0.00216</v>
      </c>
      <c r="I714" s="19" t="str">
        <f>IFERROR(__xludf.DUMMYFUNCTION("""COMPUTED_VALUE"""),"-")</f>
        <v>-</v>
      </c>
      <c r="J714" s="19">
        <f>IFERROR(__xludf.DUMMYFUNCTION("""COMPUTED_VALUE"""),0.00196)</f>
        <v>0.00196</v>
      </c>
      <c r="K714" s="19">
        <f>IFERROR(__xludf.DUMMYFUNCTION("""COMPUTED_VALUE"""),0.03973)</f>
        <v>0.03973</v>
      </c>
      <c r="L714" s="19" t="str">
        <f>IFERROR(__xludf.DUMMYFUNCTION("""COMPUTED_VALUE"""),"-")</f>
        <v>-</v>
      </c>
      <c r="M714" s="19">
        <f>IFERROR(__xludf.DUMMYFUNCTION("""COMPUTED_VALUE"""),0.03835)</f>
        <v>0.03835</v>
      </c>
    </row>
    <row r="715">
      <c r="A715" s="12" t="s">
        <v>7705</v>
      </c>
      <c r="G715" s="19">
        <f>IFERROR(__xludf.DUMMYFUNCTION("SPLIT(A713, "" |"")"),711.0)</f>
        <v>711</v>
      </c>
      <c r="H715" s="19">
        <f>IFERROR(__xludf.DUMMYFUNCTION("""COMPUTED_VALUE"""),0.00208)</f>
        <v>0.00208</v>
      </c>
      <c r="I715" s="19" t="str">
        <f>IFERROR(__xludf.DUMMYFUNCTION("""COMPUTED_VALUE"""),"-")</f>
        <v>-</v>
      </c>
      <c r="J715" s="19">
        <f>IFERROR(__xludf.DUMMYFUNCTION("""COMPUTED_VALUE"""),0.00185)</f>
        <v>0.00185</v>
      </c>
      <c r="K715" s="19">
        <f>IFERROR(__xludf.DUMMYFUNCTION("""COMPUTED_VALUE"""),0.0397)</f>
        <v>0.0397</v>
      </c>
      <c r="L715" s="19" t="str">
        <f>IFERROR(__xludf.DUMMYFUNCTION("""COMPUTED_VALUE"""),"-")</f>
        <v>-</v>
      </c>
      <c r="M715" s="19">
        <f>IFERROR(__xludf.DUMMYFUNCTION("""COMPUTED_VALUE"""),0.03987)</f>
        <v>0.03987</v>
      </c>
    </row>
    <row r="716">
      <c r="A716" s="12" t="s">
        <v>7706</v>
      </c>
      <c r="G716" s="19">
        <f>IFERROR(__xludf.DUMMYFUNCTION("SPLIT(A714, "" |"")"),712.0)</f>
        <v>712</v>
      </c>
      <c r="H716" s="19">
        <f>IFERROR(__xludf.DUMMYFUNCTION("""COMPUTED_VALUE"""),0.00223)</f>
        <v>0.00223</v>
      </c>
      <c r="I716" s="19" t="str">
        <f>IFERROR(__xludf.DUMMYFUNCTION("""COMPUTED_VALUE"""),"-")</f>
        <v>-</v>
      </c>
      <c r="J716" s="19">
        <f>IFERROR(__xludf.DUMMYFUNCTION("""COMPUTED_VALUE"""),0.00206)</f>
        <v>0.00206</v>
      </c>
      <c r="K716" s="19">
        <f>IFERROR(__xludf.DUMMYFUNCTION("""COMPUTED_VALUE"""),0.04023)</f>
        <v>0.04023</v>
      </c>
      <c r="L716" s="19" t="str">
        <f>IFERROR(__xludf.DUMMYFUNCTION("""COMPUTED_VALUE"""),"-")</f>
        <v>-</v>
      </c>
      <c r="M716" s="19">
        <f>IFERROR(__xludf.DUMMYFUNCTION("""COMPUTED_VALUE"""),0.03992)</f>
        <v>0.03992</v>
      </c>
    </row>
    <row r="717">
      <c r="A717" s="12" t="s">
        <v>7707</v>
      </c>
      <c r="G717" s="19">
        <f>IFERROR(__xludf.DUMMYFUNCTION("SPLIT(A715, "" |"")"),713.0)</f>
        <v>713</v>
      </c>
      <c r="H717" s="19">
        <f>IFERROR(__xludf.DUMMYFUNCTION("""COMPUTED_VALUE"""),0.00208)</f>
        <v>0.00208</v>
      </c>
      <c r="I717" s="19" t="str">
        <f>IFERROR(__xludf.DUMMYFUNCTION("""COMPUTED_VALUE"""),"-")</f>
        <v>-</v>
      </c>
      <c r="J717" s="19">
        <f>IFERROR(__xludf.DUMMYFUNCTION("""COMPUTED_VALUE"""),0.00192)</f>
        <v>0.00192</v>
      </c>
      <c r="K717" s="19">
        <f>IFERROR(__xludf.DUMMYFUNCTION("""COMPUTED_VALUE"""),0.03961)</f>
        <v>0.03961</v>
      </c>
      <c r="L717" s="19" t="str">
        <f>IFERROR(__xludf.DUMMYFUNCTION("""COMPUTED_VALUE"""),"-")</f>
        <v>-</v>
      </c>
      <c r="M717" s="19">
        <f>IFERROR(__xludf.DUMMYFUNCTION("""COMPUTED_VALUE"""),0.04042)</f>
        <v>0.04042</v>
      </c>
    </row>
    <row r="718">
      <c r="A718" s="12" t="s">
        <v>7708</v>
      </c>
      <c r="G718" s="19">
        <f>IFERROR(__xludf.DUMMYFUNCTION("SPLIT(A716, "" |"")"),714.0)</f>
        <v>714</v>
      </c>
      <c r="H718" s="19">
        <f>IFERROR(__xludf.DUMMYFUNCTION("""COMPUTED_VALUE"""),0.00205)</f>
        <v>0.00205</v>
      </c>
      <c r="I718" s="19" t="str">
        <f>IFERROR(__xludf.DUMMYFUNCTION("""COMPUTED_VALUE"""),"-")</f>
        <v>-</v>
      </c>
      <c r="J718" s="19">
        <f>IFERROR(__xludf.DUMMYFUNCTION("""COMPUTED_VALUE"""),0.00187)</f>
        <v>0.00187</v>
      </c>
      <c r="K718" s="19">
        <f>IFERROR(__xludf.DUMMYFUNCTION("""COMPUTED_VALUE"""),0.03965)</f>
        <v>0.03965</v>
      </c>
      <c r="L718" s="19" t="str">
        <f>IFERROR(__xludf.DUMMYFUNCTION("""COMPUTED_VALUE"""),"-")</f>
        <v>-</v>
      </c>
      <c r="M718" s="19">
        <f>IFERROR(__xludf.DUMMYFUNCTION("""COMPUTED_VALUE"""),0.04026)</f>
        <v>0.04026</v>
      </c>
    </row>
    <row r="719">
      <c r="A719" s="12" t="s">
        <v>7709</v>
      </c>
      <c r="G719" s="19">
        <f>IFERROR(__xludf.DUMMYFUNCTION("SPLIT(A717, "" |"")"),715.0)</f>
        <v>715</v>
      </c>
      <c r="H719" s="19">
        <f>IFERROR(__xludf.DUMMYFUNCTION("""COMPUTED_VALUE"""),0.00206)</f>
        <v>0.00206</v>
      </c>
      <c r="I719" s="19" t="str">
        <f>IFERROR(__xludf.DUMMYFUNCTION("""COMPUTED_VALUE"""),"-")</f>
        <v>-</v>
      </c>
      <c r="J719" s="19">
        <f>IFERROR(__xludf.DUMMYFUNCTION("""COMPUTED_VALUE"""),0.00188)</f>
        <v>0.00188</v>
      </c>
      <c r="K719" s="19">
        <f>IFERROR(__xludf.DUMMYFUNCTION("""COMPUTED_VALUE"""),0.03947)</f>
        <v>0.03947</v>
      </c>
      <c r="L719" s="19" t="str">
        <f>IFERROR(__xludf.DUMMYFUNCTION("""COMPUTED_VALUE"""),"-")</f>
        <v>-</v>
      </c>
      <c r="M719" s="19">
        <f>IFERROR(__xludf.DUMMYFUNCTION("""COMPUTED_VALUE"""),0.03974)</f>
        <v>0.03974</v>
      </c>
    </row>
    <row r="720">
      <c r="A720" s="12" t="s">
        <v>7710</v>
      </c>
      <c r="G720" s="19">
        <f>IFERROR(__xludf.DUMMYFUNCTION("SPLIT(A718, "" |"")"),716.0)</f>
        <v>716</v>
      </c>
      <c r="H720" s="19">
        <f>IFERROR(__xludf.DUMMYFUNCTION("""COMPUTED_VALUE"""),0.0022)</f>
        <v>0.0022</v>
      </c>
      <c r="I720" s="19" t="str">
        <f>IFERROR(__xludf.DUMMYFUNCTION("""COMPUTED_VALUE"""),"-")</f>
        <v>-</v>
      </c>
      <c r="J720" s="19">
        <f>IFERROR(__xludf.DUMMYFUNCTION("""COMPUTED_VALUE"""),0.00208)</f>
        <v>0.00208</v>
      </c>
      <c r="K720" s="19">
        <f>IFERROR(__xludf.DUMMYFUNCTION("""COMPUTED_VALUE"""),0.0398)</f>
        <v>0.0398</v>
      </c>
      <c r="L720" s="19" t="str">
        <f>IFERROR(__xludf.DUMMYFUNCTION("""COMPUTED_VALUE"""),"-")</f>
        <v>-</v>
      </c>
      <c r="M720" s="19">
        <f>IFERROR(__xludf.DUMMYFUNCTION("""COMPUTED_VALUE"""),0.03911)</f>
        <v>0.03911</v>
      </c>
    </row>
    <row r="721">
      <c r="A721" s="12" t="s">
        <v>7711</v>
      </c>
      <c r="G721" s="19">
        <f>IFERROR(__xludf.DUMMYFUNCTION("SPLIT(A719, "" |"")"),717.0)</f>
        <v>717</v>
      </c>
      <c r="H721" s="19">
        <f>IFERROR(__xludf.DUMMYFUNCTION("""COMPUTED_VALUE"""),0.00222)</f>
        <v>0.00222</v>
      </c>
      <c r="I721" s="19" t="str">
        <f>IFERROR(__xludf.DUMMYFUNCTION("""COMPUTED_VALUE"""),"-")</f>
        <v>-</v>
      </c>
      <c r="J721" s="19">
        <f>IFERROR(__xludf.DUMMYFUNCTION("""COMPUTED_VALUE"""),0.00198)</f>
        <v>0.00198</v>
      </c>
      <c r="K721" s="19">
        <f>IFERROR(__xludf.DUMMYFUNCTION("""COMPUTED_VALUE"""),0.03974)</f>
        <v>0.03974</v>
      </c>
      <c r="L721" s="19" t="str">
        <f>IFERROR(__xludf.DUMMYFUNCTION("""COMPUTED_VALUE"""),"-")</f>
        <v>-</v>
      </c>
      <c r="M721" s="19">
        <f>IFERROR(__xludf.DUMMYFUNCTION("""COMPUTED_VALUE"""),0.03983)</f>
        <v>0.03983</v>
      </c>
    </row>
    <row r="722">
      <c r="A722" s="12" t="s">
        <v>7712</v>
      </c>
      <c r="G722" s="19">
        <f>IFERROR(__xludf.DUMMYFUNCTION("SPLIT(A720, "" |"")"),718.0)</f>
        <v>718</v>
      </c>
      <c r="H722" s="19">
        <f>IFERROR(__xludf.DUMMYFUNCTION("""COMPUTED_VALUE"""),0.00201)</f>
        <v>0.00201</v>
      </c>
      <c r="I722" s="19" t="str">
        <f>IFERROR(__xludf.DUMMYFUNCTION("""COMPUTED_VALUE"""),"-")</f>
        <v>-</v>
      </c>
      <c r="J722" s="19">
        <f>IFERROR(__xludf.DUMMYFUNCTION("""COMPUTED_VALUE"""),0.00191)</f>
        <v>0.00191</v>
      </c>
      <c r="K722" s="19">
        <f>IFERROR(__xludf.DUMMYFUNCTION("""COMPUTED_VALUE"""),0.03962)</f>
        <v>0.03962</v>
      </c>
      <c r="L722" s="19" t="str">
        <f>IFERROR(__xludf.DUMMYFUNCTION("""COMPUTED_VALUE"""),"-")</f>
        <v>-</v>
      </c>
      <c r="M722" s="19">
        <f>IFERROR(__xludf.DUMMYFUNCTION("""COMPUTED_VALUE"""),0.03942)</f>
        <v>0.03942</v>
      </c>
    </row>
    <row r="723">
      <c r="A723" s="12" t="s">
        <v>7713</v>
      </c>
      <c r="G723" s="19">
        <f>IFERROR(__xludf.DUMMYFUNCTION("SPLIT(A721, "" |"")"),719.0)</f>
        <v>719</v>
      </c>
      <c r="H723" s="19">
        <f>IFERROR(__xludf.DUMMYFUNCTION("""COMPUTED_VALUE"""),0.0023)</f>
        <v>0.0023</v>
      </c>
      <c r="I723" s="19" t="str">
        <f>IFERROR(__xludf.DUMMYFUNCTION("""COMPUTED_VALUE"""),"-")</f>
        <v>-</v>
      </c>
      <c r="J723" s="19">
        <f>IFERROR(__xludf.DUMMYFUNCTION("""COMPUTED_VALUE"""),0.00228)</f>
        <v>0.00228</v>
      </c>
      <c r="K723" s="19">
        <f>IFERROR(__xludf.DUMMYFUNCTION("""COMPUTED_VALUE"""),0.03975)</f>
        <v>0.03975</v>
      </c>
      <c r="L723" s="19" t="str">
        <f>IFERROR(__xludf.DUMMYFUNCTION("""COMPUTED_VALUE"""),"-")</f>
        <v>-</v>
      </c>
      <c r="M723" s="19">
        <f>IFERROR(__xludf.DUMMYFUNCTION("""COMPUTED_VALUE"""),0.03537)</f>
        <v>0.03537</v>
      </c>
    </row>
    <row r="724">
      <c r="A724" s="12" t="s">
        <v>7714</v>
      </c>
      <c r="G724" s="19">
        <f>IFERROR(__xludf.DUMMYFUNCTION("SPLIT(A722, "" |"")"),720.0)</f>
        <v>720</v>
      </c>
      <c r="H724" s="19">
        <f>IFERROR(__xludf.DUMMYFUNCTION("""COMPUTED_VALUE"""),0.00223)</f>
        <v>0.00223</v>
      </c>
      <c r="I724" s="19" t="str">
        <f>IFERROR(__xludf.DUMMYFUNCTION("""COMPUTED_VALUE"""),"-")</f>
        <v>-</v>
      </c>
      <c r="J724" s="19">
        <f>IFERROR(__xludf.DUMMYFUNCTION("""COMPUTED_VALUE"""),0.00207)</f>
        <v>0.00207</v>
      </c>
      <c r="K724" s="19">
        <f>IFERROR(__xludf.DUMMYFUNCTION("""COMPUTED_VALUE"""),0.03573)</f>
        <v>0.03573</v>
      </c>
      <c r="L724" s="19" t="str">
        <f>IFERROR(__xludf.DUMMYFUNCTION("""COMPUTED_VALUE"""),"-")</f>
        <v>-</v>
      </c>
      <c r="M724" s="19">
        <f>IFERROR(__xludf.DUMMYFUNCTION("""COMPUTED_VALUE"""),0.04051)</f>
        <v>0.04051</v>
      </c>
    </row>
    <row r="725">
      <c r="A725" s="12" t="s">
        <v>7715</v>
      </c>
      <c r="G725" s="19">
        <f>IFERROR(__xludf.DUMMYFUNCTION("SPLIT(A723, "" |"")"),721.0)</f>
        <v>721</v>
      </c>
      <c r="H725" s="19">
        <f>IFERROR(__xludf.DUMMYFUNCTION("""COMPUTED_VALUE"""),0.00232)</f>
        <v>0.00232</v>
      </c>
      <c r="I725" s="19" t="str">
        <f>IFERROR(__xludf.DUMMYFUNCTION("""COMPUTED_VALUE"""),"-")</f>
        <v>-</v>
      </c>
      <c r="J725" s="19">
        <f>IFERROR(__xludf.DUMMYFUNCTION("""COMPUTED_VALUE"""),0.00206)</f>
        <v>0.00206</v>
      </c>
      <c r="K725" s="19">
        <f>IFERROR(__xludf.DUMMYFUNCTION("""COMPUTED_VALUE"""),0.03915)</f>
        <v>0.03915</v>
      </c>
      <c r="L725" s="19" t="str">
        <f>IFERROR(__xludf.DUMMYFUNCTION("""COMPUTED_VALUE"""),"-")</f>
        <v>-</v>
      </c>
      <c r="M725" s="19">
        <f>IFERROR(__xludf.DUMMYFUNCTION("""COMPUTED_VALUE"""),0.03976)</f>
        <v>0.03976</v>
      </c>
    </row>
    <row r="726">
      <c r="A726" s="12" t="s">
        <v>7716</v>
      </c>
      <c r="G726" s="19">
        <f>IFERROR(__xludf.DUMMYFUNCTION("SPLIT(A724, "" |"")"),722.0)</f>
        <v>722</v>
      </c>
      <c r="H726" s="19">
        <f>IFERROR(__xludf.DUMMYFUNCTION("""COMPUTED_VALUE"""),0.00219)</f>
        <v>0.00219</v>
      </c>
      <c r="I726" s="19" t="str">
        <f>IFERROR(__xludf.DUMMYFUNCTION("""COMPUTED_VALUE"""),"-")</f>
        <v>-</v>
      </c>
      <c r="J726" s="19">
        <f>IFERROR(__xludf.DUMMYFUNCTION("""COMPUTED_VALUE"""),0.00201)</f>
        <v>0.00201</v>
      </c>
      <c r="K726" s="19">
        <f>IFERROR(__xludf.DUMMYFUNCTION("""COMPUTED_VALUE"""),0.03969)</f>
        <v>0.03969</v>
      </c>
      <c r="L726" s="19" t="str">
        <f>IFERROR(__xludf.DUMMYFUNCTION("""COMPUTED_VALUE"""),"-")</f>
        <v>-</v>
      </c>
      <c r="M726" s="19">
        <f>IFERROR(__xludf.DUMMYFUNCTION("""COMPUTED_VALUE"""),0.04008)</f>
        <v>0.04008</v>
      </c>
    </row>
    <row r="727">
      <c r="A727" s="12" t="s">
        <v>7717</v>
      </c>
      <c r="G727" s="19">
        <f>IFERROR(__xludf.DUMMYFUNCTION("SPLIT(A725, "" |"")"),723.0)</f>
        <v>723</v>
      </c>
      <c r="H727" s="19">
        <f>IFERROR(__xludf.DUMMYFUNCTION("""COMPUTED_VALUE"""),0.00223)</f>
        <v>0.00223</v>
      </c>
      <c r="I727" s="19" t="str">
        <f>IFERROR(__xludf.DUMMYFUNCTION("""COMPUTED_VALUE"""),"-")</f>
        <v>-</v>
      </c>
      <c r="J727" s="19">
        <f>IFERROR(__xludf.DUMMYFUNCTION("""COMPUTED_VALUE"""),0.00206)</f>
        <v>0.00206</v>
      </c>
      <c r="K727" s="19">
        <f>IFERROR(__xludf.DUMMYFUNCTION("""COMPUTED_VALUE"""),0.03852)</f>
        <v>0.03852</v>
      </c>
      <c r="L727" s="19" t="str">
        <f>IFERROR(__xludf.DUMMYFUNCTION("""COMPUTED_VALUE"""),"-")</f>
        <v>-</v>
      </c>
      <c r="M727" s="19">
        <f>IFERROR(__xludf.DUMMYFUNCTION("""COMPUTED_VALUE"""),0.04059)</f>
        <v>0.04059</v>
      </c>
    </row>
    <row r="728">
      <c r="A728" s="12" t="s">
        <v>7718</v>
      </c>
      <c r="G728" s="19">
        <f>IFERROR(__xludf.DUMMYFUNCTION("SPLIT(A726, "" |"")"),724.0)</f>
        <v>724</v>
      </c>
      <c r="H728" s="19">
        <f>IFERROR(__xludf.DUMMYFUNCTION("""COMPUTED_VALUE"""),0.00239)</f>
        <v>0.00239</v>
      </c>
      <c r="I728" s="19" t="str">
        <f>IFERROR(__xludf.DUMMYFUNCTION("""COMPUTED_VALUE"""),"-")</f>
        <v>-</v>
      </c>
      <c r="J728" s="19">
        <f>IFERROR(__xludf.DUMMYFUNCTION("""COMPUTED_VALUE"""),0.0023)</f>
        <v>0.0023</v>
      </c>
      <c r="K728" s="19">
        <f>IFERROR(__xludf.DUMMYFUNCTION("""COMPUTED_VALUE"""),0.03991)</f>
        <v>0.03991</v>
      </c>
      <c r="L728" s="19" t="str">
        <f>IFERROR(__xludf.DUMMYFUNCTION("""COMPUTED_VALUE"""),"-")</f>
        <v>-</v>
      </c>
      <c r="M728" s="19">
        <f>IFERROR(__xludf.DUMMYFUNCTION("""COMPUTED_VALUE"""),0.03998)</f>
        <v>0.03998</v>
      </c>
    </row>
    <row r="729">
      <c r="A729" s="12" t="s">
        <v>7719</v>
      </c>
      <c r="G729" s="19">
        <f>IFERROR(__xludf.DUMMYFUNCTION("SPLIT(A727, "" |"")"),725.0)</f>
        <v>725</v>
      </c>
      <c r="H729" s="19">
        <f>IFERROR(__xludf.DUMMYFUNCTION("""COMPUTED_VALUE"""),0.00212)</f>
        <v>0.00212</v>
      </c>
      <c r="I729" s="19" t="str">
        <f>IFERROR(__xludf.DUMMYFUNCTION("""COMPUTED_VALUE"""),"-")</f>
        <v>-</v>
      </c>
      <c r="J729" s="19">
        <f>IFERROR(__xludf.DUMMYFUNCTION("""COMPUTED_VALUE"""),0.00191)</f>
        <v>0.00191</v>
      </c>
      <c r="K729" s="19">
        <f>IFERROR(__xludf.DUMMYFUNCTION("""COMPUTED_VALUE"""),0.0397)</f>
        <v>0.0397</v>
      </c>
      <c r="L729" s="19" t="str">
        <f>IFERROR(__xludf.DUMMYFUNCTION("""COMPUTED_VALUE"""),"-")</f>
        <v>-</v>
      </c>
      <c r="M729" s="19">
        <f>IFERROR(__xludf.DUMMYFUNCTION("""COMPUTED_VALUE"""),0.0401)</f>
        <v>0.0401</v>
      </c>
    </row>
    <row r="730">
      <c r="A730" s="12" t="s">
        <v>7720</v>
      </c>
      <c r="G730" s="19">
        <f>IFERROR(__xludf.DUMMYFUNCTION("SPLIT(A728, "" |"")"),726.0)</f>
        <v>726</v>
      </c>
      <c r="H730" s="19">
        <f>IFERROR(__xludf.DUMMYFUNCTION("""COMPUTED_VALUE"""),0.00224)</f>
        <v>0.00224</v>
      </c>
      <c r="I730" s="19" t="str">
        <f>IFERROR(__xludf.DUMMYFUNCTION("""COMPUTED_VALUE"""),"-")</f>
        <v>-</v>
      </c>
      <c r="J730" s="19">
        <f>IFERROR(__xludf.DUMMYFUNCTION("""COMPUTED_VALUE"""),0.00199)</f>
        <v>0.00199</v>
      </c>
      <c r="K730" s="19">
        <f>IFERROR(__xludf.DUMMYFUNCTION("""COMPUTED_VALUE"""),0.03977)</f>
        <v>0.03977</v>
      </c>
      <c r="L730" s="19" t="str">
        <f>IFERROR(__xludf.DUMMYFUNCTION("""COMPUTED_VALUE"""),"-")</f>
        <v>-</v>
      </c>
      <c r="M730" s="19">
        <f>IFERROR(__xludf.DUMMYFUNCTION("""COMPUTED_VALUE"""),0.03997)</f>
        <v>0.03997</v>
      </c>
    </row>
    <row r="731">
      <c r="A731" s="12" t="s">
        <v>7721</v>
      </c>
      <c r="G731" s="19">
        <f>IFERROR(__xludf.DUMMYFUNCTION("SPLIT(A729, "" |"")"),727.0)</f>
        <v>727</v>
      </c>
      <c r="H731" s="19">
        <f>IFERROR(__xludf.DUMMYFUNCTION("""COMPUTED_VALUE"""),0.00217)</f>
        <v>0.00217</v>
      </c>
      <c r="I731" s="19" t="str">
        <f>IFERROR(__xludf.DUMMYFUNCTION("""COMPUTED_VALUE"""),"-")</f>
        <v>-</v>
      </c>
      <c r="J731" s="19">
        <f>IFERROR(__xludf.DUMMYFUNCTION("""COMPUTED_VALUE"""),0.00193)</f>
        <v>0.00193</v>
      </c>
      <c r="K731" s="19">
        <f>IFERROR(__xludf.DUMMYFUNCTION("""COMPUTED_VALUE"""),0.03971)</f>
        <v>0.03971</v>
      </c>
      <c r="L731" s="19" t="str">
        <f>IFERROR(__xludf.DUMMYFUNCTION("""COMPUTED_VALUE"""),"-")</f>
        <v>-</v>
      </c>
      <c r="M731" s="19">
        <f>IFERROR(__xludf.DUMMYFUNCTION("""COMPUTED_VALUE"""),0.03989)</f>
        <v>0.03989</v>
      </c>
    </row>
    <row r="732">
      <c r="A732" s="12" t="s">
        <v>7722</v>
      </c>
      <c r="G732" s="19">
        <f>IFERROR(__xludf.DUMMYFUNCTION("SPLIT(A730, "" |"")"),728.0)</f>
        <v>728</v>
      </c>
      <c r="H732" s="19">
        <f>IFERROR(__xludf.DUMMYFUNCTION("""COMPUTED_VALUE"""),0.00214)</f>
        <v>0.00214</v>
      </c>
      <c r="I732" s="19" t="str">
        <f>IFERROR(__xludf.DUMMYFUNCTION("""COMPUTED_VALUE"""),"-")</f>
        <v>-</v>
      </c>
      <c r="J732" s="19">
        <f>IFERROR(__xludf.DUMMYFUNCTION("""COMPUTED_VALUE"""),0.00187)</f>
        <v>0.00187</v>
      </c>
      <c r="K732" s="19">
        <f>IFERROR(__xludf.DUMMYFUNCTION("""COMPUTED_VALUE"""),0.0397)</f>
        <v>0.0397</v>
      </c>
      <c r="L732" s="19" t="str">
        <f>IFERROR(__xludf.DUMMYFUNCTION("""COMPUTED_VALUE"""),"-")</f>
        <v>-</v>
      </c>
      <c r="M732" s="19">
        <f>IFERROR(__xludf.DUMMYFUNCTION("""COMPUTED_VALUE"""),0.03987)</f>
        <v>0.03987</v>
      </c>
    </row>
    <row r="733">
      <c r="A733" s="12" t="s">
        <v>7723</v>
      </c>
      <c r="G733" s="19">
        <f>IFERROR(__xludf.DUMMYFUNCTION("SPLIT(A731, "" |"")"),729.0)</f>
        <v>729</v>
      </c>
      <c r="H733" s="19">
        <f>IFERROR(__xludf.DUMMYFUNCTION("""COMPUTED_VALUE"""),0.0021)</f>
        <v>0.0021</v>
      </c>
      <c r="I733" s="19" t="str">
        <f>IFERROR(__xludf.DUMMYFUNCTION("""COMPUTED_VALUE"""),"-")</f>
        <v>-</v>
      </c>
      <c r="J733" s="19">
        <f>IFERROR(__xludf.DUMMYFUNCTION("""COMPUTED_VALUE"""),0.00198)</f>
        <v>0.00198</v>
      </c>
      <c r="K733" s="19">
        <f>IFERROR(__xludf.DUMMYFUNCTION("""COMPUTED_VALUE"""),0.03965)</f>
        <v>0.03965</v>
      </c>
      <c r="L733" s="19" t="str">
        <f>IFERROR(__xludf.DUMMYFUNCTION("""COMPUTED_VALUE"""),"-")</f>
        <v>-</v>
      </c>
      <c r="M733" s="19">
        <f>IFERROR(__xludf.DUMMYFUNCTION("""COMPUTED_VALUE"""),0.03712)</f>
        <v>0.03712</v>
      </c>
    </row>
    <row r="734">
      <c r="A734" s="12" t="s">
        <v>7724</v>
      </c>
      <c r="G734" s="19">
        <f>IFERROR(__xludf.DUMMYFUNCTION("SPLIT(A732, "" |"")"),730.0)</f>
        <v>730</v>
      </c>
      <c r="H734" s="19">
        <f>IFERROR(__xludf.DUMMYFUNCTION("""COMPUTED_VALUE"""),0.00214)</f>
        <v>0.00214</v>
      </c>
      <c r="I734" s="19" t="str">
        <f>IFERROR(__xludf.DUMMYFUNCTION("""COMPUTED_VALUE"""),"-")</f>
        <v>-</v>
      </c>
      <c r="J734" s="19">
        <f>IFERROR(__xludf.DUMMYFUNCTION("""COMPUTED_VALUE"""),0.00206)</f>
        <v>0.00206</v>
      </c>
      <c r="K734" s="19">
        <f>IFERROR(__xludf.DUMMYFUNCTION("""COMPUTED_VALUE"""),0.03977)</f>
        <v>0.03977</v>
      </c>
      <c r="L734" s="19" t="str">
        <f>IFERROR(__xludf.DUMMYFUNCTION("""COMPUTED_VALUE"""),"-")</f>
        <v>-</v>
      </c>
      <c r="M734" s="19">
        <f>IFERROR(__xludf.DUMMYFUNCTION("""COMPUTED_VALUE"""),0.04003)</f>
        <v>0.04003</v>
      </c>
    </row>
    <row r="735">
      <c r="A735" s="12" t="s">
        <v>7725</v>
      </c>
      <c r="G735" s="19">
        <f>IFERROR(__xludf.DUMMYFUNCTION("SPLIT(A733, "" |"")"),731.0)</f>
        <v>731</v>
      </c>
      <c r="H735" s="19">
        <f>IFERROR(__xludf.DUMMYFUNCTION("""COMPUTED_VALUE"""),0.00206)</f>
        <v>0.00206</v>
      </c>
      <c r="I735" s="19" t="str">
        <f>IFERROR(__xludf.DUMMYFUNCTION("""COMPUTED_VALUE"""),"-")</f>
        <v>-</v>
      </c>
      <c r="J735" s="19">
        <f>IFERROR(__xludf.DUMMYFUNCTION("""COMPUTED_VALUE"""),0.00219)</f>
        <v>0.00219</v>
      </c>
      <c r="K735" s="19">
        <f>IFERROR(__xludf.DUMMYFUNCTION("""COMPUTED_VALUE"""),0.03995)</f>
        <v>0.03995</v>
      </c>
      <c r="L735" s="19" t="str">
        <f>IFERROR(__xludf.DUMMYFUNCTION("""COMPUTED_VALUE"""),"-")</f>
        <v>-</v>
      </c>
      <c r="M735" s="19">
        <f>IFERROR(__xludf.DUMMYFUNCTION("""COMPUTED_VALUE"""),0.03985)</f>
        <v>0.03985</v>
      </c>
    </row>
    <row r="736">
      <c r="A736" s="12" t="s">
        <v>7726</v>
      </c>
      <c r="G736" s="19">
        <f>IFERROR(__xludf.DUMMYFUNCTION("SPLIT(A734, "" |"")"),732.0)</f>
        <v>732</v>
      </c>
      <c r="H736" s="19">
        <f>IFERROR(__xludf.DUMMYFUNCTION("""COMPUTED_VALUE"""),0.00202)</f>
        <v>0.00202</v>
      </c>
      <c r="I736" s="19" t="str">
        <f>IFERROR(__xludf.DUMMYFUNCTION("""COMPUTED_VALUE"""),"-")</f>
        <v>-</v>
      </c>
      <c r="J736" s="19">
        <f>IFERROR(__xludf.DUMMYFUNCTION("""COMPUTED_VALUE"""),0.00193)</f>
        <v>0.00193</v>
      </c>
      <c r="K736" s="19">
        <f>IFERROR(__xludf.DUMMYFUNCTION("""COMPUTED_VALUE"""),0.03967)</f>
        <v>0.03967</v>
      </c>
      <c r="L736" s="19" t="str">
        <f>IFERROR(__xludf.DUMMYFUNCTION("""COMPUTED_VALUE"""),"-")</f>
        <v>-</v>
      </c>
      <c r="M736" s="19">
        <f>IFERROR(__xludf.DUMMYFUNCTION("""COMPUTED_VALUE"""),0.04044)</f>
        <v>0.04044</v>
      </c>
    </row>
    <row r="737">
      <c r="A737" s="12" t="s">
        <v>7727</v>
      </c>
      <c r="G737" s="19">
        <f>IFERROR(__xludf.DUMMYFUNCTION("SPLIT(A735, "" |"")"),733.0)</f>
        <v>733</v>
      </c>
      <c r="H737" s="19">
        <f>IFERROR(__xludf.DUMMYFUNCTION("""COMPUTED_VALUE"""),0.0021)</f>
        <v>0.0021</v>
      </c>
      <c r="I737" s="19" t="str">
        <f>IFERROR(__xludf.DUMMYFUNCTION("""COMPUTED_VALUE"""),"-")</f>
        <v>-</v>
      </c>
      <c r="J737" s="19">
        <f>IFERROR(__xludf.DUMMYFUNCTION("""COMPUTED_VALUE"""),0.00182)</f>
        <v>0.00182</v>
      </c>
      <c r="K737" s="19">
        <f>IFERROR(__xludf.DUMMYFUNCTION("""COMPUTED_VALUE"""),0.03913)</f>
        <v>0.03913</v>
      </c>
      <c r="L737" s="19" t="str">
        <f>IFERROR(__xludf.DUMMYFUNCTION("""COMPUTED_VALUE"""),"-")</f>
        <v>-</v>
      </c>
      <c r="M737" s="19">
        <f>IFERROR(__xludf.DUMMYFUNCTION("""COMPUTED_VALUE"""),0.04054)</f>
        <v>0.04054</v>
      </c>
    </row>
    <row r="738">
      <c r="A738" s="12" t="s">
        <v>7728</v>
      </c>
      <c r="G738" s="19">
        <f>IFERROR(__xludf.DUMMYFUNCTION("SPLIT(A736, "" |"")"),734.0)</f>
        <v>734</v>
      </c>
      <c r="H738" s="19">
        <f>IFERROR(__xludf.DUMMYFUNCTION("""COMPUTED_VALUE"""),0.0021)</f>
        <v>0.0021</v>
      </c>
      <c r="I738" s="19" t="str">
        <f>IFERROR(__xludf.DUMMYFUNCTION("""COMPUTED_VALUE"""),"-")</f>
        <v>-</v>
      </c>
      <c r="J738" s="19">
        <f>IFERROR(__xludf.DUMMYFUNCTION("""COMPUTED_VALUE"""),0.00199)</f>
        <v>0.00199</v>
      </c>
      <c r="K738" s="19">
        <f>IFERROR(__xludf.DUMMYFUNCTION("""COMPUTED_VALUE"""),0.03963)</f>
        <v>0.03963</v>
      </c>
      <c r="L738" s="19" t="str">
        <f>IFERROR(__xludf.DUMMYFUNCTION("""COMPUTED_VALUE"""),"-")</f>
        <v>-</v>
      </c>
      <c r="M738" s="19">
        <f>IFERROR(__xludf.DUMMYFUNCTION("""COMPUTED_VALUE"""),0.03489)</f>
        <v>0.03489</v>
      </c>
    </row>
    <row r="739">
      <c r="A739" s="12" t="s">
        <v>7729</v>
      </c>
      <c r="G739" s="19">
        <f>IFERROR(__xludf.DUMMYFUNCTION("SPLIT(A737, "" |"")"),735.0)</f>
        <v>735</v>
      </c>
      <c r="H739" s="19">
        <f>IFERROR(__xludf.DUMMYFUNCTION("""COMPUTED_VALUE"""),0.0021)</f>
        <v>0.0021</v>
      </c>
      <c r="I739" s="19" t="str">
        <f>IFERROR(__xludf.DUMMYFUNCTION("""COMPUTED_VALUE"""),"-")</f>
        <v>-</v>
      </c>
      <c r="J739" s="19">
        <f>IFERROR(__xludf.DUMMYFUNCTION("""COMPUTED_VALUE"""),0.00187)</f>
        <v>0.00187</v>
      </c>
      <c r="K739" s="19">
        <f>IFERROR(__xludf.DUMMYFUNCTION("""COMPUTED_VALUE"""),0.03996)</f>
        <v>0.03996</v>
      </c>
      <c r="L739" s="19" t="str">
        <f>IFERROR(__xludf.DUMMYFUNCTION("""COMPUTED_VALUE"""),"-")</f>
        <v>-</v>
      </c>
      <c r="M739" s="19">
        <f>IFERROR(__xludf.DUMMYFUNCTION("""COMPUTED_VALUE"""),0.03986)</f>
        <v>0.03986</v>
      </c>
    </row>
    <row r="740">
      <c r="A740" s="12" t="s">
        <v>7730</v>
      </c>
      <c r="G740" s="19">
        <f>IFERROR(__xludf.DUMMYFUNCTION("SPLIT(A738, "" |"")"),736.0)</f>
        <v>736</v>
      </c>
      <c r="H740" s="19">
        <f>IFERROR(__xludf.DUMMYFUNCTION("""COMPUTED_VALUE"""),0.00204)</f>
        <v>0.00204</v>
      </c>
      <c r="I740" s="19" t="str">
        <f>IFERROR(__xludf.DUMMYFUNCTION("""COMPUTED_VALUE"""),"-")</f>
        <v>-</v>
      </c>
      <c r="J740" s="19">
        <f>IFERROR(__xludf.DUMMYFUNCTION("""COMPUTED_VALUE"""),0.00181)</f>
        <v>0.00181</v>
      </c>
      <c r="K740" s="19">
        <f>IFERROR(__xludf.DUMMYFUNCTION("""COMPUTED_VALUE"""),0.03956)</f>
        <v>0.03956</v>
      </c>
      <c r="L740" s="19" t="str">
        <f>IFERROR(__xludf.DUMMYFUNCTION("""COMPUTED_VALUE"""),"-")</f>
        <v>-</v>
      </c>
      <c r="M740" s="19">
        <f>IFERROR(__xludf.DUMMYFUNCTION("""COMPUTED_VALUE"""),0.03993)</f>
        <v>0.03993</v>
      </c>
    </row>
    <row r="741">
      <c r="A741" s="12" t="s">
        <v>7731</v>
      </c>
      <c r="G741" s="19">
        <f>IFERROR(__xludf.DUMMYFUNCTION("SPLIT(A739, "" |"")"),737.0)</f>
        <v>737</v>
      </c>
      <c r="H741" s="19">
        <f>IFERROR(__xludf.DUMMYFUNCTION("""COMPUTED_VALUE"""),0.0023)</f>
        <v>0.0023</v>
      </c>
      <c r="I741" s="19" t="str">
        <f>IFERROR(__xludf.DUMMYFUNCTION("""COMPUTED_VALUE"""),"-")</f>
        <v>-</v>
      </c>
      <c r="J741" s="19">
        <f>IFERROR(__xludf.DUMMYFUNCTION("""COMPUTED_VALUE"""),0.00201)</f>
        <v>0.00201</v>
      </c>
      <c r="K741" s="19">
        <f>IFERROR(__xludf.DUMMYFUNCTION("""COMPUTED_VALUE"""),0.03976)</f>
        <v>0.03976</v>
      </c>
      <c r="L741" s="19" t="str">
        <f>IFERROR(__xludf.DUMMYFUNCTION("""COMPUTED_VALUE"""),"-")</f>
        <v>-</v>
      </c>
      <c r="M741" s="19">
        <f>IFERROR(__xludf.DUMMYFUNCTION("""COMPUTED_VALUE"""),0.04021)</f>
        <v>0.04021</v>
      </c>
    </row>
    <row r="742">
      <c r="A742" s="12" t="s">
        <v>7732</v>
      </c>
      <c r="G742" s="19">
        <f>IFERROR(__xludf.DUMMYFUNCTION("SPLIT(A740, "" |"")"),738.0)</f>
        <v>738</v>
      </c>
      <c r="H742" s="19">
        <f>IFERROR(__xludf.DUMMYFUNCTION("""COMPUTED_VALUE"""),0.00224)</f>
        <v>0.00224</v>
      </c>
      <c r="I742" s="19" t="str">
        <f>IFERROR(__xludf.DUMMYFUNCTION("""COMPUTED_VALUE"""),"-")</f>
        <v>-</v>
      </c>
      <c r="J742" s="19">
        <f>IFERROR(__xludf.DUMMYFUNCTION("""COMPUTED_VALUE"""),0.00208)</f>
        <v>0.00208</v>
      </c>
      <c r="K742" s="19">
        <f>IFERROR(__xludf.DUMMYFUNCTION("""COMPUTED_VALUE"""),0.03977)</f>
        <v>0.03977</v>
      </c>
      <c r="L742" s="19" t="str">
        <f>IFERROR(__xludf.DUMMYFUNCTION("""COMPUTED_VALUE"""),"-")</f>
        <v>-</v>
      </c>
      <c r="M742" s="19">
        <f>IFERROR(__xludf.DUMMYFUNCTION("""COMPUTED_VALUE"""),0.03834)</f>
        <v>0.03834</v>
      </c>
    </row>
    <row r="743">
      <c r="A743" s="12" t="s">
        <v>7733</v>
      </c>
      <c r="G743" s="19">
        <f>IFERROR(__xludf.DUMMYFUNCTION("SPLIT(A741, "" |"")"),739.0)</f>
        <v>739</v>
      </c>
      <c r="H743" s="19">
        <f>IFERROR(__xludf.DUMMYFUNCTION("""COMPUTED_VALUE"""),0.00221)</f>
        <v>0.00221</v>
      </c>
      <c r="I743" s="19" t="str">
        <f>IFERROR(__xludf.DUMMYFUNCTION("""COMPUTED_VALUE"""),"-")</f>
        <v>-</v>
      </c>
      <c r="J743" s="19">
        <f>IFERROR(__xludf.DUMMYFUNCTION("""COMPUTED_VALUE"""),0.00198)</f>
        <v>0.00198</v>
      </c>
      <c r="K743" s="19">
        <f>IFERROR(__xludf.DUMMYFUNCTION("""COMPUTED_VALUE"""),0.03991)</f>
        <v>0.03991</v>
      </c>
      <c r="L743" s="19" t="str">
        <f>IFERROR(__xludf.DUMMYFUNCTION("""COMPUTED_VALUE"""),"-")</f>
        <v>-</v>
      </c>
      <c r="M743" s="19">
        <f>IFERROR(__xludf.DUMMYFUNCTION("""COMPUTED_VALUE"""),0.03982)</f>
        <v>0.03982</v>
      </c>
    </row>
    <row r="744">
      <c r="A744" s="12" t="s">
        <v>7734</v>
      </c>
      <c r="G744" s="19">
        <f>IFERROR(__xludf.DUMMYFUNCTION("SPLIT(A742, "" |"")"),740.0)</f>
        <v>740</v>
      </c>
      <c r="H744" s="19">
        <f>IFERROR(__xludf.DUMMYFUNCTION("""COMPUTED_VALUE"""),0.00214)</f>
        <v>0.00214</v>
      </c>
      <c r="I744" s="19" t="str">
        <f>IFERROR(__xludf.DUMMYFUNCTION("""COMPUTED_VALUE"""),"-")</f>
        <v>-</v>
      </c>
      <c r="J744" s="19">
        <f>IFERROR(__xludf.DUMMYFUNCTION("""COMPUTED_VALUE"""),0.00188)</f>
        <v>0.00188</v>
      </c>
      <c r="K744" s="19">
        <f>IFERROR(__xludf.DUMMYFUNCTION("""COMPUTED_VALUE"""),0.03968)</f>
        <v>0.03968</v>
      </c>
      <c r="L744" s="19" t="str">
        <f>IFERROR(__xludf.DUMMYFUNCTION("""COMPUTED_VALUE"""),"-")</f>
        <v>-</v>
      </c>
      <c r="M744" s="19">
        <f>IFERROR(__xludf.DUMMYFUNCTION("""COMPUTED_VALUE"""),0.03996)</f>
        <v>0.03996</v>
      </c>
    </row>
    <row r="745">
      <c r="A745" s="12" t="s">
        <v>7735</v>
      </c>
      <c r="G745" s="19">
        <f>IFERROR(__xludf.DUMMYFUNCTION("SPLIT(A743, "" |"")"),741.0)</f>
        <v>741</v>
      </c>
      <c r="H745" s="19">
        <f>IFERROR(__xludf.DUMMYFUNCTION("""COMPUTED_VALUE"""),0.00214)</f>
        <v>0.00214</v>
      </c>
      <c r="I745" s="19" t="str">
        <f>IFERROR(__xludf.DUMMYFUNCTION("""COMPUTED_VALUE"""),"-")</f>
        <v>-</v>
      </c>
      <c r="J745" s="19">
        <f>IFERROR(__xludf.DUMMYFUNCTION("""COMPUTED_VALUE"""),0.00196)</f>
        <v>0.00196</v>
      </c>
      <c r="K745" s="19">
        <f>IFERROR(__xludf.DUMMYFUNCTION("""COMPUTED_VALUE"""),0.03975)</f>
        <v>0.03975</v>
      </c>
      <c r="L745" s="19" t="str">
        <f>IFERROR(__xludf.DUMMYFUNCTION("""COMPUTED_VALUE"""),"-")</f>
        <v>-</v>
      </c>
      <c r="M745" s="19">
        <f>IFERROR(__xludf.DUMMYFUNCTION("""COMPUTED_VALUE"""),0.03981)</f>
        <v>0.03981</v>
      </c>
    </row>
    <row r="746">
      <c r="A746" s="12" t="s">
        <v>7736</v>
      </c>
      <c r="G746" s="19">
        <f>IFERROR(__xludf.DUMMYFUNCTION("SPLIT(A744, "" |"")"),742.0)</f>
        <v>742</v>
      </c>
      <c r="H746" s="19">
        <f>IFERROR(__xludf.DUMMYFUNCTION("""COMPUTED_VALUE"""),0.00205)</f>
        <v>0.00205</v>
      </c>
      <c r="I746" s="19" t="str">
        <f>IFERROR(__xludf.DUMMYFUNCTION("""COMPUTED_VALUE"""),"-")</f>
        <v>-</v>
      </c>
      <c r="J746" s="19">
        <f>IFERROR(__xludf.DUMMYFUNCTION("""COMPUTED_VALUE"""),0.00202)</f>
        <v>0.00202</v>
      </c>
      <c r="K746" s="19">
        <f>IFERROR(__xludf.DUMMYFUNCTION("""COMPUTED_VALUE"""),0.0347)</f>
        <v>0.0347</v>
      </c>
      <c r="L746" s="19" t="str">
        <f>IFERROR(__xludf.DUMMYFUNCTION("""COMPUTED_VALUE"""),"-")</f>
        <v>-</v>
      </c>
      <c r="M746" s="19">
        <f>IFERROR(__xludf.DUMMYFUNCTION("""COMPUTED_VALUE"""),0.03989)</f>
        <v>0.03989</v>
      </c>
    </row>
    <row r="747">
      <c r="A747" s="12" t="s">
        <v>7737</v>
      </c>
      <c r="G747" s="19">
        <f>IFERROR(__xludf.DUMMYFUNCTION("SPLIT(A745, "" |"")"),743.0)</f>
        <v>743</v>
      </c>
      <c r="H747" s="19">
        <f>IFERROR(__xludf.DUMMYFUNCTION("""COMPUTED_VALUE"""),0.00232)</f>
        <v>0.00232</v>
      </c>
      <c r="I747" s="19" t="str">
        <f>IFERROR(__xludf.DUMMYFUNCTION("""COMPUTED_VALUE"""),"-")</f>
        <v>-</v>
      </c>
      <c r="J747" s="19">
        <f>IFERROR(__xludf.DUMMYFUNCTION("""COMPUTED_VALUE"""),0.00205)</f>
        <v>0.00205</v>
      </c>
      <c r="K747" s="19">
        <f>IFERROR(__xludf.DUMMYFUNCTION("""COMPUTED_VALUE"""),0.03893)</f>
        <v>0.03893</v>
      </c>
      <c r="L747" s="19" t="str">
        <f>IFERROR(__xludf.DUMMYFUNCTION("""COMPUTED_VALUE"""),"-")</f>
        <v>-</v>
      </c>
      <c r="M747" s="19">
        <f>IFERROR(__xludf.DUMMYFUNCTION("""COMPUTED_VALUE"""),0.0404)</f>
        <v>0.0404</v>
      </c>
    </row>
    <row r="748">
      <c r="A748" s="12" t="s">
        <v>7738</v>
      </c>
      <c r="G748" s="19">
        <f>IFERROR(__xludf.DUMMYFUNCTION("SPLIT(A746, "" |"")"),744.0)</f>
        <v>744</v>
      </c>
      <c r="H748" s="19">
        <f>IFERROR(__xludf.DUMMYFUNCTION("""COMPUTED_VALUE"""),0.00215)</f>
        <v>0.00215</v>
      </c>
      <c r="I748" s="19" t="str">
        <f>IFERROR(__xludf.DUMMYFUNCTION("""COMPUTED_VALUE"""),"-")</f>
        <v>-</v>
      </c>
      <c r="J748" s="19">
        <f>IFERROR(__xludf.DUMMYFUNCTION("""COMPUTED_VALUE"""),0.00197)</f>
        <v>0.00197</v>
      </c>
      <c r="K748" s="19">
        <f>IFERROR(__xludf.DUMMYFUNCTION("""COMPUTED_VALUE"""),0.03803)</f>
        <v>0.03803</v>
      </c>
      <c r="L748" s="19" t="str">
        <f>IFERROR(__xludf.DUMMYFUNCTION("""COMPUTED_VALUE"""),"-")</f>
        <v>-</v>
      </c>
      <c r="M748" s="19">
        <f>IFERROR(__xludf.DUMMYFUNCTION("""COMPUTED_VALUE"""),0.04057)</f>
        <v>0.04057</v>
      </c>
    </row>
    <row r="749">
      <c r="A749" s="12" t="s">
        <v>7739</v>
      </c>
      <c r="G749" s="19">
        <f>IFERROR(__xludf.DUMMYFUNCTION("SPLIT(A747, "" |"")"),745.0)</f>
        <v>745</v>
      </c>
      <c r="H749" s="19">
        <f>IFERROR(__xludf.DUMMYFUNCTION("""COMPUTED_VALUE"""),0.00216)</f>
        <v>0.00216</v>
      </c>
      <c r="I749" s="19" t="str">
        <f>IFERROR(__xludf.DUMMYFUNCTION("""COMPUTED_VALUE"""),"-")</f>
        <v>-</v>
      </c>
      <c r="J749" s="19">
        <f>IFERROR(__xludf.DUMMYFUNCTION("""COMPUTED_VALUE"""),0.00191)</f>
        <v>0.00191</v>
      </c>
      <c r="K749" s="19">
        <f>IFERROR(__xludf.DUMMYFUNCTION("""COMPUTED_VALUE"""),0.03965)</f>
        <v>0.03965</v>
      </c>
      <c r="L749" s="19" t="str">
        <f>IFERROR(__xludf.DUMMYFUNCTION("""COMPUTED_VALUE"""),"-")</f>
        <v>-</v>
      </c>
      <c r="M749" s="19">
        <f>IFERROR(__xludf.DUMMYFUNCTION("""COMPUTED_VALUE"""),0.04008)</f>
        <v>0.04008</v>
      </c>
    </row>
    <row r="750">
      <c r="A750" s="12" t="s">
        <v>7740</v>
      </c>
      <c r="G750" s="19">
        <f>IFERROR(__xludf.DUMMYFUNCTION("SPLIT(A748, "" |"")"),746.0)</f>
        <v>746</v>
      </c>
      <c r="H750" s="19">
        <f>IFERROR(__xludf.DUMMYFUNCTION("""COMPUTED_VALUE"""),0.00215)</f>
        <v>0.00215</v>
      </c>
      <c r="I750" s="19" t="str">
        <f>IFERROR(__xludf.DUMMYFUNCTION("""COMPUTED_VALUE"""),"-")</f>
        <v>-</v>
      </c>
      <c r="J750" s="19">
        <f>IFERROR(__xludf.DUMMYFUNCTION("""COMPUTED_VALUE"""),0.00196)</f>
        <v>0.00196</v>
      </c>
      <c r="K750" s="19">
        <f>IFERROR(__xludf.DUMMYFUNCTION("""COMPUTED_VALUE"""),0.03972)</f>
        <v>0.03972</v>
      </c>
      <c r="L750" s="19" t="str">
        <f>IFERROR(__xludf.DUMMYFUNCTION("""COMPUTED_VALUE"""),"-")</f>
        <v>-</v>
      </c>
      <c r="M750" s="19">
        <f>IFERROR(__xludf.DUMMYFUNCTION("""COMPUTED_VALUE"""),0.03995)</f>
        <v>0.03995</v>
      </c>
    </row>
    <row r="751">
      <c r="A751" s="12" t="s">
        <v>7741</v>
      </c>
      <c r="G751" s="19">
        <f>IFERROR(__xludf.DUMMYFUNCTION("SPLIT(A749, "" |"")"),747.0)</f>
        <v>747</v>
      </c>
      <c r="H751" s="19">
        <f>IFERROR(__xludf.DUMMYFUNCTION("""COMPUTED_VALUE"""),0.00212)</f>
        <v>0.00212</v>
      </c>
      <c r="I751" s="19" t="str">
        <f>IFERROR(__xludf.DUMMYFUNCTION("""COMPUTED_VALUE"""),"-")</f>
        <v>-</v>
      </c>
      <c r="J751" s="19">
        <f>IFERROR(__xludf.DUMMYFUNCTION("""COMPUTED_VALUE"""),0.00196)</f>
        <v>0.00196</v>
      </c>
      <c r="K751" s="19">
        <f>IFERROR(__xludf.DUMMYFUNCTION("""COMPUTED_VALUE"""),0.03972)</f>
        <v>0.03972</v>
      </c>
      <c r="L751" s="19" t="str">
        <f>IFERROR(__xludf.DUMMYFUNCTION("""COMPUTED_VALUE"""),"-")</f>
        <v>-</v>
      </c>
      <c r="M751" s="19">
        <f>IFERROR(__xludf.DUMMYFUNCTION("""COMPUTED_VALUE"""),0.03985)</f>
        <v>0.03985</v>
      </c>
    </row>
    <row r="752">
      <c r="A752" s="12" t="s">
        <v>7742</v>
      </c>
      <c r="G752" s="19">
        <f>IFERROR(__xludf.DUMMYFUNCTION("SPLIT(A750, "" |"")"),748.0)</f>
        <v>748</v>
      </c>
      <c r="H752" s="19">
        <f>IFERROR(__xludf.DUMMYFUNCTION("""COMPUTED_VALUE"""),0.00205)</f>
        <v>0.00205</v>
      </c>
      <c r="I752" s="19" t="str">
        <f>IFERROR(__xludf.DUMMYFUNCTION("""COMPUTED_VALUE"""),"-")</f>
        <v>-</v>
      </c>
      <c r="J752" s="19">
        <f>IFERROR(__xludf.DUMMYFUNCTION("""COMPUTED_VALUE"""),0.00191)</f>
        <v>0.00191</v>
      </c>
      <c r="K752" s="19">
        <f>IFERROR(__xludf.DUMMYFUNCTION("""COMPUTED_VALUE"""),0.03978)</f>
        <v>0.03978</v>
      </c>
      <c r="L752" s="19" t="str">
        <f>IFERROR(__xludf.DUMMYFUNCTION("""COMPUTED_VALUE"""),"-")</f>
        <v>-</v>
      </c>
      <c r="M752" s="19">
        <f>IFERROR(__xludf.DUMMYFUNCTION("""COMPUTED_VALUE"""),0.03981)</f>
        <v>0.03981</v>
      </c>
    </row>
    <row r="753">
      <c r="A753" s="12" t="s">
        <v>7743</v>
      </c>
      <c r="G753" s="19">
        <f>IFERROR(__xludf.DUMMYFUNCTION("SPLIT(A751, "" |"")"),749.0)</f>
        <v>749</v>
      </c>
      <c r="H753" s="19">
        <f>IFERROR(__xludf.DUMMYFUNCTION("""COMPUTED_VALUE"""),0.00231)</f>
        <v>0.00231</v>
      </c>
      <c r="I753" s="19" t="str">
        <f>IFERROR(__xludf.DUMMYFUNCTION("""COMPUTED_VALUE"""),"-")</f>
        <v>-</v>
      </c>
      <c r="J753" s="19">
        <f>IFERROR(__xludf.DUMMYFUNCTION("""COMPUTED_VALUE"""),0.00196)</f>
        <v>0.00196</v>
      </c>
      <c r="K753" s="19">
        <f>IFERROR(__xludf.DUMMYFUNCTION("""COMPUTED_VALUE"""),0.03982)</f>
        <v>0.03982</v>
      </c>
      <c r="L753" s="19" t="str">
        <f>IFERROR(__xludf.DUMMYFUNCTION("""COMPUTED_VALUE"""),"-")</f>
        <v>-</v>
      </c>
      <c r="M753" s="19">
        <f>IFERROR(__xludf.DUMMYFUNCTION("""COMPUTED_VALUE"""),0.04002)</f>
        <v>0.04002</v>
      </c>
    </row>
    <row r="754">
      <c r="A754" s="12" t="s">
        <v>7744</v>
      </c>
      <c r="G754" s="19">
        <f>IFERROR(__xludf.DUMMYFUNCTION("SPLIT(A752, "" |"")"),750.0)</f>
        <v>750</v>
      </c>
      <c r="H754" s="19">
        <f>IFERROR(__xludf.DUMMYFUNCTION("""COMPUTED_VALUE"""),0.00207)</f>
        <v>0.00207</v>
      </c>
      <c r="I754" s="19" t="str">
        <f>IFERROR(__xludf.DUMMYFUNCTION("""COMPUTED_VALUE"""),"-")</f>
        <v>-</v>
      </c>
      <c r="J754" s="19">
        <f>IFERROR(__xludf.DUMMYFUNCTION("""COMPUTED_VALUE"""),0.00196)</f>
        <v>0.00196</v>
      </c>
      <c r="K754" s="19">
        <f>IFERROR(__xludf.DUMMYFUNCTION("""COMPUTED_VALUE"""),0.03763)</f>
        <v>0.03763</v>
      </c>
      <c r="L754" s="19" t="str">
        <f>IFERROR(__xludf.DUMMYFUNCTION("""COMPUTED_VALUE"""),"-")</f>
        <v>-</v>
      </c>
      <c r="M754" s="19">
        <f>IFERROR(__xludf.DUMMYFUNCTION("""COMPUTED_VALUE"""),0.03985)</f>
        <v>0.03985</v>
      </c>
    </row>
    <row r="755">
      <c r="A755" s="12" t="s">
        <v>7745</v>
      </c>
      <c r="G755" s="19">
        <f>IFERROR(__xludf.DUMMYFUNCTION("SPLIT(A753, "" |"")"),751.0)</f>
        <v>751</v>
      </c>
      <c r="H755" s="19">
        <f>IFERROR(__xludf.DUMMYFUNCTION("""COMPUTED_VALUE"""),0.00209)</f>
        <v>0.00209</v>
      </c>
      <c r="I755" s="19" t="str">
        <f>IFERROR(__xludf.DUMMYFUNCTION("""COMPUTED_VALUE"""),"-")</f>
        <v>-</v>
      </c>
      <c r="J755" s="19">
        <f>IFERROR(__xludf.DUMMYFUNCTION("""COMPUTED_VALUE"""),0.00197)</f>
        <v>0.00197</v>
      </c>
      <c r="K755" s="19">
        <f>IFERROR(__xludf.DUMMYFUNCTION("""COMPUTED_VALUE"""),0.03977)</f>
        <v>0.03977</v>
      </c>
      <c r="L755" s="19" t="str">
        <f>IFERROR(__xludf.DUMMYFUNCTION("""COMPUTED_VALUE"""),"-")</f>
        <v>-</v>
      </c>
      <c r="M755" s="19">
        <f>IFERROR(__xludf.DUMMYFUNCTION("""COMPUTED_VALUE"""),0.04086)</f>
        <v>0.04086</v>
      </c>
    </row>
    <row r="756">
      <c r="A756" s="12" t="s">
        <v>7746</v>
      </c>
      <c r="G756" s="19">
        <f>IFERROR(__xludf.DUMMYFUNCTION("SPLIT(A754, "" |"")"),752.0)</f>
        <v>752</v>
      </c>
      <c r="H756" s="19">
        <f>IFERROR(__xludf.DUMMYFUNCTION("""COMPUTED_VALUE"""),0.00204)</f>
        <v>0.00204</v>
      </c>
      <c r="I756" s="19" t="str">
        <f>IFERROR(__xludf.DUMMYFUNCTION("""COMPUTED_VALUE"""),"-")</f>
        <v>-</v>
      </c>
      <c r="J756" s="19">
        <f>IFERROR(__xludf.DUMMYFUNCTION("""COMPUTED_VALUE"""),0.00196)</f>
        <v>0.00196</v>
      </c>
      <c r="K756" s="19">
        <f>IFERROR(__xludf.DUMMYFUNCTION("""COMPUTED_VALUE"""),0.03967)</f>
        <v>0.03967</v>
      </c>
      <c r="L756" s="19" t="str">
        <f>IFERROR(__xludf.DUMMYFUNCTION("""COMPUTED_VALUE"""),"-")</f>
        <v>-</v>
      </c>
      <c r="M756" s="19">
        <f>IFERROR(__xludf.DUMMYFUNCTION("""COMPUTED_VALUE"""),0.04018)</f>
        <v>0.04018</v>
      </c>
    </row>
    <row r="757">
      <c r="A757" s="12" t="s">
        <v>7747</v>
      </c>
      <c r="G757" s="19">
        <f>IFERROR(__xludf.DUMMYFUNCTION("SPLIT(A755, "" |"")"),753.0)</f>
        <v>753</v>
      </c>
      <c r="H757" s="19">
        <f>IFERROR(__xludf.DUMMYFUNCTION("""COMPUTED_VALUE"""),0.00222)</f>
        <v>0.00222</v>
      </c>
      <c r="I757" s="19" t="str">
        <f>IFERROR(__xludf.DUMMYFUNCTION("""COMPUTED_VALUE"""),"-")</f>
        <v>-</v>
      </c>
      <c r="J757" s="19">
        <f>IFERROR(__xludf.DUMMYFUNCTION("""COMPUTED_VALUE"""),0.00215)</f>
        <v>0.00215</v>
      </c>
      <c r="K757" s="19">
        <f>IFERROR(__xludf.DUMMYFUNCTION("""COMPUTED_VALUE"""),0.03984)</f>
        <v>0.03984</v>
      </c>
      <c r="L757" s="19" t="str">
        <f>IFERROR(__xludf.DUMMYFUNCTION("""COMPUTED_VALUE"""),"-")</f>
        <v>-</v>
      </c>
      <c r="M757" s="19">
        <f>IFERROR(__xludf.DUMMYFUNCTION("""COMPUTED_VALUE"""),0.03997)</f>
        <v>0.03997</v>
      </c>
    </row>
    <row r="758">
      <c r="A758" s="12" t="s">
        <v>7748</v>
      </c>
      <c r="G758" s="19">
        <f>IFERROR(__xludf.DUMMYFUNCTION("SPLIT(A756, "" |"")"),754.0)</f>
        <v>754</v>
      </c>
      <c r="H758" s="19">
        <f>IFERROR(__xludf.DUMMYFUNCTION("""COMPUTED_VALUE"""),0.00212)</f>
        <v>0.00212</v>
      </c>
      <c r="I758" s="19" t="str">
        <f>IFERROR(__xludf.DUMMYFUNCTION("""COMPUTED_VALUE"""),"-")</f>
        <v>-</v>
      </c>
      <c r="J758" s="19">
        <f>IFERROR(__xludf.DUMMYFUNCTION("""COMPUTED_VALUE"""),0.00193)</f>
        <v>0.00193</v>
      </c>
      <c r="K758" s="19">
        <f>IFERROR(__xludf.DUMMYFUNCTION("""COMPUTED_VALUE"""),0.04036)</f>
        <v>0.04036</v>
      </c>
      <c r="L758" s="19" t="str">
        <f>IFERROR(__xludf.DUMMYFUNCTION("""COMPUTED_VALUE"""),"-")</f>
        <v>-</v>
      </c>
      <c r="M758" s="19">
        <f>IFERROR(__xludf.DUMMYFUNCTION("""COMPUTED_VALUE"""),0.03948)</f>
        <v>0.03948</v>
      </c>
    </row>
    <row r="759">
      <c r="A759" s="12" t="s">
        <v>7749</v>
      </c>
      <c r="G759" s="19">
        <f>IFERROR(__xludf.DUMMYFUNCTION("SPLIT(A757, "" |"")"),755.0)</f>
        <v>755</v>
      </c>
      <c r="H759" s="19">
        <f>IFERROR(__xludf.DUMMYFUNCTION("""COMPUTED_VALUE"""),0.00211)</f>
        <v>0.00211</v>
      </c>
      <c r="I759" s="19" t="str">
        <f>IFERROR(__xludf.DUMMYFUNCTION("""COMPUTED_VALUE"""),"-")</f>
        <v>-</v>
      </c>
      <c r="J759" s="19">
        <f>IFERROR(__xludf.DUMMYFUNCTION("""COMPUTED_VALUE"""),0.00201)</f>
        <v>0.00201</v>
      </c>
      <c r="K759" s="19">
        <f>IFERROR(__xludf.DUMMYFUNCTION("""COMPUTED_VALUE"""),0.03963)</f>
        <v>0.03963</v>
      </c>
      <c r="L759" s="19" t="str">
        <f>IFERROR(__xludf.DUMMYFUNCTION("""COMPUTED_VALUE"""),"-")</f>
        <v>-</v>
      </c>
      <c r="M759" s="19">
        <f>IFERROR(__xludf.DUMMYFUNCTION("""COMPUTED_VALUE"""),0.03648)</f>
        <v>0.03648</v>
      </c>
    </row>
    <row r="760">
      <c r="A760" s="12" t="s">
        <v>7750</v>
      </c>
      <c r="G760" s="19">
        <f>IFERROR(__xludf.DUMMYFUNCTION("SPLIT(A758, "" |"")"),756.0)</f>
        <v>756</v>
      </c>
      <c r="H760" s="19">
        <f>IFERROR(__xludf.DUMMYFUNCTION("""COMPUTED_VALUE"""),0.00225)</f>
        <v>0.00225</v>
      </c>
      <c r="I760" s="19" t="str">
        <f>IFERROR(__xludf.DUMMYFUNCTION("""COMPUTED_VALUE"""),"-")</f>
        <v>-</v>
      </c>
      <c r="J760" s="19">
        <f>IFERROR(__xludf.DUMMYFUNCTION("""COMPUTED_VALUE"""),0.0022)</f>
        <v>0.0022</v>
      </c>
      <c r="K760" s="19">
        <f>IFERROR(__xludf.DUMMYFUNCTION("""COMPUTED_VALUE"""),0.03949)</f>
        <v>0.03949</v>
      </c>
      <c r="L760" s="19" t="str">
        <f>IFERROR(__xludf.DUMMYFUNCTION("""COMPUTED_VALUE"""),"-")</f>
        <v>-</v>
      </c>
      <c r="M760" s="19">
        <f>IFERROR(__xludf.DUMMYFUNCTION("""COMPUTED_VALUE"""),0.03989)</f>
        <v>0.03989</v>
      </c>
    </row>
    <row r="761">
      <c r="A761" s="12" t="s">
        <v>7751</v>
      </c>
      <c r="G761" s="19">
        <f>IFERROR(__xludf.DUMMYFUNCTION("SPLIT(A759, "" |"")"),757.0)</f>
        <v>757</v>
      </c>
      <c r="H761" s="19">
        <f>IFERROR(__xludf.DUMMYFUNCTION("""COMPUTED_VALUE"""),0.00211)</f>
        <v>0.00211</v>
      </c>
      <c r="I761" s="19" t="str">
        <f>IFERROR(__xludf.DUMMYFUNCTION("""COMPUTED_VALUE"""),"-")</f>
        <v>-</v>
      </c>
      <c r="J761" s="19">
        <f>IFERROR(__xludf.DUMMYFUNCTION("""COMPUTED_VALUE"""),0.00198)</f>
        <v>0.00198</v>
      </c>
      <c r="K761" s="19">
        <f>IFERROR(__xludf.DUMMYFUNCTION("""COMPUTED_VALUE"""),0.04048)</f>
        <v>0.04048</v>
      </c>
      <c r="L761" s="19" t="str">
        <f>IFERROR(__xludf.DUMMYFUNCTION("""COMPUTED_VALUE"""),"-")</f>
        <v>-</v>
      </c>
      <c r="M761" s="19">
        <f>IFERROR(__xludf.DUMMYFUNCTION("""COMPUTED_VALUE"""),0.0382)</f>
        <v>0.0382</v>
      </c>
    </row>
    <row r="762">
      <c r="A762" s="12" t="s">
        <v>7752</v>
      </c>
      <c r="G762" s="19">
        <f>IFERROR(__xludf.DUMMYFUNCTION("SPLIT(A760, "" |"")"),758.0)</f>
        <v>758</v>
      </c>
      <c r="H762" s="19">
        <f>IFERROR(__xludf.DUMMYFUNCTION("""COMPUTED_VALUE"""),0.00249)</f>
        <v>0.00249</v>
      </c>
      <c r="I762" s="19" t="str">
        <f>IFERROR(__xludf.DUMMYFUNCTION("""COMPUTED_VALUE"""),"-")</f>
        <v>-</v>
      </c>
      <c r="J762" s="19">
        <f>IFERROR(__xludf.DUMMYFUNCTION("""COMPUTED_VALUE"""),0.00227)</f>
        <v>0.00227</v>
      </c>
      <c r="K762" s="19">
        <f>IFERROR(__xludf.DUMMYFUNCTION("""COMPUTED_VALUE"""),0.04036)</f>
        <v>0.04036</v>
      </c>
      <c r="L762" s="19" t="str">
        <f>IFERROR(__xludf.DUMMYFUNCTION("""COMPUTED_VALUE"""),"-")</f>
        <v>-</v>
      </c>
      <c r="M762" s="19">
        <f>IFERROR(__xludf.DUMMYFUNCTION("""COMPUTED_VALUE"""),0.03994)</f>
        <v>0.03994</v>
      </c>
    </row>
    <row r="763">
      <c r="A763" s="12" t="s">
        <v>7753</v>
      </c>
      <c r="G763" s="19">
        <f>IFERROR(__xludf.DUMMYFUNCTION("SPLIT(A761, "" |"")"),759.0)</f>
        <v>759</v>
      </c>
      <c r="H763" s="19">
        <f>IFERROR(__xludf.DUMMYFUNCTION("""COMPUTED_VALUE"""),0.00218)</f>
        <v>0.00218</v>
      </c>
      <c r="I763" s="19" t="str">
        <f>IFERROR(__xludf.DUMMYFUNCTION("""COMPUTED_VALUE"""),"-")</f>
        <v>-</v>
      </c>
      <c r="J763" s="19">
        <f>IFERROR(__xludf.DUMMYFUNCTION("""COMPUTED_VALUE"""),0.00201)</f>
        <v>0.00201</v>
      </c>
      <c r="K763" s="19">
        <f>IFERROR(__xludf.DUMMYFUNCTION("""COMPUTED_VALUE"""),0.03974)</f>
        <v>0.03974</v>
      </c>
      <c r="L763" s="19" t="str">
        <f>IFERROR(__xludf.DUMMYFUNCTION("""COMPUTED_VALUE"""),"-")</f>
        <v>-</v>
      </c>
      <c r="M763" s="19">
        <f>IFERROR(__xludf.DUMMYFUNCTION("""COMPUTED_VALUE"""),0.03985)</f>
        <v>0.03985</v>
      </c>
    </row>
    <row r="764">
      <c r="A764" s="12" t="s">
        <v>7754</v>
      </c>
      <c r="G764" s="19">
        <f>IFERROR(__xludf.DUMMYFUNCTION("SPLIT(A762, "" |"")"),760.0)</f>
        <v>760</v>
      </c>
      <c r="H764" s="19">
        <f>IFERROR(__xludf.DUMMYFUNCTION("""COMPUTED_VALUE"""),0.00216)</f>
        <v>0.00216</v>
      </c>
      <c r="I764" s="19" t="str">
        <f>IFERROR(__xludf.DUMMYFUNCTION("""COMPUTED_VALUE"""),"-")</f>
        <v>-</v>
      </c>
      <c r="J764" s="19">
        <f>IFERROR(__xludf.DUMMYFUNCTION("""COMPUTED_VALUE"""),0.00201)</f>
        <v>0.00201</v>
      </c>
      <c r="K764" s="19">
        <f>IFERROR(__xludf.DUMMYFUNCTION("""COMPUTED_VALUE"""),0.03976)</f>
        <v>0.03976</v>
      </c>
      <c r="L764" s="19" t="str">
        <f>IFERROR(__xludf.DUMMYFUNCTION("""COMPUTED_VALUE"""),"-")</f>
        <v>-</v>
      </c>
      <c r="M764" s="19">
        <f>IFERROR(__xludf.DUMMYFUNCTION("""COMPUTED_VALUE"""),0.03977)</f>
        <v>0.03977</v>
      </c>
    </row>
    <row r="765">
      <c r="A765" s="12" t="s">
        <v>7755</v>
      </c>
      <c r="G765" s="19">
        <f>IFERROR(__xludf.DUMMYFUNCTION("SPLIT(A763, "" |"")"),761.0)</f>
        <v>761</v>
      </c>
      <c r="H765" s="19">
        <f>IFERROR(__xludf.DUMMYFUNCTION("""COMPUTED_VALUE"""),0.00209)</f>
        <v>0.00209</v>
      </c>
      <c r="I765" s="19" t="str">
        <f>IFERROR(__xludf.DUMMYFUNCTION("""COMPUTED_VALUE"""),"-")</f>
        <v>-</v>
      </c>
      <c r="J765" s="19">
        <f>IFERROR(__xludf.DUMMYFUNCTION("""COMPUTED_VALUE"""),0.00187)</f>
        <v>0.00187</v>
      </c>
      <c r="K765" s="19">
        <f>IFERROR(__xludf.DUMMYFUNCTION("""COMPUTED_VALUE"""),0.03967)</f>
        <v>0.03967</v>
      </c>
      <c r="L765" s="19" t="str">
        <f>IFERROR(__xludf.DUMMYFUNCTION("""COMPUTED_VALUE"""),"-")</f>
        <v>-</v>
      </c>
      <c r="M765" s="19">
        <f>IFERROR(__xludf.DUMMYFUNCTION("""COMPUTED_VALUE"""),0.04031)</f>
        <v>0.04031</v>
      </c>
    </row>
    <row r="766">
      <c r="A766" s="12" t="s">
        <v>7756</v>
      </c>
      <c r="G766" s="19">
        <f>IFERROR(__xludf.DUMMYFUNCTION("SPLIT(A764, "" |"")"),762.0)</f>
        <v>762</v>
      </c>
      <c r="H766" s="19">
        <f>IFERROR(__xludf.DUMMYFUNCTION("""COMPUTED_VALUE"""),0.00213)</f>
        <v>0.00213</v>
      </c>
      <c r="I766" s="19" t="str">
        <f>IFERROR(__xludf.DUMMYFUNCTION("""COMPUTED_VALUE"""),"-")</f>
        <v>-</v>
      </c>
      <c r="J766" s="19">
        <f>IFERROR(__xludf.DUMMYFUNCTION("""COMPUTED_VALUE"""),0.002)</f>
        <v>0.002</v>
      </c>
      <c r="K766" s="19">
        <f>IFERROR(__xludf.DUMMYFUNCTION("""COMPUTED_VALUE"""),0.03973)</f>
        <v>0.03973</v>
      </c>
      <c r="L766" s="19" t="str">
        <f>IFERROR(__xludf.DUMMYFUNCTION("""COMPUTED_VALUE"""),"-")</f>
        <v>-</v>
      </c>
      <c r="M766" s="19">
        <f>IFERROR(__xludf.DUMMYFUNCTION("""COMPUTED_VALUE"""),0.03992)</f>
        <v>0.03992</v>
      </c>
    </row>
    <row r="767">
      <c r="A767" s="12" t="s">
        <v>7757</v>
      </c>
      <c r="G767" s="19">
        <f>IFERROR(__xludf.DUMMYFUNCTION("SPLIT(A765, "" |"")"),763.0)</f>
        <v>763</v>
      </c>
      <c r="H767" s="19">
        <f>IFERROR(__xludf.DUMMYFUNCTION("""COMPUTED_VALUE"""),0.00203)</f>
        <v>0.00203</v>
      </c>
      <c r="I767" s="19" t="str">
        <f>IFERROR(__xludf.DUMMYFUNCTION("""COMPUTED_VALUE"""),"-")</f>
        <v>-</v>
      </c>
      <c r="J767" s="19">
        <f>IFERROR(__xludf.DUMMYFUNCTION("""COMPUTED_VALUE"""),0.00187)</f>
        <v>0.00187</v>
      </c>
      <c r="K767" s="19">
        <f>IFERROR(__xludf.DUMMYFUNCTION("""COMPUTED_VALUE"""),0.0397)</f>
        <v>0.0397</v>
      </c>
      <c r="L767" s="19" t="str">
        <f>IFERROR(__xludf.DUMMYFUNCTION("""COMPUTED_VALUE"""),"-")</f>
        <v>-</v>
      </c>
      <c r="M767" s="19">
        <f>IFERROR(__xludf.DUMMYFUNCTION("""COMPUTED_VALUE"""),0.03696)</f>
        <v>0.03696</v>
      </c>
    </row>
    <row r="768">
      <c r="A768" s="12" t="s">
        <v>7758</v>
      </c>
      <c r="G768" s="19">
        <f>IFERROR(__xludf.DUMMYFUNCTION("SPLIT(A766, "" |"")"),764.0)</f>
        <v>764</v>
      </c>
      <c r="H768" s="19">
        <f>IFERROR(__xludf.DUMMYFUNCTION("""COMPUTED_VALUE"""),0.00214)</f>
        <v>0.00214</v>
      </c>
      <c r="I768" s="19" t="str">
        <f>IFERROR(__xludf.DUMMYFUNCTION("""COMPUTED_VALUE"""),"-")</f>
        <v>-</v>
      </c>
      <c r="J768" s="19">
        <f>IFERROR(__xludf.DUMMYFUNCTION("""COMPUTED_VALUE"""),0.00191)</f>
        <v>0.00191</v>
      </c>
      <c r="K768" s="19">
        <f>IFERROR(__xludf.DUMMYFUNCTION("""COMPUTED_VALUE"""),0.03976)</f>
        <v>0.03976</v>
      </c>
      <c r="L768" s="19" t="str">
        <f>IFERROR(__xludf.DUMMYFUNCTION("""COMPUTED_VALUE"""),"-")</f>
        <v>-</v>
      </c>
      <c r="M768" s="19">
        <f>IFERROR(__xludf.DUMMYFUNCTION("""COMPUTED_VALUE"""),0.0398)</f>
        <v>0.0398</v>
      </c>
    </row>
    <row r="769">
      <c r="A769" s="12" t="s">
        <v>7759</v>
      </c>
      <c r="G769" s="19">
        <f>IFERROR(__xludf.DUMMYFUNCTION("SPLIT(A767, "" |"")"),765.0)</f>
        <v>765</v>
      </c>
      <c r="H769" s="19">
        <f>IFERROR(__xludf.DUMMYFUNCTION("""COMPUTED_VALUE"""),0.00207)</f>
        <v>0.00207</v>
      </c>
      <c r="I769" s="19" t="str">
        <f>IFERROR(__xludf.DUMMYFUNCTION("""COMPUTED_VALUE"""),"-")</f>
        <v>-</v>
      </c>
      <c r="J769" s="19">
        <f>IFERROR(__xludf.DUMMYFUNCTION("""COMPUTED_VALUE"""),0.00184)</f>
        <v>0.00184</v>
      </c>
      <c r="K769" s="19">
        <f>IFERROR(__xludf.DUMMYFUNCTION("""COMPUTED_VALUE"""),0.03619)</f>
        <v>0.03619</v>
      </c>
      <c r="L769" s="19" t="str">
        <f>IFERROR(__xludf.DUMMYFUNCTION("""COMPUTED_VALUE"""),"-")</f>
        <v>-</v>
      </c>
      <c r="M769" s="19">
        <f>IFERROR(__xludf.DUMMYFUNCTION("""COMPUTED_VALUE"""),0.03987)</f>
        <v>0.03987</v>
      </c>
    </row>
    <row r="770">
      <c r="A770" s="12" t="s">
        <v>7760</v>
      </c>
      <c r="G770" s="19">
        <f>IFERROR(__xludf.DUMMYFUNCTION("SPLIT(A768, "" |"")"),766.0)</f>
        <v>766</v>
      </c>
      <c r="H770" s="19">
        <f>IFERROR(__xludf.DUMMYFUNCTION("""COMPUTED_VALUE"""),0.00209)</f>
        <v>0.00209</v>
      </c>
      <c r="I770" s="19" t="str">
        <f>IFERROR(__xludf.DUMMYFUNCTION("""COMPUTED_VALUE"""),"-")</f>
        <v>-</v>
      </c>
      <c r="J770" s="19">
        <f>IFERROR(__xludf.DUMMYFUNCTION("""COMPUTED_VALUE"""),0.00183)</f>
        <v>0.00183</v>
      </c>
      <c r="K770" s="19">
        <f>IFERROR(__xludf.DUMMYFUNCTION("""COMPUTED_VALUE"""),0.03952)</f>
        <v>0.03952</v>
      </c>
      <c r="L770" s="19" t="str">
        <f>IFERROR(__xludf.DUMMYFUNCTION("""COMPUTED_VALUE"""),"-")</f>
        <v>-</v>
      </c>
      <c r="M770" s="19">
        <f>IFERROR(__xludf.DUMMYFUNCTION("""COMPUTED_VALUE"""),0.03986)</f>
        <v>0.03986</v>
      </c>
    </row>
    <row r="771">
      <c r="A771" s="12" t="s">
        <v>7761</v>
      </c>
      <c r="G771" s="19">
        <f>IFERROR(__xludf.DUMMYFUNCTION("SPLIT(A769, "" |"")"),767.0)</f>
        <v>767</v>
      </c>
      <c r="H771" s="19">
        <f>IFERROR(__xludf.DUMMYFUNCTION("""COMPUTED_VALUE"""),0.00221)</f>
        <v>0.00221</v>
      </c>
      <c r="I771" s="19" t="str">
        <f>IFERROR(__xludf.DUMMYFUNCTION("""COMPUTED_VALUE"""),"-")</f>
        <v>-</v>
      </c>
      <c r="J771" s="19">
        <f>IFERROR(__xludf.DUMMYFUNCTION("""COMPUTED_VALUE"""),0.00201)</f>
        <v>0.00201</v>
      </c>
      <c r="K771" s="19">
        <f>IFERROR(__xludf.DUMMYFUNCTION("""COMPUTED_VALUE"""),0.03686)</f>
        <v>0.03686</v>
      </c>
      <c r="L771" s="19" t="str">
        <f>IFERROR(__xludf.DUMMYFUNCTION("""COMPUTED_VALUE"""),"-")</f>
        <v>-</v>
      </c>
      <c r="M771" s="19">
        <f>IFERROR(__xludf.DUMMYFUNCTION("""COMPUTED_VALUE"""),0.04002)</f>
        <v>0.04002</v>
      </c>
    </row>
    <row r="772">
      <c r="A772" s="12" t="s">
        <v>7762</v>
      </c>
      <c r="G772" s="19">
        <f>IFERROR(__xludf.DUMMYFUNCTION("SPLIT(A770, "" |"")"),768.0)</f>
        <v>768</v>
      </c>
      <c r="H772" s="19">
        <f>IFERROR(__xludf.DUMMYFUNCTION("""COMPUTED_VALUE"""),0.00214)</f>
        <v>0.00214</v>
      </c>
      <c r="I772" s="19" t="str">
        <f>IFERROR(__xludf.DUMMYFUNCTION("""COMPUTED_VALUE"""),"-")</f>
        <v>-</v>
      </c>
      <c r="J772" s="19">
        <f>IFERROR(__xludf.DUMMYFUNCTION("""COMPUTED_VALUE"""),0.002)</f>
        <v>0.002</v>
      </c>
      <c r="K772" s="19">
        <f>IFERROR(__xludf.DUMMYFUNCTION("""COMPUTED_VALUE"""),0.03978)</f>
        <v>0.03978</v>
      </c>
      <c r="L772" s="19" t="str">
        <f>IFERROR(__xludf.DUMMYFUNCTION("""COMPUTED_VALUE"""),"-")</f>
        <v>-</v>
      </c>
      <c r="M772" s="19">
        <f>IFERROR(__xludf.DUMMYFUNCTION("""COMPUTED_VALUE"""),0.03995)</f>
        <v>0.03995</v>
      </c>
    </row>
    <row r="773">
      <c r="A773" s="12" t="s">
        <v>7763</v>
      </c>
      <c r="G773" s="19">
        <f>IFERROR(__xludf.DUMMYFUNCTION("SPLIT(A771, "" |"")"),769.0)</f>
        <v>769</v>
      </c>
      <c r="H773" s="19">
        <f>IFERROR(__xludf.DUMMYFUNCTION("""COMPUTED_VALUE"""),0.00208)</f>
        <v>0.00208</v>
      </c>
      <c r="I773" s="19" t="str">
        <f>IFERROR(__xludf.DUMMYFUNCTION("""COMPUTED_VALUE"""),"-")</f>
        <v>-</v>
      </c>
      <c r="J773" s="19">
        <f>IFERROR(__xludf.DUMMYFUNCTION("""COMPUTED_VALUE"""),0.00196)</f>
        <v>0.00196</v>
      </c>
      <c r="K773" s="19">
        <f>IFERROR(__xludf.DUMMYFUNCTION("""COMPUTED_VALUE"""),0.03963)</f>
        <v>0.03963</v>
      </c>
      <c r="L773" s="19" t="str">
        <f>IFERROR(__xludf.DUMMYFUNCTION("""COMPUTED_VALUE"""),"-")</f>
        <v>-</v>
      </c>
      <c r="M773" s="19">
        <f>IFERROR(__xludf.DUMMYFUNCTION("""COMPUTED_VALUE"""),0.03984)</f>
        <v>0.03984</v>
      </c>
    </row>
    <row r="774">
      <c r="A774" s="12" t="s">
        <v>7764</v>
      </c>
      <c r="G774" s="19">
        <f>IFERROR(__xludf.DUMMYFUNCTION("SPLIT(A772, "" |"")"),770.0)</f>
        <v>770</v>
      </c>
      <c r="H774" s="19">
        <f>IFERROR(__xludf.DUMMYFUNCTION("""COMPUTED_VALUE"""),0.00206)</f>
        <v>0.00206</v>
      </c>
      <c r="I774" s="19" t="str">
        <f>IFERROR(__xludf.DUMMYFUNCTION("""COMPUTED_VALUE"""),"-")</f>
        <v>-</v>
      </c>
      <c r="J774" s="19">
        <f>IFERROR(__xludf.DUMMYFUNCTION("""COMPUTED_VALUE"""),0.00196)</f>
        <v>0.00196</v>
      </c>
      <c r="K774" s="19">
        <f>IFERROR(__xludf.DUMMYFUNCTION("""COMPUTED_VALUE"""),0.03967)</f>
        <v>0.03967</v>
      </c>
      <c r="L774" s="19" t="str">
        <f>IFERROR(__xludf.DUMMYFUNCTION("""COMPUTED_VALUE"""),"-")</f>
        <v>-</v>
      </c>
      <c r="M774" s="19">
        <f>IFERROR(__xludf.DUMMYFUNCTION("""COMPUTED_VALUE"""),0.03984)</f>
        <v>0.03984</v>
      </c>
    </row>
    <row r="775">
      <c r="A775" s="12" t="s">
        <v>7765</v>
      </c>
      <c r="G775" s="19">
        <f>IFERROR(__xludf.DUMMYFUNCTION("SPLIT(A773, "" |"")"),771.0)</f>
        <v>771</v>
      </c>
      <c r="H775" s="19">
        <f>IFERROR(__xludf.DUMMYFUNCTION("""COMPUTED_VALUE"""),0.00208)</f>
        <v>0.00208</v>
      </c>
      <c r="I775" s="19" t="str">
        <f>IFERROR(__xludf.DUMMYFUNCTION("""COMPUTED_VALUE"""),"-")</f>
        <v>-</v>
      </c>
      <c r="J775" s="19">
        <f>IFERROR(__xludf.DUMMYFUNCTION("""COMPUTED_VALUE"""),0.00193)</f>
        <v>0.00193</v>
      </c>
      <c r="K775" s="19">
        <f>IFERROR(__xludf.DUMMYFUNCTION("""COMPUTED_VALUE"""),0.03969)</f>
        <v>0.03969</v>
      </c>
      <c r="L775" s="19" t="str">
        <f>IFERROR(__xludf.DUMMYFUNCTION("""COMPUTED_VALUE"""),"-")</f>
        <v>-</v>
      </c>
      <c r="M775" s="19">
        <f>IFERROR(__xludf.DUMMYFUNCTION("""COMPUTED_VALUE"""),0.03977)</f>
        <v>0.03977</v>
      </c>
    </row>
    <row r="776">
      <c r="A776" s="12" t="s">
        <v>7766</v>
      </c>
      <c r="G776" s="19">
        <f>IFERROR(__xludf.DUMMYFUNCTION("SPLIT(A774, "" |"")"),772.0)</f>
        <v>772</v>
      </c>
      <c r="H776" s="19">
        <f>IFERROR(__xludf.DUMMYFUNCTION("""COMPUTED_VALUE"""),0.00211)</f>
        <v>0.00211</v>
      </c>
      <c r="I776" s="19" t="str">
        <f>IFERROR(__xludf.DUMMYFUNCTION("""COMPUTED_VALUE"""),"-")</f>
        <v>-</v>
      </c>
      <c r="J776" s="19">
        <f>IFERROR(__xludf.DUMMYFUNCTION("""COMPUTED_VALUE"""),0.00186)</f>
        <v>0.00186</v>
      </c>
      <c r="K776" s="19">
        <f>IFERROR(__xludf.DUMMYFUNCTION("""COMPUTED_VALUE"""),0.03974)</f>
        <v>0.03974</v>
      </c>
      <c r="L776" s="19" t="str">
        <f>IFERROR(__xludf.DUMMYFUNCTION("""COMPUTED_VALUE"""),"-")</f>
        <v>-</v>
      </c>
      <c r="M776" s="19">
        <f>IFERROR(__xludf.DUMMYFUNCTION("""COMPUTED_VALUE"""),0.03989)</f>
        <v>0.03989</v>
      </c>
    </row>
    <row r="777">
      <c r="A777" s="12" t="s">
        <v>7767</v>
      </c>
      <c r="G777" s="19">
        <f>IFERROR(__xludf.DUMMYFUNCTION("SPLIT(A775, "" |"")"),773.0)</f>
        <v>773</v>
      </c>
      <c r="H777" s="19">
        <f>IFERROR(__xludf.DUMMYFUNCTION("""COMPUTED_VALUE"""),0.00313)</f>
        <v>0.00313</v>
      </c>
      <c r="I777" s="19" t="str">
        <f>IFERROR(__xludf.DUMMYFUNCTION("""COMPUTED_VALUE"""),"-")</f>
        <v>-</v>
      </c>
      <c r="J777" s="19">
        <f>IFERROR(__xludf.DUMMYFUNCTION("""COMPUTED_VALUE"""),0.01021)</f>
        <v>0.01021</v>
      </c>
      <c r="K777" s="19">
        <f>IFERROR(__xludf.DUMMYFUNCTION("""COMPUTED_VALUE"""),0.07865)</f>
        <v>0.07865</v>
      </c>
      <c r="L777" s="19" t="str">
        <f>IFERROR(__xludf.DUMMYFUNCTION("""COMPUTED_VALUE"""),"-")</f>
        <v>-</v>
      </c>
      <c r="M777" s="19">
        <f>IFERROR(__xludf.DUMMYFUNCTION("""COMPUTED_VALUE"""),0.03997)</f>
        <v>0.03997</v>
      </c>
    </row>
    <row r="778">
      <c r="A778" s="12" t="s">
        <v>7768</v>
      </c>
      <c r="G778" s="19">
        <f>IFERROR(__xludf.DUMMYFUNCTION("SPLIT(A776, "" |"")"),774.0)</f>
        <v>774</v>
      </c>
      <c r="H778" s="19">
        <f>IFERROR(__xludf.DUMMYFUNCTION("""COMPUTED_VALUE"""),0.00212)</f>
        <v>0.00212</v>
      </c>
      <c r="I778" s="19" t="str">
        <f>IFERROR(__xludf.DUMMYFUNCTION("""COMPUTED_VALUE"""),"-")</f>
        <v>-</v>
      </c>
      <c r="J778" s="19">
        <f>IFERROR(__xludf.DUMMYFUNCTION("""COMPUTED_VALUE"""),0.00197)</f>
        <v>0.00197</v>
      </c>
      <c r="K778" s="19">
        <f>IFERROR(__xludf.DUMMYFUNCTION("""COMPUTED_VALUE"""),0.03968)</f>
        <v>0.03968</v>
      </c>
      <c r="L778" s="19" t="str">
        <f>IFERROR(__xludf.DUMMYFUNCTION("""COMPUTED_VALUE"""),"-")</f>
        <v>-</v>
      </c>
      <c r="M778" s="19">
        <f>IFERROR(__xludf.DUMMYFUNCTION("""COMPUTED_VALUE"""),0.03982)</f>
        <v>0.03982</v>
      </c>
    </row>
    <row r="779">
      <c r="A779" s="12" t="s">
        <v>7769</v>
      </c>
      <c r="G779" s="19">
        <f>IFERROR(__xludf.DUMMYFUNCTION("SPLIT(A777, "" |"")"),775.0)</f>
        <v>775</v>
      </c>
      <c r="H779" s="19">
        <f>IFERROR(__xludf.DUMMYFUNCTION("""COMPUTED_VALUE"""),0.00208)</f>
        <v>0.00208</v>
      </c>
      <c r="I779" s="19" t="str">
        <f>IFERROR(__xludf.DUMMYFUNCTION("""COMPUTED_VALUE"""),"-")</f>
        <v>-</v>
      </c>
      <c r="J779" s="19">
        <f>IFERROR(__xludf.DUMMYFUNCTION("""COMPUTED_VALUE"""),0.00206)</f>
        <v>0.00206</v>
      </c>
      <c r="K779" s="19">
        <f>IFERROR(__xludf.DUMMYFUNCTION("""COMPUTED_VALUE"""),0.03975)</f>
        <v>0.03975</v>
      </c>
      <c r="L779" s="19" t="str">
        <f>IFERROR(__xludf.DUMMYFUNCTION("""COMPUTED_VALUE"""),"-")</f>
        <v>-</v>
      </c>
      <c r="M779" s="19">
        <f>IFERROR(__xludf.DUMMYFUNCTION("""COMPUTED_VALUE"""),0.03992)</f>
        <v>0.03992</v>
      </c>
    </row>
    <row r="780">
      <c r="A780" s="12" t="s">
        <v>7770</v>
      </c>
      <c r="G780" s="19">
        <f>IFERROR(__xludf.DUMMYFUNCTION("SPLIT(A778, "" |"")"),776.0)</f>
        <v>776</v>
      </c>
      <c r="H780" s="19">
        <f>IFERROR(__xludf.DUMMYFUNCTION("""COMPUTED_VALUE"""),0.00225)</f>
        <v>0.00225</v>
      </c>
      <c r="I780" s="19" t="str">
        <f>IFERROR(__xludf.DUMMYFUNCTION("""COMPUTED_VALUE"""),"-")</f>
        <v>-</v>
      </c>
      <c r="J780" s="19">
        <f>IFERROR(__xludf.DUMMYFUNCTION("""COMPUTED_VALUE"""),0.002)</f>
        <v>0.002</v>
      </c>
      <c r="K780" s="19">
        <f>IFERROR(__xludf.DUMMYFUNCTION("""COMPUTED_VALUE"""),0.03972)</f>
        <v>0.03972</v>
      </c>
      <c r="L780" s="19" t="str">
        <f>IFERROR(__xludf.DUMMYFUNCTION("""COMPUTED_VALUE"""),"-")</f>
        <v>-</v>
      </c>
      <c r="M780" s="19">
        <f>IFERROR(__xludf.DUMMYFUNCTION("""COMPUTED_VALUE"""),0.04001)</f>
        <v>0.04001</v>
      </c>
    </row>
    <row r="781">
      <c r="A781" s="12" t="s">
        <v>7771</v>
      </c>
      <c r="G781" s="19">
        <f>IFERROR(__xludf.DUMMYFUNCTION("SPLIT(A779, "" |"")"),777.0)</f>
        <v>777</v>
      </c>
      <c r="H781" s="19">
        <f>IFERROR(__xludf.DUMMYFUNCTION("""COMPUTED_VALUE"""),0.00187)</f>
        <v>0.00187</v>
      </c>
      <c r="I781" s="19" t="str">
        <f>IFERROR(__xludf.DUMMYFUNCTION("""COMPUTED_VALUE"""),"-")</f>
        <v>-</v>
      </c>
      <c r="J781" s="19">
        <f>IFERROR(__xludf.DUMMYFUNCTION("""COMPUTED_VALUE"""),0.00201)</f>
        <v>0.00201</v>
      </c>
      <c r="K781" s="19">
        <f>IFERROR(__xludf.DUMMYFUNCTION("""COMPUTED_VALUE"""),0.03977)</f>
        <v>0.03977</v>
      </c>
      <c r="L781" s="19" t="str">
        <f>IFERROR(__xludf.DUMMYFUNCTION("""COMPUTED_VALUE"""),"-")</f>
        <v>-</v>
      </c>
      <c r="M781" s="19">
        <f>IFERROR(__xludf.DUMMYFUNCTION("""COMPUTED_VALUE"""),0.0399)</f>
        <v>0.0399</v>
      </c>
    </row>
    <row r="782">
      <c r="A782" s="12" t="s">
        <v>7772</v>
      </c>
      <c r="G782" s="19">
        <f>IFERROR(__xludf.DUMMYFUNCTION("SPLIT(A780, "" |"")"),778.0)</f>
        <v>778</v>
      </c>
      <c r="H782" s="19">
        <f>IFERROR(__xludf.DUMMYFUNCTION("""COMPUTED_VALUE"""),0.00217)</f>
        <v>0.00217</v>
      </c>
      <c r="I782" s="19" t="str">
        <f>IFERROR(__xludf.DUMMYFUNCTION("""COMPUTED_VALUE"""),"-")</f>
        <v>-</v>
      </c>
      <c r="J782" s="19">
        <f>IFERROR(__xludf.DUMMYFUNCTION("""COMPUTED_VALUE"""),0.00201)</f>
        <v>0.00201</v>
      </c>
      <c r="K782" s="19">
        <f>IFERROR(__xludf.DUMMYFUNCTION("""COMPUTED_VALUE"""),0.0397)</f>
        <v>0.0397</v>
      </c>
      <c r="L782" s="19" t="str">
        <f>IFERROR(__xludf.DUMMYFUNCTION("""COMPUTED_VALUE"""),"-")</f>
        <v>-</v>
      </c>
      <c r="M782" s="19">
        <f>IFERROR(__xludf.DUMMYFUNCTION("""COMPUTED_VALUE"""),0.03976)</f>
        <v>0.03976</v>
      </c>
    </row>
    <row r="783">
      <c r="A783" s="12" t="s">
        <v>7773</v>
      </c>
      <c r="G783" s="19">
        <f>IFERROR(__xludf.DUMMYFUNCTION("SPLIT(A781, "" |"")"),779.0)</f>
        <v>779</v>
      </c>
      <c r="H783" s="19">
        <f>IFERROR(__xludf.DUMMYFUNCTION("""COMPUTED_VALUE"""),0.00203)</f>
        <v>0.00203</v>
      </c>
      <c r="I783" s="19" t="str">
        <f>IFERROR(__xludf.DUMMYFUNCTION("""COMPUTED_VALUE"""),"-")</f>
        <v>-</v>
      </c>
      <c r="J783" s="19">
        <f>IFERROR(__xludf.DUMMYFUNCTION("""COMPUTED_VALUE"""),0.00192)</f>
        <v>0.00192</v>
      </c>
      <c r="K783" s="19">
        <f>IFERROR(__xludf.DUMMYFUNCTION("""COMPUTED_VALUE"""),0.03967)</f>
        <v>0.03967</v>
      </c>
      <c r="L783" s="19" t="str">
        <f>IFERROR(__xludf.DUMMYFUNCTION("""COMPUTED_VALUE"""),"-")</f>
        <v>-</v>
      </c>
      <c r="M783" s="19">
        <f>IFERROR(__xludf.DUMMYFUNCTION("""COMPUTED_VALUE"""),0.0398)</f>
        <v>0.0398</v>
      </c>
    </row>
    <row r="784">
      <c r="A784" s="12" t="s">
        <v>7774</v>
      </c>
      <c r="G784" s="19">
        <f>IFERROR(__xludf.DUMMYFUNCTION("SPLIT(A782, "" |"")"),780.0)</f>
        <v>780</v>
      </c>
      <c r="H784" s="19">
        <f>IFERROR(__xludf.DUMMYFUNCTION("""COMPUTED_VALUE"""),0.00191)</f>
        <v>0.00191</v>
      </c>
      <c r="I784" s="19" t="str">
        <f>IFERROR(__xludf.DUMMYFUNCTION("""COMPUTED_VALUE"""),"-")</f>
        <v>-</v>
      </c>
      <c r="J784" s="19">
        <f>IFERROR(__xludf.DUMMYFUNCTION("""COMPUTED_VALUE"""),0.00181)</f>
        <v>0.00181</v>
      </c>
      <c r="K784" s="19">
        <f>IFERROR(__xludf.DUMMYFUNCTION("""COMPUTED_VALUE"""),0.03975)</f>
        <v>0.03975</v>
      </c>
      <c r="L784" s="19" t="str">
        <f>IFERROR(__xludf.DUMMYFUNCTION("""COMPUTED_VALUE"""),"-")</f>
        <v>-</v>
      </c>
      <c r="M784" s="19">
        <f>IFERROR(__xludf.DUMMYFUNCTION("""COMPUTED_VALUE"""),0.04001)</f>
        <v>0.04001</v>
      </c>
    </row>
    <row r="785">
      <c r="A785" s="12" t="s">
        <v>7775</v>
      </c>
      <c r="G785" s="19">
        <f>IFERROR(__xludf.DUMMYFUNCTION("SPLIT(A783, "" |"")"),781.0)</f>
        <v>781</v>
      </c>
      <c r="H785" s="19">
        <f>IFERROR(__xludf.DUMMYFUNCTION("""COMPUTED_VALUE"""),0.00216)</f>
        <v>0.00216</v>
      </c>
      <c r="I785" s="19" t="str">
        <f>IFERROR(__xludf.DUMMYFUNCTION("""COMPUTED_VALUE"""),"-")</f>
        <v>-</v>
      </c>
      <c r="J785" s="19">
        <f>IFERROR(__xludf.DUMMYFUNCTION("""COMPUTED_VALUE"""),0.00197)</f>
        <v>0.00197</v>
      </c>
      <c r="K785" s="19">
        <f>IFERROR(__xludf.DUMMYFUNCTION("""COMPUTED_VALUE"""),0.03966)</f>
        <v>0.03966</v>
      </c>
      <c r="L785" s="19" t="str">
        <f>IFERROR(__xludf.DUMMYFUNCTION("""COMPUTED_VALUE"""),"-")</f>
        <v>-</v>
      </c>
      <c r="M785" s="19">
        <f>IFERROR(__xludf.DUMMYFUNCTION("""COMPUTED_VALUE"""),0.03984)</f>
        <v>0.03984</v>
      </c>
    </row>
    <row r="786">
      <c r="A786" s="12" t="s">
        <v>7776</v>
      </c>
      <c r="G786" s="19">
        <f>IFERROR(__xludf.DUMMYFUNCTION("SPLIT(A784, "" |"")"),782.0)</f>
        <v>782</v>
      </c>
      <c r="H786" s="19">
        <f>IFERROR(__xludf.DUMMYFUNCTION("""COMPUTED_VALUE"""),0.00212)</f>
        <v>0.00212</v>
      </c>
      <c r="I786" s="19" t="str">
        <f>IFERROR(__xludf.DUMMYFUNCTION("""COMPUTED_VALUE"""),"-")</f>
        <v>-</v>
      </c>
      <c r="J786" s="19">
        <f>IFERROR(__xludf.DUMMYFUNCTION("""COMPUTED_VALUE"""),0.00195)</f>
        <v>0.00195</v>
      </c>
      <c r="K786" s="19">
        <f>IFERROR(__xludf.DUMMYFUNCTION("""COMPUTED_VALUE"""),0.03965)</f>
        <v>0.03965</v>
      </c>
      <c r="L786" s="19" t="str">
        <f>IFERROR(__xludf.DUMMYFUNCTION("""COMPUTED_VALUE"""),"-")</f>
        <v>-</v>
      </c>
      <c r="M786" s="19">
        <f>IFERROR(__xludf.DUMMYFUNCTION("""COMPUTED_VALUE"""),0.03938)</f>
        <v>0.03938</v>
      </c>
    </row>
    <row r="787">
      <c r="A787" s="12" t="s">
        <v>7777</v>
      </c>
      <c r="G787" s="19">
        <f>IFERROR(__xludf.DUMMYFUNCTION("SPLIT(A785, "" |"")"),783.0)</f>
        <v>783</v>
      </c>
      <c r="H787" s="19">
        <f>IFERROR(__xludf.DUMMYFUNCTION("""COMPUTED_VALUE"""),0.00225)</f>
        <v>0.00225</v>
      </c>
      <c r="I787" s="19" t="str">
        <f>IFERROR(__xludf.DUMMYFUNCTION("""COMPUTED_VALUE"""),"-")</f>
        <v>-</v>
      </c>
      <c r="J787" s="19">
        <f>IFERROR(__xludf.DUMMYFUNCTION("""COMPUTED_VALUE"""),0.00203)</f>
        <v>0.00203</v>
      </c>
      <c r="K787" s="19">
        <f>IFERROR(__xludf.DUMMYFUNCTION("""COMPUTED_VALUE"""),0.03784)</f>
        <v>0.03784</v>
      </c>
      <c r="L787" s="19" t="str">
        <f>IFERROR(__xludf.DUMMYFUNCTION("""COMPUTED_VALUE"""),"-")</f>
        <v>-</v>
      </c>
      <c r="M787" s="19">
        <f>IFERROR(__xludf.DUMMYFUNCTION("""COMPUTED_VALUE"""),0.03984)</f>
        <v>0.03984</v>
      </c>
    </row>
    <row r="788">
      <c r="A788" s="12" t="s">
        <v>7778</v>
      </c>
      <c r="G788" s="19">
        <f>IFERROR(__xludf.DUMMYFUNCTION("SPLIT(A786, "" |"")"),784.0)</f>
        <v>784</v>
      </c>
      <c r="H788" s="19">
        <f>IFERROR(__xludf.DUMMYFUNCTION("""COMPUTED_VALUE"""),0.00217)</f>
        <v>0.00217</v>
      </c>
      <c r="I788" s="19" t="str">
        <f>IFERROR(__xludf.DUMMYFUNCTION("""COMPUTED_VALUE"""),"-")</f>
        <v>-</v>
      </c>
      <c r="J788" s="19">
        <f>IFERROR(__xludf.DUMMYFUNCTION("""COMPUTED_VALUE"""),0.00196)</f>
        <v>0.00196</v>
      </c>
      <c r="K788" s="19">
        <f>IFERROR(__xludf.DUMMYFUNCTION("""COMPUTED_VALUE"""),0.03972)</f>
        <v>0.03972</v>
      </c>
      <c r="L788" s="19" t="str">
        <f>IFERROR(__xludf.DUMMYFUNCTION("""COMPUTED_VALUE"""),"-")</f>
        <v>-</v>
      </c>
      <c r="M788" s="19">
        <f>IFERROR(__xludf.DUMMYFUNCTION("""COMPUTED_VALUE"""),0.03985)</f>
        <v>0.03985</v>
      </c>
    </row>
    <row r="789">
      <c r="A789" s="12" t="s">
        <v>7779</v>
      </c>
      <c r="G789" s="19">
        <f>IFERROR(__xludf.DUMMYFUNCTION("SPLIT(A787, "" |"")"),785.0)</f>
        <v>785</v>
      </c>
      <c r="H789" s="19">
        <f>IFERROR(__xludf.DUMMYFUNCTION("""COMPUTED_VALUE"""),0.00199)</f>
        <v>0.00199</v>
      </c>
      <c r="I789" s="19" t="str">
        <f>IFERROR(__xludf.DUMMYFUNCTION("""COMPUTED_VALUE"""),"-")</f>
        <v>-</v>
      </c>
      <c r="J789" s="19">
        <f>IFERROR(__xludf.DUMMYFUNCTION("""COMPUTED_VALUE"""),0.002)</f>
        <v>0.002</v>
      </c>
      <c r="K789" s="19">
        <f>IFERROR(__xludf.DUMMYFUNCTION("""COMPUTED_VALUE"""),0.03981)</f>
        <v>0.03981</v>
      </c>
      <c r="L789" s="19" t="str">
        <f>IFERROR(__xludf.DUMMYFUNCTION("""COMPUTED_VALUE"""),"-")</f>
        <v>-</v>
      </c>
      <c r="M789" s="19">
        <f>IFERROR(__xludf.DUMMYFUNCTION("""COMPUTED_VALUE"""),0.03979)</f>
        <v>0.03979</v>
      </c>
    </row>
    <row r="790">
      <c r="A790" s="12" t="s">
        <v>7780</v>
      </c>
      <c r="G790" s="19">
        <f>IFERROR(__xludf.DUMMYFUNCTION("SPLIT(A788, "" |"")"),786.0)</f>
        <v>786</v>
      </c>
      <c r="H790" s="19">
        <f>IFERROR(__xludf.DUMMYFUNCTION("""COMPUTED_VALUE"""),0.00211)</f>
        <v>0.00211</v>
      </c>
      <c r="I790" s="19" t="str">
        <f>IFERROR(__xludf.DUMMYFUNCTION("""COMPUTED_VALUE"""),"-")</f>
        <v>-</v>
      </c>
      <c r="J790" s="19">
        <f>IFERROR(__xludf.DUMMYFUNCTION("""COMPUTED_VALUE"""),0.00197)</f>
        <v>0.00197</v>
      </c>
      <c r="K790" s="19">
        <f>IFERROR(__xludf.DUMMYFUNCTION("""COMPUTED_VALUE"""),0.03918)</f>
        <v>0.03918</v>
      </c>
      <c r="L790" s="19" t="str">
        <f>IFERROR(__xludf.DUMMYFUNCTION("""COMPUTED_VALUE"""),"-")</f>
        <v>-</v>
      </c>
      <c r="M790" s="19">
        <f>IFERROR(__xludf.DUMMYFUNCTION("""COMPUTED_VALUE"""),0.03988)</f>
        <v>0.03988</v>
      </c>
    </row>
    <row r="791">
      <c r="A791" s="12" t="s">
        <v>7781</v>
      </c>
      <c r="G791" s="19">
        <f>IFERROR(__xludf.DUMMYFUNCTION("SPLIT(A789, "" |"")"),787.0)</f>
        <v>787</v>
      </c>
      <c r="H791" s="19">
        <f>IFERROR(__xludf.DUMMYFUNCTION("""COMPUTED_VALUE"""),0.00213)</f>
        <v>0.00213</v>
      </c>
      <c r="I791" s="19" t="str">
        <f>IFERROR(__xludf.DUMMYFUNCTION("""COMPUTED_VALUE"""),"-")</f>
        <v>-</v>
      </c>
      <c r="J791" s="19">
        <f>IFERROR(__xludf.DUMMYFUNCTION("""COMPUTED_VALUE"""),0.00197)</f>
        <v>0.00197</v>
      </c>
      <c r="K791" s="19">
        <f>IFERROR(__xludf.DUMMYFUNCTION("""COMPUTED_VALUE"""),0.03966)</f>
        <v>0.03966</v>
      </c>
      <c r="L791" s="19" t="str">
        <f>IFERROR(__xludf.DUMMYFUNCTION("""COMPUTED_VALUE"""),"-")</f>
        <v>-</v>
      </c>
      <c r="M791" s="19">
        <f>IFERROR(__xludf.DUMMYFUNCTION("""COMPUTED_VALUE"""),0.03883)</f>
        <v>0.03883</v>
      </c>
    </row>
    <row r="792">
      <c r="A792" s="12" t="s">
        <v>7782</v>
      </c>
      <c r="G792" s="19">
        <f>IFERROR(__xludf.DUMMYFUNCTION("SPLIT(A790, "" |"")"),788.0)</f>
        <v>788</v>
      </c>
      <c r="H792" s="19">
        <f>IFERROR(__xludf.DUMMYFUNCTION("""COMPUTED_VALUE"""),0.00212)</f>
        <v>0.00212</v>
      </c>
      <c r="I792" s="19" t="str">
        <f>IFERROR(__xludf.DUMMYFUNCTION("""COMPUTED_VALUE"""),"-")</f>
        <v>-</v>
      </c>
      <c r="J792" s="19">
        <f>IFERROR(__xludf.DUMMYFUNCTION("""COMPUTED_VALUE"""),0.00196)</f>
        <v>0.00196</v>
      </c>
      <c r="K792" s="19">
        <f>IFERROR(__xludf.DUMMYFUNCTION("""COMPUTED_VALUE"""),0.03978)</f>
        <v>0.03978</v>
      </c>
      <c r="L792" s="19" t="str">
        <f>IFERROR(__xludf.DUMMYFUNCTION("""COMPUTED_VALUE"""),"-")</f>
        <v>-</v>
      </c>
      <c r="M792" s="19">
        <f>IFERROR(__xludf.DUMMYFUNCTION("""COMPUTED_VALUE"""),0.04001)</f>
        <v>0.04001</v>
      </c>
    </row>
    <row r="793">
      <c r="A793" s="12" t="s">
        <v>7783</v>
      </c>
      <c r="G793" s="19">
        <f>IFERROR(__xludf.DUMMYFUNCTION("SPLIT(A791, "" |"")"),789.0)</f>
        <v>789</v>
      </c>
      <c r="H793" s="19">
        <f>IFERROR(__xludf.DUMMYFUNCTION("""COMPUTED_VALUE"""),0.00218)</f>
        <v>0.00218</v>
      </c>
      <c r="I793" s="19" t="str">
        <f>IFERROR(__xludf.DUMMYFUNCTION("""COMPUTED_VALUE"""),"-")</f>
        <v>-</v>
      </c>
      <c r="J793" s="19">
        <f>IFERROR(__xludf.DUMMYFUNCTION("""COMPUTED_VALUE"""),0.00197)</f>
        <v>0.00197</v>
      </c>
      <c r="K793" s="19">
        <f>IFERROR(__xludf.DUMMYFUNCTION("""COMPUTED_VALUE"""),0.03983)</f>
        <v>0.03983</v>
      </c>
      <c r="L793" s="19" t="str">
        <f>IFERROR(__xludf.DUMMYFUNCTION("""COMPUTED_VALUE"""),"-")</f>
        <v>-</v>
      </c>
      <c r="M793" s="19">
        <f>IFERROR(__xludf.DUMMYFUNCTION("""COMPUTED_VALUE"""),0.03989)</f>
        <v>0.03989</v>
      </c>
    </row>
    <row r="794">
      <c r="A794" s="12" t="s">
        <v>7784</v>
      </c>
      <c r="G794" s="19">
        <f>IFERROR(__xludf.DUMMYFUNCTION("SPLIT(A792, "" |"")"),790.0)</f>
        <v>790</v>
      </c>
      <c r="H794" s="19">
        <f>IFERROR(__xludf.DUMMYFUNCTION("""COMPUTED_VALUE"""),0.0021)</f>
        <v>0.0021</v>
      </c>
      <c r="I794" s="19" t="str">
        <f>IFERROR(__xludf.DUMMYFUNCTION("""COMPUTED_VALUE"""),"-")</f>
        <v>-</v>
      </c>
      <c r="J794" s="19">
        <f>IFERROR(__xludf.DUMMYFUNCTION("""COMPUTED_VALUE"""),0.00216)</f>
        <v>0.00216</v>
      </c>
      <c r="K794" s="19">
        <f>IFERROR(__xludf.DUMMYFUNCTION("""COMPUTED_VALUE"""),0.04037)</f>
        <v>0.04037</v>
      </c>
      <c r="L794" s="19" t="str">
        <f>IFERROR(__xludf.DUMMYFUNCTION("""COMPUTED_VALUE"""),"-")</f>
        <v>-</v>
      </c>
      <c r="M794" s="19">
        <f>IFERROR(__xludf.DUMMYFUNCTION("""COMPUTED_VALUE"""),0.03739)</f>
        <v>0.03739</v>
      </c>
    </row>
    <row r="795">
      <c r="A795" s="12" t="s">
        <v>7785</v>
      </c>
      <c r="G795" s="19">
        <f>IFERROR(__xludf.DUMMYFUNCTION("SPLIT(A793, "" |"")"),791.0)</f>
        <v>791</v>
      </c>
      <c r="H795" s="19">
        <f>IFERROR(__xludf.DUMMYFUNCTION("""COMPUTED_VALUE"""),0.00223)</f>
        <v>0.00223</v>
      </c>
      <c r="I795" s="19" t="str">
        <f>IFERROR(__xludf.DUMMYFUNCTION("""COMPUTED_VALUE"""),"-")</f>
        <v>-</v>
      </c>
      <c r="J795" s="19">
        <f>IFERROR(__xludf.DUMMYFUNCTION("""COMPUTED_VALUE"""),0.00188)</f>
        <v>0.00188</v>
      </c>
      <c r="K795" s="19">
        <f>IFERROR(__xludf.DUMMYFUNCTION("""COMPUTED_VALUE"""),0.03751)</f>
        <v>0.03751</v>
      </c>
      <c r="L795" s="19" t="str">
        <f>IFERROR(__xludf.DUMMYFUNCTION("""COMPUTED_VALUE"""),"-")</f>
        <v>-</v>
      </c>
      <c r="M795" s="19">
        <f>IFERROR(__xludf.DUMMYFUNCTION("""COMPUTED_VALUE"""),0.04056)</f>
        <v>0.04056</v>
      </c>
    </row>
    <row r="796">
      <c r="A796" s="12" t="s">
        <v>7786</v>
      </c>
      <c r="G796" s="19">
        <f>IFERROR(__xludf.DUMMYFUNCTION("SPLIT(A794, "" |"")"),792.0)</f>
        <v>792</v>
      </c>
      <c r="H796" s="19">
        <f>IFERROR(__xludf.DUMMYFUNCTION("""COMPUTED_VALUE"""),0.00237)</f>
        <v>0.00237</v>
      </c>
      <c r="I796" s="19" t="str">
        <f>IFERROR(__xludf.DUMMYFUNCTION("""COMPUTED_VALUE"""),"-")</f>
        <v>-</v>
      </c>
      <c r="J796" s="19">
        <f>IFERROR(__xludf.DUMMYFUNCTION("""COMPUTED_VALUE"""),0.00226)</f>
        <v>0.00226</v>
      </c>
      <c r="K796" s="19">
        <f>IFERROR(__xludf.DUMMYFUNCTION("""COMPUTED_VALUE"""),0.04002)</f>
        <v>0.04002</v>
      </c>
      <c r="L796" s="19" t="str">
        <f>IFERROR(__xludf.DUMMYFUNCTION("""COMPUTED_VALUE"""),"-")</f>
        <v>-</v>
      </c>
      <c r="M796" s="19">
        <f>IFERROR(__xludf.DUMMYFUNCTION("""COMPUTED_VALUE"""),0.03909)</f>
        <v>0.03909</v>
      </c>
    </row>
    <row r="797">
      <c r="A797" s="12" t="s">
        <v>7787</v>
      </c>
      <c r="G797" s="19">
        <f>IFERROR(__xludf.DUMMYFUNCTION("SPLIT(A795, "" |"")"),793.0)</f>
        <v>793</v>
      </c>
      <c r="H797" s="19">
        <f>IFERROR(__xludf.DUMMYFUNCTION("""COMPUTED_VALUE"""),0.00203)</f>
        <v>0.00203</v>
      </c>
      <c r="I797" s="19" t="str">
        <f>IFERROR(__xludf.DUMMYFUNCTION("""COMPUTED_VALUE"""),"-")</f>
        <v>-</v>
      </c>
      <c r="J797" s="19">
        <f>IFERROR(__xludf.DUMMYFUNCTION("""COMPUTED_VALUE"""),0.00208)</f>
        <v>0.00208</v>
      </c>
      <c r="K797" s="19">
        <f>IFERROR(__xludf.DUMMYFUNCTION("""COMPUTED_VALUE"""),0.03749)</f>
        <v>0.03749</v>
      </c>
      <c r="L797" s="19" t="str">
        <f>IFERROR(__xludf.DUMMYFUNCTION("""COMPUTED_VALUE"""),"-")</f>
        <v>-</v>
      </c>
      <c r="M797" s="19">
        <f>IFERROR(__xludf.DUMMYFUNCTION("""COMPUTED_VALUE"""),0.04009)</f>
        <v>0.04009</v>
      </c>
    </row>
    <row r="798">
      <c r="A798" s="12" t="s">
        <v>7788</v>
      </c>
      <c r="G798" s="19">
        <f>IFERROR(__xludf.DUMMYFUNCTION("SPLIT(A796, "" |"")"),794.0)</f>
        <v>794</v>
      </c>
      <c r="H798" s="19">
        <f>IFERROR(__xludf.DUMMYFUNCTION("""COMPUTED_VALUE"""),0.00215)</f>
        <v>0.00215</v>
      </c>
      <c r="I798" s="19" t="str">
        <f>IFERROR(__xludf.DUMMYFUNCTION("""COMPUTED_VALUE"""),"-")</f>
        <v>-</v>
      </c>
      <c r="J798" s="19">
        <f>IFERROR(__xludf.DUMMYFUNCTION("""COMPUTED_VALUE"""),0.00217)</f>
        <v>0.00217</v>
      </c>
      <c r="K798" s="19">
        <f>IFERROR(__xludf.DUMMYFUNCTION("""COMPUTED_VALUE"""),0.03983)</f>
        <v>0.03983</v>
      </c>
      <c r="L798" s="19" t="str">
        <f>IFERROR(__xludf.DUMMYFUNCTION("""COMPUTED_VALUE"""),"-")</f>
        <v>-</v>
      </c>
      <c r="M798" s="19">
        <f>IFERROR(__xludf.DUMMYFUNCTION("""COMPUTED_VALUE"""),0.03665)</f>
        <v>0.03665</v>
      </c>
    </row>
    <row r="799">
      <c r="A799" s="12" t="s">
        <v>7789</v>
      </c>
      <c r="G799" s="19">
        <f>IFERROR(__xludf.DUMMYFUNCTION("SPLIT(A797, "" |"")"),795.0)</f>
        <v>795</v>
      </c>
      <c r="H799" s="19">
        <f>IFERROR(__xludf.DUMMYFUNCTION("""COMPUTED_VALUE"""),0.00221)</f>
        <v>0.00221</v>
      </c>
      <c r="I799" s="19" t="str">
        <f>IFERROR(__xludf.DUMMYFUNCTION("""COMPUTED_VALUE"""),"-")</f>
        <v>-</v>
      </c>
      <c r="J799" s="19">
        <f>IFERROR(__xludf.DUMMYFUNCTION("""COMPUTED_VALUE"""),0.00207)</f>
        <v>0.00207</v>
      </c>
      <c r="K799" s="19">
        <f>IFERROR(__xludf.DUMMYFUNCTION("""COMPUTED_VALUE"""),0.04027)</f>
        <v>0.04027</v>
      </c>
      <c r="L799" s="19" t="str">
        <f>IFERROR(__xludf.DUMMYFUNCTION("""COMPUTED_VALUE"""),"-")</f>
        <v>-</v>
      </c>
      <c r="M799" s="19">
        <f>IFERROR(__xludf.DUMMYFUNCTION("""COMPUTED_VALUE"""),0.03767)</f>
        <v>0.03767</v>
      </c>
    </row>
    <row r="800">
      <c r="A800" s="12" t="s">
        <v>7790</v>
      </c>
      <c r="G800" s="19">
        <f>IFERROR(__xludf.DUMMYFUNCTION("SPLIT(A798, "" |"")"),796.0)</f>
        <v>796</v>
      </c>
      <c r="H800" s="19">
        <f>IFERROR(__xludf.DUMMYFUNCTION("""COMPUTED_VALUE"""),0.00205)</f>
        <v>0.00205</v>
      </c>
      <c r="I800" s="19" t="str">
        <f>IFERROR(__xludf.DUMMYFUNCTION("""COMPUTED_VALUE"""),"-")</f>
        <v>-</v>
      </c>
      <c r="J800" s="19">
        <f>IFERROR(__xludf.DUMMYFUNCTION("""COMPUTED_VALUE"""),0.00192)</f>
        <v>0.00192</v>
      </c>
      <c r="K800" s="19">
        <f>IFERROR(__xludf.DUMMYFUNCTION("""COMPUTED_VALUE"""),0.04027)</f>
        <v>0.04027</v>
      </c>
      <c r="L800" s="19" t="str">
        <f>IFERROR(__xludf.DUMMYFUNCTION("""COMPUTED_VALUE"""),"-")</f>
        <v>-</v>
      </c>
      <c r="M800" s="19">
        <f>IFERROR(__xludf.DUMMYFUNCTION("""COMPUTED_VALUE"""),0.04028)</f>
        <v>0.04028</v>
      </c>
    </row>
    <row r="801">
      <c r="A801" s="12" t="s">
        <v>7791</v>
      </c>
      <c r="G801" s="19">
        <f>IFERROR(__xludf.DUMMYFUNCTION("SPLIT(A799, "" |"")"),797.0)</f>
        <v>797</v>
      </c>
      <c r="H801" s="19">
        <f>IFERROR(__xludf.DUMMYFUNCTION("""COMPUTED_VALUE"""),0.00236)</f>
        <v>0.00236</v>
      </c>
      <c r="I801" s="19" t="str">
        <f>IFERROR(__xludf.DUMMYFUNCTION("""COMPUTED_VALUE"""),"-")</f>
        <v>-</v>
      </c>
      <c r="J801" s="19">
        <f>IFERROR(__xludf.DUMMYFUNCTION("""COMPUTED_VALUE"""),0.00212)</f>
        <v>0.00212</v>
      </c>
      <c r="K801" s="19">
        <f>IFERROR(__xludf.DUMMYFUNCTION("""COMPUTED_VALUE"""),0.03784)</f>
        <v>0.03784</v>
      </c>
      <c r="L801" s="19" t="str">
        <f>IFERROR(__xludf.DUMMYFUNCTION("""COMPUTED_VALUE"""),"-")</f>
        <v>-</v>
      </c>
      <c r="M801" s="19">
        <f>IFERROR(__xludf.DUMMYFUNCTION("""COMPUTED_VALUE"""),0.03666)</f>
        <v>0.03666</v>
      </c>
    </row>
    <row r="802">
      <c r="A802" s="12" t="s">
        <v>7792</v>
      </c>
      <c r="G802" s="19">
        <f>IFERROR(__xludf.DUMMYFUNCTION("SPLIT(A800, "" |"")"),798.0)</f>
        <v>798</v>
      </c>
      <c r="H802" s="19">
        <f>IFERROR(__xludf.DUMMYFUNCTION("""COMPUTED_VALUE"""),0.00243)</f>
        <v>0.00243</v>
      </c>
      <c r="I802" s="19" t="str">
        <f>IFERROR(__xludf.DUMMYFUNCTION("""COMPUTED_VALUE"""),"-")</f>
        <v>-</v>
      </c>
      <c r="J802" s="19">
        <f>IFERROR(__xludf.DUMMYFUNCTION("""COMPUTED_VALUE"""),0.00267)</f>
        <v>0.00267</v>
      </c>
      <c r="K802" s="19">
        <f>IFERROR(__xludf.DUMMYFUNCTION("""COMPUTED_VALUE"""),0.03996)</f>
        <v>0.03996</v>
      </c>
      <c r="L802" s="19" t="str">
        <f>IFERROR(__xludf.DUMMYFUNCTION("""COMPUTED_VALUE"""),"-")</f>
        <v>-</v>
      </c>
      <c r="M802" s="19">
        <f>IFERROR(__xludf.DUMMYFUNCTION("""COMPUTED_VALUE"""),0.03787)</f>
        <v>0.03787</v>
      </c>
    </row>
    <row r="803">
      <c r="A803" s="12" t="s">
        <v>7793</v>
      </c>
      <c r="G803" s="19">
        <f>IFERROR(__xludf.DUMMYFUNCTION("SPLIT(A801, "" |"")"),799.0)</f>
        <v>799</v>
      </c>
      <c r="H803" s="19">
        <f>IFERROR(__xludf.DUMMYFUNCTION("""COMPUTED_VALUE"""),0.00226)</f>
        <v>0.00226</v>
      </c>
      <c r="I803" s="19" t="str">
        <f>IFERROR(__xludf.DUMMYFUNCTION("""COMPUTED_VALUE"""),"-")</f>
        <v>-</v>
      </c>
      <c r="J803" s="19">
        <f>IFERROR(__xludf.DUMMYFUNCTION("""COMPUTED_VALUE"""),0.00219)</f>
        <v>0.00219</v>
      </c>
      <c r="K803" s="19">
        <f>IFERROR(__xludf.DUMMYFUNCTION("""COMPUTED_VALUE"""),0.03647)</f>
        <v>0.03647</v>
      </c>
      <c r="L803" s="19" t="str">
        <f>IFERROR(__xludf.DUMMYFUNCTION("""COMPUTED_VALUE"""),"-")</f>
        <v>-</v>
      </c>
      <c r="M803" s="19">
        <f>IFERROR(__xludf.DUMMYFUNCTION("""COMPUTED_VALUE"""),0.03481)</f>
        <v>0.03481</v>
      </c>
    </row>
    <row r="804">
      <c r="A804" s="12" t="s">
        <v>7794</v>
      </c>
      <c r="G804" s="19">
        <f>IFERROR(__xludf.DUMMYFUNCTION("SPLIT(A802, "" |"")"),800.0)</f>
        <v>800</v>
      </c>
      <c r="H804" s="19">
        <f>IFERROR(__xludf.DUMMYFUNCTION("""COMPUTED_VALUE"""),0.00216)</f>
        <v>0.00216</v>
      </c>
      <c r="I804" s="19" t="str">
        <f>IFERROR(__xludf.DUMMYFUNCTION("""COMPUTED_VALUE"""),"-")</f>
        <v>-</v>
      </c>
      <c r="J804" s="19">
        <f>IFERROR(__xludf.DUMMYFUNCTION("""COMPUTED_VALUE"""),0.00206)</f>
        <v>0.00206</v>
      </c>
      <c r="K804" s="19">
        <f>IFERROR(__xludf.DUMMYFUNCTION("""COMPUTED_VALUE"""),0.03637)</f>
        <v>0.03637</v>
      </c>
      <c r="L804" s="19" t="str">
        <f>IFERROR(__xludf.DUMMYFUNCTION("""COMPUTED_VALUE"""),"-")</f>
        <v>-</v>
      </c>
      <c r="M804" s="19">
        <f>IFERROR(__xludf.DUMMYFUNCTION("""COMPUTED_VALUE"""),0.04011)</f>
        <v>0.04011</v>
      </c>
    </row>
    <row r="805">
      <c r="A805" s="12" t="s">
        <v>7795</v>
      </c>
      <c r="G805" s="19">
        <f>IFERROR(__xludf.DUMMYFUNCTION("SPLIT(A803, "" |"")"),801.0)</f>
        <v>801</v>
      </c>
      <c r="H805" s="19">
        <f>IFERROR(__xludf.DUMMYFUNCTION("""COMPUTED_VALUE"""),0.00224)</f>
        <v>0.00224</v>
      </c>
      <c r="I805" s="19" t="str">
        <f>IFERROR(__xludf.DUMMYFUNCTION("""COMPUTED_VALUE"""),"-")</f>
        <v>-</v>
      </c>
      <c r="J805" s="19">
        <f>IFERROR(__xludf.DUMMYFUNCTION("""COMPUTED_VALUE"""),0.00218)</f>
        <v>0.00218</v>
      </c>
      <c r="K805" s="19">
        <f>IFERROR(__xludf.DUMMYFUNCTION("""COMPUTED_VALUE"""),0.04041)</f>
        <v>0.04041</v>
      </c>
      <c r="L805" s="19" t="str">
        <f>IFERROR(__xludf.DUMMYFUNCTION("""COMPUTED_VALUE"""),"-")</f>
        <v>-</v>
      </c>
      <c r="M805" s="19">
        <f>IFERROR(__xludf.DUMMYFUNCTION("""COMPUTED_VALUE"""),0.03983)</f>
        <v>0.03983</v>
      </c>
    </row>
    <row r="806">
      <c r="A806" s="12" t="s">
        <v>7796</v>
      </c>
      <c r="G806" s="19">
        <f>IFERROR(__xludf.DUMMYFUNCTION("SPLIT(A804, "" |"")"),802.0)</f>
        <v>802</v>
      </c>
      <c r="H806" s="19">
        <f>IFERROR(__xludf.DUMMYFUNCTION("""COMPUTED_VALUE"""),0.00211)</f>
        <v>0.00211</v>
      </c>
      <c r="I806" s="19" t="str">
        <f>IFERROR(__xludf.DUMMYFUNCTION("""COMPUTED_VALUE"""),"-")</f>
        <v>-</v>
      </c>
      <c r="J806" s="19">
        <f>IFERROR(__xludf.DUMMYFUNCTION("""COMPUTED_VALUE"""),0.00197)</f>
        <v>0.00197</v>
      </c>
      <c r="K806" s="19">
        <f>IFERROR(__xludf.DUMMYFUNCTION("""COMPUTED_VALUE"""),0.03911)</f>
        <v>0.03911</v>
      </c>
      <c r="L806" s="19" t="str">
        <f>IFERROR(__xludf.DUMMYFUNCTION("""COMPUTED_VALUE"""),"-")</f>
        <v>-</v>
      </c>
      <c r="M806" s="19">
        <f>IFERROR(__xludf.DUMMYFUNCTION("""COMPUTED_VALUE"""),0.03947)</f>
        <v>0.03947</v>
      </c>
    </row>
    <row r="807">
      <c r="A807" s="12" t="s">
        <v>7797</v>
      </c>
      <c r="G807" s="19">
        <f>IFERROR(__xludf.DUMMYFUNCTION("SPLIT(A805, "" |"")"),803.0)</f>
        <v>803</v>
      </c>
      <c r="H807" s="19">
        <f>IFERROR(__xludf.DUMMYFUNCTION("""COMPUTED_VALUE"""),0.00223)</f>
        <v>0.00223</v>
      </c>
      <c r="I807" s="19" t="str">
        <f>IFERROR(__xludf.DUMMYFUNCTION("""COMPUTED_VALUE"""),"-")</f>
        <v>-</v>
      </c>
      <c r="J807" s="19">
        <f>IFERROR(__xludf.DUMMYFUNCTION("""COMPUTED_VALUE"""),0.00177)</f>
        <v>0.00177</v>
      </c>
      <c r="K807" s="19">
        <f>IFERROR(__xludf.DUMMYFUNCTION("""COMPUTED_VALUE"""),0.03932)</f>
        <v>0.03932</v>
      </c>
      <c r="L807" s="19" t="str">
        <f>IFERROR(__xludf.DUMMYFUNCTION("""COMPUTED_VALUE"""),"-")</f>
        <v>-</v>
      </c>
      <c r="M807" s="19">
        <f>IFERROR(__xludf.DUMMYFUNCTION("""COMPUTED_VALUE"""),0.03985)</f>
        <v>0.03985</v>
      </c>
    </row>
    <row r="808">
      <c r="A808" s="12" t="s">
        <v>7798</v>
      </c>
      <c r="G808" s="19">
        <f>IFERROR(__xludf.DUMMYFUNCTION("SPLIT(A806, "" |"")"),804.0)</f>
        <v>804</v>
      </c>
      <c r="H808" s="19">
        <f>IFERROR(__xludf.DUMMYFUNCTION("""COMPUTED_VALUE"""),0.002)</f>
        <v>0.002</v>
      </c>
      <c r="I808" s="19" t="str">
        <f>IFERROR(__xludf.DUMMYFUNCTION("""COMPUTED_VALUE"""),"-")</f>
        <v>-</v>
      </c>
      <c r="J808" s="19">
        <f>IFERROR(__xludf.DUMMYFUNCTION("""COMPUTED_VALUE"""),0.00195)</f>
        <v>0.00195</v>
      </c>
      <c r="K808" s="19">
        <f>IFERROR(__xludf.DUMMYFUNCTION("""COMPUTED_VALUE"""),0.03958)</f>
        <v>0.03958</v>
      </c>
      <c r="L808" s="19" t="str">
        <f>IFERROR(__xludf.DUMMYFUNCTION("""COMPUTED_VALUE"""),"-")</f>
        <v>-</v>
      </c>
      <c r="M808" s="19">
        <f>IFERROR(__xludf.DUMMYFUNCTION("""COMPUTED_VALUE"""),0.03557)</f>
        <v>0.03557</v>
      </c>
    </row>
    <row r="809">
      <c r="A809" s="12" t="s">
        <v>7799</v>
      </c>
      <c r="G809" s="19">
        <f>IFERROR(__xludf.DUMMYFUNCTION("SPLIT(A807, "" |"")"),805.0)</f>
        <v>805</v>
      </c>
      <c r="H809" s="19">
        <f>IFERROR(__xludf.DUMMYFUNCTION("""COMPUTED_VALUE"""),0.00217)</f>
        <v>0.00217</v>
      </c>
      <c r="I809" s="19" t="str">
        <f>IFERROR(__xludf.DUMMYFUNCTION("""COMPUTED_VALUE"""),"-")</f>
        <v>-</v>
      </c>
      <c r="J809" s="19">
        <f>IFERROR(__xludf.DUMMYFUNCTION("""COMPUTED_VALUE"""),0.00178)</f>
        <v>0.00178</v>
      </c>
      <c r="K809" s="19">
        <f>IFERROR(__xludf.DUMMYFUNCTION("""COMPUTED_VALUE"""),0.03929)</f>
        <v>0.03929</v>
      </c>
      <c r="L809" s="19" t="str">
        <f>IFERROR(__xludf.DUMMYFUNCTION("""COMPUTED_VALUE"""),"-")</f>
        <v>-</v>
      </c>
      <c r="M809" s="19">
        <f>IFERROR(__xludf.DUMMYFUNCTION("""COMPUTED_VALUE"""),0.03983)</f>
        <v>0.03983</v>
      </c>
    </row>
    <row r="810">
      <c r="A810" s="12" t="s">
        <v>7800</v>
      </c>
      <c r="G810" s="19">
        <f>IFERROR(__xludf.DUMMYFUNCTION("SPLIT(A808, "" |"")"),806.0)</f>
        <v>806</v>
      </c>
      <c r="H810" s="19">
        <f>IFERROR(__xludf.DUMMYFUNCTION("""COMPUTED_VALUE"""),0.00208)</f>
        <v>0.00208</v>
      </c>
      <c r="I810" s="19" t="str">
        <f>IFERROR(__xludf.DUMMYFUNCTION("""COMPUTED_VALUE"""),"-")</f>
        <v>-</v>
      </c>
      <c r="J810" s="19">
        <f>IFERROR(__xludf.DUMMYFUNCTION("""COMPUTED_VALUE"""),0.00186)</f>
        <v>0.00186</v>
      </c>
      <c r="K810" s="19">
        <f>IFERROR(__xludf.DUMMYFUNCTION("""COMPUTED_VALUE"""),0.03945)</f>
        <v>0.03945</v>
      </c>
      <c r="L810" s="19" t="str">
        <f>IFERROR(__xludf.DUMMYFUNCTION("""COMPUTED_VALUE"""),"-")</f>
        <v>-</v>
      </c>
      <c r="M810" s="19">
        <f>IFERROR(__xludf.DUMMYFUNCTION("""COMPUTED_VALUE"""),0.03982)</f>
        <v>0.03982</v>
      </c>
    </row>
    <row r="811">
      <c r="A811" s="12" t="s">
        <v>7801</v>
      </c>
      <c r="G811" s="19">
        <f>IFERROR(__xludf.DUMMYFUNCTION("SPLIT(A809, "" |"")"),807.0)</f>
        <v>807</v>
      </c>
      <c r="H811" s="19">
        <f>IFERROR(__xludf.DUMMYFUNCTION("""COMPUTED_VALUE"""),0.00213)</f>
        <v>0.00213</v>
      </c>
      <c r="I811" s="19" t="str">
        <f>IFERROR(__xludf.DUMMYFUNCTION("""COMPUTED_VALUE"""),"-")</f>
        <v>-</v>
      </c>
      <c r="J811" s="19">
        <f>IFERROR(__xludf.DUMMYFUNCTION("""COMPUTED_VALUE"""),0.00202)</f>
        <v>0.00202</v>
      </c>
      <c r="K811" s="19">
        <f>IFERROR(__xludf.DUMMYFUNCTION("""COMPUTED_VALUE"""),0.03969)</f>
        <v>0.03969</v>
      </c>
      <c r="L811" s="19" t="str">
        <f>IFERROR(__xludf.DUMMYFUNCTION("""COMPUTED_VALUE"""),"-")</f>
        <v>-</v>
      </c>
      <c r="M811" s="19">
        <f>IFERROR(__xludf.DUMMYFUNCTION("""COMPUTED_VALUE"""),0.03526)</f>
        <v>0.03526</v>
      </c>
    </row>
    <row r="812">
      <c r="A812" s="12" t="s">
        <v>7802</v>
      </c>
      <c r="G812" s="19">
        <f>IFERROR(__xludf.DUMMYFUNCTION("SPLIT(A810, "" |"")"),808.0)</f>
        <v>808</v>
      </c>
      <c r="H812" s="19">
        <f>IFERROR(__xludf.DUMMYFUNCTION("""COMPUTED_VALUE"""),0.00204)</f>
        <v>0.00204</v>
      </c>
      <c r="I812" s="19" t="str">
        <f>IFERROR(__xludf.DUMMYFUNCTION("""COMPUTED_VALUE"""),"-")</f>
        <v>-</v>
      </c>
      <c r="J812" s="19">
        <f>IFERROR(__xludf.DUMMYFUNCTION("""COMPUTED_VALUE"""),0.00188)</f>
        <v>0.00188</v>
      </c>
      <c r="K812" s="19">
        <f>IFERROR(__xludf.DUMMYFUNCTION("""COMPUTED_VALUE"""),0.03986)</f>
        <v>0.03986</v>
      </c>
      <c r="L812" s="19" t="str">
        <f>IFERROR(__xludf.DUMMYFUNCTION("""COMPUTED_VALUE"""),"-")</f>
        <v>-</v>
      </c>
      <c r="M812" s="19">
        <f>IFERROR(__xludf.DUMMYFUNCTION("""COMPUTED_VALUE"""),0.04089)</f>
        <v>0.04089</v>
      </c>
    </row>
    <row r="813">
      <c r="A813" s="12" t="s">
        <v>7803</v>
      </c>
      <c r="G813" s="19">
        <f>IFERROR(__xludf.DUMMYFUNCTION("SPLIT(A811, "" |"")"),809.0)</f>
        <v>809</v>
      </c>
      <c r="H813" s="19">
        <f>IFERROR(__xludf.DUMMYFUNCTION("""COMPUTED_VALUE"""),0.00229)</f>
        <v>0.00229</v>
      </c>
      <c r="I813" s="19" t="str">
        <f>IFERROR(__xludf.DUMMYFUNCTION("""COMPUTED_VALUE"""),"-")</f>
        <v>-</v>
      </c>
      <c r="J813" s="19">
        <f>IFERROR(__xludf.DUMMYFUNCTION("""COMPUTED_VALUE"""),0.00192)</f>
        <v>0.00192</v>
      </c>
      <c r="K813" s="19">
        <f>IFERROR(__xludf.DUMMYFUNCTION("""COMPUTED_VALUE"""),0.03988)</f>
        <v>0.03988</v>
      </c>
      <c r="L813" s="19" t="str">
        <f>IFERROR(__xludf.DUMMYFUNCTION("""COMPUTED_VALUE"""),"-")</f>
        <v>-</v>
      </c>
      <c r="M813" s="19">
        <f>IFERROR(__xludf.DUMMYFUNCTION("""COMPUTED_VALUE"""),0.04005)</f>
        <v>0.04005</v>
      </c>
    </row>
    <row r="814">
      <c r="A814" s="12" t="s">
        <v>7804</v>
      </c>
      <c r="G814" s="19">
        <f>IFERROR(__xludf.DUMMYFUNCTION("SPLIT(A812, "" |"")"),810.0)</f>
        <v>810</v>
      </c>
      <c r="H814" s="19">
        <f>IFERROR(__xludf.DUMMYFUNCTION("""COMPUTED_VALUE"""),0.0022)</f>
        <v>0.0022</v>
      </c>
      <c r="I814" s="19" t="str">
        <f>IFERROR(__xludf.DUMMYFUNCTION("""COMPUTED_VALUE"""),"-")</f>
        <v>-</v>
      </c>
      <c r="J814" s="19">
        <f>IFERROR(__xludf.DUMMYFUNCTION("""COMPUTED_VALUE"""),0.00197)</f>
        <v>0.00197</v>
      </c>
      <c r="K814" s="19">
        <f>IFERROR(__xludf.DUMMYFUNCTION("""COMPUTED_VALUE"""),0.03764)</f>
        <v>0.03764</v>
      </c>
      <c r="L814" s="19" t="str">
        <f>IFERROR(__xludf.DUMMYFUNCTION("""COMPUTED_VALUE"""),"-")</f>
        <v>-</v>
      </c>
      <c r="M814" s="19">
        <f>IFERROR(__xludf.DUMMYFUNCTION("""COMPUTED_VALUE"""),0.03995)</f>
        <v>0.03995</v>
      </c>
    </row>
    <row r="815">
      <c r="A815" s="12" t="s">
        <v>7805</v>
      </c>
      <c r="G815" s="19">
        <f>IFERROR(__xludf.DUMMYFUNCTION("SPLIT(A813, "" |"")"),811.0)</f>
        <v>811</v>
      </c>
      <c r="H815" s="19">
        <f>IFERROR(__xludf.DUMMYFUNCTION("""COMPUTED_VALUE"""),0.00214)</f>
        <v>0.00214</v>
      </c>
      <c r="I815" s="19" t="str">
        <f>IFERROR(__xludf.DUMMYFUNCTION("""COMPUTED_VALUE"""),"-")</f>
        <v>-</v>
      </c>
      <c r="J815" s="19">
        <f>IFERROR(__xludf.DUMMYFUNCTION("""COMPUTED_VALUE"""),0.00193)</f>
        <v>0.00193</v>
      </c>
      <c r="K815" s="19">
        <f>IFERROR(__xludf.DUMMYFUNCTION("""COMPUTED_VALUE"""),0.03965)</f>
        <v>0.03965</v>
      </c>
      <c r="L815" s="19" t="str">
        <f>IFERROR(__xludf.DUMMYFUNCTION("""COMPUTED_VALUE"""),"-")</f>
        <v>-</v>
      </c>
      <c r="M815" s="19">
        <f>IFERROR(__xludf.DUMMYFUNCTION("""COMPUTED_VALUE"""),0.04014)</f>
        <v>0.04014</v>
      </c>
    </row>
    <row r="816">
      <c r="A816" s="12" t="s">
        <v>7806</v>
      </c>
      <c r="G816" s="19">
        <f>IFERROR(__xludf.DUMMYFUNCTION("SPLIT(A814, "" |"")"),812.0)</f>
        <v>812</v>
      </c>
      <c r="H816" s="19">
        <f>IFERROR(__xludf.DUMMYFUNCTION("""COMPUTED_VALUE"""),0.00212)</f>
        <v>0.00212</v>
      </c>
      <c r="I816" s="19" t="str">
        <f>IFERROR(__xludf.DUMMYFUNCTION("""COMPUTED_VALUE"""),"-")</f>
        <v>-</v>
      </c>
      <c r="J816" s="19">
        <f>IFERROR(__xludf.DUMMYFUNCTION("""COMPUTED_VALUE"""),0.00196)</f>
        <v>0.00196</v>
      </c>
      <c r="K816" s="19">
        <f>IFERROR(__xludf.DUMMYFUNCTION("""COMPUTED_VALUE"""),0.03973)</f>
        <v>0.03973</v>
      </c>
      <c r="L816" s="19" t="str">
        <f>IFERROR(__xludf.DUMMYFUNCTION("""COMPUTED_VALUE"""),"-")</f>
        <v>-</v>
      </c>
      <c r="M816" s="19">
        <f>IFERROR(__xludf.DUMMYFUNCTION("""COMPUTED_VALUE"""),0.03963)</f>
        <v>0.03963</v>
      </c>
    </row>
    <row r="817">
      <c r="A817" s="12" t="s">
        <v>7807</v>
      </c>
      <c r="G817" s="19">
        <f>IFERROR(__xludf.DUMMYFUNCTION("SPLIT(A815, "" |"")"),813.0)</f>
        <v>813</v>
      </c>
      <c r="H817" s="19">
        <f>IFERROR(__xludf.DUMMYFUNCTION("""COMPUTED_VALUE"""),0.00201)</f>
        <v>0.00201</v>
      </c>
      <c r="I817" s="19" t="str">
        <f>IFERROR(__xludf.DUMMYFUNCTION("""COMPUTED_VALUE"""),"-")</f>
        <v>-</v>
      </c>
      <c r="J817" s="19">
        <f>IFERROR(__xludf.DUMMYFUNCTION("""COMPUTED_VALUE"""),0.00191)</f>
        <v>0.00191</v>
      </c>
      <c r="K817" s="19">
        <f>IFERROR(__xludf.DUMMYFUNCTION("""COMPUTED_VALUE"""),0.03969)</f>
        <v>0.03969</v>
      </c>
      <c r="L817" s="19" t="str">
        <f>IFERROR(__xludf.DUMMYFUNCTION("""COMPUTED_VALUE"""),"-")</f>
        <v>-</v>
      </c>
      <c r="M817" s="19">
        <f>IFERROR(__xludf.DUMMYFUNCTION("""COMPUTED_VALUE"""),0.03972)</f>
        <v>0.03972</v>
      </c>
    </row>
    <row r="818">
      <c r="A818" s="12" t="s">
        <v>7808</v>
      </c>
      <c r="G818" s="19">
        <f>IFERROR(__xludf.DUMMYFUNCTION("SPLIT(A816, "" |"")"),814.0)</f>
        <v>814</v>
      </c>
      <c r="H818" s="19">
        <f>IFERROR(__xludf.DUMMYFUNCTION("""COMPUTED_VALUE"""),0.00204)</f>
        <v>0.00204</v>
      </c>
      <c r="I818" s="19" t="str">
        <f>IFERROR(__xludf.DUMMYFUNCTION("""COMPUTED_VALUE"""),"-")</f>
        <v>-</v>
      </c>
      <c r="J818" s="19">
        <f>IFERROR(__xludf.DUMMYFUNCTION("""COMPUTED_VALUE"""),0.00188)</f>
        <v>0.00188</v>
      </c>
      <c r="K818" s="19">
        <f>IFERROR(__xludf.DUMMYFUNCTION("""COMPUTED_VALUE"""),0.03969)</f>
        <v>0.03969</v>
      </c>
      <c r="L818" s="19" t="str">
        <f>IFERROR(__xludf.DUMMYFUNCTION("""COMPUTED_VALUE"""),"-")</f>
        <v>-</v>
      </c>
      <c r="M818" s="19">
        <f>IFERROR(__xludf.DUMMYFUNCTION("""COMPUTED_VALUE"""),0.03993)</f>
        <v>0.03993</v>
      </c>
    </row>
    <row r="819">
      <c r="A819" s="12" t="s">
        <v>7809</v>
      </c>
      <c r="G819" s="19">
        <f>IFERROR(__xludf.DUMMYFUNCTION("SPLIT(A817, "" |"")"),815.0)</f>
        <v>815</v>
      </c>
      <c r="H819" s="19">
        <f>IFERROR(__xludf.DUMMYFUNCTION("""COMPUTED_VALUE"""),0.00212)</f>
        <v>0.00212</v>
      </c>
      <c r="I819" s="19" t="str">
        <f>IFERROR(__xludf.DUMMYFUNCTION("""COMPUTED_VALUE"""),"-")</f>
        <v>-</v>
      </c>
      <c r="J819" s="19">
        <f>IFERROR(__xludf.DUMMYFUNCTION("""COMPUTED_VALUE"""),0.00191)</f>
        <v>0.00191</v>
      </c>
      <c r="K819" s="19">
        <f>IFERROR(__xludf.DUMMYFUNCTION("""COMPUTED_VALUE"""),0.03967)</f>
        <v>0.03967</v>
      </c>
      <c r="L819" s="19" t="str">
        <f>IFERROR(__xludf.DUMMYFUNCTION("""COMPUTED_VALUE"""),"-")</f>
        <v>-</v>
      </c>
      <c r="M819" s="19">
        <f>IFERROR(__xludf.DUMMYFUNCTION("""COMPUTED_VALUE"""),0.03985)</f>
        <v>0.03985</v>
      </c>
    </row>
    <row r="820">
      <c r="A820" s="12" t="s">
        <v>7810</v>
      </c>
      <c r="G820" s="19">
        <f>IFERROR(__xludf.DUMMYFUNCTION("SPLIT(A818, "" |"")"),816.0)</f>
        <v>816</v>
      </c>
      <c r="H820" s="19">
        <f>IFERROR(__xludf.DUMMYFUNCTION("""COMPUTED_VALUE"""),0.00197)</f>
        <v>0.00197</v>
      </c>
      <c r="I820" s="19" t="str">
        <f>IFERROR(__xludf.DUMMYFUNCTION("""COMPUTED_VALUE"""),"-")</f>
        <v>-</v>
      </c>
      <c r="J820" s="19">
        <f>IFERROR(__xludf.DUMMYFUNCTION("""COMPUTED_VALUE"""),0.00185)</f>
        <v>0.00185</v>
      </c>
      <c r="K820" s="19">
        <f>IFERROR(__xludf.DUMMYFUNCTION("""COMPUTED_VALUE"""),0.03968)</f>
        <v>0.03968</v>
      </c>
      <c r="L820" s="19" t="str">
        <f>IFERROR(__xludf.DUMMYFUNCTION("""COMPUTED_VALUE"""),"-")</f>
        <v>-</v>
      </c>
      <c r="M820" s="19">
        <f>IFERROR(__xludf.DUMMYFUNCTION("""COMPUTED_VALUE"""),0.04039)</f>
        <v>0.04039</v>
      </c>
    </row>
    <row r="821">
      <c r="A821" s="12" t="s">
        <v>7811</v>
      </c>
      <c r="G821" s="19">
        <f>IFERROR(__xludf.DUMMYFUNCTION("SPLIT(A819, "" |"")"),817.0)</f>
        <v>817</v>
      </c>
      <c r="H821" s="19">
        <f>IFERROR(__xludf.DUMMYFUNCTION("""COMPUTED_VALUE"""),0.00209)</f>
        <v>0.00209</v>
      </c>
      <c r="I821" s="19" t="str">
        <f>IFERROR(__xludf.DUMMYFUNCTION("""COMPUTED_VALUE"""),"-")</f>
        <v>-</v>
      </c>
      <c r="J821" s="19">
        <f>IFERROR(__xludf.DUMMYFUNCTION("""COMPUTED_VALUE"""),0.0019)</f>
        <v>0.0019</v>
      </c>
      <c r="K821" s="19">
        <f>IFERROR(__xludf.DUMMYFUNCTION("""COMPUTED_VALUE"""),0.0384)</f>
        <v>0.0384</v>
      </c>
      <c r="L821" s="19" t="str">
        <f>IFERROR(__xludf.DUMMYFUNCTION("""COMPUTED_VALUE"""),"-")</f>
        <v>-</v>
      </c>
      <c r="M821" s="19">
        <f>IFERROR(__xludf.DUMMYFUNCTION("""COMPUTED_VALUE"""),0.04097)</f>
        <v>0.04097</v>
      </c>
    </row>
    <row r="822">
      <c r="A822" s="12" t="s">
        <v>7812</v>
      </c>
      <c r="G822" s="19">
        <f>IFERROR(__xludf.DUMMYFUNCTION("SPLIT(A820, "" |"")"),818.0)</f>
        <v>818</v>
      </c>
      <c r="H822" s="19">
        <f>IFERROR(__xludf.DUMMYFUNCTION("""COMPUTED_VALUE"""),0.00222)</f>
        <v>0.00222</v>
      </c>
      <c r="I822" s="19" t="str">
        <f>IFERROR(__xludf.DUMMYFUNCTION("""COMPUTED_VALUE"""),"-")</f>
        <v>-</v>
      </c>
      <c r="J822" s="19">
        <f>IFERROR(__xludf.DUMMYFUNCTION("""COMPUTED_VALUE"""),0.00208)</f>
        <v>0.00208</v>
      </c>
      <c r="K822" s="19">
        <f>IFERROR(__xludf.DUMMYFUNCTION("""COMPUTED_VALUE"""),0.03793)</f>
        <v>0.03793</v>
      </c>
      <c r="L822" s="19" t="str">
        <f>IFERROR(__xludf.DUMMYFUNCTION("""COMPUTED_VALUE"""),"-")</f>
        <v>-</v>
      </c>
      <c r="M822" s="19">
        <f>IFERROR(__xludf.DUMMYFUNCTION("""COMPUTED_VALUE"""),0.03985)</f>
        <v>0.03985</v>
      </c>
    </row>
    <row r="823">
      <c r="A823" s="12" t="s">
        <v>7813</v>
      </c>
      <c r="G823" s="19">
        <f>IFERROR(__xludf.DUMMYFUNCTION("SPLIT(A821, "" |"")"),819.0)</f>
        <v>819</v>
      </c>
      <c r="H823" s="19">
        <f>IFERROR(__xludf.DUMMYFUNCTION("""COMPUTED_VALUE"""),0.00208)</f>
        <v>0.00208</v>
      </c>
      <c r="I823" s="19" t="str">
        <f>IFERROR(__xludf.DUMMYFUNCTION("""COMPUTED_VALUE"""),"-")</f>
        <v>-</v>
      </c>
      <c r="J823" s="19">
        <f>IFERROR(__xludf.DUMMYFUNCTION("""COMPUTED_VALUE"""),0.00195)</f>
        <v>0.00195</v>
      </c>
      <c r="K823" s="19">
        <f>IFERROR(__xludf.DUMMYFUNCTION("""COMPUTED_VALUE"""),0.03963)</f>
        <v>0.03963</v>
      </c>
      <c r="L823" s="19" t="str">
        <f>IFERROR(__xludf.DUMMYFUNCTION("""COMPUTED_VALUE"""),"-")</f>
        <v>-</v>
      </c>
      <c r="M823" s="19">
        <f>IFERROR(__xludf.DUMMYFUNCTION("""COMPUTED_VALUE"""),0.03984)</f>
        <v>0.03984</v>
      </c>
    </row>
    <row r="824">
      <c r="A824" s="12" t="s">
        <v>7814</v>
      </c>
      <c r="G824" s="19">
        <f>IFERROR(__xludf.DUMMYFUNCTION("SPLIT(A822, "" |"")"),820.0)</f>
        <v>820</v>
      </c>
      <c r="H824" s="19">
        <f>IFERROR(__xludf.DUMMYFUNCTION("""COMPUTED_VALUE"""),0.00215)</f>
        <v>0.00215</v>
      </c>
      <c r="I824" s="19" t="str">
        <f>IFERROR(__xludf.DUMMYFUNCTION("""COMPUTED_VALUE"""),"-")</f>
        <v>-</v>
      </c>
      <c r="J824" s="19">
        <f>IFERROR(__xludf.DUMMYFUNCTION("""COMPUTED_VALUE"""),0.00198)</f>
        <v>0.00198</v>
      </c>
      <c r="K824" s="19">
        <f>IFERROR(__xludf.DUMMYFUNCTION("""COMPUTED_VALUE"""),0.03966)</f>
        <v>0.03966</v>
      </c>
      <c r="L824" s="19" t="str">
        <f>IFERROR(__xludf.DUMMYFUNCTION("""COMPUTED_VALUE"""),"-")</f>
        <v>-</v>
      </c>
      <c r="M824" s="19">
        <f>IFERROR(__xludf.DUMMYFUNCTION("""COMPUTED_VALUE"""),0.03991)</f>
        <v>0.03991</v>
      </c>
    </row>
    <row r="825">
      <c r="A825" s="12" t="s">
        <v>7815</v>
      </c>
      <c r="G825" s="19">
        <f>IFERROR(__xludf.DUMMYFUNCTION("SPLIT(A823, "" |"")"),821.0)</f>
        <v>821</v>
      </c>
      <c r="H825" s="19">
        <f>IFERROR(__xludf.DUMMYFUNCTION("""COMPUTED_VALUE"""),0.00221)</f>
        <v>0.00221</v>
      </c>
      <c r="I825" s="19" t="str">
        <f>IFERROR(__xludf.DUMMYFUNCTION("""COMPUTED_VALUE"""),"-")</f>
        <v>-</v>
      </c>
      <c r="J825" s="19">
        <f>IFERROR(__xludf.DUMMYFUNCTION("""COMPUTED_VALUE"""),0.00204)</f>
        <v>0.00204</v>
      </c>
      <c r="K825" s="19">
        <f>IFERROR(__xludf.DUMMYFUNCTION("""COMPUTED_VALUE"""),0.03962)</f>
        <v>0.03962</v>
      </c>
      <c r="L825" s="19" t="str">
        <f>IFERROR(__xludf.DUMMYFUNCTION("""COMPUTED_VALUE"""),"-")</f>
        <v>-</v>
      </c>
      <c r="M825" s="19">
        <f>IFERROR(__xludf.DUMMYFUNCTION("""COMPUTED_VALUE"""),0.03983)</f>
        <v>0.03983</v>
      </c>
    </row>
    <row r="826">
      <c r="A826" s="12" t="s">
        <v>7816</v>
      </c>
      <c r="G826" s="19">
        <f>IFERROR(__xludf.DUMMYFUNCTION("SPLIT(A824, "" |"")"),822.0)</f>
        <v>822</v>
      </c>
      <c r="H826" s="19">
        <f>IFERROR(__xludf.DUMMYFUNCTION("""COMPUTED_VALUE"""),0.00203)</f>
        <v>0.00203</v>
      </c>
      <c r="I826" s="19" t="str">
        <f>IFERROR(__xludf.DUMMYFUNCTION("""COMPUTED_VALUE"""),"-")</f>
        <v>-</v>
      </c>
      <c r="J826" s="19">
        <f>IFERROR(__xludf.DUMMYFUNCTION("""COMPUTED_VALUE"""),0.0019)</f>
        <v>0.0019</v>
      </c>
      <c r="K826" s="19">
        <f>IFERROR(__xludf.DUMMYFUNCTION("""COMPUTED_VALUE"""),0.03961)</f>
        <v>0.03961</v>
      </c>
      <c r="L826" s="19" t="str">
        <f>IFERROR(__xludf.DUMMYFUNCTION("""COMPUTED_VALUE"""),"-")</f>
        <v>-</v>
      </c>
      <c r="M826" s="19">
        <f>IFERROR(__xludf.DUMMYFUNCTION("""COMPUTED_VALUE"""),0.03981)</f>
        <v>0.03981</v>
      </c>
    </row>
    <row r="827">
      <c r="A827" s="12" t="s">
        <v>7817</v>
      </c>
      <c r="G827" s="19">
        <f>IFERROR(__xludf.DUMMYFUNCTION("SPLIT(A825, "" |"")"),823.0)</f>
        <v>823</v>
      </c>
      <c r="H827" s="19">
        <f>IFERROR(__xludf.DUMMYFUNCTION("""COMPUTED_VALUE"""),0.00222)</f>
        <v>0.00222</v>
      </c>
      <c r="I827" s="19" t="str">
        <f>IFERROR(__xludf.DUMMYFUNCTION("""COMPUTED_VALUE"""),"-")</f>
        <v>-</v>
      </c>
      <c r="J827" s="19">
        <f>IFERROR(__xludf.DUMMYFUNCTION("""COMPUTED_VALUE"""),0.00194)</f>
        <v>0.00194</v>
      </c>
      <c r="K827" s="19">
        <f>IFERROR(__xludf.DUMMYFUNCTION("""COMPUTED_VALUE"""),0.04054)</f>
        <v>0.04054</v>
      </c>
      <c r="L827" s="19" t="str">
        <f>IFERROR(__xludf.DUMMYFUNCTION("""COMPUTED_VALUE"""),"-")</f>
        <v>-</v>
      </c>
      <c r="M827" s="19">
        <f>IFERROR(__xludf.DUMMYFUNCTION("""COMPUTED_VALUE"""),0.03651)</f>
        <v>0.03651</v>
      </c>
    </row>
    <row r="828">
      <c r="A828" s="12" t="s">
        <v>7818</v>
      </c>
      <c r="G828" s="19">
        <f>IFERROR(__xludf.DUMMYFUNCTION("SPLIT(A826, "" |"")"),824.0)</f>
        <v>824</v>
      </c>
      <c r="H828" s="19">
        <f>IFERROR(__xludf.DUMMYFUNCTION("""COMPUTED_VALUE"""),0.00206)</f>
        <v>0.00206</v>
      </c>
      <c r="I828" s="19" t="str">
        <f>IFERROR(__xludf.DUMMYFUNCTION("""COMPUTED_VALUE"""),"-")</f>
        <v>-</v>
      </c>
      <c r="J828" s="19">
        <f>IFERROR(__xludf.DUMMYFUNCTION("""COMPUTED_VALUE"""),0.00187)</f>
        <v>0.00187</v>
      </c>
      <c r="K828" s="19">
        <f>IFERROR(__xludf.DUMMYFUNCTION("""COMPUTED_VALUE"""),0.04008)</f>
        <v>0.04008</v>
      </c>
      <c r="L828" s="19" t="str">
        <f>IFERROR(__xludf.DUMMYFUNCTION("""COMPUTED_VALUE"""),"-")</f>
        <v>-</v>
      </c>
      <c r="M828" s="19">
        <f>IFERROR(__xludf.DUMMYFUNCTION("""COMPUTED_VALUE"""),0.04059)</f>
        <v>0.04059</v>
      </c>
    </row>
    <row r="829">
      <c r="A829" s="12" t="s">
        <v>7819</v>
      </c>
      <c r="G829" s="19">
        <f>IFERROR(__xludf.DUMMYFUNCTION("SPLIT(A827, "" |"")"),825.0)</f>
        <v>825</v>
      </c>
      <c r="H829" s="19">
        <f>IFERROR(__xludf.DUMMYFUNCTION("""COMPUTED_VALUE"""),0.00212)</f>
        <v>0.00212</v>
      </c>
      <c r="I829" s="19" t="str">
        <f>IFERROR(__xludf.DUMMYFUNCTION("""COMPUTED_VALUE"""),"-")</f>
        <v>-</v>
      </c>
      <c r="J829" s="19">
        <f>IFERROR(__xludf.DUMMYFUNCTION("""COMPUTED_VALUE"""),0.00199)</f>
        <v>0.00199</v>
      </c>
      <c r="K829" s="19">
        <f>IFERROR(__xludf.DUMMYFUNCTION("""COMPUTED_VALUE"""),0.03968)</f>
        <v>0.03968</v>
      </c>
      <c r="L829" s="19" t="str">
        <f>IFERROR(__xludf.DUMMYFUNCTION("""COMPUTED_VALUE"""),"-")</f>
        <v>-</v>
      </c>
      <c r="M829" s="19">
        <f>IFERROR(__xludf.DUMMYFUNCTION("""COMPUTED_VALUE"""),0.04018)</f>
        <v>0.04018</v>
      </c>
    </row>
    <row r="830">
      <c r="A830" s="12" t="s">
        <v>7820</v>
      </c>
      <c r="G830" s="19">
        <f>IFERROR(__xludf.DUMMYFUNCTION("SPLIT(A828, "" |"")"),826.0)</f>
        <v>826</v>
      </c>
      <c r="H830" s="19">
        <f>IFERROR(__xludf.DUMMYFUNCTION("""COMPUTED_VALUE"""),0.00217)</f>
        <v>0.00217</v>
      </c>
      <c r="I830" s="19" t="str">
        <f>IFERROR(__xludf.DUMMYFUNCTION("""COMPUTED_VALUE"""),"-")</f>
        <v>-</v>
      </c>
      <c r="J830" s="19">
        <f>IFERROR(__xludf.DUMMYFUNCTION("""COMPUTED_VALUE"""),0.00193)</f>
        <v>0.00193</v>
      </c>
      <c r="K830" s="19">
        <f>IFERROR(__xludf.DUMMYFUNCTION("""COMPUTED_VALUE"""),0.03975)</f>
        <v>0.03975</v>
      </c>
      <c r="L830" s="19" t="str">
        <f>IFERROR(__xludf.DUMMYFUNCTION("""COMPUTED_VALUE"""),"-")</f>
        <v>-</v>
      </c>
      <c r="M830" s="19">
        <f>IFERROR(__xludf.DUMMYFUNCTION("""COMPUTED_VALUE"""),0.03999)</f>
        <v>0.03999</v>
      </c>
    </row>
    <row r="831">
      <c r="A831" s="12" t="s">
        <v>7821</v>
      </c>
      <c r="G831" s="19">
        <f>IFERROR(__xludf.DUMMYFUNCTION("SPLIT(A829, "" |"")"),827.0)</f>
        <v>827</v>
      </c>
      <c r="H831" s="19">
        <f>IFERROR(__xludf.DUMMYFUNCTION("""COMPUTED_VALUE"""),0.00218)</f>
        <v>0.00218</v>
      </c>
      <c r="I831" s="19" t="str">
        <f>IFERROR(__xludf.DUMMYFUNCTION("""COMPUTED_VALUE"""),"-")</f>
        <v>-</v>
      </c>
      <c r="J831" s="19">
        <f>IFERROR(__xludf.DUMMYFUNCTION("""COMPUTED_VALUE"""),0.00197)</f>
        <v>0.00197</v>
      </c>
      <c r="K831" s="19">
        <f>IFERROR(__xludf.DUMMYFUNCTION("""COMPUTED_VALUE"""),0.04017)</f>
        <v>0.04017</v>
      </c>
      <c r="L831" s="19" t="str">
        <f>IFERROR(__xludf.DUMMYFUNCTION("""COMPUTED_VALUE"""),"-")</f>
        <v>-</v>
      </c>
      <c r="M831" s="19">
        <f>IFERROR(__xludf.DUMMYFUNCTION("""COMPUTED_VALUE"""),0.03978)</f>
        <v>0.03978</v>
      </c>
    </row>
    <row r="832">
      <c r="A832" s="12" t="s">
        <v>7822</v>
      </c>
      <c r="G832" s="19">
        <f>IFERROR(__xludf.DUMMYFUNCTION("SPLIT(A830, "" |"")"),828.0)</f>
        <v>828</v>
      </c>
      <c r="H832" s="19">
        <f>IFERROR(__xludf.DUMMYFUNCTION("""COMPUTED_VALUE"""),0.00205)</f>
        <v>0.00205</v>
      </c>
      <c r="I832" s="19" t="str">
        <f>IFERROR(__xludf.DUMMYFUNCTION("""COMPUTED_VALUE"""),"-")</f>
        <v>-</v>
      </c>
      <c r="J832" s="19">
        <f>IFERROR(__xludf.DUMMYFUNCTION("""COMPUTED_VALUE"""),0.00194)</f>
        <v>0.00194</v>
      </c>
      <c r="K832" s="19">
        <f>IFERROR(__xludf.DUMMYFUNCTION("""COMPUTED_VALUE"""),0.03968)</f>
        <v>0.03968</v>
      </c>
      <c r="L832" s="19" t="str">
        <f>IFERROR(__xludf.DUMMYFUNCTION("""COMPUTED_VALUE"""),"-")</f>
        <v>-</v>
      </c>
      <c r="M832" s="19">
        <f>IFERROR(__xludf.DUMMYFUNCTION("""COMPUTED_VALUE"""),0.03987)</f>
        <v>0.03987</v>
      </c>
    </row>
    <row r="833">
      <c r="A833" s="12" t="s">
        <v>7823</v>
      </c>
      <c r="G833" s="19">
        <f>IFERROR(__xludf.DUMMYFUNCTION("SPLIT(A831, "" |"")"),829.0)</f>
        <v>829</v>
      </c>
      <c r="H833" s="19">
        <f>IFERROR(__xludf.DUMMYFUNCTION("""COMPUTED_VALUE"""),0.00212)</f>
        <v>0.00212</v>
      </c>
      <c r="I833" s="19" t="str">
        <f>IFERROR(__xludf.DUMMYFUNCTION("""COMPUTED_VALUE"""),"-")</f>
        <v>-</v>
      </c>
      <c r="J833" s="19">
        <f>IFERROR(__xludf.DUMMYFUNCTION("""COMPUTED_VALUE"""),0.00203)</f>
        <v>0.00203</v>
      </c>
      <c r="K833" s="19">
        <f>IFERROR(__xludf.DUMMYFUNCTION("""COMPUTED_VALUE"""),0.03974)</f>
        <v>0.03974</v>
      </c>
      <c r="L833" s="19" t="str">
        <f>IFERROR(__xludf.DUMMYFUNCTION("""COMPUTED_VALUE"""),"-")</f>
        <v>-</v>
      </c>
      <c r="M833" s="19">
        <f>IFERROR(__xludf.DUMMYFUNCTION("""COMPUTED_VALUE"""),0.03983)</f>
        <v>0.03983</v>
      </c>
    </row>
    <row r="834">
      <c r="A834" s="12" t="s">
        <v>7824</v>
      </c>
      <c r="G834" s="19">
        <f>IFERROR(__xludf.DUMMYFUNCTION("SPLIT(A832, "" |"")"),830.0)</f>
        <v>830</v>
      </c>
      <c r="H834" s="19">
        <f>IFERROR(__xludf.DUMMYFUNCTION("""COMPUTED_VALUE"""),0.00205)</f>
        <v>0.00205</v>
      </c>
      <c r="I834" s="19" t="str">
        <f>IFERROR(__xludf.DUMMYFUNCTION("""COMPUTED_VALUE"""),"-")</f>
        <v>-</v>
      </c>
      <c r="J834" s="19">
        <f>IFERROR(__xludf.DUMMYFUNCTION("""COMPUTED_VALUE"""),0.00203)</f>
        <v>0.00203</v>
      </c>
      <c r="K834" s="19">
        <f>IFERROR(__xludf.DUMMYFUNCTION("""COMPUTED_VALUE"""),0.03972)</f>
        <v>0.03972</v>
      </c>
      <c r="L834" s="19" t="str">
        <f>IFERROR(__xludf.DUMMYFUNCTION("""COMPUTED_VALUE"""),"-")</f>
        <v>-</v>
      </c>
      <c r="M834" s="19">
        <f>IFERROR(__xludf.DUMMYFUNCTION("""COMPUTED_VALUE"""),0.03987)</f>
        <v>0.03987</v>
      </c>
    </row>
    <row r="835">
      <c r="A835" s="12" t="s">
        <v>7825</v>
      </c>
      <c r="G835" s="19">
        <f>IFERROR(__xludf.DUMMYFUNCTION("SPLIT(A833, "" |"")"),831.0)</f>
        <v>831</v>
      </c>
      <c r="H835" s="19">
        <f>IFERROR(__xludf.DUMMYFUNCTION("""COMPUTED_VALUE"""),0.00211)</f>
        <v>0.00211</v>
      </c>
      <c r="I835" s="19" t="str">
        <f>IFERROR(__xludf.DUMMYFUNCTION("""COMPUTED_VALUE"""),"-")</f>
        <v>-</v>
      </c>
      <c r="J835" s="19">
        <f>IFERROR(__xludf.DUMMYFUNCTION("""COMPUTED_VALUE"""),0.002)</f>
        <v>0.002</v>
      </c>
      <c r="K835" s="19">
        <f>IFERROR(__xludf.DUMMYFUNCTION("""COMPUTED_VALUE"""),0.03965)</f>
        <v>0.03965</v>
      </c>
      <c r="L835" s="19" t="str">
        <f>IFERROR(__xludf.DUMMYFUNCTION("""COMPUTED_VALUE"""),"-")</f>
        <v>-</v>
      </c>
      <c r="M835" s="19">
        <f>IFERROR(__xludf.DUMMYFUNCTION("""COMPUTED_VALUE"""),0.03993)</f>
        <v>0.03993</v>
      </c>
    </row>
    <row r="836">
      <c r="A836" s="12" t="s">
        <v>7826</v>
      </c>
      <c r="G836" s="19">
        <f>IFERROR(__xludf.DUMMYFUNCTION("SPLIT(A834, "" |"")"),832.0)</f>
        <v>832</v>
      </c>
      <c r="H836" s="19">
        <f>IFERROR(__xludf.DUMMYFUNCTION("""COMPUTED_VALUE"""),0.0022)</f>
        <v>0.0022</v>
      </c>
      <c r="I836" s="19" t="str">
        <f>IFERROR(__xludf.DUMMYFUNCTION("""COMPUTED_VALUE"""),"-")</f>
        <v>-</v>
      </c>
      <c r="J836" s="19">
        <f>IFERROR(__xludf.DUMMYFUNCTION("""COMPUTED_VALUE"""),0.00197)</f>
        <v>0.00197</v>
      </c>
      <c r="K836" s="19">
        <f>IFERROR(__xludf.DUMMYFUNCTION("""COMPUTED_VALUE"""),0.03979)</f>
        <v>0.03979</v>
      </c>
      <c r="L836" s="19" t="str">
        <f>IFERROR(__xludf.DUMMYFUNCTION("""COMPUTED_VALUE"""),"-")</f>
        <v>-</v>
      </c>
      <c r="M836" s="19">
        <f>IFERROR(__xludf.DUMMYFUNCTION("""COMPUTED_VALUE"""),0.0399)</f>
        <v>0.0399</v>
      </c>
    </row>
    <row r="837">
      <c r="A837" s="12" t="s">
        <v>7827</v>
      </c>
      <c r="G837" s="19">
        <f>IFERROR(__xludf.DUMMYFUNCTION("SPLIT(A835, "" |"")"),833.0)</f>
        <v>833</v>
      </c>
      <c r="H837" s="19">
        <f>IFERROR(__xludf.DUMMYFUNCTION("""COMPUTED_VALUE"""),0.00214)</f>
        <v>0.00214</v>
      </c>
      <c r="I837" s="19" t="str">
        <f>IFERROR(__xludf.DUMMYFUNCTION("""COMPUTED_VALUE"""),"-")</f>
        <v>-</v>
      </c>
      <c r="J837" s="19">
        <f>IFERROR(__xludf.DUMMYFUNCTION("""COMPUTED_VALUE"""),0.00193)</f>
        <v>0.00193</v>
      </c>
      <c r="K837" s="19">
        <f>IFERROR(__xludf.DUMMYFUNCTION("""COMPUTED_VALUE"""),0.03955)</f>
        <v>0.03955</v>
      </c>
      <c r="L837" s="19" t="str">
        <f>IFERROR(__xludf.DUMMYFUNCTION("""COMPUTED_VALUE"""),"-")</f>
        <v>-</v>
      </c>
      <c r="M837" s="19">
        <f>IFERROR(__xludf.DUMMYFUNCTION("""COMPUTED_VALUE"""),0.03988)</f>
        <v>0.03988</v>
      </c>
    </row>
    <row r="838">
      <c r="A838" s="12" t="s">
        <v>7828</v>
      </c>
      <c r="G838" s="19">
        <f>IFERROR(__xludf.DUMMYFUNCTION("SPLIT(A836, "" |"")"),834.0)</f>
        <v>834</v>
      </c>
      <c r="H838" s="19">
        <f>IFERROR(__xludf.DUMMYFUNCTION("""COMPUTED_VALUE"""),0.00218)</f>
        <v>0.00218</v>
      </c>
      <c r="I838" s="19" t="str">
        <f>IFERROR(__xludf.DUMMYFUNCTION("""COMPUTED_VALUE"""),"-")</f>
        <v>-</v>
      </c>
      <c r="J838" s="19">
        <f>IFERROR(__xludf.DUMMYFUNCTION("""COMPUTED_VALUE"""),0.00197)</f>
        <v>0.00197</v>
      </c>
      <c r="K838" s="19">
        <f>IFERROR(__xludf.DUMMYFUNCTION("""COMPUTED_VALUE"""),0.03971)</f>
        <v>0.03971</v>
      </c>
      <c r="L838" s="19" t="str">
        <f>IFERROR(__xludf.DUMMYFUNCTION("""COMPUTED_VALUE"""),"-")</f>
        <v>-</v>
      </c>
      <c r="M838" s="19">
        <f>IFERROR(__xludf.DUMMYFUNCTION("""COMPUTED_VALUE"""),0.03986)</f>
        <v>0.03986</v>
      </c>
    </row>
    <row r="839">
      <c r="A839" s="12" t="s">
        <v>7829</v>
      </c>
      <c r="G839" s="19">
        <f>IFERROR(__xludf.DUMMYFUNCTION("SPLIT(A837, "" |"")"),835.0)</f>
        <v>835</v>
      </c>
      <c r="H839" s="19">
        <f>IFERROR(__xludf.DUMMYFUNCTION("""COMPUTED_VALUE"""),0.00214)</f>
        <v>0.00214</v>
      </c>
      <c r="I839" s="19" t="str">
        <f>IFERROR(__xludf.DUMMYFUNCTION("""COMPUTED_VALUE"""),"-")</f>
        <v>-</v>
      </c>
      <c r="J839" s="19">
        <f>IFERROR(__xludf.DUMMYFUNCTION("""COMPUTED_VALUE"""),0.00188)</f>
        <v>0.00188</v>
      </c>
      <c r="K839" s="19">
        <f>IFERROR(__xludf.DUMMYFUNCTION("""COMPUTED_VALUE"""),0.04018)</f>
        <v>0.04018</v>
      </c>
      <c r="L839" s="19" t="str">
        <f>IFERROR(__xludf.DUMMYFUNCTION("""COMPUTED_VALUE"""),"-")</f>
        <v>-</v>
      </c>
      <c r="M839" s="19">
        <f>IFERROR(__xludf.DUMMYFUNCTION("""COMPUTED_VALUE"""),0.03749)</f>
        <v>0.03749</v>
      </c>
    </row>
    <row r="840">
      <c r="A840" s="12" t="s">
        <v>7830</v>
      </c>
      <c r="G840" s="19">
        <f>IFERROR(__xludf.DUMMYFUNCTION("SPLIT(A838, "" |"")"),836.0)</f>
        <v>836</v>
      </c>
      <c r="H840" s="19">
        <f>IFERROR(__xludf.DUMMYFUNCTION("""COMPUTED_VALUE"""),0.00223)</f>
        <v>0.00223</v>
      </c>
      <c r="I840" s="19" t="str">
        <f>IFERROR(__xludf.DUMMYFUNCTION("""COMPUTED_VALUE"""),"-")</f>
        <v>-</v>
      </c>
      <c r="J840" s="19">
        <f>IFERROR(__xludf.DUMMYFUNCTION("""COMPUTED_VALUE"""),0.00198)</f>
        <v>0.00198</v>
      </c>
      <c r="K840" s="19">
        <f>IFERROR(__xludf.DUMMYFUNCTION("""COMPUTED_VALUE"""),0.03971)</f>
        <v>0.03971</v>
      </c>
      <c r="L840" s="19" t="str">
        <f>IFERROR(__xludf.DUMMYFUNCTION("""COMPUTED_VALUE"""),"-")</f>
        <v>-</v>
      </c>
      <c r="M840" s="19">
        <f>IFERROR(__xludf.DUMMYFUNCTION("""COMPUTED_VALUE"""),0.0399)</f>
        <v>0.0399</v>
      </c>
    </row>
    <row r="841">
      <c r="A841" s="12" t="s">
        <v>7831</v>
      </c>
      <c r="G841" s="19">
        <f>IFERROR(__xludf.DUMMYFUNCTION("SPLIT(A839, "" |"")"),837.0)</f>
        <v>837</v>
      </c>
      <c r="H841" s="19">
        <f>IFERROR(__xludf.DUMMYFUNCTION("""COMPUTED_VALUE"""),0.00214)</f>
        <v>0.00214</v>
      </c>
      <c r="I841" s="19" t="str">
        <f>IFERROR(__xludf.DUMMYFUNCTION("""COMPUTED_VALUE"""),"-")</f>
        <v>-</v>
      </c>
      <c r="J841" s="19">
        <f>IFERROR(__xludf.DUMMYFUNCTION("""COMPUTED_VALUE"""),0.00208)</f>
        <v>0.00208</v>
      </c>
      <c r="K841" s="19">
        <f>IFERROR(__xludf.DUMMYFUNCTION("""COMPUTED_VALUE"""),0.03957)</f>
        <v>0.03957</v>
      </c>
      <c r="L841" s="19" t="str">
        <f>IFERROR(__xludf.DUMMYFUNCTION("""COMPUTED_VALUE"""),"-")</f>
        <v>-</v>
      </c>
      <c r="M841" s="19">
        <f>IFERROR(__xludf.DUMMYFUNCTION("""COMPUTED_VALUE"""),0.03974)</f>
        <v>0.03974</v>
      </c>
    </row>
    <row r="842">
      <c r="A842" s="12" t="s">
        <v>7832</v>
      </c>
      <c r="G842" s="19">
        <f>IFERROR(__xludf.DUMMYFUNCTION("SPLIT(A840, "" |"")"),838.0)</f>
        <v>838</v>
      </c>
      <c r="H842" s="19">
        <f>IFERROR(__xludf.DUMMYFUNCTION("""COMPUTED_VALUE"""),0.00217)</f>
        <v>0.00217</v>
      </c>
      <c r="I842" s="19" t="str">
        <f>IFERROR(__xludf.DUMMYFUNCTION("""COMPUTED_VALUE"""),"-")</f>
        <v>-</v>
      </c>
      <c r="J842" s="19">
        <f>IFERROR(__xludf.DUMMYFUNCTION("""COMPUTED_VALUE"""),0.00196)</f>
        <v>0.00196</v>
      </c>
      <c r="K842" s="19">
        <f>IFERROR(__xludf.DUMMYFUNCTION("""COMPUTED_VALUE"""),0.03971)</f>
        <v>0.03971</v>
      </c>
      <c r="L842" s="19" t="str">
        <f>IFERROR(__xludf.DUMMYFUNCTION("""COMPUTED_VALUE"""),"-")</f>
        <v>-</v>
      </c>
      <c r="M842" s="19">
        <f>IFERROR(__xludf.DUMMYFUNCTION("""COMPUTED_VALUE"""),0.03988)</f>
        <v>0.03988</v>
      </c>
    </row>
    <row r="843">
      <c r="A843" s="12" t="s">
        <v>7833</v>
      </c>
      <c r="G843" s="19">
        <f>IFERROR(__xludf.DUMMYFUNCTION("SPLIT(A841, "" |"")"),839.0)</f>
        <v>839</v>
      </c>
      <c r="H843" s="19">
        <f>IFERROR(__xludf.DUMMYFUNCTION("""COMPUTED_VALUE"""),0.00201)</f>
        <v>0.00201</v>
      </c>
      <c r="I843" s="19" t="str">
        <f>IFERROR(__xludf.DUMMYFUNCTION("""COMPUTED_VALUE"""),"-")</f>
        <v>-</v>
      </c>
      <c r="J843" s="19">
        <f>IFERROR(__xludf.DUMMYFUNCTION("""COMPUTED_VALUE"""),0.00189)</f>
        <v>0.00189</v>
      </c>
      <c r="K843" s="19">
        <f>IFERROR(__xludf.DUMMYFUNCTION("""COMPUTED_VALUE"""),0.0396)</f>
        <v>0.0396</v>
      </c>
      <c r="L843" s="19" t="str">
        <f>IFERROR(__xludf.DUMMYFUNCTION("""COMPUTED_VALUE"""),"-")</f>
        <v>-</v>
      </c>
      <c r="M843" s="19">
        <f>IFERROR(__xludf.DUMMYFUNCTION("""COMPUTED_VALUE"""),0.04041)</f>
        <v>0.04041</v>
      </c>
    </row>
    <row r="844">
      <c r="A844" s="12" t="s">
        <v>7834</v>
      </c>
      <c r="G844" s="19">
        <f>IFERROR(__xludf.DUMMYFUNCTION("SPLIT(A842, "" |"")"),840.0)</f>
        <v>840</v>
      </c>
      <c r="H844" s="19">
        <f>IFERROR(__xludf.DUMMYFUNCTION("""COMPUTED_VALUE"""),0.00216)</f>
        <v>0.00216</v>
      </c>
      <c r="I844" s="19" t="str">
        <f>IFERROR(__xludf.DUMMYFUNCTION("""COMPUTED_VALUE"""),"-")</f>
        <v>-</v>
      </c>
      <c r="J844" s="19">
        <f>IFERROR(__xludf.DUMMYFUNCTION("""COMPUTED_VALUE"""),0.00189)</f>
        <v>0.00189</v>
      </c>
      <c r="K844" s="19">
        <f>IFERROR(__xludf.DUMMYFUNCTION("""COMPUTED_VALUE"""),0.03959)</f>
        <v>0.03959</v>
      </c>
      <c r="L844" s="19" t="str">
        <f>IFERROR(__xludf.DUMMYFUNCTION("""COMPUTED_VALUE"""),"-")</f>
        <v>-</v>
      </c>
      <c r="M844" s="19">
        <f>IFERROR(__xludf.DUMMYFUNCTION("""COMPUTED_VALUE"""),0.03915)</f>
        <v>0.03915</v>
      </c>
    </row>
    <row r="845">
      <c r="A845" s="12" t="s">
        <v>7835</v>
      </c>
      <c r="G845" s="19">
        <f>IFERROR(__xludf.DUMMYFUNCTION("SPLIT(A843, "" |"")"),841.0)</f>
        <v>841</v>
      </c>
      <c r="H845" s="19">
        <f>IFERROR(__xludf.DUMMYFUNCTION("""COMPUTED_VALUE"""),0.00215)</f>
        <v>0.00215</v>
      </c>
      <c r="I845" s="19" t="str">
        <f>IFERROR(__xludf.DUMMYFUNCTION("""COMPUTED_VALUE"""),"-")</f>
        <v>-</v>
      </c>
      <c r="J845" s="19">
        <f>IFERROR(__xludf.DUMMYFUNCTION("""COMPUTED_VALUE"""),0.00201)</f>
        <v>0.00201</v>
      </c>
      <c r="K845" s="19">
        <f>IFERROR(__xludf.DUMMYFUNCTION("""COMPUTED_VALUE"""),0.03978)</f>
        <v>0.03978</v>
      </c>
      <c r="L845" s="19" t="str">
        <f>IFERROR(__xludf.DUMMYFUNCTION("""COMPUTED_VALUE"""),"-")</f>
        <v>-</v>
      </c>
      <c r="M845" s="19">
        <f>IFERROR(__xludf.DUMMYFUNCTION("""COMPUTED_VALUE"""),0.03997)</f>
        <v>0.03997</v>
      </c>
    </row>
    <row r="846">
      <c r="A846" s="12" t="s">
        <v>7836</v>
      </c>
      <c r="G846" s="19">
        <f>IFERROR(__xludf.DUMMYFUNCTION("SPLIT(A844, "" |"")"),842.0)</f>
        <v>842</v>
      </c>
      <c r="H846" s="19">
        <f>IFERROR(__xludf.DUMMYFUNCTION("""COMPUTED_VALUE"""),0.00304)</f>
        <v>0.00304</v>
      </c>
      <c r="I846" s="19" t="str">
        <f>IFERROR(__xludf.DUMMYFUNCTION("""COMPUTED_VALUE"""),"-")</f>
        <v>-</v>
      </c>
      <c r="J846" s="19">
        <f>IFERROR(__xludf.DUMMYFUNCTION("""COMPUTED_VALUE"""),0.00192)</f>
        <v>0.00192</v>
      </c>
      <c r="K846" s="19">
        <f>IFERROR(__xludf.DUMMYFUNCTION("""COMPUTED_VALUE"""),0.03976)</f>
        <v>0.03976</v>
      </c>
      <c r="L846" s="19" t="str">
        <f>IFERROR(__xludf.DUMMYFUNCTION("""COMPUTED_VALUE"""),"-")</f>
        <v>-</v>
      </c>
      <c r="M846" s="19">
        <f>IFERROR(__xludf.DUMMYFUNCTION("""COMPUTED_VALUE"""),0.03994)</f>
        <v>0.03994</v>
      </c>
    </row>
    <row r="847">
      <c r="A847" s="12" t="s">
        <v>7837</v>
      </c>
      <c r="G847" s="19">
        <f>IFERROR(__xludf.DUMMYFUNCTION("SPLIT(A845, "" |"")"),843.0)</f>
        <v>843</v>
      </c>
      <c r="H847" s="19">
        <f>IFERROR(__xludf.DUMMYFUNCTION("""COMPUTED_VALUE"""),0.00217)</f>
        <v>0.00217</v>
      </c>
      <c r="I847" s="19" t="str">
        <f>IFERROR(__xludf.DUMMYFUNCTION("""COMPUTED_VALUE"""),"-")</f>
        <v>-</v>
      </c>
      <c r="J847" s="19">
        <f>IFERROR(__xludf.DUMMYFUNCTION("""COMPUTED_VALUE"""),0.00216)</f>
        <v>0.00216</v>
      </c>
      <c r="K847" s="19">
        <f>IFERROR(__xludf.DUMMYFUNCTION("""COMPUTED_VALUE"""),0.03959)</f>
        <v>0.03959</v>
      </c>
      <c r="L847" s="19" t="str">
        <f>IFERROR(__xludf.DUMMYFUNCTION("""COMPUTED_VALUE"""),"-")</f>
        <v>-</v>
      </c>
      <c r="M847" s="19">
        <f>IFERROR(__xludf.DUMMYFUNCTION("""COMPUTED_VALUE"""),0.03969)</f>
        <v>0.03969</v>
      </c>
    </row>
    <row r="848">
      <c r="A848" s="12" t="s">
        <v>7838</v>
      </c>
      <c r="G848" s="19">
        <f>IFERROR(__xludf.DUMMYFUNCTION("SPLIT(A846, "" |"")"),844.0)</f>
        <v>844</v>
      </c>
      <c r="H848" s="19">
        <f>IFERROR(__xludf.DUMMYFUNCTION("""COMPUTED_VALUE"""),0.00203)</f>
        <v>0.00203</v>
      </c>
      <c r="I848" s="19" t="str">
        <f>IFERROR(__xludf.DUMMYFUNCTION("""COMPUTED_VALUE"""),"-")</f>
        <v>-</v>
      </c>
      <c r="J848" s="19">
        <f>IFERROR(__xludf.DUMMYFUNCTION("""COMPUTED_VALUE"""),0.00193)</f>
        <v>0.00193</v>
      </c>
      <c r="K848" s="19">
        <f>IFERROR(__xludf.DUMMYFUNCTION("""COMPUTED_VALUE"""),0.03972)</f>
        <v>0.03972</v>
      </c>
      <c r="L848" s="19" t="str">
        <f>IFERROR(__xludf.DUMMYFUNCTION("""COMPUTED_VALUE"""),"-")</f>
        <v>-</v>
      </c>
      <c r="M848" s="19">
        <f>IFERROR(__xludf.DUMMYFUNCTION("""COMPUTED_VALUE"""),0.03709)</f>
        <v>0.03709</v>
      </c>
    </row>
    <row r="849">
      <c r="A849" s="12" t="s">
        <v>7839</v>
      </c>
      <c r="G849" s="19">
        <f>IFERROR(__xludf.DUMMYFUNCTION("SPLIT(A847, "" |"")"),845.0)</f>
        <v>845</v>
      </c>
      <c r="H849" s="19">
        <f>IFERROR(__xludf.DUMMYFUNCTION("""COMPUTED_VALUE"""),0.00218)</f>
        <v>0.00218</v>
      </c>
      <c r="I849" s="19" t="str">
        <f>IFERROR(__xludf.DUMMYFUNCTION("""COMPUTED_VALUE"""),"-")</f>
        <v>-</v>
      </c>
      <c r="J849" s="19">
        <f>IFERROR(__xludf.DUMMYFUNCTION("""COMPUTED_VALUE"""),0.00197)</f>
        <v>0.00197</v>
      </c>
      <c r="K849" s="19">
        <f>IFERROR(__xludf.DUMMYFUNCTION("""COMPUTED_VALUE"""),0.0398)</f>
        <v>0.0398</v>
      </c>
      <c r="L849" s="19" t="str">
        <f>IFERROR(__xludf.DUMMYFUNCTION("""COMPUTED_VALUE"""),"-")</f>
        <v>-</v>
      </c>
      <c r="M849" s="19">
        <f>IFERROR(__xludf.DUMMYFUNCTION("""COMPUTED_VALUE"""),0.03952)</f>
        <v>0.03952</v>
      </c>
    </row>
    <row r="850">
      <c r="A850" s="12" t="s">
        <v>7840</v>
      </c>
      <c r="G850" s="19">
        <f>IFERROR(__xludf.DUMMYFUNCTION("SPLIT(A848, "" |"")"),846.0)</f>
        <v>846</v>
      </c>
      <c r="H850" s="19">
        <f>IFERROR(__xludf.DUMMYFUNCTION("""COMPUTED_VALUE"""),0.00202)</f>
        <v>0.00202</v>
      </c>
      <c r="I850" s="19" t="str">
        <f>IFERROR(__xludf.DUMMYFUNCTION("""COMPUTED_VALUE"""),"-")</f>
        <v>-</v>
      </c>
      <c r="J850" s="19">
        <f>IFERROR(__xludf.DUMMYFUNCTION("""COMPUTED_VALUE"""),0.00181)</f>
        <v>0.00181</v>
      </c>
      <c r="K850" s="19">
        <f>IFERROR(__xludf.DUMMYFUNCTION("""COMPUTED_VALUE"""),0.03953)</f>
        <v>0.03953</v>
      </c>
      <c r="L850" s="19" t="str">
        <f>IFERROR(__xludf.DUMMYFUNCTION("""COMPUTED_VALUE"""),"-")</f>
        <v>-</v>
      </c>
      <c r="M850" s="19">
        <f>IFERROR(__xludf.DUMMYFUNCTION("""COMPUTED_VALUE"""),0.03963)</f>
        <v>0.03963</v>
      </c>
    </row>
    <row r="851">
      <c r="A851" s="12" t="s">
        <v>7841</v>
      </c>
      <c r="G851" s="19">
        <f>IFERROR(__xludf.DUMMYFUNCTION("SPLIT(A849, "" |"")"),847.0)</f>
        <v>847</v>
      </c>
      <c r="H851" s="19">
        <f>IFERROR(__xludf.DUMMYFUNCTION("""COMPUTED_VALUE"""),0.002)</f>
        <v>0.002</v>
      </c>
      <c r="I851" s="19" t="str">
        <f>IFERROR(__xludf.DUMMYFUNCTION("""COMPUTED_VALUE"""),"-")</f>
        <v>-</v>
      </c>
      <c r="J851" s="19">
        <f>IFERROR(__xludf.DUMMYFUNCTION("""COMPUTED_VALUE"""),0.00201)</f>
        <v>0.00201</v>
      </c>
      <c r="K851" s="19">
        <f>IFERROR(__xludf.DUMMYFUNCTION("""COMPUTED_VALUE"""),0.03974)</f>
        <v>0.03974</v>
      </c>
      <c r="L851" s="19" t="str">
        <f>IFERROR(__xludf.DUMMYFUNCTION("""COMPUTED_VALUE"""),"-")</f>
        <v>-</v>
      </c>
      <c r="M851" s="19">
        <f>IFERROR(__xludf.DUMMYFUNCTION("""COMPUTED_VALUE"""),0.03986)</f>
        <v>0.03986</v>
      </c>
    </row>
    <row r="852">
      <c r="A852" s="12" t="s">
        <v>7842</v>
      </c>
      <c r="G852" s="19">
        <f>IFERROR(__xludf.DUMMYFUNCTION("SPLIT(A850, "" |"")"),848.0)</f>
        <v>848</v>
      </c>
      <c r="H852" s="19">
        <f>IFERROR(__xludf.DUMMYFUNCTION("""COMPUTED_VALUE"""),0.00251)</f>
        <v>0.00251</v>
      </c>
      <c r="I852" s="19" t="str">
        <f>IFERROR(__xludf.DUMMYFUNCTION("""COMPUTED_VALUE"""),"-")</f>
        <v>-</v>
      </c>
      <c r="J852" s="19">
        <f>IFERROR(__xludf.DUMMYFUNCTION("""COMPUTED_VALUE"""),0.00226)</f>
        <v>0.00226</v>
      </c>
      <c r="K852" s="19">
        <f>IFERROR(__xludf.DUMMYFUNCTION("""COMPUTED_VALUE"""),0.0774)</f>
        <v>0.0774</v>
      </c>
      <c r="L852" s="19" t="str">
        <f>IFERROR(__xludf.DUMMYFUNCTION("""COMPUTED_VALUE"""),"-")</f>
        <v>-</v>
      </c>
      <c r="M852" s="19">
        <f>IFERROR(__xludf.DUMMYFUNCTION("""COMPUTED_VALUE"""),0.04032)</f>
        <v>0.04032</v>
      </c>
    </row>
    <row r="853">
      <c r="A853" s="12" t="s">
        <v>7843</v>
      </c>
      <c r="G853" s="19">
        <f>IFERROR(__xludf.DUMMYFUNCTION("SPLIT(A851, "" |"")"),849.0)</f>
        <v>849</v>
      </c>
      <c r="H853" s="19">
        <f>IFERROR(__xludf.DUMMYFUNCTION("""COMPUTED_VALUE"""),0.0023)</f>
        <v>0.0023</v>
      </c>
      <c r="I853" s="19" t="str">
        <f>IFERROR(__xludf.DUMMYFUNCTION("""COMPUTED_VALUE"""),"-")</f>
        <v>-</v>
      </c>
      <c r="J853" s="19">
        <f>IFERROR(__xludf.DUMMYFUNCTION("""COMPUTED_VALUE"""),0.00215)</f>
        <v>0.00215</v>
      </c>
      <c r="K853" s="19">
        <f>IFERROR(__xludf.DUMMYFUNCTION("""COMPUTED_VALUE"""),0.04003)</f>
        <v>0.04003</v>
      </c>
      <c r="L853" s="19" t="str">
        <f>IFERROR(__xludf.DUMMYFUNCTION("""COMPUTED_VALUE"""),"-")</f>
        <v>-</v>
      </c>
      <c r="M853" s="19">
        <f>IFERROR(__xludf.DUMMYFUNCTION("""COMPUTED_VALUE"""),0.0401)</f>
        <v>0.0401</v>
      </c>
    </row>
    <row r="854">
      <c r="A854" s="12" t="s">
        <v>7844</v>
      </c>
      <c r="G854" s="19">
        <f>IFERROR(__xludf.DUMMYFUNCTION("SPLIT(A852, "" |"")"),850.0)</f>
        <v>850</v>
      </c>
      <c r="H854" s="19">
        <f>IFERROR(__xludf.DUMMYFUNCTION("""COMPUTED_VALUE"""),0.00214)</f>
        <v>0.00214</v>
      </c>
      <c r="I854" s="19" t="str">
        <f>IFERROR(__xludf.DUMMYFUNCTION("""COMPUTED_VALUE"""),"-")</f>
        <v>-</v>
      </c>
      <c r="J854" s="19">
        <f>IFERROR(__xludf.DUMMYFUNCTION("""COMPUTED_VALUE"""),0.002)</f>
        <v>0.002</v>
      </c>
      <c r="K854" s="19">
        <f>IFERROR(__xludf.DUMMYFUNCTION("""COMPUTED_VALUE"""),0.03973)</f>
        <v>0.03973</v>
      </c>
      <c r="L854" s="19" t="str">
        <f>IFERROR(__xludf.DUMMYFUNCTION("""COMPUTED_VALUE"""),"-")</f>
        <v>-</v>
      </c>
      <c r="M854" s="19">
        <f>IFERROR(__xludf.DUMMYFUNCTION("""COMPUTED_VALUE"""),0.03947)</f>
        <v>0.03947</v>
      </c>
    </row>
    <row r="855">
      <c r="A855" s="12" t="s">
        <v>7845</v>
      </c>
      <c r="G855" s="19">
        <f>IFERROR(__xludf.DUMMYFUNCTION("SPLIT(A853, "" |"")"),851.0)</f>
        <v>851</v>
      </c>
      <c r="H855" s="19">
        <f>IFERROR(__xludf.DUMMYFUNCTION("""COMPUTED_VALUE"""),0.00208)</f>
        <v>0.00208</v>
      </c>
      <c r="I855" s="19" t="str">
        <f>IFERROR(__xludf.DUMMYFUNCTION("""COMPUTED_VALUE"""),"-")</f>
        <v>-</v>
      </c>
      <c r="J855" s="19">
        <f>IFERROR(__xludf.DUMMYFUNCTION("""COMPUTED_VALUE"""),0.00199)</f>
        <v>0.00199</v>
      </c>
      <c r="K855" s="19">
        <f>IFERROR(__xludf.DUMMYFUNCTION("""COMPUTED_VALUE"""),0.03975)</f>
        <v>0.03975</v>
      </c>
      <c r="L855" s="19" t="str">
        <f>IFERROR(__xludf.DUMMYFUNCTION("""COMPUTED_VALUE"""),"-")</f>
        <v>-</v>
      </c>
      <c r="M855" s="19">
        <f>IFERROR(__xludf.DUMMYFUNCTION("""COMPUTED_VALUE"""),0.03736)</f>
        <v>0.03736</v>
      </c>
    </row>
    <row r="856">
      <c r="A856" s="12" t="s">
        <v>7846</v>
      </c>
      <c r="G856" s="19">
        <f>IFERROR(__xludf.DUMMYFUNCTION("SPLIT(A854, "" |"")"),852.0)</f>
        <v>852</v>
      </c>
      <c r="H856" s="19">
        <f>IFERROR(__xludf.DUMMYFUNCTION("""COMPUTED_VALUE"""),0.00214)</f>
        <v>0.00214</v>
      </c>
      <c r="I856" s="19" t="str">
        <f>IFERROR(__xludf.DUMMYFUNCTION("""COMPUTED_VALUE"""),"-")</f>
        <v>-</v>
      </c>
      <c r="J856" s="19">
        <f>IFERROR(__xludf.DUMMYFUNCTION("""COMPUTED_VALUE"""),0.00203)</f>
        <v>0.00203</v>
      </c>
      <c r="K856" s="19">
        <f>IFERROR(__xludf.DUMMYFUNCTION("""COMPUTED_VALUE"""),0.03976)</f>
        <v>0.03976</v>
      </c>
      <c r="L856" s="19" t="str">
        <f>IFERROR(__xludf.DUMMYFUNCTION("""COMPUTED_VALUE"""),"-")</f>
        <v>-</v>
      </c>
      <c r="M856" s="19">
        <f>IFERROR(__xludf.DUMMYFUNCTION("""COMPUTED_VALUE"""),0.03973)</f>
        <v>0.03973</v>
      </c>
    </row>
    <row r="857">
      <c r="A857" s="12" t="s">
        <v>7847</v>
      </c>
      <c r="G857" s="19">
        <f>IFERROR(__xludf.DUMMYFUNCTION("SPLIT(A855, "" |"")"),853.0)</f>
        <v>853</v>
      </c>
      <c r="H857" s="19">
        <f>IFERROR(__xludf.DUMMYFUNCTION("""COMPUTED_VALUE"""),0.00208)</f>
        <v>0.00208</v>
      </c>
      <c r="I857" s="19" t="str">
        <f>IFERROR(__xludf.DUMMYFUNCTION("""COMPUTED_VALUE"""),"-")</f>
        <v>-</v>
      </c>
      <c r="J857" s="19">
        <f>IFERROR(__xludf.DUMMYFUNCTION("""COMPUTED_VALUE"""),0.00195)</f>
        <v>0.00195</v>
      </c>
      <c r="K857" s="19">
        <f>IFERROR(__xludf.DUMMYFUNCTION("""COMPUTED_VALUE"""),0.03967)</f>
        <v>0.03967</v>
      </c>
      <c r="L857" s="19" t="str">
        <f>IFERROR(__xludf.DUMMYFUNCTION("""COMPUTED_VALUE"""),"-")</f>
        <v>-</v>
      </c>
      <c r="M857" s="19">
        <f>IFERROR(__xludf.DUMMYFUNCTION("""COMPUTED_VALUE"""),0.04036)</f>
        <v>0.04036</v>
      </c>
    </row>
    <row r="858">
      <c r="A858" s="12" t="s">
        <v>7848</v>
      </c>
      <c r="G858" s="19">
        <f>IFERROR(__xludf.DUMMYFUNCTION("SPLIT(A856, "" |"")"),854.0)</f>
        <v>854</v>
      </c>
      <c r="H858" s="19">
        <f>IFERROR(__xludf.DUMMYFUNCTION("""COMPUTED_VALUE"""),0.00215)</f>
        <v>0.00215</v>
      </c>
      <c r="I858" s="19" t="str">
        <f>IFERROR(__xludf.DUMMYFUNCTION("""COMPUTED_VALUE"""),"-")</f>
        <v>-</v>
      </c>
      <c r="J858" s="19">
        <f>IFERROR(__xludf.DUMMYFUNCTION("""COMPUTED_VALUE"""),0.00204)</f>
        <v>0.00204</v>
      </c>
      <c r="K858" s="19">
        <f>IFERROR(__xludf.DUMMYFUNCTION("""COMPUTED_VALUE"""),0.03967)</f>
        <v>0.03967</v>
      </c>
      <c r="L858" s="19" t="str">
        <f>IFERROR(__xludf.DUMMYFUNCTION("""COMPUTED_VALUE"""),"-")</f>
        <v>-</v>
      </c>
      <c r="M858" s="19">
        <f>IFERROR(__xludf.DUMMYFUNCTION("""COMPUTED_VALUE"""),0.04055)</f>
        <v>0.04055</v>
      </c>
    </row>
    <row r="859">
      <c r="A859" s="12" t="s">
        <v>7849</v>
      </c>
      <c r="G859" s="19">
        <f>IFERROR(__xludf.DUMMYFUNCTION("SPLIT(A857, "" |"")"),855.0)</f>
        <v>855</v>
      </c>
      <c r="H859" s="19">
        <f>IFERROR(__xludf.DUMMYFUNCTION("""COMPUTED_VALUE"""),0.00213)</f>
        <v>0.00213</v>
      </c>
      <c r="I859" s="19" t="str">
        <f>IFERROR(__xludf.DUMMYFUNCTION("""COMPUTED_VALUE"""),"-")</f>
        <v>-</v>
      </c>
      <c r="J859" s="19">
        <f>IFERROR(__xludf.DUMMYFUNCTION("""COMPUTED_VALUE"""),0.00196)</f>
        <v>0.00196</v>
      </c>
      <c r="K859" s="19">
        <f>IFERROR(__xludf.DUMMYFUNCTION("""COMPUTED_VALUE"""),0.04017)</f>
        <v>0.04017</v>
      </c>
      <c r="L859" s="19" t="str">
        <f>IFERROR(__xludf.DUMMYFUNCTION("""COMPUTED_VALUE"""),"-")</f>
        <v>-</v>
      </c>
      <c r="M859" s="19">
        <f>IFERROR(__xludf.DUMMYFUNCTION("""COMPUTED_VALUE"""),0.03971)</f>
        <v>0.03971</v>
      </c>
    </row>
    <row r="860">
      <c r="A860" s="12" t="s">
        <v>7850</v>
      </c>
      <c r="G860" s="19">
        <f>IFERROR(__xludf.DUMMYFUNCTION("SPLIT(A858, "" |"")"),856.0)</f>
        <v>856</v>
      </c>
      <c r="H860" s="19">
        <f>IFERROR(__xludf.DUMMYFUNCTION("""COMPUTED_VALUE"""),0.00218)</f>
        <v>0.00218</v>
      </c>
      <c r="I860" s="19" t="str">
        <f>IFERROR(__xludf.DUMMYFUNCTION("""COMPUTED_VALUE"""),"-")</f>
        <v>-</v>
      </c>
      <c r="J860" s="19">
        <f>IFERROR(__xludf.DUMMYFUNCTION("""COMPUTED_VALUE"""),0.00194)</f>
        <v>0.00194</v>
      </c>
      <c r="K860" s="19">
        <f>IFERROR(__xludf.DUMMYFUNCTION("""COMPUTED_VALUE"""),0.03967)</f>
        <v>0.03967</v>
      </c>
      <c r="L860" s="19" t="str">
        <f>IFERROR(__xludf.DUMMYFUNCTION("""COMPUTED_VALUE"""),"-")</f>
        <v>-</v>
      </c>
      <c r="M860" s="19">
        <f>IFERROR(__xludf.DUMMYFUNCTION("""COMPUTED_VALUE"""),0.03975)</f>
        <v>0.03975</v>
      </c>
    </row>
    <row r="861">
      <c r="A861" s="12" t="s">
        <v>7851</v>
      </c>
      <c r="G861" s="19">
        <f>IFERROR(__xludf.DUMMYFUNCTION("SPLIT(A859, "" |"")"),857.0)</f>
        <v>857</v>
      </c>
      <c r="H861" s="19">
        <f>IFERROR(__xludf.DUMMYFUNCTION("""COMPUTED_VALUE"""),0.00204)</f>
        <v>0.00204</v>
      </c>
      <c r="I861" s="19" t="str">
        <f>IFERROR(__xludf.DUMMYFUNCTION("""COMPUTED_VALUE"""),"-")</f>
        <v>-</v>
      </c>
      <c r="J861" s="19">
        <f>IFERROR(__xludf.DUMMYFUNCTION("""COMPUTED_VALUE"""),0.0019)</f>
        <v>0.0019</v>
      </c>
      <c r="K861" s="19">
        <f>IFERROR(__xludf.DUMMYFUNCTION("""COMPUTED_VALUE"""),0.03956)</f>
        <v>0.03956</v>
      </c>
      <c r="L861" s="19" t="str">
        <f>IFERROR(__xludf.DUMMYFUNCTION("""COMPUTED_VALUE"""),"-")</f>
        <v>-</v>
      </c>
      <c r="M861" s="19">
        <f>IFERROR(__xludf.DUMMYFUNCTION("""COMPUTED_VALUE"""),0.04018)</f>
        <v>0.04018</v>
      </c>
    </row>
    <row r="862">
      <c r="A862" s="12" t="s">
        <v>7852</v>
      </c>
      <c r="G862" s="19">
        <f>IFERROR(__xludf.DUMMYFUNCTION("SPLIT(A860, "" |"")"),858.0)</f>
        <v>858</v>
      </c>
      <c r="H862" s="19">
        <f>IFERROR(__xludf.DUMMYFUNCTION("""COMPUTED_VALUE"""),0.0021)</f>
        <v>0.0021</v>
      </c>
      <c r="I862" s="19" t="str">
        <f>IFERROR(__xludf.DUMMYFUNCTION("""COMPUTED_VALUE"""),"-")</f>
        <v>-</v>
      </c>
      <c r="J862" s="19">
        <f>IFERROR(__xludf.DUMMYFUNCTION("""COMPUTED_VALUE"""),0.00198)</f>
        <v>0.00198</v>
      </c>
      <c r="K862" s="19">
        <f>IFERROR(__xludf.DUMMYFUNCTION("""COMPUTED_VALUE"""),0.03967)</f>
        <v>0.03967</v>
      </c>
      <c r="L862" s="19" t="str">
        <f>IFERROR(__xludf.DUMMYFUNCTION("""COMPUTED_VALUE"""),"-")</f>
        <v>-</v>
      </c>
      <c r="M862" s="19">
        <f>IFERROR(__xludf.DUMMYFUNCTION("""COMPUTED_VALUE"""),0.03976)</f>
        <v>0.03976</v>
      </c>
    </row>
    <row r="863">
      <c r="A863" s="12" t="s">
        <v>7853</v>
      </c>
      <c r="G863" s="19">
        <f>IFERROR(__xludf.DUMMYFUNCTION("SPLIT(A861, "" |"")"),859.0)</f>
        <v>859</v>
      </c>
      <c r="H863" s="19">
        <f>IFERROR(__xludf.DUMMYFUNCTION("""COMPUTED_VALUE"""),0.00207)</f>
        <v>0.00207</v>
      </c>
      <c r="I863" s="19" t="str">
        <f>IFERROR(__xludf.DUMMYFUNCTION("""COMPUTED_VALUE"""),"-")</f>
        <v>-</v>
      </c>
      <c r="J863" s="19">
        <f>IFERROR(__xludf.DUMMYFUNCTION("""COMPUTED_VALUE"""),0.00186)</f>
        <v>0.00186</v>
      </c>
      <c r="K863" s="19">
        <f>IFERROR(__xludf.DUMMYFUNCTION("""COMPUTED_VALUE"""),0.03969)</f>
        <v>0.03969</v>
      </c>
      <c r="L863" s="19" t="str">
        <f>IFERROR(__xludf.DUMMYFUNCTION("""COMPUTED_VALUE"""),"-")</f>
        <v>-</v>
      </c>
      <c r="M863" s="19">
        <f>IFERROR(__xludf.DUMMYFUNCTION("""COMPUTED_VALUE"""),0.03674)</f>
        <v>0.03674</v>
      </c>
    </row>
    <row r="864">
      <c r="A864" s="12" t="s">
        <v>7854</v>
      </c>
      <c r="G864" s="19">
        <f>IFERROR(__xludf.DUMMYFUNCTION("SPLIT(A862, "" |"")"),860.0)</f>
        <v>860</v>
      </c>
      <c r="H864" s="19">
        <f>IFERROR(__xludf.DUMMYFUNCTION("""COMPUTED_VALUE"""),0.00247)</f>
        <v>0.00247</v>
      </c>
      <c r="I864" s="19" t="str">
        <f>IFERROR(__xludf.DUMMYFUNCTION("""COMPUTED_VALUE"""),"-")</f>
        <v>-</v>
      </c>
      <c r="J864" s="19">
        <f>IFERROR(__xludf.DUMMYFUNCTION("""COMPUTED_VALUE"""),0.00202)</f>
        <v>0.00202</v>
      </c>
      <c r="K864" s="19">
        <f>IFERROR(__xludf.DUMMYFUNCTION("""COMPUTED_VALUE"""),0.03967)</f>
        <v>0.03967</v>
      </c>
      <c r="L864" s="19" t="str">
        <f>IFERROR(__xludf.DUMMYFUNCTION("""COMPUTED_VALUE"""),"-")</f>
        <v>-</v>
      </c>
      <c r="M864" s="19">
        <f>IFERROR(__xludf.DUMMYFUNCTION("""COMPUTED_VALUE"""),0.03868)</f>
        <v>0.03868</v>
      </c>
    </row>
    <row r="865">
      <c r="A865" s="12" t="s">
        <v>7855</v>
      </c>
      <c r="G865" s="19">
        <f>IFERROR(__xludf.DUMMYFUNCTION("SPLIT(A863, "" |"")"),861.0)</f>
        <v>861</v>
      </c>
      <c r="H865" s="19">
        <f>IFERROR(__xludf.DUMMYFUNCTION("""COMPUTED_VALUE"""),0.00244)</f>
        <v>0.00244</v>
      </c>
      <c r="I865" s="19" t="str">
        <f>IFERROR(__xludf.DUMMYFUNCTION("""COMPUTED_VALUE"""),"-")</f>
        <v>-</v>
      </c>
      <c r="J865" s="19">
        <f>IFERROR(__xludf.DUMMYFUNCTION("""COMPUTED_VALUE"""),0.00232)</f>
        <v>0.00232</v>
      </c>
      <c r="K865" s="19">
        <f>IFERROR(__xludf.DUMMYFUNCTION("""COMPUTED_VALUE"""),0.03746)</f>
        <v>0.03746</v>
      </c>
      <c r="L865" s="19" t="str">
        <f>IFERROR(__xludf.DUMMYFUNCTION("""COMPUTED_VALUE"""),"-")</f>
        <v>-</v>
      </c>
      <c r="M865" s="19">
        <f>IFERROR(__xludf.DUMMYFUNCTION("""COMPUTED_VALUE"""),0.0401)</f>
        <v>0.0401</v>
      </c>
    </row>
    <row r="866">
      <c r="A866" s="12" t="s">
        <v>7856</v>
      </c>
      <c r="G866" s="19">
        <f>IFERROR(__xludf.DUMMYFUNCTION("SPLIT(A864, "" |"")"),862.0)</f>
        <v>862</v>
      </c>
      <c r="H866" s="19">
        <f>IFERROR(__xludf.DUMMYFUNCTION("""COMPUTED_VALUE"""),0.00228)</f>
        <v>0.00228</v>
      </c>
      <c r="I866" s="19" t="str">
        <f>IFERROR(__xludf.DUMMYFUNCTION("""COMPUTED_VALUE"""),"-")</f>
        <v>-</v>
      </c>
      <c r="J866" s="19">
        <f>IFERROR(__xludf.DUMMYFUNCTION("""COMPUTED_VALUE"""),0.00195)</f>
        <v>0.00195</v>
      </c>
      <c r="K866" s="19">
        <f>IFERROR(__xludf.DUMMYFUNCTION("""COMPUTED_VALUE"""),0.03851)</f>
        <v>0.03851</v>
      </c>
      <c r="L866" s="19" t="str">
        <f>IFERROR(__xludf.DUMMYFUNCTION("""COMPUTED_VALUE"""),"-")</f>
        <v>-</v>
      </c>
      <c r="M866" s="19">
        <f>IFERROR(__xludf.DUMMYFUNCTION("""COMPUTED_VALUE"""),0.0393)</f>
        <v>0.0393</v>
      </c>
    </row>
    <row r="867">
      <c r="A867" s="12" t="s">
        <v>7857</v>
      </c>
      <c r="G867" s="19">
        <f>IFERROR(__xludf.DUMMYFUNCTION("SPLIT(A865, "" |"")"),863.0)</f>
        <v>863</v>
      </c>
      <c r="H867" s="19">
        <f>IFERROR(__xludf.DUMMYFUNCTION("""COMPUTED_VALUE"""),0.00214)</f>
        <v>0.00214</v>
      </c>
      <c r="I867" s="19" t="str">
        <f>IFERROR(__xludf.DUMMYFUNCTION("""COMPUTED_VALUE"""),"-")</f>
        <v>-</v>
      </c>
      <c r="J867" s="19">
        <f>IFERROR(__xludf.DUMMYFUNCTION("""COMPUTED_VALUE"""),0.00199)</f>
        <v>0.00199</v>
      </c>
      <c r="K867" s="19">
        <f>IFERROR(__xludf.DUMMYFUNCTION("""COMPUTED_VALUE"""),0.03953)</f>
        <v>0.03953</v>
      </c>
      <c r="L867" s="19" t="str">
        <f>IFERROR(__xludf.DUMMYFUNCTION("""COMPUTED_VALUE"""),"-")</f>
        <v>-</v>
      </c>
      <c r="M867" s="19">
        <f>IFERROR(__xludf.DUMMYFUNCTION("""COMPUTED_VALUE"""),0.04029)</f>
        <v>0.04029</v>
      </c>
    </row>
    <row r="868">
      <c r="A868" s="12" t="s">
        <v>7858</v>
      </c>
      <c r="G868" s="19">
        <f>IFERROR(__xludf.DUMMYFUNCTION("SPLIT(A866, "" |"")"),864.0)</f>
        <v>864</v>
      </c>
      <c r="H868" s="19">
        <f>IFERROR(__xludf.DUMMYFUNCTION("""COMPUTED_VALUE"""),0.00208)</f>
        <v>0.00208</v>
      </c>
      <c r="I868" s="19" t="str">
        <f>IFERROR(__xludf.DUMMYFUNCTION("""COMPUTED_VALUE"""),"-")</f>
        <v>-</v>
      </c>
      <c r="J868" s="19">
        <f>IFERROR(__xludf.DUMMYFUNCTION("""COMPUTED_VALUE"""),0.00197)</f>
        <v>0.00197</v>
      </c>
      <c r="K868" s="19">
        <f>IFERROR(__xludf.DUMMYFUNCTION("""COMPUTED_VALUE"""),0.03966)</f>
        <v>0.03966</v>
      </c>
      <c r="L868" s="19" t="str">
        <f>IFERROR(__xludf.DUMMYFUNCTION("""COMPUTED_VALUE"""),"-")</f>
        <v>-</v>
      </c>
      <c r="M868" s="19">
        <f>IFERROR(__xludf.DUMMYFUNCTION("""COMPUTED_VALUE"""),0.03977)</f>
        <v>0.03977</v>
      </c>
    </row>
    <row r="869">
      <c r="A869" s="12" t="s">
        <v>7859</v>
      </c>
      <c r="G869" s="19">
        <f>IFERROR(__xludf.DUMMYFUNCTION("SPLIT(A867, "" |"")"),865.0)</f>
        <v>865</v>
      </c>
      <c r="H869" s="19">
        <f>IFERROR(__xludf.DUMMYFUNCTION("""COMPUTED_VALUE"""),0.00258)</f>
        <v>0.00258</v>
      </c>
      <c r="I869" s="19" t="str">
        <f>IFERROR(__xludf.DUMMYFUNCTION("""COMPUTED_VALUE"""),"-")</f>
        <v>-</v>
      </c>
      <c r="J869" s="19">
        <f>IFERROR(__xludf.DUMMYFUNCTION("""COMPUTED_VALUE"""),0.00224)</f>
        <v>0.00224</v>
      </c>
      <c r="K869" s="19">
        <f>IFERROR(__xludf.DUMMYFUNCTION("""COMPUTED_VALUE"""),0.03893)</f>
        <v>0.03893</v>
      </c>
      <c r="L869" s="19" t="str">
        <f>IFERROR(__xludf.DUMMYFUNCTION("""COMPUTED_VALUE"""),"-")</f>
        <v>-</v>
      </c>
      <c r="M869" s="19">
        <f>IFERROR(__xludf.DUMMYFUNCTION("""COMPUTED_VALUE"""),0.04017)</f>
        <v>0.04017</v>
      </c>
    </row>
    <row r="870">
      <c r="A870" s="12" t="s">
        <v>7860</v>
      </c>
      <c r="G870" s="19">
        <f>IFERROR(__xludf.DUMMYFUNCTION("SPLIT(A868, "" |"")"),866.0)</f>
        <v>866</v>
      </c>
      <c r="H870" s="19">
        <f>IFERROR(__xludf.DUMMYFUNCTION("""COMPUTED_VALUE"""),0.00269)</f>
        <v>0.00269</v>
      </c>
      <c r="I870" s="19" t="str">
        <f>IFERROR(__xludf.DUMMYFUNCTION("""COMPUTED_VALUE"""),"-")</f>
        <v>-</v>
      </c>
      <c r="J870" s="19">
        <f>IFERROR(__xludf.DUMMYFUNCTION("""COMPUTED_VALUE"""),0.00248)</f>
        <v>0.00248</v>
      </c>
      <c r="K870" s="19">
        <f>IFERROR(__xludf.DUMMYFUNCTION("""COMPUTED_VALUE"""),0.03765)</f>
        <v>0.03765</v>
      </c>
      <c r="L870" s="19" t="str">
        <f>IFERROR(__xludf.DUMMYFUNCTION("""COMPUTED_VALUE"""),"-")</f>
        <v>-</v>
      </c>
      <c r="M870" s="19">
        <f>IFERROR(__xludf.DUMMYFUNCTION("""COMPUTED_VALUE"""),0.04014)</f>
        <v>0.04014</v>
      </c>
    </row>
    <row r="871">
      <c r="A871" s="12" t="s">
        <v>7861</v>
      </c>
      <c r="G871" s="19">
        <f>IFERROR(__xludf.DUMMYFUNCTION("SPLIT(A869, "" |"")"),867.0)</f>
        <v>867</v>
      </c>
      <c r="H871" s="19">
        <f>IFERROR(__xludf.DUMMYFUNCTION("""COMPUTED_VALUE"""),0.00224)</f>
        <v>0.00224</v>
      </c>
      <c r="I871" s="19" t="str">
        <f>IFERROR(__xludf.DUMMYFUNCTION("""COMPUTED_VALUE"""),"-")</f>
        <v>-</v>
      </c>
      <c r="J871" s="19">
        <f>IFERROR(__xludf.DUMMYFUNCTION("""COMPUTED_VALUE"""),0.00214)</f>
        <v>0.00214</v>
      </c>
      <c r="K871" s="19">
        <f>IFERROR(__xludf.DUMMYFUNCTION("""COMPUTED_VALUE"""),0.04012)</f>
        <v>0.04012</v>
      </c>
      <c r="L871" s="19" t="str">
        <f>IFERROR(__xludf.DUMMYFUNCTION("""COMPUTED_VALUE"""),"-")</f>
        <v>-</v>
      </c>
      <c r="M871" s="19">
        <f>IFERROR(__xludf.DUMMYFUNCTION("""COMPUTED_VALUE"""),0.03981)</f>
        <v>0.03981</v>
      </c>
    </row>
    <row r="872">
      <c r="A872" s="12" t="s">
        <v>7862</v>
      </c>
      <c r="G872" s="19">
        <f>IFERROR(__xludf.DUMMYFUNCTION("SPLIT(A870, "" |"")"),868.0)</f>
        <v>868</v>
      </c>
      <c r="H872" s="19">
        <f>IFERROR(__xludf.DUMMYFUNCTION("""COMPUTED_VALUE"""),0.00207)</f>
        <v>0.00207</v>
      </c>
      <c r="I872" s="19" t="str">
        <f>IFERROR(__xludf.DUMMYFUNCTION("""COMPUTED_VALUE"""),"-")</f>
        <v>-</v>
      </c>
      <c r="J872" s="19">
        <f>IFERROR(__xludf.DUMMYFUNCTION("""COMPUTED_VALUE"""),0.00198)</f>
        <v>0.00198</v>
      </c>
      <c r="K872" s="19">
        <f>IFERROR(__xludf.DUMMYFUNCTION("""COMPUTED_VALUE"""),0.04015)</f>
        <v>0.04015</v>
      </c>
      <c r="L872" s="19" t="str">
        <f>IFERROR(__xludf.DUMMYFUNCTION("""COMPUTED_VALUE"""),"-")</f>
        <v>-</v>
      </c>
      <c r="M872" s="19">
        <f>IFERROR(__xludf.DUMMYFUNCTION("""COMPUTED_VALUE"""),0.03987)</f>
        <v>0.03987</v>
      </c>
    </row>
    <row r="873">
      <c r="A873" s="12" t="s">
        <v>7863</v>
      </c>
      <c r="G873" s="19">
        <f>IFERROR(__xludf.DUMMYFUNCTION("SPLIT(A871, "" |"")"),869.0)</f>
        <v>869</v>
      </c>
      <c r="H873" s="19">
        <f>IFERROR(__xludf.DUMMYFUNCTION("""COMPUTED_VALUE"""),0.00219)</f>
        <v>0.00219</v>
      </c>
      <c r="I873" s="19" t="str">
        <f>IFERROR(__xludf.DUMMYFUNCTION("""COMPUTED_VALUE"""),"-")</f>
        <v>-</v>
      </c>
      <c r="J873" s="19">
        <f>IFERROR(__xludf.DUMMYFUNCTION("""COMPUTED_VALUE"""),0.00192)</f>
        <v>0.00192</v>
      </c>
      <c r="K873" s="19">
        <f>IFERROR(__xludf.DUMMYFUNCTION("""COMPUTED_VALUE"""),0.03971)</f>
        <v>0.03971</v>
      </c>
      <c r="L873" s="19" t="str">
        <f>IFERROR(__xludf.DUMMYFUNCTION("""COMPUTED_VALUE"""),"-")</f>
        <v>-</v>
      </c>
      <c r="M873" s="19">
        <f>IFERROR(__xludf.DUMMYFUNCTION("""COMPUTED_VALUE"""),0.04)</f>
        <v>0.04</v>
      </c>
    </row>
    <row r="874">
      <c r="A874" s="12" t="s">
        <v>7864</v>
      </c>
      <c r="G874" s="19">
        <f>IFERROR(__xludf.DUMMYFUNCTION("SPLIT(A872, "" |"")"),870.0)</f>
        <v>870</v>
      </c>
      <c r="H874" s="19">
        <f>IFERROR(__xludf.DUMMYFUNCTION("""COMPUTED_VALUE"""),0.00212)</f>
        <v>0.00212</v>
      </c>
      <c r="I874" s="19" t="str">
        <f>IFERROR(__xludf.DUMMYFUNCTION("""COMPUTED_VALUE"""),"-")</f>
        <v>-</v>
      </c>
      <c r="J874" s="19">
        <f>IFERROR(__xludf.DUMMYFUNCTION("""COMPUTED_VALUE"""),0.00199)</f>
        <v>0.00199</v>
      </c>
      <c r="K874" s="19">
        <f>IFERROR(__xludf.DUMMYFUNCTION("""COMPUTED_VALUE"""),0.03834)</f>
        <v>0.03834</v>
      </c>
      <c r="L874" s="19" t="str">
        <f>IFERROR(__xludf.DUMMYFUNCTION("""COMPUTED_VALUE"""),"-")</f>
        <v>-</v>
      </c>
      <c r="M874" s="19">
        <f>IFERROR(__xludf.DUMMYFUNCTION("""COMPUTED_VALUE"""),0.03986)</f>
        <v>0.03986</v>
      </c>
    </row>
    <row r="875">
      <c r="A875" s="12" t="s">
        <v>7865</v>
      </c>
      <c r="G875" s="19">
        <f>IFERROR(__xludf.DUMMYFUNCTION("SPLIT(A873, "" |"")"),871.0)</f>
        <v>871</v>
      </c>
      <c r="H875" s="19">
        <f>IFERROR(__xludf.DUMMYFUNCTION("""COMPUTED_VALUE"""),0.00206)</f>
        <v>0.00206</v>
      </c>
      <c r="I875" s="19" t="str">
        <f>IFERROR(__xludf.DUMMYFUNCTION("""COMPUTED_VALUE"""),"-")</f>
        <v>-</v>
      </c>
      <c r="J875" s="19">
        <f>IFERROR(__xludf.DUMMYFUNCTION("""COMPUTED_VALUE"""),0.00188)</f>
        <v>0.00188</v>
      </c>
      <c r="K875" s="19">
        <f>IFERROR(__xludf.DUMMYFUNCTION("""COMPUTED_VALUE"""),0.03961)</f>
        <v>0.03961</v>
      </c>
      <c r="L875" s="19" t="str">
        <f>IFERROR(__xludf.DUMMYFUNCTION("""COMPUTED_VALUE"""),"-")</f>
        <v>-</v>
      </c>
      <c r="M875" s="19">
        <f>IFERROR(__xludf.DUMMYFUNCTION("""COMPUTED_VALUE"""),0.03854)</f>
        <v>0.03854</v>
      </c>
    </row>
    <row r="876">
      <c r="A876" s="12" t="s">
        <v>7866</v>
      </c>
      <c r="G876" s="19">
        <f>IFERROR(__xludf.DUMMYFUNCTION("SPLIT(A874, "" |"")"),872.0)</f>
        <v>872</v>
      </c>
      <c r="H876" s="19">
        <f>IFERROR(__xludf.DUMMYFUNCTION("""COMPUTED_VALUE"""),0.00202)</f>
        <v>0.00202</v>
      </c>
      <c r="I876" s="19" t="str">
        <f>IFERROR(__xludf.DUMMYFUNCTION("""COMPUTED_VALUE"""),"-")</f>
        <v>-</v>
      </c>
      <c r="J876" s="19">
        <f>IFERROR(__xludf.DUMMYFUNCTION("""COMPUTED_VALUE"""),0.00183)</f>
        <v>0.00183</v>
      </c>
      <c r="K876" s="19">
        <f>IFERROR(__xludf.DUMMYFUNCTION("""COMPUTED_VALUE"""),0.03949)</f>
        <v>0.03949</v>
      </c>
      <c r="L876" s="19" t="str">
        <f>IFERROR(__xludf.DUMMYFUNCTION("""COMPUTED_VALUE"""),"-")</f>
        <v>-</v>
      </c>
      <c r="M876" s="19">
        <f>IFERROR(__xludf.DUMMYFUNCTION("""COMPUTED_VALUE"""),0.03988)</f>
        <v>0.03988</v>
      </c>
    </row>
    <row r="877">
      <c r="A877" s="12" t="s">
        <v>7867</v>
      </c>
      <c r="G877" s="19">
        <f>IFERROR(__xludf.DUMMYFUNCTION("SPLIT(A875, "" |"")"),873.0)</f>
        <v>873</v>
      </c>
      <c r="H877" s="19">
        <f>IFERROR(__xludf.DUMMYFUNCTION("""COMPUTED_VALUE"""),0.00197)</f>
        <v>0.00197</v>
      </c>
      <c r="I877" s="19" t="str">
        <f>IFERROR(__xludf.DUMMYFUNCTION("""COMPUTED_VALUE"""),"-")</f>
        <v>-</v>
      </c>
      <c r="J877" s="19">
        <f>IFERROR(__xludf.DUMMYFUNCTION("""COMPUTED_VALUE"""),0.00182)</f>
        <v>0.00182</v>
      </c>
      <c r="K877" s="19">
        <f>IFERROR(__xludf.DUMMYFUNCTION("""COMPUTED_VALUE"""),0.03769)</f>
        <v>0.03769</v>
      </c>
      <c r="L877" s="19" t="str">
        <f>IFERROR(__xludf.DUMMYFUNCTION("""COMPUTED_VALUE"""),"-")</f>
        <v>-</v>
      </c>
      <c r="M877" s="19">
        <f>IFERROR(__xludf.DUMMYFUNCTION("""COMPUTED_VALUE"""),0.03979)</f>
        <v>0.03979</v>
      </c>
    </row>
    <row r="878">
      <c r="A878" s="12" t="s">
        <v>7868</v>
      </c>
      <c r="G878" s="19">
        <f>IFERROR(__xludf.DUMMYFUNCTION("SPLIT(A876, "" |"")"),874.0)</f>
        <v>874</v>
      </c>
      <c r="H878" s="19">
        <f>IFERROR(__xludf.DUMMYFUNCTION("""COMPUTED_VALUE"""),0.00215)</f>
        <v>0.00215</v>
      </c>
      <c r="I878" s="19" t="str">
        <f>IFERROR(__xludf.DUMMYFUNCTION("""COMPUTED_VALUE"""),"-")</f>
        <v>-</v>
      </c>
      <c r="J878" s="19">
        <f>IFERROR(__xludf.DUMMYFUNCTION("""COMPUTED_VALUE"""),0.00197)</f>
        <v>0.00197</v>
      </c>
      <c r="K878" s="19">
        <f>IFERROR(__xludf.DUMMYFUNCTION("""COMPUTED_VALUE"""),0.03964)</f>
        <v>0.03964</v>
      </c>
      <c r="L878" s="19" t="str">
        <f>IFERROR(__xludf.DUMMYFUNCTION("""COMPUTED_VALUE"""),"-")</f>
        <v>-</v>
      </c>
      <c r="M878" s="19">
        <f>IFERROR(__xludf.DUMMYFUNCTION("""COMPUTED_VALUE"""),0.03985)</f>
        <v>0.03985</v>
      </c>
    </row>
    <row r="879">
      <c r="A879" s="12" t="s">
        <v>7869</v>
      </c>
      <c r="G879" s="19">
        <f>IFERROR(__xludf.DUMMYFUNCTION("SPLIT(A877, "" |"")"),875.0)</f>
        <v>875</v>
      </c>
      <c r="H879" s="19">
        <f>IFERROR(__xludf.DUMMYFUNCTION("""COMPUTED_VALUE"""),0.00207)</f>
        <v>0.00207</v>
      </c>
      <c r="I879" s="19" t="str">
        <f>IFERROR(__xludf.DUMMYFUNCTION("""COMPUTED_VALUE"""),"-")</f>
        <v>-</v>
      </c>
      <c r="J879" s="19">
        <f>IFERROR(__xludf.DUMMYFUNCTION("""COMPUTED_VALUE"""),0.00193)</f>
        <v>0.00193</v>
      </c>
      <c r="K879" s="19">
        <f>IFERROR(__xludf.DUMMYFUNCTION("""COMPUTED_VALUE"""),0.03973)</f>
        <v>0.03973</v>
      </c>
      <c r="L879" s="19" t="str">
        <f>IFERROR(__xludf.DUMMYFUNCTION("""COMPUTED_VALUE"""),"-")</f>
        <v>-</v>
      </c>
      <c r="M879" s="19">
        <f>IFERROR(__xludf.DUMMYFUNCTION("""COMPUTED_VALUE"""),0.03992)</f>
        <v>0.03992</v>
      </c>
    </row>
    <row r="880">
      <c r="A880" s="12" t="s">
        <v>7870</v>
      </c>
      <c r="G880" s="19">
        <f>IFERROR(__xludf.DUMMYFUNCTION("SPLIT(A878, "" |"")"),876.0)</f>
        <v>876</v>
      </c>
      <c r="H880" s="19">
        <f>IFERROR(__xludf.DUMMYFUNCTION("""COMPUTED_VALUE"""),0.00217)</f>
        <v>0.00217</v>
      </c>
      <c r="I880" s="19" t="str">
        <f>IFERROR(__xludf.DUMMYFUNCTION("""COMPUTED_VALUE"""),"-")</f>
        <v>-</v>
      </c>
      <c r="J880" s="19">
        <f>IFERROR(__xludf.DUMMYFUNCTION("""COMPUTED_VALUE"""),0.00196)</f>
        <v>0.00196</v>
      </c>
      <c r="K880" s="19">
        <f>IFERROR(__xludf.DUMMYFUNCTION("""COMPUTED_VALUE"""),0.03958)</f>
        <v>0.03958</v>
      </c>
      <c r="L880" s="19" t="str">
        <f>IFERROR(__xludf.DUMMYFUNCTION("""COMPUTED_VALUE"""),"-")</f>
        <v>-</v>
      </c>
      <c r="M880" s="19">
        <f>IFERROR(__xludf.DUMMYFUNCTION("""COMPUTED_VALUE"""),0.0366)</f>
        <v>0.0366</v>
      </c>
    </row>
    <row r="881">
      <c r="A881" s="12" t="s">
        <v>7871</v>
      </c>
      <c r="G881" s="19">
        <f>IFERROR(__xludf.DUMMYFUNCTION("SPLIT(A879, "" |"")"),877.0)</f>
        <v>877</v>
      </c>
      <c r="H881" s="19">
        <f>IFERROR(__xludf.DUMMYFUNCTION("""COMPUTED_VALUE"""),0.00213)</f>
        <v>0.00213</v>
      </c>
      <c r="I881" s="19" t="str">
        <f>IFERROR(__xludf.DUMMYFUNCTION("""COMPUTED_VALUE"""),"-")</f>
        <v>-</v>
      </c>
      <c r="J881" s="19">
        <f>IFERROR(__xludf.DUMMYFUNCTION("""COMPUTED_VALUE"""),0.00198)</f>
        <v>0.00198</v>
      </c>
      <c r="K881" s="19">
        <f>IFERROR(__xludf.DUMMYFUNCTION("""COMPUTED_VALUE"""),0.03968)</f>
        <v>0.03968</v>
      </c>
      <c r="L881" s="19" t="str">
        <f>IFERROR(__xludf.DUMMYFUNCTION("""COMPUTED_VALUE"""),"-")</f>
        <v>-</v>
      </c>
      <c r="M881" s="19">
        <f>IFERROR(__xludf.DUMMYFUNCTION("""COMPUTED_VALUE"""),0.03956)</f>
        <v>0.03956</v>
      </c>
    </row>
    <row r="882">
      <c r="A882" s="12" t="s">
        <v>7872</v>
      </c>
      <c r="G882" s="19">
        <f>IFERROR(__xludf.DUMMYFUNCTION("SPLIT(A880, "" |"")"),878.0)</f>
        <v>878</v>
      </c>
      <c r="H882" s="19">
        <f>IFERROR(__xludf.DUMMYFUNCTION("""COMPUTED_VALUE"""),0.00214)</f>
        <v>0.00214</v>
      </c>
      <c r="I882" s="19" t="str">
        <f>IFERROR(__xludf.DUMMYFUNCTION("""COMPUTED_VALUE"""),"-")</f>
        <v>-</v>
      </c>
      <c r="J882" s="19">
        <f>IFERROR(__xludf.DUMMYFUNCTION("""COMPUTED_VALUE"""),0.00198)</f>
        <v>0.00198</v>
      </c>
      <c r="K882" s="19">
        <f>IFERROR(__xludf.DUMMYFUNCTION("""COMPUTED_VALUE"""),0.03607)</f>
        <v>0.03607</v>
      </c>
      <c r="L882" s="19" t="str">
        <f>IFERROR(__xludf.DUMMYFUNCTION("""COMPUTED_VALUE"""),"-")</f>
        <v>-</v>
      </c>
      <c r="M882" s="19">
        <f>IFERROR(__xludf.DUMMYFUNCTION("""COMPUTED_VALUE"""),0.04002)</f>
        <v>0.04002</v>
      </c>
    </row>
    <row r="883">
      <c r="A883" s="12" t="s">
        <v>7873</v>
      </c>
      <c r="G883" s="19">
        <f>IFERROR(__xludf.DUMMYFUNCTION("SPLIT(A881, "" |"")"),879.0)</f>
        <v>879</v>
      </c>
      <c r="H883" s="19">
        <f>IFERROR(__xludf.DUMMYFUNCTION("""COMPUTED_VALUE"""),0.00205)</f>
        <v>0.00205</v>
      </c>
      <c r="I883" s="19" t="str">
        <f>IFERROR(__xludf.DUMMYFUNCTION("""COMPUTED_VALUE"""),"-")</f>
        <v>-</v>
      </c>
      <c r="J883" s="19">
        <f>IFERROR(__xludf.DUMMYFUNCTION("""COMPUTED_VALUE"""),0.00185)</f>
        <v>0.00185</v>
      </c>
      <c r="K883" s="19">
        <f>IFERROR(__xludf.DUMMYFUNCTION("""COMPUTED_VALUE"""),0.03933)</f>
        <v>0.03933</v>
      </c>
      <c r="L883" s="19" t="str">
        <f>IFERROR(__xludf.DUMMYFUNCTION("""COMPUTED_VALUE"""),"-")</f>
        <v>-</v>
      </c>
      <c r="M883" s="19">
        <f>IFERROR(__xludf.DUMMYFUNCTION("""COMPUTED_VALUE"""),0.04013)</f>
        <v>0.04013</v>
      </c>
    </row>
    <row r="884">
      <c r="A884" s="12" t="s">
        <v>7874</v>
      </c>
      <c r="G884" s="19">
        <f>IFERROR(__xludf.DUMMYFUNCTION("SPLIT(A882, "" |"")"),880.0)</f>
        <v>880</v>
      </c>
      <c r="H884" s="19">
        <f>IFERROR(__xludf.DUMMYFUNCTION("""COMPUTED_VALUE"""),0.00219)</f>
        <v>0.00219</v>
      </c>
      <c r="I884" s="19" t="str">
        <f>IFERROR(__xludf.DUMMYFUNCTION("""COMPUTED_VALUE"""),"-")</f>
        <v>-</v>
      </c>
      <c r="J884" s="19">
        <f>IFERROR(__xludf.DUMMYFUNCTION("""COMPUTED_VALUE"""),0.00206)</f>
        <v>0.00206</v>
      </c>
      <c r="K884" s="19">
        <f>IFERROR(__xludf.DUMMYFUNCTION("""COMPUTED_VALUE"""),0.03978)</f>
        <v>0.03978</v>
      </c>
      <c r="L884" s="19" t="str">
        <f>IFERROR(__xludf.DUMMYFUNCTION("""COMPUTED_VALUE"""),"-")</f>
        <v>-</v>
      </c>
      <c r="M884" s="19">
        <f>IFERROR(__xludf.DUMMYFUNCTION("""COMPUTED_VALUE"""),0.03996)</f>
        <v>0.03996</v>
      </c>
    </row>
    <row r="885">
      <c r="A885" s="12" t="s">
        <v>7875</v>
      </c>
      <c r="G885" s="19">
        <f>IFERROR(__xludf.DUMMYFUNCTION("SPLIT(A883, "" |"")"),881.0)</f>
        <v>881</v>
      </c>
      <c r="H885" s="19">
        <f>IFERROR(__xludf.DUMMYFUNCTION("""COMPUTED_VALUE"""),0.0021)</f>
        <v>0.0021</v>
      </c>
      <c r="I885" s="19" t="str">
        <f>IFERROR(__xludf.DUMMYFUNCTION("""COMPUTED_VALUE"""),"-")</f>
        <v>-</v>
      </c>
      <c r="J885" s="19">
        <f>IFERROR(__xludf.DUMMYFUNCTION("""COMPUTED_VALUE"""),0.00199)</f>
        <v>0.00199</v>
      </c>
      <c r="K885" s="19">
        <f>IFERROR(__xludf.DUMMYFUNCTION("""COMPUTED_VALUE"""),0.03989)</f>
        <v>0.03989</v>
      </c>
      <c r="L885" s="19" t="str">
        <f>IFERROR(__xludf.DUMMYFUNCTION("""COMPUTED_VALUE"""),"-")</f>
        <v>-</v>
      </c>
      <c r="M885" s="19">
        <f>IFERROR(__xludf.DUMMYFUNCTION("""COMPUTED_VALUE"""),0.0389)</f>
        <v>0.0389</v>
      </c>
    </row>
    <row r="886">
      <c r="A886" s="12" t="s">
        <v>7876</v>
      </c>
      <c r="G886" s="19">
        <f>IFERROR(__xludf.DUMMYFUNCTION("SPLIT(A884, "" |"")"),882.0)</f>
        <v>882</v>
      </c>
      <c r="H886" s="19">
        <f>IFERROR(__xludf.DUMMYFUNCTION("""COMPUTED_VALUE"""),0.00253)</f>
        <v>0.00253</v>
      </c>
      <c r="I886" s="19" t="str">
        <f>IFERROR(__xludf.DUMMYFUNCTION("""COMPUTED_VALUE"""),"-")</f>
        <v>-</v>
      </c>
      <c r="J886" s="19">
        <f>IFERROR(__xludf.DUMMYFUNCTION("""COMPUTED_VALUE"""),0.00219)</f>
        <v>0.00219</v>
      </c>
      <c r="K886" s="19">
        <f>IFERROR(__xludf.DUMMYFUNCTION("""COMPUTED_VALUE"""),0.03739)</f>
        <v>0.03739</v>
      </c>
      <c r="L886" s="19" t="str">
        <f>IFERROR(__xludf.DUMMYFUNCTION("""COMPUTED_VALUE"""),"-")</f>
        <v>-</v>
      </c>
      <c r="M886" s="19">
        <f>IFERROR(__xludf.DUMMYFUNCTION("""COMPUTED_VALUE"""),0.03958)</f>
        <v>0.03958</v>
      </c>
    </row>
    <row r="887">
      <c r="A887" s="12" t="s">
        <v>7877</v>
      </c>
      <c r="G887" s="19">
        <f>IFERROR(__xludf.DUMMYFUNCTION("SPLIT(A885, "" |"")"),883.0)</f>
        <v>883</v>
      </c>
      <c r="H887" s="19">
        <f>IFERROR(__xludf.DUMMYFUNCTION("""COMPUTED_VALUE"""),0.00204)</f>
        <v>0.00204</v>
      </c>
      <c r="I887" s="19" t="str">
        <f>IFERROR(__xludf.DUMMYFUNCTION("""COMPUTED_VALUE"""),"-")</f>
        <v>-</v>
      </c>
      <c r="J887" s="19">
        <f>IFERROR(__xludf.DUMMYFUNCTION("""COMPUTED_VALUE"""),0.00187)</f>
        <v>0.00187</v>
      </c>
      <c r="K887" s="19">
        <f>IFERROR(__xludf.DUMMYFUNCTION("""COMPUTED_VALUE"""),0.0363)</f>
        <v>0.0363</v>
      </c>
      <c r="L887" s="19" t="str">
        <f>IFERROR(__xludf.DUMMYFUNCTION("""COMPUTED_VALUE"""),"-")</f>
        <v>-</v>
      </c>
      <c r="M887" s="19">
        <f>IFERROR(__xludf.DUMMYFUNCTION("""COMPUTED_VALUE"""),0.03746)</f>
        <v>0.03746</v>
      </c>
    </row>
    <row r="888">
      <c r="A888" s="12" t="s">
        <v>7878</v>
      </c>
      <c r="G888" s="19">
        <f>IFERROR(__xludf.DUMMYFUNCTION("SPLIT(A886, "" |"")"),884.0)</f>
        <v>884</v>
      </c>
      <c r="H888" s="19">
        <f>IFERROR(__xludf.DUMMYFUNCTION("""COMPUTED_VALUE"""),0.00208)</f>
        <v>0.00208</v>
      </c>
      <c r="I888" s="19" t="str">
        <f>IFERROR(__xludf.DUMMYFUNCTION("""COMPUTED_VALUE"""),"-")</f>
        <v>-</v>
      </c>
      <c r="J888" s="19">
        <f>IFERROR(__xludf.DUMMYFUNCTION("""COMPUTED_VALUE"""),0.00197)</f>
        <v>0.00197</v>
      </c>
      <c r="K888" s="19">
        <f>IFERROR(__xludf.DUMMYFUNCTION("""COMPUTED_VALUE"""),0.03842)</f>
        <v>0.03842</v>
      </c>
      <c r="L888" s="19" t="str">
        <f>IFERROR(__xludf.DUMMYFUNCTION("""COMPUTED_VALUE"""),"-")</f>
        <v>-</v>
      </c>
      <c r="M888" s="19">
        <f>IFERROR(__xludf.DUMMYFUNCTION("""COMPUTED_VALUE"""),0.03965)</f>
        <v>0.03965</v>
      </c>
    </row>
    <row r="889">
      <c r="A889" s="12" t="s">
        <v>7879</v>
      </c>
      <c r="G889" s="19">
        <f>IFERROR(__xludf.DUMMYFUNCTION("SPLIT(A887, "" |"")"),885.0)</f>
        <v>885</v>
      </c>
      <c r="H889" s="19">
        <f>IFERROR(__xludf.DUMMYFUNCTION("""COMPUTED_VALUE"""),0.00206)</f>
        <v>0.00206</v>
      </c>
      <c r="I889" s="19" t="str">
        <f>IFERROR(__xludf.DUMMYFUNCTION("""COMPUTED_VALUE"""),"-")</f>
        <v>-</v>
      </c>
      <c r="J889" s="19">
        <f>IFERROR(__xludf.DUMMYFUNCTION("""COMPUTED_VALUE"""),0.00192)</f>
        <v>0.00192</v>
      </c>
      <c r="K889" s="19">
        <f>IFERROR(__xludf.DUMMYFUNCTION("""COMPUTED_VALUE"""),0.07495)</f>
        <v>0.07495</v>
      </c>
      <c r="L889" s="19" t="str">
        <f>IFERROR(__xludf.DUMMYFUNCTION("""COMPUTED_VALUE"""),"-")</f>
        <v>-</v>
      </c>
      <c r="M889" s="19">
        <f>IFERROR(__xludf.DUMMYFUNCTION("""COMPUTED_VALUE"""),0.03995)</f>
        <v>0.03995</v>
      </c>
    </row>
    <row r="890">
      <c r="A890" s="12" t="s">
        <v>7880</v>
      </c>
      <c r="G890" s="19">
        <f>IFERROR(__xludf.DUMMYFUNCTION("SPLIT(A888, "" |"")"),886.0)</f>
        <v>886</v>
      </c>
      <c r="H890" s="19">
        <f>IFERROR(__xludf.DUMMYFUNCTION("""COMPUTED_VALUE"""),0.00212)</f>
        <v>0.00212</v>
      </c>
      <c r="I890" s="19" t="str">
        <f>IFERROR(__xludf.DUMMYFUNCTION("""COMPUTED_VALUE"""),"-")</f>
        <v>-</v>
      </c>
      <c r="J890" s="19">
        <f>IFERROR(__xludf.DUMMYFUNCTION("""COMPUTED_VALUE"""),0.00199)</f>
        <v>0.00199</v>
      </c>
      <c r="K890" s="19">
        <f>IFERROR(__xludf.DUMMYFUNCTION("""COMPUTED_VALUE"""),0.03964)</f>
        <v>0.03964</v>
      </c>
      <c r="L890" s="19" t="str">
        <f>IFERROR(__xludf.DUMMYFUNCTION("""COMPUTED_VALUE"""),"-")</f>
        <v>-</v>
      </c>
      <c r="M890" s="19">
        <f>IFERROR(__xludf.DUMMYFUNCTION("""COMPUTED_VALUE"""),0.03872)</f>
        <v>0.03872</v>
      </c>
    </row>
    <row r="891">
      <c r="A891" s="12" t="s">
        <v>7881</v>
      </c>
      <c r="G891" s="19">
        <f>IFERROR(__xludf.DUMMYFUNCTION("SPLIT(A889, "" |"")"),887.0)</f>
        <v>887</v>
      </c>
      <c r="H891" s="19">
        <f>IFERROR(__xludf.DUMMYFUNCTION("""COMPUTED_VALUE"""),0.00224)</f>
        <v>0.00224</v>
      </c>
      <c r="I891" s="19" t="str">
        <f>IFERROR(__xludf.DUMMYFUNCTION("""COMPUTED_VALUE"""),"-")</f>
        <v>-</v>
      </c>
      <c r="J891" s="19">
        <f>IFERROR(__xludf.DUMMYFUNCTION("""COMPUTED_VALUE"""),0.0019)</f>
        <v>0.0019</v>
      </c>
      <c r="K891" s="19">
        <f>IFERROR(__xludf.DUMMYFUNCTION("""COMPUTED_VALUE"""),0.04094)</f>
        <v>0.04094</v>
      </c>
      <c r="L891" s="19" t="str">
        <f>IFERROR(__xludf.DUMMYFUNCTION("""COMPUTED_VALUE"""),"-")</f>
        <v>-</v>
      </c>
      <c r="M891" s="19">
        <f>IFERROR(__xludf.DUMMYFUNCTION("""COMPUTED_VALUE"""),0.03991)</f>
        <v>0.03991</v>
      </c>
    </row>
    <row r="892">
      <c r="A892" s="12" t="s">
        <v>7882</v>
      </c>
      <c r="G892" s="19">
        <f>IFERROR(__xludf.DUMMYFUNCTION("SPLIT(A890, "" |"")"),888.0)</f>
        <v>888</v>
      </c>
      <c r="H892" s="19">
        <f>IFERROR(__xludf.DUMMYFUNCTION("""COMPUTED_VALUE"""),0.00203)</f>
        <v>0.00203</v>
      </c>
      <c r="I892" s="19" t="str">
        <f>IFERROR(__xludf.DUMMYFUNCTION("""COMPUTED_VALUE"""),"-")</f>
        <v>-</v>
      </c>
      <c r="J892" s="19">
        <f>IFERROR(__xludf.DUMMYFUNCTION("""COMPUTED_VALUE"""),0.00187)</f>
        <v>0.00187</v>
      </c>
      <c r="K892" s="19">
        <f>IFERROR(__xludf.DUMMYFUNCTION("""COMPUTED_VALUE"""),0.03961)</f>
        <v>0.03961</v>
      </c>
      <c r="L892" s="19" t="str">
        <f>IFERROR(__xludf.DUMMYFUNCTION("""COMPUTED_VALUE"""),"-")</f>
        <v>-</v>
      </c>
      <c r="M892" s="19">
        <f>IFERROR(__xludf.DUMMYFUNCTION("""COMPUTED_VALUE"""),0.03746)</f>
        <v>0.03746</v>
      </c>
    </row>
    <row r="893">
      <c r="A893" s="12" t="s">
        <v>7883</v>
      </c>
      <c r="G893" s="19">
        <f>IFERROR(__xludf.DUMMYFUNCTION("SPLIT(A891, "" |"")"),889.0)</f>
        <v>889</v>
      </c>
      <c r="H893" s="19">
        <f>IFERROR(__xludf.DUMMYFUNCTION("""COMPUTED_VALUE"""),0.00209)</f>
        <v>0.00209</v>
      </c>
      <c r="I893" s="19" t="str">
        <f>IFERROR(__xludf.DUMMYFUNCTION("""COMPUTED_VALUE"""),"-")</f>
        <v>-</v>
      </c>
      <c r="J893" s="19">
        <f>IFERROR(__xludf.DUMMYFUNCTION("""COMPUTED_VALUE"""),0.00191)</f>
        <v>0.00191</v>
      </c>
      <c r="K893" s="19">
        <f>IFERROR(__xludf.DUMMYFUNCTION("""COMPUTED_VALUE"""),0.03838)</f>
        <v>0.03838</v>
      </c>
      <c r="L893" s="19" t="str">
        <f>IFERROR(__xludf.DUMMYFUNCTION("""COMPUTED_VALUE"""),"-")</f>
        <v>-</v>
      </c>
      <c r="M893" s="19">
        <f>IFERROR(__xludf.DUMMYFUNCTION("""COMPUTED_VALUE"""),0.03994)</f>
        <v>0.03994</v>
      </c>
    </row>
    <row r="894">
      <c r="A894" s="12" t="s">
        <v>7884</v>
      </c>
      <c r="G894" s="19">
        <f>IFERROR(__xludf.DUMMYFUNCTION("SPLIT(A892, "" |"")"),890.0)</f>
        <v>890</v>
      </c>
      <c r="H894" s="19">
        <f>IFERROR(__xludf.DUMMYFUNCTION("""COMPUTED_VALUE"""),0.00217)</f>
        <v>0.00217</v>
      </c>
      <c r="I894" s="19" t="str">
        <f>IFERROR(__xludf.DUMMYFUNCTION("""COMPUTED_VALUE"""),"-")</f>
        <v>-</v>
      </c>
      <c r="J894" s="19">
        <f>IFERROR(__xludf.DUMMYFUNCTION("""COMPUTED_VALUE"""),0.002)</f>
        <v>0.002</v>
      </c>
      <c r="K894" s="19">
        <f>IFERROR(__xludf.DUMMYFUNCTION("""COMPUTED_VALUE"""),0.0341)</f>
        <v>0.0341</v>
      </c>
      <c r="L894" s="19" t="str">
        <f>IFERROR(__xludf.DUMMYFUNCTION("""COMPUTED_VALUE"""),"-")</f>
        <v>-</v>
      </c>
      <c r="M894" s="19">
        <f>IFERROR(__xludf.DUMMYFUNCTION("""COMPUTED_VALUE"""),0.03981)</f>
        <v>0.03981</v>
      </c>
    </row>
    <row r="895">
      <c r="A895" s="12" t="s">
        <v>7885</v>
      </c>
      <c r="G895" s="19">
        <f>IFERROR(__xludf.DUMMYFUNCTION("SPLIT(A893, "" |"")"),891.0)</f>
        <v>891</v>
      </c>
      <c r="H895" s="19">
        <f>IFERROR(__xludf.DUMMYFUNCTION("""COMPUTED_VALUE"""),0.00212)</f>
        <v>0.00212</v>
      </c>
      <c r="I895" s="19" t="str">
        <f>IFERROR(__xludf.DUMMYFUNCTION("""COMPUTED_VALUE"""),"-")</f>
        <v>-</v>
      </c>
      <c r="J895" s="19">
        <f>IFERROR(__xludf.DUMMYFUNCTION("""COMPUTED_VALUE"""),0.00191)</f>
        <v>0.00191</v>
      </c>
      <c r="K895" s="19">
        <f>IFERROR(__xludf.DUMMYFUNCTION("""COMPUTED_VALUE"""),0.03523)</f>
        <v>0.03523</v>
      </c>
      <c r="L895" s="19" t="str">
        <f>IFERROR(__xludf.DUMMYFUNCTION("""COMPUTED_VALUE"""),"-")</f>
        <v>-</v>
      </c>
      <c r="M895" s="19">
        <f>IFERROR(__xludf.DUMMYFUNCTION("""COMPUTED_VALUE"""),0.03806)</f>
        <v>0.03806</v>
      </c>
    </row>
    <row r="896">
      <c r="A896" s="12" t="s">
        <v>7886</v>
      </c>
      <c r="G896" s="19">
        <f>IFERROR(__xludf.DUMMYFUNCTION("SPLIT(A894, "" |"")"),892.0)</f>
        <v>892</v>
      </c>
      <c r="H896" s="19">
        <f>IFERROR(__xludf.DUMMYFUNCTION("""COMPUTED_VALUE"""),0.00238)</f>
        <v>0.00238</v>
      </c>
      <c r="I896" s="19" t="str">
        <f>IFERROR(__xludf.DUMMYFUNCTION("""COMPUTED_VALUE"""),"-")</f>
        <v>-</v>
      </c>
      <c r="J896" s="19">
        <f>IFERROR(__xludf.DUMMYFUNCTION("""COMPUTED_VALUE"""),0.00217)</f>
        <v>0.00217</v>
      </c>
      <c r="K896" s="19">
        <f>IFERROR(__xludf.DUMMYFUNCTION("""COMPUTED_VALUE"""),0.03751)</f>
        <v>0.03751</v>
      </c>
      <c r="L896" s="19" t="str">
        <f>IFERROR(__xludf.DUMMYFUNCTION("""COMPUTED_VALUE"""),"-")</f>
        <v>-</v>
      </c>
      <c r="M896" s="19">
        <f>IFERROR(__xludf.DUMMYFUNCTION("""COMPUTED_VALUE"""),0.03819)</f>
        <v>0.03819</v>
      </c>
    </row>
    <row r="897">
      <c r="A897" s="12" t="s">
        <v>7887</v>
      </c>
      <c r="G897" s="19">
        <f>IFERROR(__xludf.DUMMYFUNCTION("SPLIT(A895, "" |"")"),893.0)</f>
        <v>893</v>
      </c>
      <c r="H897" s="19">
        <f>IFERROR(__xludf.DUMMYFUNCTION("""COMPUTED_VALUE"""),0.00224)</f>
        <v>0.00224</v>
      </c>
      <c r="I897" s="19" t="str">
        <f>IFERROR(__xludf.DUMMYFUNCTION("""COMPUTED_VALUE"""),"-")</f>
        <v>-</v>
      </c>
      <c r="J897" s="19">
        <f>IFERROR(__xludf.DUMMYFUNCTION("""COMPUTED_VALUE"""),0.00207)</f>
        <v>0.00207</v>
      </c>
      <c r="K897" s="19">
        <f>IFERROR(__xludf.DUMMYFUNCTION("""COMPUTED_VALUE"""),0.03924)</f>
        <v>0.03924</v>
      </c>
      <c r="L897" s="19" t="str">
        <f>IFERROR(__xludf.DUMMYFUNCTION("""COMPUTED_VALUE"""),"-")</f>
        <v>-</v>
      </c>
      <c r="M897" s="19">
        <f>IFERROR(__xludf.DUMMYFUNCTION("""COMPUTED_VALUE"""),0.04036)</f>
        <v>0.04036</v>
      </c>
    </row>
    <row r="898">
      <c r="A898" s="12" t="s">
        <v>7888</v>
      </c>
      <c r="G898" s="19">
        <f>IFERROR(__xludf.DUMMYFUNCTION("SPLIT(A896, "" |"")"),894.0)</f>
        <v>894</v>
      </c>
      <c r="H898" s="19">
        <f>IFERROR(__xludf.DUMMYFUNCTION("""COMPUTED_VALUE"""),0.00207)</f>
        <v>0.00207</v>
      </c>
      <c r="I898" s="19" t="str">
        <f>IFERROR(__xludf.DUMMYFUNCTION("""COMPUTED_VALUE"""),"-")</f>
        <v>-</v>
      </c>
      <c r="J898" s="19">
        <f>IFERROR(__xludf.DUMMYFUNCTION("""COMPUTED_VALUE"""),0.00207)</f>
        <v>0.00207</v>
      </c>
      <c r="K898" s="19">
        <f>IFERROR(__xludf.DUMMYFUNCTION("""COMPUTED_VALUE"""),0.03976)</f>
        <v>0.03976</v>
      </c>
      <c r="L898" s="19" t="str">
        <f>IFERROR(__xludf.DUMMYFUNCTION("""COMPUTED_VALUE"""),"-")</f>
        <v>-</v>
      </c>
      <c r="M898" s="19">
        <f>IFERROR(__xludf.DUMMYFUNCTION("""COMPUTED_VALUE"""),0.04047)</f>
        <v>0.04047</v>
      </c>
    </row>
    <row r="899">
      <c r="A899" s="12" t="s">
        <v>7889</v>
      </c>
      <c r="G899" s="19">
        <f>IFERROR(__xludf.DUMMYFUNCTION("SPLIT(A897, "" |"")"),895.0)</f>
        <v>895</v>
      </c>
      <c r="H899" s="19">
        <f>IFERROR(__xludf.DUMMYFUNCTION("""COMPUTED_VALUE"""),0.00216)</f>
        <v>0.00216</v>
      </c>
      <c r="I899" s="19" t="str">
        <f>IFERROR(__xludf.DUMMYFUNCTION("""COMPUTED_VALUE"""),"-")</f>
        <v>-</v>
      </c>
      <c r="J899" s="19">
        <f>IFERROR(__xludf.DUMMYFUNCTION("""COMPUTED_VALUE"""),0.00202)</f>
        <v>0.00202</v>
      </c>
      <c r="K899" s="19">
        <f>IFERROR(__xludf.DUMMYFUNCTION("""COMPUTED_VALUE"""),0.03967)</f>
        <v>0.03967</v>
      </c>
      <c r="L899" s="19" t="str">
        <f>IFERROR(__xludf.DUMMYFUNCTION("""COMPUTED_VALUE"""),"-")</f>
        <v>-</v>
      </c>
      <c r="M899" s="19">
        <f>IFERROR(__xludf.DUMMYFUNCTION("""COMPUTED_VALUE"""),0.04048)</f>
        <v>0.04048</v>
      </c>
    </row>
    <row r="900">
      <c r="A900" s="12" t="s">
        <v>7890</v>
      </c>
      <c r="G900" s="19">
        <f>IFERROR(__xludf.DUMMYFUNCTION("SPLIT(A898, "" |"")"),896.0)</f>
        <v>896</v>
      </c>
      <c r="H900" s="19">
        <f>IFERROR(__xludf.DUMMYFUNCTION("""COMPUTED_VALUE"""),0.00204)</f>
        <v>0.00204</v>
      </c>
      <c r="I900" s="19" t="str">
        <f>IFERROR(__xludf.DUMMYFUNCTION("""COMPUTED_VALUE"""),"-")</f>
        <v>-</v>
      </c>
      <c r="J900" s="19">
        <f>IFERROR(__xludf.DUMMYFUNCTION("""COMPUTED_VALUE"""),0.00193)</f>
        <v>0.00193</v>
      </c>
      <c r="K900" s="19">
        <f>IFERROR(__xludf.DUMMYFUNCTION("""COMPUTED_VALUE"""),0.04004)</f>
        <v>0.04004</v>
      </c>
      <c r="L900" s="19" t="str">
        <f>IFERROR(__xludf.DUMMYFUNCTION("""COMPUTED_VALUE"""),"-")</f>
        <v>-</v>
      </c>
      <c r="M900" s="19">
        <f>IFERROR(__xludf.DUMMYFUNCTION("""COMPUTED_VALUE"""),0.04002)</f>
        <v>0.04002</v>
      </c>
    </row>
    <row r="901">
      <c r="A901" s="12" t="s">
        <v>7891</v>
      </c>
      <c r="G901" s="19">
        <f>IFERROR(__xludf.DUMMYFUNCTION("SPLIT(A899, "" |"")"),897.0)</f>
        <v>897</v>
      </c>
      <c r="H901" s="19">
        <f>IFERROR(__xludf.DUMMYFUNCTION("""COMPUTED_VALUE"""),0.00228)</f>
        <v>0.00228</v>
      </c>
      <c r="I901" s="19" t="str">
        <f>IFERROR(__xludf.DUMMYFUNCTION("""COMPUTED_VALUE"""),"-")</f>
        <v>-</v>
      </c>
      <c r="J901" s="19">
        <f>IFERROR(__xludf.DUMMYFUNCTION("""COMPUTED_VALUE"""),0.002)</f>
        <v>0.002</v>
      </c>
      <c r="K901" s="19">
        <f>IFERROR(__xludf.DUMMYFUNCTION("""COMPUTED_VALUE"""),0.03981)</f>
        <v>0.03981</v>
      </c>
      <c r="L901" s="19" t="str">
        <f>IFERROR(__xludf.DUMMYFUNCTION("""COMPUTED_VALUE"""),"-")</f>
        <v>-</v>
      </c>
      <c r="M901" s="19">
        <f>IFERROR(__xludf.DUMMYFUNCTION("""COMPUTED_VALUE"""),0.03932)</f>
        <v>0.03932</v>
      </c>
    </row>
    <row r="902">
      <c r="A902" s="12" t="s">
        <v>7892</v>
      </c>
      <c r="G902" s="19">
        <f>IFERROR(__xludf.DUMMYFUNCTION("SPLIT(A900, "" |"")"),898.0)</f>
        <v>898</v>
      </c>
      <c r="H902" s="19">
        <f>IFERROR(__xludf.DUMMYFUNCTION("""COMPUTED_VALUE"""),0.00229)</f>
        <v>0.00229</v>
      </c>
      <c r="I902" s="19" t="str">
        <f>IFERROR(__xludf.DUMMYFUNCTION("""COMPUTED_VALUE"""),"-")</f>
        <v>-</v>
      </c>
      <c r="J902" s="19">
        <f>IFERROR(__xludf.DUMMYFUNCTION("""COMPUTED_VALUE"""),0.00208)</f>
        <v>0.00208</v>
      </c>
      <c r="K902" s="19">
        <f>IFERROR(__xludf.DUMMYFUNCTION("""COMPUTED_VALUE"""),0.03975)</f>
        <v>0.03975</v>
      </c>
      <c r="L902" s="19" t="str">
        <f>IFERROR(__xludf.DUMMYFUNCTION("""COMPUTED_VALUE"""),"-")</f>
        <v>-</v>
      </c>
      <c r="M902" s="19">
        <f>IFERROR(__xludf.DUMMYFUNCTION("""COMPUTED_VALUE"""),0.04058)</f>
        <v>0.04058</v>
      </c>
    </row>
    <row r="903">
      <c r="G903" s="19">
        <f>IFERROR(__xludf.DUMMYFUNCTION("SPLIT(A901, "" |"")"),899.0)</f>
        <v>899</v>
      </c>
      <c r="H903" s="19">
        <f>IFERROR(__xludf.DUMMYFUNCTION("""COMPUTED_VALUE"""),0.00231)</f>
        <v>0.00231</v>
      </c>
      <c r="I903" s="19" t="str">
        <f>IFERROR(__xludf.DUMMYFUNCTION("""COMPUTED_VALUE"""),"-")</f>
        <v>-</v>
      </c>
      <c r="J903" s="19">
        <f>IFERROR(__xludf.DUMMYFUNCTION("""COMPUTED_VALUE"""),0.00203)</f>
        <v>0.00203</v>
      </c>
      <c r="K903" s="19">
        <f>IFERROR(__xludf.DUMMYFUNCTION("""COMPUTED_VALUE"""),0.03811)</f>
        <v>0.03811</v>
      </c>
      <c r="L903" s="19" t="str">
        <f>IFERROR(__xludf.DUMMYFUNCTION("""COMPUTED_VALUE"""),"-")</f>
        <v>-</v>
      </c>
      <c r="M903" s="19">
        <f>IFERROR(__xludf.DUMMYFUNCTION("""COMPUTED_VALUE"""),0.0406)</f>
        <v>0.0406</v>
      </c>
    </row>
    <row r="904">
      <c r="G904" s="19">
        <f>IFERROR(__xludf.DUMMYFUNCTION("SPLIT(A902, "" |"")"),900.0)</f>
        <v>900</v>
      </c>
      <c r="H904" s="19">
        <f>IFERROR(__xludf.DUMMYFUNCTION("""COMPUTED_VALUE"""),0.00222)</f>
        <v>0.00222</v>
      </c>
      <c r="I904" s="19" t="str">
        <f>IFERROR(__xludf.DUMMYFUNCTION("""COMPUTED_VALUE"""),"-")</f>
        <v>-</v>
      </c>
      <c r="J904" s="19">
        <f>IFERROR(__xludf.DUMMYFUNCTION("""COMPUTED_VALUE"""),0.00205)</f>
        <v>0.00205</v>
      </c>
      <c r="K904" s="19">
        <f>IFERROR(__xludf.DUMMYFUNCTION("""COMPUTED_VALUE"""),0.03594)</f>
        <v>0.03594</v>
      </c>
      <c r="L904" s="19" t="str">
        <f>IFERROR(__xludf.DUMMYFUNCTION("""COMPUTED_VALUE"""),"-")</f>
        <v>-</v>
      </c>
      <c r="M904" s="19">
        <f>IFERROR(__xludf.DUMMYFUNCTION("""COMPUTED_VALUE"""),0.03996)</f>
        <v>0.03996</v>
      </c>
    </row>
  </sheetData>
  <mergeCells count="2">
    <mergeCell ref="H2:J2"/>
    <mergeCell ref="K2:M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H2" s="16" t="s">
        <v>24</v>
      </c>
      <c r="K2" s="17" t="s">
        <v>25</v>
      </c>
    </row>
    <row r="3">
      <c r="A3" s="12" t="s">
        <v>7893</v>
      </c>
      <c r="H3" s="18" t="s">
        <v>26</v>
      </c>
      <c r="I3" s="18" t="s">
        <v>27</v>
      </c>
      <c r="J3" s="18" t="s">
        <v>28</v>
      </c>
      <c r="K3" s="18" t="s">
        <v>29</v>
      </c>
      <c r="L3" s="18" t="s">
        <v>30</v>
      </c>
      <c r="M3" s="18" t="s">
        <v>28</v>
      </c>
    </row>
    <row r="4">
      <c r="A4" s="12" t="s">
        <v>7894</v>
      </c>
    </row>
    <row r="5">
      <c r="A5" s="12" t="s">
        <v>7895</v>
      </c>
      <c r="G5" s="19">
        <f>IFERROR(__xludf.DUMMYFUNCTION("SPLIT(A3, "" |"")"),1.0)</f>
        <v>1</v>
      </c>
      <c r="H5" s="19">
        <f>IFERROR(__xludf.DUMMYFUNCTION("""COMPUTED_VALUE"""),0.00241)</f>
        <v>0.00241</v>
      </c>
      <c r="I5" s="19">
        <f>IFERROR(__xludf.DUMMYFUNCTION("""COMPUTED_VALUE"""),0.00213)</f>
        <v>0.00213</v>
      </c>
      <c r="J5" s="19">
        <f>IFERROR(__xludf.DUMMYFUNCTION("""COMPUTED_VALUE"""),0.00214)</f>
        <v>0.00214</v>
      </c>
      <c r="K5" s="19">
        <f>IFERROR(__xludf.DUMMYFUNCTION("""COMPUTED_VALUE"""),0.03958)</f>
        <v>0.03958</v>
      </c>
      <c r="L5" s="19">
        <f>IFERROR(__xludf.DUMMYFUNCTION("""COMPUTED_VALUE"""),0.03593)</f>
        <v>0.03593</v>
      </c>
      <c r="M5" s="19">
        <f>IFERROR(__xludf.DUMMYFUNCTION("""COMPUTED_VALUE"""),0.03826)</f>
        <v>0.03826</v>
      </c>
    </row>
    <row r="6">
      <c r="A6" s="12" t="s">
        <v>7896</v>
      </c>
      <c r="G6" s="19">
        <f>IFERROR(__xludf.DUMMYFUNCTION("SPLIT(A4, "" |"")"),2.0)</f>
        <v>2</v>
      </c>
      <c r="H6" s="19">
        <f>IFERROR(__xludf.DUMMYFUNCTION("""COMPUTED_VALUE"""),0.00206)</f>
        <v>0.00206</v>
      </c>
      <c r="I6" s="19">
        <f>IFERROR(__xludf.DUMMYFUNCTION("""COMPUTED_VALUE"""),0.00187)</f>
        <v>0.00187</v>
      </c>
      <c r="J6" s="19">
        <f>IFERROR(__xludf.DUMMYFUNCTION("""COMPUTED_VALUE"""),0.00183)</f>
        <v>0.00183</v>
      </c>
      <c r="K6" s="19">
        <f>IFERROR(__xludf.DUMMYFUNCTION("""COMPUTED_VALUE"""),0.03958)</f>
        <v>0.03958</v>
      </c>
      <c r="L6" s="19">
        <f>IFERROR(__xludf.DUMMYFUNCTION("""COMPUTED_VALUE"""),0.03967)</f>
        <v>0.03967</v>
      </c>
      <c r="M6" s="19">
        <f>IFERROR(__xludf.DUMMYFUNCTION("""COMPUTED_VALUE"""),0.03968)</f>
        <v>0.03968</v>
      </c>
    </row>
    <row r="7">
      <c r="A7" s="12" t="s">
        <v>7897</v>
      </c>
      <c r="G7" s="19">
        <f>IFERROR(__xludf.DUMMYFUNCTION("SPLIT(A5, "" |"")"),3.0)</f>
        <v>3</v>
      </c>
      <c r="H7" s="19">
        <f>IFERROR(__xludf.DUMMYFUNCTION("""COMPUTED_VALUE"""),0.00198)</f>
        <v>0.00198</v>
      </c>
      <c r="I7" s="19">
        <f>IFERROR(__xludf.DUMMYFUNCTION("""COMPUTED_VALUE"""),0.0018)</f>
        <v>0.0018</v>
      </c>
      <c r="J7" s="19">
        <f>IFERROR(__xludf.DUMMYFUNCTION("""COMPUTED_VALUE"""),0.00179)</f>
        <v>0.00179</v>
      </c>
      <c r="K7" s="19">
        <f>IFERROR(__xludf.DUMMYFUNCTION("""COMPUTED_VALUE"""),0.03949)</f>
        <v>0.03949</v>
      </c>
      <c r="L7" s="19">
        <f>IFERROR(__xludf.DUMMYFUNCTION("""COMPUTED_VALUE"""),0.03977)</f>
        <v>0.03977</v>
      </c>
      <c r="M7" s="19">
        <f>IFERROR(__xludf.DUMMYFUNCTION("""COMPUTED_VALUE"""),0.03979)</f>
        <v>0.03979</v>
      </c>
    </row>
    <row r="8">
      <c r="A8" s="12" t="s">
        <v>7898</v>
      </c>
      <c r="G8" s="19">
        <f>IFERROR(__xludf.DUMMYFUNCTION("SPLIT(A6, "" |"")"),4.0)</f>
        <v>4</v>
      </c>
      <c r="H8" s="19">
        <f>IFERROR(__xludf.DUMMYFUNCTION("""COMPUTED_VALUE"""),0.00206)</f>
        <v>0.00206</v>
      </c>
      <c r="I8" s="19">
        <f>IFERROR(__xludf.DUMMYFUNCTION("""COMPUTED_VALUE"""),0.00189)</f>
        <v>0.00189</v>
      </c>
      <c r="J8" s="19">
        <f>IFERROR(__xludf.DUMMYFUNCTION("""COMPUTED_VALUE"""),0.00183)</f>
        <v>0.00183</v>
      </c>
      <c r="K8" s="19">
        <f>IFERROR(__xludf.DUMMYFUNCTION("""COMPUTED_VALUE"""),0.03886)</f>
        <v>0.03886</v>
      </c>
      <c r="L8" s="19">
        <f>IFERROR(__xludf.DUMMYFUNCTION("""COMPUTED_VALUE"""),0.0398)</f>
        <v>0.0398</v>
      </c>
      <c r="M8" s="19">
        <f>IFERROR(__xludf.DUMMYFUNCTION("""COMPUTED_VALUE"""),0.03732)</f>
        <v>0.03732</v>
      </c>
    </row>
    <row r="9">
      <c r="A9" s="12" t="s">
        <v>7899</v>
      </c>
      <c r="G9" s="19">
        <f>IFERROR(__xludf.DUMMYFUNCTION("SPLIT(A7, "" |"")"),5.0)</f>
        <v>5</v>
      </c>
      <c r="H9" s="19">
        <f>IFERROR(__xludf.DUMMYFUNCTION("""COMPUTED_VALUE"""),0.00201)</f>
        <v>0.00201</v>
      </c>
      <c r="I9" s="19">
        <f>IFERROR(__xludf.DUMMYFUNCTION("""COMPUTED_VALUE"""),0.00186)</f>
        <v>0.00186</v>
      </c>
      <c r="J9" s="19">
        <f>IFERROR(__xludf.DUMMYFUNCTION("""COMPUTED_VALUE"""),0.00181)</f>
        <v>0.00181</v>
      </c>
      <c r="K9" s="19">
        <f>IFERROR(__xludf.DUMMYFUNCTION("""COMPUTED_VALUE"""),0.03951)</f>
        <v>0.03951</v>
      </c>
      <c r="L9" s="19">
        <f>IFERROR(__xludf.DUMMYFUNCTION("""COMPUTED_VALUE"""),0.03967)</f>
        <v>0.03967</v>
      </c>
      <c r="M9" s="19">
        <f>IFERROR(__xludf.DUMMYFUNCTION("""COMPUTED_VALUE"""),0.03969)</f>
        <v>0.03969</v>
      </c>
    </row>
    <row r="10">
      <c r="A10" s="12" t="s">
        <v>7900</v>
      </c>
      <c r="G10" s="19">
        <f>IFERROR(__xludf.DUMMYFUNCTION("SPLIT(A8, "" |"")"),6.0)</f>
        <v>6</v>
      </c>
      <c r="H10" s="19">
        <f>IFERROR(__xludf.DUMMYFUNCTION("""COMPUTED_VALUE"""),0.00201)</f>
        <v>0.00201</v>
      </c>
      <c r="I10" s="19">
        <f>IFERROR(__xludf.DUMMYFUNCTION("""COMPUTED_VALUE"""),0.00179)</f>
        <v>0.00179</v>
      </c>
      <c r="J10" s="19">
        <f>IFERROR(__xludf.DUMMYFUNCTION("""COMPUTED_VALUE"""),0.00181)</f>
        <v>0.00181</v>
      </c>
      <c r="K10" s="19">
        <f>IFERROR(__xludf.DUMMYFUNCTION("""COMPUTED_VALUE"""),0.03952)</f>
        <v>0.03952</v>
      </c>
      <c r="L10" s="19">
        <f>IFERROR(__xludf.DUMMYFUNCTION("""COMPUTED_VALUE"""),0.03928)</f>
        <v>0.03928</v>
      </c>
      <c r="M10" s="19">
        <f>IFERROR(__xludf.DUMMYFUNCTION("""COMPUTED_VALUE"""),0.0397)</f>
        <v>0.0397</v>
      </c>
    </row>
    <row r="11">
      <c r="A11" s="12" t="s">
        <v>7901</v>
      </c>
      <c r="G11" s="19">
        <f>IFERROR(__xludf.DUMMYFUNCTION("SPLIT(A9, "" |"")"),7.0)</f>
        <v>7</v>
      </c>
      <c r="H11" s="19">
        <f>IFERROR(__xludf.DUMMYFUNCTION("""COMPUTED_VALUE"""),0.00199)</f>
        <v>0.00199</v>
      </c>
      <c r="I11" s="19">
        <f>IFERROR(__xludf.DUMMYFUNCTION("""COMPUTED_VALUE"""),0.00181)</f>
        <v>0.00181</v>
      </c>
      <c r="J11" s="19">
        <f>IFERROR(__xludf.DUMMYFUNCTION("""COMPUTED_VALUE"""),0.0018)</f>
        <v>0.0018</v>
      </c>
      <c r="K11" s="19">
        <f>IFERROR(__xludf.DUMMYFUNCTION("""COMPUTED_VALUE"""),0.03951)</f>
        <v>0.03951</v>
      </c>
      <c r="L11" s="19">
        <f>IFERROR(__xludf.DUMMYFUNCTION("""COMPUTED_VALUE"""),0.03868)</f>
        <v>0.03868</v>
      </c>
      <c r="M11" s="19">
        <f>IFERROR(__xludf.DUMMYFUNCTION("""COMPUTED_VALUE"""),0.03914)</f>
        <v>0.03914</v>
      </c>
    </row>
    <row r="12">
      <c r="A12" s="12" t="s">
        <v>7902</v>
      </c>
      <c r="G12" s="19">
        <f>IFERROR(__xludf.DUMMYFUNCTION("SPLIT(A10, "" |"")"),8.0)</f>
        <v>8</v>
      </c>
      <c r="H12" s="19">
        <f>IFERROR(__xludf.DUMMYFUNCTION("""COMPUTED_VALUE"""),0.00203)</f>
        <v>0.00203</v>
      </c>
      <c r="I12" s="19">
        <f>IFERROR(__xludf.DUMMYFUNCTION("""COMPUTED_VALUE"""),0.00181)</f>
        <v>0.00181</v>
      </c>
      <c r="J12" s="19">
        <f>IFERROR(__xludf.DUMMYFUNCTION("""COMPUTED_VALUE"""),0.00181)</f>
        <v>0.00181</v>
      </c>
      <c r="K12" s="19">
        <f>IFERROR(__xludf.DUMMYFUNCTION("""COMPUTED_VALUE"""),0.03949)</f>
        <v>0.03949</v>
      </c>
      <c r="L12" s="19">
        <f>IFERROR(__xludf.DUMMYFUNCTION("""COMPUTED_VALUE"""),0.03966)</f>
        <v>0.03966</v>
      </c>
      <c r="M12" s="19">
        <f>IFERROR(__xludf.DUMMYFUNCTION("""COMPUTED_VALUE"""),0.03725)</f>
        <v>0.03725</v>
      </c>
    </row>
    <row r="13">
      <c r="A13" s="12" t="s">
        <v>7903</v>
      </c>
      <c r="G13" s="19">
        <f>IFERROR(__xludf.DUMMYFUNCTION("SPLIT(A11, "" |"")"),9.0)</f>
        <v>9</v>
      </c>
      <c r="H13" s="19">
        <f>IFERROR(__xludf.DUMMYFUNCTION("""COMPUTED_VALUE"""),0.00208)</f>
        <v>0.00208</v>
      </c>
      <c r="I13" s="19">
        <f>IFERROR(__xludf.DUMMYFUNCTION("""COMPUTED_VALUE"""),0.00186)</f>
        <v>0.00186</v>
      </c>
      <c r="J13" s="19">
        <f>IFERROR(__xludf.DUMMYFUNCTION("""COMPUTED_VALUE"""),0.00182)</f>
        <v>0.00182</v>
      </c>
      <c r="K13" s="19">
        <f>IFERROR(__xludf.DUMMYFUNCTION("""COMPUTED_VALUE"""),0.04004)</f>
        <v>0.04004</v>
      </c>
      <c r="L13" s="19">
        <f>IFERROR(__xludf.DUMMYFUNCTION("""COMPUTED_VALUE"""),0.03972)</f>
        <v>0.03972</v>
      </c>
      <c r="M13" s="19">
        <f>IFERROR(__xludf.DUMMYFUNCTION("""COMPUTED_VALUE"""),0.03982)</f>
        <v>0.03982</v>
      </c>
    </row>
    <row r="14">
      <c r="A14" s="12" t="s">
        <v>7904</v>
      </c>
      <c r="G14" s="19">
        <f>IFERROR(__xludf.DUMMYFUNCTION("SPLIT(A12, "" |"")"),10.0)</f>
        <v>10</v>
      </c>
      <c r="H14" s="19">
        <f>IFERROR(__xludf.DUMMYFUNCTION("""COMPUTED_VALUE"""),0.00208)</f>
        <v>0.00208</v>
      </c>
      <c r="I14" s="19">
        <f>IFERROR(__xludf.DUMMYFUNCTION("""COMPUTED_VALUE"""),0.002)</f>
        <v>0.002</v>
      </c>
      <c r="J14" s="19">
        <f>IFERROR(__xludf.DUMMYFUNCTION("""COMPUTED_VALUE"""),0.00198)</f>
        <v>0.00198</v>
      </c>
      <c r="K14" s="19">
        <f>IFERROR(__xludf.DUMMYFUNCTION("""COMPUTED_VALUE"""),0.03962)</f>
        <v>0.03962</v>
      </c>
      <c r="L14" s="19">
        <f>IFERROR(__xludf.DUMMYFUNCTION("""COMPUTED_VALUE"""),0.03944)</f>
        <v>0.03944</v>
      </c>
      <c r="M14" s="19">
        <f>IFERROR(__xludf.DUMMYFUNCTION("""COMPUTED_VALUE"""),0.03983)</f>
        <v>0.03983</v>
      </c>
    </row>
    <row r="15">
      <c r="A15" s="12" t="s">
        <v>7905</v>
      </c>
      <c r="G15" s="19">
        <f>IFERROR(__xludf.DUMMYFUNCTION("SPLIT(A13, "" |"")"),11.0)</f>
        <v>11</v>
      </c>
      <c r="H15" s="19">
        <f>IFERROR(__xludf.DUMMYFUNCTION("""COMPUTED_VALUE"""),0.00214)</f>
        <v>0.00214</v>
      </c>
      <c r="I15" s="19">
        <f>IFERROR(__xludf.DUMMYFUNCTION("""COMPUTED_VALUE"""),0.00191)</f>
        <v>0.00191</v>
      </c>
      <c r="J15" s="19">
        <f>IFERROR(__xludf.DUMMYFUNCTION("""COMPUTED_VALUE"""),0.00189)</f>
        <v>0.00189</v>
      </c>
      <c r="K15" s="19">
        <f>IFERROR(__xludf.DUMMYFUNCTION("""COMPUTED_VALUE"""),0.03967)</f>
        <v>0.03967</v>
      </c>
      <c r="L15" s="19">
        <f>IFERROR(__xludf.DUMMYFUNCTION("""COMPUTED_VALUE"""),0.03971)</f>
        <v>0.03971</v>
      </c>
      <c r="M15" s="19">
        <f>IFERROR(__xludf.DUMMYFUNCTION("""COMPUTED_VALUE"""),0.03991)</f>
        <v>0.03991</v>
      </c>
    </row>
    <row r="16">
      <c r="A16" s="12" t="s">
        <v>7906</v>
      </c>
      <c r="G16" s="19">
        <f>IFERROR(__xludf.DUMMYFUNCTION("SPLIT(A14, "" |"")"),12.0)</f>
        <v>12</v>
      </c>
      <c r="H16" s="19">
        <f>IFERROR(__xludf.DUMMYFUNCTION("""COMPUTED_VALUE"""),0.00213)</f>
        <v>0.00213</v>
      </c>
      <c r="I16" s="19">
        <f>IFERROR(__xludf.DUMMYFUNCTION("""COMPUTED_VALUE"""),0.00197)</f>
        <v>0.00197</v>
      </c>
      <c r="J16" s="19">
        <f>IFERROR(__xludf.DUMMYFUNCTION("""COMPUTED_VALUE"""),0.00188)</f>
        <v>0.00188</v>
      </c>
      <c r="K16" s="19">
        <f>IFERROR(__xludf.DUMMYFUNCTION("""COMPUTED_VALUE"""),0.03969)</f>
        <v>0.03969</v>
      </c>
      <c r="L16" s="19">
        <f>IFERROR(__xludf.DUMMYFUNCTION("""COMPUTED_VALUE"""),0.03984)</f>
        <v>0.03984</v>
      </c>
      <c r="M16" s="19">
        <f>IFERROR(__xludf.DUMMYFUNCTION("""COMPUTED_VALUE"""),0.03984)</f>
        <v>0.03984</v>
      </c>
    </row>
    <row r="17">
      <c r="A17" s="12" t="s">
        <v>7907</v>
      </c>
      <c r="G17" s="19">
        <f>IFERROR(__xludf.DUMMYFUNCTION("SPLIT(A15, "" |"")"),13.0)</f>
        <v>13</v>
      </c>
      <c r="H17" s="19">
        <f>IFERROR(__xludf.DUMMYFUNCTION("""COMPUTED_VALUE"""),0.00219)</f>
        <v>0.00219</v>
      </c>
      <c r="I17" s="19">
        <f>IFERROR(__xludf.DUMMYFUNCTION("""COMPUTED_VALUE"""),0.00202)</f>
        <v>0.00202</v>
      </c>
      <c r="J17" s="19">
        <f>IFERROR(__xludf.DUMMYFUNCTION("""COMPUTED_VALUE"""),0.00199)</f>
        <v>0.00199</v>
      </c>
      <c r="K17" s="19">
        <f>IFERROR(__xludf.DUMMYFUNCTION("""COMPUTED_VALUE"""),0.0392)</f>
        <v>0.0392</v>
      </c>
      <c r="L17" s="19">
        <f>IFERROR(__xludf.DUMMYFUNCTION("""COMPUTED_VALUE"""),0.03983)</f>
        <v>0.03983</v>
      </c>
      <c r="M17" s="19">
        <f>IFERROR(__xludf.DUMMYFUNCTION("""COMPUTED_VALUE"""),0.03986)</f>
        <v>0.03986</v>
      </c>
    </row>
    <row r="18">
      <c r="A18" s="12" t="s">
        <v>7908</v>
      </c>
      <c r="G18" s="19">
        <f>IFERROR(__xludf.DUMMYFUNCTION("SPLIT(A16, "" |"")"),14.0)</f>
        <v>14</v>
      </c>
      <c r="H18" s="19">
        <f>IFERROR(__xludf.DUMMYFUNCTION("""COMPUTED_VALUE"""),0.00209)</f>
        <v>0.00209</v>
      </c>
      <c r="I18" s="19">
        <f>IFERROR(__xludf.DUMMYFUNCTION("""COMPUTED_VALUE"""),0.00197)</f>
        <v>0.00197</v>
      </c>
      <c r="J18" s="19">
        <f>IFERROR(__xludf.DUMMYFUNCTION("""COMPUTED_VALUE"""),0.00197)</f>
        <v>0.00197</v>
      </c>
      <c r="K18" s="19">
        <f>IFERROR(__xludf.DUMMYFUNCTION("""COMPUTED_VALUE"""),0.03968)</f>
        <v>0.03968</v>
      </c>
      <c r="L18" s="19">
        <f>IFERROR(__xludf.DUMMYFUNCTION("""COMPUTED_VALUE"""),0.03984)</f>
        <v>0.03984</v>
      </c>
      <c r="M18" s="19">
        <f>IFERROR(__xludf.DUMMYFUNCTION("""COMPUTED_VALUE"""),0.03991)</f>
        <v>0.03991</v>
      </c>
    </row>
    <row r="19">
      <c r="A19" s="12" t="s">
        <v>7909</v>
      </c>
      <c r="G19" s="19">
        <f>IFERROR(__xludf.DUMMYFUNCTION("SPLIT(A17, "" |"")"),15.0)</f>
        <v>15</v>
      </c>
      <c r="H19" s="19">
        <f>IFERROR(__xludf.DUMMYFUNCTION("""COMPUTED_VALUE"""),0.00207)</f>
        <v>0.00207</v>
      </c>
      <c r="I19" s="19">
        <f>IFERROR(__xludf.DUMMYFUNCTION("""COMPUTED_VALUE"""),0.00195)</f>
        <v>0.00195</v>
      </c>
      <c r="J19" s="19">
        <f>IFERROR(__xludf.DUMMYFUNCTION("""COMPUTED_VALUE"""),0.00198)</f>
        <v>0.00198</v>
      </c>
      <c r="K19" s="19">
        <f>IFERROR(__xludf.DUMMYFUNCTION("""COMPUTED_VALUE"""),0.03962)</f>
        <v>0.03962</v>
      </c>
      <c r="L19" s="19">
        <f>IFERROR(__xludf.DUMMYFUNCTION("""COMPUTED_VALUE"""),0.03981)</f>
        <v>0.03981</v>
      </c>
      <c r="M19" s="19">
        <f>IFERROR(__xludf.DUMMYFUNCTION("""COMPUTED_VALUE"""),0.03987)</f>
        <v>0.03987</v>
      </c>
    </row>
    <row r="20">
      <c r="A20" s="12" t="s">
        <v>7910</v>
      </c>
      <c r="G20" s="19">
        <f>IFERROR(__xludf.DUMMYFUNCTION("SPLIT(A18, "" |"")"),16.0)</f>
        <v>16</v>
      </c>
      <c r="H20" s="19">
        <f>IFERROR(__xludf.DUMMYFUNCTION("""COMPUTED_VALUE"""),0.00217)</f>
        <v>0.00217</v>
      </c>
      <c r="I20" s="19">
        <f>IFERROR(__xludf.DUMMYFUNCTION("""COMPUTED_VALUE"""),0.00198)</f>
        <v>0.00198</v>
      </c>
      <c r="J20" s="19">
        <f>IFERROR(__xludf.DUMMYFUNCTION("""COMPUTED_VALUE"""),0.00188)</f>
        <v>0.00188</v>
      </c>
      <c r="K20" s="19">
        <f>IFERROR(__xludf.DUMMYFUNCTION("""COMPUTED_VALUE"""),0.03944)</f>
        <v>0.03944</v>
      </c>
      <c r="L20" s="19">
        <f>IFERROR(__xludf.DUMMYFUNCTION("""COMPUTED_VALUE"""),0.03981)</f>
        <v>0.03981</v>
      </c>
      <c r="M20" s="19">
        <f>IFERROR(__xludf.DUMMYFUNCTION("""COMPUTED_VALUE"""),0.03986)</f>
        <v>0.03986</v>
      </c>
    </row>
    <row r="21">
      <c r="A21" s="12" t="s">
        <v>7911</v>
      </c>
      <c r="G21" s="19">
        <f>IFERROR(__xludf.DUMMYFUNCTION("SPLIT(A19, "" |"")"),17.0)</f>
        <v>17</v>
      </c>
      <c r="H21" s="19">
        <f>IFERROR(__xludf.DUMMYFUNCTION("""COMPUTED_VALUE"""),0.00216)</f>
        <v>0.00216</v>
      </c>
      <c r="I21" s="19">
        <f>IFERROR(__xludf.DUMMYFUNCTION("""COMPUTED_VALUE"""),0.002)</f>
        <v>0.002</v>
      </c>
      <c r="J21" s="19">
        <f>IFERROR(__xludf.DUMMYFUNCTION("""COMPUTED_VALUE"""),0.00192)</f>
        <v>0.00192</v>
      </c>
      <c r="K21" s="19">
        <f>IFERROR(__xludf.DUMMYFUNCTION("""COMPUTED_VALUE"""),0.03813)</f>
        <v>0.03813</v>
      </c>
      <c r="L21" s="19">
        <f>IFERROR(__xludf.DUMMYFUNCTION("""COMPUTED_VALUE"""),0.03984)</f>
        <v>0.03984</v>
      </c>
      <c r="M21" s="19">
        <f>IFERROR(__xludf.DUMMYFUNCTION("""COMPUTED_VALUE"""),0.04011)</f>
        <v>0.04011</v>
      </c>
    </row>
    <row r="22">
      <c r="A22" s="12" t="s">
        <v>7912</v>
      </c>
      <c r="G22" s="19">
        <f>IFERROR(__xludf.DUMMYFUNCTION("SPLIT(A20, "" |"")"),18.0)</f>
        <v>18</v>
      </c>
      <c r="H22" s="19">
        <f>IFERROR(__xludf.DUMMYFUNCTION("""COMPUTED_VALUE"""),0.00221)</f>
        <v>0.00221</v>
      </c>
      <c r="I22" s="19">
        <f>IFERROR(__xludf.DUMMYFUNCTION("""COMPUTED_VALUE"""),0.002)</f>
        <v>0.002</v>
      </c>
      <c r="J22" s="19">
        <f>IFERROR(__xludf.DUMMYFUNCTION("""COMPUTED_VALUE"""),0.00214)</f>
        <v>0.00214</v>
      </c>
      <c r="K22" s="19">
        <f>IFERROR(__xludf.DUMMYFUNCTION("""COMPUTED_VALUE"""),0.03664)</f>
        <v>0.03664</v>
      </c>
      <c r="L22" s="19">
        <f>IFERROR(__xludf.DUMMYFUNCTION("""COMPUTED_VALUE"""),0.04085)</f>
        <v>0.04085</v>
      </c>
      <c r="M22" s="19">
        <f>IFERROR(__xludf.DUMMYFUNCTION("""COMPUTED_VALUE"""),0.03581)</f>
        <v>0.03581</v>
      </c>
    </row>
    <row r="23">
      <c r="A23" s="12" t="s">
        <v>7913</v>
      </c>
      <c r="G23" s="19">
        <f>IFERROR(__xludf.DUMMYFUNCTION("SPLIT(A21, "" |"")"),19.0)</f>
        <v>19</v>
      </c>
      <c r="H23" s="19">
        <f>IFERROR(__xludf.DUMMYFUNCTION("""COMPUTED_VALUE"""),0.00219)</f>
        <v>0.00219</v>
      </c>
      <c r="I23" s="19">
        <f>IFERROR(__xludf.DUMMYFUNCTION("""COMPUTED_VALUE"""),0.00209)</f>
        <v>0.00209</v>
      </c>
      <c r="J23" s="19">
        <f>IFERROR(__xludf.DUMMYFUNCTION("""COMPUTED_VALUE"""),0.00193)</f>
        <v>0.00193</v>
      </c>
      <c r="K23" s="19">
        <f>IFERROR(__xludf.DUMMYFUNCTION("""COMPUTED_VALUE"""),0.03451)</f>
        <v>0.03451</v>
      </c>
      <c r="L23" s="19">
        <f>IFERROR(__xludf.DUMMYFUNCTION("""COMPUTED_VALUE"""),0.03833)</f>
        <v>0.03833</v>
      </c>
      <c r="M23" s="19">
        <f>IFERROR(__xludf.DUMMYFUNCTION("""COMPUTED_VALUE"""),0.04052)</f>
        <v>0.04052</v>
      </c>
    </row>
    <row r="24">
      <c r="A24" s="12" t="s">
        <v>7914</v>
      </c>
      <c r="G24" s="19">
        <f>IFERROR(__xludf.DUMMYFUNCTION("SPLIT(A22, "" |"")"),20.0)</f>
        <v>20</v>
      </c>
      <c r="H24" s="19">
        <f>IFERROR(__xludf.DUMMYFUNCTION("""COMPUTED_VALUE"""),0.00211)</f>
        <v>0.00211</v>
      </c>
      <c r="I24" s="19">
        <f>IFERROR(__xludf.DUMMYFUNCTION("""COMPUTED_VALUE"""),0.00199)</f>
        <v>0.00199</v>
      </c>
      <c r="J24" s="19">
        <f>IFERROR(__xludf.DUMMYFUNCTION("""COMPUTED_VALUE"""),0.00196)</f>
        <v>0.00196</v>
      </c>
      <c r="K24" s="19">
        <f>IFERROR(__xludf.DUMMYFUNCTION("""COMPUTED_VALUE"""),0.03965)</f>
        <v>0.03965</v>
      </c>
      <c r="L24" s="19">
        <f>IFERROR(__xludf.DUMMYFUNCTION("""COMPUTED_VALUE"""),0.03857)</f>
        <v>0.03857</v>
      </c>
      <c r="M24" s="19">
        <f>IFERROR(__xludf.DUMMYFUNCTION("""COMPUTED_VALUE"""),0.03983)</f>
        <v>0.03983</v>
      </c>
    </row>
    <row r="25">
      <c r="A25" s="12" t="s">
        <v>7915</v>
      </c>
      <c r="G25" s="19">
        <f>IFERROR(__xludf.DUMMYFUNCTION("SPLIT(A23, "" |"")"),21.0)</f>
        <v>21</v>
      </c>
      <c r="H25" s="19">
        <f>IFERROR(__xludf.DUMMYFUNCTION("""COMPUTED_VALUE"""),0.00207)</f>
        <v>0.00207</v>
      </c>
      <c r="I25" s="19">
        <f>IFERROR(__xludf.DUMMYFUNCTION("""COMPUTED_VALUE"""),0.00192)</f>
        <v>0.00192</v>
      </c>
      <c r="J25" s="19">
        <f>IFERROR(__xludf.DUMMYFUNCTION("""COMPUTED_VALUE"""),0.00187)</f>
        <v>0.00187</v>
      </c>
      <c r="K25" s="19">
        <f>IFERROR(__xludf.DUMMYFUNCTION("""COMPUTED_VALUE"""),0.03966)</f>
        <v>0.03966</v>
      </c>
      <c r="L25" s="19">
        <f>IFERROR(__xludf.DUMMYFUNCTION("""COMPUTED_VALUE"""),0.04014)</f>
        <v>0.04014</v>
      </c>
      <c r="M25" s="19">
        <f>IFERROR(__xludf.DUMMYFUNCTION("""COMPUTED_VALUE"""),0.0368)</f>
        <v>0.0368</v>
      </c>
    </row>
    <row r="26">
      <c r="A26" s="12" t="s">
        <v>7916</v>
      </c>
      <c r="G26" s="19">
        <f>IFERROR(__xludf.DUMMYFUNCTION("SPLIT(A24, "" |"")"),22.0)</f>
        <v>22</v>
      </c>
      <c r="H26" s="19">
        <f>IFERROR(__xludf.DUMMYFUNCTION("""COMPUTED_VALUE"""),0.0022)</f>
        <v>0.0022</v>
      </c>
      <c r="I26" s="19">
        <f>IFERROR(__xludf.DUMMYFUNCTION("""COMPUTED_VALUE"""),0.00202)</f>
        <v>0.00202</v>
      </c>
      <c r="J26" s="19">
        <f>IFERROR(__xludf.DUMMYFUNCTION("""COMPUTED_VALUE"""),0.00205)</f>
        <v>0.00205</v>
      </c>
      <c r="K26" s="19">
        <f>IFERROR(__xludf.DUMMYFUNCTION("""COMPUTED_VALUE"""),0.03523)</f>
        <v>0.03523</v>
      </c>
      <c r="L26" s="19">
        <f>IFERROR(__xludf.DUMMYFUNCTION("""COMPUTED_VALUE"""),0.03988)</f>
        <v>0.03988</v>
      </c>
      <c r="M26" s="19">
        <f>IFERROR(__xludf.DUMMYFUNCTION("""COMPUTED_VALUE"""),0.04048)</f>
        <v>0.04048</v>
      </c>
    </row>
    <row r="27">
      <c r="A27" s="12" t="s">
        <v>7917</v>
      </c>
      <c r="G27" s="19">
        <f>IFERROR(__xludf.DUMMYFUNCTION("SPLIT(A25, "" |"")"),23.0)</f>
        <v>23</v>
      </c>
      <c r="H27" s="19">
        <f>IFERROR(__xludf.DUMMYFUNCTION("""COMPUTED_VALUE"""),0.00215)</f>
        <v>0.00215</v>
      </c>
      <c r="I27" s="19">
        <f>IFERROR(__xludf.DUMMYFUNCTION("""COMPUTED_VALUE"""),0.00197)</f>
        <v>0.00197</v>
      </c>
      <c r="J27" s="19">
        <f>IFERROR(__xludf.DUMMYFUNCTION("""COMPUTED_VALUE"""),0.00198)</f>
        <v>0.00198</v>
      </c>
      <c r="K27" s="19">
        <f>IFERROR(__xludf.DUMMYFUNCTION("""COMPUTED_VALUE"""),0.03966)</f>
        <v>0.03966</v>
      </c>
      <c r="L27" s="19">
        <f>IFERROR(__xludf.DUMMYFUNCTION("""COMPUTED_VALUE"""),0.03979)</f>
        <v>0.03979</v>
      </c>
      <c r="M27" s="19">
        <f>IFERROR(__xludf.DUMMYFUNCTION("""COMPUTED_VALUE"""),0.04002)</f>
        <v>0.04002</v>
      </c>
    </row>
    <row r="28">
      <c r="A28" s="12" t="s">
        <v>7918</v>
      </c>
      <c r="G28" s="19">
        <f>IFERROR(__xludf.DUMMYFUNCTION("SPLIT(A26, "" |"")"),24.0)</f>
        <v>24</v>
      </c>
      <c r="H28" s="19">
        <f>IFERROR(__xludf.DUMMYFUNCTION("""COMPUTED_VALUE"""),0.0023)</f>
        <v>0.0023</v>
      </c>
      <c r="I28" s="19">
        <f>IFERROR(__xludf.DUMMYFUNCTION("""COMPUTED_VALUE"""),0.00195)</f>
        <v>0.00195</v>
      </c>
      <c r="J28" s="19">
        <f>IFERROR(__xludf.DUMMYFUNCTION("""COMPUTED_VALUE"""),0.00197)</f>
        <v>0.00197</v>
      </c>
      <c r="K28" s="19">
        <f>IFERROR(__xludf.DUMMYFUNCTION("""COMPUTED_VALUE"""),0.03978)</f>
        <v>0.03978</v>
      </c>
      <c r="L28" s="19">
        <f>IFERROR(__xludf.DUMMYFUNCTION("""COMPUTED_VALUE"""),0.07702)</f>
        <v>0.07702</v>
      </c>
      <c r="M28" s="19">
        <f>IFERROR(__xludf.DUMMYFUNCTION("""COMPUTED_VALUE"""),0.03986)</f>
        <v>0.03986</v>
      </c>
    </row>
    <row r="29">
      <c r="A29" s="12" t="s">
        <v>7919</v>
      </c>
      <c r="G29" s="19">
        <f>IFERROR(__xludf.DUMMYFUNCTION("SPLIT(A27, "" |"")"),25.0)</f>
        <v>25</v>
      </c>
      <c r="H29" s="19">
        <f>IFERROR(__xludf.DUMMYFUNCTION("""COMPUTED_VALUE"""),0.00197)</f>
        <v>0.00197</v>
      </c>
      <c r="I29" s="19">
        <f>IFERROR(__xludf.DUMMYFUNCTION("""COMPUTED_VALUE"""),0.00183)</f>
        <v>0.00183</v>
      </c>
      <c r="J29" s="19">
        <f>IFERROR(__xludf.DUMMYFUNCTION("""COMPUTED_VALUE"""),0.00209)</f>
        <v>0.00209</v>
      </c>
      <c r="K29" s="19">
        <f>IFERROR(__xludf.DUMMYFUNCTION("""COMPUTED_VALUE"""),0.03977)</f>
        <v>0.03977</v>
      </c>
      <c r="L29" s="19">
        <f>IFERROR(__xludf.DUMMYFUNCTION("""COMPUTED_VALUE"""),0.0769)</f>
        <v>0.0769</v>
      </c>
      <c r="M29" s="19">
        <f>IFERROR(__xludf.DUMMYFUNCTION("""COMPUTED_VALUE"""),0.03984)</f>
        <v>0.03984</v>
      </c>
    </row>
    <row r="30">
      <c r="A30" s="12" t="s">
        <v>7920</v>
      </c>
      <c r="G30" s="19">
        <f>IFERROR(__xludf.DUMMYFUNCTION("SPLIT(A28, "" |"")"),26.0)</f>
        <v>26</v>
      </c>
      <c r="H30" s="19">
        <f>IFERROR(__xludf.DUMMYFUNCTION("""COMPUTED_VALUE"""),0.00215)</f>
        <v>0.00215</v>
      </c>
      <c r="I30" s="19">
        <f>IFERROR(__xludf.DUMMYFUNCTION("""COMPUTED_VALUE"""),0.00451)</f>
        <v>0.00451</v>
      </c>
      <c r="J30" s="19">
        <f>IFERROR(__xludf.DUMMYFUNCTION("""COMPUTED_VALUE"""),0.00197)</f>
        <v>0.00197</v>
      </c>
      <c r="K30" s="19">
        <f>IFERROR(__xludf.DUMMYFUNCTION("""COMPUTED_VALUE"""),0.03961)</f>
        <v>0.03961</v>
      </c>
      <c r="L30" s="19">
        <f>IFERROR(__xludf.DUMMYFUNCTION("""COMPUTED_VALUE"""),0.07688)</f>
        <v>0.07688</v>
      </c>
      <c r="M30" s="19">
        <f>IFERROR(__xludf.DUMMYFUNCTION("""COMPUTED_VALUE"""),0.03989)</f>
        <v>0.03989</v>
      </c>
    </row>
    <row r="31">
      <c r="A31" s="12" t="s">
        <v>7921</v>
      </c>
      <c r="G31" s="19">
        <f>IFERROR(__xludf.DUMMYFUNCTION("SPLIT(A29, "" |"")"),27.0)</f>
        <v>27</v>
      </c>
      <c r="H31" s="19">
        <f>IFERROR(__xludf.DUMMYFUNCTION("""COMPUTED_VALUE"""),0.00212)</f>
        <v>0.00212</v>
      </c>
      <c r="I31" s="19">
        <f>IFERROR(__xludf.DUMMYFUNCTION("""COMPUTED_VALUE"""),0.00454)</f>
        <v>0.00454</v>
      </c>
      <c r="J31" s="19">
        <f>IFERROR(__xludf.DUMMYFUNCTION("""COMPUTED_VALUE"""),0.002)</f>
        <v>0.002</v>
      </c>
      <c r="K31" s="19">
        <f>IFERROR(__xludf.DUMMYFUNCTION("""COMPUTED_VALUE"""),0.03975)</f>
        <v>0.03975</v>
      </c>
      <c r="L31" s="19">
        <f>IFERROR(__xludf.DUMMYFUNCTION("""COMPUTED_VALUE"""),0.13189)</f>
        <v>0.13189</v>
      </c>
      <c r="M31" s="19">
        <f>IFERROR(__xludf.DUMMYFUNCTION("""COMPUTED_VALUE"""),0.04)</f>
        <v>0.04</v>
      </c>
    </row>
    <row r="32">
      <c r="A32" s="12" t="s">
        <v>7922</v>
      </c>
      <c r="G32" s="19">
        <f>IFERROR(__xludf.DUMMYFUNCTION("SPLIT(A30, "" |"")"),28.0)</f>
        <v>28</v>
      </c>
      <c r="H32" s="19">
        <f>IFERROR(__xludf.DUMMYFUNCTION("""COMPUTED_VALUE"""),0.00214)</f>
        <v>0.00214</v>
      </c>
      <c r="I32" s="19">
        <f>IFERROR(__xludf.DUMMYFUNCTION("""COMPUTED_VALUE"""),0.00451)</f>
        <v>0.00451</v>
      </c>
      <c r="J32" s="19">
        <f>IFERROR(__xludf.DUMMYFUNCTION("""COMPUTED_VALUE"""),0.00188)</f>
        <v>0.00188</v>
      </c>
      <c r="K32" s="19">
        <f>IFERROR(__xludf.DUMMYFUNCTION("""COMPUTED_VALUE"""),0.03963)</f>
        <v>0.03963</v>
      </c>
      <c r="L32" s="19">
        <f>IFERROR(__xludf.DUMMYFUNCTION("""COMPUTED_VALUE"""),0.12959)</f>
        <v>0.12959</v>
      </c>
      <c r="M32" s="19">
        <f>IFERROR(__xludf.DUMMYFUNCTION("""COMPUTED_VALUE"""),0.03981)</f>
        <v>0.03981</v>
      </c>
    </row>
    <row r="33">
      <c r="A33" s="12" t="s">
        <v>7923</v>
      </c>
      <c r="G33" s="19">
        <f>IFERROR(__xludf.DUMMYFUNCTION("SPLIT(A31, "" |"")"),29.0)</f>
        <v>29</v>
      </c>
      <c r="H33" s="19">
        <f>IFERROR(__xludf.DUMMYFUNCTION("""COMPUTED_VALUE"""),0.00214)</f>
        <v>0.00214</v>
      </c>
      <c r="I33" s="19">
        <f>IFERROR(__xludf.DUMMYFUNCTION("""COMPUTED_VALUE"""),0.00955)</f>
        <v>0.00955</v>
      </c>
      <c r="J33" s="19">
        <f>IFERROR(__xludf.DUMMYFUNCTION("""COMPUTED_VALUE"""),0.00202)</f>
        <v>0.00202</v>
      </c>
      <c r="K33" s="19">
        <f>IFERROR(__xludf.DUMMYFUNCTION("""COMPUTED_VALUE"""),0.03975)</f>
        <v>0.03975</v>
      </c>
      <c r="L33" s="19">
        <f>IFERROR(__xludf.DUMMYFUNCTION("""COMPUTED_VALUE"""),0.23528)</f>
        <v>0.23528</v>
      </c>
      <c r="M33" s="19">
        <f>IFERROR(__xludf.DUMMYFUNCTION("""COMPUTED_VALUE"""),0.04011)</f>
        <v>0.04011</v>
      </c>
    </row>
    <row r="34">
      <c r="A34" s="12" t="s">
        <v>7924</v>
      </c>
      <c r="G34" s="19">
        <f>IFERROR(__xludf.DUMMYFUNCTION("SPLIT(A32, "" |"")"),30.0)</f>
        <v>30</v>
      </c>
      <c r="H34" s="19">
        <f>IFERROR(__xludf.DUMMYFUNCTION("""COMPUTED_VALUE"""),0.00201)</f>
        <v>0.00201</v>
      </c>
      <c r="I34" s="19">
        <f>IFERROR(__xludf.DUMMYFUNCTION("""COMPUTED_VALUE"""),0.00954)</f>
        <v>0.00954</v>
      </c>
      <c r="J34" s="19">
        <f>IFERROR(__xludf.DUMMYFUNCTION("""COMPUTED_VALUE"""),0.00198)</f>
        <v>0.00198</v>
      </c>
      <c r="K34" s="19">
        <f>IFERROR(__xludf.DUMMYFUNCTION("""COMPUTED_VALUE"""),0.03944)</f>
        <v>0.03944</v>
      </c>
      <c r="L34" s="19">
        <f>IFERROR(__xludf.DUMMYFUNCTION("""COMPUTED_VALUE"""),0.29603)</f>
        <v>0.29603</v>
      </c>
      <c r="M34" s="19">
        <f>IFERROR(__xludf.DUMMYFUNCTION("""COMPUTED_VALUE"""),0.04005)</f>
        <v>0.04005</v>
      </c>
    </row>
    <row r="35">
      <c r="A35" s="12" t="s">
        <v>7925</v>
      </c>
      <c r="G35" s="19">
        <f>IFERROR(__xludf.DUMMYFUNCTION("SPLIT(A33, "" |"")"),31.0)</f>
        <v>31</v>
      </c>
      <c r="H35" s="19">
        <f>IFERROR(__xludf.DUMMYFUNCTION("""COMPUTED_VALUE"""),0.00209)</f>
        <v>0.00209</v>
      </c>
      <c r="I35" s="19">
        <f>IFERROR(__xludf.DUMMYFUNCTION("""COMPUTED_VALUE"""),0.01957)</f>
        <v>0.01957</v>
      </c>
      <c r="J35" s="19">
        <f>IFERROR(__xludf.DUMMYFUNCTION("""COMPUTED_VALUE"""),0.00195)</f>
        <v>0.00195</v>
      </c>
      <c r="K35" s="19">
        <f>IFERROR(__xludf.DUMMYFUNCTION("""COMPUTED_VALUE"""),0.03941)</f>
        <v>0.03941</v>
      </c>
      <c r="L35" s="19">
        <f>IFERROR(__xludf.DUMMYFUNCTION("""COMPUTED_VALUE"""),0.46201)</f>
        <v>0.46201</v>
      </c>
      <c r="M35" s="19">
        <f>IFERROR(__xludf.DUMMYFUNCTION("""COMPUTED_VALUE"""),0.03997)</f>
        <v>0.03997</v>
      </c>
    </row>
    <row r="36">
      <c r="A36" s="12" t="s">
        <v>7926</v>
      </c>
      <c r="G36" s="19">
        <f>IFERROR(__xludf.DUMMYFUNCTION("SPLIT(A34, "" |"")"),32.0)</f>
        <v>32</v>
      </c>
      <c r="H36" s="19">
        <f>IFERROR(__xludf.DUMMYFUNCTION("""COMPUTED_VALUE"""),0.00199)</f>
        <v>0.00199</v>
      </c>
      <c r="I36" s="19">
        <f>IFERROR(__xludf.DUMMYFUNCTION("""COMPUTED_VALUE"""),0.03945)</f>
        <v>0.03945</v>
      </c>
      <c r="J36" s="19">
        <f>IFERROR(__xludf.DUMMYFUNCTION("""COMPUTED_VALUE"""),0.00207)</f>
        <v>0.00207</v>
      </c>
      <c r="K36" s="19">
        <f>IFERROR(__xludf.DUMMYFUNCTION("""COMPUTED_VALUE"""),0.03979)</f>
        <v>0.03979</v>
      </c>
      <c r="L36" s="19">
        <f>IFERROR(__xludf.DUMMYFUNCTION("""COMPUTED_VALUE"""),0.68195)</f>
        <v>0.68195</v>
      </c>
      <c r="M36" s="19">
        <f>IFERROR(__xludf.DUMMYFUNCTION("""COMPUTED_VALUE"""),0.04002)</f>
        <v>0.04002</v>
      </c>
    </row>
    <row r="37">
      <c r="A37" s="12" t="s">
        <v>7927</v>
      </c>
      <c r="G37" s="19">
        <f>IFERROR(__xludf.DUMMYFUNCTION("SPLIT(A35, "" |"")"),33.0)</f>
        <v>33</v>
      </c>
      <c r="H37" s="19">
        <f>IFERROR(__xludf.DUMMYFUNCTION("""COMPUTED_VALUE"""),0.00211)</f>
        <v>0.00211</v>
      </c>
      <c r="I37" s="19">
        <f>IFERROR(__xludf.DUMMYFUNCTION("""COMPUTED_VALUE"""),0.03947)</f>
        <v>0.03947</v>
      </c>
      <c r="J37" s="19">
        <f>IFERROR(__xludf.DUMMYFUNCTION("""COMPUTED_VALUE"""),0.00193)</f>
        <v>0.00193</v>
      </c>
      <c r="K37" s="19">
        <f>IFERROR(__xludf.DUMMYFUNCTION("""COMPUTED_VALUE"""),0.0396)</f>
        <v>0.0396</v>
      </c>
      <c r="L37" s="19">
        <f>IFERROR(__xludf.DUMMYFUNCTION("""COMPUTED_VALUE"""),1.12088)</f>
        <v>1.12088</v>
      </c>
      <c r="M37" s="19">
        <f>IFERROR(__xludf.DUMMYFUNCTION("""COMPUTED_VALUE"""),0.03989)</f>
        <v>0.03989</v>
      </c>
    </row>
    <row r="38">
      <c r="A38" s="12" t="s">
        <v>7928</v>
      </c>
      <c r="G38" s="19">
        <f>IFERROR(__xludf.DUMMYFUNCTION("SPLIT(A36, "" |"")"),34.0)</f>
        <v>34</v>
      </c>
      <c r="H38" s="19">
        <f>IFERROR(__xludf.DUMMYFUNCTION("""COMPUTED_VALUE"""),0.00228)</f>
        <v>0.00228</v>
      </c>
      <c r="I38" s="19">
        <f>IFERROR(__xludf.DUMMYFUNCTION("""COMPUTED_VALUE"""),0.07654)</f>
        <v>0.07654</v>
      </c>
      <c r="J38" s="19">
        <f>IFERROR(__xludf.DUMMYFUNCTION("""COMPUTED_VALUE"""),0.002)</f>
        <v>0.002</v>
      </c>
      <c r="K38" s="19">
        <f>IFERROR(__xludf.DUMMYFUNCTION("""COMPUTED_VALUE"""),0.03978)</f>
        <v>0.03978</v>
      </c>
      <c r="L38" s="19">
        <f>IFERROR(__xludf.DUMMYFUNCTION("""COMPUTED_VALUE"""),1.77436)</f>
        <v>1.77436</v>
      </c>
      <c r="M38" s="19">
        <f>IFERROR(__xludf.DUMMYFUNCTION("""COMPUTED_VALUE"""),0.03794)</f>
        <v>0.03794</v>
      </c>
    </row>
    <row r="39">
      <c r="A39" s="12" t="s">
        <v>7929</v>
      </c>
      <c r="G39" s="19">
        <f>IFERROR(__xludf.DUMMYFUNCTION("SPLIT(A37, "" |"")"),35.0)</f>
        <v>35</v>
      </c>
      <c r="H39" s="19">
        <f>IFERROR(__xludf.DUMMYFUNCTION("""COMPUTED_VALUE"""),0.00214)</f>
        <v>0.00214</v>
      </c>
      <c r="I39" s="19">
        <f>IFERROR(__xludf.DUMMYFUNCTION("""COMPUTED_VALUE"""),0.12974)</f>
        <v>0.12974</v>
      </c>
      <c r="J39" s="19">
        <f>IFERROR(__xludf.DUMMYFUNCTION("""COMPUTED_VALUE"""),0.00219)</f>
        <v>0.00219</v>
      </c>
      <c r="K39" s="19">
        <f>IFERROR(__xludf.DUMMYFUNCTION("""COMPUTED_VALUE"""),0.0399)</f>
        <v>0.0399</v>
      </c>
      <c r="L39" s="19">
        <f>IFERROR(__xludf.DUMMYFUNCTION("""COMPUTED_VALUE"""),2.80348)</f>
        <v>2.80348</v>
      </c>
      <c r="M39" s="19">
        <f>IFERROR(__xludf.DUMMYFUNCTION("""COMPUTED_VALUE"""),0.03994)</f>
        <v>0.03994</v>
      </c>
    </row>
    <row r="40">
      <c r="A40" s="12" t="s">
        <v>7930</v>
      </c>
      <c r="G40" s="19">
        <f>IFERROR(__xludf.DUMMYFUNCTION("SPLIT(A38, "" |"")"),36.0)</f>
        <v>36</v>
      </c>
      <c r="H40" s="19">
        <f>IFERROR(__xludf.DUMMYFUNCTION("""COMPUTED_VALUE"""),0.00213)</f>
        <v>0.00213</v>
      </c>
      <c r="I40" s="19">
        <f>IFERROR(__xludf.DUMMYFUNCTION("""COMPUTED_VALUE"""),0.18335)</f>
        <v>0.18335</v>
      </c>
      <c r="J40" s="19">
        <f>IFERROR(__xludf.DUMMYFUNCTION("""COMPUTED_VALUE"""),0.00223)</f>
        <v>0.00223</v>
      </c>
      <c r="K40" s="19">
        <f>IFERROR(__xludf.DUMMYFUNCTION("""COMPUTED_VALUE"""),0.03844)</f>
        <v>0.03844</v>
      </c>
      <c r="L40" s="19">
        <f>IFERROR(__xludf.DUMMYFUNCTION("""COMPUTED_VALUE"""),4.51063)</f>
        <v>4.51063</v>
      </c>
      <c r="M40" s="19">
        <f>IFERROR(__xludf.DUMMYFUNCTION("""COMPUTED_VALUE"""),0.03992)</f>
        <v>0.03992</v>
      </c>
    </row>
    <row r="41">
      <c r="A41" s="12" t="s">
        <v>7931</v>
      </c>
      <c r="G41" s="19">
        <f>IFERROR(__xludf.DUMMYFUNCTION("SPLIT(A39, "" |"")"),37.0)</f>
        <v>37</v>
      </c>
      <c r="H41" s="19">
        <f>IFERROR(__xludf.DUMMYFUNCTION("""COMPUTED_VALUE"""),0.00226)</f>
        <v>0.00226</v>
      </c>
      <c r="I41" s="19">
        <f>IFERROR(__xludf.DUMMYFUNCTION("""COMPUTED_VALUE"""),0.23959)</f>
        <v>0.23959</v>
      </c>
      <c r="J41" s="19">
        <f>IFERROR(__xludf.DUMMYFUNCTION("""COMPUTED_VALUE"""),0.00246)</f>
        <v>0.00246</v>
      </c>
      <c r="K41" s="19">
        <f>IFERROR(__xludf.DUMMYFUNCTION("""COMPUTED_VALUE"""),0.04001)</f>
        <v>0.04001</v>
      </c>
      <c r="L41" s="19">
        <f>IFERROR(__xludf.DUMMYFUNCTION("""COMPUTED_VALUE"""),7.27336)</f>
        <v>7.27336</v>
      </c>
      <c r="M41" s="19">
        <f>IFERROR(__xludf.DUMMYFUNCTION("""COMPUTED_VALUE"""),0.04035)</f>
        <v>0.04035</v>
      </c>
    </row>
    <row r="42">
      <c r="A42" s="12" t="s">
        <v>7932</v>
      </c>
      <c r="G42" s="19">
        <f>IFERROR(__xludf.DUMMYFUNCTION("SPLIT(A40, "" |"")"),38.0)</f>
        <v>38</v>
      </c>
      <c r="H42" s="19">
        <f>IFERROR(__xludf.DUMMYFUNCTION("""COMPUTED_VALUE"""),0.00202)</f>
        <v>0.00202</v>
      </c>
      <c r="I42" s="19">
        <f>IFERROR(__xludf.DUMMYFUNCTION("""COMPUTED_VALUE"""),0.35153)</f>
        <v>0.35153</v>
      </c>
      <c r="J42" s="19">
        <f>IFERROR(__xludf.DUMMYFUNCTION("""COMPUTED_VALUE"""),0.00229)</f>
        <v>0.00229</v>
      </c>
      <c r="K42" s="19">
        <f>IFERROR(__xludf.DUMMYFUNCTION("""COMPUTED_VALUE"""),0.04006)</f>
        <v>0.04006</v>
      </c>
      <c r="L42" s="19">
        <f>IFERROR(__xludf.DUMMYFUNCTION("""COMPUTED_VALUE"""),11.78068)</f>
        <v>11.78068</v>
      </c>
      <c r="M42" s="19">
        <f>IFERROR(__xludf.DUMMYFUNCTION("""COMPUTED_VALUE"""),0.0402)</f>
        <v>0.0402</v>
      </c>
    </row>
    <row r="43">
      <c r="A43" s="12" t="s">
        <v>7933</v>
      </c>
      <c r="G43" s="19">
        <f>IFERROR(__xludf.DUMMYFUNCTION("SPLIT(A41, "" |"")"),39.0)</f>
        <v>39</v>
      </c>
      <c r="H43" s="19">
        <f>IFERROR(__xludf.DUMMYFUNCTION("""COMPUTED_VALUE"""),0.0021)</f>
        <v>0.0021</v>
      </c>
      <c r="I43" s="19">
        <f>IFERROR(__xludf.DUMMYFUNCTION("""COMPUTED_VALUE"""),0.56913)</f>
        <v>0.56913</v>
      </c>
      <c r="J43" s="19">
        <f>IFERROR(__xludf.DUMMYFUNCTION("""COMPUTED_VALUE"""),0.00291)</f>
        <v>0.00291</v>
      </c>
      <c r="K43" s="19">
        <f>IFERROR(__xludf.DUMMYFUNCTION("""COMPUTED_VALUE"""),0.04007)</f>
        <v>0.04007</v>
      </c>
      <c r="L43" s="19">
        <f>IFERROR(__xludf.DUMMYFUNCTION("""COMPUTED_VALUE"""),19.31912)</f>
        <v>19.31912</v>
      </c>
      <c r="M43" s="19">
        <f>IFERROR(__xludf.DUMMYFUNCTION("""COMPUTED_VALUE"""),0.03467)</f>
        <v>0.03467</v>
      </c>
    </row>
    <row r="44">
      <c r="A44" s="12" t="s">
        <v>7934</v>
      </c>
      <c r="G44" s="19">
        <f>IFERROR(__xludf.DUMMYFUNCTION("SPLIT(A42, "" |"")"),40.0)</f>
        <v>40</v>
      </c>
      <c r="H44" s="19">
        <f>IFERROR(__xludf.DUMMYFUNCTION("""COMPUTED_VALUE"""),0.00228)</f>
        <v>0.00228</v>
      </c>
      <c r="I44" s="19">
        <f>IFERROR(__xludf.DUMMYFUNCTION("""COMPUTED_VALUE"""),0.93276)</f>
        <v>0.93276</v>
      </c>
      <c r="J44" s="19">
        <f>IFERROR(__xludf.DUMMYFUNCTION("""COMPUTED_VALUE"""),0.00277)</f>
        <v>0.00277</v>
      </c>
      <c r="K44" s="19">
        <f>IFERROR(__xludf.DUMMYFUNCTION("""COMPUTED_VALUE"""),0.0402)</f>
        <v>0.0402</v>
      </c>
      <c r="L44" s="19">
        <f>IFERROR(__xludf.DUMMYFUNCTION("""COMPUTED_VALUE"""),31.24497)</f>
        <v>31.24497</v>
      </c>
      <c r="M44" s="19">
        <f>IFERROR(__xludf.DUMMYFUNCTION("""COMPUTED_VALUE"""),0.04053)</f>
        <v>0.04053</v>
      </c>
    </row>
    <row r="45">
      <c r="A45" s="12" t="s">
        <v>7935</v>
      </c>
      <c r="G45" s="19">
        <f>IFERROR(__xludf.DUMMYFUNCTION("SPLIT(A43, "" |"")"),41.0)</f>
        <v>41</v>
      </c>
      <c r="H45" s="19">
        <f>IFERROR(__xludf.DUMMYFUNCTION("""COMPUTED_VALUE"""),0.00211)</f>
        <v>0.00211</v>
      </c>
      <c r="I45" s="19">
        <f>IFERROR(__xludf.DUMMYFUNCTION("""COMPUTED_VALUE"""),1.48884)</f>
        <v>1.48884</v>
      </c>
      <c r="J45" s="19">
        <f>IFERROR(__xludf.DUMMYFUNCTION("""COMPUTED_VALUE"""),0.00287)</f>
        <v>0.00287</v>
      </c>
      <c r="K45" s="19">
        <f>IFERROR(__xludf.DUMMYFUNCTION("""COMPUTED_VALUE"""),0.04039)</f>
        <v>0.04039</v>
      </c>
      <c r="L45" s="19">
        <f>IFERROR(__xludf.DUMMYFUNCTION("""COMPUTED_VALUE"""),50.07652)</f>
        <v>50.07652</v>
      </c>
      <c r="M45" s="19">
        <f>IFERROR(__xludf.DUMMYFUNCTION("""COMPUTED_VALUE"""),0.03992)</f>
        <v>0.03992</v>
      </c>
    </row>
    <row r="46">
      <c r="A46" s="12" t="s">
        <v>7936</v>
      </c>
      <c r="G46" s="19">
        <f>IFERROR(__xludf.DUMMYFUNCTION("SPLIT(A44, "" |"")"),42.0)</f>
        <v>42</v>
      </c>
      <c r="H46" s="19">
        <f>IFERROR(__xludf.DUMMYFUNCTION("""COMPUTED_VALUE"""),0.00198)</f>
        <v>0.00198</v>
      </c>
      <c r="I46" s="19">
        <f>IFERROR(__xludf.DUMMYFUNCTION("""COMPUTED_VALUE"""),2.32484)</f>
        <v>2.32484</v>
      </c>
      <c r="J46" s="19">
        <f>IFERROR(__xludf.DUMMYFUNCTION("""COMPUTED_VALUE"""),0.00297)</f>
        <v>0.00297</v>
      </c>
      <c r="K46" s="19">
        <f>IFERROR(__xludf.DUMMYFUNCTION("""COMPUTED_VALUE"""),0.04001)</f>
        <v>0.04001</v>
      </c>
      <c r="L46" s="19" t="str">
        <f>IFERROR(__xludf.DUMMYFUNCTION("""COMPUTED_VALUE"""),"-")</f>
        <v>-</v>
      </c>
      <c r="M46" s="19">
        <f>IFERROR(__xludf.DUMMYFUNCTION("""COMPUTED_VALUE"""),0.03932)</f>
        <v>0.03932</v>
      </c>
    </row>
    <row r="47">
      <c r="A47" s="12" t="s">
        <v>7937</v>
      </c>
      <c r="G47" s="19">
        <f>IFERROR(__xludf.DUMMYFUNCTION("SPLIT(A45, "" |"")"),43.0)</f>
        <v>43</v>
      </c>
      <c r="H47" s="19">
        <f>IFERROR(__xludf.DUMMYFUNCTION("""COMPUTED_VALUE"""),0.00223)</f>
        <v>0.00223</v>
      </c>
      <c r="I47" s="19">
        <f>IFERROR(__xludf.DUMMYFUNCTION("""COMPUTED_VALUE"""),3.82179)</f>
        <v>3.82179</v>
      </c>
      <c r="J47" s="19">
        <f>IFERROR(__xludf.DUMMYFUNCTION("""COMPUTED_VALUE"""),0.0025)</f>
        <v>0.0025</v>
      </c>
      <c r="K47" s="19">
        <f>IFERROR(__xludf.DUMMYFUNCTION("""COMPUTED_VALUE"""),0.03829)</f>
        <v>0.03829</v>
      </c>
      <c r="L47" s="19" t="str">
        <f>IFERROR(__xludf.DUMMYFUNCTION("""COMPUTED_VALUE"""),"-")</f>
        <v>-</v>
      </c>
      <c r="M47" s="19">
        <f>IFERROR(__xludf.DUMMYFUNCTION("""COMPUTED_VALUE"""),0.04014)</f>
        <v>0.04014</v>
      </c>
    </row>
    <row r="48">
      <c r="A48" s="12" t="s">
        <v>7938</v>
      </c>
      <c r="G48" s="19">
        <f>IFERROR(__xludf.DUMMYFUNCTION("SPLIT(A46, "" |"")"),44.0)</f>
        <v>44</v>
      </c>
      <c r="H48" s="19">
        <f>IFERROR(__xludf.DUMMYFUNCTION("""COMPUTED_VALUE"""),0.00235)</f>
        <v>0.00235</v>
      </c>
      <c r="I48" s="19">
        <f>IFERROR(__xludf.DUMMYFUNCTION("""COMPUTED_VALUE"""),6.18741)</f>
        <v>6.18741</v>
      </c>
      <c r="J48" s="19">
        <f>IFERROR(__xludf.DUMMYFUNCTION("""COMPUTED_VALUE"""),0.00235)</f>
        <v>0.00235</v>
      </c>
      <c r="K48" s="19">
        <f>IFERROR(__xludf.DUMMYFUNCTION("""COMPUTED_VALUE"""),0.03935)</f>
        <v>0.03935</v>
      </c>
      <c r="L48" s="19" t="str">
        <f>IFERROR(__xludf.DUMMYFUNCTION("""COMPUTED_VALUE"""),"-")</f>
        <v>-</v>
      </c>
      <c r="M48" s="19">
        <f>IFERROR(__xludf.DUMMYFUNCTION("""COMPUTED_VALUE"""),0.04004)</f>
        <v>0.04004</v>
      </c>
    </row>
    <row r="49">
      <c r="A49" s="12" t="s">
        <v>7939</v>
      </c>
      <c r="G49" s="19">
        <f>IFERROR(__xludf.DUMMYFUNCTION("SPLIT(A47, "" |"")"),45.0)</f>
        <v>45</v>
      </c>
      <c r="H49" s="19">
        <f>IFERROR(__xludf.DUMMYFUNCTION("""COMPUTED_VALUE"""),0.00223)</f>
        <v>0.00223</v>
      </c>
      <c r="I49" s="19">
        <f>IFERROR(__xludf.DUMMYFUNCTION("""COMPUTED_VALUE"""),9.89309)</f>
        <v>9.89309</v>
      </c>
      <c r="J49" s="19">
        <f>IFERROR(__xludf.DUMMYFUNCTION("""COMPUTED_VALUE"""),0.00201)</f>
        <v>0.00201</v>
      </c>
      <c r="K49" s="19">
        <f>IFERROR(__xludf.DUMMYFUNCTION("""COMPUTED_VALUE"""),0.03968)</f>
        <v>0.03968</v>
      </c>
      <c r="L49" s="19" t="str">
        <f>IFERROR(__xludf.DUMMYFUNCTION("""COMPUTED_VALUE"""),"-")</f>
        <v>-</v>
      </c>
      <c r="M49" s="19">
        <f>IFERROR(__xludf.DUMMYFUNCTION("""COMPUTED_VALUE"""),0.04019)</f>
        <v>0.04019</v>
      </c>
    </row>
    <row r="50">
      <c r="A50" s="12" t="s">
        <v>7940</v>
      </c>
      <c r="G50" s="19">
        <f>IFERROR(__xludf.DUMMYFUNCTION("SPLIT(A48, "" |"")"),46.0)</f>
        <v>46</v>
      </c>
      <c r="H50" s="19">
        <f>IFERROR(__xludf.DUMMYFUNCTION("""COMPUTED_VALUE"""),0.0023)</f>
        <v>0.0023</v>
      </c>
      <c r="I50" s="19">
        <f>IFERROR(__xludf.DUMMYFUNCTION("""COMPUTED_VALUE"""),15.82282)</f>
        <v>15.82282</v>
      </c>
      <c r="J50" s="19">
        <f>IFERROR(__xludf.DUMMYFUNCTION("""COMPUTED_VALUE"""),0.00315)</f>
        <v>0.00315</v>
      </c>
      <c r="K50" s="19">
        <f>IFERROR(__xludf.DUMMYFUNCTION("""COMPUTED_VALUE"""),0.03935)</f>
        <v>0.03935</v>
      </c>
      <c r="L50" s="19" t="str">
        <f>IFERROR(__xludf.DUMMYFUNCTION("""COMPUTED_VALUE"""),"-")</f>
        <v>-</v>
      </c>
      <c r="M50" s="19">
        <f>IFERROR(__xludf.DUMMYFUNCTION("""COMPUTED_VALUE"""),0.03992)</f>
        <v>0.03992</v>
      </c>
    </row>
    <row r="51">
      <c r="A51" s="12" t="s">
        <v>7941</v>
      </c>
      <c r="G51" s="19">
        <f>IFERROR(__xludf.DUMMYFUNCTION("SPLIT(A49, "" |"")"),47.0)</f>
        <v>47</v>
      </c>
      <c r="H51" s="19">
        <f>IFERROR(__xludf.DUMMYFUNCTION("""COMPUTED_VALUE"""),0.00224)</f>
        <v>0.00224</v>
      </c>
      <c r="I51" s="19">
        <f>IFERROR(__xludf.DUMMYFUNCTION("""COMPUTED_VALUE"""),25.47745)</f>
        <v>25.47745</v>
      </c>
      <c r="J51" s="19">
        <f>IFERROR(__xludf.DUMMYFUNCTION("""COMPUTED_VALUE"""),0.00249)</f>
        <v>0.00249</v>
      </c>
      <c r="K51" s="19">
        <f>IFERROR(__xludf.DUMMYFUNCTION("""COMPUTED_VALUE"""),0.04033)</f>
        <v>0.04033</v>
      </c>
      <c r="L51" s="19" t="str">
        <f>IFERROR(__xludf.DUMMYFUNCTION("""COMPUTED_VALUE"""),"-")</f>
        <v>-</v>
      </c>
      <c r="M51" s="19">
        <f>IFERROR(__xludf.DUMMYFUNCTION("""COMPUTED_VALUE"""),0.0399)</f>
        <v>0.0399</v>
      </c>
    </row>
    <row r="52">
      <c r="A52" s="12" t="s">
        <v>7942</v>
      </c>
      <c r="G52" s="19">
        <f>IFERROR(__xludf.DUMMYFUNCTION("SPLIT(A50, "" |"")"),48.0)</f>
        <v>48</v>
      </c>
      <c r="H52" s="19">
        <f>IFERROR(__xludf.DUMMYFUNCTION("""COMPUTED_VALUE"""),0.00205)</f>
        <v>0.00205</v>
      </c>
      <c r="I52" s="19">
        <f>IFERROR(__xludf.DUMMYFUNCTION("""COMPUTED_VALUE"""),41.58196)</f>
        <v>41.58196</v>
      </c>
      <c r="J52" s="19">
        <f>IFERROR(__xludf.DUMMYFUNCTION("""COMPUTED_VALUE"""),0.00316)</f>
        <v>0.00316</v>
      </c>
      <c r="K52" s="19">
        <f>IFERROR(__xludf.DUMMYFUNCTION("""COMPUTED_VALUE"""),0.03992)</f>
        <v>0.03992</v>
      </c>
      <c r="L52" s="19" t="str">
        <f>IFERROR(__xludf.DUMMYFUNCTION("""COMPUTED_VALUE"""),"-")</f>
        <v>-</v>
      </c>
      <c r="M52" s="19">
        <f>IFERROR(__xludf.DUMMYFUNCTION("""COMPUTED_VALUE"""),0.03976)</f>
        <v>0.03976</v>
      </c>
    </row>
    <row r="53">
      <c r="A53" s="12" t="s">
        <v>7943</v>
      </c>
      <c r="G53" s="19">
        <f>IFERROR(__xludf.DUMMYFUNCTION("SPLIT(A51, "" |"")"),49.0)</f>
        <v>49</v>
      </c>
      <c r="H53" s="19">
        <f>IFERROR(__xludf.DUMMYFUNCTION("""COMPUTED_VALUE"""),0.00208)</f>
        <v>0.00208</v>
      </c>
      <c r="I53" s="19" t="str">
        <f>IFERROR(__xludf.DUMMYFUNCTION("""COMPUTED_VALUE"""),"-")</f>
        <v>-</v>
      </c>
      <c r="J53" s="19">
        <f>IFERROR(__xludf.DUMMYFUNCTION("""COMPUTED_VALUE"""),0.00312)</f>
        <v>0.00312</v>
      </c>
      <c r="K53" s="19">
        <f>IFERROR(__xludf.DUMMYFUNCTION("""COMPUTED_VALUE"""),0.04031)</f>
        <v>0.04031</v>
      </c>
      <c r="L53" s="19" t="str">
        <f>IFERROR(__xludf.DUMMYFUNCTION("""COMPUTED_VALUE"""),"-")</f>
        <v>-</v>
      </c>
      <c r="M53" s="19">
        <f>IFERROR(__xludf.DUMMYFUNCTION("""COMPUTED_VALUE"""),0.03974)</f>
        <v>0.03974</v>
      </c>
    </row>
    <row r="54">
      <c r="A54" s="12" t="s">
        <v>7944</v>
      </c>
      <c r="G54" s="19">
        <f>IFERROR(__xludf.DUMMYFUNCTION("SPLIT(A52, "" |"")"),50.0)</f>
        <v>50</v>
      </c>
      <c r="H54" s="19">
        <f>IFERROR(__xludf.DUMMYFUNCTION("""COMPUTED_VALUE"""),0.00211)</f>
        <v>0.00211</v>
      </c>
      <c r="I54" s="19" t="str">
        <f>IFERROR(__xludf.DUMMYFUNCTION("""COMPUTED_VALUE"""),"-")</f>
        <v>-</v>
      </c>
      <c r="J54" s="19">
        <f>IFERROR(__xludf.DUMMYFUNCTION("""COMPUTED_VALUE"""),0.00196)</f>
        <v>0.00196</v>
      </c>
      <c r="K54" s="19">
        <f>IFERROR(__xludf.DUMMYFUNCTION("""COMPUTED_VALUE"""),0.03958)</f>
        <v>0.03958</v>
      </c>
      <c r="L54" s="19" t="str">
        <f>IFERROR(__xludf.DUMMYFUNCTION("""COMPUTED_VALUE"""),"-")</f>
        <v>-</v>
      </c>
      <c r="M54" s="19">
        <f>IFERROR(__xludf.DUMMYFUNCTION("""COMPUTED_VALUE"""),0.03986)</f>
        <v>0.03986</v>
      </c>
    </row>
    <row r="55">
      <c r="A55" s="12" t="s">
        <v>7945</v>
      </c>
      <c r="G55" s="19">
        <f>IFERROR(__xludf.DUMMYFUNCTION("SPLIT(A53, "" |"")"),51.0)</f>
        <v>51</v>
      </c>
      <c r="H55" s="19">
        <f>IFERROR(__xludf.DUMMYFUNCTION("""COMPUTED_VALUE"""),0.00212)</f>
        <v>0.00212</v>
      </c>
      <c r="I55" s="19" t="str">
        <f>IFERROR(__xludf.DUMMYFUNCTION("""COMPUTED_VALUE"""),"-")</f>
        <v>-</v>
      </c>
      <c r="J55" s="19">
        <f>IFERROR(__xludf.DUMMYFUNCTION("""COMPUTED_VALUE"""),0.00195)</f>
        <v>0.00195</v>
      </c>
      <c r="K55" s="19">
        <f>IFERROR(__xludf.DUMMYFUNCTION("""COMPUTED_VALUE"""),0.03969)</f>
        <v>0.03969</v>
      </c>
      <c r="L55" s="19" t="str">
        <f>IFERROR(__xludf.DUMMYFUNCTION("""COMPUTED_VALUE"""),"-")</f>
        <v>-</v>
      </c>
      <c r="M55" s="19">
        <f>IFERROR(__xludf.DUMMYFUNCTION("""COMPUTED_VALUE"""),0.03977)</f>
        <v>0.03977</v>
      </c>
    </row>
    <row r="56">
      <c r="A56" s="12" t="s">
        <v>7946</v>
      </c>
      <c r="G56" s="19">
        <f>IFERROR(__xludf.DUMMYFUNCTION("SPLIT(A54, "" |"")"),52.0)</f>
        <v>52</v>
      </c>
      <c r="H56" s="19">
        <f>IFERROR(__xludf.DUMMYFUNCTION("""COMPUTED_VALUE"""),0.00206)</f>
        <v>0.00206</v>
      </c>
      <c r="I56" s="19" t="str">
        <f>IFERROR(__xludf.DUMMYFUNCTION("""COMPUTED_VALUE"""),"-")</f>
        <v>-</v>
      </c>
      <c r="J56" s="19">
        <f>IFERROR(__xludf.DUMMYFUNCTION("""COMPUTED_VALUE"""),0.00184)</f>
        <v>0.00184</v>
      </c>
      <c r="K56" s="19">
        <f>IFERROR(__xludf.DUMMYFUNCTION("""COMPUTED_VALUE"""),0.03884)</f>
        <v>0.03884</v>
      </c>
      <c r="L56" s="19" t="str">
        <f>IFERROR(__xludf.DUMMYFUNCTION("""COMPUTED_VALUE"""),"-")</f>
        <v>-</v>
      </c>
      <c r="M56" s="19">
        <f>IFERROR(__xludf.DUMMYFUNCTION("""COMPUTED_VALUE"""),0.0399)</f>
        <v>0.0399</v>
      </c>
    </row>
    <row r="57">
      <c r="A57" s="12" t="s">
        <v>7947</v>
      </c>
      <c r="G57" s="19">
        <f>IFERROR(__xludf.DUMMYFUNCTION("SPLIT(A55, "" |"")"),53.0)</f>
        <v>53</v>
      </c>
      <c r="H57" s="19">
        <f>IFERROR(__xludf.DUMMYFUNCTION("""COMPUTED_VALUE"""),0.00204)</f>
        <v>0.00204</v>
      </c>
      <c r="I57" s="19" t="str">
        <f>IFERROR(__xludf.DUMMYFUNCTION("""COMPUTED_VALUE"""),"-")</f>
        <v>-</v>
      </c>
      <c r="J57" s="19">
        <f>IFERROR(__xludf.DUMMYFUNCTION("""COMPUTED_VALUE"""),0.00184)</f>
        <v>0.00184</v>
      </c>
      <c r="K57" s="19">
        <f>IFERROR(__xludf.DUMMYFUNCTION("""COMPUTED_VALUE"""),0.0396)</f>
        <v>0.0396</v>
      </c>
      <c r="L57" s="19" t="str">
        <f>IFERROR(__xludf.DUMMYFUNCTION("""COMPUTED_VALUE"""),"-")</f>
        <v>-</v>
      </c>
      <c r="M57" s="19">
        <f>IFERROR(__xludf.DUMMYFUNCTION("""COMPUTED_VALUE"""),0.03981)</f>
        <v>0.03981</v>
      </c>
    </row>
    <row r="58">
      <c r="A58" s="12" t="s">
        <v>7948</v>
      </c>
      <c r="G58" s="19">
        <f>IFERROR(__xludf.DUMMYFUNCTION("SPLIT(A56, "" |"")"),54.0)</f>
        <v>54</v>
      </c>
      <c r="H58" s="19">
        <f>IFERROR(__xludf.DUMMYFUNCTION("""COMPUTED_VALUE"""),0.00497)</f>
        <v>0.00497</v>
      </c>
      <c r="I58" s="19" t="str">
        <f>IFERROR(__xludf.DUMMYFUNCTION("""COMPUTED_VALUE"""),"-")</f>
        <v>-</v>
      </c>
      <c r="J58" s="19">
        <f>IFERROR(__xludf.DUMMYFUNCTION("""COMPUTED_VALUE"""),0.00232)</f>
        <v>0.00232</v>
      </c>
      <c r="K58" s="19">
        <f>IFERROR(__xludf.DUMMYFUNCTION("""COMPUTED_VALUE"""),0.04523)</f>
        <v>0.04523</v>
      </c>
      <c r="L58" s="19" t="str">
        <f>IFERROR(__xludf.DUMMYFUNCTION("""COMPUTED_VALUE"""),"-")</f>
        <v>-</v>
      </c>
      <c r="M58" s="19">
        <f>IFERROR(__xludf.DUMMYFUNCTION("""COMPUTED_VALUE"""),0.04486)</f>
        <v>0.04486</v>
      </c>
    </row>
    <row r="59">
      <c r="A59" s="12" t="s">
        <v>7949</v>
      </c>
      <c r="G59" s="19">
        <f>IFERROR(__xludf.DUMMYFUNCTION("SPLIT(A57, "" |"")"),55.0)</f>
        <v>55</v>
      </c>
      <c r="H59" s="19">
        <f>IFERROR(__xludf.DUMMYFUNCTION("""COMPUTED_VALUE"""),0.00222)</f>
        <v>0.00222</v>
      </c>
      <c r="I59" s="19" t="str">
        <f>IFERROR(__xludf.DUMMYFUNCTION("""COMPUTED_VALUE"""),"-")</f>
        <v>-</v>
      </c>
      <c r="J59" s="19">
        <f>IFERROR(__xludf.DUMMYFUNCTION("""COMPUTED_VALUE"""),0.00193)</f>
        <v>0.00193</v>
      </c>
      <c r="K59" s="19">
        <f>IFERROR(__xludf.DUMMYFUNCTION("""COMPUTED_VALUE"""),0.03978)</f>
        <v>0.03978</v>
      </c>
      <c r="L59" s="19" t="str">
        <f>IFERROR(__xludf.DUMMYFUNCTION("""COMPUTED_VALUE"""),"-")</f>
        <v>-</v>
      </c>
      <c r="M59" s="19">
        <f>IFERROR(__xludf.DUMMYFUNCTION("""COMPUTED_VALUE"""),0.03966)</f>
        <v>0.03966</v>
      </c>
    </row>
    <row r="60">
      <c r="A60" s="12" t="s">
        <v>7950</v>
      </c>
      <c r="G60" s="19">
        <f>IFERROR(__xludf.DUMMYFUNCTION("SPLIT(A58, "" |"")"),56.0)</f>
        <v>56</v>
      </c>
      <c r="H60" s="19">
        <f>IFERROR(__xludf.DUMMYFUNCTION("""COMPUTED_VALUE"""),0.00212)</f>
        <v>0.00212</v>
      </c>
      <c r="I60" s="19" t="str">
        <f>IFERROR(__xludf.DUMMYFUNCTION("""COMPUTED_VALUE"""),"-")</f>
        <v>-</v>
      </c>
      <c r="J60" s="19">
        <f>IFERROR(__xludf.DUMMYFUNCTION("""COMPUTED_VALUE"""),0.00197)</f>
        <v>0.00197</v>
      </c>
      <c r="K60" s="19">
        <f>IFERROR(__xludf.DUMMYFUNCTION("""COMPUTED_VALUE"""),0.03963)</f>
        <v>0.03963</v>
      </c>
      <c r="L60" s="19" t="str">
        <f>IFERROR(__xludf.DUMMYFUNCTION("""COMPUTED_VALUE"""),"-")</f>
        <v>-</v>
      </c>
      <c r="M60" s="19">
        <f>IFERROR(__xludf.DUMMYFUNCTION("""COMPUTED_VALUE"""),0.03981)</f>
        <v>0.03981</v>
      </c>
    </row>
    <row r="61">
      <c r="A61" s="12" t="s">
        <v>7951</v>
      </c>
      <c r="G61" s="19">
        <f>IFERROR(__xludf.DUMMYFUNCTION("SPLIT(A59, "" |"")"),57.0)</f>
        <v>57</v>
      </c>
      <c r="H61" s="19">
        <f>IFERROR(__xludf.DUMMYFUNCTION("""COMPUTED_VALUE"""),0.00209)</f>
        <v>0.00209</v>
      </c>
      <c r="I61" s="19" t="str">
        <f>IFERROR(__xludf.DUMMYFUNCTION("""COMPUTED_VALUE"""),"-")</f>
        <v>-</v>
      </c>
      <c r="J61" s="19">
        <f>IFERROR(__xludf.DUMMYFUNCTION("""COMPUTED_VALUE"""),0.00187)</f>
        <v>0.00187</v>
      </c>
      <c r="K61" s="19">
        <f>IFERROR(__xludf.DUMMYFUNCTION("""COMPUTED_VALUE"""),0.03977)</f>
        <v>0.03977</v>
      </c>
      <c r="L61" s="19" t="str">
        <f>IFERROR(__xludf.DUMMYFUNCTION("""COMPUTED_VALUE"""),"-")</f>
        <v>-</v>
      </c>
      <c r="M61" s="19">
        <f>IFERROR(__xludf.DUMMYFUNCTION("""COMPUTED_VALUE"""),0.03982)</f>
        <v>0.03982</v>
      </c>
    </row>
    <row r="62">
      <c r="A62" s="12" t="s">
        <v>7952</v>
      </c>
      <c r="G62" s="19">
        <f>IFERROR(__xludf.DUMMYFUNCTION("SPLIT(A60, "" |"")"),58.0)</f>
        <v>58</v>
      </c>
      <c r="H62" s="19">
        <f>IFERROR(__xludf.DUMMYFUNCTION("""COMPUTED_VALUE"""),0.00203)</f>
        <v>0.00203</v>
      </c>
      <c r="I62" s="19" t="str">
        <f>IFERROR(__xludf.DUMMYFUNCTION("""COMPUTED_VALUE"""),"-")</f>
        <v>-</v>
      </c>
      <c r="J62" s="19">
        <f>IFERROR(__xludf.DUMMYFUNCTION("""COMPUTED_VALUE"""),0.00191)</f>
        <v>0.00191</v>
      </c>
      <c r="K62" s="19">
        <f>IFERROR(__xludf.DUMMYFUNCTION("""COMPUTED_VALUE"""),0.04)</f>
        <v>0.04</v>
      </c>
      <c r="L62" s="19" t="str">
        <f>IFERROR(__xludf.DUMMYFUNCTION("""COMPUTED_VALUE"""),"-")</f>
        <v>-</v>
      </c>
      <c r="M62" s="19">
        <f>IFERROR(__xludf.DUMMYFUNCTION("""COMPUTED_VALUE"""),0.04011)</f>
        <v>0.04011</v>
      </c>
    </row>
    <row r="63">
      <c r="A63" s="12" t="s">
        <v>7953</v>
      </c>
      <c r="G63" s="19">
        <f>IFERROR(__xludf.DUMMYFUNCTION("SPLIT(A61, "" |"")"),59.0)</f>
        <v>59</v>
      </c>
      <c r="H63" s="19">
        <f>IFERROR(__xludf.DUMMYFUNCTION("""COMPUTED_VALUE"""),0.00239)</f>
        <v>0.00239</v>
      </c>
      <c r="I63" s="19" t="str">
        <f>IFERROR(__xludf.DUMMYFUNCTION("""COMPUTED_VALUE"""),"-")</f>
        <v>-</v>
      </c>
      <c r="J63" s="19">
        <f>IFERROR(__xludf.DUMMYFUNCTION("""COMPUTED_VALUE"""),0.00196)</f>
        <v>0.00196</v>
      </c>
      <c r="K63" s="19">
        <f>IFERROR(__xludf.DUMMYFUNCTION("""COMPUTED_VALUE"""),0.03958)</f>
        <v>0.03958</v>
      </c>
      <c r="L63" s="19" t="str">
        <f>IFERROR(__xludf.DUMMYFUNCTION("""COMPUTED_VALUE"""),"-")</f>
        <v>-</v>
      </c>
      <c r="M63" s="19">
        <f>IFERROR(__xludf.DUMMYFUNCTION("""COMPUTED_VALUE"""),0.04033)</f>
        <v>0.04033</v>
      </c>
    </row>
    <row r="64">
      <c r="A64" s="12" t="s">
        <v>7954</v>
      </c>
      <c r="G64" s="19">
        <f>IFERROR(__xludf.DUMMYFUNCTION("SPLIT(A62, "" |"")"),60.0)</f>
        <v>60</v>
      </c>
      <c r="H64" s="19">
        <f>IFERROR(__xludf.DUMMYFUNCTION("""COMPUTED_VALUE"""),0.00198)</f>
        <v>0.00198</v>
      </c>
      <c r="I64" s="19" t="str">
        <f>IFERROR(__xludf.DUMMYFUNCTION("""COMPUTED_VALUE"""),"-")</f>
        <v>-</v>
      </c>
      <c r="J64" s="19">
        <f>IFERROR(__xludf.DUMMYFUNCTION("""COMPUTED_VALUE"""),0.00186)</f>
        <v>0.00186</v>
      </c>
      <c r="K64" s="19">
        <f>IFERROR(__xludf.DUMMYFUNCTION("""COMPUTED_VALUE"""),0.03957)</f>
        <v>0.03957</v>
      </c>
      <c r="L64" s="19" t="str">
        <f>IFERROR(__xludf.DUMMYFUNCTION("""COMPUTED_VALUE"""),"-")</f>
        <v>-</v>
      </c>
      <c r="M64" s="19">
        <f>IFERROR(__xludf.DUMMYFUNCTION("""COMPUTED_VALUE"""),0.03978)</f>
        <v>0.03978</v>
      </c>
    </row>
    <row r="65">
      <c r="A65" s="12" t="s">
        <v>7955</v>
      </c>
      <c r="G65" s="19">
        <f>IFERROR(__xludf.DUMMYFUNCTION("SPLIT(A63, "" |"")"),61.0)</f>
        <v>61</v>
      </c>
      <c r="H65" s="19">
        <f>IFERROR(__xludf.DUMMYFUNCTION("""COMPUTED_VALUE"""),0.00213)</f>
        <v>0.00213</v>
      </c>
      <c r="I65" s="19" t="str">
        <f>IFERROR(__xludf.DUMMYFUNCTION("""COMPUTED_VALUE"""),"-")</f>
        <v>-</v>
      </c>
      <c r="J65" s="19">
        <f>IFERROR(__xludf.DUMMYFUNCTION("""COMPUTED_VALUE"""),0.00194)</f>
        <v>0.00194</v>
      </c>
      <c r="K65" s="19">
        <f>IFERROR(__xludf.DUMMYFUNCTION("""COMPUTED_VALUE"""),0.03964)</f>
        <v>0.03964</v>
      </c>
      <c r="L65" s="19" t="str">
        <f>IFERROR(__xludf.DUMMYFUNCTION("""COMPUTED_VALUE"""),"-")</f>
        <v>-</v>
      </c>
      <c r="M65" s="19">
        <f>IFERROR(__xludf.DUMMYFUNCTION("""COMPUTED_VALUE"""),0.03631)</f>
        <v>0.03631</v>
      </c>
    </row>
    <row r="66">
      <c r="A66" s="12" t="s">
        <v>7956</v>
      </c>
      <c r="G66" s="19">
        <f>IFERROR(__xludf.DUMMYFUNCTION("SPLIT(A64, "" |"")"),62.0)</f>
        <v>62</v>
      </c>
      <c r="H66" s="19">
        <f>IFERROR(__xludf.DUMMYFUNCTION("""COMPUTED_VALUE"""),0.00216)</f>
        <v>0.00216</v>
      </c>
      <c r="I66" s="19" t="str">
        <f>IFERROR(__xludf.DUMMYFUNCTION("""COMPUTED_VALUE"""),"-")</f>
        <v>-</v>
      </c>
      <c r="J66" s="19">
        <f>IFERROR(__xludf.DUMMYFUNCTION("""COMPUTED_VALUE"""),0.00184)</f>
        <v>0.00184</v>
      </c>
      <c r="K66" s="19">
        <f>IFERROR(__xludf.DUMMYFUNCTION("""COMPUTED_VALUE"""),0.03931)</f>
        <v>0.03931</v>
      </c>
      <c r="L66" s="19" t="str">
        <f>IFERROR(__xludf.DUMMYFUNCTION("""COMPUTED_VALUE"""),"-")</f>
        <v>-</v>
      </c>
      <c r="M66" s="19">
        <f>IFERROR(__xludf.DUMMYFUNCTION("""COMPUTED_VALUE"""),0.03976)</f>
        <v>0.03976</v>
      </c>
    </row>
    <row r="67">
      <c r="A67" s="12" t="s">
        <v>7957</v>
      </c>
      <c r="G67" s="19">
        <f>IFERROR(__xludf.DUMMYFUNCTION("SPLIT(A65, "" |"")"),63.0)</f>
        <v>63</v>
      </c>
      <c r="H67" s="19">
        <f>IFERROR(__xludf.DUMMYFUNCTION("""COMPUTED_VALUE"""),0.0021)</f>
        <v>0.0021</v>
      </c>
      <c r="I67" s="19" t="str">
        <f>IFERROR(__xludf.DUMMYFUNCTION("""COMPUTED_VALUE"""),"-")</f>
        <v>-</v>
      </c>
      <c r="J67" s="19">
        <f>IFERROR(__xludf.DUMMYFUNCTION("""COMPUTED_VALUE"""),0.00191)</f>
        <v>0.00191</v>
      </c>
      <c r="K67" s="19">
        <f>IFERROR(__xludf.DUMMYFUNCTION("""COMPUTED_VALUE"""),0.03968)</f>
        <v>0.03968</v>
      </c>
      <c r="L67" s="19" t="str">
        <f>IFERROR(__xludf.DUMMYFUNCTION("""COMPUTED_VALUE"""),"-")</f>
        <v>-</v>
      </c>
      <c r="M67" s="19">
        <f>IFERROR(__xludf.DUMMYFUNCTION("""COMPUTED_VALUE"""),0.03984)</f>
        <v>0.03984</v>
      </c>
    </row>
    <row r="68">
      <c r="A68" s="12" t="s">
        <v>7958</v>
      </c>
      <c r="G68" s="19">
        <f>IFERROR(__xludf.DUMMYFUNCTION("SPLIT(A66, "" |"")"),64.0)</f>
        <v>64</v>
      </c>
      <c r="H68" s="19">
        <f>IFERROR(__xludf.DUMMYFUNCTION("""COMPUTED_VALUE"""),0.00202)</f>
        <v>0.00202</v>
      </c>
      <c r="I68" s="19" t="str">
        <f>IFERROR(__xludf.DUMMYFUNCTION("""COMPUTED_VALUE"""),"-")</f>
        <v>-</v>
      </c>
      <c r="J68" s="19">
        <f>IFERROR(__xludf.DUMMYFUNCTION("""COMPUTED_VALUE"""),0.00192)</f>
        <v>0.00192</v>
      </c>
      <c r="K68" s="19">
        <f>IFERROR(__xludf.DUMMYFUNCTION("""COMPUTED_VALUE"""),0.03745)</f>
        <v>0.03745</v>
      </c>
      <c r="L68" s="19" t="str">
        <f>IFERROR(__xludf.DUMMYFUNCTION("""COMPUTED_VALUE"""),"-")</f>
        <v>-</v>
      </c>
      <c r="M68" s="19">
        <f>IFERROR(__xludf.DUMMYFUNCTION("""COMPUTED_VALUE"""),0.0375)</f>
        <v>0.0375</v>
      </c>
    </row>
    <row r="69">
      <c r="A69" s="12" t="s">
        <v>7959</v>
      </c>
      <c r="G69" s="19">
        <f>IFERROR(__xludf.DUMMYFUNCTION("SPLIT(A67, "" |"")"),65.0)</f>
        <v>65</v>
      </c>
      <c r="H69" s="19">
        <f>IFERROR(__xludf.DUMMYFUNCTION("""COMPUTED_VALUE"""),0.00209)</f>
        <v>0.00209</v>
      </c>
      <c r="I69" s="19" t="str">
        <f>IFERROR(__xludf.DUMMYFUNCTION("""COMPUTED_VALUE"""),"-")</f>
        <v>-</v>
      </c>
      <c r="J69" s="19">
        <f>IFERROR(__xludf.DUMMYFUNCTION("""COMPUTED_VALUE"""),0.00194)</f>
        <v>0.00194</v>
      </c>
      <c r="K69" s="19">
        <f>IFERROR(__xludf.DUMMYFUNCTION("""COMPUTED_VALUE"""),0.03957)</f>
        <v>0.03957</v>
      </c>
      <c r="L69" s="19" t="str">
        <f>IFERROR(__xludf.DUMMYFUNCTION("""COMPUTED_VALUE"""),"-")</f>
        <v>-</v>
      </c>
      <c r="M69" s="19">
        <f>IFERROR(__xludf.DUMMYFUNCTION("""COMPUTED_VALUE"""),0.03542)</f>
        <v>0.03542</v>
      </c>
    </row>
    <row r="70">
      <c r="A70" s="12" t="s">
        <v>7960</v>
      </c>
      <c r="G70" s="19">
        <f>IFERROR(__xludf.DUMMYFUNCTION("SPLIT(A68, "" |"")"),66.0)</f>
        <v>66</v>
      </c>
      <c r="H70" s="19">
        <f>IFERROR(__xludf.DUMMYFUNCTION("""COMPUTED_VALUE"""),0.0021)</f>
        <v>0.0021</v>
      </c>
      <c r="I70" s="19" t="str">
        <f>IFERROR(__xludf.DUMMYFUNCTION("""COMPUTED_VALUE"""),"-")</f>
        <v>-</v>
      </c>
      <c r="J70" s="19">
        <f>IFERROR(__xludf.DUMMYFUNCTION("""COMPUTED_VALUE"""),0.00184)</f>
        <v>0.00184</v>
      </c>
      <c r="K70" s="19">
        <f>IFERROR(__xludf.DUMMYFUNCTION("""COMPUTED_VALUE"""),0.03758)</f>
        <v>0.03758</v>
      </c>
      <c r="L70" s="19" t="str">
        <f>IFERROR(__xludf.DUMMYFUNCTION("""COMPUTED_VALUE"""),"-")</f>
        <v>-</v>
      </c>
      <c r="M70" s="19">
        <f>IFERROR(__xludf.DUMMYFUNCTION("""COMPUTED_VALUE"""),0.03903)</f>
        <v>0.03903</v>
      </c>
    </row>
    <row r="71">
      <c r="A71" s="12" t="s">
        <v>7961</v>
      </c>
      <c r="G71" s="19">
        <f>IFERROR(__xludf.DUMMYFUNCTION("SPLIT(A69, "" |"")"),67.0)</f>
        <v>67</v>
      </c>
      <c r="H71" s="19">
        <f>IFERROR(__xludf.DUMMYFUNCTION("""COMPUTED_VALUE"""),0.00199)</f>
        <v>0.00199</v>
      </c>
      <c r="I71" s="19" t="str">
        <f>IFERROR(__xludf.DUMMYFUNCTION("""COMPUTED_VALUE"""),"-")</f>
        <v>-</v>
      </c>
      <c r="J71" s="19">
        <f>IFERROR(__xludf.DUMMYFUNCTION("""COMPUTED_VALUE"""),0.00196)</f>
        <v>0.00196</v>
      </c>
      <c r="K71" s="19">
        <f>IFERROR(__xludf.DUMMYFUNCTION("""COMPUTED_VALUE"""),0.03609)</f>
        <v>0.03609</v>
      </c>
      <c r="L71" s="19" t="str">
        <f>IFERROR(__xludf.DUMMYFUNCTION("""COMPUTED_VALUE"""),"-")</f>
        <v>-</v>
      </c>
      <c r="M71" s="19">
        <f>IFERROR(__xludf.DUMMYFUNCTION("""COMPUTED_VALUE"""),0.03963)</f>
        <v>0.03963</v>
      </c>
    </row>
    <row r="72">
      <c r="A72" s="12" t="s">
        <v>7962</v>
      </c>
      <c r="G72" s="19">
        <f>IFERROR(__xludf.DUMMYFUNCTION("SPLIT(A70, "" |"")"),68.0)</f>
        <v>68</v>
      </c>
      <c r="H72" s="19">
        <f>IFERROR(__xludf.DUMMYFUNCTION("""COMPUTED_VALUE"""),0.00183)</f>
        <v>0.00183</v>
      </c>
      <c r="I72" s="19" t="str">
        <f>IFERROR(__xludf.DUMMYFUNCTION("""COMPUTED_VALUE"""),"-")</f>
        <v>-</v>
      </c>
      <c r="J72" s="19">
        <f>IFERROR(__xludf.DUMMYFUNCTION("""COMPUTED_VALUE"""),0.00199)</f>
        <v>0.00199</v>
      </c>
      <c r="K72" s="19">
        <f>IFERROR(__xludf.DUMMYFUNCTION("""COMPUTED_VALUE"""),0.0396)</f>
        <v>0.0396</v>
      </c>
      <c r="L72" s="19" t="str">
        <f>IFERROR(__xludf.DUMMYFUNCTION("""COMPUTED_VALUE"""),"-")</f>
        <v>-</v>
      </c>
      <c r="M72" s="19">
        <f>IFERROR(__xludf.DUMMYFUNCTION("""COMPUTED_VALUE"""),0.03905)</f>
        <v>0.03905</v>
      </c>
    </row>
    <row r="73">
      <c r="A73" s="12" t="s">
        <v>7963</v>
      </c>
      <c r="G73" s="19">
        <f>IFERROR(__xludf.DUMMYFUNCTION("SPLIT(A71, "" |"")"),69.0)</f>
        <v>69</v>
      </c>
      <c r="H73" s="19">
        <f>IFERROR(__xludf.DUMMYFUNCTION("""COMPUTED_VALUE"""),0.00217)</f>
        <v>0.00217</v>
      </c>
      <c r="I73" s="19" t="str">
        <f>IFERROR(__xludf.DUMMYFUNCTION("""COMPUTED_VALUE"""),"-")</f>
        <v>-</v>
      </c>
      <c r="J73" s="19">
        <f>IFERROR(__xludf.DUMMYFUNCTION("""COMPUTED_VALUE"""),0.00201)</f>
        <v>0.00201</v>
      </c>
      <c r="K73" s="19">
        <f>IFERROR(__xludf.DUMMYFUNCTION("""COMPUTED_VALUE"""),0.0397)</f>
        <v>0.0397</v>
      </c>
      <c r="L73" s="19" t="str">
        <f>IFERROR(__xludf.DUMMYFUNCTION("""COMPUTED_VALUE"""),"-")</f>
        <v>-</v>
      </c>
      <c r="M73" s="19">
        <f>IFERROR(__xludf.DUMMYFUNCTION("""COMPUTED_VALUE"""),0.0398)</f>
        <v>0.0398</v>
      </c>
    </row>
    <row r="74">
      <c r="A74" s="12" t="s">
        <v>7964</v>
      </c>
      <c r="G74" s="19">
        <f>IFERROR(__xludf.DUMMYFUNCTION("SPLIT(A72, "" |"")"),70.0)</f>
        <v>70</v>
      </c>
      <c r="H74" s="19">
        <f>IFERROR(__xludf.DUMMYFUNCTION("""COMPUTED_VALUE"""),0.00209)</f>
        <v>0.00209</v>
      </c>
      <c r="I74" s="19" t="str">
        <f>IFERROR(__xludf.DUMMYFUNCTION("""COMPUTED_VALUE"""),"-")</f>
        <v>-</v>
      </c>
      <c r="J74" s="19">
        <f>IFERROR(__xludf.DUMMYFUNCTION("""COMPUTED_VALUE"""),0.00198)</f>
        <v>0.00198</v>
      </c>
      <c r="K74" s="19">
        <f>IFERROR(__xludf.DUMMYFUNCTION("""COMPUTED_VALUE"""),0.03965)</f>
        <v>0.03965</v>
      </c>
      <c r="L74" s="19" t="str">
        <f>IFERROR(__xludf.DUMMYFUNCTION("""COMPUTED_VALUE"""),"-")</f>
        <v>-</v>
      </c>
      <c r="M74" s="19">
        <f>IFERROR(__xludf.DUMMYFUNCTION("""COMPUTED_VALUE"""),0.03997)</f>
        <v>0.03997</v>
      </c>
    </row>
    <row r="75">
      <c r="A75" s="12" t="s">
        <v>7965</v>
      </c>
      <c r="G75" s="19">
        <f>IFERROR(__xludf.DUMMYFUNCTION("SPLIT(A73, "" |"")"),71.0)</f>
        <v>71</v>
      </c>
      <c r="H75" s="19">
        <f>IFERROR(__xludf.DUMMYFUNCTION("""COMPUTED_VALUE"""),0.00228)</f>
        <v>0.00228</v>
      </c>
      <c r="I75" s="19" t="str">
        <f>IFERROR(__xludf.DUMMYFUNCTION("""COMPUTED_VALUE"""),"-")</f>
        <v>-</v>
      </c>
      <c r="J75" s="19">
        <f>IFERROR(__xludf.DUMMYFUNCTION("""COMPUTED_VALUE"""),0.002)</f>
        <v>0.002</v>
      </c>
      <c r="K75" s="19">
        <f>IFERROR(__xludf.DUMMYFUNCTION("""COMPUTED_VALUE"""),0.03969)</f>
        <v>0.03969</v>
      </c>
      <c r="L75" s="19" t="str">
        <f>IFERROR(__xludf.DUMMYFUNCTION("""COMPUTED_VALUE"""),"-")</f>
        <v>-</v>
      </c>
      <c r="M75" s="19">
        <f>IFERROR(__xludf.DUMMYFUNCTION("""COMPUTED_VALUE"""),0.03983)</f>
        <v>0.03983</v>
      </c>
    </row>
    <row r="76">
      <c r="A76" s="12" t="s">
        <v>7966</v>
      </c>
      <c r="G76" s="19">
        <f>IFERROR(__xludf.DUMMYFUNCTION("SPLIT(A74, "" |"")"),72.0)</f>
        <v>72</v>
      </c>
      <c r="H76" s="19">
        <f>IFERROR(__xludf.DUMMYFUNCTION("""COMPUTED_VALUE"""),0.00209)</f>
        <v>0.00209</v>
      </c>
      <c r="I76" s="19" t="str">
        <f>IFERROR(__xludf.DUMMYFUNCTION("""COMPUTED_VALUE"""),"-")</f>
        <v>-</v>
      </c>
      <c r="J76" s="19">
        <f>IFERROR(__xludf.DUMMYFUNCTION("""COMPUTED_VALUE"""),0.00195)</f>
        <v>0.00195</v>
      </c>
      <c r="K76" s="19">
        <f>IFERROR(__xludf.DUMMYFUNCTION("""COMPUTED_VALUE"""),0.0392)</f>
        <v>0.0392</v>
      </c>
      <c r="L76" s="19" t="str">
        <f>IFERROR(__xludf.DUMMYFUNCTION("""COMPUTED_VALUE"""),"-")</f>
        <v>-</v>
      </c>
      <c r="M76" s="19">
        <f>IFERROR(__xludf.DUMMYFUNCTION("""COMPUTED_VALUE"""),0.03976)</f>
        <v>0.03976</v>
      </c>
    </row>
    <row r="77">
      <c r="A77" s="12" t="s">
        <v>7967</v>
      </c>
      <c r="G77" s="19">
        <f>IFERROR(__xludf.DUMMYFUNCTION("SPLIT(A75, "" |"")"),73.0)</f>
        <v>73</v>
      </c>
      <c r="H77" s="19">
        <f>IFERROR(__xludf.DUMMYFUNCTION("""COMPUTED_VALUE"""),0.00201)</f>
        <v>0.00201</v>
      </c>
      <c r="I77" s="19" t="str">
        <f>IFERROR(__xludf.DUMMYFUNCTION("""COMPUTED_VALUE"""),"-")</f>
        <v>-</v>
      </c>
      <c r="J77" s="19">
        <f>IFERROR(__xludf.DUMMYFUNCTION("""COMPUTED_VALUE"""),0.00184)</f>
        <v>0.00184</v>
      </c>
      <c r="K77" s="19">
        <f>IFERROR(__xludf.DUMMYFUNCTION("""COMPUTED_VALUE"""),0.03963)</f>
        <v>0.03963</v>
      </c>
      <c r="L77" s="19" t="str">
        <f>IFERROR(__xludf.DUMMYFUNCTION("""COMPUTED_VALUE"""),"-")</f>
        <v>-</v>
      </c>
      <c r="M77" s="19">
        <f>IFERROR(__xludf.DUMMYFUNCTION("""COMPUTED_VALUE"""),0.03986)</f>
        <v>0.03986</v>
      </c>
    </row>
    <row r="78">
      <c r="A78" s="12" t="s">
        <v>7968</v>
      </c>
      <c r="G78" s="19">
        <f>IFERROR(__xludf.DUMMYFUNCTION("SPLIT(A76, "" |"")"),74.0)</f>
        <v>74</v>
      </c>
      <c r="H78" s="19">
        <f>IFERROR(__xludf.DUMMYFUNCTION("""COMPUTED_VALUE"""),0.00202)</f>
        <v>0.00202</v>
      </c>
      <c r="I78" s="19" t="str">
        <f>IFERROR(__xludf.DUMMYFUNCTION("""COMPUTED_VALUE"""),"-")</f>
        <v>-</v>
      </c>
      <c r="J78" s="19">
        <f>IFERROR(__xludf.DUMMYFUNCTION("""COMPUTED_VALUE"""),0.00198)</f>
        <v>0.00198</v>
      </c>
      <c r="K78" s="19">
        <f>IFERROR(__xludf.DUMMYFUNCTION("""COMPUTED_VALUE"""),0.0397)</f>
        <v>0.0397</v>
      </c>
      <c r="L78" s="19" t="str">
        <f>IFERROR(__xludf.DUMMYFUNCTION("""COMPUTED_VALUE"""),"-")</f>
        <v>-</v>
      </c>
      <c r="M78" s="19">
        <f>IFERROR(__xludf.DUMMYFUNCTION("""COMPUTED_VALUE"""),0.03994)</f>
        <v>0.03994</v>
      </c>
    </row>
    <row r="79">
      <c r="A79" s="12" t="s">
        <v>7969</v>
      </c>
      <c r="G79" s="19">
        <f>IFERROR(__xludf.DUMMYFUNCTION("SPLIT(A77, "" |"")"),75.0)</f>
        <v>75</v>
      </c>
      <c r="H79" s="19">
        <f>IFERROR(__xludf.DUMMYFUNCTION("""COMPUTED_VALUE"""),0.00205)</f>
        <v>0.00205</v>
      </c>
      <c r="I79" s="19" t="str">
        <f>IFERROR(__xludf.DUMMYFUNCTION("""COMPUTED_VALUE"""),"-")</f>
        <v>-</v>
      </c>
      <c r="J79" s="19">
        <f>IFERROR(__xludf.DUMMYFUNCTION("""COMPUTED_VALUE"""),0.00201)</f>
        <v>0.00201</v>
      </c>
      <c r="K79" s="19">
        <f>IFERROR(__xludf.DUMMYFUNCTION("""COMPUTED_VALUE"""),0.03962)</f>
        <v>0.03962</v>
      </c>
      <c r="L79" s="19" t="str">
        <f>IFERROR(__xludf.DUMMYFUNCTION("""COMPUTED_VALUE"""),"-")</f>
        <v>-</v>
      </c>
      <c r="M79" s="19">
        <f>IFERROR(__xludf.DUMMYFUNCTION("""COMPUTED_VALUE"""),0.03992)</f>
        <v>0.03992</v>
      </c>
    </row>
    <row r="80">
      <c r="A80" s="12" t="s">
        <v>7970</v>
      </c>
      <c r="G80" s="19">
        <f>IFERROR(__xludf.DUMMYFUNCTION("SPLIT(A78, "" |"")"),76.0)</f>
        <v>76</v>
      </c>
      <c r="H80" s="19">
        <f>IFERROR(__xludf.DUMMYFUNCTION("""COMPUTED_VALUE"""),0.00221)</f>
        <v>0.00221</v>
      </c>
      <c r="I80" s="19" t="str">
        <f>IFERROR(__xludf.DUMMYFUNCTION("""COMPUTED_VALUE"""),"-")</f>
        <v>-</v>
      </c>
      <c r="J80" s="19">
        <f>IFERROR(__xludf.DUMMYFUNCTION("""COMPUTED_VALUE"""),0.00199)</f>
        <v>0.00199</v>
      </c>
      <c r="K80" s="19">
        <f>IFERROR(__xludf.DUMMYFUNCTION("""COMPUTED_VALUE"""),0.03972)</f>
        <v>0.03972</v>
      </c>
      <c r="L80" s="19" t="str">
        <f>IFERROR(__xludf.DUMMYFUNCTION("""COMPUTED_VALUE"""),"-")</f>
        <v>-</v>
      </c>
      <c r="M80" s="19">
        <f>IFERROR(__xludf.DUMMYFUNCTION("""COMPUTED_VALUE"""),0.03987)</f>
        <v>0.03987</v>
      </c>
    </row>
    <row r="81">
      <c r="A81" s="12" t="s">
        <v>7971</v>
      </c>
      <c r="G81" s="19">
        <f>IFERROR(__xludf.DUMMYFUNCTION("SPLIT(A79, "" |"")"),77.0)</f>
        <v>77</v>
      </c>
      <c r="H81" s="19">
        <f>IFERROR(__xludf.DUMMYFUNCTION("""COMPUTED_VALUE"""),0.00212)</f>
        <v>0.00212</v>
      </c>
      <c r="I81" s="19" t="str">
        <f>IFERROR(__xludf.DUMMYFUNCTION("""COMPUTED_VALUE"""),"-")</f>
        <v>-</v>
      </c>
      <c r="J81" s="19">
        <f>IFERROR(__xludf.DUMMYFUNCTION("""COMPUTED_VALUE"""),0.00195)</f>
        <v>0.00195</v>
      </c>
      <c r="K81" s="19">
        <f>IFERROR(__xludf.DUMMYFUNCTION("""COMPUTED_VALUE"""),0.0397)</f>
        <v>0.0397</v>
      </c>
      <c r="L81" s="19" t="str">
        <f>IFERROR(__xludf.DUMMYFUNCTION("""COMPUTED_VALUE"""),"-")</f>
        <v>-</v>
      </c>
      <c r="M81" s="19">
        <f>IFERROR(__xludf.DUMMYFUNCTION("""COMPUTED_VALUE"""),0.03978)</f>
        <v>0.03978</v>
      </c>
    </row>
    <row r="82">
      <c r="A82" s="12" t="s">
        <v>7972</v>
      </c>
      <c r="G82" s="19">
        <f>IFERROR(__xludf.DUMMYFUNCTION("SPLIT(A80, "" |"")"),78.0)</f>
        <v>78</v>
      </c>
      <c r="H82" s="19">
        <f>IFERROR(__xludf.DUMMYFUNCTION("""COMPUTED_VALUE"""),0.00208)</f>
        <v>0.00208</v>
      </c>
      <c r="I82" s="19" t="str">
        <f>IFERROR(__xludf.DUMMYFUNCTION("""COMPUTED_VALUE"""),"-")</f>
        <v>-</v>
      </c>
      <c r="J82" s="19">
        <f>IFERROR(__xludf.DUMMYFUNCTION("""COMPUTED_VALUE"""),0.00193)</f>
        <v>0.00193</v>
      </c>
      <c r="K82" s="19">
        <f>IFERROR(__xludf.DUMMYFUNCTION("""COMPUTED_VALUE"""),0.03966)</f>
        <v>0.03966</v>
      </c>
      <c r="L82" s="19" t="str">
        <f>IFERROR(__xludf.DUMMYFUNCTION("""COMPUTED_VALUE"""),"-")</f>
        <v>-</v>
      </c>
      <c r="M82" s="19">
        <f>IFERROR(__xludf.DUMMYFUNCTION("""COMPUTED_VALUE"""),0.03983)</f>
        <v>0.03983</v>
      </c>
    </row>
    <row r="83">
      <c r="A83" s="12" t="s">
        <v>7973</v>
      </c>
      <c r="G83" s="19">
        <f>IFERROR(__xludf.DUMMYFUNCTION("SPLIT(A81, "" |"")"),79.0)</f>
        <v>79</v>
      </c>
      <c r="H83" s="19">
        <f>IFERROR(__xludf.DUMMYFUNCTION("""COMPUTED_VALUE"""),0.00199)</f>
        <v>0.00199</v>
      </c>
      <c r="I83" s="19" t="str">
        <f>IFERROR(__xludf.DUMMYFUNCTION("""COMPUTED_VALUE"""),"-")</f>
        <v>-</v>
      </c>
      <c r="J83" s="19">
        <f>IFERROR(__xludf.DUMMYFUNCTION("""COMPUTED_VALUE"""),0.00195)</f>
        <v>0.00195</v>
      </c>
      <c r="K83" s="19">
        <f>IFERROR(__xludf.DUMMYFUNCTION("""COMPUTED_VALUE"""),0.03965)</f>
        <v>0.03965</v>
      </c>
      <c r="L83" s="19" t="str">
        <f>IFERROR(__xludf.DUMMYFUNCTION("""COMPUTED_VALUE"""),"-")</f>
        <v>-</v>
      </c>
      <c r="M83" s="19">
        <f>IFERROR(__xludf.DUMMYFUNCTION("""COMPUTED_VALUE"""),0.03982)</f>
        <v>0.03982</v>
      </c>
    </row>
    <row r="84">
      <c r="A84" s="12" t="s">
        <v>7974</v>
      </c>
      <c r="G84" s="19">
        <f>IFERROR(__xludf.DUMMYFUNCTION("SPLIT(A82, "" |"")"),80.0)</f>
        <v>80</v>
      </c>
      <c r="H84" s="19">
        <f>IFERROR(__xludf.DUMMYFUNCTION("""COMPUTED_VALUE"""),0.0021)</f>
        <v>0.0021</v>
      </c>
      <c r="I84" s="19" t="str">
        <f>IFERROR(__xludf.DUMMYFUNCTION("""COMPUTED_VALUE"""),"-")</f>
        <v>-</v>
      </c>
      <c r="J84" s="19">
        <f>IFERROR(__xludf.DUMMYFUNCTION("""COMPUTED_VALUE"""),0.00196)</f>
        <v>0.00196</v>
      </c>
      <c r="K84" s="19">
        <f>IFERROR(__xludf.DUMMYFUNCTION("""COMPUTED_VALUE"""),0.03958)</f>
        <v>0.03958</v>
      </c>
      <c r="L84" s="19" t="str">
        <f>IFERROR(__xludf.DUMMYFUNCTION("""COMPUTED_VALUE"""),"-")</f>
        <v>-</v>
      </c>
      <c r="M84" s="19">
        <f>IFERROR(__xludf.DUMMYFUNCTION("""COMPUTED_VALUE"""),0.03983)</f>
        <v>0.03983</v>
      </c>
    </row>
    <row r="85">
      <c r="A85" s="12" t="s">
        <v>7975</v>
      </c>
      <c r="G85" s="19">
        <f>IFERROR(__xludf.DUMMYFUNCTION("SPLIT(A83, "" |"")"),81.0)</f>
        <v>81</v>
      </c>
      <c r="H85" s="19">
        <f>IFERROR(__xludf.DUMMYFUNCTION("""COMPUTED_VALUE"""),0.00219)</f>
        <v>0.00219</v>
      </c>
      <c r="I85" s="19" t="str">
        <f>IFERROR(__xludf.DUMMYFUNCTION("""COMPUTED_VALUE"""),"-")</f>
        <v>-</v>
      </c>
      <c r="J85" s="19">
        <f>IFERROR(__xludf.DUMMYFUNCTION("""COMPUTED_VALUE"""),0.00197)</f>
        <v>0.00197</v>
      </c>
      <c r="K85" s="19">
        <f>IFERROR(__xludf.DUMMYFUNCTION("""COMPUTED_VALUE"""),0.03976)</f>
        <v>0.03976</v>
      </c>
      <c r="L85" s="19" t="str">
        <f>IFERROR(__xludf.DUMMYFUNCTION("""COMPUTED_VALUE"""),"-")</f>
        <v>-</v>
      </c>
      <c r="M85" s="19">
        <f>IFERROR(__xludf.DUMMYFUNCTION("""COMPUTED_VALUE"""),0.03983)</f>
        <v>0.03983</v>
      </c>
    </row>
    <row r="86">
      <c r="A86" s="12" t="s">
        <v>7976</v>
      </c>
      <c r="G86" s="19">
        <f>IFERROR(__xludf.DUMMYFUNCTION("SPLIT(A84, "" |"")"),82.0)</f>
        <v>82</v>
      </c>
      <c r="H86" s="19">
        <f>IFERROR(__xludf.DUMMYFUNCTION("""COMPUTED_VALUE"""),0.00208)</f>
        <v>0.00208</v>
      </c>
      <c r="I86" s="19" t="str">
        <f>IFERROR(__xludf.DUMMYFUNCTION("""COMPUTED_VALUE"""),"-")</f>
        <v>-</v>
      </c>
      <c r="J86" s="19">
        <f>IFERROR(__xludf.DUMMYFUNCTION("""COMPUTED_VALUE"""),0.00193)</f>
        <v>0.00193</v>
      </c>
      <c r="K86" s="19">
        <f>IFERROR(__xludf.DUMMYFUNCTION("""COMPUTED_VALUE"""),0.03971)</f>
        <v>0.03971</v>
      </c>
      <c r="L86" s="19" t="str">
        <f>IFERROR(__xludf.DUMMYFUNCTION("""COMPUTED_VALUE"""),"-")</f>
        <v>-</v>
      </c>
      <c r="M86" s="19">
        <f>IFERROR(__xludf.DUMMYFUNCTION("""COMPUTED_VALUE"""),0.03738)</f>
        <v>0.03738</v>
      </c>
    </row>
    <row r="87">
      <c r="A87" s="12" t="s">
        <v>7977</v>
      </c>
      <c r="G87" s="19">
        <f>IFERROR(__xludf.DUMMYFUNCTION("SPLIT(A85, "" |"")"),83.0)</f>
        <v>83</v>
      </c>
      <c r="H87" s="19">
        <f>IFERROR(__xludf.DUMMYFUNCTION("""COMPUTED_VALUE"""),0.0021)</f>
        <v>0.0021</v>
      </c>
      <c r="I87" s="19" t="str">
        <f>IFERROR(__xludf.DUMMYFUNCTION("""COMPUTED_VALUE"""),"-")</f>
        <v>-</v>
      </c>
      <c r="J87" s="19">
        <f>IFERROR(__xludf.DUMMYFUNCTION("""COMPUTED_VALUE"""),0.00186)</f>
        <v>0.00186</v>
      </c>
      <c r="K87" s="19">
        <f>IFERROR(__xludf.DUMMYFUNCTION("""COMPUTED_VALUE"""),0.03616)</f>
        <v>0.03616</v>
      </c>
      <c r="L87" s="19" t="str">
        <f>IFERROR(__xludf.DUMMYFUNCTION("""COMPUTED_VALUE"""),"-")</f>
        <v>-</v>
      </c>
      <c r="M87" s="19">
        <f>IFERROR(__xludf.DUMMYFUNCTION("""COMPUTED_VALUE"""),0.03988)</f>
        <v>0.03988</v>
      </c>
    </row>
    <row r="88">
      <c r="A88" s="12" t="s">
        <v>7978</v>
      </c>
      <c r="G88" s="19">
        <f>IFERROR(__xludf.DUMMYFUNCTION("SPLIT(A86, "" |"")"),84.0)</f>
        <v>84</v>
      </c>
      <c r="H88" s="19">
        <f>IFERROR(__xludf.DUMMYFUNCTION("""COMPUTED_VALUE"""),0.00198)</f>
        <v>0.00198</v>
      </c>
      <c r="I88" s="19" t="str">
        <f>IFERROR(__xludf.DUMMYFUNCTION("""COMPUTED_VALUE"""),"-")</f>
        <v>-</v>
      </c>
      <c r="J88" s="19">
        <f>IFERROR(__xludf.DUMMYFUNCTION("""COMPUTED_VALUE"""),0.00183)</f>
        <v>0.00183</v>
      </c>
      <c r="K88" s="19">
        <f>IFERROR(__xludf.DUMMYFUNCTION("""COMPUTED_VALUE"""),0.03953)</f>
        <v>0.03953</v>
      </c>
      <c r="L88" s="19" t="str">
        <f>IFERROR(__xludf.DUMMYFUNCTION("""COMPUTED_VALUE"""),"-")</f>
        <v>-</v>
      </c>
      <c r="M88" s="19">
        <f>IFERROR(__xludf.DUMMYFUNCTION("""COMPUTED_VALUE"""),0.03935)</f>
        <v>0.03935</v>
      </c>
    </row>
    <row r="89">
      <c r="A89" s="12" t="s">
        <v>7979</v>
      </c>
      <c r="G89" s="19">
        <f>IFERROR(__xludf.DUMMYFUNCTION("SPLIT(A87, "" |"")"),85.0)</f>
        <v>85</v>
      </c>
      <c r="H89" s="19">
        <f>IFERROR(__xludf.DUMMYFUNCTION("""COMPUTED_VALUE"""),0.00217)</f>
        <v>0.00217</v>
      </c>
      <c r="I89" s="19" t="str">
        <f>IFERROR(__xludf.DUMMYFUNCTION("""COMPUTED_VALUE"""),"-")</f>
        <v>-</v>
      </c>
      <c r="J89" s="19">
        <f>IFERROR(__xludf.DUMMYFUNCTION("""COMPUTED_VALUE"""),0.002)</f>
        <v>0.002</v>
      </c>
      <c r="K89" s="19">
        <f>IFERROR(__xludf.DUMMYFUNCTION("""COMPUTED_VALUE"""),0.03973)</f>
        <v>0.03973</v>
      </c>
      <c r="L89" s="19" t="str">
        <f>IFERROR(__xludf.DUMMYFUNCTION("""COMPUTED_VALUE"""),"-")</f>
        <v>-</v>
      </c>
      <c r="M89" s="19">
        <f>IFERROR(__xludf.DUMMYFUNCTION("""COMPUTED_VALUE"""),0.03983)</f>
        <v>0.03983</v>
      </c>
    </row>
    <row r="90">
      <c r="A90" s="12" t="s">
        <v>7980</v>
      </c>
      <c r="G90" s="19">
        <f>IFERROR(__xludf.DUMMYFUNCTION("SPLIT(A88, "" |"")"),86.0)</f>
        <v>86</v>
      </c>
      <c r="H90" s="19">
        <f>IFERROR(__xludf.DUMMYFUNCTION("""COMPUTED_VALUE"""),0.00211)</f>
        <v>0.00211</v>
      </c>
      <c r="I90" s="19" t="str">
        <f>IFERROR(__xludf.DUMMYFUNCTION("""COMPUTED_VALUE"""),"-")</f>
        <v>-</v>
      </c>
      <c r="J90" s="19">
        <f>IFERROR(__xludf.DUMMYFUNCTION("""COMPUTED_VALUE"""),0.00189)</f>
        <v>0.00189</v>
      </c>
      <c r="K90" s="19">
        <f>IFERROR(__xludf.DUMMYFUNCTION("""COMPUTED_VALUE"""),0.03964)</f>
        <v>0.03964</v>
      </c>
      <c r="L90" s="19" t="str">
        <f>IFERROR(__xludf.DUMMYFUNCTION("""COMPUTED_VALUE"""),"-")</f>
        <v>-</v>
      </c>
      <c r="M90" s="19">
        <f>IFERROR(__xludf.DUMMYFUNCTION("""COMPUTED_VALUE"""),0.03984)</f>
        <v>0.03984</v>
      </c>
    </row>
    <row r="91">
      <c r="A91" s="12" t="s">
        <v>7981</v>
      </c>
      <c r="G91" s="19">
        <f>IFERROR(__xludf.DUMMYFUNCTION("SPLIT(A89, "" |"")"),87.0)</f>
        <v>87</v>
      </c>
      <c r="H91" s="19">
        <f>IFERROR(__xludf.DUMMYFUNCTION("""COMPUTED_VALUE"""),0.0021)</f>
        <v>0.0021</v>
      </c>
      <c r="I91" s="19" t="str">
        <f>IFERROR(__xludf.DUMMYFUNCTION("""COMPUTED_VALUE"""),"-")</f>
        <v>-</v>
      </c>
      <c r="J91" s="19">
        <f>IFERROR(__xludf.DUMMYFUNCTION("""COMPUTED_VALUE"""),0.00179)</f>
        <v>0.00179</v>
      </c>
      <c r="K91" s="19">
        <f>IFERROR(__xludf.DUMMYFUNCTION("""COMPUTED_VALUE"""),0.03974)</f>
        <v>0.03974</v>
      </c>
      <c r="L91" s="19" t="str">
        <f>IFERROR(__xludf.DUMMYFUNCTION("""COMPUTED_VALUE"""),"-")</f>
        <v>-</v>
      </c>
      <c r="M91" s="19">
        <f>IFERROR(__xludf.DUMMYFUNCTION("""COMPUTED_VALUE"""),0.03878)</f>
        <v>0.03878</v>
      </c>
    </row>
    <row r="92">
      <c r="A92" s="12" t="s">
        <v>7982</v>
      </c>
      <c r="G92" s="19">
        <f>IFERROR(__xludf.DUMMYFUNCTION("SPLIT(A90, "" |"")"),88.0)</f>
        <v>88</v>
      </c>
      <c r="H92" s="19">
        <f>IFERROR(__xludf.DUMMYFUNCTION("""COMPUTED_VALUE"""),0.00209)</f>
        <v>0.00209</v>
      </c>
      <c r="I92" s="19" t="str">
        <f>IFERROR(__xludf.DUMMYFUNCTION("""COMPUTED_VALUE"""),"-")</f>
        <v>-</v>
      </c>
      <c r="J92" s="19">
        <f>IFERROR(__xludf.DUMMYFUNCTION("""COMPUTED_VALUE"""),0.00194)</f>
        <v>0.00194</v>
      </c>
      <c r="K92" s="19">
        <f>IFERROR(__xludf.DUMMYFUNCTION("""COMPUTED_VALUE"""),0.03973)</f>
        <v>0.03973</v>
      </c>
      <c r="L92" s="19" t="str">
        <f>IFERROR(__xludf.DUMMYFUNCTION("""COMPUTED_VALUE"""),"-")</f>
        <v>-</v>
      </c>
      <c r="M92" s="19">
        <f>IFERROR(__xludf.DUMMYFUNCTION("""COMPUTED_VALUE"""),0.03997)</f>
        <v>0.03997</v>
      </c>
    </row>
    <row r="93">
      <c r="A93" s="12" t="s">
        <v>7983</v>
      </c>
      <c r="G93" s="19">
        <f>IFERROR(__xludf.DUMMYFUNCTION("SPLIT(A91, "" |"")"),89.0)</f>
        <v>89</v>
      </c>
      <c r="H93" s="19">
        <f>IFERROR(__xludf.DUMMYFUNCTION("""COMPUTED_VALUE"""),0.00213)</f>
        <v>0.00213</v>
      </c>
      <c r="I93" s="19" t="str">
        <f>IFERROR(__xludf.DUMMYFUNCTION("""COMPUTED_VALUE"""),"-")</f>
        <v>-</v>
      </c>
      <c r="J93" s="19">
        <f>IFERROR(__xludf.DUMMYFUNCTION("""COMPUTED_VALUE"""),0.00193)</f>
        <v>0.00193</v>
      </c>
      <c r="K93" s="19">
        <f>IFERROR(__xludf.DUMMYFUNCTION("""COMPUTED_VALUE"""),0.03969)</f>
        <v>0.03969</v>
      </c>
      <c r="L93" s="19" t="str">
        <f>IFERROR(__xludf.DUMMYFUNCTION("""COMPUTED_VALUE"""),"-")</f>
        <v>-</v>
      </c>
      <c r="M93" s="19">
        <f>IFERROR(__xludf.DUMMYFUNCTION("""COMPUTED_VALUE"""),0.03798)</f>
        <v>0.03798</v>
      </c>
    </row>
    <row r="94">
      <c r="A94" s="12" t="s">
        <v>7984</v>
      </c>
      <c r="G94" s="19">
        <f>IFERROR(__xludf.DUMMYFUNCTION("SPLIT(A92, "" |"")"),90.0)</f>
        <v>90</v>
      </c>
      <c r="H94" s="19">
        <f>IFERROR(__xludf.DUMMYFUNCTION("""COMPUTED_VALUE"""),0.00213)</f>
        <v>0.00213</v>
      </c>
      <c r="I94" s="19" t="str">
        <f>IFERROR(__xludf.DUMMYFUNCTION("""COMPUTED_VALUE"""),"-")</f>
        <v>-</v>
      </c>
      <c r="J94" s="19">
        <f>IFERROR(__xludf.DUMMYFUNCTION("""COMPUTED_VALUE"""),0.00197)</f>
        <v>0.00197</v>
      </c>
      <c r="K94" s="19">
        <f>IFERROR(__xludf.DUMMYFUNCTION("""COMPUTED_VALUE"""),0.03961)</f>
        <v>0.03961</v>
      </c>
      <c r="L94" s="19" t="str">
        <f>IFERROR(__xludf.DUMMYFUNCTION("""COMPUTED_VALUE"""),"-")</f>
        <v>-</v>
      </c>
      <c r="M94" s="19">
        <f>IFERROR(__xludf.DUMMYFUNCTION("""COMPUTED_VALUE"""),0.0398)</f>
        <v>0.0398</v>
      </c>
    </row>
    <row r="95">
      <c r="A95" s="12" t="s">
        <v>7985</v>
      </c>
      <c r="G95" s="19">
        <f>IFERROR(__xludf.DUMMYFUNCTION("SPLIT(A93, "" |"")"),91.0)</f>
        <v>91</v>
      </c>
      <c r="H95" s="19">
        <f>IFERROR(__xludf.DUMMYFUNCTION("""COMPUTED_VALUE"""),0.00217)</f>
        <v>0.00217</v>
      </c>
      <c r="I95" s="19" t="str">
        <f>IFERROR(__xludf.DUMMYFUNCTION("""COMPUTED_VALUE"""),"-")</f>
        <v>-</v>
      </c>
      <c r="J95" s="19">
        <f>IFERROR(__xludf.DUMMYFUNCTION("""COMPUTED_VALUE"""),0.00195)</f>
        <v>0.00195</v>
      </c>
      <c r="K95" s="19">
        <f>IFERROR(__xludf.DUMMYFUNCTION("""COMPUTED_VALUE"""),0.03953)</f>
        <v>0.03953</v>
      </c>
      <c r="L95" s="19" t="str">
        <f>IFERROR(__xludf.DUMMYFUNCTION("""COMPUTED_VALUE"""),"-")</f>
        <v>-</v>
      </c>
      <c r="M95" s="19">
        <f>IFERROR(__xludf.DUMMYFUNCTION("""COMPUTED_VALUE"""),0.0399)</f>
        <v>0.0399</v>
      </c>
    </row>
    <row r="96">
      <c r="A96" s="12" t="s">
        <v>7986</v>
      </c>
      <c r="G96" s="19">
        <f>IFERROR(__xludf.DUMMYFUNCTION("SPLIT(A94, "" |"")"),92.0)</f>
        <v>92</v>
      </c>
      <c r="H96" s="19">
        <f>IFERROR(__xludf.DUMMYFUNCTION("""COMPUTED_VALUE"""),0.00208)</f>
        <v>0.00208</v>
      </c>
      <c r="I96" s="19" t="str">
        <f>IFERROR(__xludf.DUMMYFUNCTION("""COMPUTED_VALUE"""),"-")</f>
        <v>-</v>
      </c>
      <c r="J96" s="19">
        <f>IFERROR(__xludf.DUMMYFUNCTION("""COMPUTED_VALUE"""),0.00195)</f>
        <v>0.00195</v>
      </c>
      <c r="K96" s="19">
        <f>IFERROR(__xludf.DUMMYFUNCTION("""COMPUTED_VALUE"""),0.03653)</f>
        <v>0.03653</v>
      </c>
      <c r="L96" s="19" t="str">
        <f>IFERROR(__xludf.DUMMYFUNCTION("""COMPUTED_VALUE"""),"-")</f>
        <v>-</v>
      </c>
      <c r="M96" s="19">
        <f>IFERROR(__xludf.DUMMYFUNCTION("""COMPUTED_VALUE"""),0.04023)</f>
        <v>0.04023</v>
      </c>
    </row>
    <row r="97">
      <c r="A97" s="12" t="s">
        <v>7987</v>
      </c>
      <c r="G97" s="19">
        <f>IFERROR(__xludf.DUMMYFUNCTION("SPLIT(A95, "" |"")"),93.0)</f>
        <v>93</v>
      </c>
      <c r="H97" s="19">
        <f>IFERROR(__xludf.DUMMYFUNCTION("""COMPUTED_VALUE"""),0.00211)</f>
        <v>0.00211</v>
      </c>
      <c r="I97" s="19" t="str">
        <f>IFERROR(__xludf.DUMMYFUNCTION("""COMPUTED_VALUE"""),"-")</f>
        <v>-</v>
      </c>
      <c r="J97" s="19">
        <f>IFERROR(__xludf.DUMMYFUNCTION("""COMPUTED_VALUE"""),0.00194)</f>
        <v>0.00194</v>
      </c>
      <c r="K97" s="19">
        <f>IFERROR(__xludf.DUMMYFUNCTION("""COMPUTED_VALUE"""),0.03976)</f>
        <v>0.03976</v>
      </c>
      <c r="L97" s="19" t="str">
        <f>IFERROR(__xludf.DUMMYFUNCTION("""COMPUTED_VALUE"""),"-")</f>
        <v>-</v>
      </c>
      <c r="M97" s="19">
        <f>IFERROR(__xludf.DUMMYFUNCTION("""COMPUTED_VALUE"""),0.03993)</f>
        <v>0.03993</v>
      </c>
    </row>
    <row r="98">
      <c r="A98" s="12" t="s">
        <v>7988</v>
      </c>
      <c r="G98" s="19">
        <f>IFERROR(__xludf.DUMMYFUNCTION("SPLIT(A96, "" |"")"),94.0)</f>
        <v>94</v>
      </c>
      <c r="H98" s="19">
        <f>IFERROR(__xludf.DUMMYFUNCTION("""COMPUTED_VALUE"""),0.0021)</f>
        <v>0.0021</v>
      </c>
      <c r="I98" s="19" t="str">
        <f>IFERROR(__xludf.DUMMYFUNCTION("""COMPUTED_VALUE"""),"-")</f>
        <v>-</v>
      </c>
      <c r="J98" s="19">
        <f>IFERROR(__xludf.DUMMYFUNCTION("""COMPUTED_VALUE"""),0.00196)</f>
        <v>0.00196</v>
      </c>
      <c r="K98" s="19">
        <f>IFERROR(__xludf.DUMMYFUNCTION("""COMPUTED_VALUE"""),0.0397)</f>
        <v>0.0397</v>
      </c>
      <c r="L98" s="19" t="str">
        <f>IFERROR(__xludf.DUMMYFUNCTION("""COMPUTED_VALUE"""),"-")</f>
        <v>-</v>
      </c>
      <c r="M98" s="19">
        <f>IFERROR(__xludf.DUMMYFUNCTION("""COMPUTED_VALUE"""),0.03991)</f>
        <v>0.03991</v>
      </c>
    </row>
    <row r="99">
      <c r="A99" s="12" t="s">
        <v>7989</v>
      </c>
      <c r="G99" s="19">
        <f>IFERROR(__xludf.DUMMYFUNCTION("SPLIT(A97, "" |"")"),95.0)</f>
        <v>95</v>
      </c>
      <c r="H99" s="19">
        <f>IFERROR(__xludf.DUMMYFUNCTION("""COMPUTED_VALUE"""),0.00211)</f>
        <v>0.00211</v>
      </c>
      <c r="I99" s="19" t="str">
        <f>IFERROR(__xludf.DUMMYFUNCTION("""COMPUTED_VALUE"""),"-")</f>
        <v>-</v>
      </c>
      <c r="J99" s="19">
        <f>IFERROR(__xludf.DUMMYFUNCTION("""COMPUTED_VALUE"""),0.00194)</f>
        <v>0.00194</v>
      </c>
      <c r="K99" s="19">
        <f>IFERROR(__xludf.DUMMYFUNCTION("""COMPUTED_VALUE"""),0.03974)</f>
        <v>0.03974</v>
      </c>
      <c r="L99" s="19" t="str">
        <f>IFERROR(__xludf.DUMMYFUNCTION("""COMPUTED_VALUE"""),"-")</f>
        <v>-</v>
      </c>
      <c r="M99" s="19">
        <f>IFERROR(__xludf.DUMMYFUNCTION("""COMPUTED_VALUE"""),0.03982)</f>
        <v>0.03982</v>
      </c>
    </row>
    <row r="100">
      <c r="A100" s="12" t="s">
        <v>7990</v>
      </c>
      <c r="G100" s="19">
        <f>IFERROR(__xludf.DUMMYFUNCTION("SPLIT(A98, "" |"")"),96.0)</f>
        <v>96</v>
      </c>
      <c r="H100" s="19">
        <f>IFERROR(__xludf.DUMMYFUNCTION("""COMPUTED_VALUE"""),0.00216)</f>
        <v>0.00216</v>
      </c>
      <c r="I100" s="19" t="str">
        <f>IFERROR(__xludf.DUMMYFUNCTION("""COMPUTED_VALUE"""),"-")</f>
        <v>-</v>
      </c>
      <c r="J100" s="19">
        <f>IFERROR(__xludf.DUMMYFUNCTION("""COMPUTED_VALUE"""),0.00205)</f>
        <v>0.00205</v>
      </c>
      <c r="K100" s="19">
        <f>IFERROR(__xludf.DUMMYFUNCTION("""COMPUTED_VALUE"""),0.03982)</f>
        <v>0.03982</v>
      </c>
      <c r="L100" s="19" t="str">
        <f>IFERROR(__xludf.DUMMYFUNCTION("""COMPUTED_VALUE"""),"-")</f>
        <v>-</v>
      </c>
      <c r="M100" s="19">
        <f>IFERROR(__xludf.DUMMYFUNCTION("""COMPUTED_VALUE"""),0.03996)</f>
        <v>0.03996</v>
      </c>
    </row>
    <row r="101">
      <c r="A101" s="12" t="s">
        <v>7991</v>
      </c>
      <c r="G101" s="19">
        <f>IFERROR(__xludf.DUMMYFUNCTION("SPLIT(A99, "" |"")"),97.0)</f>
        <v>97</v>
      </c>
      <c r="H101" s="19">
        <f>IFERROR(__xludf.DUMMYFUNCTION("""COMPUTED_VALUE"""),0.00214)</f>
        <v>0.00214</v>
      </c>
      <c r="I101" s="19" t="str">
        <f>IFERROR(__xludf.DUMMYFUNCTION("""COMPUTED_VALUE"""),"-")</f>
        <v>-</v>
      </c>
      <c r="J101" s="19">
        <f>IFERROR(__xludf.DUMMYFUNCTION("""COMPUTED_VALUE"""),0.00192)</f>
        <v>0.00192</v>
      </c>
      <c r="K101" s="19">
        <f>IFERROR(__xludf.DUMMYFUNCTION("""COMPUTED_VALUE"""),0.03972)</f>
        <v>0.03972</v>
      </c>
      <c r="L101" s="19" t="str">
        <f>IFERROR(__xludf.DUMMYFUNCTION("""COMPUTED_VALUE"""),"-")</f>
        <v>-</v>
      </c>
      <c r="M101" s="19">
        <f>IFERROR(__xludf.DUMMYFUNCTION("""COMPUTED_VALUE"""),0.03992)</f>
        <v>0.03992</v>
      </c>
    </row>
    <row r="102">
      <c r="A102" s="12" t="s">
        <v>7992</v>
      </c>
      <c r="G102" s="19">
        <f>IFERROR(__xludf.DUMMYFUNCTION("SPLIT(A100, "" |"")"),98.0)</f>
        <v>98</v>
      </c>
      <c r="H102" s="19">
        <f>IFERROR(__xludf.DUMMYFUNCTION("""COMPUTED_VALUE"""),0.002)</f>
        <v>0.002</v>
      </c>
      <c r="I102" s="19" t="str">
        <f>IFERROR(__xludf.DUMMYFUNCTION("""COMPUTED_VALUE"""),"-")</f>
        <v>-</v>
      </c>
      <c r="J102" s="19">
        <f>IFERROR(__xludf.DUMMYFUNCTION("""COMPUTED_VALUE"""),0.00184)</f>
        <v>0.00184</v>
      </c>
      <c r="K102" s="19">
        <f>IFERROR(__xludf.DUMMYFUNCTION("""COMPUTED_VALUE"""),0.03955)</f>
        <v>0.03955</v>
      </c>
      <c r="L102" s="19" t="str">
        <f>IFERROR(__xludf.DUMMYFUNCTION("""COMPUTED_VALUE"""),"-")</f>
        <v>-</v>
      </c>
      <c r="M102" s="19">
        <f>IFERROR(__xludf.DUMMYFUNCTION("""COMPUTED_VALUE"""),0.03984)</f>
        <v>0.03984</v>
      </c>
    </row>
    <row r="103">
      <c r="A103" s="12" t="s">
        <v>7993</v>
      </c>
      <c r="G103" s="19">
        <f>IFERROR(__xludf.DUMMYFUNCTION("SPLIT(A101, "" |"")"),99.0)</f>
        <v>99</v>
      </c>
      <c r="H103" s="19">
        <f>IFERROR(__xludf.DUMMYFUNCTION("""COMPUTED_VALUE"""),0.00207)</f>
        <v>0.00207</v>
      </c>
      <c r="I103" s="19" t="str">
        <f>IFERROR(__xludf.DUMMYFUNCTION("""COMPUTED_VALUE"""),"-")</f>
        <v>-</v>
      </c>
      <c r="J103" s="19">
        <f>IFERROR(__xludf.DUMMYFUNCTION("""COMPUTED_VALUE"""),0.00195)</f>
        <v>0.00195</v>
      </c>
      <c r="K103" s="19">
        <f>IFERROR(__xludf.DUMMYFUNCTION("""COMPUTED_VALUE"""),0.03971)</f>
        <v>0.03971</v>
      </c>
      <c r="L103" s="19" t="str">
        <f>IFERROR(__xludf.DUMMYFUNCTION("""COMPUTED_VALUE"""),"-")</f>
        <v>-</v>
      </c>
      <c r="M103" s="19">
        <f>IFERROR(__xludf.DUMMYFUNCTION("""COMPUTED_VALUE"""),0.03972)</f>
        <v>0.03972</v>
      </c>
    </row>
    <row r="104">
      <c r="A104" s="12" t="s">
        <v>7994</v>
      </c>
      <c r="G104" s="19">
        <f>IFERROR(__xludf.DUMMYFUNCTION("SPLIT(A102, "" |"")"),100.0)</f>
        <v>100</v>
      </c>
      <c r="H104" s="19">
        <f>IFERROR(__xludf.DUMMYFUNCTION("""COMPUTED_VALUE"""),0.00207)</f>
        <v>0.00207</v>
      </c>
      <c r="I104" s="19" t="str">
        <f>IFERROR(__xludf.DUMMYFUNCTION("""COMPUTED_VALUE"""),"-")</f>
        <v>-</v>
      </c>
      <c r="J104" s="19">
        <f>IFERROR(__xludf.DUMMYFUNCTION("""COMPUTED_VALUE"""),0.00192)</f>
        <v>0.00192</v>
      </c>
      <c r="K104" s="19">
        <f>IFERROR(__xludf.DUMMYFUNCTION("""COMPUTED_VALUE"""),0.03964)</f>
        <v>0.03964</v>
      </c>
      <c r="L104" s="19" t="str">
        <f>IFERROR(__xludf.DUMMYFUNCTION("""COMPUTED_VALUE"""),"-")</f>
        <v>-</v>
      </c>
      <c r="M104" s="19">
        <f>IFERROR(__xludf.DUMMYFUNCTION("""COMPUTED_VALUE"""),0.04018)</f>
        <v>0.04018</v>
      </c>
    </row>
    <row r="105">
      <c r="A105" s="12" t="s">
        <v>7995</v>
      </c>
      <c r="G105" s="19">
        <f>IFERROR(__xludf.DUMMYFUNCTION("SPLIT(A103, "" |"")"),101.0)</f>
        <v>101</v>
      </c>
      <c r="H105" s="19">
        <f>IFERROR(__xludf.DUMMYFUNCTION("""COMPUTED_VALUE"""),0.00196)</f>
        <v>0.00196</v>
      </c>
      <c r="I105" s="19" t="str">
        <f>IFERROR(__xludf.DUMMYFUNCTION("""COMPUTED_VALUE"""),"-")</f>
        <v>-</v>
      </c>
      <c r="J105" s="19">
        <f>IFERROR(__xludf.DUMMYFUNCTION("""COMPUTED_VALUE"""),0.002)</f>
        <v>0.002</v>
      </c>
      <c r="K105" s="19">
        <f>IFERROR(__xludf.DUMMYFUNCTION("""COMPUTED_VALUE"""),0.03686)</f>
        <v>0.03686</v>
      </c>
      <c r="L105" s="19" t="str">
        <f>IFERROR(__xludf.DUMMYFUNCTION("""COMPUTED_VALUE"""),"-")</f>
        <v>-</v>
      </c>
      <c r="M105" s="19">
        <f>IFERROR(__xludf.DUMMYFUNCTION("""COMPUTED_VALUE"""),0.04035)</f>
        <v>0.04035</v>
      </c>
    </row>
    <row r="106">
      <c r="A106" s="12" t="s">
        <v>7996</v>
      </c>
      <c r="G106" s="19">
        <f>IFERROR(__xludf.DUMMYFUNCTION("SPLIT(A104, "" |"")"),102.0)</f>
        <v>102</v>
      </c>
      <c r="H106" s="19">
        <f>IFERROR(__xludf.DUMMYFUNCTION("""COMPUTED_VALUE"""),0.00217)</f>
        <v>0.00217</v>
      </c>
      <c r="I106" s="19" t="str">
        <f>IFERROR(__xludf.DUMMYFUNCTION("""COMPUTED_VALUE"""),"-")</f>
        <v>-</v>
      </c>
      <c r="J106" s="19">
        <f>IFERROR(__xludf.DUMMYFUNCTION("""COMPUTED_VALUE"""),0.00195)</f>
        <v>0.00195</v>
      </c>
      <c r="K106" s="19">
        <f>IFERROR(__xludf.DUMMYFUNCTION("""COMPUTED_VALUE"""),0.03969)</f>
        <v>0.03969</v>
      </c>
      <c r="L106" s="19" t="str">
        <f>IFERROR(__xludf.DUMMYFUNCTION("""COMPUTED_VALUE"""),"-")</f>
        <v>-</v>
      </c>
      <c r="M106" s="19">
        <f>IFERROR(__xludf.DUMMYFUNCTION("""COMPUTED_VALUE"""),0.03993)</f>
        <v>0.03993</v>
      </c>
    </row>
    <row r="107">
      <c r="A107" s="12" t="s">
        <v>7997</v>
      </c>
      <c r="G107" s="19">
        <f>IFERROR(__xludf.DUMMYFUNCTION("SPLIT(A105, "" |"")"),103.0)</f>
        <v>103</v>
      </c>
      <c r="H107" s="19">
        <f>IFERROR(__xludf.DUMMYFUNCTION("""COMPUTED_VALUE"""),0.00217)</f>
        <v>0.00217</v>
      </c>
      <c r="I107" s="19" t="str">
        <f>IFERROR(__xludf.DUMMYFUNCTION("""COMPUTED_VALUE"""),"-")</f>
        <v>-</v>
      </c>
      <c r="J107" s="19">
        <f>IFERROR(__xludf.DUMMYFUNCTION("""COMPUTED_VALUE"""),0.00195)</f>
        <v>0.00195</v>
      </c>
      <c r="K107" s="19">
        <f>IFERROR(__xludf.DUMMYFUNCTION("""COMPUTED_VALUE"""),0.0397)</f>
        <v>0.0397</v>
      </c>
      <c r="L107" s="19" t="str">
        <f>IFERROR(__xludf.DUMMYFUNCTION("""COMPUTED_VALUE"""),"-")</f>
        <v>-</v>
      </c>
      <c r="M107" s="19">
        <f>IFERROR(__xludf.DUMMYFUNCTION("""COMPUTED_VALUE"""),0.03981)</f>
        <v>0.03981</v>
      </c>
    </row>
    <row r="108">
      <c r="A108" s="12" t="s">
        <v>7998</v>
      </c>
      <c r="G108" s="19">
        <f>IFERROR(__xludf.DUMMYFUNCTION("SPLIT(A106, "" |"")"),104.0)</f>
        <v>104</v>
      </c>
      <c r="H108" s="19">
        <f>IFERROR(__xludf.DUMMYFUNCTION("""COMPUTED_VALUE"""),0.00213)</f>
        <v>0.00213</v>
      </c>
      <c r="I108" s="19" t="str">
        <f>IFERROR(__xludf.DUMMYFUNCTION("""COMPUTED_VALUE"""),"-")</f>
        <v>-</v>
      </c>
      <c r="J108" s="19">
        <f>IFERROR(__xludf.DUMMYFUNCTION("""COMPUTED_VALUE"""),0.002)</f>
        <v>0.002</v>
      </c>
      <c r="K108" s="19">
        <f>IFERROR(__xludf.DUMMYFUNCTION("""COMPUTED_VALUE"""),0.03964)</f>
        <v>0.03964</v>
      </c>
      <c r="L108" s="19" t="str">
        <f>IFERROR(__xludf.DUMMYFUNCTION("""COMPUTED_VALUE"""),"-")</f>
        <v>-</v>
      </c>
      <c r="M108" s="19">
        <f>IFERROR(__xludf.DUMMYFUNCTION("""COMPUTED_VALUE"""),0.0398)</f>
        <v>0.0398</v>
      </c>
    </row>
    <row r="109">
      <c r="A109" s="12" t="s">
        <v>7999</v>
      </c>
      <c r="G109" s="19">
        <f>IFERROR(__xludf.DUMMYFUNCTION("SPLIT(A107, "" |"")"),105.0)</f>
        <v>105</v>
      </c>
      <c r="H109" s="19">
        <f>IFERROR(__xludf.DUMMYFUNCTION("""COMPUTED_VALUE"""),0.00215)</f>
        <v>0.00215</v>
      </c>
      <c r="I109" s="19" t="str">
        <f>IFERROR(__xludf.DUMMYFUNCTION("""COMPUTED_VALUE"""),"-")</f>
        <v>-</v>
      </c>
      <c r="J109" s="19">
        <f>IFERROR(__xludf.DUMMYFUNCTION("""COMPUTED_VALUE"""),0.002)</f>
        <v>0.002</v>
      </c>
      <c r="K109" s="19">
        <f>IFERROR(__xludf.DUMMYFUNCTION("""COMPUTED_VALUE"""),0.03967)</f>
        <v>0.03967</v>
      </c>
      <c r="L109" s="19" t="str">
        <f>IFERROR(__xludf.DUMMYFUNCTION("""COMPUTED_VALUE"""),"-")</f>
        <v>-</v>
      </c>
      <c r="M109" s="19">
        <f>IFERROR(__xludf.DUMMYFUNCTION("""COMPUTED_VALUE"""),0.03977)</f>
        <v>0.03977</v>
      </c>
    </row>
    <row r="110">
      <c r="A110" s="12" t="s">
        <v>8000</v>
      </c>
      <c r="G110" s="19">
        <f>IFERROR(__xludf.DUMMYFUNCTION("SPLIT(A108, "" |"")"),106.0)</f>
        <v>106</v>
      </c>
      <c r="H110" s="19">
        <f>IFERROR(__xludf.DUMMYFUNCTION("""COMPUTED_VALUE"""),0.00217)</f>
        <v>0.00217</v>
      </c>
      <c r="I110" s="19" t="str">
        <f>IFERROR(__xludf.DUMMYFUNCTION("""COMPUTED_VALUE"""),"-")</f>
        <v>-</v>
      </c>
      <c r="J110" s="19">
        <f>IFERROR(__xludf.DUMMYFUNCTION("""COMPUTED_VALUE"""),0.00198)</f>
        <v>0.00198</v>
      </c>
      <c r="K110" s="19">
        <f>IFERROR(__xludf.DUMMYFUNCTION("""COMPUTED_VALUE"""),0.03964)</f>
        <v>0.03964</v>
      </c>
      <c r="L110" s="19" t="str">
        <f>IFERROR(__xludf.DUMMYFUNCTION("""COMPUTED_VALUE"""),"-")</f>
        <v>-</v>
      </c>
      <c r="M110" s="19">
        <f>IFERROR(__xludf.DUMMYFUNCTION("""COMPUTED_VALUE"""),0.03985)</f>
        <v>0.03985</v>
      </c>
    </row>
    <row r="111">
      <c r="A111" s="12" t="s">
        <v>8001</v>
      </c>
      <c r="G111" s="19">
        <f>IFERROR(__xludf.DUMMYFUNCTION("SPLIT(A109, "" |"")"),107.0)</f>
        <v>107</v>
      </c>
      <c r="H111" s="19">
        <f>IFERROR(__xludf.DUMMYFUNCTION("""COMPUTED_VALUE"""),0.00212)</f>
        <v>0.00212</v>
      </c>
      <c r="I111" s="19" t="str">
        <f>IFERROR(__xludf.DUMMYFUNCTION("""COMPUTED_VALUE"""),"-")</f>
        <v>-</v>
      </c>
      <c r="J111" s="19">
        <f>IFERROR(__xludf.DUMMYFUNCTION("""COMPUTED_VALUE"""),0.0019)</f>
        <v>0.0019</v>
      </c>
      <c r="K111" s="19">
        <f>IFERROR(__xludf.DUMMYFUNCTION("""COMPUTED_VALUE"""),0.03968)</f>
        <v>0.03968</v>
      </c>
      <c r="L111" s="19" t="str">
        <f>IFERROR(__xludf.DUMMYFUNCTION("""COMPUTED_VALUE"""),"-")</f>
        <v>-</v>
      </c>
      <c r="M111" s="19">
        <f>IFERROR(__xludf.DUMMYFUNCTION("""COMPUTED_VALUE"""),0.03958)</f>
        <v>0.03958</v>
      </c>
    </row>
    <row r="112">
      <c r="A112" s="12" t="s">
        <v>8002</v>
      </c>
      <c r="G112" s="19">
        <f>IFERROR(__xludf.DUMMYFUNCTION("SPLIT(A110, "" |"")"),108.0)</f>
        <v>108</v>
      </c>
      <c r="H112" s="19">
        <f>IFERROR(__xludf.DUMMYFUNCTION("""COMPUTED_VALUE"""),0.0021)</f>
        <v>0.0021</v>
      </c>
      <c r="I112" s="19" t="str">
        <f>IFERROR(__xludf.DUMMYFUNCTION("""COMPUTED_VALUE"""),"-")</f>
        <v>-</v>
      </c>
      <c r="J112" s="19">
        <f>IFERROR(__xludf.DUMMYFUNCTION("""COMPUTED_VALUE"""),0.00186)</f>
        <v>0.00186</v>
      </c>
      <c r="K112" s="19">
        <f>IFERROR(__xludf.DUMMYFUNCTION("""COMPUTED_VALUE"""),0.03965)</f>
        <v>0.03965</v>
      </c>
      <c r="L112" s="19" t="str">
        <f>IFERROR(__xludf.DUMMYFUNCTION("""COMPUTED_VALUE"""),"-")</f>
        <v>-</v>
      </c>
      <c r="M112" s="19">
        <f>IFERROR(__xludf.DUMMYFUNCTION("""COMPUTED_VALUE"""),0.03975)</f>
        <v>0.03975</v>
      </c>
    </row>
    <row r="113">
      <c r="A113" s="12" t="s">
        <v>8003</v>
      </c>
      <c r="G113" s="19">
        <f>IFERROR(__xludf.DUMMYFUNCTION("SPLIT(A111, "" |"")"),109.0)</f>
        <v>109</v>
      </c>
      <c r="H113" s="19">
        <f>IFERROR(__xludf.DUMMYFUNCTION("""COMPUTED_VALUE"""),0.00263)</f>
        <v>0.00263</v>
      </c>
      <c r="I113" s="19" t="str">
        <f>IFERROR(__xludf.DUMMYFUNCTION("""COMPUTED_VALUE"""),"-")</f>
        <v>-</v>
      </c>
      <c r="J113" s="19">
        <f>IFERROR(__xludf.DUMMYFUNCTION("""COMPUTED_VALUE"""),0.00237)</f>
        <v>0.00237</v>
      </c>
      <c r="K113" s="19">
        <f>IFERROR(__xludf.DUMMYFUNCTION("""COMPUTED_VALUE"""),0.03962)</f>
        <v>0.03962</v>
      </c>
      <c r="L113" s="19" t="str">
        <f>IFERROR(__xludf.DUMMYFUNCTION("""COMPUTED_VALUE"""),"-")</f>
        <v>-</v>
      </c>
      <c r="M113" s="19">
        <f>IFERROR(__xludf.DUMMYFUNCTION("""COMPUTED_VALUE"""),0.03808)</f>
        <v>0.03808</v>
      </c>
    </row>
    <row r="114">
      <c r="A114" s="12" t="s">
        <v>8004</v>
      </c>
      <c r="G114" s="19">
        <f>IFERROR(__xludf.DUMMYFUNCTION("SPLIT(A112, "" |"")"),110.0)</f>
        <v>110</v>
      </c>
      <c r="H114" s="19">
        <f>IFERROR(__xludf.DUMMYFUNCTION("""COMPUTED_VALUE"""),0.00232)</f>
        <v>0.00232</v>
      </c>
      <c r="I114" s="19" t="str">
        <f>IFERROR(__xludf.DUMMYFUNCTION("""COMPUTED_VALUE"""),"-")</f>
        <v>-</v>
      </c>
      <c r="J114" s="19">
        <f>IFERROR(__xludf.DUMMYFUNCTION("""COMPUTED_VALUE"""),0.00215)</f>
        <v>0.00215</v>
      </c>
      <c r="K114" s="19">
        <f>IFERROR(__xludf.DUMMYFUNCTION("""COMPUTED_VALUE"""),0.03992)</f>
        <v>0.03992</v>
      </c>
      <c r="L114" s="19" t="str">
        <f>IFERROR(__xludf.DUMMYFUNCTION("""COMPUTED_VALUE"""),"-")</f>
        <v>-</v>
      </c>
      <c r="M114" s="19">
        <f>IFERROR(__xludf.DUMMYFUNCTION("""COMPUTED_VALUE"""),0.03975)</f>
        <v>0.03975</v>
      </c>
    </row>
    <row r="115">
      <c r="A115" s="12" t="s">
        <v>8005</v>
      </c>
      <c r="G115" s="19">
        <f>IFERROR(__xludf.DUMMYFUNCTION("SPLIT(A113, "" |"")"),111.0)</f>
        <v>111</v>
      </c>
      <c r="H115" s="19">
        <f>IFERROR(__xludf.DUMMYFUNCTION("""COMPUTED_VALUE"""),0.00223)</f>
        <v>0.00223</v>
      </c>
      <c r="I115" s="19" t="str">
        <f>IFERROR(__xludf.DUMMYFUNCTION("""COMPUTED_VALUE"""),"-")</f>
        <v>-</v>
      </c>
      <c r="J115" s="19">
        <f>IFERROR(__xludf.DUMMYFUNCTION("""COMPUTED_VALUE"""),0.00248)</f>
        <v>0.00248</v>
      </c>
      <c r="K115" s="19">
        <f>IFERROR(__xludf.DUMMYFUNCTION("""COMPUTED_VALUE"""),0.03832)</f>
        <v>0.03832</v>
      </c>
      <c r="L115" s="19" t="str">
        <f>IFERROR(__xludf.DUMMYFUNCTION("""COMPUTED_VALUE"""),"-")</f>
        <v>-</v>
      </c>
      <c r="M115" s="19">
        <f>IFERROR(__xludf.DUMMYFUNCTION("""COMPUTED_VALUE"""),0.0405)</f>
        <v>0.0405</v>
      </c>
    </row>
    <row r="116">
      <c r="A116" s="12" t="s">
        <v>8006</v>
      </c>
      <c r="G116" s="19">
        <f>IFERROR(__xludf.DUMMYFUNCTION("SPLIT(A114, "" |"")"),112.0)</f>
        <v>112</v>
      </c>
      <c r="H116" s="19">
        <f>IFERROR(__xludf.DUMMYFUNCTION("""COMPUTED_VALUE"""),0.00231)</f>
        <v>0.00231</v>
      </c>
      <c r="I116" s="19" t="str">
        <f>IFERROR(__xludf.DUMMYFUNCTION("""COMPUTED_VALUE"""),"-")</f>
        <v>-</v>
      </c>
      <c r="J116" s="19">
        <f>IFERROR(__xludf.DUMMYFUNCTION("""COMPUTED_VALUE"""),0.00236)</f>
        <v>0.00236</v>
      </c>
      <c r="K116" s="19">
        <f>IFERROR(__xludf.DUMMYFUNCTION("""COMPUTED_VALUE"""),0.04009)</f>
        <v>0.04009</v>
      </c>
      <c r="L116" s="19" t="str">
        <f>IFERROR(__xludf.DUMMYFUNCTION("""COMPUTED_VALUE"""),"-")</f>
        <v>-</v>
      </c>
      <c r="M116" s="19">
        <f>IFERROR(__xludf.DUMMYFUNCTION("""COMPUTED_VALUE"""),0.03802)</f>
        <v>0.03802</v>
      </c>
    </row>
    <row r="117">
      <c r="A117" s="12" t="s">
        <v>8007</v>
      </c>
      <c r="G117" s="19">
        <f>IFERROR(__xludf.DUMMYFUNCTION("SPLIT(A115, "" |"")"),113.0)</f>
        <v>113</v>
      </c>
      <c r="H117" s="19">
        <f>IFERROR(__xludf.DUMMYFUNCTION("""COMPUTED_VALUE"""),0.00228)</f>
        <v>0.00228</v>
      </c>
      <c r="I117" s="19" t="str">
        <f>IFERROR(__xludf.DUMMYFUNCTION("""COMPUTED_VALUE"""),"-")</f>
        <v>-</v>
      </c>
      <c r="J117" s="19">
        <f>IFERROR(__xludf.DUMMYFUNCTION("""COMPUTED_VALUE"""),0.00208)</f>
        <v>0.00208</v>
      </c>
      <c r="K117" s="19">
        <f>IFERROR(__xludf.DUMMYFUNCTION("""COMPUTED_VALUE"""),0.04013)</f>
        <v>0.04013</v>
      </c>
      <c r="L117" s="19" t="str">
        <f>IFERROR(__xludf.DUMMYFUNCTION("""COMPUTED_VALUE"""),"-")</f>
        <v>-</v>
      </c>
      <c r="M117" s="19">
        <f>IFERROR(__xludf.DUMMYFUNCTION("""COMPUTED_VALUE"""),0.0406)</f>
        <v>0.0406</v>
      </c>
    </row>
    <row r="118">
      <c r="A118" s="12" t="s">
        <v>8008</v>
      </c>
      <c r="G118" s="19">
        <f>IFERROR(__xludf.DUMMYFUNCTION("SPLIT(A116, "" |"")"),114.0)</f>
        <v>114</v>
      </c>
      <c r="H118" s="19">
        <f>IFERROR(__xludf.DUMMYFUNCTION("""COMPUTED_VALUE"""),0.00222)</f>
        <v>0.00222</v>
      </c>
      <c r="I118" s="19" t="str">
        <f>IFERROR(__xludf.DUMMYFUNCTION("""COMPUTED_VALUE"""),"-")</f>
        <v>-</v>
      </c>
      <c r="J118" s="19">
        <f>IFERROR(__xludf.DUMMYFUNCTION("""COMPUTED_VALUE"""),0.002)</f>
        <v>0.002</v>
      </c>
      <c r="K118" s="19">
        <f>IFERROR(__xludf.DUMMYFUNCTION("""COMPUTED_VALUE"""),0.03917)</f>
        <v>0.03917</v>
      </c>
      <c r="L118" s="19" t="str">
        <f>IFERROR(__xludf.DUMMYFUNCTION("""COMPUTED_VALUE"""),"-")</f>
        <v>-</v>
      </c>
      <c r="M118" s="19">
        <f>IFERROR(__xludf.DUMMYFUNCTION("""COMPUTED_VALUE"""),0.0404)</f>
        <v>0.0404</v>
      </c>
    </row>
    <row r="119">
      <c r="A119" s="12" t="s">
        <v>8009</v>
      </c>
      <c r="G119" s="19">
        <f>IFERROR(__xludf.DUMMYFUNCTION("SPLIT(A117, "" |"")"),115.0)</f>
        <v>115</v>
      </c>
      <c r="H119" s="19">
        <f>IFERROR(__xludf.DUMMYFUNCTION("""COMPUTED_VALUE"""),0.00228)</f>
        <v>0.00228</v>
      </c>
      <c r="I119" s="19" t="str">
        <f>IFERROR(__xludf.DUMMYFUNCTION("""COMPUTED_VALUE"""),"-")</f>
        <v>-</v>
      </c>
      <c r="J119" s="19">
        <f>IFERROR(__xludf.DUMMYFUNCTION("""COMPUTED_VALUE"""),0.00202)</f>
        <v>0.00202</v>
      </c>
      <c r="K119" s="19">
        <f>IFERROR(__xludf.DUMMYFUNCTION("""COMPUTED_VALUE"""),0.04028)</f>
        <v>0.04028</v>
      </c>
      <c r="L119" s="19" t="str">
        <f>IFERROR(__xludf.DUMMYFUNCTION("""COMPUTED_VALUE"""),"-")</f>
        <v>-</v>
      </c>
      <c r="M119" s="19">
        <f>IFERROR(__xludf.DUMMYFUNCTION("""COMPUTED_VALUE"""),0.07459)</f>
        <v>0.07459</v>
      </c>
    </row>
    <row r="120">
      <c r="A120" s="12" t="s">
        <v>8010</v>
      </c>
      <c r="G120" s="19">
        <f>IFERROR(__xludf.DUMMYFUNCTION("SPLIT(A118, "" |"")"),116.0)</f>
        <v>116</v>
      </c>
      <c r="H120" s="19">
        <f>IFERROR(__xludf.DUMMYFUNCTION("""COMPUTED_VALUE"""),0.0022)</f>
        <v>0.0022</v>
      </c>
      <c r="I120" s="19" t="str">
        <f>IFERROR(__xludf.DUMMYFUNCTION("""COMPUTED_VALUE"""),"-")</f>
        <v>-</v>
      </c>
      <c r="J120" s="19">
        <f>IFERROR(__xludf.DUMMYFUNCTION("""COMPUTED_VALUE"""),0.00203)</f>
        <v>0.00203</v>
      </c>
      <c r="K120" s="19">
        <f>IFERROR(__xludf.DUMMYFUNCTION("""COMPUTED_VALUE"""),0.04288)</f>
        <v>0.04288</v>
      </c>
      <c r="L120" s="19" t="str">
        <f>IFERROR(__xludf.DUMMYFUNCTION("""COMPUTED_VALUE"""),"-")</f>
        <v>-</v>
      </c>
      <c r="M120" s="19">
        <f>IFERROR(__xludf.DUMMYFUNCTION("""COMPUTED_VALUE"""),0.07777)</f>
        <v>0.07777</v>
      </c>
    </row>
    <row r="121">
      <c r="A121" s="12" t="s">
        <v>8011</v>
      </c>
      <c r="G121" s="19">
        <f>IFERROR(__xludf.DUMMYFUNCTION("SPLIT(A119, "" |"")"),117.0)</f>
        <v>117</v>
      </c>
      <c r="H121" s="19">
        <f>IFERROR(__xludf.DUMMYFUNCTION("""COMPUTED_VALUE"""),0.00225)</f>
        <v>0.00225</v>
      </c>
      <c r="I121" s="19" t="str">
        <f>IFERROR(__xludf.DUMMYFUNCTION("""COMPUTED_VALUE"""),"-")</f>
        <v>-</v>
      </c>
      <c r="J121" s="19">
        <f>IFERROR(__xludf.DUMMYFUNCTION("""COMPUTED_VALUE"""),0.00171)</f>
        <v>0.00171</v>
      </c>
      <c r="K121" s="19">
        <f>IFERROR(__xludf.DUMMYFUNCTION("""COMPUTED_VALUE"""),0.03988)</f>
        <v>0.03988</v>
      </c>
      <c r="L121" s="19" t="str">
        <f>IFERROR(__xludf.DUMMYFUNCTION("""COMPUTED_VALUE"""),"-")</f>
        <v>-</v>
      </c>
      <c r="M121" s="19">
        <f>IFERROR(__xludf.DUMMYFUNCTION("""COMPUTED_VALUE"""),0.04006)</f>
        <v>0.04006</v>
      </c>
    </row>
    <row r="122">
      <c r="A122" s="12" t="s">
        <v>8012</v>
      </c>
      <c r="G122" s="19">
        <f>IFERROR(__xludf.DUMMYFUNCTION("SPLIT(A120, "" |"")"),118.0)</f>
        <v>118</v>
      </c>
      <c r="H122" s="19">
        <f>IFERROR(__xludf.DUMMYFUNCTION("""COMPUTED_VALUE"""),0.0023)</f>
        <v>0.0023</v>
      </c>
      <c r="I122" s="19" t="str">
        <f>IFERROR(__xludf.DUMMYFUNCTION("""COMPUTED_VALUE"""),"-")</f>
        <v>-</v>
      </c>
      <c r="J122" s="19">
        <f>IFERROR(__xludf.DUMMYFUNCTION("""COMPUTED_VALUE"""),0.0019)</f>
        <v>0.0019</v>
      </c>
      <c r="K122" s="19">
        <f>IFERROR(__xludf.DUMMYFUNCTION("""COMPUTED_VALUE"""),0.03861)</f>
        <v>0.03861</v>
      </c>
      <c r="L122" s="19" t="str">
        <f>IFERROR(__xludf.DUMMYFUNCTION("""COMPUTED_VALUE"""),"-")</f>
        <v>-</v>
      </c>
      <c r="M122" s="19">
        <f>IFERROR(__xludf.DUMMYFUNCTION("""COMPUTED_VALUE"""),0.03586)</f>
        <v>0.03586</v>
      </c>
    </row>
    <row r="123">
      <c r="A123" s="12" t="s">
        <v>8013</v>
      </c>
      <c r="G123" s="19">
        <f>IFERROR(__xludf.DUMMYFUNCTION("SPLIT(A121, "" |"")"),119.0)</f>
        <v>119</v>
      </c>
      <c r="H123" s="19">
        <f>IFERROR(__xludf.DUMMYFUNCTION("""COMPUTED_VALUE"""),0.00217)</f>
        <v>0.00217</v>
      </c>
      <c r="I123" s="19" t="str">
        <f>IFERROR(__xludf.DUMMYFUNCTION("""COMPUTED_VALUE"""),"-")</f>
        <v>-</v>
      </c>
      <c r="J123" s="19">
        <f>IFERROR(__xludf.DUMMYFUNCTION("""COMPUTED_VALUE"""),0.00188)</f>
        <v>0.00188</v>
      </c>
      <c r="K123" s="19">
        <f>IFERROR(__xludf.DUMMYFUNCTION("""COMPUTED_VALUE"""),0.0382)</f>
        <v>0.0382</v>
      </c>
      <c r="L123" s="19" t="str">
        <f>IFERROR(__xludf.DUMMYFUNCTION("""COMPUTED_VALUE"""),"-")</f>
        <v>-</v>
      </c>
      <c r="M123" s="19">
        <f>IFERROR(__xludf.DUMMYFUNCTION("""COMPUTED_VALUE"""),0.03829)</f>
        <v>0.03829</v>
      </c>
    </row>
    <row r="124">
      <c r="A124" s="12" t="s">
        <v>8014</v>
      </c>
      <c r="G124" s="19">
        <f>IFERROR(__xludf.DUMMYFUNCTION("SPLIT(A122, "" |"")"),120.0)</f>
        <v>120</v>
      </c>
      <c r="H124" s="19">
        <f>IFERROR(__xludf.DUMMYFUNCTION("""COMPUTED_VALUE"""),0.00232)</f>
        <v>0.00232</v>
      </c>
      <c r="I124" s="19" t="str">
        <f>IFERROR(__xludf.DUMMYFUNCTION("""COMPUTED_VALUE"""),"-")</f>
        <v>-</v>
      </c>
      <c r="J124" s="19">
        <f>IFERROR(__xludf.DUMMYFUNCTION("""COMPUTED_VALUE"""),0.00202)</f>
        <v>0.00202</v>
      </c>
      <c r="K124" s="19">
        <f>IFERROR(__xludf.DUMMYFUNCTION("""COMPUTED_VALUE"""),0.03721)</f>
        <v>0.03721</v>
      </c>
      <c r="L124" s="19" t="str">
        <f>IFERROR(__xludf.DUMMYFUNCTION("""COMPUTED_VALUE"""),"-")</f>
        <v>-</v>
      </c>
      <c r="M124" s="19">
        <f>IFERROR(__xludf.DUMMYFUNCTION("""COMPUTED_VALUE"""),0.04014)</f>
        <v>0.04014</v>
      </c>
    </row>
    <row r="125">
      <c r="A125" s="12" t="s">
        <v>8015</v>
      </c>
      <c r="G125" s="19">
        <f>IFERROR(__xludf.DUMMYFUNCTION("SPLIT(A123, "" |"")"),121.0)</f>
        <v>121</v>
      </c>
      <c r="H125" s="19">
        <f>IFERROR(__xludf.DUMMYFUNCTION("""COMPUTED_VALUE"""),0.00217)</f>
        <v>0.00217</v>
      </c>
      <c r="I125" s="19" t="str">
        <f>IFERROR(__xludf.DUMMYFUNCTION("""COMPUTED_VALUE"""),"-")</f>
        <v>-</v>
      </c>
      <c r="J125" s="19">
        <f>IFERROR(__xludf.DUMMYFUNCTION("""COMPUTED_VALUE"""),0.00192)</f>
        <v>0.00192</v>
      </c>
      <c r="K125" s="19">
        <f>IFERROR(__xludf.DUMMYFUNCTION("""COMPUTED_VALUE"""),0.03984)</f>
        <v>0.03984</v>
      </c>
      <c r="L125" s="19" t="str">
        <f>IFERROR(__xludf.DUMMYFUNCTION("""COMPUTED_VALUE"""),"-")</f>
        <v>-</v>
      </c>
      <c r="M125" s="19">
        <f>IFERROR(__xludf.DUMMYFUNCTION("""COMPUTED_VALUE"""),0.03499)</f>
        <v>0.03499</v>
      </c>
    </row>
    <row r="126">
      <c r="A126" s="12" t="s">
        <v>8016</v>
      </c>
      <c r="G126" s="19">
        <f>IFERROR(__xludf.DUMMYFUNCTION("SPLIT(A124, "" |"")"),122.0)</f>
        <v>122</v>
      </c>
      <c r="H126" s="19">
        <f>IFERROR(__xludf.DUMMYFUNCTION("""COMPUTED_VALUE"""),0.0022)</f>
        <v>0.0022</v>
      </c>
      <c r="I126" s="19" t="str">
        <f>IFERROR(__xludf.DUMMYFUNCTION("""COMPUTED_VALUE"""),"-")</f>
        <v>-</v>
      </c>
      <c r="J126" s="19">
        <f>IFERROR(__xludf.DUMMYFUNCTION("""COMPUTED_VALUE"""),0.00197)</f>
        <v>0.00197</v>
      </c>
      <c r="K126" s="19">
        <f>IFERROR(__xludf.DUMMYFUNCTION("""COMPUTED_VALUE"""),0.03962)</f>
        <v>0.03962</v>
      </c>
      <c r="L126" s="19" t="str">
        <f>IFERROR(__xludf.DUMMYFUNCTION("""COMPUTED_VALUE"""),"-")</f>
        <v>-</v>
      </c>
      <c r="M126" s="19">
        <f>IFERROR(__xludf.DUMMYFUNCTION("""COMPUTED_VALUE"""),0.03787)</f>
        <v>0.03787</v>
      </c>
    </row>
    <row r="127">
      <c r="A127" s="12" t="s">
        <v>8017</v>
      </c>
      <c r="G127" s="19">
        <f>IFERROR(__xludf.DUMMYFUNCTION("SPLIT(A125, "" |"")"),123.0)</f>
        <v>123</v>
      </c>
      <c r="H127" s="19">
        <f>IFERROR(__xludf.DUMMYFUNCTION("""COMPUTED_VALUE"""),0.00244)</f>
        <v>0.00244</v>
      </c>
      <c r="I127" s="19" t="str">
        <f>IFERROR(__xludf.DUMMYFUNCTION("""COMPUTED_VALUE"""),"-")</f>
        <v>-</v>
      </c>
      <c r="J127" s="19">
        <f>IFERROR(__xludf.DUMMYFUNCTION("""COMPUTED_VALUE"""),0.0021)</f>
        <v>0.0021</v>
      </c>
      <c r="K127" s="19">
        <f>IFERROR(__xludf.DUMMYFUNCTION("""COMPUTED_VALUE"""),0.03883)</f>
        <v>0.03883</v>
      </c>
      <c r="L127" s="19" t="str">
        <f>IFERROR(__xludf.DUMMYFUNCTION("""COMPUTED_VALUE"""),"-")</f>
        <v>-</v>
      </c>
      <c r="M127" s="19">
        <f>IFERROR(__xludf.DUMMYFUNCTION("""COMPUTED_VALUE"""),0.0387)</f>
        <v>0.0387</v>
      </c>
    </row>
    <row r="128">
      <c r="A128" s="12" t="s">
        <v>8018</v>
      </c>
      <c r="G128" s="19">
        <f>IFERROR(__xludf.DUMMYFUNCTION("SPLIT(A126, "" |"")"),124.0)</f>
        <v>124</v>
      </c>
      <c r="H128" s="19">
        <f>IFERROR(__xludf.DUMMYFUNCTION("""COMPUTED_VALUE"""),0.00224)</f>
        <v>0.00224</v>
      </c>
      <c r="I128" s="19" t="str">
        <f>IFERROR(__xludf.DUMMYFUNCTION("""COMPUTED_VALUE"""),"-")</f>
        <v>-</v>
      </c>
      <c r="J128" s="19">
        <f>IFERROR(__xludf.DUMMYFUNCTION("""COMPUTED_VALUE"""),0.00186)</f>
        <v>0.00186</v>
      </c>
      <c r="K128" s="19">
        <f>IFERROR(__xludf.DUMMYFUNCTION("""COMPUTED_VALUE"""),0.03736)</f>
        <v>0.03736</v>
      </c>
      <c r="L128" s="19" t="str">
        <f>IFERROR(__xludf.DUMMYFUNCTION("""COMPUTED_VALUE"""),"-")</f>
        <v>-</v>
      </c>
      <c r="M128" s="19">
        <f>IFERROR(__xludf.DUMMYFUNCTION("""COMPUTED_VALUE"""),0.03966)</f>
        <v>0.03966</v>
      </c>
    </row>
    <row r="129">
      <c r="A129" s="12" t="s">
        <v>8019</v>
      </c>
      <c r="G129" s="19">
        <f>IFERROR(__xludf.DUMMYFUNCTION("SPLIT(A127, "" |"")"),125.0)</f>
        <v>125</v>
      </c>
      <c r="H129" s="19">
        <f>IFERROR(__xludf.DUMMYFUNCTION("""COMPUTED_VALUE"""),0.00209)</f>
        <v>0.00209</v>
      </c>
      <c r="I129" s="19" t="str">
        <f>IFERROR(__xludf.DUMMYFUNCTION("""COMPUTED_VALUE"""),"-")</f>
        <v>-</v>
      </c>
      <c r="J129" s="19">
        <f>IFERROR(__xludf.DUMMYFUNCTION("""COMPUTED_VALUE"""),0.00193)</f>
        <v>0.00193</v>
      </c>
      <c r="K129" s="19">
        <f>IFERROR(__xludf.DUMMYFUNCTION("""COMPUTED_VALUE"""),0.03961)</f>
        <v>0.03961</v>
      </c>
      <c r="L129" s="19" t="str">
        <f>IFERROR(__xludf.DUMMYFUNCTION("""COMPUTED_VALUE"""),"-")</f>
        <v>-</v>
      </c>
      <c r="M129" s="19">
        <f>IFERROR(__xludf.DUMMYFUNCTION("""COMPUTED_VALUE"""),0.03585)</f>
        <v>0.03585</v>
      </c>
    </row>
    <row r="130">
      <c r="A130" s="12" t="s">
        <v>8020</v>
      </c>
      <c r="G130" s="19">
        <f>IFERROR(__xludf.DUMMYFUNCTION("SPLIT(A128, "" |"")"),126.0)</f>
        <v>126</v>
      </c>
      <c r="H130" s="19">
        <f>IFERROR(__xludf.DUMMYFUNCTION("""COMPUTED_VALUE"""),0.00215)</f>
        <v>0.00215</v>
      </c>
      <c r="I130" s="19" t="str">
        <f>IFERROR(__xludf.DUMMYFUNCTION("""COMPUTED_VALUE"""),"-")</f>
        <v>-</v>
      </c>
      <c r="J130" s="19">
        <f>IFERROR(__xludf.DUMMYFUNCTION("""COMPUTED_VALUE"""),0.00186)</f>
        <v>0.00186</v>
      </c>
      <c r="K130" s="19">
        <f>IFERROR(__xludf.DUMMYFUNCTION("""COMPUTED_VALUE"""),0.03752)</f>
        <v>0.03752</v>
      </c>
      <c r="L130" s="19" t="str">
        <f>IFERROR(__xludf.DUMMYFUNCTION("""COMPUTED_VALUE"""),"-")</f>
        <v>-</v>
      </c>
      <c r="M130" s="19">
        <f>IFERROR(__xludf.DUMMYFUNCTION("""COMPUTED_VALUE"""),0.04)</f>
        <v>0.04</v>
      </c>
    </row>
    <row r="131">
      <c r="A131" s="12" t="s">
        <v>8021</v>
      </c>
      <c r="G131" s="19">
        <f>IFERROR(__xludf.DUMMYFUNCTION("SPLIT(A129, "" |"")"),127.0)</f>
        <v>127</v>
      </c>
      <c r="H131" s="19">
        <f>IFERROR(__xludf.DUMMYFUNCTION("""COMPUTED_VALUE"""),0.00224)</f>
        <v>0.00224</v>
      </c>
      <c r="I131" s="19" t="str">
        <f>IFERROR(__xludf.DUMMYFUNCTION("""COMPUTED_VALUE"""),"-")</f>
        <v>-</v>
      </c>
      <c r="J131" s="19">
        <f>IFERROR(__xludf.DUMMYFUNCTION("""COMPUTED_VALUE"""),0.00182)</f>
        <v>0.00182</v>
      </c>
      <c r="K131" s="19">
        <f>IFERROR(__xludf.DUMMYFUNCTION("""COMPUTED_VALUE"""),0.03905)</f>
        <v>0.03905</v>
      </c>
      <c r="L131" s="19" t="str">
        <f>IFERROR(__xludf.DUMMYFUNCTION("""COMPUTED_VALUE"""),"-")</f>
        <v>-</v>
      </c>
      <c r="M131" s="19">
        <f>IFERROR(__xludf.DUMMYFUNCTION("""COMPUTED_VALUE"""),0.04032)</f>
        <v>0.04032</v>
      </c>
    </row>
    <row r="132">
      <c r="A132" s="12" t="s">
        <v>8022</v>
      </c>
      <c r="G132" s="19">
        <f>IFERROR(__xludf.DUMMYFUNCTION("SPLIT(A130, "" |"")"),128.0)</f>
        <v>128</v>
      </c>
      <c r="H132" s="19">
        <f>IFERROR(__xludf.DUMMYFUNCTION("""COMPUTED_VALUE"""),0.00223)</f>
        <v>0.00223</v>
      </c>
      <c r="I132" s="19" t="str">
        <f>IFERROR(__xludf.DUMMYFUNCTION("""COMPUTED_VALUE"""),"-")</f>
        <v>-</v>
      </c>
      <c r="J132" s="19">
        <f>IFERROR(__xludf.DUMMYFUNCTION("""COMPUTED_VALUE"""),0.00203)</f>
        <v>0.00203</v>
      </c>
      <c r="K132" s="19">
        <f>IFERROR(__xludf.DUMMYFUNCTION("""COMPUTED_VALUE"""),0.03981)</f>
        <v>0.03981</v>
      </c>
      <c r="L132" s="19" t="str">
        <f>IFERROR(__xludf.DUMMYFUNCTION("""COMPUTED_VALUE"""),"-")</f>
        <v>-</v>
      </c>
      <c r="M132" s="19">
        <f>IFERROR(__xludf.DUMMYFUNCTION("""COMPUTED_VALUE"""),0.03993)</f>
        <v>0.03993</v>
      </c>
    </row>
    <row r="133">
      <c r="A133" s="12" t="s">
        <v>8023</v>
      </c>
      <c r="G133" s="19">
        <f>IFERROR(__xludf.DUMMYFUNCTION("SPLIT(A131, "" |"")"),129.0)</f>
        <v>129</v>
      </c>
      <c r="H133" s="19">
        <f>IFERROR(__xludf.DUMMYFUNCTION("""COMPUTED_VALUE"""),0.00219)</f>
        <v>0.00219</v>
      </c>
      <c r="I133" s="19" t="str">
        <f>IFERROR(__xludf.DUMMYFUNCTION("""COMPUTED_VALUE"""),"-")</f>
        <v>-</v>
      </c>
      <c r="J133" s="19">
        <f>IFERROR(__xludf.DUMMYFUNCTION("""COMPUTED_VALUE"""),0.00193)</f>
        <v>0.00193</v>
      </c>
      <c r="K133" s="19">
        <f>IFERROR(__xludf.DUMMYFUNCTION("""COMPUTED_VALUE"""),0.03967)</f>
        <v>0.03967</v>
      </c>
      <c r="L133" s="19" t="str">
        <f>IFERROR(__xludf.DUMMYFUNCTION("""COMPUTED_VALUE"""),"-")</f>
        <v>-</v>
      </c>
      <c r="M133" s="19">
        <f>IFERROR(__xludf.DUMMYFUNCTION("""COMPUTED_VALUE"""),0.03984)</f>
        <v>0.03984</v>
      </c>
    </row>
    <row r="134">
      <c r="A134" s="12" t="s">
        <v>8024</v>
      </c>
      <c r="G134" s="19">
        <f>IFERROR(__xludf.DUMMYFUNCTION("SPLIT(A132, "" |"")"),130.0)</f>
        <v>130</v>
      </c>
      <c r="H134" s="19">
        <f>IFERROR(__xludf.DUMMYFUNCTION("""COMPUTED_VALUE"""),0.00222)</f>
        <v>0.00222</v>
      </c>
      <c r="I134" s="19" t="str">
        <f>IFERROR(__xludf.DUMMYFUNCTION("""COMPUTED_VALUE"""),"-")</f>
        <v>-</v>
      </c>
      <c r="J134" s="19">
        <f>IFERROR(__xludf.DUMMYFUNCTION("""COMPUTED_VALUE"""),0.00196)</f>
        <v>0.00196</v>
      </c>
      <c r="K134" s="19">
        <f>IFERROR(__xludf.DUMMYFUNCTION("""COMPUTED_VALUE"""),0.03947)</f>
        <v>0.03947</v>
      </c>
      <c r="L134" s="19" t="str">
        <f>IFERROR(__xludf.DUMMYFUNCTION("""COMPUTED_VALUE"""),"-")</f>
        <v>-</v>
      </c>
      <c r="M134" s="19">
        <f>IFERROR(__xludf.DUMMYFUNCTION("""COMPUTED_VALUE"""),0.03973)</f>
        <v>0.03973</v>
      </c>
    </row>
    <row r="135">
      <c r="A135" s="12" t="s">
        <v>8025</v>
      </c>
      <c r="G135" s="19">
        <f>IFERROR(__xludf.DUMMYFUNCTION("SPLIT(A133, "" |"")"),131.0)</f>
        <v>131</v>
      </c>
      <c r="H135" s="19">
        <f>IFERROR(__xludf.DUMMYFUNCTION("""COMPUTED_VALUE"""),0.0021)</f>
        <v>0.0021</v>
      </c>
      <c r="I135" s="19" t="str">
        <f>IFERROR(__xludf.DUMMYFUNCTION("""COMPUTED_VALUE"""),"-")</f>
        <v>-</v>
      </c>
      <c r="J135" s="19">
        <f>IFERROR(__xludf.DUMMYFUNCTION("""COMPUTED_VALUE"""),0.00196)</f>
        <v>0.00196</v>
      </c>
      <c r="K135" s="19">
        <f>IFERROR(__xludf.DUMMYFUNCTION("""COMPUTED_VALUE"""),0.0396)</f>
        <v>0.0396</v>
      </c>
      <c r="L135" s="19" t="str">
        <f>IFERROR(__xludf.DUMMYFUNCTION("""COMPUTED_VALUE"""),"-")</f>
        <v>-</v>
      </c>
      <c r="M135" s="19">
        <f>IFERROR(__xludf.DUMMYFUNCTION("""COMPUTED_VALUE"""),0.03974)</f>
        <v>0.03974</v>
      </c>
    </row>
    <row r="136">
      <c r="A136" s="12" t="s">
        <v>8026</v>
      </c>
      <c r="G136" s="19">
        <f>IFERROR(__xludf.DUMMYFUNCTION("SPLIT(A134, "" |"")"),132.0)</f>
        <v>132</v>
      </c>
      <c r="H136" s="19">
        <f>IFERROR(__xludf.DUMMYFUNCTION("""COMPUTED_VALUE"""),0.00214)</f>
        <v>0.00214</v>
      </c>
      <c r="I136" s="19" t="str">
        <f>IFERROR(__xludf.DUMMYFUNCTION("""COMPUTED_VALUE"""),"-")</f>
        <v>-</v>
      </c>
      <c r="J136" s="19">
        <f>IFERROR(__xludf.DUMMYFUNCTION("""COMPUTED_VALUE"""),0.0019)</f>
        <v>0.0019</v>
      </c>
      <c r="K136" s="19">
        <f>IFERROR(__xludf.DUMMYFUNCTION("""COMPUTED_VALUE"""),0.03959)</f>
        <v>0.03959</v>
      </c>
      <c r="L136" s="19" t="str">
        <f>IFERROR(__xludf.DUMMYFUNCTION("""COMPUTED_VALUE"""),"-")</f>
        <v>-</v>
      </c>
      <c r="M136" s="19">
        <f>IFERROR(__xludf.DUMMYFUNCTION("""COMPUTED_VALUE"""),0.03983)</f>
        <v>0.03983</v>
      </c>
    </row>
    <row r="137">
      <c r="A137" s="12" t="s">
        <v>8027</v>
      </c>
      <c r="G137" s="19">
        <f>IFERROR(__xludf.DUMMYFUNCTION("SPLIT(A135, "" |"")"),133.0)</f>
        <v>133</v>
      </c>
      <c r="H137" s="19">
        <f>IFERROR(__xludf.DUMMYFUNCTION("""COMPUTED_VALUE"""),0.00217)</f>
        <v>0.00217</v>
      </c>
      <c r="I137" s="19" t="str">
        <f>IFERROR(__xludf.DUMMYFUNCTION("""COMPUTED_VALUE"""),"-")</f>
        <v>-</v>
      </c>
      <c r="J137" s="19">
        <f>IFERROR(__xludf.DUMMYFUNCTION("""COMPUTED_VALUE"""),0.00195)</f>
        <v>0.00195</v>
      </c>
      <c r="K137" s="19">
        <f>IFERROR(__xludf.DUMMYFUNCTION("""COMPUTED_VALUE"""),0.03967)</f>
        <v>0.03967</v>
      </c>
      <c r="L137" s="19" t="str">
        <f>IFERROR(__xludf.DUMMYFUNCTION("""COMPUTED_VALUE"""),"-")</f>
        <v>-</v>
      </c>
      <c r="M137" s="19">
        <f>IFERROR(__xludf.DUMMYFUNCTION("""COMPUTED_VALUE"""),0.0398)</f>
        <v>0.0398</v>
      </c>
    </row>
    <row r="138">
      <c r="A138" s="12" t="s">
        <v>8028</v>
      </c>
      <c r="G138" s="19">
        <f>IFERROR(__xludf.DUMMYFUNCTION("SPLIT(A136, "" |"")"),134.0)</f>
        <v>134</v>
      </c>
      <c r="H138" s="19">
        <f>IFERROR(__xludf.DUMMYFUNCTION("""COMPUTED_VALUE"""),0.0021)</f>
        <v>0.0021</v>
      </c>
      <c r="I138" s="19" t="str">
        <f>IFERROR(__xludf.DUMMYFUNCTION("""COMPUTED_VALUE"""),"-")</f>
        <v>-</v>
      </c>
      <c r="J138" s="19">
        <f>IFERROR(__xludf.DUMMYFUNCTION("""COMPUTED_VALUE"""),0.002)</f>
        <v>0.002</v>
      </c>
      <c r="K138" s="19">
        <f>IFERROR(__xludf.DUMMYFUNCTION("""COMPUTED_VALUE"""),0.03966)</f>
        <v>0.03966</v>
      </c>
      <c r="L138" s="19" t="str">
        <f>IFERROR(__xludf.DUMMYFUNCTION("""COMPUTED_VALUE"""),"-")</f>
        <v>-</v>
      </c>
      <c r="M138" s="19">
        <f>IFERROR(__xludf.DUMMYFUNCTION("""COMPUTED_VALUE"""),0.03988)</f>
        <v>0.03988</v>
      </c>
    </row>
    <row r="139">
      <c r="A139" s="12" t="s">
        <v>8029</v>
      </c>
      <c r="G139" s="19">
        <f>IFERROR(__xludf.DUMMYFUNCTION("SPLIT(A137, "" |"")"),135.0)</f>
        <v>135</v>
      </c>
      <c r="H139" s="19">
        <f>IFERROR(__xludf.DUMMYFUNCTION("""COMPUTED_VALUE"""),0.00212)</f>
        <v>0.00212</v>
      </c>
      <c r="I139" s="19" t="str">
        <f>IFERROR(__xludf.DUMMYFUNCTION("""COMPUTED_VALUE"""),"-")</f>
        <v>-</v>
      </c>
      <c r="J139" s="19">
        <f>IFERROR(__xludf.DUMMYFUNCTION("""COMPUTED_VALUE"""),0.00197)</f>
        <v>0.00197</v>
      </c>
      <c r="K139" s="19">
        <f>IFERROR(__xludf.DUMMYFUNCTION("""COMPUTED_VALUE"""),0.03973)</f>
        <v>0.03973</v>
      </c>
      <c r="L139" s="19" t="str">
        <f>IFERROR(__xludf.DUMMYFUNCTION("""COMPUTED_VALUE"""),"-")</f>
        <v>-</v>
      </c>
      <c r="M139" s="19">
        <f>IFERROR(__xludf.DUMMYFUNCTION("""COMPUTED_VALUE"""),0.03986)</f>
        <v>0.03986</v>
      </c>
    </row>
    <row r="140">
      <c r="A140" s="12" t="s">
        <v>8030</v>
      </c>
      <c r="G140" s="19">
        <f>IFERROR(__xludf.DUMMYFUNCTION("SPLIT(A138, "" |"")"),136.0)</f>
        <v>136</v>
      </c>
      <c r="H140" s="19">
        <f>IFERROR(__xludf.DUMMYFUNCTION("""COMPUTED_VALUE"""),0.0021)</f>
        <v>0.0021</v>
      </c>
      <c r="I140" s="19" t="str">
        <f>IFERROR(__xludf.DUMMYFUNCTION("""COMPUTED_VALUE"""),"-")</f>
        <v>-</v>
      </c>
      <c r="J140" s="19">
        <f>IFERROR(__xludf.DUMMYFUNCTION("""COMPUTED_VALUE"""),0.00194)</f>
        <v>0.00194</v>
      </c>
      <c r="K140" s="19">
        <f>IFERROR(__xludf.DUMMYFUNCTION("""COMPUTED_VALUE"""),0.03973)</f>
        <v>0.03973</v>
      </c>
      <c r="L140" s="19" t="str">
        <f>IFERROR(__xludf.DUMMYFUNCTION("""COMPUTED_VALUE"""),"-")</f>
        <v>-</v>
      </c>
      <c r="M140" s="19">
        <f>IFERROR(__xludf.DUMMYFUNCTION("""COMPUTED_VALUE"""),0.03982)</f>
        <v>0.03982</v>
      </c>
    </row>
    <row r="141">
      <c r="A141" s="12" t="s">
        <v>8031</v>
      </c>
      <c r="G141" s="19">
        <f>IFERROR(__xludf.DUMMYFUNCTION("SPLIT(A139, "" |"")"),137.0)</f>
        <v>137</v>
      </c>
      <c r="H141" s="19">
        <f>IFERROR(__xludf.DUMMYFUNCTION("""COMPUTED_VALUE"""),0.00212)</f>
        <v>0.00212</v>
      </c>
      <c r="I141" s="19" t="str">
        <f>IFERROR(__xludf.DUMMYFUNCTION("""COMPUTED_VALUE"""),"-")</f>
        <v>-</v>
      </c>
      <c r="J141" s="19">
        <f>IFERROR(__xludf.DUMMYFUNCTION("""COMPUTED_VALUE"""),0.00194)</f>
        <v>0.00194</v>
      </c>
      <c r="K141" s="19">
        <f>IFERROR(__xludf.DUMMYFUNCTION("""COMPUTED_VALUE"""),0.03878)</f>
        <v>0.03878</v>
      </c>
      <c r="L141" s="19" t="str">
        <f>IFERROR(__xludf.DUMMYFUNCTION("""COMPUTED_VALUE"""),"-")</f>
        <v>-</v>
      </c>
      <c r="M141" s="19">
        <f>IFERROR(__xludf.DUMMYFUNCTION("""COMPUTED_VALUE"""),0.03981)</f>
        <v>0.03981</v>
      </c>
    </row>
    <row r="142">
      <c r="A142" s="12" t="s">
        <v>8032</v>
      </c>
      <c r="G142" s="19">
        <f>IFERROR(__xludf.DUMMYFUNCTION("SPLIT(A140, "" |"")"),138.0)</f>
        <v>138</v>
      </c>
      <c r="H142" s="19">
        <f>IFERROR(__xludf.DUMMYFUNCTION("""COMPUTED_VALUE"""),0.00222)</f>
        <v>0.00222</v>
      </c>
      <c r="I142" s="19" t="str">
        <f>IFERROR(__xludf.DUMMYFUNCTION("""COMPUTED_VALUE"""),"-")</f>
        <v>-</v>
      </c>
      <c r="J142" s="19">
        <f>IFERROR(__xludf.DUMMYFUNCTION("""COMPUTED_VALUE"""),0.0022)</f>
        <v>0.0022</v>
      </c>
      <c r="K142" s="19">
        <f>IFERROR(__xludf.DUMMYFUNCTION("""COMPUTED_VALUE"""),0.0398)</f>
        <v>0.0398</v>
      </c>
      <c r="L142" s="19" t="str">
        <f>IFERROR(__xludf.DUMMYFUNCTION("""COMPUTED_VALUE"""),"-")</f>
        <v>-</v>
      </c>
      <c r="M142" s="19">
        <f>IFERROR(__xludf.DUMMYFUNCTION("""COMPUTED_VALUE"""),0.03983)</f>
        <v>0.03983</v>
      </c>
    </row>
    <row r="143">
      <c r="A143" s="12" t="s">
        <v>8033</v>
      </c>
      <c r="G143" s="19">
        <f>IFERROR(__xludf.DUMMYFUNCTION("SPLIT(A141, "" |"")"),139.0)</f>
        <v>139</v>
      </c>
      <c r="H143" s="19">
        <f>IFERROR(__xludf.DUMMYFUNCTION("""COMPUTED_VALUE"""),0.00214)</f>
        <v>0.00214</v>
      </c>
      <c r="I143" s="19" t="str">
        <f>IFERROR(__xludf.DUMMYFUNCTION("""COMPUTED_VALUE"""),"-")</f>
        <v>-</v>
      </c>
      <c r="J143" s="19">
        <f>IFERROR(__xludf.DUMMYFUNCTION("""COMPUTED_VALUE"""),0.00196)</f>
        <v>0.00196</v>
      </c>
      <c r="K143" s="19">
        <f>IFERROR(__xludf.DUMMYFUNCTION("""COMPUTED_VALUE"""),0.03963)</f>
        <v>0.03963</v>
      </c>
      <c r="L143" s="19" t="str">
        <f>IFERROR(__xludf.DUMMYFUNCTION("""COMPUTED_VALUE"""),"-")</f>
        <v>-</v>
      </c>
      <c r="M143" s="19">
        <f>IFERROR(__xludf.DUMMYFUNCTION("""COMPUTED_VALUE"""),0.03974)</f>
        <v>0.03974</v>
      </c>
    </row>
    <row r="144">
      <c r="A144" s="12" t="s">
        <v>8034</v>
      </c>
      <c r="G144" s="19">
        <f>IFERROR(__xludf.DUMMYFUNCTION("SPLIT(A142, "" |"")"),140.0)</f>
        <v>140</v>
      </c>
      <c r="H144" s="19">
        <f>IFERROR(__xludf.DUMMYFUNCTION("""COMPUTED_VALUE"""),0.00215)</f>
        <v>0.00215</v>
      </c>
      <c r="I144" s="19" t="str">
        <f>IFERROR(__xludf.DUMMYFUNCTION("""COMPUTED_VALUE"""),"-")</f>
        <v>-</v>
      </c>
      <c r="J144" s="19">
        <f>IFERROR(__xludf.DUMMYFUNCTION("""COMPUTED_VALUE"""),0.002)</f>
        <v>0.002</v>
      </c>
      <c r="K144" s="19">
        <f>IFERROR(__xludf.DUMMYFUNCTION("""COMPUTED_VALUE"""),0.03959)</f>
        <v>0.03959</v>
      </c>
      <c r="L144" s="19" t="str">
        <f>IFERROR(__xludf.DUMMYFUNCTION("""COMPUTED_VALUE"""),"-")</f>
        <v>-</v>
      </c>
      <c r="M144" s="19">
        <f>IFERROR(__xludf.DUMMYFUNCTION("""COMPUTED_VALUE"""),0.0399)</f>
        <v>0.0399</v>
      </c>
    </row>
    <row r="145">
      <c r="A145" s="12" t="s">
        <v>8035</v>
      </c>
      <c r="G145" s="19">
        <f>IFERROR(__xludf.DUMMYFUNCTION("SPLIT(A143, "" |"")"),141.0)</f>
        <v>141</v>
      </c>
      <c r="H145" s="19">
        <f>IFERROR(__xludf.DUMMYFUNCTION("""COMPUTED_VALUE"""),0.00214)</f>
        <v>0.00214</v>
      </c>
      <c r="I145" s="19" t="str">
        <f>IFERROR(__xludf.DUMMYFUNCTION("""COMPUTED_VALUE"""),"-")</f>
        <v>-</v>
      </c>
      <c r="J145" s="19">
        <f>IFERROR(__xludf.DUMMYFUNCTION("""COMPUTED_VALUE"""),0.00198)</f>
        <v>0.00198</v>
      </c>
      <c r="K145" s="19">
        <f>IFERROR(__xludf.DUMMYFUNCTION("""COMPUTED_VALUE"""),0.03966)</f>
        <v>0.03966</v>
      </c>
      <c r="L145" s="19" t="str">
        <f>IFERROR(__xludf.DUMMYFUNCTION("""COMPUTED_VALUE"""),"-")</f>
        <v>-</v>
      </c>
      <c r="M145" s="19">
        <f>IFERROR(__xludf.DUMMYFUNCTION("""COMPUTED_VALUE"""),0.0399)</f>
        <v>0.0399</v>
      </c>
    </row>
    <row r="146">
      <c r="A146" s="12" t="s">
        <v>8036</v>
      </c>
      <c r="G146" s="19">
        <f>IFERROR(__xludf.DUMMYFUNCTION("SPLIT(A144, "" |"")"),142.0)</f>
        <v>142</v>
      </c>
      <c r="H146" s="19">
        <f>IFERROR(__xludf.DUMMYFUNCTION("""COMPUTED_VALUE"""),0.00214)</f>
        <v>0.00214</v>
      </c>
      <c r="I146" s="19" t="str">
        <f>IFERROR(__xludf.DUMMYFUNCTION("""COMPUTED_VALUE"""),"-")</f>
        <v>-</v>
      </c>
      <c r="J146" s="19">
        <f>IFERROR(__xludf.DUMMYFUNCTION("""COMPUTED_VALUE"""),0.00188)</f>
        <v>0.00188</v>
      </c>
      <c r="K146" s="19">
        <f>IFERROR(__xludf.DUMMYFUNCTION("""COMPUTED_VALUE"""),0.03884)</f>
        <v>0.03884</v>
      </c>
      <c r="L146" s="19" t="str">
        <f>IFERROR(__xludf.DUMMYFUNCTION("""COMPUTED_VALUE"""),"-")</f>
        <v>-</v>
      </c>
      <c r="M146" s="19">
        <f>IFERROR(__xludf.DUMMYFUNCTION("""COMPUTED_VALUE"""),0.03979)</f>
        <v>0.03979</v>
      </c>
    </row>
    <row r="147">
      <c r="A147" s="12" t="s">
        <v>8037</v>
      </c>
      <c r="G147" s="19">
        <f>IFERROR(__xludf.DUMMYFUNCTION("SPLIT(A145, "" |"")"),143.0)</f>
        <v>143</v>
      </c>
      <c r="H147" s="19">
        <f>IFERROR(__xludf.DUMMYFUNCTION("""COMPUTED_VALUE"""),0.00196)</f>
        <v>0.00196</v>
      </c>
      <c r="I147" s="19" t="str">
        <f>IFERROR(__xludf.DUMMYFUNCTION("""COMPUTED_VALUE"""),"-")</f>
        <v>-</v>
      </c>
      <c r="J147" s="19">
        <f>IFERROR(__xludf.DUMMYFUNCTION("""COMPUTED_VALUE"""),0.00182)</f>
        <v>0.00182</v>
      </c>
      <c r="K147" s="19">
        <f>IFERROR(__xludf.DUMMYFUNCTION("""COMPUTED_VALUE"""),0.03965)</f>
        <v>0.03965</v>
      </c>
      <c r="L147" s="19" t="str">
        <f>IFERROR(__xludf.DUMMYFUNCTION("""COMPUTED_VALUE"""),"-")</f>
        <v>-</v>
      </c>
      <c r="M147" s="19">
        <f>IFERROR(__xludf.DUMMYFUNCTION("""COMPUTED_VALUE"""),0.04007)</f>
        <v>0.04007</v>
      </c>
    </row>
    <row r="148">
      <c r="A148" s="12" t="s">
        <v>8038</v>
      </c>
      <c r="G148" s="19">
        <f>IFERROR(__xludf.DUMMYFUNCTION("SPLIT(A146, "" |"")"),144.0)</f>
        <v>144</v>
      </c>
      <c r="H148" s="19">
        <f>IFERROR(__xludf.DUMMYFUNCTION("""COMPUTED_VALUE"""),0.00211)</f>
        <v>0.00211</v>
      </c>
      <c r="I148" s="19" t="str">
        <f>IFERROR(__xludf.DUMMYFUNCTION("""COMPUTED_VALUE"""),"-")</f>
        <v>-</v>
      </c>
      <c r="J148" s="19">
        <f>IFERROR(__xludf.DUMMYFUNCTION("""COMPUTED_VALUE"""),0.00202)</f>
        <v>0.00202</v>
      </c>
      <c r="K148" s="19">
        <f>IFERROR(__xludf.DUMMYFUNCTION("""COMPUTED_VALUE"""),0.03967)</f>
        <v>0.03967</v>
      </c>
      <c r="L148" s="19" t="str">
        <f>IFERROR(__xludf.DUMMYFUNCTION("""COMPUTED_VALUE"""),"-")</f>
        <v>-</v>
      </c>
      <c r="M148" s="19">
        <f>IFERROR(__xludf.DUMMYFUNCTION("""COMPUTED_VALUE"""),0.03982)</f>
        <v>0.03982</v>
      </c>
    </row>
    <row r="149">
      <c r="A149" s="12" t="s">
        <v>8039</v>
      </c>
      <c r="G149" s="19">
        <f>IFERROR(__xludf.DUMMYFUNCTION("SPLIT(A147, "" |"")"),145.0)</f>
        <v>145</v>
      </c>
      <c r="H149" s="19">
        <f>IFERROR(__xludf.DUMMYFUNCTION("""COMPUTED_VALUE"""),0.00214)</f>
        <v>0.00214</v>
      </c>
      <c r="I149" s="19" t="str">
        <f>IFERROR(__xludf.DUMMYFUNCTION("""COMPUTED_VALUE"""),"-")</f>
        <v>-</v>
      </c>
      <c r="J149" s="19">
        <f>IFERROR(__xludf.DUMMYFUNCTION("""COMPUTED_VALUE"""),0.002)</f>
        <v>0.002</v>
      </c>
      <c r="K149" s="19">
        <f>IFERROR(__xludf.DUMMYFUNCTION("""COMPUTED_VALUE"""),0.03961)</f>
        <v>0.03961</v>
      </c>
      <c r="L149" s="19" t="str">
        <f>IFERROR(__xludf.DUMMYFUNCTION("""COMPUTED_VALUE"""),"-")</f>
        <v>-</v>
      </c>
      <c r="M149" s="19">
        <f>IFERROR(__xludf.DUMMYFUNCTION("""COMPUTED_VALUE"""),0.03578)</f>
        <v>0.03578</v>
      </c>
    </row>
    <row r="150">
      <c r="A150" s="12" t="s">
        <v>8040</v>
      </c>
      <c r="G150" s="19">
        <f>IFERROR(__xludf.DUMMYFUNCTION("SPLIT(A148, "" |"")"),146.0)</f>
        <v>146</v>
      </c>
      <c r="H150" s="19">
        <f>IFERROR(__xludf.DUMMYFUNCTION("""COMPUTED_VALUE"""),0.00215)</f>
        <v>0.00215</v>
      </c>
      <c r="I150" s="19" t="str">
        <f>IFERROR(__xludf.DUMMYFUNCTION("""COMPUTED_VALUE"""),"-")</f>
        <v>-</v>
      </c>
      <c r="J150" s="19">
        <f>IFERROR(__xludf.DUMMYFUNCTION("""COMPUTED_VALUE"""),0.00191)</f>
        <v>0.00191</v>
      </c>
      <c r="K150" s="19">
        <f>IFERROR(__xludf.DUMMYFUNCTION("""COMPUTED_VALUE"""),0.03964)</f>
        <v>0.03964</v>
      </c>
      <c r="L150" s="19" t="str">
        <f>IFERROR(__xludf.DUMMYFUNCTION("""COMPUTED_VALUE"""),"-")</f>
        <v>-</v>
      </c>
      <c r="M150" s="19">
        <f>IFERROR(__xludf.DUMMYFUNCTION("""COMPUTED_VALUE"""),0.03976)</f>
        <v>0.03976</v>
      </c>
    </row>
    <row r="151">
      <c r="A151" s="12" t="s">
        <v>8041</v>
      </c>
      <c r="G151" s="19">
        <f>IFERROR(__xludf.DUMMYFUNCTION("SPLIT(A149, "" |"")"),147.0)</f>
        <v>147</v>
      </c>
      <c r="H151" s="19">
        <f>IFERROR(__xludf.DUMMYFUNCTION("""COMPUTED_VALUE"""),0.00208)</f>
        <v>0.00208</v>
      </c>
      <c r="I151" s="19" t="str">
        <f>IFERROR(__xludf.DUMMYFUNCTION("""COMPUTED_VALUE"""),"-")</f>
        <v>-</v>
      </c>
      <c r="J151" s="19">
        <f>IFERROR(__xludf.DUMMYFUNCTION("""COMPUTED_VALUE"""),0.00197)</f>
        <v>0.00197</v>
      </c>
      <c r="K151" s="19">
        <f>IFERROR(__xludf.DUMMYFUNCTION("""COMPUTED_VALUE"""),0.03968)</f>
        <v>0.03968</v>
      </c>
      <c r="L151" s="19" t="str">
        <f>IFERROR(__xludf.DUMMYFUNCTION("""COMPUTED_VALUE"""),"-")</f>
        <v>-</v>
      </c>
      <c r="M151" s="19">
        <f>IFERROR(__xludf.DUMMYFUNCTION("""COMPUTED_VALUE"""),0.0398)</f>
        <v>0.0398</v>
      </c>
    </row>
    <row r="152">
      <c r="A152" s="12" t="s">
        <v>8042</v>
      </c>
      <c r="G152" s="19">
        <f>IFERROR(__xludf.DUMMYFUNCTION("SPLIT(A150, "" |"")"),148.0)</f>
        <v>148</v>
      </c>
      <c r="H152" s="19">
        <f>IFERROR(__xludf.DUMMYFUNCTION("""COMPUTED_VALUE"""),0.00211)</f>
        <v>0.00211</v>
      </c>
      <c r="I152" s="19" t="str">
        <f>IFERROR(__xludf.DUMMYFUNCTION("""COMPUTED_VALUE"""),"-")</f>
        <v>-</v>
      </c>
      <c r="J152" s="19">
        <f>IFERROR(__xludf.DUMMYFUNCTION("""COMPUTED_VALUE"""),0.00198)</f>
        <v>0.00198</v>
      </c>
      <c r="K152" s="19">
        <f>IFERROR(__xludf.DUMMYFUNCTION("""COMPUTED_VALUE"""),0.03969)</f>
        <v>0.03969</v>
      </c>
      <c r="L152" s="19" t="str">
        <f>IFERROR(__xludf.DUMMYFUNCTION("""COMPUTED_VALUE"""),"-")</f>
        <v>-</v>
      </c>
      <c r="M152" s="19">
        <f>IFERROR(__xludf.DUMMYFUNCTION("""COMPUTED_VALUE"""),0.03695)</f>
        <v>0.03695</v>
      </c>
    </row>
    <row r="153">
      <c r="A153" s="12" t="s">
        <v>8043</v>
      </c>
      <c r="G153" s="19">
        <f>IFERROR(__xludf.DUMMYFUNCTION("SPLIT(A151, "" |"")"),149.0)</f>
        <v>149</v>
      </c>
      <c r="H153" s="19">
        <f>IFERROR(__xludf.DUMMYFUNCTION("""COMPUTED_VALUE"""),0.00211)</f>
        <v>0.00211</v>
      </c>
      <c r="I153" s="19" t="str">
        <f>IFERROR(__xludf.DUMMYFUNCTION("""COMPUTED_VALUE"""),"-")</f>
        <v>-</v>
      </c>
      <c r="J153" s="19">
        <f>IFERROR(__xludf.DUMMYFUNCTION("""COMPUTED_VALUE"""),0.00192)</f>
        <v>0.00192</v>
      </c>
      <c r="K153" s="19">
        <f>IFERROR(__xludf.DUMMYFUNCTION("""COMPUTED_VALUE"""),0.03958)</f>
        <v>0.03958</v>
      </c>
      <c r="L153" s="19" t="str">
        <f>IFERROR(__xludf.DUMMYFUNCTION("""COMPUTED_VALUE"""),"-")</f>
        <v>-</v>
      </c>
      <c r="M153" s="19">
        <f>IFERROR(__xludf.DUMMYFUNCTION("""COMPUTED_VALUE"""),0.04025)</f>
        <v>0.04025</v>
      </c>
    </row>
    <row r="154">
      <c r="A154" s="12" t="s">
        <v>8044</v>
      </c>
      <c r="G154" s="19">
        <f>IFERROR(__xludf.DUMMYFUNCTION("SPLIT(A152, "" |"")"),150.0)</f>
        <v>150</v>
      </c>
      <c r="H154" s="19">
        <f>IFERROR(__xludf.DUMMYFUNCTION("""COMPUTED_VALUE"""),0.00216)</f>
        <v>0.00216</v>
      </c>
      <c r="I154" s="19" t="str">
        <f>IFERROR(__xludf.DUMMYFUNCTION("""COMPUTED_VALUE"""),"-")</f>
        <v>-</v>
      </c>
      <c r="J154" s="19">
        <f>IFERROR(__xludf.DUMMYFUNCTION("""COMPUTED_VALUE"""),0.00201)</f>
        <v>0.00201</v>
      </c>
      <c r="K154" s="19">
        <f>IFERROR(__xludf.DUMMYFUNCTION("""COMPUTED_VALUE"""),0.0395)</f>
        <v>0.0395</v>
      </c>
      <c r="L154" s="19" t="str">
        <f>IFERROR(__xludf.DUMMYFUNCTION("""COMPUTED_VALUE"""),"-")</f>
        <v>-</v>
      </c>
      <c r="M154" s="19">
        <f>IFERROR(__xludf.DUMMYFUNCTION("""COMPUTED_VALUE"""),0.04025)</f>
        <v>0.04025</v>
      </c>
    </row>
    <row r="155">
      <c r="A155" s="12" t="s">
        <v>8045</v>
      </c>
      <c r="G155" s="19">
        <f>IFERROR(__xludf.DUMMYFUNCTION("SPLIT(A153, "" |"")"),151.0)</f>
        <v>151</v>
      </c>
      <c r="H155" s="19">
        <f>IFERROR(__xludf.DUMMYFUNCTION("""COMPUTED_VALUE"""),0.00213)</f>
        <v>0.00213</v>
      </c>
      <c r="I155" s="19" t="str">
        <f>IFERROR(__xludf.DUMMYFUNCTION("""COMPUTED_VALUE"""),"-")</f>
        <v>-</v>
      </c>
      <c r="J155" s="19">
        <f>IFERROR(__xludf.DUMMYFUNCTION("""COMPUTED_VALUE"""),0.00199)</f>
        <v>0.00199</v>
      </c>
      <c r="K155" s="19">
        <f>IFERROR(__xludf.DUMMYFUNCTION("""COMPUTED_VALUE"""),0.0396)</f>
        <v>0.0396</v>
      </c>
      <c r="L155" s="19" t="str">
        <f>IFERROR(__xludf.DUMMYFUNCTION("""COMPUTED_VALUE"""),"-")</f>
        <v>-</v>
      </c>
      <c r="M155" s="19">
        <f>IFERROR(__xludf.DUMMYFUNCTION("""COMPUTED_VALUE"""),0.03663)</f>
        <v>0.03663</v>
      </c>
    </row>
    <row r="156">
      <c r="A156" s="12" t="s">
        <v>8046</v>
      </c>
      <c r="G156" s="19">
        <f>IFERROR(__xludf.DUMMYFUNCTION("SPLIT(A154, "" |"")"),152.0)</f>
        <v>152</v>
      </c>
      <c r="H156" s="19">
        <f>IFERROR(__xludf.DUMMYFUNCTION("""COMPUTED_VALUE"""),0.00205)</f>
        <v>0.00205</v>
      </c>
      <c r="I156" s="19" t="str">
        <f>IFERROR(__xludf.DUMMYFUNCTION("""COMPUTED_VALUE"""),"-")</f>
        <v>-</v>
      </c>
      <c r="J156" s="19">
        <f>IFERROR(__xludf.DUMMYFUNCTION("""COMPUTED_VALUE"""),0.00194)</f>
        <v>0.00194</v>
      </c>
      <c r="K156" s="19">
        <f>IFERROR(__xludf.DUMMYFUNCTION("""COMPUTED_VALUE"""),0.0393)</f>
        <v>0.0393</v>
      </c>
      <c r="L156" s="19" t="str">
        <f>IFERROR(__xludf.DUMMYFUNCTION("""COMPUTED_VALUE"""),"-")</f>
        <v>-</v>
      </c>
      <c r="M156" s="19">
        <f>IFERROR(__xludf.DUMMYFUNCTION("""COMPUTED_VALUE"""),0.03972)</f>
        <v>0.03972</v>
      </c>
    </row>
    <row r="157">
      <c r="A157" s="12" t="s">
        <v>8047</v>
      </c>
      <c r="G157" s="19">
        <f>IFERROR(__xludf.DUMMYFUNCTION("SPLIT(A155, "" |"")"),153.0)</f>
        <v>153</v>
      </c>
      <c r="H157" s="19">
        <f>IFERROR(__xludf.DUMMYFUNCTION("""COMPUTED_VALUE"""),0.00214)</f>
        <v>0.00214</v>
      </c>
      <c r="I157" s="19" t="str">
        <f>IFERROR(__xludf.DUMMYFUNCTION("""COMPUTED_VALUE"""),"-")</f>
        <v>-</v>
      </c>
      <c r="J157" s="19">
        <f>IFERROR(__xludf.DUMMYFUNCTION("""COMPUTED_VALUE"""),0.00199)</f>
        <v>0.00199</v>
      </c>
      <c r="K157" s="19">
        <f>IFERROR(__xludf.DUMMYFUNCTION("""COMPUTED_VALUE"""),0.03842)</f>
        <v>0.03842</v>
      </c>
      <c r="L157" s="19" t="str">
        <f>IFERROR(__xludf.DUMMYFUNCTION("""COMPUTED_VALUE"""),"-")</f>
        <v>-</v>
      </c>
      <c r="M157" s="19">
        <f>IFERROR(__xludf.DUMMYFUNCTION("""COMPUTED_VALUE"""),0.03992)</f>
        <v>0.03992</v>
      </c>
    </row>
    <row r="158">
      <c r="A158" s="12" t="s">
        <v>8048</v>
      </c>
      <c r="G158" s="19">
        <f>IFERROR(__xludf.DUMMYFUNCTION("SPLIT(A156, "" |"")"),154.0)</f>
        <v>154</v>
      </c>
      <c r="H158" s="19">
        <f>IFERROR(__xludf.DUMMYFUNCTION("""COMPUTED_VALUE"""),0.00231)</f>
        <v>0.00231</v>
      </c>
      <c r="I158" s="19" t="str">
        <f>IFERROR(__xludf.DUMMYFUNCTION("""COMPUTED_VALUE"""),"-")</f>
        <v>-</v>
      </c>
      <c r="J158" s="19">
        <f>IFERROR(__xludf.DUMMYFUNCTION("""COMPUTED_VALUE"""),0.00186)</f>
        <v>0.00186</v>
      </c>
      <c r="K158" s="19">
        <f>IFERROR(__xludf.DUMMYFUNCTION("""COMPUTED_VALUE"""),0.03954)</f>
        <v>0.03954</v>
      </c>
      <c r="L158" s="19" t="str">
        <f>IFERROR(__xludf.DUMMYFUNCTION("""COMPUTED_VALUE"""),"-")</f>
        <v>-</v>
      </c>
      <c r="M158" s="19">
        <f>IFERROR(__xludf.DUMMYFUNCTION("""COMPUTED_VALUE"""),0.03987)</f>
        <v>0.03987</v>
      </c>
    </row>
    <row r="159">
      <c r="A159" s="12" t="s">
        <v>8049</v>
      </c>
      <c r="G159" s="19">
        <f>IFERROR(__xludf.DUMMYFUNCTION("SPLIT(A157, "" |"")"),155.0)</f>
        <v>155</v>
      </c>
      <c r="H159" s="19">
        <f>IFERROR(__xludf.DUMMYFUNCTION("""COMPUTED_VALUE"""),0.00213)</f>
        <v>0.00213</v>
      </c>
      <c r="I159" s="19" t="str">
        <f>IFERROR(__xludf.DUMMYFUNCTION("""COMPUTED_VALUE"""),"-")</f>
        <v>-</v>
      </c>
      <c r="J159" s="19">
        <f>IFERROR(__xludf.DUMMYFUNCTION("""COMPUTED_VALUE"""),0.00195)</f>
        <v>0.00195</v>
      </c>
      <c r="K159" s="19">
        <f>IFERROR(__xludf.DUMMYFUNCTION("""COMPUTED_VALUE"""),0.0396)</f>
        <v>0.0396</v>
      </c>
      <c r="L159" s="19" t="str">
        <f>IFERROR(__xludf.DUMMYFUNCTION("""COMPUTED_VALUE"""),"-")</f>
        <v>-</v>
      </c>
      <c r="M159" s="19">
        <f>IFERROR(__xludf.DUMMYFUNCTION("""COMPUTED_VALUE"""),0.03993)</f>
        <v>0.03993</v>
      </c>
    </row>
    <row r="160">
      <c r="A160" s="12" t="s">
        <v>8050</v>
      </c>
      <c r="G160" s="19">
        <f>IFERROR(__xludf.DUMMYFUNCTION("SPLIT(A158, "" |"")"),156.0)</f>
        <v>156</v>
      </c>
      <c r="H160" s="19">
        <f>IFERROR(__xludf.DUMMYFUNCTION("""COMPUTED_VALUE"""),0.00212)</f>
        <v>0.00212</v>
      </c>
      <c r="I160" s="19" t="str">
        <f>IFERROR(__xludf.DUMMYFUNCTION("""COMPUTED_VALUE"""),"-")</f>
        <v>-</v>
      </c>
      <c r="J160" s="19">
        <f>IFERROR(__xludf.DUMMYFUNCTION("""COMPUTED_VALUE"""),0.00195)</f>
        <v>0.00195</v>
      </c>
      <c r="K160" s="19">
        <f>IFERROR(__xludf.DUMMYFUNCTION("""COMPUTED_VALUE"""),0.0397)</f>
        <v>0.0397</v>
      </c>
      <c r="L160" s="19" t="str">
        <f>IFERROR(__xludf.DUMMYFUNCTION("""COMPUTED_VALUE"""),"-")</f>
        <v>-</v>
      </c>
      <c r="M160" s="19">
        <f>IFERROR(__xludf.DUMMYFUNCTION("""COMPUTED_VALUE"""),0.03984)</f>
        <v>0.03984</v>
      </c>
    </row>
    <row r="161">
      <c r="A161" s="12" t="s">
        <v>8051</v>
      </c>
      <c r="G161" s="19">
        <f>IFERROR(__xludf.DUMMYFUNCTION("SPLIT(A159, "" |"")"),157.0)</f>
        <v>157</v>
      </c>
      <c r="H161" s="19">
        <f>IFERROR(__xludf.DUMMYFUNCTION("""COMPUTED_VALUE"""),0.00208)</f>
        <v>0.00208</v>
      </c>
      <c r="I161" s="19" t="str">
        <f>IFERROR(__xludf.DUMMYFUNCTION("""COMPUTED_VALUE"""),"-")</f>
        <v>-</v>
      </c>
      <c r="J161" s="19">
        <f>IFERROR(__xludf.DUMMYFUNCTION("""COMPUTED_VALUE"""),0.00197)</f>
        <v>0.00197</v>
      </c>
      <c r="K161" s="19">
        <f>IFERROR(__xludf.DUMMYFUNCTION("""COMPUTED_VALUE"""),0.03966)</f>
        <v>0.03966</v>
      </c>
      <c r="L161" s="19" t="str">
        <f>IFERROR(__xludf.DUMMYFUNCTION("""COMPUTED_VALUE"""),"-")</f>
        <v>-</v>
      </c>
      <c r="M161" s="19">
        <f>IFERROR(__xludf.DUMMYFUNCTION("""COMPUTED_VALUE"""),0.03982)</f>
        <v>0.03982</v>
      </c>
    </row>
    <row r="162">
      <c r="A162" s="12" t="s">
        <v>8052</v>
      </c>
      <c r="G162" s="19">
        <f>IFERROR(__xludf.DUMMYFUNCTION("SPLIT(A160, "" |"")"),158.0)</f>
        <v>158</v>
      </c>
      <c r="H162" s="19">
        <f>IFERROR(__xludf.DUMMYFUNCTION("""COMPUTED_VALUE"""),0.00216)</f>
        <v>0.00216</v>
      </c>
      <c r="I162" s="19" t="str">
        <f>IFERROR(__xludf.DUMMYFUNCTION("""COMPUTED_VALUE"""),"-")</f>
        <v>-</v>
      </c>
      <c r="J162" s="19">
        <f>IFERROR(__xludf.DUMMYFUNCTION("""COMPUTED_VALUE"""),0.00198)</f>
        <v>0.00198</v>
      </c>
      <c r="K162" s="19">
        <f>IFERROR(__xludf.DUMMYFUNCTION("""COMPUTED_VALUE"""),0.03965)</f>
        <v>0.03965</v>
      </c>
      <c r="L162" s="19" t="str">
        <f>IFERROR(__xludf.DUMMYFUNCTION("""COMPUTED_VALUE"""),"-")</f>
        <v>-</v>
      </c>
      <c r="M162" s="19">
        <f>IFERROR(__xludf.DUMMYFUNCTION("""COMPUTED_VALUE"""),0.03982)</f>
        <v>0.03982</v>
      </c>
    </row>
    <row r="163">
      <c r="A163" s="12" t="s">
        <v>8053</v>
      </c>
      <c r="G163" s="19">
        <f>IFERROR(__xludf.DUMMYFUNCTION("SPLIT(A161, "" |"")"),159.0)</f>
        <v>159</v>
      </c>
      <c r="H163" s="19">
        <f>IFERROR(__xludf.DUMMYFUNCTION("""COMPUTED_VALUE"""),0.00209)</f>
        <v>0.00209</v>
      </c>
      <c r="I163" s="19" t="str">
        <f>IFERROR(__xludf.DUMMYFUNCTION("""COMPUTED_VALUE"""),"-")</f>
        <v>-</v>
      </c>
      <c r="J163" s="19">
        <f>IFERROR(__xludf.DUMMYFUNCTION("""COMPUTED_VALUE"""),0.00199)</f>
        <v>0.00199</v>
      </c>
      <c r="K163" s="19">
        <f>IFERROR(__xludf.DUMMYFUNCTION("""COMPUTED_VALUE"""),0.03967)</f>
        <v>0.03967</v>
      </c>
      <c r="L163" s="19" t="str">
        <f>IFERROR(__xludf.DUMMYFUNCTION("""COMPUTED_VALUE"""),"-")</f>
        <v>-</v>
      </c>
      <c r="M163" s="19">
        <f>IFERROR(__xludf.DUMMYFUNCTION("""COMPUTED_VALUE"""),0.03982)</f>
        <v>0.03982</v>
      </c>
    </row>
    <row r="164">
      <c r="A164" s="12" t="s">
        <v>8054</v>
      </c>
      <c r="G164" s="19">
        <f>IFERROR(__xludf.DUMMYFUNCTION("SPLIT(A162, "" |"")"),160.0)</f>
        <v>160</v>
      </c>
      <c r="H164" s="19">
        <f>IFERROR(__xludf.DUMMYFUNCTION("""COMPUTED_VALUE"""),0.00213)</f>
        <v>0.00213</v>
      </c>
      <c r="I164" s="19" t="str">
        <f>IFERROR(__xludf.DUMMYFUNCTION("""COMPUTED_VALUE"""),"-")</f>
        <v>-</v>
      </c>
      <c r="J164" s="19">
        <f>IFERROR(__xludf.DUMMYFUNCTION("""COMPUTED_VALUE"""),0.00185)</f>
        <v>0.00185</v>
      </c>
      <c r="K164" s="19">
        <f>IFERROR(__xludf.DUMMYFUNCTION("""COMPUTED_VALUE"""),0.03953)</f>
        <v>0.03953</v>
      </c>
      <c r="L164" s="19" t="str">
        <f>IFERROR(__xludf.DUMMYFUNCTION("""COMPUTED_VALUE"""),"-")</f>
        <v>-</v>
      </c>
      <c r="M164" s="19">
        <f>IFERROR(__xludf.DUMMYFUNCTION("""COMPUTED_VALUE"""),0.03976)</f>
        <v>0.03976</v>
      </c>
    </row>
    <row r="165">
      <c r="A165" s="12" t="s">
        <v>8055</v>
      </c>
      <c r="G165" s="19">
        <f>IFERROR(__xludf.DUMMYFUNCTION("SPLIT(A163, "" |"")"),161.0)</f>
        <v>161</v>
      </c>
      <c r="H165" s="19">
        <f>IFERROR(__xludf.DUMMYFUNCTION("""COMPUTED_VALUE"""),0.00208)</f>
        <v>0.00208</v>
      </c>
      <c r="I165" s="19" t="str">
        <f>IFERROR(__xludf.DUMMYFUNCTION("""COMPUTED_VALUE"""),"-")</f>
        <v>-</v>
      </c>
      <c r="J165" s="19">
        <f>IFERROR(__xludf.DUMMYFUNCTION("""COMPUTED_VALUE"""),0.00195)</f>
        <v>0.00195</v>
      </c>
      <c r="K165" s="19">
        <f>IFERROR(__xludf.DUMMYFUNCTION("""COMPUTED_VALUE"""),0.03965)</f>
        <v>0.03965</v>
      </c>
      <c r="L165" s="19" t="str">
        <f>IFERROR(__xludf.DUMMYFUNCTION("""COMPUTED_VALUE"""),"-")</f>
        <v>-</v>
      </c>
      <c r="M165" s="19">
        <f>IFERROR(__xludf.DUMMYFUNCTION("""COMPUTED_VALUE"""),0.0373)</f>
        <v>0.0373</v>
      </c>
    </row>
    <row r="166">
      <c r="A166" s="12" t="s">
        <v>8056</v>
      </c>
      <c r="G166" s="19">
        <f>IFERROR(__xludf.DUMMYFUNCTION("SPLIT(A164, "" |"")"),162.0)</f>
        <v>162</v>
      </c>
      <c r="H166" s="19">
        <f>IFERROR(__xludf.DUMMYFUNCTION("""COMPUTED_VALUE"""),0.00211)</f>
        <v>0.00211</v>
      </c>
      <c r="I166" s="19" t="str">
        <f>IFERROR(__xludf.DUMMYFUNCTION("""COMPUTED_VALUE"""),"-")</f>
        <v>-</v>
      </c>
      <c r="J166" s="19">
        <f>IFERROR(__xludf.DUMMYFUNCTION("""COMPUTED_VALUE"""),0.00198)</f>
        <v>0.00198</v>
      </c>
      <c r="K166" s="19">
        <f>IFERROR(__xludf.DUMMYFUNCTION("""COMPUTED_VALUE"""),0.0397)</f>
        <v>0.0397</v>
      </c>
      <c r="L166" s="19" t="str">
        <f>IFERROR(__xludf.DUMMYFUNCTION("""COMPUTED_VALUE"""),"-")</f>
        <v>-</v>
      </c>
      <c r="M166" s="19">
        <f>IFERROR(__xludf.DUMMYFUNCTION("""COMPUTED_VALUE"""),0.03986)</f>
        <v>0.03986</v>
      </c>
    </row>
    <row r="167">
      <c r="A167" s="12" t="s">
        <v>8057</v>
      </c>
      <c r="G167" s="19">
        <f>IFERROR(__xludf.DUMMYFUNCTION("SPLIT(A165, "" |"")"),163.0)</f>
        <v>163</v>
      </c>
      <c r="H167" s="19">
        <f>IFERROR(__xludf.DUMMYFUNCTION("""COMPUTED_VALUE"""),0.00214)</f>
        <v>0.00214</v>
      </c>
      <c r="I167" s="19" t="str">
        <f>IFERROR(__xludf.DUMMYFUNCTION("""COMPUTED_VALUE"""),"-")</f>
        <v>-</v>
      </c>
      <c r="J167" s="19">
        <f>IFERROR(__xludf.DUMMYFUNCTION("""COMPUTED_VALUE"""),0.00195)</f>
        <v>0.00195</v>
      </c>
      <c r="K167" s="19">
        <f>IFERROR(__xludf.DUMMYFUNCTION("""COMPUTED_VALUE"""),0.03971)</f>
        <v>0.03971</v>
      </c>
      <c r="L167" s="19" t="str">
        <f>IFERROR(__xludf.DUMMYFUNCTION("""COMPUTED_VALUE"""),"-")</f>
        <v>-</v>
      </c>
      <c r="M167" s="19">
        <f>IFERROR(__xludf.DUMMYFUNCTION("""COMPUTED_VALUE"""),0.03987)</f>
        <v>0.03987</v>
      </c>
    </row>
    <row r="168">
      <c r="A168" s="12" t="s">
        <v>8058</v>
      </c>
      <c r="G168" s="19">
        <f>IFERROR(__xludf.DUMMYFUNCTION("SPLIT(A166, "" |"")"),164.0)</f>
        <v>164</v>
      </c>
      <c r="H168" s="19">
        <f>IFERROR(__xludf.DUMMYFUNCTION("""COMPUTED_VALUE"""),0.00207)</f>
        <v>0.00207</v>
      </c>
      <c r="I168" s="19" t="str">
        <f>IFERROR(__xludf.DUMMYFUNCTION("""COMPUTED_VALUE"""),"-")</f>
        <v>-</v>
      </c>
      <c r="J168" s="19">
        <f>IFERROR(__xludf.DUMMYFUNCTION("""COMPUTED_VALUE"""),0.00194)</f>
        <v>0.00194</v>
      </c>
      <c r="K168" s="19">
        <f>IFERROR(__xludf.DUMMYFUNCTION("""COMPUTED_VALUE"""),0.03972)</f>
        <v>0.03972</v>
      </c>
      <c r="L168" s="19" t="str">
        <f>IFERROR(__xludf.DUMMYFUNCTION("""COMPUTED_VALUE"""),"-")</f>
        <v>-</v>
      </c>
      <c r="M168" s="19">
        <f>IFERROR(__xludf.DUMMYFUNCTION("""COMPUTED_VALUE"""),0.03982)</f>
        <v>0.03982</v>
      </c>
    </row>
    <row r="169">
      <c r="A169" s="12" t="s">
        <v>8059</v>
      </c>
      <c r="G169" s="19">
        <f>IFERROR(__xludf.DUMMYFUNCTION("SPLIT(A167, "" |"")"),165.0)</f>
        <v>165</v>
      </c>
      <c r="H169" s="19">
        <f>IFERROR(__xludf.DUMMYFUNCTION("""COMPUTED_VALUE"""),0.00207)</f>
        <v>0.00207</v>
      </c>
      <c r="I169" s="19" t="str">
        <f>IFERROR(__xludf.DUMMYFUNCTION("""COMPUTED_VALUE"""),"-")</f>
        <v>-</v>
      </c>
      <c r="J169" s="19">
        <f>IFERROR(__xludf.DUMMYFUNCTION("""COMPUTED_VALUE"""),0.00195)</f>
        <v>0.00195</v>
      </c>
      <c r="K169" s="19">
        <f>IFERROR(__xludf.DUMMYFUNCTION("""COMPUTED_VALUE"""),0.03715)</f>
        <v>0.03715</v>
      </c>
      <c r="L169" s="19" t="str">
        <f>IFERROR(__xludf.DUMMYFUNCTION("""COMPUTED_VALUE"""),"-")</f>
        <v>-</v>
      </c>
      <c r="M169" s="19">
        <f>IFERROR(__xludf.DUMMYFUNCTION("""COMPUTED_VALUE"""),0.03985)</f>
        <v>0.03985</v>
      </c>
    </row>
    <row r="170">
      <c r="A170" s="12" t="s">
        <v>8060</v>
      </c>
      <c r="G170" s="19">
        <f>IFERROR(__xludf.DUMMYFUNCTION("SPLIT(A168, "" |"")"),166.0)</f>
        <v>166</v>
      </c>
      <c r="H170" s="19">
        <f>IFERROR(__xludf.DUMMYFUNCTION("""COMPUTED_VALUE"""),0.00217)</f>
        <v>0.00217</v>
      </c>
      <c r="I170" s="19" t="str">
        <f>IFERROR(__xludf.DUMMYFUNCTION("""COMPUTED_VALUE"""),"-")</f>
        <v>-</v>
      </c>
      <c r="J170" s="19">
        <f>IFERROR(__xludf.DUMMYFUNCTION("""COMPUTED_VALUE"""),0.00189)</f>
        <v>0.00189</v>
      </c>
      <c r="K170" s="19">
        <f>IFERROR(__xludf.DUMMYFUNCTION("""COMPUTED_VALUE"""),0.03702)</f>
        <v>0.03702</v>
      </c>
      <c r="L170" s="19" t="str">
        <f>IFERROR(__xludf.DUMMYFUNCTION("""COMPUTED_VALUE"""),"-")</f>
        <v>-</v>
      </c>
      <c r="M170" s="19">
        <f>IFERROR(__xludf.DUMMYFUNCTION("""COMPUTED_VALUE"""),0.03981)</f>
        <v>0.03981</v>
      </c>
    </row>
    <row r="171">
      <c r="A171" s="12" t="s">
        <v>8061</v>
      </c>
      <c r="G171" s="19">
        <f>IFERROR(__xludf.DUMMYFUNCTION("SPLIT(A169, "" |"")"),167.0)</f>
        <v>167</v>
      </c>
      <c r="H171" s="19">
        <f>IFERROR(__xludf.DUMMYFUNCTION("""COMPUTED_VALUE"""),0.002)</f>
        <v>0.002</v>
      </c>
      <c r="I171" s="19" t="str">
        <f>IFERROR(__xludf.DUMMYFUNCTION("""COMPUTED_VALUE"""),"-")</f>
        <v>-</v>
      </c>
      <c r="J171" s="19">
        <f>IFERROR(__xludf.DUMMYFUNCTION("""COMPUTED_VALUE"""),0.00199)</f>
        <v>0.00199</v>
      </c>
      <c r="K171" s="19">
        <f>IFERROR(__xludf.DUMMYFUNCTION("""COMPUTED_VALUE"""),0.03964)</f>
        <v>0.03964</v>
      </c>
      <c r="L171" s="19" t="str">
        <f>IFERROR(__xludf.DUMMYFUNCTION("""COMPUTED_VALUE"""),"-")</f>
        <v>-</v>
      </c>
      <c r="M171" s="19">
        <f>IFERROR(__xludf.DUMMYFUNCTION("""COMPUTED_VALUE"""),0.03982)</f>
        <v>0.03982</v>
      </c>
    </row>
    <row r="172">
      <c r="A172" s="12" t="s">
        <v>8062</v>
      </c>
      <c r="G172" s="19">
        <f>IFERROR(__xludf.DUMMYFUNCTION("SPLIT(A170, "" |"")"),168.0)</f>
        <v>168</v>
      </c>
      <c r="H172" s="19">
        <f>IFERROR(__xludf.DUMMYFUNCTION("""COMPUTED_VALUE"""),0.00215)</f>
        <v>0.00215</v>
      </c>
      <c r="I172" s="19" t="str">
        <f>IFERROR(__xludf.DUMMYFUNCTION("""COMPUTED_VALUE"""),"-")</f>
        <v>-</v>
      </c>
      <c r="J172" s="19">
        <f>IFERROR(__xludf.DUMMYFUNCTION("""COMPUTED_VALUE"""),0.00196)</f>
        <v>0.00196</v>
      </c>
      <c r="K172" s="19">
        <f>IFERROR(__xludf.DUMMYFUNCTION("""COMPUTED_VALUE"""),0.03964)</f>
        <v>0.03964</v>
      </c>
      <c r="L172" s="19" t="str">
        <f>IFERROR(__xludf.DUMMYFUNCTION("""COMPUTED_VALUE"""),"-")</f>
        <v>-</v>
      </c>
      <c r="M172" s="19">
        <f>IFERROR(__xludf.DUMMYFUNCTION("""COMPUTED_VALUE"""),0.03977)</f>
        <v>0.03977</v>
      </c>
    </row>
    <row r="173">
      <c r="A173" s="12" t="s">
        <v>8063</v>
      </c>
      <c r="G173" s="19">
        <f>IFERROR(__xludf.DUMMYFUNCTION("SPLIT(A171, "" |"")"),169.0)</f>
        <v>169</v>
      </c>
      <c r="H173" s="19">
        <f>IFERROR(__xludf.DUMMYFUNCTION("""COMPUTED_VALUE"""),0.00209)</f>
        <v>0.00209</v>
      </c>
      <c r="I173" s="19" t="str">
        <f>IFERROR(__xludf.DUMMYFUNCTION("""COMPUTED_VALUE"""),"-")</f>
        <v>-</v>
      </c>
      <c r="J173" s="19">
        <f>IFERROR(__xludf.DUMMYFUNCTION("""COMPUTED_VALUE"""),0.00196)</f>
        <v>0.00196</v>
      </c>
      <c r="K173" s="19">
        <f>IFERROR(__xludf.DUMMYFUNCTION("""COMPUTED_VALUE"""),0.03969)</f>
        <v>0.03969</v>
      </c>
      <c r="L173" s="19" t="str">
        <f>IFERROR(__xludf.DUMMYFUNCTION("""COMPUTED_VALUE"""),"-")</f>
        <v>-</v>
      </c>
      <c r="M173" s="19">
        <f>IFERROR(__xludf.DUMMYFUNCTION("""COMPUTED_VALUE"""),0.03984)</f>
        <v>0.03984</v>
      </c>
    </row>
    <row r="174">
      <c r="A174" s="12" t="s">
        <v>8064</v>
      </c>
      <c r="G174" s="19">
        <f>IFERROR(__xludf.DUMMYFUNCTION("SPLIT(A172, "" |"")"),170.0)</f>
        <v>170</v>
      </c>
      <c r="H174" s="19">
        <f>IFERROR(__xludf.DUMMYFUNCTION("""COMPUTED_VALUE"""),0.0021)</f>
        <v>0.0021</v>
      </c>
      <c r="I174" s="19" t="str">
        <f>IFERROR(__xludf.DUMMYFUNCTION("""COMPUTED_VALUE"""),"-")</f>
        <v>-</v>
      </c>
      <c r="J174" s="19">
        <f>IFERROR(__xludf.DUMMYFUNCTION("""COMPUTED_VALUE"""),0.00197)</f>
        <v>0.00197</v>
      </c>
      <c r="K174" s="19">
        <f>IFERROR(__xludf.DUMMYFUNCTION("""COMPUTED_VALUE"""),0.03971)</f>
        <v>0.03971</v>
      </c>
      <c r="L174" s="19" t="str">
        <f>IFERROR(__xludf.DUMMYFUNCTION("""COMPUTED_VALUE"""),"-")</f>
        <v>-</v>
      </c>
      <c r="M174" s="19">
        <f>IFERROR(__xludf.DUMMYFUNCTION("""COMPUTED_VALUE"""),0.03982)</f>
        <v>0.03982</v>
      </c>
    </row>
    <row r="175">
      <c r="A175" s="12" t="s">
        <v>8065</v>
      </c>
      <c r="G175" s="19">
        <f>IFERROR(__xludf.DUMMYFUNCTION("SPLIT(A173, "" |"")"),171.0)</f>
        <v>171</v>
      </c>
      <c r="H175" s="19">
        <f>IFERROR(__xludf.DUMMYFUNCTION("""COMPUTED_VALUE"""),0.00211)</f>
        <v>0.00211</v>
      </c>
      <c r="I175" s="19" t="str">
        <f>IFERROR(__xludf.DUMMYFUNCTION("""COMPUTED_VALUE"""),"-")</f>
        <v>-</v>
      </c>
      <c r="J175" s="19">
        <f>IFERROR(__xludf.DUMMYFUNCTION("""COMPUTED_VALUE"""),0.00194)</f>
        <v>0.00194</v>
      </c>
      <c r="K175" s="19">
        <f>IFERROR(__xludf.DUMMYFUNCTION("""COMPUTED_VALUE"""),0.03961)</f>
        <v>0.03961</v>
      </c>
      <c r="L175" s="19" t="str">
        <f>IFERROR(__xludf.DUMMYFUNCTION("""COMPUTED_VALUE"""),"-")</f>
        <v>-</v>
      </c>
      <c r="M175" s="19">
        <f>IFERROR(__xludf.DUMMYFUNCTION("""COMPUTED_VALUE"""),0.03986)</f>
        <v>0.03986</v>
      </c>
    </row>
    <row r="176">
      <c r="A176" s="12" t="s">
        <v>8066</v>
      </c>
      <c r="G176" s="19">
        <f>IFERROR(__xludf.DUMMYFUNCTION("SPLIT(A174, "" |"")"),172.0)</f>
        <v>172</v>
      </c>
      <c r="H176" s="19">
        <f>IFERROR(__xludf.DUMMYFUNCTION("""COMPUTED_VALUE"""),0.00208)</f>
        <v>0.00208</v>
      </c>
      <c r="I176" s="19" t="str">
        <f>IFERROR(__xludf.DUMMYFUNCTION("""COMPUTED_VALUE"""),"-")</f>
        <v>-</v>
      </c>
      <c r="J176" s="19">
        <f>IFERROR(__xludf.DUMMYFUNCTION("""COMPUTED_VALUE"""),0.00194)</f>
        <v>0.00194</v>
      </c>
      <c r="K176" s="19">
        <f>IFERROR(__xludf.DUMMYFUNCTION("""COMPUTED_VALUE"""),0.03967)</f>
        <v>0.03967</v>
      </c>
      <c r="L176" s="19" t="str">
        <f>IFERROR(__xludf.DUMMYFUNCTION("""COMPUTED_VALUE"""),"-")</f>
        <v>-</v>
      </c>
      <c r="M176" s="19">
        <f>IFERROR(__xludf.DUMMYFUNCTION("""COMPUTED_VALUE"""),0.03978)</f>
        <v>0.03978</v>
      </c>
    </row>
    <row r="177">
      <c r="A177" s="12" t="s">
        <v>8067</v>
      </c>
      <c r="G177" s="19">
        <f>IFERROR(__xludf.DUMMYFUNCTION("SPLIT(A175, "" |"")"),173.0)</f>
        <v>173</v>
      </c>
      <c r="H177" s="19">
        <f>IFERROR(__xludf.DUMMYFUNCTION("""COMPUTED_VALUE"""),0.00208)</f>
        <v>0.00208</v>
      </c>
      <c r="I177" s="19" t="str">
        <f>IFERROR(__xludf.DUMMYFUNCTION("""COMPUTED_VALUE"""),"-")</f>
        <v>-</v>
      </c>
      <c r="J177" s="19">
        <f>IFERROR(__xludf.DUMMYFUNCTION("""COMPUTED_VALUE"""),0.00195)</f>
        <v>0.00195</v>
      </c>
      <c r="K177" s="19">
        <f>IFERROR(__xludf.DUMMYFUNCTION("""COMPUTED_VALUE"""),0.03972)</f>
        <v>0.03972</v>
      </c>
      <c r="L177" s="19" t="str">
        <f>IFERROR(__xludf.DUMMYFUNCTION("""COMPUTED_VALUE"""),"-")</f>
        <v>-</v>
      </c>
      <c r="M177" s="19">
        <f>IFERROR(__xludf.DUMMYFUNCTION("""COMPUTED_VALUE"""),0.03983)</f>
        <v>0.03983</v>
      </c>
    </row>
    <row r="178">
      <c r="A178" s="12" t="s">
        <v>8068</v>
      </c>
      <c r="G178" s="19">
        <f>IFERROR(__xludf.DUMMYFUNCTION("SPLIT(A176, "" |"")"),174.0)</f>
        <v>174</v>
      </c>
      <c r="H178" s="19">
        <f>IFERROR(__xludf.DUMMYFUNCTION("""COMPUTED_VALUE"""),0.00209)</f>
        <v>0.00209</v>
      </c>
      <c r="I178" s="19" t="str">
        <f>IFERROR(__xludf.DUMMYFUNCTION("""COMPUTED_VALUE"""),"-")</f>
        <v>-</v>
      </c>
      <c r="J178" s="19">
        <f>IFERROR(__xludf.DUMMYFUNCTION("""COMPUTED_VALUE"""),0.00195)</f>
        <v>0.00195</v>
      </c>
      <c r="K178" s="19">
        <f>IFERROR(__xludf.DUMMYFUNCTION("""COMPUTED_VALUE"""),0.03967)</f>
        <v>0.03967</v>
      </c>
      <c r="L178" s="19" t="str">
        <f>IFERROR(__xludf.DUMMYFUNCTION("""COMPUTED_VALUE"""),"-")</f>
        <v>-</v>
      </c>
      <c r="M178" s="19">
        <f>IFERROR(__xludf.DUMMYFUNCTION("""COMPUTED_VALUE"""),0.0398)</f>
        <v>0.0398</v>
      </c>
    </row>
    <row r="179">
      <c r="A179" s="12" t="s">
        <v>8069</v>
      </c>
      <c r="G179" s="19">
        <f>IFERROR(__xludf.DUMMYFUNCTION("SPLIT(A177, "" |"")"),175.0)</f>
        <v>175</v>
      </c>
      <c r="H179" s="19">
        <f>IFERROR(__xludf.DUMMYFUNCTION("""COMPUTED_VALUE"""),0.00193)</f>
        <v>0.00193</v>
      </c>
      <c r="I179" s="19" t="str">
        <f>IFERROR(__xludf.DUMMYFUNCTION("""COMPUTED_VALUE"""),"-")</f>
        <v>-</v>
      </c>
      <c r="J179" s="19">
        <f>IFERROR(__xludf.DUMMYFUNCTION("""COMPUTED_VALUE"""),0.00182)</f>
        <v>0.00182</v>
      </c>
      <c r="K179" s="19">
        <f>IFERROR(__xludf.DUMMYFUNCTION("""COMPUTED_VALUE"""),0.03947)</f>
        <v>0.03947</v>
      </c>
      <c r="L179" s="19" t="str">
        <f>IFERROR(__xludf.DUMMYFUNCTION("""COMPUTED_VALUE"""),"-")</f>
        <v>-</v>
      </c>
      <c r="M179" s="19">
        <f>IFERROR(__xludf.DUMMYFUNCTION("""COMPUTED_VALUE"""),0.0397)</f>
        <v>0.0397</v>
      </c>
    </row>
    <row r="180">
      <c r="A180" s="12" t="s">
        <v>8070</v>
      </c>
      <c r="G180" s="19">
        <f>IFERROR(__xludf.DUMMYFUNCTION("SPLIT(A178, "" |"")"),176.0)</f>
        <v>176</v>
      </c>
      <c r="H180" s="19">
        <f>IFERROR(__xludf.DUMMYFUNCTION("""COMPUTED_VALUE"""),0.00198)</f>
        <v>0.00198</v>
      </c>
      <c r="I180" s="19" t="str">
        <f>IFERROR(__xludf.DUMMYFUNCTION("""COMPUTED_VALUE"""),"-")</f>
        <v>-</v>
      </c>
      <c r="J180" s="19">
        <f>IFERROR(__xludf.DUMMYFUNCTION("""COMPUTED_VALUE"""),0.00184)</f>
        <v>0.00184</v>
      </c>
      <c r="K180" s="19">
        <f>IFERROR(__xludf.DUMMYFUNCTION("""COMPUTED_VALUE"""),0.03949)</f>
        <v>0.03949</v>
      </c>
      <c r="L180" s="19" t="str">
        <f>IFERROR(__xludf.DUMMYFUNCTION("""COMPUTED_VALUE"""),"-")</f>
        <v>-</v>
      </c>
      <c r="M180" s="19">
        <f>IFERROR(__xludf.DUMMYFUNCTION("""COMPUTED_VALUE"""),0.03981)</f>
        <v>0.03981</v>
      </c>
    </row>
    <row r="181">
      <c r="A181" s="12" t="s">
        <v>8071</v>
      </c>
      <c r="G181" s="19">
        <f>IFERROR(__xludf.DUMMYFUNCTION("SPLIT(A179, "" |"")"),177.0)</f>
        <v>177</v>
      </c>
      <c r="H181" s="19">
        <f>IFERROR(__xludf.DUMMYFUNCTION("""COMPUTED_VALUE"""),0.00213)</f>
        <v>0.00213</v>
      </c>
      <c r="I181" s="19" t="str">
        <f>IFERROR(__xludf.DUMMYFUNCTION("""COMPUTED_VALUE"""),"-")</f>
        <v>-</v>
      </c>
      <c r="J181" s="19">
        <f>IFERROR(__xludf.DUMMYFUNCTION("""COMPUTED_VALUE"""),0.00193)</f>
        <v>0.00193</v>
      </c>
      <c r="K181" s="19">
        <f>IFERROR(__xludf.DUMMYFUNCTION("""COMPUTED_VALUE"""),0.03734)</f>
        <v>0.03734</v>
      </c>
      <c r="L181" s="19" t="str">
        <f>IFERROR(__xludf.DUMMYFUNCTION("""COMPUTED_VALUE"""),"-")</f>
        <v>-</v>
      </c>
      <c r="M181" s="19">
        <f>IFERROR(__xludf.DUMMYFUNCTION("""COMPUTED_VALUE"""),0.03984)</f>
        <v>0.03984</v>
      </c>
    </row>
    <row r="182">
      <c r="A182" s="12" t="s">
        <v>8072</v>
      </c>
      <c r="G182" s="19">
        <f>IFERROR(__xludf.DUMMYFUNCTION("SPLIT(A180, "" |"")"),178.0)</f>
        <v>178</v>
      </c>
      <c r="H182" s="19">
        <f>IFERROR(__xludf.DUMMYFUNCTION("""COMPUTED_VALUE"""),0.00206)</f>
        <v>0.00206</v>
      </c>
      <c r="I182" s="19" t="str">
        <f>IFERROR(__xludf.DUMMYFUNCTION("""COMPUTED_VALUE"""),"-")</f>
        <v>-</v>
      </c>
      <c r="J182" s="19">
        <f>IFERROR(__xludf.DUMMYFUNCTION("""COMPUTED_VALUE"""),0.00195)</f>
        <v>0.00195</v>
      </c>
      <c r="K182" s="19">
        <f>IFERROR(__xludf.DUMMYFUNCTION("""COMPUTED_VALUE"""),0.03955)</f>
        <v>0.03955</v>
      </c>
      <c r="L182" s="19" t="str">
        <f>IFERROR(__xludf.DUMMYFUNCTION("""COMPUTED_VALUE"""),"-")</f>
        <v>-</v>
      </c>
      <c r="M182" s="19">
        <f>IFERROR(__xludf.DUMMYFUNCTION("""COMPUTED_VALUE"""),0.03686)</f>
        <v>0.03686</v>
      </c>
    </row>
    <row r="183">
      <c r="A183" s="12" t="s">
        <v>8073</v>
      </c>
      <c r="G183" s="19">
        <f>IFERROR(__xludf.DUMMYFUNCTION("SPLIT(A181, "" |"")"),179.0)</f>
        <v>179</v>
      </c>
      <c r="H183" s="19">
        <f>IFERROR(__xludf.DUMMYFUNCTION("""COMPUTED_VALUE"""),0.0021)</f>
        <v>0.0021</v>
      </c>
      <c r="I183" s="19" t="str">
        <f>IFERROR(__xludf.DUMMYFUNCTION("""COMPUTED_VALUE"""),"-")</f>
        <v>-</v>
      </c>
      <c r="J183" s="19">
        <f>IFERROR(__xludf.DUMMYFUNCTION("""COMPUTED_VALUE"""),0.002)</f>
        <v>0.002</v>
      </c>
      <c r="K183" s="19">
        <f>IFERROR(__xludf.DUMMYFUNCTION("""COMPUTED_VALUE"""),0.03971)</f>
        <v>0.03971</v>
      </c>
      <c r="L183" s="19" t="str">
        <f>IFERROR(__xludf.DUMMYFUNCTION("""COMPUTED_VALUE"""),"-")</f>
        <v>-</v>
      </c>
      <c r="M183" s="19">
        <f>IFERROR(__xludf.DUMMYFUNCTION("""COMPUTED_VALUE"""),0.03926)</f>
        <v>0.03926</v>
      </c>
    </row>
    <row r="184">
      <c r="A184" s="12" t="s">
        <v>8074</v>
      </c>
      <c r="G184" s="19">
        <f>IFERROR(__xludf.DUMMYFUNCTION("SPLIT(A182, "" |"")"),180.0)</f>
        <v>180</v>
      </c>
      <c r="H184" s="19">
        <f>IFERROR(__xludf.DUMMYFUNCTION("""COMPUTED_VALUE"""),0.002)</f>
        <v>0.002</v>
      </c>
      <c r="I184" s="19" t="str">
        <f>IFERROR(__xludf.DUMMYFUNCTION("""COMPUTED_VALUE"""),"-")</f>
        <v>-</v>
      </c>
      <c r="J184" s="19">
        <f>IFERROR(__xludf.DUMMYFUNCTION("""COMPUTED_VALUE"""),0.00185)</f>
        <v>0.00185</v>
      </c>
      <c r="K184" s="19">
        <f>IFERROR(__xludf.DUMMYFUNCTION("""COMPUTED_VALUE"""),0.03954)</f>
        <v>0.03954</v>
      </c>
      <c r="L184" s="19" t="str">
        <f>IFERROR(__xludf.DUMMYFUNCTION("""COMPUTED_VALUE"""),"-")</f>
        <v>-</v>
      </c>
      <c r="M184" s="19">
        <f>IFERROR(__xludf.DUMMYFUNCTION("""COMPUTED_VALUE"""),0.04022)</f>
        <v>0.04022</v>
      </c>
    </row>
    <row r="185">
      <c r="A185" s="12" t="s">
        <v>8075</v>
      </c>
      <c r="G185" s="19">
        <f>IFERROR(__xludf.DUMMYFUNCTION("SPLIT(A183, "" |"")"),181.0)</f>
        <v>181</v>
      </c>
      <c r="H185" s="19">
        <f>IFERROR(__xludf.DUMMYFUNCTION("""COMPUTED_VALUE"""),0.00224)</f>
        <v>0.00224</v>
      </c>
      <c r="I185" s="19" t="str">
        <f>IFERROR(__xludf.DUMMYFUNCTION("""COMPUTED_VALUE"""),"-")</f>
        <v>-</v>
      </c>
      <c r="J185" s="19">
        <f>IFERROR(__xludf.DUMMYFUNCTION("""COMPUTED_VALUE"""),0.00198)</f>
        <v>0.00198</v>
      </c>
      <c r="K185" s="19">
        <f>IFERROR(__xludf.DUMMYFUNCTION("""COMPUTED_VALUE"""),0.04018)</f>
        <v>0.04018</v>
      </c>
      <c r="L185" s="19" t="str">
        <f>IFERROR(__xludf.DUMMYFUNCTION("""COMPUTED_VALUE"""),"-")</f>
        <v>-</v>
      </c>
      <c r="M185" s="19">
        <f>IFERROR(__xludf.DUMMYFUNCTION("""COMPUTED_VALUE"""),0.03976)</f>
        <v>0.03976</v>
      </c>
    </row>
    <row r="186">
      <c r="A186" s="12" t="s">
        <v>8076</v>
      </c>
      <c r="G186" s="19">
        <f>IFERROR(__xludf.DUMMYFUNCTION("SPLIT(A184, "" |"")"),182.0)</f>
        <v>182</v>
      </c>
      <c r="H186" s="19">
        <f>IFERROR(__xludf.DUMMYFUNCTION("""COMPUTED_VALUE"""),0.00213)</f>
        <v>0.00213</v>
      </c>
      <c r="I186" s="19" t="str">
        <f>IFERROR(__xludf.DUMMYFUNCTION("""COMPUTED_VALUE"""),"-")</f>
        <v>-</v>
      </c>
      <c r="J186" s="19">
        <f>IFERROR(__xludf.DUMMYFUNCTION("""COMPUTED_VALUE"""),0.00196)</f>
        <v>0.00196</v>
      </c>
      <c r="K186" s="19">
        <f>IFERROR(__xludf.DUMMYFUNCTION("""COMPUTED_VALUE"""),0.03954)</f>
        <v>0.03954</v>
      </c>
      <c r="L186" s="19" t="str">
        <f>IFERROR(__xludf.DUMMYFUNCTION("""COMPUTED_VALUE"""),"-")</f>
        <v>-</v>
      </c>
      <c r="M186" s="19">
        <f>IFERROR(__xludf.DUMMYFUNCTION("""COMPUTED_VALUE"""),0.03968)</f>
        <v>0.03968</v>
      </c>
    </row>
    <row r="187">
      <c r="A187" s="12" t="s">
        <v>8077</v>
      </c>
      <c r="G187" s="19">
        <f>IFERROR(__xludf.DUMMYFUNCTION("SPLIT(A185, "" |"")"),183.0)</f>
        <v>183</v>
      </c>
      <c r="H187" s="19">
        <f>IFERROR(__xludf.DUMMYFUNCTION("""COMPUTED_VALUE"""),0.00213)</f>
        <v>0.00213</v>
      </c>
      <c r="I187" s="19" t="str">
        <f>IFERROR(__xludf.DUMMYFUNCTION("""COMPUTED_VALUE"""),"-")</f>
        <v>-</v>
      </c>
      <c r="J187" s="19">
        <f>IFERROR(__xludf.DUMMYFUNCTION("""COMPUTED_VALUE"""),0.00199)</f>
        <v>0.00199</v>
      </c>
      <c r="K187" s="19">
        <f>IFERROR(__xludf.DUMMYFUNCTION("""COMPUTED_VALUE"""),0.03971)</f>
        <v>0.03971</v>
      </c>
      <c r="L187" s="19" t="str">
        <f>IFERROR(__xludf.DUMMYFUNCTION("""COMPUTED_VALUE"""),"-")</f>
        <v>-</v>
      </c>
      <c r="M187" s="19">
        <f>IFERROR(__xludf.DUMMYFUNCTION("""COMPUTED_VALUE"""),0.03982)</f>
        <v>0.03982</v>
      </c>
    </row>
    <row r="188">
      <c r="A188" s="12" t="s">
        <v>8078</v>
      </c>
      <c r="G188" s="19">
        <f>IFERROR(__xludf.DUMMYFUNCTION("SPLIT(A186, "" |"")"),184.0)</f>
        <v>184</v>
      </c>
      <c r="H188" s="19">
        <f>IFERROR(__xludf.DUMMYFUNCTION("""COMPUTED_VALUE"""),0.00208)</f>
        <v>0.00208</v>
      </c>
      <c r="I188" s="19" t="str">
        <f>IFERROR(__xludf.DUMMYFUNCTION("""COMPUTED_VALUE"""),"-")</f>
        <v>-</v>
      </c>
      <c r="J188" s="19">
        <f>IFERROR(__xludf.DUMMYFUNCTION("""COMPUTED_VALUE"""),0.00197)</f>
        <v>0.00197</v>
      </c>
      <c r="K188" s="19">
        <f>IFERROR(__xludf.DUMMYFUNCTION("""COMPUTED_VALUE"""),0.03967)</f>
        <v>0.03967</v>
      </c>
      <c r="L188" s="19" t="str">
        <f>IFERROR(__xludf.DUMMYFUNCTION("""COMPUTED_VALUE"""),"-")</f>
        <v>-</v>
      </c>
      <c r="M188" s="19">
        <f>IFERROR(__xludf.DUMMYFUNCTION("""COMPUTED_VALUE"""),0.03979)</f>
        <v>0.03979</v>
      </c>
    </row>
    <row r="189">
      <c r="A189" s="12" t="s">
        <v>8079</v>
      </c>
      <c r="G189" s="19">
        <f>IFERROR(__xludf.DUMMYFUNCTION("SPLIT(A187, "" |"")"),185.0)</f>
        <v>185</v>
      </c>
      <c r="H189" s="19">
        <f>IFERROR(__xludf.DUMMYFUNCTION("""COMPUTED_VALUE"""),0.0022)</f>
        <v>0.0022</v>
      </c>
      <c r="I189" s="19" t="str">
        <f>IFERROR(__xludf.DUMMYFUNCTION("""COMPUTED_VALUE"""),"-")</f>
        <v>-</v>
      </c>
      <c r="J189" s="19">
        <f>IFERROR(__xludf.DUMMYFUNCTION("""COMPUTED_VALUE"""),0.00197)</f>
        <v>0.00197</v>
      </c>
      <c r="K189" s="19">
        <f>IFERROR(__xludf.DUMMYFUNCTION("""COMPUTED_VALUE"""),0.03728)</f>
        <v>0.03728</v>
      </c>
      <c r="L189" s="19" t="str">
        <f>IFERROR(__xludf.DUMMYFUNCTION("""COMPUTED_VALUE"""),"-")</f>
        <v>-</v>
      </c>
      <c r="M189" s="19">
        <f>IFERROR(__xludf.DUMMYFUNCTION("""COMPUTED_VALUE"""),0.03984)</f>
        <v>0.03984</v>
      </c>
    </row>
    <row r="190">
      <c r="A190" s="12" t="s">
        <v>8080</v>
      </c>
      <c r="G190" s="19">
        <f>IFERROR(__xludf.DUMMYFUNCTION("SPLIT(A188, "" |"")"),186.0)</f>
        <v>186</v>
      </c>
      <c r="H190" s="19">
        <f>IFERROR(__xludf.DUMMYFUNCTION("""COMPUTED_VALUE"""),0.00216)</f>
        <v>0.00216</v>
      </c>
      <c r="I190" s="19" t="str">
        <f>IFERROR(__xludf.DUMMYFUNCTION("""COMPUTED_VALUE"""),"-")</f>
        <v>-</v>
      </c>
      <c r="J190" s="19">
        <f>IFERROR(__xludf.DUMMYFUNCTION("""COMPUTED_VALUE"""),0.00198)</f>
        <v>0.00198</v>
      </c>
      <c r="K190" s="19">
        <f>IFERROR(__xludf.DUMMYFUNCTION("""COMPUTED_VALUE"""),0.03879)</f>
        <v>0.03879</v>
      </c>
      <c r="L190" s="19" t="str">
        <f>IFERROR(__xludf.DUMMYFUNCTION("""COMPUTED_VALUE"""),"-")</f>
        <v>-</v>
      </c>
      <c r="M190" s="19">
        <f>IFERROR(__xludf.DUMMYFUNCTION("""COMPUTED_VALUE"""),0.03994)</f>
        <v>0.03994</v>
      </c>
    </row>
    <row r="191">
      <c r="A191" s="12" t="s">
        <v>8081</v>
      </c>
      <c r="G191" s="19">
        <f>IFERROR(__xludf.DUMMYFUNCTION("SPLIT(A189, "" |"")"),187.0)</f>
        <v>187</v>
      </c>
      <c r="H191" s="19">
        <f>IFERROR(__xludf.DUMMYFUNCTION("""COMPUTED_VALUE"""),0.00216)</f>
        <v>0.00216</v>
      </c>
      <c r="I191" s="19" t="str">
        <f>IFERROR(__xludf.DUMMYFUNCTION("""COMPUTED_VALUE"""),"-")</f>
        <v>-</v>
      </c>
      <c r="J191" s="19">
        <f>IFERROR(__xludf.DUMMYFUNCTION("""COMPUTED_VALUE"""),0.00201)</f>
        <v>0.00201</v>
      </c>
      <c r="K191" s="19">
        <f>IFERROR(__xludf.DUMMYFUNCTION("""COMPUTED_VALUE"""),0.03973)</f>
        <v>0.03973</v>
      </c>
      <c r="L191" s="19" t="str">
        <f>IFERROR(__xludf.DUMMYFUNCTION("""COMPUTED_VALUE"""),"-")</f>
        <v>-</v>
      </c>
      <c r="M191" s="19">
        <f>IFERROR(__xludf.DUMMYFUNCTION("""COMPUTED_VALUE"""),0.03989)</f>
        <v>0.03989</v>
      </c>
    </row>
    <row r="192">
      <c r="A192" s="12" t="s">
        <v>8082</v>
      </c>
      <c r="G192" s="19">
        <f>IFERROR(__xludf.DUMMYFUNCTION("SPLIT(A190, "" |"")"),188.0)</f>
        <v>188</v>
      </c>
      <c r="H192" s="19">
        <f>IFERROR(__xludf.DUMMYFUNCTION("""COMPUTED_VALUE"""),0.00219)</f>
        <v>0.00219</v>
      </c>
      <c r="I192" s="19" t="str">
        <f>IFERROR(__xludf.DUMMYFUNCTION("""COMPUTED_VALUE"""),"-")</f>
        <v>-</v>
      </c>
      <c r="J192" s="19">
        <f>IFERROR(__xludf.DUMMYFUNCTION("""COMPUTED_VALUE"""),0.00199)</f>
        <v>0.00199</v>
      </c>
      <c r="K192" s="19">
        <f>IFERROR(__xludf.DUMMYFUNCTION("""COMPUTED_VALUE"""),0.03974)</f>
        <v>0.03974</v>
      </c>
      <c r="L192" s="19" t="str">
        <f>IFERROR(__xludf.DUMMYFUNCTION("""COMPUTED_VALUE"""),"-")</f>
        <v>-</v>
      </c>
      <c r="M192" s="19">
        <f>IFERROR(__xludf.DUMMYFUNCTION("""COMPUTED_VALUE"""),0.03992)</f>
        <v>0.03992</v>
      </c>
    </row>
    <row r="193">
      <c r="A193" s="12" t="s">
        <v>8083</v>
      </c>
      <c r="G193" s="19">
        <f>IFERROR(__xludf.DUMMYFUNCTION("SPLIT(A191, "" |"")"),189.0)</f>
        <v>189</v>
      </c>
      <c r="H193" s="19">
        <f>IFERROR(__xludf.DUMMYFUNCTION("""COMPUTED_VALUE"""),0.00217)</f>
        <v>0.00217</v>
      </c>
      <c r="I193" s="19" t="str">
        <f>IFERROR(__xludf.DUMMYFUNCTION("""COMPUTED_VALUE"""),"-")</f>
        <v>-</v>
      </c>
      <c r="J193" s="19">
        <f>IFERROR(__xludf.DUMMYFUNCTION("""COMPUTED_VALUE"""),0.00192)</f>
        <v>0.00192</v>
      </c>
      <c r="K193" s="19">
        <f>IFERROR(__xludf.DUMMYFUNCTION("""COMPUTED_VALUE"""),0.03969)</f>
        <v>0.03969</v>
      </c>
      <c r="L193" s="19" t="str">
        <f>IFERROR(__xludf.DUMMYFUNCTION("""COMPUTED_VALUE"""),"-")</f>
        <v>-</v>
      </c>
      <c r="M193" s="19">
        <f>IFERROR(__xludf.DUMMYFUNCTION("""COMPUTED_VALUE"""),0.03989)</f>
        <v>0.03989</v>
      </c>
    </row>
    <row r="194">
      <c r="A194" s="12" t="s">
        <v>8084</v>
      </c>
      <c r="G194" s="19">
        <f>IFERROR(__xludf.DUMMYFUNCTION("SPLIT(A192, "" |"")"),190.0)</f>
        <v>190</v>
      </c>
      <c r="H194" s="19">
        <f>IFERROR(__xludf.DUMMYFUNCTION("""COMPUTED_VALUE"""),0.00212)</f>
        <v>0.00212</v>
      </c>
      <c r="I194" s="19" t="str">
        <f>IFERROR(__xludf.DUMMYFUNCTION("""COMPUTED_VALUE"""),"-")</f>
        <v>-</v>
      </c>
      <c r="J194" s="19">
        <f>IFERROR(__xludf.DUMMYFUNCTION("""COMPUTED_VALUE"""),0.00197)</f>
        <v>0.00197</v>
      </c>
      <c r="K194" s="19">
        <f>IFERROR(__xludf.DUMMYFUNCTION("""COMPUTED_VALUE"""),0.03965)</f>
        <v>0.03965</v>
      </c>
      <c r="L194" s="19" t="str">
        <f>IFERROR(__xludf.DUMMYFUNCTION("""COMPUTED_VALUE"""),"-")</f>
        <v>-</v>
      </c>
      <c r="M194" s="19">
        <f>IFERROR(__xludf.DUMMYFUNCTION("""COMPUTED_VALUE"""),0.04043)</f>
        <v>0.04043</v>
      </c>
    </row>
    <row r="195">
      <c r="A195" s="12" t="s">
        <v>8085</v>
      </c>
      <c r="G195" s="19">
        <f>IFERROR(__xludf.DUMMYFUNCTION("SPLIT(A193, "" |"")"),191.0)</f>
        <v>191</v>
      </c>
      <c r="H195" s="19">
        <f>IFERROR(__xludf.DUMMYFUNCTION("""COMPUTED_VALUE"""),0.00214)</f>
        <v>0.00214</v>
      </c>
      <c r="I195" s="19" t="str">
        <f>IFERROR(__xludf.DUMMYFUNCTION("""COMPUTED_VALUE"""),"-")</f>
        <v>-</v>
      </c>
      <c r="J195" s="19">
        <f>IFERROR(__xludf.DUMMYFUNCTION("""COMPUTED_VALUE"""),0.0019)</f>
        <v>0.0019</v>
      </c>
      <c r="K195" s="19">
        <f>IFERROR(__xludf.DUMMYFUNCTION("""COMPUTED_VALUE"""),0.03961)</f>
        <v>0.03961</v>
      </c>
      <c r="L195" s="19" t="str">
        <f>IFERROR(__xludf.DUMMYFUNCTION("""COMPUTED_VALUE"""),"-")</f>
        <v>-</v>
      </c>
      <c r="M195" s="19">
        <f>IFERROR(__xludf.DUMMYFUNCTION("""COMPUTED_VALUE"""),0.04037)</f>
        <v>0.04037</v>
      </c>
    </row>
    <row r="196">
      <c r="A196" s="12" t="s">
        <v>8086</v>
      </c>
      <c r="G196" s="19">
        <f>IFERROR(__xludf.DUMMYFUNCTION("SPLIT(A194, "" |"")"),192.0)</f>
        <v>192</v>
      </c>
      <c r="H196" s="19">
        <f>IFERROR(__xludf.DUMMYFUNCTION("""COMPUTED_VALUE"""),0.00219)</f>
        <v>0.00219</v>
      </c>
      <c r="I196" s="19" t="str">
        <f>IFERROR(__xludf.DUMMYFUNCTION("""COMPUTED_VALUE"""),"-")</f>
        <v>-</v>
      </c>
      <c r="J196" s="19">
        <f>IFERROR(__xludf.DUMMYFUNCTION("""COMPUTED_VALUE"""),0.00203)</f>
        <v>0.00203</v>
      </c>
      <c r="K196" s="19">
        <f>IFERROR(__xludf.DUMMYFUNCTION("""COMPUTED_VALUE"""),0.03977)</f>
        <v>0.03977</v>
      </c>
      <c r="L196" s="19" t="str">
        <f>IFERROR(__xludf.DUMMYFUNCTION("""COMPUTED_VALUE"""),"-")</f>
        <v>-</v>
      </c>
      <c r="M196" s="19">
        <f>IFERROR(__xludf.DUMMYFUNCTION("""COMPUTED_VALUE"""),0.03996)</f>
        <v>0.03996</v>
      </c>
    </row>
    <row r="197">
      <c r="A197" s="12" t="s">
        <v>8087</v>
      </c>
      <c r="G197" s="19">
        <f>IFERROR(__xludf.DUMMYFUNCTION("SPLIT(A195, "" |"")"),193.0)</f>
        <v>193</v>
      </c>
      <c r="H197" s="19">
        <f>IFERROR(__xludf.DUMMYFUNCTION("""COMPUTED_VALUE"""),0.00211)</f>
        <v>0.00211</v>
      </c>
      <c r="I197" s="19" t="str">
        <f>IFERROR(__xludf.DUMMYFUNCTION("""COMPUTED_VALUE"""),"-")</f>
        <v>-</v>
      </c>
      <c r="J197" s="19">
        <f>IFERROR(__xludf.DUMMYFUNCTION("""COMPUTED_VALUE"""),0.00194)</f>
        <v>0.00194</v>
      </c>
      <c r="K197" s="19">
        <f>IFERROR(__xludf.DUMMYFUNCTION("""COMPUTED_VALUE"""),0.03966)</f>
        <v>0.03966</v>
      </c>
      <c r="L197" s="19" t="str">
        <f>IFERROR(__xludf.DUMMYFUNCTION("""COMPUTED_VALUE"""),"-")</f>
        <v>-</v>
      </c>
      <c r="M197" s="19">
        <f>IFERROR(__xludf.DUMMYFUNCTION("""COMPUTED_VALUE"""),0.0369)</f>
        <v>0.0369</v>
      </c>
    </row>
    <row r="198">
      <c r="A198" s="12" t="s">
        <v>8088</v>
      </c>
      <c r="G198" s="19">
        <f>IFERROR(__xludf.DUMMYFUNCTION("SPLIT(A196, "" |"")"),194.0)</f>
        <v>194</v>
      </c>
      <c r="H198" s="19">
        <f>IFERROR(__xludf.DUMMYFUNCTION("""COMPUTED_VALUE"""),0.0022)</f>
        <v>0.0022</v>
      </c>
      <c r="I198" s="19" t="str">
        <f>IFERROR(__xludf.DUMMYFUNCTION("""COMPUTED_VALUE"""),"-")</f>
        <v>-</v>
      </c>
      <c r="J198" s="19">
        <f>IFERROR(__xludf.DUMMYFUNCTION("""COMPUTED_VALUE"""),0.00192)</f>
        <v>0.00192</v>
      </c>
      <c r="K198" s="19">
        <f>IFERROR(__xludf.DUMMYFUNCTION("""COMPUTED_VALUE"""),0.0397)</f>
        <v>0.0397</v>
      </c>
      <c r="L198" s="19" t="str">
        <f>IFERROR(__xludf.DUMMYFUNCTION("""COMPUTED_VALUE"""),"-")</f>
        <v>-</v>
      </c>
      <c r="M198" s="19">
        <f>IFERROR(__xludf.DUMMYFUNCTION("""COMPUTED_VALUE"""),0.03987)</f>
        <v>0.03987</v>
      </c>
    </row>
    <row r="199">
      <c r="A199" s="12" t="s">
        <v>8089</v>
      </c>
      <c r="G199" s="19">
        <f>IFERROR(__xludf.DUMMYFUNCTION("SPLIT(A197, "" |"")"),195.0)</f>
        <v>195</v>
      </c>
      <c r="H199" s="19">
        <f>IFERROR(__xludf.DUMMYFUNCTION("""COMPUTED_VALUE"""),0.00214)</f>
        <v>0.00214</v>
      </c>
      <c r="I199" s="19" t="str">
        <f>IFERROR(__xludf.DUMMYFUNCTION("""COMPUTED_VALUE"""),"-")</f>
        <v>-</v>
      </c>
      <c r="J199" s="19">
        <f>IFERROR(__xludf.DUMMYFUNCTION("""COMPUTED_VALUE"""),0.00196)</f>
        <v>0.00196</v>
      </c>
      <c r="K199" s="19">
        <f>IFERROR(__xludf.DUMMYFUNCTION("""COMPUTED_VALUE"""),0.03967)</f>
        <v>0.03967</v>
      </c>
      <c r="L199" s="19" t="str">
        <f>IFERROR(__xludf.DUMMYFUNCTION("""COMPUTED_VALUE"""),"-")</f>
        <v>-</v>
      </c>
      <c r="M199" s="19">
        <f>IFERROR(__xludf.DUMMYFUNCTION("""COMPUTED_VALUE"""),0.03996)</f>
        <v>0.03996</v>
      </c>
    </row>
    <row r="200">
      <c r="A200" s="12" t="s">
        <v>8090</v>
      </c>
      <c r="G200" s="19">
        <f>IFERROR(__xludf.DUMMYFUNCTION("SPLIT(A198, "" |"")"),196.0)</f>
        <v>196</v>
      </c>
      <c r="H200" s="19">
        <f>IFERROR(__xludf.DUMMYFUNCTION("""COMPUTED_VALUE"""),0.00206)</f>
        <v>0.00206</v>
      </c>
      <c r="I200" s="19" t="str">
        <f>IFERROR(__xludf.DUMMYFUNCTION("""COMPUTED_VALUE"""),"-")</f>
        <v>-</v>
      </c>
      <c r="J200" s="19">
        <f>IFERROR(__xludf.DUMMYFUNCTION("""COMPUTED_VALUE"""),0.00195)</f>
        <v>0.00195</v>
      </c>
      <c r="K200" s="19">
        <f>IFERROR(__xludf.DUMMYFUNCTION("""COMPUTED_VALUE"""),0.03799)</f>
        <v>0.03799</v>
      </c>
      <c r="L200" s="19" t="str">
        <f>IFERROR(__xludf.DUMMYFUNCTION("""COMPUTED_VALUE"""),"-")</f>
        <v>-</v>
      </c>
      <c r="M200" s="19">
        <f>IFERROR(__xludf.DUMMYFUNCTION("""COMPUTED_VALUE"""),0.04012)</f>
        <v>0.04012</v>
      </c>
    </row>
    <row r="201">
      <c r="A201" s="12" t="s">
        <v>8091</v>
      </c>
      <c r="G201" s="19">
        <f>IFERROR(__xludf.DUMMYFUNCTION("SPLIT(A199, "" |"")"),197.0)</f>
        <v>197</v>
      </c>
      <c r="H201" s="19">
        <f>IFERROR(__xludf.DUMMYFUNCTION("""COMPUTED_VALUE"""),0.00213)</f>
        <v>0.00213</v>
      </c>
      <c r="I201" s="19" t="str">
        <f>IFERROR(__xludf.DUMMYFUNCTION("""COMPUTED_VALUE"""),"-")</f>
        <v>-</v>
      </c>
      <c r="J201" s="19">
        <f>IFERROR(__xludf.DUMMYFUNCTION("""COMPUTED_VALUE"""),0.00188)</f>
        <v>0.00188</v>
      </c>
      <c r="K201" s="19">
        <f>IFERROR(__xludf.DUMMYFUNCTION("""COMPUTED_VALUE"""),0.03956)</f>
        <v>0.03956</v>
      </c>
      <c r="L201" s="19" t="str">
        <f>IFERROR(__xludf.DUMMYFUNCTION("""COMPUTED_VALUE"""),"-")</f>
        <v>-</v>
      </c>
      <c r="M201" s="19">
        <f>IFERROR(__xludf.DUMMYFUNCTION("""COMPUTED_VALUE"""),0.04053)</f>
        <v>0.04053</v>
      </c>
    </row>
    <row r="202">
      <c r="A202" s="12" t="s">
        <v>8092</v>
      </c>
      <c r="G202" s="19">
        <f>IFERROR(__xludf.DUMMYFUNCTION("SPLIT(A200, "" |"")"),198.0)</f>
        <v>198</v>
      </c>
      <c r="H202" s="19">
        <f>IFERROR(__xludf.DUMMYFUNCTION("""COMPUTED_VALUE"""),0.00207)</f>
        <v>0.00207</v>
      </c>
      <c r="I202" s="19" t="str">
        <f>IFERROR(__xludf.DUMMYFUNCTION("""COMPUTED_VALUE"""),"-")</f>
        <v>-</v>
      </c>
      <c r="J202" s="19">
        <f>IFERROR(__xludf.DUMMYFUNCTION("""COMPUTED_VALUE"""),0.00201)</f>
        <v>0.00201</v>
      </c>
      <c r="K202" s="19">
        <f>IFERROR(__xludf.DUMMYFUNCTION("""COMPUTED_VALUE"""),0.03973)</f>
        <v>0.03973</v>
      </c>
      <c r="L202" s="19" t="str">
        <f>IFERROR(__xludf.DUMMYFUNCTION("""COMPUTED_VALUE"""),"-")</f>
        <v>-</v>
      </c>
      <c r="M202" s="19">
        <f>IFERROR(__xludf.DUMMYFUNCTION("""COMPUTED_VALUE"""),0.03979)</f>
        <v>0.03979</v>
      </c>
    </row>
    <row r="203">
      <c r="A203" s="12" t="s">
        <v>8093</v>
      </c>
      <c r="G203" s="19">
        <f>IFERROR(__xludf.DUMMYFUNCTION("SPLIT(A201, "" |"")"),199.0)</f>
        <v>199</v>
      </c>
      <c r="H203" s="19">
        <f>IFERROR(__xludf.DUMMYFUNCTION("""COMPUTED_VALUE"""),0.00208)</f>
        <v>0.00208</v>
      </c>
      <c r="I203" s="19" t="str">
        <f>IFERROR(__xludf.DUMMYFUNCTION("""COMPUTED_VALUE"""),"-")</f>
        <v>-</v>
      </c>
      <c r="J203" s="19">
        <f>IFERROR(__xludf.DUMMYFUNCTION("""COMPUTED_VALUE"""),0.00202)</f>
        <v>0.00202</v>
      </c>
      <c r="K203" s="19">
        <f>IFERROR(__xludf.DUMMYFUNCTION("""COMPUTED_VALUE"""),0.03968)</f>
        <v>0.03968</v>
      </c>
      <c r="L203" s="19" t="str">
        <f>IFERROR(__xludf.DUMMYFUNCTION("""COMPUTED_VALUE"""),"-")</f>
        <v>-</v>
      </c>
      <c r="M203" s="19">
        <f>IFERROR(__xludf.DUMMYFUNCTION("""COMPUTED_VALUE"""),0.03981)</f>
        <v>0.03981</v>
      </c>
    </row>
    <row r="204">
      <c r="A204" s="12" t="s">
        <v>8094</v>
      </c>
      <c r="G204" s="19">
        <f>IFERROR(__xludf.DUMMYFUNCTION("SPLIT(A202, "" |"")"),200.0)</f>
        <v>200</v>
      </c>
      <c r="H204" s="19">
        <f>IFERROR(__xludf.DUMMYFUNCTION("""COMPUTED_VALUE"""),0.00217)</f>
        <v>0.00217</v>
      </c>
      <c r="I204" s="19" t="str">
        <f>IFERROR(__xludf.DUMMYFUNCTION("""COMPUTED_VALUE"""),"-")</f>
        <v>-</v>
      </c>
      <c r="J204" s="19">
        <f>IFERROR(__xludf.DUMMYFUNCTION("""COMPUTED_VALUE"""),0.00196)</f>
        <v>0.00196</v>
      </c>
      <c r="K204" s="19">
        <f>IFERROR(__xludf.DUMMYFUNCTION("""COMPUTED_VALUE"""),0.03929)</f>
        <v>0.03929</v>
      </c>
      <c r="L204" s="19" t="str">
        <f>IFERROR(__xludf.DUMMYFUNCTION("""COMPUTED_VALUE"""),"-")</f>
        <v>-</v>
      </c>
      <c r="M204" s="19">
        <f>IFERROR(__xludf.DUMMYFUNCTION("""COMPUTED_VALUE"""),0.03973)</f>
        <v>0.03973</v>
      </c>
    </row>
    <row r="205">
      <c r="A205" s="12" t="s">
        <v>8095</v>
      </c>
      <c r="G205" s="19">
        <f>IFERROR(__xludf.DUMMYFUNCTION("SPLIT(A203, "" |"")"),201.0)</f>
        <v>201</v>
      </c>
      <c r="H205" s="19">
        <f>IFERROR(__xludf.DUMMYFUNCTION("""COMPUTED_VALUE"""),0.00211)</f>
        <v>0.00211</v>
      </c>
      <c r="I205" s="19" t="str">
        <f>IFERROR(__xludf.DUMMYFUNCTION("""COMPUTED_VALUE"""),"-")</f>
        <v>-</v>
      </c>
      <c r="J205" s="19">
        <f>IFERROR(__xludf.DUMMYFUNCTION("""COMPUTED_VALUE"""),0.00202)</f>
        <v>0.00202</v>
      </c>
      <c r="K205" s="19">
        <f>IFERROR(__xludf.DUMMYFUNCTION("""COMPUTED_VALUE"""),0.03968)</f>
        <v>0.03968</v>
      </c>
      <c r="L205" s="19" t="str">
        <f>IFERROR(__xludf.DUMMYFUNCTION("""COMPUTED_VALUE"""),"-")</f>
        <v>-</v>
      </c>
      <c r="M205" s="19">
        <f>IFERROR(__xludf.DUMMYFUNCTION("""COMPUTED_VALUE"""),0.03967)</f>
        <v>0.03967</v>
      </c>
    </row>
    <row r="206">
      <c r="A206" s="12" t="s">
        <v>8096</v>
      </c>
      <c r="G206" s="19">
        <f>IFERROR(__xludf.DUMMYFUNCTION("SPLIT(A204, "" |"")"),202.0)</f>
        <v>202</v>
      </c>
      <c r="H206" s="19">
        <f>IFERROR(__xludf.DUMMYFUNCTION("""COMPUTED_VALUE"""),0.00217)</f>
        <v>0.00217</v>
      </c>
      <c r="I206" s="19" t="str">
        <f>IFERROR(__xludf.DUMMYFUNCTION("""COMPUTED_VALUE"""),"-")</f>
        <v>-</v>
      </c>
      <c r="J206" s="19">
        <f>IFERROR(__xludf.DUMMYFUNCTION("""COMPUTED_VALUE"""),0.00201)</f>
        <v>0.00201</v>
      </c>
      <c r="K206" s="19">
        <f>IFERROR(__xludf.DUMMYFUNCTION("""COMPUTED_VALUE"""),0.03974)</f>
        <v>0.03974</v>
      </c>
      <c r="L206" s="19" t="str">
        <f>IFERROR(__xludf.DUMMYFUNCTION("""COMPUTED_VALUE"""),"-")</f>
        <v>-</v>
      </c>
      <c r="M206" s="19">
        <f>IFERROR(__xludf.DUMMYFUNCTION("""COMPUTED_VALUE"""),0.04049)</f>
        <v>0.04049</v>
      </c>
    </row>
    <row r="207">
      <c r="A207" s="12" t="s">
        <v>8097</v>
      </c>
      <c r="G207" s="19">
        <f>IFERROR(__xludf.DUMMYFUNCTION("SPLIT(A205, "" |"")"),203.0)</f>
        <v>203</v>
      </c>
      <c r="H207" s="19">
        <f>IFERROR(__xludf.DUMMYFUNCTION("""COMPUTED_VALUE"""),0.00218)</f>
        <v>0.00218</v>
      </c>
      <c r="I207" s="19" t="str">
        <f>IFERROR(__xludf.DUMMYFUNCTION("""COMPUTED_VALUE"""),"-")</f>
        <v>-</v>
      </c>
      <c r="J207" s="19">
        <f>IFERROR(__xludf.DUMMYFUNCTION("""COMPUTED_VALUE"""),0.00192)</f>
        <v>0.00192</v>
      </c>
      <c r="K207" s="19">
        <f>IFERROR(__xludf.DUMMYFUNCTION("""COMPUTED_VALUE"""),0.03949)</f>
        <v>0.03949</v>
      </c>
      <c r="L207" s="19" t="str">
        <f>IFERROR(__xludf.DUMMYFUNCTION("""COMPUTED_VALUE"""),"-")</f>
        <v>-</v>
      </c>
      <c r="M207" s="19">
        <f>IFERROR(__xludf.DUMMYFUNCTION("""COMPUTED_VALUE"""),0.03968)</f>
        <v>0.03968</v>
      </c>
    </row>
    <row r="208">
      <c r="A208" s="12" t="s">
        <v>8098</v>
      </c>
      <c r="G208" s="19">
        <f>IFERROR(__xludf.DUMMYFUNCTION("SPLIT(A206, "" |"")"),204.0)</f>
        <v>204</v>
      </c>
      <c r="H208" s="19">
        <f>IFERROR(__xludf.DUMMYFUNCTION("""COMPUTED_VALUE"""),0.00311)</f>
        <v>0.00311</v>
      </c>
      <c r="I208" s="19" t="str">
        <f>IFERROR(__xludf.DUMMYFUNCTION("""COMPUTED_VALUE"""),"-")</f>
        <v>-</v>
      </c>
      <c r="J208" s="19">
        <f>IFERROR(__xludf.DUMMYFUNCTION("""COMPUTED_VALUE"""),0.00195)</f>
        <v>0.00195</v>
      </c>
      <c r="K208" s="19">
        <f>IFERROR(__xludf.DUMMYFUNCTION("""COMPUTED_VALUE"""),0.03957)</f>
        <v>0.03957</v>
      </c>
      <c r="L208" s="19" t="str">
        <f>IFERROR(__xludf.DUMMYFUNCTION("""COMPUTED_VALUE"""),"-")</f>
        <v>-</v>
      </c>
      <c r="M208" s="19">
        <f>IFERROR(__xludf.DUMMYFUNCTION("""COMPUTED_VALUE"""),0.04015)</f>
        <v>0.04015</v>
      </c>
    </row>
    <row r="209">
      <c r="A209" s="12" t="s">
        <v>8099</v>
      </c>
      <c r="G209" s="19">
        <f>IFERROR(__xludf.DUMMYFUNCTION("SPLIT(A207, "" |"")"),205.0)</f>
        <v>205</v>
      </c>
      <c r="H209" s="19">
        <f>IFERROR(__xludf.DUMMYFUNCTION("""COMPUTED_VALUE"""),0.00222)</f>
        <v>0.00222</v>
      </c>
      <c r="I209" s="19" t="str">
        <f>IFERROR(__xludf.DUMMYFUNCTION("""COMPUTED_VALUE"""),"-")</f>
        <v>-</v>
      </c>
      <c r="J209" s="19">
        <f>IFERROR(__xludf.DUMMYFUNCTION("""COMPUTED_VALUE"""),0.0019)</f>
        <v>0.0019</v>
      </c>
      <c r="K209" s="19">
        <f>IFERROR(__xludf.DUMMYFUNCTION("""COMPUTED_VALUE"""),0.03976)</f>
        <v>0.03976</v>
      </c>
      <c r="L209" s="19" t="str">
        <f>IFERROR(__xludf.DUMMYFUNCTION("""COMPUTED_VALUE"""),"-")</f>
        <v>-</v>
      </c>
      <c r="M209" s="19">
        <f>IFERROR(__xludf.DUMMYFUNCTION("""COMPUTED_VALUE"""),0.04028)</f>
        <v>0.04028</v>
      </c>
    </row>
    <row r="210">
      <c r="A210" s="12" t="s">
        <v>8100</v>
      </c>
      <c r="G210" s="19">
        <f>IFERROR(__xludf.DUMMYFUNCTION("SPLIT(A208, "" |"")"),206.0)</f>
        <v>206</v>
      </c>
      <c r="H210" s="19">
        <f>IFERROR(__xludf.DUMMYFUNCTION("""COMPUTED_VALUE"""),0.00212)</f>
        <v>0.00212</v>
      </c>
      <c r="I210" s="19" t="str">
        <f>IFERROR(__xludf.DUMMYFUNCTION("""COMPUTED_VALUE"""),"-")</f>
        <v>-</v>
      </c>
      <c r="J210" s="19">
        <f>IFERROR(__xludf.DUMMYFUNCTION("""COMPUTED_VALUE"""),0.00199)</f>
        <v>0.00199</v>
      </c>
      <c r="K210" s="19">
        <f>IFERROR(__xludf.DUMMYFUNCTION("""COMPUTED_VALUE"""),0.03976)</f>
        <v>0.03976</v>
      </c>
      <c r="L210" s="19" t="str">
        <f>IFERROR(__xludf.DUMMYFUNCTION("""COMPUTED_VALUE"""),"-")</f>
        <v>-</v>
      </c>
      <c r="M210" s="19">
        <f>IFERROR(__xludf.DUMMYFUNCTION("""COMPUTED_VALUE"""),0.03747)</f>
        <v>0.03747</v>
      </c>
    </row>
    <row r="211">
      <c r="A211" s="12" t="s">
        <v>8101</v>
      </c>
      <c r="G211" s="19">
        <f>IFERROR(__xludf.DUMMYFUNCTION("SPLIT(A209, "" |"")"),207.0)</f>
        <v>207</v>
      </c>
      <c r="H211" s="19">
        <f>IFERROR(__xludf.DUMMYFUNCTION("""COMPUTED_VALUE"""),0.00215)</f>
        <v>0.00215</v>
      </c>
      <c r="I211" s="19" t="str">
        <f>IFERROR(__xludf.DUMMYFUNCTION("""COMPUTED_VALUE"""),"-")</f>
        <v>-</v>
      </c>
      <c r="J211" s="19">
        <f>IFERROR(__xludf.DUMMYFUNCTION("""COMPUTED_VALUE"""),0.00198)</f>
        <v>0.00198</v>
      </c>
      <c r="K211" s="19">
        <f>IFERROR(__xludf.DUMMYFUNCTION("""COMPUTED_VALUE"""),0.03965)</f>
        <v>0.03965</v>
      </c>
      <c r="L211" s="19" t="str">
        <f>IFERROR(__xludf.DUMMYFUNCTION("""COMPUTED_VALUE"""),"-")</f>
        <v>-</v>
      </c>
      <c r="M211" s="19">
        <f>IFERROR(__xludf.DUMMYFUNCTION("""COMPUTED_VALUE"""),0.03988)</f>
        <v>0.03988</v>
      </c>
    </row>
    <row r="212">
      <c r="A212" s="12" t="s">
        <v>8102</v>
      </c>
      <c r="G212" s="19">
        <f>IFERROR(__xludf.DUMMYFUNCTION("SPLIT(A210, "" |"")"),208.0)</f>
        <v>208</v>
      </c>
      <c r="H212" s="19">
        <f>IFERROR(__xludf.DUMMYFUNCTION("""COMPUTED_VALUE"""),0.00212)</f>
        <v>0.00212</v>
      </c>
      <c r="I212" s="19" t="str">
        <f>IFERROR(__xludf.DUMMYFUNCTION("""COMPUTED_VALUE"""),"-")</f>
        <v>-</v>
      </c>
      <c r="J212" s="19">
        <f>IFERROR(__xludf.DUMMYFUNCTION("""COMPUTED_VALUE"""),0.00196)</f>
        <v>0.00196</v>
      </c>
      <c r="K212" s="19">
        <f>IFERROR(__xludf.DUMMYFUNCTION("""COMPUTED_VALUE"""),0.03968)</f>
        <v>0.03968</v>
      </c>
      <c r="L212" s="19" t="str">
        <f>IFERROR(__xludf.DUMMYFUNCTION("""COMPUTED_VALUE"""),"-")</f>
        <v>-</v>
      </c>
      <c r="M212" s="19">
        <f>IFERROR(__xludf.DUMMYFUNCTION("""COMPUTED_VALUE"""),0.03983)</f>
        <v>0.03983</v>
      </c>
    </row>
    <row r="213">
      <c r="A213" s="12" t="s">
        <v>8103</v>
      </c>
      <c r="G213" s="19">
        <f>IFERROR(__xludf.DUMMYFUNCTION("SPLIT(A211, "" |"")"),209.0)</f>
        <v>209</v>
      </c>
      <c r="H213" s="19">
        <f>IFERROR(__xludf.DUMMYFUNCTION("""COMPUTED_VALUE"""),0.00209)</f>
        <v>0.00209</v>
      </c>
      <c r="I213" s="19" t="str">
        <f>IFERROR(__xludf.DUMMYFUNCTION("""COMPUTED_VALUE"""),"-")</f>
        <v>-</v>
      </c>
      <c r="J213" s="19">
        <f>IFERROR(__xludf.DUMMYFUNCTION("""COMPUTED_VALUE"""),0.00198)</f>
        <v>0.00198</v>
      </c>
      <c r="K213" s="19">
        <f>IFERROR(__xludf.DUMMYFUNCTION("""COMPUTED_VALUE"""),0.03965)</f>
        <v>0.03965</v>
      </c>
      <c r="L213" s="19" t="str">
        <f>IFERROR(__xludf.DUMMYFUNCTION("""COMPUTED_VALUE"""),"-")</f>
        <v>-</v>
      </c>
      <c r="M213" s="19">
        <f>IFERROR(__xludf.DUMMYFUNCTION("""COMPUTED_VALUE"""),0.03982)</f>
        <v>0.03982</v>
      </c>
    </row>
    <row r="214">
      <c r="A214" s="12" t="s">
        <v>8104</v>
      </c>
      <c r="G214" s="19">
        <f>IFERROR(__xludf.DUMMYFUNCTION("SPLIT(A212, "" |"")"),210.0)</f>
        <v>210</v>
      </c>
      <c r="H214" s="19">
        <f>IFERROR(__xludf.DUMMYFUNCTION("""COMPUTED_VALUE"""),0.00212)</f>
        <v>0.00212</v>
      </c>
      <c r="I214" s="19" t="str">
        <f>IFERROR(__xludf.DUMMYFUNCTION("""COMPUTED_VALUE"""),"-")</f>
        <v>-</v>
      </c>
      <c r="J214" s="19">
        <f>IFERROR(__xludf.DUMMYFUNCTION("""COMPUTED_VALUE"""),0.002)</f>
        <v>0.002</v>
      </c>
      <c r="K214" s="19">
        <f>IFERROR(__xludf.DUMMYFUNCTION("""COMPUTED_VALUE"""),0.03977)</f>
        <v>0.03977</v>
      </c>
      <c r="L214" s="19" t="str">
        <f>IFERROR(__xludf.DUMMYFUNCTION("""COMPUTED_VALUE"""),"-")</f>
        <v>-</v>
      </c>
      <c r="M214" s="19">
        <f>IFERROR(__xludf.DUMMYFUNCTION("""COMPUTED_VALUE"""),0.03989)</f>
        <v>0.03989</v>
      </c>
    </row>
    <row r="215">
      <c r="A215" s="12" t="s">
        <v>8105</v>
      </c>
      <c r="G215" s="19">
        <f>IFERROR(__xludf.DUMMYFUNCTION("SPLIT(A213, "" |"")"),211.0)</f>
        <v>211</v>
      </c>
      <c r="H215" s="19">
        <f>IFERROR(__xludf.DUMMYFUNCTION("""COMPUTED_VALUE"""),0.00207)</f>
        <v>0.00207</v>
      </c>
      <c r="I215" s="19" t="str">
        <f>IFERROR(__xludf.DUMMYFUNCTION("""COMPUTED_VALUE"""),"-")</f>
        <v>-</v>
      </c>
      <c r="J215" s="19">
        <f>IFERROR(__xludf.DUMMYFUNCTION("""COMPUTED_VALUE"""),0.00196)</f>
        <v>0.00196</v>
      </c>
      <c r="K215" s="19">
        <f>IFERROR(__xludf.DUMMYFUNCTION("""COMPUTED_VALUE"""),0.03968)</f>
        <v>0.03968</v>
      </c>
      <c r="L215" s="19" t="str">
        <f>IFERROR(__xludf.DUMMYFUNCTION("""COMPUTED_VALUE"""),"-")</f>
        <v>-</v>
      </c>
      <c r="M215" s="19">
        <f>IFERROR(__xludf.DUMMYFUNCTION("""COMPUTED_VALUE"""),0.03984)</f>
        <v>0.03984</v>
      </c>
    </row>
    <row r="216">
      <c r="A216" s="12" t="s">
        <v>8106</v>
      </c>
      <c r="G216" s="19">
        <f>IFERROR(__xludf.DUMMYFUNCTION("SPLIT(A214, "" |"")"),212.0)</f>
        <v>212</v>
      </c>
      <c r="H216" s="19">
        <f>IFERROR(__xludf.DUMMYFUNCTION("""COMPUTED_VALUE"""),0.00205)</f>
        <v>0.00205</v>
      </c>
      <c r="I216" s="19" t="str">
        <f>IFERROR(__xludf.DUMMYFUNCTION("""COMPUTED_VALUE"""),"-")</f>
        <v>-</v>
      </c>
      <c r="J216" s="19">
        <f>IFERROR(__xludf.DUMMYFUNCTION("""COMPUTED_VALUE"""),0.00197)</f>
        <v>0.00197</v>
      </c>
      <c r="K216" s="19">
        <f>IFERROR(__xludf.DUMMYFUNCTION("""COMPUTED_VALUE"""),0.03969)</f>
        <v>0.03969</v>
      </c>
      <c r="L216" s="19" t="str">
        <f>IFERROR(__xludf.DUMMYFUNCTION("""COMPUTED_VALUE"""),"-")</f>
        <v>-</v>
      </c>
      <c r="M216" s="19">
        <f>IFERROR(__xludf.DUMMYFUNCTION("""COMPUTED_VALUE"""),0.03958)</f>
        <v>0.03958</v>
      </c>
    </row>
    <row r="217">
      <c r="A217" s="12" t="s">
        <v>8107</v>
      </c>
      <c r="G217" s="19">
        <f>IFERROR(__xludf.DUMMYFUNCTION("SPLIT(A215, "" |"")"),213.0)</f>
        <v>213</v>
      </c>
      <c r="H217" s="19">
        <f>IFERROR(__xludf.DUMMYFUNCTION("""COMPUTED_VALUE"""),0.00212)</f>
        <v>0.00212</v>
      </c>
      <c r="I217" s="19" t="str">
        <f>IFERROR(__xludf.DUMMYFUNCTION("""COMPUTED_VALUE"""),"-")</f>
        <v>-</v>
      </c>
      <c r="J217" s="19">
        <f>IFERROR(__xludf.DUMMYFUNCTION("""COMPUTED_VALUE"""),0.00199)</f>
        <v>0.00199</v>
      </c>
      <c r="K217" s="19">
        <f>IFERROR(__xludf.DUMMYFUNCTION("""COMPUTED_VALUE"""),0.03967)</f>
        <v>0.03967</v>
      </c>
      <c r="L217" s="19" t="str">
        <f>IFERROR(__xludf.DUMMYFUNCTION("""COMPUTED_VALUE"""),"-")</f>
        <v>-</v>
      </c>
      <c r="M217" s="19">
        <f>IFERROR(__xludf.DUMMYFUNCTION("""COMPUTED_VALUE"""),0.03615)</f>
        <v>0.03615</v>
      </c>
    </row>
    <row r="218">
      <c r="A218" s="12" t="s">
        <v>8108</v>
      </c>
      <c r="G218" s="19">
        <f>IFERROR(__xludf.DUMMYFUNCTION("SPLIT(A216, "" |"")"),214.0)</f>
        <v>214</v>
      </c>
      <c r="H218" s="19">
        <f>IFERROR(__xludf.DUMMYFUNCTION("""COMPUTED_VALUE"""),0.00213)</f>
        <v>0.00213</v>
      </c>
      <c r="I218" s="19" t="str">
        <f>IFERROR(__xludf.DUMMYFUNCTION("""COMPUTED_VALUE"""),"-")</f>
        <v>-</v>
      </c>
      <c r="J218" s="19">
        <f>IFERROR(__xludf.DUMMYFUNCTION("""COMPUTED_VALUE"""),0.00187)</f>
        <v>0.00187</v>
      </c>
      <c r="K218" s="19">
        <f>IFERROR(__xludf.DUMMYFUNCTION("""COMPUTED_VALUE"""),0.03963)</f>
        <v>0.03963</v>
      </c>
      <c r="L218" s="19" t="str">
        <f>IFERROR(__xludf.DUMMYFUNCTION("""COMPUTED_VALUE"""),"-")</f>
        <v>-</v>
      </c>
      <c r="M218" s="19">
        <f>IFERROR(__xludf.DUMMYFUNCTION("""COMPUTED_VALUE"""),0.03744)</f>
        <v>0.03744</v>
      </c>
    </row>
    <row r="219">
      <c r="A219" s="12" t="s">
        <v>8109</v>
      </c>
      <c r="G219" s="19">
        <f>IFERROR(__xludf.DUMMYFUNCTION("SPLIT(A217, "" |"")"),215.0)</f>
        <v>215</v>
      </c>
      <c r="H219" s="19">
        <f>IFERROR(__xludf.DUMMYFUNCTION("""COMPUTED_VALUE"""),0.00214)</f>
        <v>0.00214</v>
      </c>
      <c r="I219" s="19" t="str">
        <f>IFERROR(__xludf.DUMMYFUNCTION("""COMPUTED_VALUE"""),"-")</f>
        <v>-</v>
      </c>
      <c r="J219" s="19">
        <f>IFERROR(__xludf.DUMMYFUNCTION("""COMPUTED_VALUE"""),0.00203)</f>
        <v>0.00203</v>
      </c>
      <c r="K219" s="19">
        <f>IFERROR(__xludf.DUMMYFUNCTION("""COMPUTED_VALUE"""),0.03971)</f>
        <v>0.03971</v>
      </c>
      <c r="L219" s="19" t="str">
        <f>IFERROR(__xludf.DUMMYFUNCTION("""COMPUTED_VALUE"""),"-")</f>
        <v>-</v>
      </c>
      <c r="M219" s="19">
        <f>IFERROR(__xludf.DUMMYFUNCTION("""COMPUTED_VALUE"""),0.04044)</f>
        <v>0.04044</v>
      </c>
    </row>
    <row r="220">
      <c r="A220" s="12" t="s">
        <v>8110</v>
      </c>
      <c r="G220" s="19">
        <f>IFERROR(__xludf.DUMMYFUNCTION("SPLIT(A218, "" |"")"),216.0)</f>
        <v>216</v>
      </c>
      <c r="H220" s="19">
        <f>IFERROR(__xludf.DUMMYFUNCTION("""COMPUTED_VALUE"""),0.00205)</f>
        <v>0.00205</v>
      </c>
      <c r="I220" s="19" t="str">
        <f>IFERROR(__xludf.DUMMYFUNCTION("""COMPUTED_VALUE"""),"-")</f>
        <v>-</v>
      </c>
      <c r="J220" s="19">
        <f>IFERROR(__xludf.DUMMYFUNCTION("""COMPUTED_VALUE"""),0.00194)</f>
        <v>0.00194</v>
      </c>
      <c r="K220" s="19">
        <f>IFERROR(__xludf.DUMMYFUNCTION("""COMPUTED_VALUE"""),0.03963)</f>
        <v>0.03963</v>
      </c>
      <c r="L220" s="19" t="str">
        <f>IFERROR(__xludf.DUMMYFUNCTION("""COMPUTED_VALUE"""),"-")</f>
        <v>-</v>
      </c>
      <c r="M220" s="19">
        <f>IFERROR(__xludf.DUMMYFUNCTION("""COMPUTED_VALUE"""),0.03994)</f>
        <v>0.03994</v>
      </c>
    </row>
    <row r="221">
      <c r="A221" s="12" t="s">
        <v>8111</v>
      </c>
      <c r="G221" s="19">
        <f>IFERROR(__xludf.DUMMYFUNCTION("SPLIT(A219, "" |"")"),217.0)</f>
        <v>217</v>
      </c>
      <c r="H221" s="19">
        <f>IFERROR(__xludf.DUMMYFUNCTION("""COMPUTED_VALUE"""),0.00229)</f>
        <v>0.00229</v>
      </c>
      <c r="I221" s="19" t="str">
        <f>IFERROR(__xludf.DUMMYFUNCTION("""COMPUTED_VALUE"""),"-")</f>
        <v>-</v>
      </c>
      <c r="J221" s="19">
        <f>IFERROR(__xludf.DUMMYFUNCTION("""COMPUTED_VALUE"""),0.00188)</f>
        <v>0.00188</v>
      </c>
      <c r="K221" s="19">
        <f>IFERROR(__xludf.DUMMYFUNCTION("""COMPUTED_VALUE"""),0.03973)</f>
        <v>0.03973</v>
      </c>
      <c r="L221" s="19" t="str">
        <f>IFERROR(__xludf.DUMMYFUNCTION("""COMPUTED_VALUE"""),"-")</f>
        <v>-</v>
      </c>
      <c r="M221" s="19">
        <f>IFERROR(__xludf.DUMMYFUNCTION("""COMPUTED_VALUE"""),0.03986)</f>
        <v>0.03986</v>
      </c>
    </row>
    <row r="222">
      <c r="A222" s="12" t="s">
        <v>8112</v>
      </c>
      <c r="G222" s="19">
        <f>IFERROR(__xludf.DUMMYFUNCTION("SPLIT(A220, "" |"")"),218.0)</f>
        <v>218</v>
      </c>
      <c r="H222" s="19">
        <f>IFERROR(__xludf.DUMMYFUNCTION("""COMPUTED_VALUE"""),0.00214)</f>
        <v>0.00214</v>
      </c>
      <c r="I222" s="19" t="str">
        <f>IFERROR(__xludf.DUMMYFUNCTION("""COMPUTED_VALUE"""),"-")</f>
        <v>-</v>
      </c>
      <c r="J222" s="19">
        <f>IFERROR(__xludf.DUMMYFUNCTION("""COMPUTED_VALUE"""),0.00202)</f>
        <v>0.00202</v>
      </c>
      <c r="K222" s="19">
        <f>IFERROR(__xludf.DUMMYFUNCTION("""COMPUTED_VALUE"""),0.03962)</f>
        <v>0.03962</v>
      </c>
      <c r="L222" s="19" t="str">
        <f>IFERROR(__xludf.DUMMYFUNCTION("""COMPUTED_VALUE"""),"-")</f>
        <v>-</v>
      </c>
      <c r="M222" s="19">
        <f>IFERROR(__xludf.DUMMYFUNCTION("""COMPUTED_VALUE"""),0.03978)</f>
        <v>0.03978</v>
      </c>
    </row>
    <row r="223">
      <c r="A223" s="12" t="s">
        <v>8113</v>
      </c>
      <c r="G223" s="19">
        <f>IFERROR(__xludf.DUMMYFUNCTION("SPLIT(A221, "" |"")"),219.0)</f>
        <v>219</v>
      </c>
      <c r="H223" s="19">
        <f>IFERROR(__xludf.DUMMYFUNCTION("""COMPUTED_VALUE"""),0.00213)</f>
        <v>0.00213</v>
      </c>
      <c r="I223" s="19" t="str">
        <f>IFERROR(__xludf.DUMMYFUNCTION("""COMPUTED_VALUE"""),"-")</f>
        <v>-</v>
      </c>
      <c r="J223" s="19">
        <f>IFERROR(__xludf.DUMMYFUNCTION("""COMPUTED_VALUE"""),0.00197)</f>
        <v>0.00197</v>
      </c>
      <c r="K223" s="19">
        <f>IFERROR(__xludf.DUMMYFUNCTION("""COMPUTED_VALUE"""),0.03957)</f>
        <v>0.03957</v>
      </c>
      <c r="L223" s="19" t="str">
        <f>IFERROR(__xludf.DUMMYFUNCTION("""COMPUTED_VALUE"""),"-")</f>
        <v>-</v>
      </c>
      <c r="M223" s="19">
        <f>IFERROR(__xludf.DUMMYFUNCTION("""COMPUTED_VALUE"""),0.03996)</f>
        <v>0.03996</v>
      </c>
    </row>
    <row r="224">
      <c r="A224" s="12" t="s">
        <v>8114</v>
      </c>
      <c r="G224" s="19">
        <f>IFERROR(__xludf.DUMMYFUNCTION("SPLIT(A222, "" |"")"),220.0)</f>
        <v>220</v>
      </c>
      <c r="H224" s="19">
        <f>IFERROR(__xludf.DUMMYFUNCTION("""COMPUTED_VALUE"""),0.00209)</f>
        <v>0.00209</v>
      </c>
      <c r="I224" s="19" t="str">
        <f>IFERROR(__xludf.DUMMYFUNCTION("""COMPUTED_VALUE"""),"-")</f>
        <v>-</v>
      </c>
      <c r="J224" s="19">
        <f>IFERROR(__xludf.DUMMYFUNCTION("""COMPUTED_VALUE"""),0.00201)</f>
        <v>0.00201</v>
      </c>
      <c r="K224" s="19">
        <f>IFERROR(__xludf.DUMMYFUNCTION("""COMPUTED_VALUE"""),0.03779)</f>
        <v>0.03779</v>
      </c>
      <c r="L224" s="19" t="str">
        <f>IFERROR(__xludf.DUMMYFUNCTION("""COMPUTED_VALUE"""),"-")</f>
        <v>-</v>
      </c>
      <c r="M224" s="19">
        <f>IFERROR(__xludf.DUMMYFUNCTION("""COMPUTED_VALUE"""),0.03985)</f>
        <v>0.03985</v>
      </c>
    </row>
    <row r="225">
      <c r="A225" s="12" t="s">
        <v>8115</v>
      </c>
      <c r="G225" s="19">
        <f>IFERROR(__xludf.DUMMYFUNCTION("SPLIT(A223, "" |"")"),221.0)</f>
        <v>221</v>
      </c>
      <c r="H225" s="19">
        <f>IFERROR(__xludf.DUMMYFUNCTION("""COMPUTED_VALUE"""),0.00219)</f>
        <v>0.00219</v>
      </c>
      <c r="I225" s="19" t="str">
        <f>IFERROR(__xludf.DUMMYFUNCTION("""COMPUTED_VALUE"""),"-")</f>
        <v>-</v>
      </c>
      <c r="J225" s="19">
        <f>IFERROR(__xludf.DUMMYFUNCTION("""COMPUTED_VALUE"""),0.00198)</f>
        <v>0.00198</v>
      </c>
      <c r="K225" s="19">
        <f>IFERROR(__xludf.DUMMYFUNCTION("""COMPUTED_VALUE"""),0.0396)</f>
        <v>0.0396</v>
      </c>
      <c r="L225" s="19" t="str">
        <f>IFERROR(__xludf.DUMMYFUNCTION("""COMPUTED_VALUE"""),"-")</f>
        <v>-</v>
      </c>
      <c r="M225" s="19">
        <f>IFERROR(__xludf.DUMMYFUNCTION("""COMPUTED_VALUE"""),0.03985)</f>
        <v>0.03985</v>
      </c>
    </row>
    <row r="226">
      <c r="A226" s="12" t="s">
        <v>8116</v>
      </c>
      <c r="G226" s="19">
        <f>IFERROR(__xludf.DUMMYFUNCTION("SPLIT(A224, "" |"")"),222.0)</f>
        <v>222</v>
      </c>
      <c r="H226" s="19">
        <f>IFERROR(__xludf.DUMMYFUNCTION("""COMPUTED_VALUE"""),0.00216)</f>
        <v>0.00216</v>
      </c>
      <c r="I226" s="19" t="str">
        <f>IFERROR(__xludf.DUMMYFUNCTION("""COMPUTED_VALUE"""),"-")</f>
        <v>-</v>
      </c>
      <c r="J226" s="19">
        <f>IFERROR(__xludf.DUMMYFUNCTION("""COMPUTED_VALUE"""),0.00198)</f>
        <v>0.00198</v>
      </c>
      <c r="K226" s="19">
        <f>IFERROR(__xludf.DUMMYFUNCTION("""COMPUTED_VALUE"""),0.03973)</f>
        <v>0.03973</v>
      </c>
      <c r="L226" s="19" t="str">
        <f>IFERROR(__xludf.DUMMYFUNCTION("""COMPUTED_VALUE"""),"-")</f>
        <v>-</v>
      </c>
      <c r="M226" s="19">
        <f>IFERROR(__xludf.DUMMYFUNCTION("""COMPUTED_VALUE"""),0.03983)</f>
        <v>0.03983</v>
      </c>
    </row>
    <row r="227">
      <c r="A227" s="12" t="s">
        <v>8117</v>
      </c>
      <c r="G227" s="19">
        <f>IFERROR(__xludf.DUMMYFUNCTION("SPLIT(A225, "" |"")"),223.0)</f>
        <v>223</v>
      </c>
      <c r="H227" s="19">
        <f>IFERROR(__xludf.DUMMYFUNCTION("""COMPUTED_VALUE"""),0.0021)</f>
        <v>0.0021</v>
      </c>
      <c r="I227" s="19" t="str">
        <f>IFERROR(__xludf.DUMMYFUNCTION("""COMPUTED_VALUE"""),"-")</f>
        <v>-</v>
      </c>
      <c r="J227" s="19">
        <f>IFERROR(__xludf.DUMMYFUNCTION("""COMPUTED_VALUE"""),0.00197)</f>
        <v>0.00197</v>
      </c>
      <c r="K227" s="19">
        <f>IFERROR(__xludf.DUMMYFUNCTION("""COMPUTED_VALUE"""),0.03965)</f>
        <v>0.03965</v>
      </c>
      <c r="L227" s="19" t="str">
        <f>IFERROR(__xludf.DUMMYFUNCTION("""COMPUTED_VALUE"""),"-")</f>
        <v>-</v>
      </c>
      <c r="M227" s="19">
        <f>IFERROR(__xludf.DUMMYFUNCTION("""COMPUTED_VALUE"""),0.03987)</f>
        <v>0.03987</v>
      </c>
    </row>
    <row r="228">
      <c r="A228" s="12" t="s">
        <v>8118</v>
      </c>
      <c r="G228" s="19">
        <f>IFERROR(__xludf.DUMMYFUNCTION("SPLIT(A226, "" |"")"),224.0)</f>
        <v>224</v>
      </c>
      <c r="H228" s="19">
        <f>IFERROR(__xludf.DUMMYFUNCTION("""COMPUTED_VALUE"""),0.00218)</f>
        <v>0.00218</v>
      </c>
      <c r="I228" s="19" t="str">
        <f>IFERROR(__xludf.DUMMYFUNCTION("""COMPUTED_VALUE"""),"-")</f>
        <v>-</v>
      </c>
      <c r="J228" s="19">
        <f>IFERROR(__xludf.DUMMYFUNCTION("""COMPUTED_VALUE"""),0.00197)</f>
        <v>0.00197</v>
      </c>
      <c r="K228" s="19">
        <f>IFERROR(__xludf.DUMMYFUNCTION("""COMPUTED_VALUE"""),0.03848)</f>
        <v>0.03848</v>
      </c>
      <c r="L228" s="19" t="str">
        <f>IFERROR(__xludf.DUMMYFUNCTION("""COMPUTED_VALUE"""),"-")</f>
        <v>-</v>
      </c>
      <c r="M228" s="19">
        <f>IFERROR(__xludf.DUMMYFUNCTION("""COMPUTED_VALUE"""),0.03988)</f>
        <v>0.03988</v>
      </c>
    </row>
    <row r="229">
      <c r="A229" s="12" t="s">
        <v>8119</v>
      </c>
      <c r="G229" s="19">
        <f>IFERROR(__xludf.DUMMYFUNCTION("SPLIT(A227, "" |"")"),225.0)</f>
        <v>225</v>
      </c>
      <c r="H229" s="19">
        <f>IFERROR(__xludf.DUMMYFUNCTION("""COMPUTED_VALUE"""),0.00211)</f>
        <v>0.00211</v>
      </c>
      <c r="I229" s="19" t="str">
        <f>IFERROR(__xludf.DUMMYFUNCTION("""COMPUTED_VALUE"""),"-")</f>
        <v>-</v>
      </c>
      <c r="J229" s="19">
        <f>IFERROR(__xludf.DUMMYFUNCTION("""COMPUTED_VALUE"""),0.00192)</f>
        <v>0.00192</v>
      </c>
      <c r="K229" s="19">
        <f>IFERROR(__xludf.DUMMYFUNCTION("""COMPUTED_VALUE"""),0.03969)</f>
        <v>0.03969</v>
      </c>
      <c r="L229" s="19" t="str">
        <f>IFERROR(__xludf.DUMMYFUNCTION("""COMPUTED_VALUE"""),"-")</f>
        <v>-</v>
      </c>
      <c r="M229" s="19">
        <f>IFERROR(__xludf.DUMMYFUNCTION("""COMPUTED_VALUE"""),0.03983)</f>
        <v>0.03983</v>
      </c>
    </row>
    <row r="230">
      <c r="A230" s="12" t="s">
        <v>8120</v>
      </c>
      <c r="G230" s="19">
        <f>IFERROR(__xludf.DUMMYFUNCTION("SPLIT(A228, "" |"")"),226.0)</f>
        <v>226</v>
      </c>
      <c r="H230" s="19">
        <f>IFERROR(__xludf.DUMMYFUNCTION("""COMPUTED_VALUE"""),0.00209)</f>
        <v>0.00209</v>
      </c>
      <c r="I230" s="19" t="str">
        <f>IFERROR(__xludf.DUMMYFUNCTION("""COMPUTED_VALUE"""),"-")</f>
        <v>-</v>
      </c>
      <c r="J230" s="19">
        <f>IFERROR(__xludf.DUMMYFUNCTION("""COMPUTED_VALUE"""),0.002)</f>
        <v>0.002</v>
      </c>
      <c r="K230" s="19">
        <f>IFERROR(__xludf.DUMMYFUNCTION("""COMPUTED_VALUE"""),0.0398)</f>
        <v>0.0398</v>
      </c>
      <c r="L230" s="19" t="str">
        <f>IFERROR(__xludf.DUMMYFUNCTION("""COMPUTED_VALUE"""),"-")</f>
        <v>-</v>
      </c>
      <c r="M230" s="19">
        <f>IFERROR(__xludf.DUMMYFUNCTION("""COMPUTED_VALUE"""),0.03991)</f>
        <v>0.03991</v>
      </c>
    </row>
    <row r="231">
      <c r="A231" s="12" t="s">
        <v>8121</v>
      </c>
      <c r="G231" s="19">
        <f>IFERROR(__xludf.DUMMYFUNCTION("SPLIT(A229, "" |"")"),227.0)</f>
        <v>227</v>
      </c>
      <c r="H231" s="19">
        <f>IFERROR(__xludf.DUMMYFUNCTION("""COMPUTED_VALUE"""),0.00209)</f>
        <v>0.00209</v>
      </c>
      <c r="I231" s="19" t="str">
        <f>IFERROR(__xludf.DUMMYFUNCTION("""COMPUTED_VALUE"""),"-")</f>
        <v>-</v>
      </c>
      <c r="J231" s="19">
        <f>IFERROR(__xludf.DUMMYFUNCTION("""COMPUTED_VALUE"""),0.00197)</f>
        <v>0.00197</v>
      </c>
      <c r="K231" s="19">
        <f>IFERROR(__xludf.DUMMYFUNCTION("""COMPUTED_VALUE"""),0.03965)</f>
        <v>0.03965</v>
      </c>
      <c r="L231" s="19" t="str">
        <f>IFERROR(__xludf.DUMMYFUNCTION("""COMPUTED_VALUE"""),"-")</f>
        <v>-</v>
      </c>
      <c r="M231" s="19">
        <f>IFERROR(__xludf.DUMMYFUNCTION("""COMPUTED_VALUE"""),0.0383)</f>
        <v>0.0383</v>
      </c>
    </row>
    <row r="232">
      <c r="A232" s="12" t="s">
        <v>8122</v>
      </c>
      <c r="G232" s="19">
        <f>IFERROR(__xludf.DUMMYFUNCTION("SPLIT(A230, "" |"")"),228.0)</f>
        <v>228</v>
      </c>
      <c r="H232" s="19">
        <f>IFERROR(__xludf.DUMMYFUNCTION("""COMPUTED_VALUE"""),0.00201)</f>
        <v>0.00201</v>
      </c>
      <c r="I232" s="19" t="str">
        <f>IFERROR(__xludf.DUMMYFUNCTION("""COMPUTED_VALUE"""),"-")</f>
        <v>-</v>
      </c>
      <c r="J232" s="19">
        <f>IFERROR(__xludf.DUMMYFUNCTION("""COMPUTED_VALUE"""),0.00198)</f>
        <v>0.00198</v>
      </c>
      <c r="K232" s="19">
        <f>IFERROR(__xludf.DUMMYFUNCTION("""COMPUTED_VALUE"""),0.03954)</f>
        <v>0.03954</v>
      </c>
      <c r="L232" s="19" t="str">
        <f>IFERROR(__xludf.DUMMYFUNCTION("""COMPUTED_VALUE"""),"-")</f>
        <v>-</v>
      </c>
      <c r="M232" s="19">
        <f>IFERROR(__xludf.DUMMYFUNCTION("""COMPUTED_VALUE"""),0.03977)</f>
        <v>0.03977</v>
      </c>
    </row>
    <row r="233">
      <c r="A233" s="12" t="s">
        <v>8123</v>
      </c>
      <c r="G233" s="19">
        <f>IFERROR(__xludf.DUMMYFUNCTION("SPLIT(A231, "" |"")"),229.0)</f>
        <v>229</v>
      </c>
      <c r="H233" s="19">
        <f>IFERROR(__xludf.DUMMYFUNCTION("""COMPUTED_VALUE"""),0.00211)</f>
        <v>0.00211</v>
      </c>
      <c r="I233" s="19" t="str">
        <f>IFERROR(__xludf.DUMMYFUNCTION("""COMPUTED_VALUE"""),"-")</f>
        <v>-</v>
      </c>
      <c r="J233" s="19">
        <f>IFERROR(__xludf.DUMMYFUNCTION("""COMPUTED_VALUE"""),0.00192)</f>
        <v>0.00192</v>
      </c>
      <c r="K233" s="19">
        <f>IFERROR(__xludf.DUMMYFUNCTION("""COMPUTED_VALUE"""),0.03957)</f>
        <v>0.03957</v>
      </c>
      <c r="L233" s="19" t="str">
        <f>IFERROR(__xludf.DUMMYFUNCTION("""COMPUTED_VALUE"""),"-")</f>
        <v>-</v>
      </c>
      <c r="M233" s="19">
        <f>IFERROR(__xludf.DUMMYFUNCTION("""COMPUTED_VALUE"""),0.03986)</f>
        <v>0.03986</v>
      </c>
    </row>
    <row r="234">
      <c r="A234" s="12" t="s">
        <v>8124</v>
      </c>
      <c r="G234" s="19">
        <f>IFERROR(__xludf.DUMMYFUNCTION("SPLIT(A232, "" |"")"),230.0)</f>
        <v>230</v>
      </c>
      <c r="H234" s="19">
        <f>IFERROR(__xludf.DUMMYFUNCTION("""COMPUTED_VALUE"""),0.00214)</f>
        <v>0.00214</v>
      </c>
      <c r="I234" s="19" t="str">
        <f>IFERROR(__xludf.DUMMYFUNCTION("""COMPUTED_VALUE"""),"-")</f>
        <v>-</v>
      </c>
      <c r="J234" s="19">
        <f>IFERROR(__xludf.DUMMYFUNCTION("""COMPUTED_VALUE"""),0.00195)</f>
        <v>0.00195</v>
      </c>
      <c r="K234" s="19">
        <f>IFERROR(__xludf.DUMMYFUNCTION("""COMPUTED_VALUE"""),0.03973)</f>
        <v>0.03973</v>
      </c>
      <c r="L234" s="19" t="str">
        <f>IFERROR(__xludf.DUMMYFUNCTION("""COMPUTED_VALUE"""),"-")</f>
        <v>-</v>
      </c>
      <c r="M234" s="19">
        <f>IFERROR(__xludf.DUMMYFUNCTION("""COMPUTED_VALUE"""),0.03972)</f>
        <v>0.03972</v>
      </c>
    </row>
    <row r="235">
      <c r="A235" s="12" t="s">
        <v>8125</v>
      </c>
      <c r="G235" s="19">
        <f>IFERROR(__xludf.DUMMYFUNCTION("SPLIT(A233, "" |"")"),231.0)</f>
        <v>231</v>
      </c>
      <c r="H235" s="19">
        <f>IFERROR(__xludf.DUMMYFUNCTION("""COMPUTED_VALUE"""),0.00202)</f>
        <v>0.00202</v>
      </c>
      <c r="I235" s="19" t="str">
        <f>IFERROR(__xludf.DUMMYFUNCTION("""COMPUTED_VALUE"""),"-")</f>
        <v>-</v>
      </c>
      <c r="J235" s="19">
        <f>IFERROR(__xludf.DUMMYFUNCTION("""COMPUTED_VALUE"""),0.00189)</f>
        <v>0.00189</v>
      </c>
      <c r="K235" s="19">
        <f>IFERROR(__xludf.DUMMYFUNCTION("""COMPUTED_VALUE"""),0.03971)</f>
        <v>0.03971</v>
      </c>
      <c r="L235" s="19" t="str">
        <f>IFERROR(__xludf.DUMMYFUNCTION("""COMPUTED_VALUE"""),"-")</f>
        <v>-</v>
      </c>
      <c r="M235" s="19">
        <f>IFERROR(__xludf.DUMMYFUNCTION("""COMPUTED_VALUE"""),0.03983)</f>
        <v>0.03983</v>
      </c>
    </row>
    <row r="236">
      <c r="A236" s="12" t="s">
        <v>8126</v>
      </c>
      <c r="G236" s="19">
        <f>IFERROR(__xludf.DUMMYFUNCTION("SPLIT(A234, "" |"")"),232.0)</f>
        <v>232</v>
      </c>
      <c r="H236" s="19">
        <f>IFERROR(__xludf.DUMMYFUNCTION("""COMPUTED_VALUE"""),0.00209)</f>
        <v>0.00209</v>
      </c>
      <c r="I236" s="19" t="str">
        <f>IFERROR(__xludf.DUMMYFUNCTION("""COMPUTED_VALUE"""),"-")</f>
        <v>-</v>
      </c>
      <c r="J236" s="19">
        <f>IFERROR(__xludf.DUMMYFUNCTION("""COMPUTED_VALUE"""),0.00197)</f>
        <v>0.00197</v>
      </c>
      <c r="K236" s="19">
        <f>IFERROR(__xludf.DUMMYFUNCTION("""COMPUTED_VALUE"""),0.03968)</f>
        <v>0.03968</v>
      </c>
      <c r="L236" s="19" t="str">
        <f>IFERROR(__xludf.DUMMYFUNCTION("""COMPUTED_VALUE"""),"-")</f>
        <v>-</v>
      </c>
      <c r="M236" s="19">
        <f>IFERROR(__xludf.DUMMYFUNCTION("""COMPUTED_VALUE"""),0.03981)</f>
        <v>0.03981</v>
      </c>
    </row>
    <row r="237">
      <c r="A237" s="12" t="s">
        <v>8127</v>
      </c>
      <c r="G237" s="19">
        <f>IFERROR(__xludf.DUMMYFUNCTION("SPLIT(A235, "" |"")"),233.0)</f>
        <v>233</v>
      </c>
      <c r="H237" s="19">
        <f>IFERROR(__xludf.DUMMYFUNCTION("""COMPUTED_VALUE"""),0.00209)</f>
        <v>0.00209</v>
      </c>
      <c r="I237" s="19" t="str">
        <f>IFERROR(__xludf.DUMMYFUNCTION("""COMPUTED_VALUE"""),"-")</f>
        <v>-</v>
      </c>
      <c r="J237" s="19">
        <f>IFERROR(__xludf.DUMMYFUNCTION("""COMPUTED_VALUE"""),0.00195)</f>
        <v>0.00195</v>
      </c>
      <c r="K237" s="19">
        <f>IFERROR(__xludf.DUMMYFUNCTION("""COMPUTED_VALUE"""),0.03967)</f>
        <v>0.03967</v>
      </c>
      <c r="L237" s="19" t="str">
        <f>IFERROR(__xludf.DUMMYFUNCTION("""COMPUTED_VALUE"""),"-")</f>
        <v>-</v>
      </c>
      <c r="M237" s="19">
        <f>IFERROR(__xludf.DUMMYFUNCTION("""COMPUTED_VALUE"""),0.03641)</f>
        <v>0.03641</v>
      </c>
    </row>
    <row r="238">
      <c r="A238" s="12" t="s">
        <v>8128</v>
      </c>
      <c r="G238" s="19">
        <f>IFERROR(__xludf.DUMMYFUNCTION("SPLIT(A236, "" |"")"),234.0)</f>
        <v>234</v>
      </c>
      <c r="H238" s="19">
        <f>IFERROR(__xludf.DUMMYFUNCTION("""COMPUTED_VALUE"""),0.00213)</f>
        <v>0.00213</v>
      </c>
      <c r="I238" s="19" t="str">
        <f>IFERROR(__xludf.DUMMYFUNCTION("""COMPUTED_VALUE"""),"-")</f>
        <v>-</v>
      </c>
      <c r="J238" s="19">
        <f>IFERROR(__xludf.DUMMYFUNCTION("""COMPUTED_VALUE"""),0.00191)</f>
        <v>0.00191</v>
      </c>
      <c r="K238" s="19">
        <f>IFERROR(__xludf.DUMMYFUNCTION("""COMPUTED_VALUE"""),0.03966)</f>
        <v>0.03966</v>
      </c>
      <c r="L238" s="19" t="str">
        <f>IFERROR(__xludf.DUMMYFUNCTION("""COMPUTED_VALUE"""),"-")</f>
        <v>-</v>
      </c>
      <c r="M238" s="19">
        <f>IFERROR(__xludf.DUMMYFUNCTION("""COMPUTED_VALUE"""),0.03981)</f>
        <v>0.03981</v>
      </c>
    </row>
    <row r="239">
      <c r="A239" s="12" t="s">
        <v>8129</v>
      </c>
      <c r="G239" s="19">
        <f>IFERROR(__xludf.DUMMYFUNCTION("SPLIT(A237, "" |"")"),235.0)</f>
        <v>235</v>
      </c>
      <c r="H239" s="19">
        <f>IFERROR(__xludf.DUMMYFUNCTION("""COMPUTED_VALUE"""),0.00192)</f>
        <v>0.00192</v>
      </c>
      <c r="I239" s="19" t="str">
        <f>IFERROR(__xludf.DUMMYFUNCTION("""COMPUTED_VALUE"""),"-")</f>
        <v>-</v>
      </c>
      <c r="J239" s="19">
        <f>IFERROR(__xludf.DUMMYFUNCTION("""COMPUTED_VALUE"""),0.00182)</f>
        <v>0.00182</v>
      </c>
      <c r="K239" s="19">
        <f>IFERROR(__xludf.DUMMYFUNCTION("""COMPUTED_VALUE"""),0.03952)</f>
        <v>0.03952</v>
      </c>
      <c r="L239" s="19" t="str">
        <f>IFERROR(__xludf.DUMMYFUNCTION("""COMPUTED_VALUE"""),"-")</f>
        <v>-</v>
      </c>
      <c r="M239" s="19">
        <f>IFERROR(__xludf.DUMMYFUNCTION("""COMPUTED_VALUE"""),0.03754)</f>
        <v>0.03754</v>
      </c>
    </row>
    <row r="240">
      <c r="A240" s="12" t="s">
        <v>8130</v>
      </c>
      <c r="G240" s="19">
        <f>IFERROR(__xludf.DUMMYFUNCTION("SPLIT(A238, "" |"")"),236.0)</f>
        <v>236</v>
      </c>
      <c r="H240" s="19">
        <f>IFERROR(__xludf.DUMMYFUNCTION("""COMPUTED_VALUE"""),0.00216)</f>
        <v>0.00216</v>
      </c>
      <c r="I240" s="19" t="str">
        <f>IFERROR(__xludf.DUMMYFUNCTION("""COMPUTED_VALUE"""),"-")</f>
        <v>-</v>
      </c>
      <c r="J240" s="19">
        <f>IFERROR(__xludf.DUMMYFUNCTION("""COMPUTED_VALUE"""),0.0019)</f>
        <v>0.0019</v>
      </c>
      <c r="K240" s="19">
        <f>IFERROR(__xludf.DUMMYFUNCTION("""COMPUTED_VALUE"""),0.0396)</f>
        <v>0.0396</v>
      </c>
      <c r="L240" s="19" t="str">
        <f>IFERROR(__xludf.DUMMYFUNCTION("""COMPUTED_VALUE"""),"-")</f>
        <v>-</v>
      </c>
      <c r="M240" s="19">
        <f>IFERROR(__xludf.DUMMYFUNCTION("""COMPUTED_VALUE"""),0.03881)</f>
        <v>0.03881</v>
      </c>
    </row>
    <row r="241">
      <c r="A241" s="12" t="s">
        <v>8131</v>
      </c>
      <c r="G241" s="19">
        <f>IFERROR(__xludf.DUMMYFUNCTION("SPLIT(A239, "" |"")"),237.0)</f>
        <v>237</v>
      </c>
      <c r="H241" s="19">
        <f>IFERROR(__xludf.DUMMYFUNCTION("""COMPUTED_VALUE"""),0.00214)</f>
        <v>0.00214</v>
      </c>
      <c r="I241" s="19" t="str">
        <f>IFERROR(__xludf.DUMMYFUNCTION("""COMPUTED_VALUE"""),"-")</f>
        <v>-</v>
      </c>
      <c r="J241" s="19">
        <f>IFERROR(__xludf.DUMMYFUNCTION("""COMPUTED_VALUE"""),0.00201)</f>
        <v>0.00201</v>
      </c>
      <c r="K241" s="19">
        <f>IFERROR(__xludf.DUMMYFUNCTION("""COMPUTED_VALUE"""),0.03956)</f>
        <v>0.03956</v>
      </c>
      <c r="L241" s="19" t="str">
        <f>IFERROR(__xludf.DUMMYFUNCTION("""COMPUTED_VALUE"""),"-")</f>
        <v>-</v>
      </c>
      <c r="M241" s="19">
        <f>IFERROR(__xludf.DUMMYFUNCTION("""COMPUTED_VALUE"""),0.03977)</f>
        <v>0.03977</v>
      </c>
    </row>
    <row r="242">
      <c r="A242" s="12" t="s">
        <v>8132</v>
      </c>
      <c r="G242" s="19">
        <f>IFERROR(__xludf.DUMMYFUNCTION("SPLIT(A240, "" |"")"),238.0)</f>
        <v>238</v>
      </c>
      <c r="H242" s="19">
        <f>IFERROR(__xludf.DUMMYFUNCTION("""COMPUTED_VALUE"""),0.00207)</f>
        <v>0.00207</v>
      </c>
      <c r="I242" s="19" t="str">
        <f>IFERROR(__xludf.DUMMYFUNCTION("""COMPUTED_VALUE"""),"-")</f>
        <v>-</v>
      </c>
      <c r="J242" s="19">
        <f>IFERROR(__xludf.DUMMYFUNCTION("""COMPUTED_VALUE"""),0.00197)</f>
        <v>0.00197</v>
      </c>
      <c r="K242" s="19">
        <f>IFERROR(__xludf.DUMMYFUNCTION("""COMPUTED_VALUE"""),0.03963)</f>
        <v>0.03963</v>
      </c>
      <c r="L242" s="19" t="str">
        <f>IFERROR(__xludf.DUMMYFUNCTION("""COMPUTED_VALUE"""),"-")</f>
        <v>-</v>
      </c>
      <c r="M242" s="19">
        <f>IFERROR(__xludf.DUMMYFUNCTION("""COMPUTED_VALUE"""),0.03976)</f>
        <v>0.03976</v>
      </c>
    </row>
    <row r="243">
      <c r="A243" s="12" t="s">
        <v>8133</v>
      </c>
      <c r="G243" s="19">
        <f>IFERROR(__xludf.DUMMYFUNCTION("SPLIT(A241, "" |"")"),239.0)</f>
        <v>239</v>
      </c>
      <c r="H243" s="19">
        <f>IFERROR(__xludf.DUMMYFUNCTION("""COMPUTED_VALUE"""),0.00201)</f>
        <v>0.00201</v>
      </c>
      <c r="I243" s="19" t="str">
        <f>IFERROR(__xludf.DUMMYFUNCTION("""COMPUTED_VALUE"""),"-")</f>
        <v>-</v>
      </c>
      <c r="J243" s="19">
        <f>IFERROR(__xludf.DUMMYFUNCTION("""COMPUTED_VALUE"""),0.002)</f>
        <v>0.002</v>
      </c>
      <c r="K243" s="19">
        <f>IFERROR(__xludf.DUMMYFUNCTION("""COMPUTED_VALUE"""),0.03962)</f>
        <v>0.03962</v>
      </c>
      <c r="L243" s="19" t="str">
        <f>IFERROR(__xludf.DUMMYFUNCTION("""COMPUTED_VALUE"""),"-")</f>
        <v>-</v>
      </c>
      <c r="M243" s="19">
        <f>IFERROR(__xludf.DUMMYFUNCTION("""COMPUTED_VALUE"""),0.03983)</f>
        <v>0.03983</v>
      </c>
    </row>
    <row r="244">
      <c r="A244" s="12" t="s">
        <v>8134</v>
      </c>
      <c r="G244" s="19">
        <f>IFERROR(__xludf.DUMMYFUNCTION("SPLIT(A242, "" |"")"),240.0)</f>
        <v>240</v>
      </c>
      <c r="H244" s="19">
        <f>IFERROR(__xludf.DUMMYFUNCTION("""COMPUTED_VALUE"""),0.00214)</f>
        <v>0.00214</v>
      </c>
      <c r="I244" s="19" t="str">
        <f>IFERROR(__xludf.DUMMYFUNCTION("""COMPUTED_VALUE"""),"-")</f>
        <v>-</v>
      </c>
      <c r="J244" s="19">
        <f>IFERROR(__xludf.DUMMYFUNCTION("""COMPUTED_VALUE"""),0.00199)</f>
        <v>0.00199</v>
      </c>
      <c r="K244" s="19">
        <f>IFERROR(__xludf.DUMMYFUNCTION("""COMPUTED_VALUE"""),0.03956)</f>
        <v>0.03956</v>
      </c>
      <c r="L244" s="19" t="str">
        <f>IFERROR(__xludf.DUMMYFUNCTION("""COMPUTED_VALUE"""),"-")</f>
        <v>-</v>
      </c>
      <c r="M244" s="19">
        <f>IFERROR(__xludf.DUMMYFUNCTION("""COMPUTED_VALUE"""),0.0398)</f>
        <v>0.0398</v>
      </c>
    </row>
    <row r="245">
      <c r="A245" s="12" t="s">
        <v>8135</v>
      </c>
      <c r="G245" s="19">
        <f>IFERROR(__xludf.DUMMYFUNCTION("SPLIT(A243, "" |"")"),241.0)</f>
        <v>241</v>
      </c>
      <c r="H245" s="19">
        <f>IFERROR(__xludf.DUMMYFUNCTION("""COMPUTED_VALUE"""),0.00208)</f>
        <v>0.00208</v>
      </c>
      <c r="I245" s="19" t="str">
        <f>IFERROR(__xludf.DUMMYFUNCTION("""COMPUTED_VALUE"""),"-")</f>
        <v>-</v>
      </c>
      <c r="J245" s="19">
        <f>IFERROR(__xludf.DUMMYFUNCTION("""COMPUTED_VALUE"""),0.00187)</f>
        <v>0.00187</v>
      </c>
      <c r="K245" s="19">
        <f>IFERROR(__xludf.DUMMYFUNCTION("""COMPUTED_VALUE"""),0.0397)</f>
        <v>0.0397</v>
      </c>
      <c r="L245" s="19" t="str">
        <f>IFERROR(__xludf.DUMMYFUNCTION("""COMPUTED_VALUE"""),"-")</f>
        <v>-</v>
      </c>
      <c r="M245" s="19">
        <f>IFERROR(__xludf.DUMMYFUNCTION("""COMPUTED_VALUE"""),0.03988)</f>
        <v>0.03988</v>
      </c>
    </row>
    <row r="246">
      <c r="A246" s="12" t="s">
        <v>8136</v>
      </c>
      <c r="G246" s="19">
        <f>IFERROR(__xludf.DUMMYFUNCTION("SPLIT(A244, "" |"")"),242.0)</f>
        <v>242</v>
      </c>
      <c r="H246" s="19">
        <f>IFERROR(__xludf.DUMMYFUNCTION("""COMPUTED_VALUE"""),0.00211)</f>
        <v>0.00211</v>
      </c>
      <c r="I246" s="19" t="str">
        <f>IFERROR(__xludf.DUMMYFUNCTION("""COMPUTED_VALUE"""),"-")</f>
        <v>-</v>
      </c>
      <c r="J246" s="19">
        <f>IFERROR(__xludf.DUMMYFUNCTION("""COMPUTED_VALUE"""),0.00196)</f>
        <v>0.00196</v>
      </c>
      <c r="K246" s="19">
        <f>IFERROR(__xludf.DUMMYFUNCTION("""COMPUTED_VALUE"""),0.03803)</f>
        <v>0.03803</v>
      </c>
      <c r="L246" s="19" t="str">
        <f>IFERROR(__xludf.DUMMYFUNCTION("""COMPUTED_VALUE"""),"-")</f>
        <v>-</v>
      </c>
      <c r="M246" s="19">
        <f>IFERROR(__xludf.DUMMYFUNCTION("""COMPUTED_VALUE"""),0.03976)</f>
        <v>0.03976</v>
      </c>
    </row>
    <row r="247">
      <c r="A247" s="12" t="s">
        <v>8137</v>
      </c>
      <c r="G247" s="19">
        <f>IFERROR(__xludf.DUMMYFUNCTION("SPLIT(A245, "" |"")"),243.0)</f>
        <v>243</v>
      </c>
      <c r="H247" s="19">
        <f>IFERROR(__xludf.DUMMYFUNCTION("""COMPUTED_VALUE"""),0.00215)</f>
        <v>0.00215</v>
      </c>
      <c r="I247" s="19" t="str">
        <f>IFERROR(__xludf.DUMMYFUNCTION("""COMPUTED_VALUE"""),"-")</f>
        <v>-</v>
      </c>
      <c r="J247" s="19">
        <f>IFERROR(__xludf.DUMMYFUNCTION("""COMPUTED_VALUE"""),0.00194)</f>
        <v>0.00194</v>
      </c>
      <c r="K247" s="19">
        <f>IFERROR(__xludf.DUMMYFUNCTION("""COMPUTED_VALUE"""),0.03969)</f>
        <v>0.03969</v>
      </c>
      <c r="L247" s="19" t="str">
        <f>IFERROR(__xludf.DUMMYFUNCTION("""COMPUTED_VALUE"""),"-")</f>
        <v>-</v>
      </c>
      <c r="M247" s="19">
        <f>IFERROR(__xludf.DUMMYFUNCTION("""COMPUTED_VALUE"""),0.03982)</f>
        <v>0.03982</v>
      </c>
    </row>
    <row r="248">
      <c r="A248" s="12" t="s">
        <v>8138</v>
      </c>
      <c r="G248" s="19">
        <f>IFERROR(__xludf.DUMMYFUNCTION("SPLIT(A246, "" |"")"),244.0)</f>
        <v>244</v>
      </c>
      <c r="H248" s="19">
        <f>IFERROR(__xludf.DUMMYFUNCTION("""COMPUTED_VALUE"""),0.00206)</f>
        <v>0.00206</v>
      </c>
      <c r="I248" s="19" t="str">
        <f>IFERROR(__xludf.DUMMYFUNCTION("""COMPUTED_VALUE"""),"-")</f>
        <v>-</v>
      </c>
      <c r="J248" s="19">
        <f>IFERROR(__xludf.DUMMYFUNCTION("""COMPUTED_VALUE"""),0.00196)</f>
        <v>0.00196</v>
      </c>
      <c r="K248" s="19">
        <f>IFERROR(__xludf.DUMMYFUNCTION("""COMPUTED_VALUE"""),0.03979)</f>
        <v>0.03979</v>
      </c>
      <c r="L248" s="19" t="str">
        <f>IFERROR(__xludf.DUMMYFUNCTION("""COMPUTED_VALUE"""),"-")</f>
        <v>-</v>
      </c>
      <c r="M248" s="19">
        <f>IFERROR(__xludf.DUMMYFUNCTION("""COMPUTED_VALUE"""),0.03989)</f>
        <v>0.03989</v>
      </c>
    </row>
    <row r="249">
      <c r="A249" s="12" t="s">
        <v>8139</v>
      </c>
      <c r="G249" s="19">
        <f>IFERROR(__xludf.DUMMYFUNCTION("SPLIT(A247, "" |"")"),245.0)</f>
        <v>245</v>
      </c>
      <c r="H249" s="19">
        <f>IFERROR(__xludf.DUMMYFUNCTION("""COMPUTED_VALUE"""),0.00217)</f>
        <v>0.00217</v>
      </c>
      <c r="I249" s="19" t="str">
        <f>IFERROR(__xludf.DUMMYFUNCTION("""COMPUTED_VALUE"""),"-")</f>
        <v>-</v>
      </c>
      <c r="J249" s="19">
        <f>IFERROR(__xludf.DUMMYFUNCTION("""COMPUTED_VALUE"""),0.00197)</f>
        <v>0.00197</v>
      </c>
      <c r="K249" s="19">
        <f>IFERROR(__xludf.DUMMYFUNCTION("""COMPUTED_VALUE"""),0.03964)</f>
        <v>0.03964</v>
      </c>
      <c r="L249" s="19" t="str">
        <f>IFERROR(__xludf.DUMMYFUNCTION("""COMPUTED_VALUE"""),"-")</f>
        <v>-</v>
      </c>
      <c r="M249" s="19">
        <f>IFERROR(__xludf.DUMMYFUNCTION("""COMPUTED_VALUE"""),0.03981)</f>
        <v>0.03981</v>
      </c>
    </row>
    <row r="250">
      <c r="A250" s="12" t="s">
        <v>8140</v>
      </c>
      <c r="G250" s="19">
        <f>IFERROR(__xludf.DUMMYFUNCTION("SPLIT(A248, "" |"")"),246.0)</f>
        <v>246</v>
      </c>
      <c r="H250" s="19">
        <f>IFERROR(__xludf.DUMMYFUNCTION("""COMPUTED_VALUE"""),0.00204)</f>
        <v>0.00204</v>
      </c>
      <c r="I250" s="19" t="str">
        <f>IFERROR(__xludf.DUMMYFUNCTION("""COMPUTED_VALUE"""),"-")</f>
        <v>-</v>
      </c>
      <c r="J250" s="19">
        <f>IFERROR(__xludf.DUMMYFUNCTION("""COMPUTED_VALUE"""),0.00181)</f>
        <v>0.00181</v>
      </c>
      <c r="K250" s="19">
        <f>IFERROR(__xludf.DUMMYFUNCTION("""COMPUTED_VALUE"""),0.03957)</f>
        <v>0.03957</v>
      </c>
      <c r="L250" s="19" t="str">
        <f>IFERROR(__xludf.DUMMYFUNCTION("""COMPUTED_VALUE"""),"-")</f>
        <v>-</v>
      </c>
      <c r="M250" s="19">
        <f>IFERROR(__xludf.DUMMYFUNCTION("""COMPUTED_VALUE"""),0.03987)</f>
        <v>0.03987</v>
      </c>
    </row>
    <row r="251">
      <c r="A251" s="12" t="s">
        <v>8141</v>
      </c>
      <c r="G251" s="19">
        <f>IFERROR(__xludf.DUMMYFUNCTION("SPLIT(A249, "" |"")"),247.0)</f>
        <v>247</v>
      </c>
      <c r="H251" s="19">
        <f>IFERROR(__xludf.DUMMYFUNCTION("""COMPUTED_VALUE"""),0.0021)</f>
        <v>0.0021</v>
      </c>
      <c r="I251" s="19" t="str">
        <f>IFERROR(__xludf.DUMMYFUNCTION("""COMPUTED_VALUE"""),"-")</f>
        <v>-</v>
      </c>
      <c r="J251" s="19">
        <f>IFERROR(__xludf.DUMMYFUNCTION("""COMPUTED_VALUE"""),0.00199)</f>
        <v>0.00199</v>
      </c>
      <c r="K251" s="19">
        <f>IFERROR(__xludf.DUMMYFUNCTION("""COMPUTED_VALUE"""),0.03967)</f>
        <v>0.03967</v>
      </c>
      <c r="L251" s="19" t="str">
        <f>IFERROR(__xludf.DUMMYFUNCTION("""COMPUTED_VALUE"""),"-")</f>
        <v>-</v>
      </c>
      <c r="M251" s="19">
        <f>IFERROR(__xludf.DUMMYFUNCTION("""COMPUTED_VALUE"""),0.03984)</f>
        <v>0.03984</v>
      </c>
    </row>
    <row r="252">
      <c r="A252" s="12" t="s">
        <v>8142</v>
      </c>
      <c r="G252" s="19">
        <f>IFERROR(__xludf.DUMMYFUNCTION("SPLIT(A250, "" |"")"),248.0)</f>
        <v>248</v>
      </c>
      <c r="H252" s="19">
        <f>IFERROR(__xludf.DUMMYFUNCTION("""COMPUTED_VALUE"""),0.00209)</f>
        <v>0.00209</v>
      </c>
      <c r="I252" s="19" t="str">
        <f>IFERROR(__xludf.DUMMYFUNCTION("""COMPUTED_VALUE"""),"-")</f>
        <v>-</v>
      </c>
      <c r="J252" s="19">
        <f>IFERROR(__xludf.DUMMYFUNCTION("""COMPUTED_VALUE"""),0.00196)</f>
        <v>0.00196</v>
      </c>
      <c r="K252" s="19">
        <f>IFERROR(__xludf.DUMMYFUNCTION("""COMPUTED_VALUE"""),0.03971)</f>
        <v>0.03971</v>
      </c>
      <c r="L252" s="19" t="str">
        <f>IFERROR(__xludf.DUMMYFUNCTION("""COMPUTED_VALUE"""),"-")</f>
        <v>-</v>
      </c>
      <c r="M252" s="19">
        <f>IFERROR(__xludf.DUMMYFUNCTION("""COMPUTED_VALUE"""),0.03974)</f>
        <v>0.03974</v>
      </c>
    </row>
    <row r="253">
      <c r="A253" s="12" t="s">
        <v>8143</v>
      </c>
      <c r="G253" s="19">
        <f>IFERROR(__xludf.DUMMYFUNCTION("SPLIT(A251, "" |"")"),249.0)</f>
        <v>249</v>
      </c>
      <c r="H253" s="19">
        <f>IFERROR(__xludf.DUMMYFUNCTION("""COMPUTED_VALUE"""),0.00214)</f>
        <v>0.00214</v>
      </c>
      <c r="I253" s="19" t="str">
        <f>IFERROR(__xludf.DUMMYFUNCTION("""COMPUTED_VALUE"""),"-")</f>
        <v>-</v>
      </c>
      <c r="J253" s="19">
        <f>IFERROR(__xludf.DUMMYFUNCTION("""COMPUTED_VALUE"""),0.002)</f>
        <v>0.002</v>
      </c>
      <c r="K253" s="19">
        <f>IFERROR(__xludf.DUMMYFUNCTION("""COMPUTED_VALUE"""),0.03717)</f>
        <v>0.03717</v>
      </c>
      <c r="L253" s="19" t="str">
        <f>IFERROR(__xludf.DUMMYFUNCTION("""COMPUTED_VALUE"""),"-")</f>
        <v>-</v>
      </c>
      <c r="M253" s="19">
        <f>IFERROR(__xludf.DUMMYFUNCTION("""COMPUTED_VALUE"""),0.03989)</f>
        <v>0.03989</v>
      </c>
    </row>
    <row r="254">
      <c r="A254" s="12" t="s">
        <v>8144</v>
      </c>
      <c r="G254" s="19">
        <f>IFERROR(__xludf.DUMMYFUNCTION("SPLIT(A252, "" |"")"),250.0)</f>
        <v>250</v>
      </c>
      <c r="H254" s="19">
        <f>IFERROR(__xludf.DUMMYFUNCTION("""COMPUTED_VALUE"""),0.00208)</f>
        <v>0.00208</v>
      </c>
      <c r="I254" s="19" t="str">
        <f>IFERROR(__xludf.DUMMYFUNCTION("""COMPUTED_VALUE"""),"-")</f>
        <v>-</v>
      </c>
      <c r="J254" s="19">
        <f>IFERROR(__xludf.DUMMYFUNCTION("""COMPUTED_VALUE"""),0.00196)</f>
        <v>0.00196</v>
      </c>
      <c r="K254" s="19">
        <f>IFERROR(__xludf.DUMMYFUNCTION("""COMPUTED_VALUE"""),0.03971)</f>
        <v>0.03971</v>
      </c>
      <c r="L254" s="19" t="str">
        <f>IFERROR(__xludf.DUMMYFUNCTION("""COMPUTED_VALUE"""),"-")</f>
        <v>-</v>
      </c>
      <c r="M254" s="19">
        <f>IFERROR(__xludf.DUMMYFUNCTION("""COMPUTED_VALUE"""),0.03995)</f>
        <v>0.03995</v>
      </c>
    </row>
    <row r="255">
      <c r="A255" s="12" t="s">
        <v>8145</v>
      </c>
      <c r="G255" s="19">
        <f>IFERROR(__xludf.DUMMYFUNCTION("SPLIT(A253, "" |"")"),251.0)</f>
        <v>251</v>
      </c>
      <c r="H255" s="19">
        <f>IFERROR(__xludf.DUMMYFUNCTION("""COMPUTED_VALUE"""),0.00209)</f>
        <v>0.00209</v>
      </c>
      <c r="I255" s="19" t="str">
        <f>IFERROR(__xludf.DUMMYFUNCTION("""COMPUTED_VALUE"""),"-")</f>
        <v>-</v>
      </c>
      <c r="J255" s="19">
        <f>IFERROR(__xludf.DUMMYFUNCTION("""COMPUTED_VALUE"""),0.00204)</f>
        <v>0.00204</v>
      </c>
      <c r="K255" s="19">
        <f>IFERROR(__xludf.DUMMYFUNCTION("""COMPUTED_VALUE"""),0.03971)</f>
        <v>0.03971</v>
      </c>
      <c r="L255" s="19" t="str">
        <f>IFERROR(__xludf.DUMMYFUNCTION("""COMPUTED_VALUE"""),"-")</f>
        <v>-</v>
      </c>
      <c r="M255" s="19">
        <f>IFERROR(__xludf.DUMMYFUNCTION("""COMPUTED_VALUE"""),0.03991)</f>
        <v>0.03991</v>
      </c>
    </row>
    <row r="256">
      <c r="A256" s="12" t="s">
        <v>8146</v>
      </c>
      <c r="G256" s="19">
        <f>IFERROR(__xludf.DUMMYFUNCTION("SPLIT(A254, "" |"")"),252.0)</f>
        <v>252</v>
      </c>
      <c r="H256" s="19">
        <f>IFERROR(__xludf.DUMMYFUNCTION("""COMPUTED_VALUE"""),0.00208)</f>
        <v>0.00208</v>
      </c>
      <c r="I256" s="19" t="str">
        <f>IFERROR(__xludf.DUMMYFUNCTION("""COMPUTED_VALUE"""),"-")</f>
        <v>-</v>
      </c>
      <c r="J256" s="19">
        <f>IFERROR(__xludf.DUMMYFUNCTION("""COMPUTED_VALUE"""),0.00194)</f>
        <v>0.00194</v>
      </c>
      <c r="K256" s="19">
        <f>IFERROR(__xludf.DUMMYFUNCTION("""COMPUTED_VALUE"""),0.03967)</f>
        <v>0.03967</v>
      </c>
      <c r="L256" s="19" t="str">
        <f>IFERROR(__xludf.DUMMYFUNCTION("""COMPUTED_VALUE"""),"-")</f>
        <v>-</v>
      </c>
      <c r="M256" s="19">
        <f>IFERROR(__xludf.DUMMYFUNCTION("""COMPUTED_VALUE"""),0.03982)</f>
        <v>0.03982</v>
      </c>
    </row>
    <row r="257">
      <c r="A257" s="12" t="s">
        <v>8147</v>
      </c>
      <c r="G257" s="19">
        <f>IFERROR(__xludf.DUMMYFUNCTION("SPLIT(A255, "" |"")"),253.0)</f>
        <v>253</v>
      </c>
      <c r="H257" s="19">
        <f>IFERROR(__xludf.DUMMYFUNCTION("""COMPUTED_VALUE"""),0.0021)</f>
        <v>0.0021</v>
      </c>
      <c r="I257" s="19" t="str">
        <f>IFERROR(__xludf.DUMMYFUNCTION("""COMPUTED_VALUE"""),"-")</f>
        <v>-</v>
      </c>
      <c r="J257" s="19">
        <f>IFERROR(__xludf.DUMMYFUNCTION("""COMPUTED_VALUE"""),0.00185)</f>
        <v>0.00185</v>
      </c>
      <c r="K257" s="19">
        <f>IFERROR(__xludf.DUMMYFUNCTION("""COMPUTED_VALUE"""),0.03963)</f>
        <v>0.03963</v>
      </c>
      <c r="L257" s="19" t="str">
        <f>IFERROR(__xludf.DUMMYFUNCTION("""COMPUTED_VALUE"""),"-")</f>
        <v>-</v>
      </c>
      <c r="M257" s="19">
        <f>IFERROR(__xludf.DUMMYFUNCTION("""COMPUTED_VALUE"""),0.03986)</f>
        <v>0.03986</v>
      </c>
    </row>
    <row r="258">
      <c r="A258" s="12" t="s">
        <v>8148</v>
      </c>
      <c r="G258" s="19">
        <f>IFERROR(__xludf.DUMMYFUNCTION("SPLIT(A256, "" |"")"),254.0)</f>
        <v>254</v>
      </c>
      <c r="H258" s="19">
        <f>IFERROR(__xludf.DUMMYFUNCTION("""COMPUTED_VALUE"""),0.00207)</f>
        <v>0.00207</v>
      </c>
      <c r="I258" s="19" t="str">
        <f>IFERROR(__xludf.DUMMYFUNCTION("""COMPUTED_VALUE"""),"-")</f>
        <v>-</v>
      </c>
      <c r="J258" s="19">
        <f>IFERROR(__xludf.DUMMYFUNCTION("""COMPUTED_VALUE"""),0.00195)</f>
        <v>0.00195</v>
      </c>
      <c r="K258" s="19">
        <f>IFERROR(__xludf.DUMMYFUNCTION("""COMPUTED_VALUE"""),0.03973)</f>
        <v>0.03973</v>
      </c>
      <c r="L258" s="19" t="str">
        <f>IFERROR(__xludf.DUMMYFUNCTION("""COMPUTED_VALUE"""),"-")</f>
        <v>-</v>
      </c>
      <c r="M258" s="19">
        <f>IFERROR(__xludf.DUMMYFUNCTION("""COMPUTED_VALUE"""),0.03985)</f>
        <v>0.03985</v>
      </c>
    </row>
    <row r="259">
      <c r="A259" s="12" t="s">
        <v>8149</v>
      </c>
      <c r="G259" s="19">
        <f>IFERROR(__xludf.DUMMYFUNCTION("SPLIT(A257, "" |"")"),255.0)</f>
        <v>255</v>
      </c>
      <c r="H259" s="19">
        <f>IFERROR(__xludf.DUMMYFUNCTION("""COMPUTED_VALUE"""),0.00208)</f>
        <v>0.00208</v>
      </c>
      <c r="I259" s="19" t="str">
        <f>IFERROR(__xludf.DUMMYFUNCTION("""COMPUTED_VALUE"""),"-")</f>
        <v>-</v>
      </c>
      <c r="J259" s="19">
        <f>IFERROR(__xludf.DUMMYFUNCTION("""COMPUTED_VALUE"""),0.00195)</f>
        <v>0.00195</v>
      </c>
      <c r="K259" s="19">
        <f>IFERROR(__xludf.DUMMYFUNCTION("""COMPUTED_VALUE"""),0.03972)</f>
        <v>0.03972</v>
      </c>
      <c r="L259" s="19" t="str">
        <f>IFERROR(__xludf.DUMMYFUNCTION("""COMPUTED_VALUE"""),"-")</f>
        <v>-</v>
      </c>
      <c r="M259" s="19">
        <f>IFERROR(__xludf.DUMMYFUNCTION("""COMPUTED_VALUE"""),0.03987)</f>
        <v>0.03987</v>
      </c>
    </row>
    <row r="260">
      <c r="A260" s="12" t="s">
        <v>8150</v>
      </c>
      <c r="G260" s="19">
        <f>IFERROR(__xludf.DUMMYFUNCTION("SPLIT(A258, "" |"")"),256.0)</f>
        <v>256</v>
      </c>
      <c r="H260" s="19">
        <f>IFERROR(__xludf.DUMMYFUNCTION("""COMPUTED_VALUE"""),0.00209)</f>
        <v>0.00209</v>
      </c>
      <c r="I260" s="19" t="str">
        <f>IFERROR(__xludf.DUMMYFUNCTION("""COMPUTED_VALUE"""),"-")</f>
        <v>-</v>
      </c>
      <c r="J260" s="19">
        <f>IFERROR(__xludf.DUMMYFUNCTION("""COMPUTED_VALUE"""),0.00194)</f>
        <v>0.00194</v>
      </c>
      <c r="K260" s="19">
        <f>IFERROR(__xludf.DUMMYFUNCTION("""COMPUTED_VALUE"""),0.03962)</f>
        <v>0.03962</v>
      </c>
      <c r="L260" s="19" t="str">
        <f>IFERROR(__xludf.DUMMYFUNCTION("""COMPUTED_VALUE"""),"-")</f>
        <v>-</v>
      </c>
      <c r="M260" s="19">
        <f>IFERROR(__xludf.DUMMYFUNCTION("""COMPUTED_VALUE"""),0.03994)</f>
        <v>0.03994</v>
      </c>
    </row>
    <row r="261">
      <c r="A261" s="12" t="s">
        <v>8151</v>
      </c>
      <c r="G261" s="19">
        <f>IFERROR(__xludf.DUMMYFUNCTION("SPLIT(A259, "" |"")"),257.0)</f>
        <v>257</v>
      </c>
      <c r="H261" s="19">
        <f>IFERROR(__xludf.DUMMYFUNCTION("""COMPUTED_VALUE"""),0.00212)</f>
        <v>0.00212</v>
      </c>
      <c r="I261" s="19" t="str">
        <f>IFERROR(__xludf.DUMMYFUNCTION("""COMPUTED_VALUE"""),"-")</f>
        <v>-</v>
      </c>
      <c r="J261" s="19">
        <f>IFERROR(__xludf.DUMMYFUNCTION("""COMPUTED_VALUE"""),0.00192)</f>
        <v>0.00192</v>
      </c>
      <c r="K261" s="19">
        <f>IFERROR(__xludf.DUMMYFUNCTION("""COMPUTED_VALUE"""),0.0397)</f>
        <v>0.0397</v>
      </c>
      <c r="L261" s="19" t="str">
        <f>IFERROR(__xludf.DUMMYFUNCTION("""COMPUTED_VALUE"""),"-")</f>
        <v>-</v>
      </c>
      <c r="M261" s="19">
        <f>IFERROR(__xludf.DUMMYFUNCTION("""COMPUTED_VALUE"""),0.03976)</f>
        <v>0.03976</v>
      </c>
    </row>
    <row r="262">
      <c r="A262" s="12" t="s">
        <v>8152</v>
      </c>
      <c r="G262" s="19">
        <f>IFERROR(__xludf.DUMMYFUNCTION("SPLIT(A260, "" |"")"),258.0)</f>
        <v>258</v>
      </c>
      <c r="H262" s="19">
        <f>IFERROR(__xludf.DUMMYFUNCTION("""COMPUTED_VALUE"""),0.0022)</f>
        <v>0.0022</v>
      </c>
      <c r="I262" s="19" t="str">
        <f>IFERROR(__xludf.DUMMYFUNCTION("""COMPUTED_VALUE"""),"-")</f>
        <v>-</v>
      </c>
      <c r="J262" s="19">
        <f>IFERROR(__xludf.DUMMYFUNCTION("""COMPUTED_VALUE"""),0.00198)</f>
        <v>0.00198</v>
      </c>
      <c r="K262" s="19">
        <f>IFERROR(__xludf.DUMMYFUNCTION("""COMPUTED_VALUE"""),0.03968)</f>
        <v>0.03968</v>
      </c>
      <c r="L262" s="19" t="str">
        <f>IFERROR(__xludf.DUMMYFUNCTION("""COMPUTED_VALUE"""),"-")</f>
        <v>-</v>
      </c>
      <c r="M262" s="19">
        <f>IFERROR(__xludf.DUMMYFUNCTION("""COMPUTED_VALUE"""),0.03983)</f>
        <v>0.03983</v>
      </c>
    </row>
    <row r="263">
      <c r="A263" s="12" t="s">
        <v>8153</v>
      </c>
      <c r="G263" s="19">
        <f>IFERROR(__xludf.DUMMYFUNCTION("SPLIT(A261, "" |"")"),259.0)</f>
        <v>259</v>
      </c>
      <c r="H263" s="19">
        <f>IFERROR(__xludf.DUMMYFUNCTION("""COMPUTED_VALUE"""),0.00207)</f>
        <v>0.00207</v>
      </c>
      <c r="I263" s="19" t="str">
        <f>IFERROR(__xludf.DUMMYFUNCTION("""COMPUTED_VALUE"""),"-")</f>
        <v>-</v>
      </c>
      <c r="J263" s="19">
        <f>IFERROR(__xludf.DUMMYFUNCTION("""COMPUTED_VALUE"""),0.00182)</f>
        <v>0.00182</v>
      </c>
      <c r="K263" s="19">
        <f>IFERROR(__xludf.DUMMYFUNCTION("""COMPUTED_VALUE"""),0.03955)</f>
        <v>0.03955</v>
      </c>
      <c r="L263" s="19" t="str">
        <f>IFERROR(__xludf.DUMMYFUNCTION("""COMPUTED_VALUE"""),"-")</f>
        <v>-</v>
      </c>
      <c r="M263" s="19">
        <f>IFERROR(__xludf.DUMMYFUNCTION("""COMPUTED_VALUE"""),0.03976)</f>
        <v>0.03976</v>
      </c>
    </row>
    <row r="264">
      <c r="A264" s="12" t="s">
        <v>8154</v>
      </c>
      <c r="G264" s="19">
        <f>IFERROR(__xludf.DUMMYFUNCTION("SPLIT(A262, "" |"")"),260.0)</f>
        <v>260</v>
      </c>
      <c r="H264" s="19">
        <f>IFERROR(__xludf.DUMMYFUNCTION("""COMPUTED_VALUE"""),0.00207)</f>
        <v>0.00207</v>
      </c>
      <c r="I264" s="19" t="str">
        <f>IFERROR(__xludf.DUMMYFUNCTION("""COMPUTED_VALUE"""),"-")</f>
        <v>-</v>
      </c>
      <c r="J264" s="19">
        <f>IFERROR(__xludf.DUMMYFUNCTION("""COMPUTED_VALUE"""),0.00185)</f>
        <v>0.00185</v>
      </c>
      <c r="K264" s="19">
        <f>IFERROR(__xludf.DUMMYFUNCTION("""COMPUTED_VALUE"""),0.03954)</f>
        <v>0.03954</v>
      </c>
      <c r="L264" s="19" t="str">
        <f>IFERROR(__xludf.DUMMYFUNCTION("""COMPUTED_VALUE"""),"-")</f>
        <v>-</v>
      </c>
      <c r="M264" s="19">
        <f>IFERROR(__xludf.DUMMYFUNCTION("""COMPUTED_VALUE"""),0.03966)</f>
        <v>0.03966</v>
      </c>
    </row>
    <row r="265">
      <c r="A265" s="12" t="s">
        <v>8155</v>
      </c>
      <c r="G265" s="19">
        <f>IFERROR(__xludf.DUMMYFUNCTION("SPLIT(A263, "" |"")"),261.0)</f>
        <v>261</v>
      </c>
      <c r="H265" s="19">
        <f>IFERROR(__xludf.DUMMYFUNCTION("""COMPUTED_VALUE"""),0.002)</f>
        <v>0.002</v>
      </c>
      <c r="I265" s="19" t="str">
        <f>IFERROR(__xludf.DUMMYFUNCTION("""COMPUTED_VALUE"""),"-")</f>
        <v>-</v>
      </c>
      <c r="J265" s="19">
        <f>IFERROR(__xludf.DUMMYFUNCTION("""COMPUTED_VALUE"""),0.00185)</f>
        <v>0.00185</v>
      </c>
      <c r="K265" s="19">
        <f>IFERROR(__xludf.DUMMYFUNCTION("""COMPUTED_VALUE"""),0.03955)</f>
        <v>0.03955</v>
      </c>
      <c r="L265" s="19" t="str">
        <f>IFERROR(__xludf.DUMMYFUNCTION("""COMPUTED_VALUE"""),"-")</f>
        <v>-</v>
      </c>
      <c r="M265" s="19">
        <f>IFERROR(__xludf.DUMMYFUNCTION("""COMPUTED_VALUE"""),0.03969)</f>
        <v>0.03969</v>
      </c>
    </row>
    <row r="266">
      <c r="A266" s="12" t="s">
        <v>8156</v>
      </c>
      <c r="G266" s="19">
        <f>IFERROR(__xludf.DUMMYFUNCTION("SPLIT(A264, "" |"")"),262.0)</f>
        <v>262</v>
      </c>
      <c r="H266" s="19">
        <f>IFERROR(__xludf.DUMMYFUNCTION("""COMPUTED_VALUE"""),0.00203)</f>
        <v>0.00203</v>
      </c>
      <c r="I266" s="19" t="str">
        <f>IFERROR(__xludf.DUMMYFUNCTION("""COMPUTED_VALUE"""),"-")</f>
        <v>-</v>
      </c>
      <c r="J266" s="19">
        <f>IFERROR(__xludf.DUMMYFUNCTION("""COMPUTED_VALUE"""),0.00184)</f>
        <v>0.00184</v>
      </c>
      <c r="K266" s="19">
        <f>IFERROR(__xludf.DUMMYFUNCTION("""COMPUTED_VALUE"""),0.03952)</f>
        <v>0.03952</v>
      </c>
      <c r="L266" s="19" t="str">
        <f>IFERROR(__xludf.DUMMYFUNCTION("""COMPUTED_VALUE"""),"-")</f>
        <v>-</v>
      </c>
      <c r="M266" s="19">
        <f>IFERROR(__xludf.DUMMYFUNCTION("""COMPUTED_VALUE"""),0.03978)</f>
        <v>0.03978</v>
      </c>
    </row>
    <row r="267">
      <c r="A267" s="12" t="s">
        <v>8157</v>
      </c>
      <c r="G267" s="19">
        <f>IFERROR(__xludf.DUMMYFUNCTION("SPLIT(A265, "" |"")"),263.0)</f>
        <v>263</v>
      </c>
      <c r="H267" s="19">
        <f>IFERROR(__xludf.DUMMYFUNCTION("""COMPUTED_VALUE"""),0.00199)</f>
        <v>0.00199</v>
      </c>
      <c r="I267" s="19" t="str">
        <f>IFERROR(__xludf.DUMMYFUNCTION("""COMPUTED_VALUE"""),"-")</f>
        <v>-</v>
      </c>
      <c r="J267" s="19">
        <f>IFERROR(__xludf.DUMMYFUNCTION("""COMPUTED_VALUE"""),0.00185)</f>
        <v>0.00185</v>
      </c>
      <c r="K267" s="19">
        <f>IFERROR(__xludf.DUMMYFUNCTION("""COMPUTED_VALUE"""),0.04173)</f>
        <v>0.04173</v>
      </c>
      <c r="L267" s="19" t="str">
        <f>IFERROR(__xludf.DUMMYFUNCTION("""COMPUTED_VALUE"""),"-")</f>
        <v>-</v>
      </c>
      <c r="M267" s="19">
        <f>IFERROR(__xludf.DUMMYFUNCTION("""COMPUTED_VALUE"""),0.05349)</f>
        <v>0.05349</v>
      </c>
    </row>
    <row r="268">
      <c r="A268" s="12" t="s">
        <v>8158</v>
      </c>
      <c r="G268" s="19">
        <f>IFERROR(__xludf.DUMMYFUNCTION("SPLIT(A266, "" |"")"),264.0)</f>
        <v>264</v>
      </c>
      <c r="H268" s="19">
        <f>IFERROR(__xludf.DUMMYFUNCTION("""COMPUTED_VALUE"""),0.00205)</f>
        <v>0.00205</v>
      </c>
      <c r="I268" s="19" t="str">
        <f>IFERROR(__xludf.DUMMYFUNCTION("""COMPUTED_VALUE"""),"-")</f>
        <v>-</v>
      </c>
      <c r="J268" s="19">
        <f>IFERROR(__xludf.DUMMYFUNCTION("""COMPUTED_VALUE"""),0.00185)</f>
        <v>0.00185</v>
      </c>
      <c r="K268" s="19">
        <f>IFERROR(__xludf.DUMMYFUNCTION("""COMPUTED_VALUE"""),0.0395)</f>
        <v>0.0395</v>
      </c>
      <c r="L268" s="19" t="str">
        <f>IFERROR(__xludf.DUMMYFUNCTION("""COMPUTED_VALUE"""),"-")</f>
        <v>-</v>
      </c>
      <c r="M268" s="19">
        <f>IFERROR(__xludf.DUMMYFUNCTION("""COMPUTED_VALUE"""),0.03976)</f>
        <v>0.03976</v>
      </c>
    </row>
    <row r="269">
      <c r="A269" s="12" t="s">
        <v>8159</v>
      </c>
      <c r="G269" s="19">
        <f>IFERROR(__xludf.DUMMYFUNCTION("SPLIT(A267, "" |"")"),265.0)</f>
        <v>265</v>
      </c>
      <c r="H269" s="19">
        <f>IFERROR(__xludf.DUMMYFUNCTION("""COMPUTED_VALUE"""),0.00198)</f>
        <v>0.00198</v>
      </c>
      <c r="I269" s="19" t="str">
        <f>IFERROR(__xludf.DUMMYFUNCTION("""COMPUTED_VALUE"""),"-")</f>
        <v>-</v>
      </c>
      <c r="J269" s="19">
        <f>IFERROR(__xludf.DUMMYFUNCTION("""COMPUTED_VALUE"""),0.00185)</f>
        <v>0.00185</v>
      </c>
      <c r="K269" s="19">
        <f>IFERROR(__xludf.DUMMYFUNCTION("""COMPUTED_VALUE"""),0.03957)</f>
        <v>0.03957</v>
      </c>
      <c r="L269" s="19" t="str">
        <f>IFERROR(__xludf.DUMMYFUNCTION("""COMPUTED_VALUE"""),"-")</f>
        <v>-</v>
      </c>
      <c r="M269" s="19">
        <f>IFERROR(__xludf.DUMMYFUNCTION("""COMPUTED_VALUE"""),0.03964)</f>
        <v>0.03964</v>
      </c>
    </row>
    <row r="270">
      <c r="A270" s="12" t="s">
        <v>8160</v>
      </c>
      <c r="G270" s="19">
        <f>IFERROR(__xludf.DUMMYFUNCTION("SPLIT(A268, "" |"")"),266.0)</f>
        <v>266</v>
      </c>
      <c r="H270" s="19">
        <f>IFERROR(__xludf.DUMMYFUNCTION("""COMPUTED_VALUE"""),0.00195)</f>
        <v>0.00195</v>
      </c>
      <c r="I270" s="19" t="str">
        <f>IFERROR(__xludf.DUMMYFUNCTION("""COMPUTED_VALUE"""),"-")</f>
        <v>-</v>
      </c>
      <c r="J270" s="19">
        <f>IFERROR(__xludf.DUMMYFUNCTION("""COMPUTED_VALUE"""),0.00182)</f>
        <v>0.00182</v>
      </c>
      <c r="K270" s="19">
        <f>IFERROR(__xludf.DUMMYFUNCTION("""COMPUTED_VALUE"""),0.03953)</f>
        <v>0.03953</v>
      </c>
      <c r="L270" s="19" t="str">
        <f>IFERROR(__xludf.DUMMYFUNCTION("""COMPUTED_VALUE"""),"-")</f>
        <v>-</v>
      </c>
      <c r="M270" s="19">
        <f>IFERROR(__xludf.DUMMYFUNCTION("""COMPUTED_VALUE"""),0.03977)</f>
        <v>0.03977</v>
      </c>
    </row>
    <row r="271">
      <c r="A271" s="12" t="s">
        <v>8161</v>
      </c>
      <c r="G271" s="19">
        <f>IFERROR(__xludf.DUMMYFUNCTION("SPLIT(A269, "" |"")"),267.0)</f>
        <v>267</v>
      </c>
      <c r="H271" s="19">
        <f>IFERROR(__xludf.DUMMYFUNCTION("""COMPUTED_VALUE"""),0.00219)</f>
        <v>0.00219</v>
      </c>
      <c r="I271" s="19" t="str">
        <f>IFERROR(__xludf.DUMMYFUNCTION("""COMPUTED_VALUE"""),"-")</f>
        <v>-</v>
      </c>
      <c r="J271" s="19">
        <f>IFERROR(__xludf.DUMMYFUNCTION("""COMPUTED_VALUE"""),0.00199)</f>
        <v>0.00199</v>
      </c>
      <c r="K271" s="19">
        <f>IFERROR(__xludf.DUMMYFUNCTION("""COMPUTED_VALUE"""),0.03965)</f>
        <v>0.03965</v>
      </c>
      <c r="L271" s="19" t="str">
        <f>IFERROR(__xludf.DUMMYFUNCTION("""COMPUTED_VALUE"""),"-")</f>
        <v>-</v>
      </c>
      <c r="M271" s="19">
        <f>IFERROR(__xludf.DUMMYFUNCTION("""COMPUTED_VALUE"""),0.0399)</f>
        <v>0.0399</v>
      </c>
    </row>
    <row r="272">
      <c r="A272" s="12" t="s">
        <v>8162</v>
      </c>
      <c r="G272" s="19">
        <f>IFERROR(__xludf.DUMMYFUNCTION("SPLIT(A270, "" |"")"),268.0)</f>
        <v>268</v>
      </c>
      <c r="H272" s="19">
        <f>IFERROR(__xludf.DUMMYFUNCTION("""COMPUTED_VALUE"""),0.00206)</f>
        <v>0.00206</v>
      </c>
      <c r="I272" s="19" t="str">
        <f>IFERROR(__xludf.DUMMYFUNCTION("""COMPUTED_VALUE"""),"-")</f>
        <v>-</v>
      </c>
      <c r="J272" s="19">
        <f>IFERROR(__xludf.DUMMYFUNCTION("""COMPUTED_VALUE"""),0.00197)</f>
        <v>0.00197</v>
      </c>
      <c r="K272" s="19">
        <f>IFERROR(__xludf.DUMMYFUNCTION("""COMPUTED_VALUE"""),0.03969)</f>
        <v>0.03969</v>
      </c>
      <c r="L272" s="19" t="str">
        <f>IFERROR(__xludf.DUMMYFUNCTION("""COMPUTED_VALUE"""),"-")</f>
        <v>-</v>
      </c>
      <c r="M272" s="19">
        <f>IFERROR(__xludf.DUMMYFUNCTION("""COMPUTED_VALUE"""),0.03984)</f>
        <v>0.03984</v>
      </c>
    </row>
    <row r="273">
      <c r="A273" s="12" t="s">
        <v>8163</v>
      </c>
      <c r="G273" s="19">
        <f>IFERROR(__xludf.DUMMYFUNCTION("SPLIT(A271, "" |"")"),269.0)</f>
        <v>269</v>
      </c>
      <c r="H273" s="19">
        <f>IFERROR(__xludf.DUMMYFUNCTION("""COMPUTED_VALUE"""),0.00212)</f>
        <v>0.00212</v>
      </c>
      <c r="I273" s="19" t="str">
        <f>IFERROR(__xludf.DUMMYFUNCTION("""COMPUTED_VALUE"""),"-")</f>
        <v>-</v>
      </c>
      <c r="J273" s="19">
        <f>IFERROR(__xludf.DUMMYFUNCTION("""COMPUTED_VALUE"""),0.00195)</f>
        <v>0.00195</v>
      </c>
      <c r="K273" s="19">
        <f>IFERROR(__xludf.DUMMYFUNCTION("""COMPUTED_VALUE"""),0.03967)</f>
        <v>0.03967</v>
      </c>
      <c r="L273" s="19" t="str">
        <f>IFERROR(__xludf.DUMMYFUNCTION("""COMPUTED_VALUE"""),"-")</f>
        <v>-</v>
      </c>
      <c r="M273" s="19">
        <f>IFERROR(__xludf.DUMMYFUNCTION("""COMPUTED_VALUE"""),0.03985)</f>
        <v>0.03985</v>
      </c>
    </row>
    <row r="274">
      <c r="A274" s="12" t="s">
        <v>8164</v>
      </c>
      <c r="G274" s="19">
        <f>IFERROR(__xludf.DUMMYFUNCTION("SPLIT(A272, "" |"")"),270.0)</f>
        <v>270</v>
      </c>
      <c r="H274" s="19">
        <f>IFERROR(__xludf.DUMMYFUNCTION("""COMPUTED_VALUE"""),0.00214)</f>
        <v>0.00214</v>
      </c>
      <c r="I274" s="19" t="str">
        <f>IFERROR(__xludf.DUMMYFUNCTION("""COMPUTED_VALUE"""),"-")</f>
        <v>-</v>
      </c>
      <c r="J274" s="19">
        <f>IFERROR(__xludf.DUMMYFUNCTION("""COMPUTED_VALUE"""),0.00195)</f>
        <v>0.00195</v>
      </c>
      <c r="K274" s="19">
        <f>IFERROR(__xludf.DUMMYFUNCTION("""COMPUTED_VALUE"""),0.0397)</f>
        <v>0.0397</v>
      </c>
      <c r="L274" s="19" t="str">
        <f>IFERROR(__xludf.DUMMYFUNCTION("""COMPUTED_VALUE"""),"-")</f>
        <v>-</v>
      </c>
      <c r="M274" s="19">
        <f>IFERROR(__xludf.DUMMYFUNCTION("""COMPUTED_VALUE"""),0.0396)</f>
        <v>0.0396</v>
      </c>
    </row>
    <row r="275">
      <c r="A275" s="12" t="s">
        <v>8165</v>
      </c>
      <c r="G275" s="19">
        <f>IFERROR(__xludf.DUMMYFUNCTION("SPLIT(A273, "" |"")"),271.0)</f>
        <v>271</v>
      </c>
      <c r="H275" s="19">
        <f>IFERROR(__xludf.DUMMYFUNCTION("""COMPUTED_VALUE"""),0.00214)</f>
        <v>0.00214</v>
      </c>
      <c r="I275" s="19" t="str">
        <f>IFERROR(__xludf.DUMMYFUNCTION("""COMPUTED_VALUE"""),"-")</f>
        <v>-</v>
      </c>
      <c r="J275" s="19">
        <f>IFERROR(__xludf.DUMMYFUNCTION("""COMPUTED_VALUE"""),0.00194)</f>
        <v>0.00194</v>
      </c>
      <c r="K275" s="19">
        <f>IFERROR(__xludf.DUMMYFUNCTION("""COMPUTED_VALUE"""),0.03973)</f>
        <v>0.03973</v>
      </c>
      <c r="L275" s="19" t="str">
        <f>IFERROR(__xludf.DUMMYFUNCTION("""COMPUTED_VALUE"""),"-")</f>
        <v>-</v>
      </c>
      <c r="M275" s="19">
        <f>IFERROR(__xludf.DUMMYFUNCTION("""COMPUTED_VALUE"""),0.03975)</f>
        <v>0.03975</v>
      </c>
    </row>
    <row r="276">
      <c r="A276" s="12" t="s">
        <v>8166</v>
      </c>
      <c r="G276" s="19">
        <f>IFERROR(__xludf.DUMMYFUNCTION("SPLIT(A274, "" |"")"),272.0)</f>
        <v>272</v>
      </c>
      <c r="H276" s="19">
        <f>IFERROR(__xludf.DUMMYFUNCTION("""COMPUTED_VALUE"""),0.00198)</f>
        <v>0.00198</v>
      </c>
      <c r="I276" s="19" t="str">
        <f>IFERROR(__xludf.DUMMYFUNCTION("""COMPUTED_VALUE"""),"-")</f>
        <v>-</v>
      </c>
      <c r="J276" s="19">
        <f>IFERROR(__xludf.DUMMYFUNCTION("""COMPUTED_VALUE"""),0.00189)</f>
        <v>0.00189</v>
      </c>
      <c r="K276" s="19">
        <f>IFERROR(__xludf.DUMMYFUNCTION("""COMPUTED_VALUE"""),0.03969)</f>
        <v>0.03969</v>
      </c>
      <c r="L276" s="19" t="str">
        <f>IFERROR(__xludf.DUMMYFUNCTION("""COMPUTED_VALUE"""),"-")</f>
        <v>-</v>
      </c>
      <c r="M276" s="19">
        <f>IFERROR(__xludf.DUMMYFUNCTION("""COMPUTED_VALUE"""),0.03989)</f>
        <v>0.03989</v>
      </c>
    </row>
    <row r="277">
      <c r="A277" s="12" t="s">
        <v>8167</v>
      </c>
      <c r="G277" s="19">
        <f>IFERROR(__xludf.DUMMYFUNCTION("SPLIT(A275, "" |"")"),273.0)</f>
        <v>273</v>
      </c>
      <c r="H277" s="19">
        <f>IFERROR(__xludf.DUMMYFUNCTION("""COMPUTED_VALUE"""),0.00211)</f>
        <v>0.00211</v>
      </c>
      <c r="I277" s="19" t="str">
        <f>IFERROR(__xludf.DUMMYFUNCTION("""COMPUTED_VALUE"""),"-")</f>
        <v>-</v>
      </c>
      <c r="J277" s="19">
        <f>IFERROR(__xludf.DUMMYFUNCTION("""COMPUTED_VALUE"""),0.00191)</f>
        <v>0.00191</v>
      </c>
      <c r="K277" s="19">
        <f>IFERROR(__xludf.DUMMYFUNCTION("""COMPUTED_VALUE"""),0.03969)</f>
        <v>0.03969</v>
      </c>
      <c r="L277" s="19" t="str">
        <f>IFERROR(__xludf.DUMMYFUNCTION("""COMPUTED_VALUE"""),"-")</f>
        <v>-</v>
      </c>
      <c r="M277" s="19">
        <f>IFERROR(__xludf.DUMMYFUNCTION("""COMPUTED_VALUE"""),0.03974)</f>
        <v>0.03974</v>
      </c>
    </row>
    <row r="278">
      <c r="A278" s="12" t="s">
        <v>8168</v>
      </c>
      <c r="G278" s="19">
        <f>IFERROR(__xludf.DUMMYFUNCTION("SPLIT(A276, "" |"")"),274.0)</f>
        <v>274</v>
      </c>
      <c r="H278" s="19">
        <f>IFERROR(__xludf.DUMMYFUNCTION("""COMPUTED_VALUE"""),0.00212)</f>
        <v>0.00212</v>
      </c>
      <c r="I278" s="19" t="str">
        <f>IFERROR(__xludf.DUMMYFUNCTION("""COMPUTED_VALUE"""),"-")</f>
        <v>-</v>
      </c>
      <c r="J278" s="19">
        <f>IFERROR(__xludf.DUMMYFUNCTION("""COMPUTED_VALUE"""),0.00199)</f>
        <v>0.00199</v>
      </c>
      <c r="K278" s="19">
        <f>IFERROR(__xludf.DUMMYFUNCTION("""COMPUTED_VALUE"""),0.03961)</f>
        <v>0.03961</v>
      </c>
      <c r="L278" s="19" t="str">
        <f>IFERROR(__xludf.DUMMYFUNCTION("""COMPUTED_VALUE"""),"-")</f>
        <v>-</v>
      </c>
      <c r="M278" s="19">
        <f>IFERROR(__xludf.DUMMYFUNCTION("""COMPUTED_VALUE"""),0.0364)</f>
        <v>0.0364</v>
      </c>
    </row>
    <row r="279">
      <c r="A279" s="12" t="s">
        <v>8169</v>
      </c>
      <c r="G279" s="19">
        <f>IFERROR(__xludf.DUMMYFUNCTION("SPLIT(A277, "" |"")"),275.0)</f>
        <v>275</v>
      </c>
      <c r="H279" s="19">
        <f>IFERROR(__xludf.DUMMYFUNCTION("""COMPUTED_VALUE"""),0.00202)</f>
        <v>0.00202</v>
      </c>
      <c r="I279" s="19" t="str">
        <f>IFERROR(__xludf.DUMMYFUNCTION("""COMPUTED_VALUE"""),"-")</f>
        <v>-</v>
      </c>
      <c r="J279" s="19">
        <f>IFERROR(__xludf.DUMMYFUNCTION("""COMPUTED_VALUE"""),0.00197)</f>
        <v>0.00197</v>
      </c>
      <c r="K279" s="19">
        <f>IFERROR(__xludf.DUMMYFUNCTION("""COMPUTED_VALUE"""),0.03958)</f>
        <v>0.03958</v>
      </c>
      <c r="L279" s="19" t="str">
        <f>IFERROR(__xludf.DUMMYFUNCTION("""COMPUTED_VALUE"""),"-")</f>
        <v>-</v>
      </c>
      <c r="M279" s="19">
        <f>IFERROR(__xludf.DUMMYFUNCTION("""COMPUTED_VALUE"""),0.03985)</f>
        <v>0.03985</v>
      </c>
    </row>
    <row r="280">
      <c r="A280" s="12" t="s">
        <v>8170</v>
      </c>
      <c r="G280" s="19">
        <f>IFERROR(__xludf.DUMMYFUNCTION("SPLIT(A278, "" |"")"),276.0)</f>
        <v>276</v>
      </c>
      <c r="H280" s="19">
        <f>IFERROR(__xludf.DUMMYFUNCTION("""COMPUTED_VALUE"""),0.00209)</f>
        <v>0.00209</v>
      </c>
      <c r="I280" s="19" t="str">
        <f>IFERROR(__xludf.DUMMYFUNCTION("""COMPUTED_VALUE"""),"-")</f>
        <v>-</v>
      </c>
      <c r="J280" s="19">
        <f>IFERROR(__xludf.DUMMYFUNCTION("""COMPUTED_VALUE"""),0.00197)</f>
        <v>0.00197</v>
      </c>
      <c r="K280" s="19">
        <f>IFERROR(__xludf.DUMMYFUNCTION("""COMPUTED_VALUE"""),0.03872)</f>
        <v>0.03872</v>
      </c>
      <c r="L280" s="19" t="str">
        <f>IFERROR(__xludf.DUMMYFUNCTION("""COMPUTED_VALUE"""),"-")</f>
        <v>-</v>
      </c>
      <c r="M280" s="19">
        <f>IFERROR(__xludf.DUMMYFUNCTION("""COMPUTED_VALUE"""),0.03904)</f>
        <v>0.03904</v>
      </c>
    </row>
    <row r="281">
      <c r="A281" s="12" t="s">
        <v>8171</v>
      </c>
      <c r="G281" s="19">
        <f>IFERROR(__xludf.DUMMYFUNCTION("SPLIT(A279, "" |"")"),277.0)</f>
        <v>277</v>
      </c>
      <c r="H281" s="19">
        <f>IFERROR(__xludf.DUMMYFUNCTION("""COMPUTED_VALUE"""),0.00208)</f>
        <v>0.00208</v>
      </c>
      <c r="I281" s="19" t="str">
        <f>IFERROR(__xludf.DUMMYFUNCTION("""COMPUTED_VALUE"""),"-")</f>
        <v>-</v>
      </c>
      <c r="J281" s="19">
        <f>IFERROR(__xludf.DUMMYFUNCTION("""COMPUTED_VALUE"""),0.00197)</f>
        <v>0.00197</v>
      </c>
      <c r="K281" s="19">
        <f>IFERROR(__xludf.DUMMYFUNCTION("""COMPUTED_VALUE"""),0.03971)</f>
        <v>0.03971</v>
      </c>
      <c r="L281" s="19" t="str">
        <f>IFERROR(__xludf.DUMMYFUNCTION("""COMPUTED_VALUE"""),"-")</f>
        <v>-</v>
      </c>
      <c r="M281" s="19">
        <f>IFERROR(__xludf.DUMMYFUNCTION("""COMPUTED_VALUE"""),0.03985)</f>
        <v>0.03985</v>
      </c>
    </row>
    <row r="282">
      <c r="A282" s="12" t="s">
        <v>8172</v>
      </c>
      <c r="G282" s="19">
        <f>IFERROR(__xludf.DUMMYFUNCTION("SPLIT(A280, "" |"")"),278.0)</f>
        <v>278</v>
      </c>
      <c r="H282" s="19">
        <f>IFERROR(__xludf.DUMMYFUNCTION("""COMPUTED_VALUE"""),0.00208)</f>
        <v>0.00208</v>
      </c>
      <c r="I282" s="19" t="str">
        <f>IFERROR(__xludf.DUMMYFUNCTION("""COMPUTED_VALUE"""),"-")</f>
        <v>-</v>
      </c>
      <c r="J282" s="19">
        <f>IFERROR(__xludf.DUMMYFUNCTION("""COMPUTED_VALUE"""),0.00193)</f>
        <v>0.00193</v>
      </c>
      <c r="K282" s="19">
        <f>IFERROR(__xludf.DUMMYFUNCTION("""COMPUTED_VALUE"""),0.0382)</f>
        <v>0.0382</v>
      </c>
      <c r="L282" s="19" t="str">
        <f>IFERROR(__xludf.DUMMYFUNCTION("""COMPUTED_VALUE"""),"-")</f>
        <v>-</v>
      </c>
      <c r="M282" s="19">
        <f>IFERROR(__xludf.DUMMYFUNCTION("""COMPUTED_VALUE"""),0.03685)</f>
        <v>0.03685</v>
      </c>
    </row>
    <row r="283">
      <c r="A283" s="12" t="s">
        <v>8173</v>
      </c>
      <c r="G283" s="19">
        <f>IFERROR(__xludf.DUMMYFUNCTION("SPLIT(A281, "" |"")"),279.0)</f>
        <v>279</v>
      </c>
      <c r="H283" s="19">
        <f>IFERROR(__xludf.DUMMYFUNCTION("""COMPUTED_VALUE"""),0.00204)</f>
        <v>0.00204</v>
      </c>
      <c r="I283" s="19" t="str">
        <f>IFERROR(__xludf.DUMMYFUNCTION("""COMPUTED_VALUE"""),"-")</f>
        <v>-</v>
      </c>
      <c r="J283" s="19">
        <f>IFERROR(__xludf.DUMMYFUNCTION("""COMPUTED_VALUE"""),0.00196)</f>
        <v>0.00196</v>
      </c>
      <c r="K283" s="19">
        <f>IFERROR(__xludf.DUMMYFUNCTION("""COMPUTED_VALUE"""),0.03969)</f>
        <v>0.03969</v>
      </c>
      <c r="L283" s="19" t="str">
        <f>IFERROR(__xludf.DUMMYFUNCTION("""COMPUTED_VALUE"""),"-")</f>
        <v>-</v>
      </c>
      <c r="M283" s="19">
        <f>IFERROR(__xludf.DUMMYFUNCTION("""COMPUTED_VALUE"""),0.0399)</f>
        <v>0.0399</v>
      </c>
    </row>
    <row r="284">
      <c r="A284" s="12" t="s">
        <v>8174</v>
      </c>
      <c r="G284" s="19">
        <f>IFERROR(__xludf.DUMMYFUNCTION("SPLIT(A282, "" |"")"),280.0)</f>
        <v>280</v>
      </c>
      <c r="H284" s="19">
        <f>IFERROR(__xludf.DUMMYFUNCTION("""COMPUTED_VALUE"""),0.00206)</f>
        <v>0.00206</v>
      </c>
      <c r="I284" s="19" t="str">
        <f>IFERROR(__xludf.DUMMYFUNCTION("""COMPUTED_VALUE"""),"-")</f>
        <v>-</v>
      </c>
      <c r="J284" s="19">
        <f>IFERROR(__xludf.DUMMYFUNCTION("""COMPUTED_VALUE"""),0.00195)</f>
        <v>0.00195</v>
      </c>
      <c r="K284" s="19">
        <f>IFERROR(__xludf.DUMMYFUNCTION("""COMPUTED_VALUE"""),0.0388)</f>
        <v>0.0388</v>
      </c>
      <c r="L284" s="19" t="str">
        <f>IFERROR(__xludf.DUMMYFUNCTION("""COMPUTED_VALUE"""),"-")</f>
        <v>-</v>
      </c>
      <c r="M284" s="19">
        <f>IFERROR(__xludf.DUMMYFUNCTION("""COMPUTED_VALUE"""),0.03981)</f>
        <v>0.03981</v>
      </c>
    </row>
    <row r="285">
      <c r="A285" s="12" t="s">
        <v>8175</v>
      </c>
      <c r="G285" s="19">
        <f>IFERROR(__xludf.DUMMYFUNCTION("SPLIT(A283, "" |"")"),281.0)</f>
        <v>281</v>
      </c>
      <c r="H285" s="19">
        <f>IFERROR(__xludf.DUMMYFUNCTION("""COMPUTED_VALUE"""),0.00211)</f>
        <v>0.00211</v>
      </c>
      <c r="I285" s="19" t="str">
        <f>IFERROR(__xludf.DUMMYFUNCTION("""COMPUTED_VALUE"""),"-")</f>
        <v>-</v>
      </c>
      <c r="J285" s="19">
        <f>IFERROR(__xludf.DUMMYFUNCTION("""COMPUTED_VALUE"""),0.00195)</f>
        <v>0.00195</v>
      </c>
      <c r="K285" s="19">
        <f>IFERROR(__xludf.DUMMYFUNCTION("""COMPUTED_VALUE"""),0.03966)</f>
        <v>0.03966</v>
      </c>
      <c r="L285" s="19" t="str">
        <f>IFERROR(__xludf.DUMMYFUNCTION("""COMPUTED_VALUE"""),"-")</f>
        <v>-</v>
      </c>
      <c r="M285" s="19">
        <f>IFERROR(__xludf.DUMMYFUNCTION("""COMPUTED_VALUE"""),0.03979)</f>
        <v>0.03979</v>
      </c>
    </row>
    <row r="286">
      <c r="A286" s="12" t="s">
        <v>8176</v>
      </c>
      <c r="G286" s="19">
        <f>IFERROR(__xludf.DUMMYFUNCTION("SPLIT(A284, "" |"")"),282.0)</f>
        <v>282</v>
      </c>
      <c r="H286" s="19">
        <f>IFERROR(__xludf.DUMMYFUNCTION("""COMPUTED_VALUE"""),0.00209)</f>
        <v>0.00209</v>
      </c>
      <c r="I286" s="19" t="str">
        <f>IFERROR(__xludf.DUMMYFUNCTION("""COMPUTED_VALUE"""),"-")</f>
        <v>-</v>
      </c>
      <c r="J286" s="19">
        <f>IFERROR(__xludf.DUMMYFUNCTION("""COMPUTED_VALUE"""),0.00198)</f>
        <v>0.00198</v>
      </c>
      <c r="K286" s="19">
        <f>IFERROR(__xludf.DUMMYFUNCTION("""COMPUTED_VALUE"""),0.03946)</f>
        <v>0.03946</v>
      </c>
      <c r="L286" s="19" t="str">
        <f>IFERROR(__xludf.DUMMYFUNCTION("""COMPUTED_VALUE"""),"-")</f>
        <v>-</v>
      </c>
      <c r="M286" s="19">
        <f>IFERROR(__xludf.DUMMYFUNCTION("""COMPUTED_VALUE"""),0.03995)</f>
        <v>0.03995</v>
      </c>
    </row>
    <row r="287">
      <c r="A287" s="12" t="s">
        <v>8177</v>
      </c>
      <c r="G287" s="19">
        <f>IFERROR(__xludf.DUMMYFUNCTION("SPLIT(A285, "" |"")"),283.0)</f>
        <v>283</v>
      </c>
      <c r="H287" s="19">
        <f>IFERROR(__xludf.DUMMYFUNCTION("""COMPUTED_VALUE"""),0.00208)</f>
        <v>0.00208</v>
      </c>
      <c r="I287" s="19" t="str">
        <f>IFERROR(__xludf.DUMMYFUNCTION("""COMPUTED_VALUE"""),"-")</f>
        <v>-</v>
      </c>
      <c r="J287" s="19">
        <f>IFERROR(__xludf.DUMMYFUNCTION("""COMPUTED_VALUE"""),0.00192)</f>
        <v>0.00192</v>
      </c>
      <c r="K287" s="19">
        <f>IFERROR(__xludf.DUMMYFUNCTION("""COMPUTED_VALUE"""),0.03967)</f>
        <v>0.03967</v>
      </c>
      <c r="L287" s="19" t="str">
        <f>IFERROR(__xludf.DUMMYFUNCTION("""COMPUTED_VALUE"""),"-")</f>
        <v>-</v>
      </c>
      <c r="M287" s="19">
        <f>IFERROR(__xludf.DUMMYFUNCTION("""COMPUTED_VALUE"""),0.03595)</f>
        <v>0.03595</v>
      </c>
    </row>
    <row r="288">
      <c r="A288" s="12" t="s">
        <v>8178</v>
      </c>
      <c r="G288" s="19">
        <f>IFERROR(__xludf.DUMMYFUNCTION("SPLIT(A286, "" |"")"),284.0)</f>
        <v>284</v>
      </c>
      <c r="H288" s="19">
        <f>IFERROR(__xludf.DUMMYFUNCTION("""COMPUTED_VALUE"""),0.00207)</f>
        <v>0.00207</v>
      </c>
      <c r="I288" s="19" t="str">
        <f>IFERROR(__xludf.DUMMYFUNCTION("""COMPUTED_VALUE"""),"-")</f>
        <v>-</v>
      </c>
      <c r="J288" s="19">
        <f>IFERROR(__xludf.DUMMYFUNCTION("""COMPUTED_VALUE"""),0.00202)</f>
        <v>0.00202</v>
      </c>
      <c r="K288" s="19">
        <f>IFERROR(__xludf.DUMMYFUNCTION("""COMPUTED_VALUE"""),0.03969)</f>
        <v>0.03969</v>
      </c>
      <c r="L288" s="19" t="str">
        <f>IFERROR(__xludf.DUMMYFUNCTION("""COMPUTED_VALUE"""),"-")</f>
        <v>-</v>
      </c>
      <c r="M288" s="19">
        <f>IFERROR(__xludf.DUMMYFUNCTION("""COMPUTED_VALUE"""),0.03983)</f>
        <v>0.03983</v>
      </c>
    </row>
    <row r="289">
      <c r="A289" s="12" t="s">
        <v>8179</v>
      </c>
      <c r="G289" s="19">
        <f>IFERROR(__xludf.DUMMYFUNCTION("SPLIT(A287, "" |"")"),285.0)</f>
        <v>285</v>
      </c>
      <c r="H289" s="19">
        <f>IFERROR(__xludf.DUMMYFUNCTION("""COMPUTED_VALUE"""),0.00207)</f>
        <v>0.00207</v>
      </c>
      <c r="I289" s="19" t="str">
        <f>IFERROR(__xludf.DUMMYFUNCTION("""COMPUTED_VALUE"""),"-")</f>
        <v>-</v>
      </c>
      <c r="J289" s="19">
        <f>IFERROR(__xludf.DUMMYFUNCTION("""COMPUTED_VALUE"""),0.00195)</f>
        <v>0.00195</v>
      </c>
      <c r="K289" s="19">
        <f>IFERROR(__xludf.DUMMYFUNCTION("""COMPUTED_VALUE"""),0.03968)</f>
        <v>0.03968</v>
      </c>
      <c r="L289" s="19" t="str">
        <f>IFERROR(__xludf.DUMMYFUNCTION("""COMPUTED_VALUE"""),"-")</f>
        <v>-</v>
      </c>
      <c r="M289" s="19">
        <f>IFERROR(__xludf.DUMMYFUNCTION("""COMPUTED_VALUE"""),0.03987)</f>
        <v>0.03987</v>
      </c>
    </row>
    <row r="290">
      <c r="A290" s="12" t="s">
        <v>8180</v>
      </c>
      <c r="G290" s="19">
        <f>IFERROR(__xludf.DUMMYFUNCTION("SPLIT(A288, "" |"")"),286.0)</f>
        <v>286</v>
      </c>
      <c r="H290" s="19">
        <f>IFERROR(__xludf.DUMMYFUNCTION("""COMPUTED_VALUE"""),0.00211)</f>
        <v>0.00211</v>
      </c>
      <c r="I290" s="19" t="str">
        <f>IFERROR(__xludf.DUMMYFUNCTION("""COMPUTED_VALUE"""),"-")</f>
        <v>-</v>
      </c>
      <c r="J290" s="19">
        <f>IFERROR(__xludf.DUMMYFUNCTION("""COMPUTED_VALUE"""),0.00194)</f>
        <v>0.00194</v>
      </c>
      <c r="K290" s="19">
        <f>IFERROR(__xludf.DUMMYFUNCTION("""COMPUTED_VALUE"""),0.03969)</f>
        <v>0.03969</v>
      </c>
      <c r="L290" s="19" t="str">
        <f>IFERROR(__xludf.DUMMYFUNCTION("""COMPUTED_VALUE"""),"-")</f>
        <v>-</v>
      </c>
      <c r="M290" s="19">
        <f>IFERROR(__xludf.DUMMYFUNCTION("""COMPUTED_VALUE"""),0.04015)</f>
        <v>0.04015</v>
      </c>
    </row>
    <row r="291">
      <c r="A291" s="12" t="s">
        <v>8181</v>
      </c>
      <c r="G291" s="19">
        <f>IFERROR(__xludf.DUMMYFUNCTION("SPLIT(A289, "" |"")"),287.0)</f>
        <v>287</v>
      </c>
      <c r="H291" s="19">
        <f>IFERROR(__xludf.DUMMYFUNCTION("""COMPUTED_VALUE"""),0.0022)</f>
        <v>0.0022</v>
      </c>
      <c r="I291" s="19" t="str">
        <f>IFERROR(__xludf.DUMMYFUNCTION("""COMPUTED_VALUE"""),"-")</f>
        <v>-</v>
      </c>
      <c r="J291" s="19">
        <f>IFERROR(__xludf.DUMMYFUNCTION("""COMPUTED_VALUE"""),0.00195)</f>
        <v>0.00195</v>
      </c>
      <c r="K291" s="19">
        <f>IFERROR(__xludf.DUMMYFUNCTION("""COMPUTED_VALUE"""),0.03963)</f>
        <v>0.03963</v>
      </c>
      <c r="L291" s="19" t="str">
        <f>IFERROR(__xludf.DUMMYFUNCTION("""COMPUTED_VALUE"""),"-")</f>
        <v>-</v>
      </c>
      <c r="M291" s="19">
        <f>IFERROR(__xludf.DUMMYFUNCTION("""COMPUTED_VALUE"""),0.0398)</f>
        <v>0.0398</v>
      </c>
    </row>
    <row r="292">
      <c r="A292" s="12" t="s">
        <v>8182</v>
      </c>
      <c r="G292" s="19">
        <f>IFERROR(__xludf.DUMMYFUNCTION("SPLIT(A290, "" |"")"),288.0)</f>
        <v>288</v>
      </c>
      <c r="H292" s="19">
        <f>IFERROR(__xludf.DUMMYFUNCTION("""COMPUTED_VALUE"""),0.00212)</f>
        <v>0.00212</v>
      </c>
      <c r="I292" s="19" t="str">
        <f>IFERROR(__xludf.DUMMYFUNCTION("""COMPUTED_VALUE"""),"-")</f>
        <v>-</v>
      </c>
      <c r="J292" s="19">
        <f>IFERROR(__xludf.DUMMYFUNCTION("""COMPUTED_VALUE"""),0.00198)</f>
        <v>0.00198</v>
      </c>
      <c r="K292" s="19">
        <f>IFERROR(__xludf.DUMMYFUNCTION("""COMPUTED_VALUE"""),0.03962)</f>
        <v>0.03962</v>
      </c>
      <c r="L292" s="19" t="str">
        <f>IFERROR(__xludf.DUMMYFUNCTION("""COMPUTED_VALUE"""),"-")</f>
        <v>-</v>
      </c>
      <c r="M292" s="19">
        <f>IFERROR(__xludf.DUMMYFUNCTION("""COMPUTED_VALUE"""),0.03963)</f>
        <v>0.03963</v>
      </c>
    </row>
    <row r="293">
      <c r="A293" s="12" t="s">
        <v>8183</v>
      </c>
      <c r="G293" s="19">
        <f>IFERROR(__xludf.DUMMYFUNCTION("SPLIT(A291, "" |"")"),289.0)</f>
        <v>289</v>
      </c>
      <c r="H293" s="19">
        <f>IFERROR(__xludf.DUMMYFUNCTION("""COMPUTED_VALUE"""),0.00205)</f>
        <v>0.00205</v>
      </c>
      <c r="I293" s="19" t="str">
        <f>IFERROR(__xludf.DUMMYFUNCTION("""COMPUTED_VALUE"""),"-")</f>
        <v>-</v>
      </c>
      <c r="J293" s="19">
        <f>IFERROR(__xludf.DUMMYFUNCTION("""COMPUTED_VALUE"""),0.00194)</f>
        <v>0.00194</v>
      </c>
      <c r="K293" s="19">
        <f>IFERROR(__xludf.DUMMYFUNCTION("""COMPUTED_VALUE"""),0.03972)</f>
        <v>0.03972</v>
      </c>
      <c r="L293" s="19" t="str">
        <f>IFERROR(__xludf.DUMMYFUNCTION("""COMPUTED_VALUE"""),"-")</f>
        <v>-</v>
      </c>
      <c r="M293" s="19">
        <f>IFERROR(__xludf.DUMMYFUNCTION("""COMPUTED_VALUE"""),0.0399)</f>
        <v>0.0399</v>
      </c>
    </row>
    <row r="294">
      <c r="A294" s="12" t="s">
        <v>8184</v>
      </c>
      <c r="G294" s="19">
        <f>IFERROR(__xludf.DUMMYFUNCTION("SPLIT(A292, "" |"")"),290.0)</f>
        <v>290</v>
      </c>
      <c r="H294" s="19">
        <f>IFERROR(__xludf.DUMMYFUNCTION("""COMPUTED_VALUE"""),0.00212)</f>
        <v>0.00212</v>
      </c>
      <c r="I294" s="19" t="str">
        <f>IFERROR(__xludf.DUMMYFUNCTION("""COMPUTED_VALUE"""),"-")</f>
        <v>-</v>
      </c>
      <c r="J294" s="19">
        <f>IFERROR(__xludf.DUMMYFUNCTION("""COMPUTED_VALUE"""),0.00192)</f>
        <v>0.00192</v>
      </c>
      <c r="K294" s="19">
        <f>IFERROR(__xludf.DUMMYFUNCTION("""COMPUTED_VALUE"""),0.03864)</f>
        <v>0.03864</v>
      </c>
      <c r="L294" s="19" t="str">
        <f>IFERROR(__xludf.DUMMYFUNCTION("""COMPUTED_VALUE"""),"-")</f>
        <v>-</v>
      </c>
      <c r="M294" s="19">
        <f>IFERROR(__xludf.DUMMYFUNCTION("""COMPUTED_VALUE"""),0.03978)</f>
        <v>0.03978</v>
      </c>
    </row>
    <row r="295">
      <c r="A295" s="12" t="s">
        <v>8185</v>
      </c>
      <c r="G295" s="19">
        <f>IFERROR(__xludf.DUMMYFUNCTION("SPLIT(A293, "" |"")"),291.0)</f>
        <v>291</v>
      </c>
      <c r="H295" s="19">
        <f>IFERROR(__xludf.DUMMYFUNCTION("""COMPUTED_VALUE"""),0.0022)</f>
        <v>0.0022</v>
      </c>
      <c r="I295" s="19" t="str">
        <f>IFERROR(__xludf.DUMMYFUNCTION("""COMPUTED_VALUE"""),"-")</f>
        <v>-</v>
      </c>
      <c r="J295" s="19">
        <f>IFERROR(__xludf.DUMMYFUNCTION("""COMPUTED_VALUE"""),0.00211)</f>
        <v>0.00211</v>
      </c>
      <c r="K295" s="19">
        <f>IFERROR(__xludf.DUMMYFUNCTION("""COMPUTED_VALUE"""),0.03978)</f>
        <v>0.03978</v>
      </c>
      <c r="L295" s="19" t="str">
        <f>IFERROR(__xludf.DUMMYFUNCTION("""COMPUTED_VALUE"""),"-")</f>
        <v>-</v>
      </c>
      <c r="M295" s="19">
        <f>IFERROR(__xludf.DUMMYFUNCTION("""COMPUTED_VALUE"""),0.04004)</f>
        <v>0.04004</v>
      </c>
    </row>
    <row r="296">
      <c r="A296" s="12" t="s">
        <v>8186</v>
      </c>
      <c r="G296" s="19">
        <f>IFERROR(__xludf.DUMMYFUNCTION("SPLIT(A294, "" |"")"),292.0)</f>
        <v>292</v>
      </c>
      <c r="H296" s="19">
        <f>IFERROR(__xludf.DUMMYFUNCTION("""COMPUTED_VALUE"""),0.00227)</f>
        <v>0.00227</v>
      </c>
      <c r="I296" s="19" t="str">
        <f>IFERROR(__xludf.DUMMYFUNCTION("""COMPUTED_VALUE"""),"-")</f>
        <v>-</v>
      </c>
      <c r="J296" s="19">
        <f>IFERROR(__xludf.DUMMYFUNCTION("""COMPUTED_VALUE"""),0.00201)</f>
        <v>0.00201</v>
      </c>
      <c r="K296" s="19">
        <f>IFERROR(__xludf.DUMMYFUNCTION("""COMPUTED_VALUE"""),0.03972)</f>
        <v>0.03972</v>
      </c>
      <c r="L296" s="19" t="str">
        <f>IFERROR(__xludf.DUMMYFUNCTION("""COMPUTED_VALUE"""),"-")</f>
        <v>-</v>
      </c>
      <c r="M296" s="19">
        <f>IFERROR(__xludf.DUMMYFUNCTION("""COMPUTED_VALUE"""),0.03996)</f>
        <v>0.03996</v>
      </c>
    </row>
    <row r="297">
      <c r="A297" s="12" t="s">
        <v>8187</v>
      </c>
      <c r="G297" s="19">
        <f>IFERROR(__xludf.DUMMYFUNCTION("SPLIT(A295, "" |"")"),293.0)</f>
        <v>293</v>
      </c>
      <c r="H297" s="19">
        <f>IFERROR(__xludf.DUMMYFUNCTION("""COMPUTED_VALUE"""),0.00214)</f>
        <v>0.00214</v>
      </c>
      <c r="I297" s="19" t="str">
        <f>IFERROR(__xludf.DUMMYFUNCTION("""COMPUTED_VALUE"""),"-")</f>
        <v>-</v>
      </c>
      <c r="J297" s="19">
        <f>IFERROR(__xludf.DUMMYFUNCTION("""COMPUTED_VALUE"""),0.00199)</f>
        <v>0.00199</v>
      </c>
      <c r="K297" s="19">
        <f>IFERROR(__xludf.DUMMYFUNCTION("""COMPUTED_VALUE"""),0.03962)</f>
        <v>0.03962</v>
      </c>
      <c r="L297" s="19" t="str">
        <f>IFERROR(__xludf.DUMMYFUNCTION("""COMPUTED_VALUE"""),"-")</f>
        <v>-</v>
      </c>
      <c r="M297" s="19">
        <f>IFERROR(__xludf.DUMMYFUNCTION("""COMPUTED_VALUE"""),0.04018)</f>
        <v>0.04018</v>
      </c>
    </row>
    <row r="298">
      <c r="A298" s="12" t="s">
        <v>8188</v>
      </c>
      <c r="G298" s="19">
        <f>IFERROR(__xludf.DUMMYFUNCTION("SPLIT(A296, "" |"")"),294.0)</f>
        <v>294</v>
      </c>
      <c r="H298" s="19">
        <f>IFERROR(__xludf.DUMMYFUNCTION("""COMPUTED_VALUE"""),0.00204)</f>
        <v>0.00204</v>
      </c>
      <c r="I298" s="19" t="str">
        <f>IFERROR(__xludf.DUMMYFUNCTION("""COMPUTED_VALUE"""),"-")</f>
        <v>-</v>
      </c>
      <c r="J298" s="19">
        <f>IFERROR(__xludf.DUMMYFUNCTION("""COMPUTED_VALUE"""),0.00184)</f>
        <v>0.00184</v>
      </c>
      <c r="K298" s="19">
        <f>IFERROR(__xludf.DUMMYFUNCTION("""COMPUTED_VALUE"""),0.03955)</f>
        <v>0.03955</v>
      </c>
      <c r="L298" s="19" t="str">
        <f>IFERROR(__xludf.DUMMYFUNCTION("""COMPUTED_VALUE"""),"-")</f>
        <v>-</v>
      </c>
      <c r="M298" s="19">
        <f>IFERROR(__xludf.DUMMYFUNCTION("""COMPUTED_VALUE"""),0.03979)</f>
        <v>0.03979</v>
      </c>
    </row>
    <row r="299">
      <c r="A299" s="12" t="s">
        <v>8189</v>
      </c>
      <c r="G299" s="19">
        <f>IFERROR(__xludf.DUMMYFUNCTION("SPLIT(A297, "" |"")"),295.0)</f>
        <v>295</v>
      </c>
      <c r="H299" s="19">
        <f>IFERROR(__xludf.DUMMYFUNCTION("""COMPUTED_VALUE"""),0.00195)</f>
        <v>0.00195</v>
      </c>
      <c r="I299" s="19" t="str">
        <f>IFERROR(__xludf.DUMMYFUNCTION("""COMPUTED_VALUE"""),"-")</f>
        <v>-</v>
      </c>
      <c r="J299" s="19">
        <f>IFERROR(__xludf.DUMMYFUNCTION("""COMPUTED_VALUE"""),0.00196)</f>
        <v>0.00196</v>
      </c>
      <c r="K299" s="19">
        <f>IFERROR(__xludf.DUMMYFUNCTION("""COMPUTED_VALUE"""),0.0397)</f>
        <v>0.0397</v>
      </c>
      <c r="L299" s="19" t="str">
        <f>IFERROR(__xludf.DUMMYFUNCTION("""COMPUTED_VALUE"""),"-")</f>
        <v>-</v>
      </c>
      <c r="M299" s="19">
        <f>IFERROR(__xludf.DUMMYFUNCTION("""COMPUTED_VALUE"""),0.03986)</f>
        <v>0.03986</v>
      </c>
    </row>
    <row r="300">
      <c r="A300" s="12" t="s">
        <v>8190</v>
      </c>
      <c r="G300" s="19">
        <f>IFERROR(__xludf.DUMMYFUNCTION("SPLIT(A298, "" |"")"),296.0)</f>
        <v>296</v>
      </c>
      <c r="H300" s="19">
        <f>IFERROR(__xludf.DUMMYFUNCTION("""COMPUTED_VALUE"""),0.00208)</f>
        <v>0.00208</v>
      </c>
      <c r="I300" s="19" t="str">
        <f>IFERROR(__xludf.DUMMYFUNCTION("""COMPUTED_VALUE"""),"-")</f>
        <v>-</v>
      </c>
      <c r="J300" s="19">
        <f>IFERROR(__xludf.DUMMYFUNCTION("""COMPUTED_VALUE"""),0.00187)</f>
        <v>0.00187</v>
      </c>
      <c r="K300" s="19">
        <f>IFERROR(__xludf.DUMMYFUNCTION("""COMPUTED_VALUE"""),0.03962)</f>
        <v>0.03962</v>
      </c>
      <c r="L300" s="19" t="str">
        <f>IFERROR(__xludf.DUMMYFUNCTION("""COMPUTED_VALUE"""),"-")</f>
        <v>-</v>
      </c>
      <c r="M300" s="19">
        <f>IFERROR(__xludf.DUMMYFUNCTION("""COMPUTED_VALUE"""),0.03961)</f>
        <v>0.03961</v>
      </c>
    </row>
    <row r="301">
      <c r="A301" s="12" t="s">
        <v>8191</v>
      </c>
      <c r="G301" s="19">
        <f>IFERROR(__xludf.DUMMYFUNCTION("SPLIT(A299, "" |"")"),297.0)</f>
        <v>297</v>
      </c>
      <c r="H301" s="19">
        <f>IFERROR(__xludf.DUMMYFUNCTION("""COMPUTED_VALUE"""),0.00197)</f>
        <v>0.00197</v>
      </c>
      <c r="I301" s="19" t="str">
        <f>IFERROR(__xludf.DUMMYFUNCTION("""COMPUTED_VALUE"""),"-")</f>
        <v>-</v>
      </c>
      <c r="J301" s="19">
        <f>IFERROR(__xludf.DUMMYFUNCTION("""COMPUTED_VALUE"""),0.0019)</f>
        <v>0.0019</v>
      </c>
      <c r="K301" s="19">
        <f>IFERROR(__xludf.DUMMYFUNCTION("""COMPUTED_VALUE"""),0.03958)</f>
        <v>0.03958</v>
      </c>
      <c r="L301" s="19" t="str">
        <f>IFERROR(__xludf.DUMMYFUNCTION("""COMPUTED_VALUE"""),"-")</f>
        <v>-</v>
      </c>
      <c r="M301" s="19">
        <f>IFERROR(__xludf.DUMMYFUNCTION("""COMPUTED_VALUE"""),0.03612)</f>
        <v>0.03612</v>
      </c>
    </row>
    <row r="302">
      <c r="A302" s="12" t="s">
        <v>8192</v>
      </c>
      <c r="G302" s="19">
        <f>IFERROR(__xludf.DUMMYFUNCTION("SPLIT(A300, "" |"")"),298.0)</f>
        <v>298</v>
      </c>
      <c r="H302" s="19">
        <f>IFERROR(__xludf.DUMMYFUNCTION("""COMPUTED_VALUE"""),0.00197)</f>
        <v>0.00197</v>
      </c>
      <c r="I302" s="19" t="str">
        <f>IFERROR(__xludf.DUMMYFUNCTION("""COMPUTED_VALUE"""),"-")</f>
        <v>-</v>
      </c>
      <c r="J302" s="19">
        <f>IFERROR(__xludf.DUMMYFUNCTION("""COMPUTED_VALUE"""),0.00186)</f>
        <v>0.00186</v>
      </c>
      <c r="K302" s="19">
        <f>IFERROR(__xludf.DUMMYFUNCTION("""COMPUTED_VALUE"""),0.03963)</f>
        <v>0.03963</v>
      </c>
      <c r="L302" s="19" t="str">
        <f>IFERROR(__xludf.DUMMYFUNCTION("""COMPUTED_VALUE"""),"-")</f>
        <v>-</v>
      </c>
      <c r="M302" s="19">
        <f>IFERROR(__xludf.DUMMYFUNCTION("""COMPUTED_VALUE"""),0.03919)</f>
        <v>0.03919</v>
      </c>
    </row>
    <row r="303">
      <c r="A303" s="12" t="s">
        <v>8193</v>
      </c>
      <c r="G303" s="19">
        <f>IFERROR(__xludf.DUMMYFUNCTION("SPLIT(A301, "" |"")"),299.0)</f>
        <v>299</v>
      </c>
      <c r="H303" s="19">
        <f>IFERROR(__xludf.DUMMYFUNCTION("""COMPUTED_VALUE"""),0.00209)</f>
        <v>0.00209</v>
      </c>
      <c r="I303" s="19" t="str">
        <f>IFERROR(__xludf.DUMMYFUNCTION("""COMPUTED_VALUE"""),"-")</f>
        <v>-</v>
      </c>
      <c r="J303" s="19">
        <f>IFERROR(__xludf.DUMMYFUNCTION("""COMPUTED_VALUE"""),0.002)</f>
        <v>0.002</v>
      </c>
      <c r="K303" s="19">
        <f>IFERROR(__xludf.DUMMYFUNCTION("""COMPUTED_VALUE"""),0.03981)</f>
        <v>0.03981</v>
      </c>
      <c r="L303" s="19" t="str">
        <f>IFERROR(__xludf.DUMMYFUNCTION("""COMPUTED_VALUE"""),"-")</f>
        <v>-</v>
      </c>
      <c r="M303" s="19">
        <f>IFERROR(__xludf.DUMMYFUNCTION("""COMPUTED_VALUE"""),0.03663)</f>
        <v>0.03663</v>
      </c>
    </row>
    <row r="304">
      <c r="A304" s="12" t="s">
        <v>8194</v>
      </c>
      <c r="G304" s="19">
        <f>IFERROR(__xludf.DUMMYFUNCTION("SPLIT(A302, "" |"")"),300.0)</f>
        <v>300</v>
      </c>
      <c r="H304" s="19">
        <f>IFERROR(__xludf.DUMMYFUNCTION("""COMPUTED_VALUE"""),0.00218)</f>
        <v>0.00218</v>
      </c>
      <c r="I304" s="19" t="str">
        <f>IFERROR(__xludf.DUMMYFUNCTION("""COMPUTED_VALUE"""),"-")</f>
        <v>-</v>
      </c>
      <c r="J304" s="19">
        <f>IFERROR(__xludf.DUMMYFUNCTION("""COMPUTED_VALUE"""),0.00181)</f>
        <v>0.00181</v>
      </c>
      <c r="K304" s="19">
        <f>IFERROR(__xludf.DUMMYFUNCTION("""COMPUTED_VALUE"""),0.03845)</f>
        <v>0.03845</v>
      </c>
      <c r="L304" s="19" t="str">
        <f>IFERROR(__xludf.DUMMYFUNCTION("""COMPUTED_VALUE"""),"-")</f>
        <v>-</v>
      </c>
      <c r="M304" s="19">
        <f>IFERROR(__xludf.DUMMYFUNCTION("""COMPUTED_VALUE"""),0.04022)</f>
        <v>0.04022</v>
      </c>
    </row>
    <row r="305">
      <c r="A305" s="12" t="s">
        <v>8195</v>
      </c>
      <c r="G305" s="19">
        <f>IFERROR(__xludf.DUMMYFUNCTION("SPLIT(A303, "" |"")"),301.0)</f>
        <v>301</v>
      </c>
      <c r="H305" s="19">
        <f>IFERROR(__xludf.DUMMYFUNCTION("""COMPUTED_VALUE"""),0.00198)</f>
        <v>0.00198</v>
      </c>
      <c r="I305" s="19" t="str">
        <f>IFERROR(__xludf.DUMMYFUNCTION("""COMPUTED_VALUE"""),"-")</f>
        <v>-</v>
      </c>
      <c r="J305" s="19">
        <f>IFERROR(__xludf.DUMMYFUNCTION("""COMPUTED_VALUE"""),0.00185)</f>
        <v>0.00185</v>
      </c>
      <c r="K305" s="19">
        <f>IFERROR(__xludf.DUMMYFUNCTION("""COMPUTED_VALUE"""),0.03967)</f>
        <v>0.03967</v>
      </c>
      <c r="L305" s="19" t="str">
        <f>IFERROR(__xludf.DUMMYFUNCTION("""COMPUTED_VALUE"""),"-")</f>
        <v>-</v>
      </c>
      <c r="M305" s="19">
        <f>IFERROR(__xludf.DUMMYFUNCTION("""COMPUTED_VALUE"""),0.03992)</f>
        <v>0.03992</v>
      </c>
    </row>
    <row r="306">
      <c r="A306" s="12" t="s">
        <v>8196</v>
      </c>
      <c r="G306" s="19">
        <f>IFERROR(__xludf.DUMMYFUNCTION("SPLIT(A304, "" |"")"),302.0)</f>
        <v>302</v>
      </c>
      <c r="H306" s="19">
        <f>IFERROR(__xludf.DUMMYFUNCTION("""COMPUTED_VALUE"""),0.00209)</f>
        <v>0.00209</v>
      </c>
      <c r="I306" s="19" t="str">
        <f>IFERROR(__xludf.DUMMYFUNCTION("""COMPUTED_VALUE"""),"-")</f>
        <v>-</v>
      </c>
      <c r="J306" s="19">
        <f>IFERROR(__xludf.DUMMYFUNCTION("""COMPUTED_VALUE"""),0.00196)</f>
        <v>0.00196</v>
      </c>
      <c r="K306" s="19">
        <f>IFERROR(__xludf.DUMMYFUNCTION("""COMPUTED_VALUE"""),0.03795)</f>
        <v>0.03795</v>
      </c>
      <c r="L306" s="19" t="str">
        <f>IFERROR(__xludf.DUMMYFUNCTION("""COMPUTED_VALUE"""),"-")</f>
        <v>-</v>
      </c>
      <c r="M306" s="19">
        <f>IFERROR(__xludf.DUMMYFUNCTION("""COMPUTED_VALUE"""),0.03982)</f>
        <v>0.03982</v>
      </c>
    </row>
    <row r="307">
      <c r="A307" s="12" t="s">
        <v>8197</v>
      </c>
      <c r="G307" s="19">
        <f>IFERROR(__xludf.DUMMYFUNCTION("SPLIT(A305, "" |"")"),303.0)</f>
        <v>303</v>
      </c>
      <c r="H307" s="19">
        <f>IFERROR(__xludf.DUMMYFUNCTION("""COMPUTED_VALUE"""),0.00208)</f>
        <v>0.00208</v>
      </c>
      <c r="I307" s="19" t="str">
        <f>IFERROR(__xludf.DUMMYFUNCTION("""COMPUTED_VALUE"""),"-")</f>
        <v>-</v>
      </c>
      <c r="J307" s="19">
        <f>IFERROR(__xludf.DUMMYFUNCTION("""COMPUTED_VALUE"""),0.00188)</f>
        <v>0.00188</v>
      </c>
      <c r="K307" s="19">
        <f>IFERROR(__xludf.DUMMYFUNCTION("""COMPUTED_VALUE"""),0.0397)</f>
        <v>0.0397</v>
      </c>
      <c r="L307" s="19" t="str">
        <f>IFERROR(__xludf.DUMMYFUNCTION("""COMPUTED_VALUE"""),"-")</f>
        <v>-</v>
      </c>
      <c r="M307" s="19">
        <f>IFERROR(__xludf.DUMMYFUNCTION("""COMPUTED_VALUE"""),0.03976)</f>
        <v>0.03976</v>
      </c>
    </row>
    <row r="308">
      <c r="A308" s="12" t="s">
        <v>8198</v>
      </c>
      <c r="G308" s="19">
        <f>IFERROR(__xludf.DUMMYFUNCTION("SPLIT(A306, "" |"")"),304.0)</f>
        <v>304</v>
      </c>
      <c r="H308" s="19">
        <f>IFERROR(__xludf.DUMMYFUNCTION("""COMPUTED_VALUE"""),0.00211)</f>
        <v>0.00211</v>
      </c>
      <c r="I308" s="19" t="str">
        <f>IFERROR(__xludf.DUMMYFUNCTION("""COMPUTED_VALUE"""),"-")</f>
        <v>-</v>
      </c>
      <c r="J308" s="19">
        <f>IFERROR(__xludf.DUMMYFUNCTION("""COMPUTED_VALUE"""),0.00189)</f>
        <v>0.00189</v>
      </c>
      <c r="K308" s="19">
        <f>IFERROR(__xludf.DUMMYFUNCTION("""COMPUTED_VALUE"""),0.03965)</f>
        <v>0.03965</v>
      </c>
      <c r="L308" s="19" t="str">
        <f>IFERROR(__xludf.DUMMYFUNCTION("""COMPUTED_VALUE"""),"-")</f>
        <v>-</v>
      </c>
      <c r="M308" s="19">
        <f>IFERROR(__xludf.DUMMYFUNCTION("""COMPUTED_VALUE"""),0.04003)</f>
        <v>0.04003</v>
      </c>
    </row>
    <row r="309">
      <c r="A309" s="12" t="s">
        <v>8199</v>
      </c>
      <c r="G309" s="19">
        <f>IFERROR(__xludf.DUMMYFUNCTION("SPLIT(A307, "" |"")"),305.0)</f>
        <v>305</v>
      </c>
      <c r="H309" s="19">
        <f>IFERROR(__xludf.DUMMYFUNCTION("""COMPUTED_VALUE"""),0.00228)</f>
        <v>0.00228</v>
      </c>
      <c r="I309" s="19" t="str">
        <f>IFERROR(__xludf.DUMMYFUNCTION("""COMPUTED_VALUE"""),"-")</f>
        <v>-</v>
      </c>
      <c r="J309" s="19">
        <f>IFERROR(__xludf.DUMMYFUNCTION("""COMPUTED_VALUE"""),0.00196)</f>
        <v>0.00196</v>
      </c>
      <c r="K309" s="19">
        <f>IFERROR(__xludf.DUMMYFUNCTION("""COMPUTED_VALUE"""),0.03824)</f>
        <v>0.03824</v>
      </c>
      <c r="L309" s="19" t="str">
        <f>IFERROR(__xludf.DUMMYFUNCTION("""COMPUTED_VALUE"""),"-")</f>
        <v>-</v>
      </c>
      <c r="M309" s="19">
        <f>IFERROR(__xludf.DUMMYFUNCTION("""COMPUTED_VALUE"""),0.03732)</f>
        <v>0.03732</v>
      </c>
    </row>
    <row r="310">
      <c r="A310" s="12" t="s">
        <v>8200</v>
      </c>
      <c r="G310" s="19">
        <f>IFERROR(__xludf.DUMMYFUNCTION("SPLIT(A308, "" |"")"),306.0)</f>
        <v>306</v>
      </c>
      <c r="H310" s="19">
        <f>IFERROR(__xludf.DUMMYFUNCTION("""COMPUTED_VALUE"""),0.00212)</f>
        <v>0.00212</v>
      </c>
      <c r="I310" s="19" t="str">
        <f>IFERROR(__xludf.DUMMYFUNCTION("""COMPUTED_VALUE"""),"-")</f>
        <v>-</v>
      </c>
      <c r="J310" s="19">
        <f>IFERROR(__xludf.DUMMYFUNCTION("""COMPUTED_VALUE"""),0.00202)</f>
        <v>0.00202</v>
      </c>
      <c r="K310" s="19">
        <f>IFERROR(__xludf.DUMMYFUNCTION("""COMPUTED_VALUE"""),0.03967)</f>
        <v>0.03967</v>
      </c>
      <c r="L310" s="19" t="str">
        <f>IFERROR(__xludf.DUMMYFUNCTION("""COMPUTED_VALUE"""),"-")</f>
        <v>-</v>
      </c>
      <c r="M310" s="19">
        <f>IFERROR(__xludf.DUMMYFUNCTION("""COMPUTED_VALUE"""),0.04005)</f>
        <v>0.04005</v>
      </c>
    </row>
    <row r="311">
      <c r="A311" s="12" t="s">
        <v>8201</v>
      </c>
      <c r="G311" s="19">
        <f>IFERROR(__xludf.DUMMYFUNCTION("SPLIT(A309, "" |"")"),307.0)</f>
        <v>307</v>
      </c>
      <c r="H311" s="19">
        <f>IFERROR(__xludf.DUMMYFUNCTION("""COMPUTED_VALUE"""),0.00203)</f>
        <v>0.00203</v>
      </c>
      <c r="I311" s="19" t="str">
        <f>IFERROR(__xludf.DUMMYFUNCTION("""COMPUTED_VALUE"""),"-")</f>
        <v>-</v>
      </c>
      <c r="J311" s="19">
        <f>IFERROR(__xludf.DUMMYFUNCTION("""COMPUTED_VALUE"""),0.00184)</f>
        <v>0.00184</v>
      </c>
      <c r="K311" s="19">
        <f>IFERROR(__xludf.DUMMYFUNCTION("""COMPUTED_VALUE"""),0.0402)</f>
        <v>0.0402</v>
      </c>
      <c r="L311" s="19" t="str">
        <f>IFERROR(__xludf.DUMMYFUNCTION("""COMPUTED_VALUE"""),"-")</f>
        <v>-</v>
      </c>
      <c r="M311" s="19">
        <f>IFERROR(__xludf.DUMMYFUNCTION("""COMPUTED_VALUE"""),0.03978)</f>
        <v>0.03978</v>
      </c>
    </row>
    <row r="312">
      <c r="A312" s="12" t="s">
        <v>8202</v>
      </c>
      <c r="G312" s="19">
        <f>IFERROR(__xludf.DUMMYFUNCTION("SPLIT(A310, "" |"")"),308.0)</f>
        <v>308</v>
      </c>
      <c r="H312" s="19">
        <f>IFERROR(__xludf.DUMMYFUNCTION("""COMPUTED_VALUE"""),0.00204)</f>
        <v>0.00204</v>
      </c>
      <c r="I312" s="19" t="str">
        <f>IFERROR(__xludf.DUMMYFUNCTION("""COMPUTED_VALUE"""),"-")</f>
        <v>-</v>
      </c>
      <c r="J312" s="19">
        <f>IFERROR(__xludf.DUMMYFUNCTION("""COMPUTED_VALUE"""),0.00198)</f>
        <v>0.00198</v>
      </c>
      <c r="K312" s="19">
        <f>IFERROR(__xludf.DUMMYFUNCTION("""COMPUTED_VALUE"""),0.03966)</f>
        <v>0.03966</v>
      </c>
      <c r="L312" s="19" t="str">
        <f>IFERROR(__xludf.DUMMYFUNCTION("""COMPUTED_VALUE"""),"-")</f>
        <v>-</v>
      </c>
      <c r="M312" s="19">
        <f>IFERROR(__xludf.DUMMYFUNCTION("""COMPUTED_VALUE"""),0.04025)</f>
        <v>0.04025</v>
      </c>
    </row>
    <row r="313">
      <c r="A313" s="12" t="s">
        <v>8203</v>
      </c>
      <c r="G313" s="19">
        <f>IFERROR(__xludf.DUMMYFUNCTION("SPLIT(A311, "" |"")"),309.0)</f>
        <v>309</v>
      </c>
      <c r="H313" s="19">
        <f>IFERROR(__xludf.DUMMYFUNCTION("""COMPUTED_VALUE"""),0.00206)</f>
        <v>0.00206</v>
      </c>
      <c r="I313" s="19" t="str">
        <f>IFERROR(__xludf.DUMMYFUNCTION("""COMPUTED_VALUE"""),"-")</f>
        <v>-</v>
      </c>
      <c r="J313" s="19">
        <f>IFERROR(__xludf.DUMMYFUNCTION("""COMPUTED_VALUE"""),0.00195)</f>
        <v>0.00195</v>
      </c>
      <c r="K313" s="19">
        <f>IFERROR(__xludf.DUMMYFUNCTION("""COMPUTED_VALUE"""),0.03959)</f>
        <v>0.03959</v>
      </c>
      <c r="L313" s="19" t="str">
        <f>IFERROR(__xludf.DUMMYFUNCTION("""COMPUTED_VALUE"""),"-")</f>
        <v>-</v>
      </c>
      <c r="M313" s="19">
        <f>IFERROR(__xludf.DUMMYFUNCTION("""COMPUTED_VALUE"""),0.03592)</f>
        <v>0.03592</v>
      </c>
    </row>
    <row r="314">
      <c r="A314" s="12" t="s">
        <v>8204</v>
      </c>
      <c r="G314" s="19">
        <f>IFERROR(__xludf.DUMMYFUNCTION("SPLIT(A312, "" |"")"),310.0)</f>
        <v>310</v>
      </c>
      <c r="H314" s="19">
        <f>IFERROR(__xludf.DUMMYFUNCTION("""COMPUTED_VALUE"""),0.00206)</f>
        <v>0.00206</v>
      </c>
      <c r="I314" s="19" t="str">
        <f>IFERROR(__xludf.DUMMYFUNCTION("""COMPUTED_VALUE"""),"-")</f>
        <v>-</v>
      </c>
      <c r="J314" s="19">
        <f>IFERROR(__xludf.DUMMYFUNCTION("""COMPUTED_VALUE"""),0.00185)</f>
        <v>0.00185</v>
      </c>
      <c r="K314" s="19">
        <f>IFERROR(__xludf.DUMMYFUNCTION("""COMPUTED_VALUE"""),0.03571)</f>
        <v>0.03571</v>
      </c>
      <c r="L314" s="19" t="str">
        <f>IFERROR(__xludf.DUMMYFUNCTION("""COMPUTED_VALUE"""),"-")</f>
        <v>-</v>
      </c>
      <c r="M314" s="19">
        <f>IFERROR(__xludf.DUMMYFUNCTION("""COMPUTED_VALUE"""),0.03999)</f>
        <v>0.03999</v>
      </c>
    </row>
    <row r="315">
      <c r="A315" s="12" t="s">
        <v>8205</v>
      </c>
      <c r="G315" s="19">
        <f>IFERROR(__xludf.DUMMYFUNCTION("SPLIT(A313, "" |"")"),311.0)</f>
        <v>311</v>
      </c>
      <c r="H315" s="19">
        <f>IFERROR(__xludf.DUMMYFUNCTION("""COMPUTED_VALUE"""),0.00208)</f>
        <v>0.00208</v>
      </c>
      <c r="I315" s="19" t="str">
        <f>IFERROR(__xludf.DUMMYFUNCTION("""COMPUTED_VALUE"""),"-")</f>
        <v>-</v>
      </c>
      <c r="J315" s="19">
        <f>IFERROR(__xludf.DUMMYFUNCTION("""COMPUTED_VALUE"""),0.00205)</f>
        <v>0.00205</v>
      </c>
      <c r="K315" s="19">
        <f>IFERROR(__xludf.DUMMYFUNCTION("""COMPUTED_VALUE"""),0.03956)</f>
        <v>0.03956</v>
      </c>
      <c r="L315" s="19" t="str">
        <f>IFERROR(__xludf.DUMMYFUNCTION("""COMPUTED_VALUE"""),"-")</f>
        <v>-</v>
      </c>
      <c r="M315" s="19">
        <f>IFERROR(__xludf.DUMMYFUNCTION("""COMPUTED_VALUE"""),0.04015)</f>
        <v>0.04015</v>
      </c>
    </row>
    <row r="316">
      <c r="A316" s="12" t="s">
        <v>8206</v>
      </c>
      <c r="G316" s="19">
        <f>IFERROR(__xludf.DUMMYFUNCTION("SPLIT(A314, "" |"")"),312.0)</f>
        <v>312</v>
      </c>
      <c r="H316" s="19">
        <f>IFERROR(__xludf.DUMMYFUNCTION("""COMPUTED_VALUE"""),0.00204)</f>
        <v>0.00204</v>
      </c>
      <c r="I316" s="19" t="str">
        <f>IFERROR(__xludf.DUMMYFUNCTION("""COMPUTED_VALUE"""),"-")</f>
        <v>-</v>
      </c>
      <c r="J316" s="19">
        <f>IFERROR(__xludf.DUMMYFUNCTION("""COMPUTED_VALUE"""),0.00187)</f>
        <v>0.00187</v>
      </c>
      <c r="K316" s="19">
        <f>IFERROR(__xludf.DUMMYFUNCTION("""COMPUTED_VALUE"""),0.03889)</f>
        <v>0.03889</v>
      </c>
      <c r="L316" s="19" t="str">
        <f>IFERROR(__xludf.DUMMYFUNCTION("""COMPUTED_VALUE"""),"-")</f>
        <v>-</v>
      </c>
      <c r="M316" s="19">
        <f>IFERROR(__xludf.DUMMYFUNCTION("""COMPUTED_VALUE"""),0.03984)</f>
        <v>0.03984</v>
      </c>
    </row>
    <row r="317">
      <c r="A317" s="12" t="s">
        <v>8207</v>
      </c>
      <c r="G317" s="19">
        <f>IFERROR(__xludf.DUMMYFUNCTION("SPLIT(A315, "" |"")"),313.0)</f>
        <v>313</v>
      </c>
      <c r="H317" s="19">
        <f>IFERROR(__xludf.DUMMYFUNCTION("""COMPUTED_VALUE"""),0.0021)</f>
        <v>0.0021</v>
      </c>
      <c r="I317" s="19" t="str">
        <f>IFERROR(__xludf.DUMMYFUNCTION("""COMPUTED_VALUE"""),"-")</f>
        <v>-</v>
      </c>
      <c r="J317" s="19">
        <f>IFERROR(__xludf.DUMMYFUNCTION("""COMPUTED_VALUE"""),0.00181)</f>
        <v>0.00181</v>
      </c>
      <c r="K317" s="19">
        <f>IFERROR(__xludf.DUMMYFUNCTION("""COMPUTED_VALUE"""),0.03963)</f>
        <v>0.03963</v>
      </c>
      <c r="L317" s="19" t="str">
        <f>IFERROR(__xludf.DUMMYFUNCTION("""COMPUTED_VALUE"""),"-")</f>
        <v>-</v>
      </c>
      <c r="M317" s="19">
        <f>IFERROR(__xludf.DUMMYFUNCTION("""COMPUTED_VALUE"""),0.03806)</f>
        <v>0.03806</v>
      </c>
    </row>
    <row r="318">
      <c r="A318" s="12" t="s">
        <v>8208</v>
      </c>
      <c r="G318" s="19">
        <f>IFERROR(__xludf.DUMMYFUNCTION("SPLIT(A316, "" |"")"),314.0)</f>
        <v>314</v>
      </c>
      <c r="H318" s="19">
        <f>IFERROR(__xludf.DUMMYFUNCTION("""COMPUTED_VALUE"""),0.0022)</f>
        <v>0.0022</v>
      </c>
      <c r="I318" s="19" t="str">
        <f>IFERROR(__xludf.DUMMYFUNCTION("""COMPUTED_VALUE"""),"-")</f>
        <v>-</v>
      </c>
      <c r="J318" s="19">
        <f>IFERROR(__xludf.DUMMYFUNCTION("""COMPUTED_VALUE"""),0.00187)</f>
        <v>0.00187</v>
      </c>
      <c r="K318" s="19">
        <f>IFERROR(__xludf.DUMMYFUNCTION("""COMPUTED_VALUE"""),0.03657)</f>
        <v>0.03657</v>
      </c>
      <c r="L318" s="19" t="str">
        <f>IFERROR(__xludf.DUMMYFUNCTION("""COMPUTED_VALUE"""),"-")</f>
        <v>-</v>
      </c>
      <c r="M318" s="19">
        <f>IFERROR(__xludf.DUMMYFUNCTION("""COMPUTED_VALUE"""),0.04012)</f>
        <v>0.04012</v>
      </c>
    </row>
    <row r="319">
      <c r="A319" s="12" t="s">
        <v>8209</v>
      </c>
      <c r="G319" s="19">
        <f>IFERROR(__xludf.DUMMYFUNCTION("SPLIT(A317, "" |"")"),315.0)</f>
        <v>315</v>
      </c>
      <c r="H319" s="19">
        <f>IFERROR(__xludf.DUMMYFUNCTION("""COMPUTED_VALUE"""),0.00218)</f>
        <v>0.00218</v>
      </c>
      <c r="I319" s="19" t="str">
        <f>IFERROR(__xludf.DUMMYFUNCTION("""COMPUTED_VALUE"""),"-")</f>
        <v>-</v>
      </c>
      <c r="J319" s="19">
        <f>IFERROR(__xludf.DUMMYFUNCTION("""COMPUTED_VALUE"""),0.00198)</f>
        <v>0.00198</v>
      </c>
      <c r="K319" s="19">
        <f>IFERROR(__xludf.DUMMYFUNCTION("""COMPUTED_VALUE"""),0.03642)</f>
        <v>0.03642</v>
      </c>
      <c r="L319" s="19" t="str">
        <f>IFERROR(__xludf.DUMMYFUNCTION("""COMPUTED_VALUE"""),"-")</f>
        <v>-</v>
      </c>
      <c r="M319" s="19">
        <f>IFERROR(__xludf.DUMMYFUNCTION("""COMPUTED_VALUE"""),0.03982)</f>
        <v>0.03982</v>
      </c>
    </row>
    <row r="320">
      <c r="A320" s="12" t="s">
        <v>8210</v>
      </c>
      <c r="G320" s="19">
        <f>IFERROR(__xludf.DUMMYFUNCTION("SPLIT(A318, "" |"")"),316.0)</f>
        <v>316</v>
      </c>
      <c r="H320" s="19">
        <f>IFERROR(__xludf.DUMMYFUNCTION("""COMPUTED_VALUE"""),0.00205)</f>
        <v>0.00205</v>
      </c>
      <c r="I320" s="19" t="str">
        <f>IFERROR(__xludf.DUMMYFUNCTION("""COMPUTED_VALUE"""),"-")</f>
        <v>-</v>
      </c>
      <c r="J320" s="19">
        <f>IFERROR(__xludf.DUMMYFUNCTION("""COMPUTED_VALUE"""),0.002)</f>
        <v>0.002</v>
      </c>
      <c r="K320" s="19">
        <f>IFERROR(__xludf.DUMMYFUNCTION("""COMPUTED_VALUE"""),0.03971)</f>
        <v>0.03971</v>
      </c>
      <c r="L320" s="19" t="str">
        <f>IFERROR(__xludf.DUMMYFUNCTION("""COMPUTED_VALUE"""),"-")</f>
        <v>-</v>
      </c>
      <c r="M320" s="19">
        <f>IFERROR(__xludf.DUMMYFUNCTION("""COMPUTED_VALUE"""),0.0398)</f>
        <v>0.0398</v>
      </c>
    </row>
    <row r="321">
      <c r="A321" s="12" t="s">
        <v>8211</v>
      </c>
      <c r="G321" s="19">
        <f>IFERROR(__xludf.DUMMYFUNCTION("SPLIT(A319, "" |"")"),317.0)</f>
        <v>317</v>
      </c>
      <c r="H321" s="19">
        <f>IFERROR(__xludf.DUMMYFUNCTION("""COMPUTED_VALUE"""),0.00213)</f>
        <v>0.00213</v>
      </c>
      <c r="I321" s="19" t="str">
        <f>IFERROR(__xludf.DUMMYFUNCTION("""COMPUTED_VALUE"""),"-")</f>
        <v>-</v>
      </c>
      <c r="J321" s="19">
        <f>IFERROR(__xludf.DUMMYFUNCTION("""COMPUTED_VALUE"""),0.00197)</f>
        <v>0.00197</v>
      </c>
      <c r="K321" s="19">
        <f>IFERROR(__xludf.DUMMYFUNCTION("""COMPUTED_VALUE"""),0.03961)</f>
        <v>0.03961</v>
      </c>
      <c r="L321" s="19" t="str">
        <f>IFERROR(__xludf.DUMMYFUNCTION("""COMPUTED_VALUE"""),"-")</f>
        <v>-</v>
      </c>
      <c r="M321" s="19">
        <f>IFERROR(__xludf.DUMMYFUNCTION("""COMPUTED_VALUE"""),0.03981)</f>
        <v>0.03981</v>
      </c>
    </row>
    <row r="322">
      <c r="A322" s="12" t="s">
        <v>8212</v>
      </c>
      <c r="G322" s="19">
        <f>IFERROR(__xludf.DUMMYFUNCTION("SPLIT(A320, "" |"")"),318.0)</f>
        <v>318</v>
      </c>
      <c r="H322" s="19">
        <f>IFERROR(__xludf.DUMMYFUNCTION("""COMPUTED_VALUE"""),0.00216)</f>
        <v>0.00216</v>
      </c>
      <c r="I322" s="19" t="str">
        <f>IFERROR(__xludf.DUMMYFUNCTION("""COMPUTED_VALUE"""),"-")</f>
        <v>-</v>
      </c>
      <c r="J322" s="19">
        <f>IFERROR(__xludf.DUMMYFUNCTION("""COMPUTED_VALUE"""),0.00199)</f>
        <v>0.00199</v>
      </c>
      <c r="K322" s="19">
        <f>IFERROR(__xludf.DUMMYFUNCTION("""COMPUTED_VALUE"""),0.03742)</f>
        <v>0.03742</v>
      </c>
      <c r="L322" s="19" t="str">
        <f>IFERROR(__xludf.DUMMYFUNCTION("""COMPUTED_VALUE"""),"-")</f>
        <v>-</v>
      </c>
      <c r="M322" s="19">
        <f>IFERROR(__xludf.DUMMYFUNCTION("""COMPUTED_VALUE"""),0.03983)</f>
        <v>0.03983</v>
      </c>
    </row>
    <row r="323">
      <c r="A323" s="12" t="s">
        <v>8213</v>
      </c>
      <c r="G323" s="19">
        <f>IFERROR(__xludf.DUMMYFUNCTION("SPLIT(A321, "" |"")"),319.0)</f>
        <v>319</v>
      </c>
      <c r="H323" s="19">
        <f>IFERROR(__xludf.DUMMYFUNCTION("""COMPUTED_VALUE"""),0.0021)</f>
        <v>0.0021</v>
      </c>
      <c r="I323" s="19" t="str">
        <f>IFERROR(__xludf.DUMMYFUNCTION("""COMPUTED_VALUE"""),"-")</f>
        <v>-</v>
      </c>
      <c r="J323" s="19">
        <f>IFERROR(__xludf.DUMMYFUNCTION("""COMPUTED_VALUE"""),0.00194)</f>
        <v>0.00194</v>
      </c>
      <c r="K323" s="19">
        <f>IFERROR(__xludf.DUMMYFUNCTION("""COMPUTED_VALUE"""),0.03976)</f>
        <v>0.03976</v>
      </c>
      <c r="L323" s="19" t="str">
        <f>IFERROR(__xludf.DUMMYFUNCTION("""COMPUTED_VALUE"""),"-")</f>
        <v>-</v>
      </c>
      <c r="M323" s="19">
        <f>IFERROR(__xludf.DUMMYFUNCTION("""COMPUTED_VALUE"""),0.03983)</f>
        <v>0.03983</v>
      </c>
    </row>
    <row r="324">
      <c r="A324" s="12" t="s">
        <v>8214</v>
      </c>
      <c r="G324" s="19">
        <f>IFERROR(__xludf.DUMMYFUNCTION("SPLIT(A322, "" |"")"),320.0)</f>
        <v>320</v>
      </c>
      <c r="H324" s="19">
        <f>IFERROR(__xludf.DUMMYFUNCTION("""COMPUTED_VALUE"""),0.00209)</f>
        <v>0.00209</v>
      </c>
      <c r="I324" s="19" t="str">
        <f>IFERROR(__xludf.DUMMYFUNCTION("""COMPUTED_VALUE"""),"-")</f>
        <v>-</v>
      </c>
      <c r="J324" s="19">
        <f>IFERROR(__xludf.DUMMYFUNCTION("""COMPUTED_VALUE"""),0.00189)</f>
        <v>0.00189</v>
      </c>
      <c r="K324" s="19">
        <f>IFERROR(__xludf.DUMMYFUNCTION("""COMPUTED_VALUE"""),0.03976)</f>
        <v>0.03976</v>
      </c>
      <c r="L324" s="19" t="str">
        <f>IFERROR(__xludf.DUMMYFUNCTION("""COMPUTED_VALUE"""),"-")</f>
        <v>-</v>
      </c>
      <c r="M324" s="19">
        <f>IFERROR(__xludf.DUMMYFUNCTION("""COMPUTED_VALUE"""),0.03884)</f>
        <v>0.03884</v>
      </c>
    </row>
    <row r="325">
      <c r="A325" s="12" t="s">
        <v>8215</v>
      </c>
      <c r="G325" s="19">
        <f>IFERROR(__xludf.DUMMYFUNCTION("SPLIT(A323, "" |"")"),321.0)</f>
        <v>321</v>
      </c>
      <c r="H325" s="19">
        <f>IFERROR(__xludf.DUMMYFUNCTION("""COMPUTED_VALUE"""),0.00207)</f>
        <v>0.00207</v>
      </c>
      <c r="I325" s="19" t="str">
        <f>IFERROR(__xludf.DUMMYFUNCTION("""COMPUTED_VALUE"""),"-")</f>
        <v>-</v>
      </c>
      <c r="J325" s="19">
        <f>IFERROR(__xludf.DUMMYFUNCTION("""COMPUTED_VALUE"""),0.00194)</f>
        <v>0.00194</v>
      </c>
      <c r="K325" s="19">
        <f>IFERROR(__xludf.DUMMYFUNCTION("""COMPUTED_VALUE"""),0.03966)</f>
        <v>0.03966</v>
      </c>
      <c r="L325" s="19" t="str">
        <f>IFERROR(__xludf.DUMMYFUNCTION("""COMPUTED_VALUE"""),"-")</f>
        <v>-</v>
      </c>
      <c r="M325" s="19">
        <f>IFERROR(__xludf.DUMMYFUNCTION("""COMPUTED_VALUE"""),0.03987)</f>
        <v>0.03987</v>
      </c>
    </row>
    <row r="326">
      <c r="A326" s="12" t="s">
        <v>8216</v>
      </c>
      <c r="G326" s="19">
        <f>IFERROR(__xludf.DUMMYFUNCTION("SPLIT(A324, "" |"")"),322.0)</f>
        <v>322</v>
      </c>
      <c r="H326" s="19">
        <f>IFERROR(__xludf.DUMMYFUNCTION("""COMPUTED_VALUE"""),0.00213)</f>
        <v>0.00213</v>
      </c>
      <c r="I326" s="19" t="str">
        <f>IFERROR(__xludf.DUMMYFUNCTION("""COMPUTED_VALUE"""),"-")</f>
        <v>-</v>
      </c>
      <c r="J326" s="19">
        <f>IFERROR(__xludf.DUMMYFUNCTION("""COMPUTED_VALUE"""),0.00185)</f>
        <v>0.00185</v>
      </c>
      <c r="K326" s="19">
        <f>IFERROR(__xludf.DUMMYFUNCTION("""COMPUTED_VALUE"""),0.03975)</f>
        <v>0.03975</v>
      </c>
      <c r="L326" s="19" t="str">
        <f>IFERROR(__xludf.DUMMYFUNCTION("""COMPUTED_VALUE"""),"-")</f>
        <v>-</v>
      </c>
      <c r="M326" s="19">
        <f>IFERROR(__xludf.DUMMYFUNCTION("""COMPUTED_VALUE"""),0.03997)</f>
        <v>0.03997</v>
      </c>
    </row>
    <row r="327">
      <c r="A327" s="12" t="s">
        <v>8217</v>
      </c>
      <c r="G327" s="19">
        <f>IFERROR(__xludf.DUMMYFUNCTION("SPLIT(A325, "" |"")"),323.0)</f>
        <v>323</v>
      </c>
      <c r="H327" s="19">
        <f>IFERROR(__xludf.DUMMYFUNCTION("""COMPUTED_VALUE"""),0.00219)</f>
        <v>0.00219</v>
      </c>
      <c r="I327" s="19" t="str">
        <f>IFERROR(__xludf.DUMMYFUNCTION("""COMPUTED_VALUE"""),"-")</f>
        <v>-</v>
      </c>
      <c r="J327" s="19">
        <f>IFERROR(__xludf.DUMMYFUNCTION("""COMPUTED_VALUE"""),0.00199)</f>
        <v>0.00199</v>
      </c>
      <c r="K327" s="19">
        <f>IFERROR(__xludf.DUMMYFUNCTION("""COMPUTED_VALUE"""),0.0367)</f>
        <v>0.0367</v>
      </c>
      <c r="L327" s="19" t="str">
        <f>IFERROR(__xludf.DUMMYFUNCTION("""COMPUTED_VALUE"""),"-")</f>
        <v>-</v>
      </c>
      <c r="M327" s="19">
        <f>IFERROR(__xludf.DUMMYFUNCTION("""COMPUTED_VALUE"""),0.03994)</f>
        <v>0.03994</v>
      </c>
    </row>
    <row r="328">
      <c r="A328" s="12" t="s">
        <v>8218</v>
      </c>
      <c r="G328" s="19">
        <f>IFERROR(__xludf.DUMMYFUNCTION("SPLIT(A326, "" |"")"),324.0)</f>
        <v>324</v>
      </c>
      <c r="H328" s="19">
        <f>IFERROR(__xludf.DUMMYFUNCTION("""COMPUTED_VALUE"""),0.00219)</f>
        <v>0.00219</v>
      </c>
      <c r="I328" s="19" t="str">
        <f>IFERROR(__xludf.DUMMYFUNCTION("""COMPUTED_VALUE"""),"-")</f>
        <v>-</v>
      </c>
      <c r="J328" s="19">
        <f>IFERROR(__xludf.DUMMYFUNCTION("""COMPUTED_VALUE"""),0.00202)</f>
        <v>0.00202</v>
      </c>
      <c r="K328" s="19">
        <f>IFERROR(__xludf.DUMMYFUNCTION("""COMPUTED_VALUE"""),0.03968)</f>
        <v>0.03968</v>
      </c>
      <c r="L328" s="19" t="str">
        <f>IFERROR(__xludf.DUMMYFUNCTION("""COMPUTED_VALUE"""),"-")</f>
        <v>-</v>
      </c>
      <c r="M328" s="19">
        <f>IFERROR(__xludf.DUMMYFUNCTION("""COMPUTED_VALUE"""),0.03972)</f>
        <v>0.03972</v>
      </c>
    </row>
    <row r="329">
      <c r="A329" s="12" t="s">
        <v>8219</v>
      </c>
      <c r="G329" s="19">
        <f>IFERROR(__xludf.DUMMYFUNCTION("SPLIT(A327, "" |"")"),325.0)</f>
        <v>325</v>
      </c>
      <c r="H329" s="19">
        <f>IFERROR(__xludf.DUMMYFUNCTION("""COMPUTED_VALUE"""),0.00205)</f>
        <v>0.00205</v>
      </c>
      <c r="I329" s="19" t="str">
        <f>IFERROR(__xludf.DUMMYFUNCTION("""COMPUTED_VALUE"""),"-")</f>
        <v>-</v>
      </c>
      <c r="J329" s="19">
        <f>IFERROR(__xludf.DUMMYFUNCTION("""COMPUTED_VALUE"""),0.00195)</f>
        <v>0.00195</v>
      </c>
      <c r="K329" s="19">
        <f>IFERROR(__xludf.DUMMYFUNCTION("""COMPUTED_VALUE"""),0.03967)</f>
        <v>0.03967</v>
      </c>
      <c r="L329" s="19" t="str">
        <f>IFERROR(__xludf.DUMMYFUNCTION("""COMPUTED_VALUE"""),"-")</f>
        <v>-</v>
      </c>
      <c r="M329" s="19">
        <f>IFERROR(__xludf.DUMMYFUNCTION("""COMPUTED_VALUE"""),0.03988)</f>
        <v>0.03988</v>
      </c>
    </row>
    <row r="330">
      <c r="A330" s="12" t="s">
        <v>8220</v>
      </c>
      <c r="G330" s="19">
        <f>IFERROR(__xludf.DUMMYFUNCTION("SPLIT(A328, "" |"")"),326.0)</f>
        <v>326</v>
      </c>
      <c r="H330" s="19">
        <f>IFERROR(__xludf.DUMMYFUNCTION("""COMPUTED_VALUE"""),0.00213)</f>
        <v>0.00213</v>
      </c>
      <c r="I330" s="19" t="str">
        <f>IFERROR(__xludf.DUMMYFUNCTION("""COMPUTED_VALUE"""),"-")</f>
        <v>-</v>
      </c>
      <c r="J330" s="19">
        <f>IFERROR(__xludf.DUMMYFUNCTION("""COMPUTED_VALUE"""),0.00191)</f>
        <v>0.00191</v>
      </c>
      <c r="K330" s="19">
        <f>IFERROR(__xludf.DUMMYFUNCTION("""COMPUTED_VALUE"""),0.04015)</f>
        <v>0.04015</v>
      </c>
      <c r="L330" s="19" t="str">
        <f>IFERROR(__xludf.DUMMYFUNCTION("""COMPUTED_VALUE"""),"-")</f>
        <v>-</v>
      </c>
      <c r="M330" s="19">
        <f>IFERROR(__xludf.DUMMYFUNCTION("""COMPUTED_VALUE"""),0.0399)</f>
        <v>0.0399</v>
      </c>
    </row>
    <row r="331">
      <c r="A331" s="12" t="s">
        <v>8221</v>
      </c>
      <c r="G331" s="19">
        <f>IFERROR(__xludf.DUMMYFUNCTION("SPLIT(A329, "" |"")"),327.0)</f>
        <v>327</v>
      </c>
      <c r="H331" s="19">
        <f>IFERROR(__xludf.DUMMYFUNCTION("""COMPUTED_VALUE"""),0.00204)</f>
        <v>0.00204</v>
      </c>
      <c r="I331" s="19" t="str">
        <f>IFERROR(__xludf.DUMMYFUNCTION("""COMPUTED_VALUE"""),"-")</f>
        <v>-</v>
      </c>
      <c r="J331" s="19">
        <f>IFERROR(__xludf.DUMMYFUNCTION("""COMPUTED_VALUE"""),0.00194)</f>
        <v>0.00194</v>
      </c>
      <c r="K331" s="19">
        <f>IFERROR(__xludf.DUMMYFUNCTION("""COMPUTED_VALUE"""),0.03967)</f>
        <v>0.03967</v>
      </c>
      <c r="L331" s="19" t="str">
        <f>IFERROR(__xludf.DUMMYFUNCTION("""COMPUTED_VALUE"""),"-")</f>
        <v>-</v>
      </c>
      <c r="M331" s="19">
        <f>IFERROR(__xludf.DUMMYFUNCTION("""COMPUTED_VALUE"""),0.03988)</f>
        <v>0.03988</v>
      </c>
    </row>
    <row r="332">
      <c r="A332" s="12" t="s">
        <v>8222</v>
      </c>
      <c r="G332" s="19">
        <f>IFERROR(__xludf.DUMMYFUNCTION("SPLIT(A330, "" |"")"),328.0)</f>
        <v>328</v>
      </c>
      <c r="H332" s="19">
        <f>IFERROR(__xludf.DUMMYFUNCTION("""COMPUTED_VALUE"""),0.00211)</f>
        <v>0.00211</v>
      </c>
      <c r="I332" s="19" t="str">
        <f>IFERROR(__xludf.DUMMYFUNCTION("""COMPUTED_VALUE"""),"-")</f>
        <v>-</v>
      </c>
      <c r="J332" s="19">
        <f>IFERROR(__xludf.DUMMYFUNCTION("""COMPUTED_VALUE"""),0.00194)</f>
        <v>0.00194</v>
      </c>
      <c r="K332" s="19">
        <f>IFERROR(__xludf.DUMMYFUNCTION("""COMPUTED_VALUE"""),0.037)</f>
        <v>0.037</v>
      </c>
      <c r="L332" s="19" t="str">
        <f>IFERROR(__xludf.DUMMYFUNCTION("""COMPUTED_VALUE"""),"-")</f>
        <v>-</v>
      </c>
      <c r="M332" s="19">
        <f>IFERROR(__xludf.DUMMYFUNCTION("""COMPUTED_VALUE"""),0.03983)</f>
        <v>0.03983</v>
      </c>
    </row>
    <row r="333">
      <c r="A333" s="12" t="s">
        <v>8223</v>
      </c>
      <c r="G333" s="19">
        <f>IFERROR(__xludf.DUMMYFUNCTION("SPLIT(A331, "" |"")"),329.0)</f>
        <v>329</v>
      </c>
      <c r="H333" s="19">
        <f>IFERROR(__xludf.DUMMYFUNCTION("""COMPUTED_VALUE"""),0.00215)</f>
        <v>0.00215</v>
      </c>
      <c r="I333" s="19" t="str">
        <f>IFERROR(__xludf.DUMMYFUNCTION("""COMPUTED_VALUE"""),"-")</f>
        <v>-</v>
      </c>
      <c r="J333" s="19">
        <f>IFERROR(__xludf.DUMMYFUNCTION("""COMPUTED_VALUE"""),0.00185)</f>
        <v>0.00185</v>
      </c>
      <c r="K333" s="19">
        <f>IFERROR(__xludf.DUMMYFUNCTION("""COMPUTED_VALUE"""),0.03966)</f>
        <v>0.03966</v>
      </c>
      <c r="L333" s="19" t="str">
        <f>IFERROR(__xludf.DUMMYFUNCTION("""COMPUTED_VALUE"""),"-")</f>
        <v>-</v>
      </c>
      <c r="M333" s="19">
        <f>IFERROR(__xludf.DUMMYFUNCTION("""COMPUTED_VALUE"""),0.0398)</f>
        <v>0.0398</v>
      </c>
    </row>
    <row r="334">
      <c r="A334" s="12" t="s">
        <v>8224</v>
      </c>
      <c r="G334" s="19">
        <f>IFERROR(__xludf.DUMMYFUNCTION("SPLIT(A332, "" |"")"),330.0)</f>
        <v>330</v>
      </c>
      <c r="H334" s="19">
        <f>IFERROR(__xludf.DUMMYFUNCTION("""COMPUTED_VALUE"""),0.00206)</f>
        <v>0.00206</v>
      </c>
      <c r="I334" s="19" t="str">
        <f>IFERROR(__xludf.DUMMYFUNCTION("""COMPUTED_VALUE"""),"-")</f>
        <v>-</v>
      </c>
      <c r="J334" s="19">
        <f>IFERROR(__xludf.DUMMYFUNCTION("""COMPUTED_VALUE"""),0.00193)</f>
        <v>0.00193</v>
      </c>
      <c r="K334" s="19">
        <f>IFERROR(__xludf.DUMMYFUNCTION("""COMPUTED_VALUE"""),0.03966)</f>
        <v>0.03966</v>
      </c>
      <c r="L334" s="19" t="str">
        <f>IFERROR(__xludf.DUMMYFUNCTION("""COMPUTED_VALUE"""),"-")</f>
        <v>-</v>
      </c>
      <c r="M334" s="19">
        <f>IFERROR(__xludf.DUMMYFUNCTION("""COMPUTED_VALUE"""),0.03982)</f>
        <v>0.03982</v>
      </c>
    </row>
    <row r="335">
      <c r="A335" s="12" t="s">
        <v>8225</v>
      </c>
      <c r="G335" s="19">
        <f>IFERROR(__xludf.DUMMYFUNCTION("SPLIT(A333, "" |"")"),331.0)</f>
        <v>331</v>
      </c>
      <c r="H335" s="19">
        <f>IFERROR(__xludf.DUMMYFUNCTION("""COMPUTED_VALUE"""),0.00216)</f>
        <v>0.00216</v>
      </c>
      <c r="I335" s="19" t="str">
        <f>IFERROR(__xludf.DUMMYFUNCTION("""COMPUTED_VALUE"""),"-")</f>
        <v>-</v>
      </c>
      <c r="J335" s="19">
        <f>IFERROR(__xludf.DUMMYFUNCTION("""COMPUTED_VALUE"""),0.00187)</f>
        <v>0.00187</v>
      </c>
      <c r="K335" s="19">
        <f>IFERROR(__xludf.DUMMYFUNCTION("""COMPUTED_VALUE"""),0.03971)</f>
        <v>0.03971</v>
      </c>
      <c r="L335" s="19" t="str">
        <f>IFERROR(__xludf.DUMMYFUNCTION("""COMPUTED_VALUE"""),"-")</f>
        <v>-</v>
      </c>
      <c r="M335" s="19">
        <f>IFERROR(__xludf.DUMMYFUNCTION("""COMPUTED_VALUE"""),0.03984)</f>
        <v>0.03984</v>
      </c>
    </row>
    <row r="336">
      <c r="A336" s="12" t="s">
        <v>8226</v>
      </c>
      <c r="G336" s="19">
        <f>IFERROR(__xludf.DUMMYFUNCTION("SPLIT(A334, "" |"")"),332.0)</f>
        <v>332</v>
      </c>
      <c r="H336" s="19">
        <f>IFERROR(__xludf.DUMMYFUNCTION("""COMPUTED_VALUE"""),0.00214)</f>
        <v>0.00214</v>
      </c>
      <c r="I336" s="19" t="str">
        <f>IFERROR(__xludf.DUMMYFUNCTION("""COMPUTED_VALUE"""),"-")</f>
        <v>-</v>
      </c>
      <c r="J336" s="19">
        <f>IFERROR(__xludf.DUMMYFUNCTION("""COMPUTED_VALUE"""),0.00198)</f>
        <v>0.00198</v>
      </c>
      <c r="K336" s="19">
        <f>IFERROR(__xludf.DUMMYFUNCTION("""COMPUTED_VALUE"""),0.03793)</f>
        <v>0.03793</v>
      </c>
      <c r="L336" s="19" t="str">
        <f>IFERROR(__xludf.DUMMYFUNCTION("""COMPUTED_VALUE"""),"-")</f>
        <v>-</v>
      </c>
      <c r="M336" s="19">
        <f>IFERROR(__xludf.DUMMYFUNCTION("""COMPUTED_VALUE"""),0.03701)</f>
        <v>0.03701</v>
      </c>
    </row>
    <row r="337">
      <c r="A337" s="12" t="s">
        <v>8227</v>
      </c>
      <c r="G337" s="19">
        <f>IFERROR(__xludf.DUMMYFUNCTION("SPLIT(A335, "" |"")"),333.0)</f>
        <v>333</v>
      </c>
      <c r="H337" s="19">
        <f>IFERROR(__xludf.DUMMYFUNCTION("""COMPUTED_VALUE"""),0.00212)</f>
        <v>0.00212</v>
      </c>
      <c r="I337" s="19" t="str">
        <f>IFERROR(__xludf.DUMMYFUNCTION("""COMPUTED_VALUE"""),"-")</f>
        <v>-</v>
      </c>
      <c r="J337" s="19">
        <f>IFERROR(__xludf.DUMMYFUNCTION("""COMPUTED_VALUE"""),0.00194)</f>
        <v>0.00194</v>
      </c>
      <c r="K337" s="19">
        <f>IFERROR(__xludf.DUMMYFUNCTION("""COMPUTED_VALUE"""),0.0393)</f>
        <v>0.0393</v>
      </c>
      <c r="L337" s="19" t="str">
        <f>IFERROR(__xludf.DUMMYFUNCTION("""COMPUTED_VALUE"""),"-")</f>
        <v>-</v>
      </c>
      <c r="M337" s="19">
        <f>IFERROR(__xludf.DUMMYFUNCTION("""COMPUTED_VALUE"""),0.0399)</f>
        <v>0.0399</v>
      </c>
    </row>
    <row r="338">
      <c r="A338" s="12" t="s">
        <v>8228</v>
      </c>
      <c r="G338" s="19">
        <f>IFERROR(__xludf.DUMMYFUNCTION("SPLIT(A336, "" |"")"),334.0)</f>
        <v>334</v>
      </c>
      <c r="H338" s="19">
        <f>IFERROR(__xludf.DUMMYFUNCTION("""COMPUTED_VALUE"""),0.00208)</f>
        <v>0.00208</v>
      </c>
      <c r="I338" s="19" t="str">
        <f>IFERROR(__xludf.DUMMYFUNCTION("""COMPUTED_VALUE"""),"-")</f>
        <v>-</v>
      </c>
      <c r="J338" s="19">
        <f>IFERROR(__xludf.DUMMYFUNCTION("""COMPUTED_VALUE"""),0.0019)</f>
        <v>0.0019</v>
      </c>
      <c r="K338" s="19">
        <f>IFERROR(__xludf.DUMMYFUNCTION("""COMPUTED_VALUE"""),0.0397)</f>
        <v>0.0397</v>
      </c>
      <c r="L338" s="19" t="str">
        <f>IFERROR(__xludf.DUMMYFUNCTION("""COMPUTED_VALUE"""),"-")</f>
        <v>-</v>
      </c>
      <c r="M338" s="19">
        <f>IFERROR(__xludf.DUMMYFUNCTION("""COMPUTED_VALUE"""),0.0369)</f>
        <v>0.0369</v>
      </c>
    </row>
    <row r="339">
      <c r="A339" s="12" t="s">
        <v>8229</v>
      </c>
      <c r="G339" s="19">
        <f>IFERROR(__xludf.DUMMYFUNCTION("SPLIT(A337, "" |"")"),335.0)</f>
        <v>335</v>
      </c>
      <c r="H339" s="19">
        <f>IFERROR(__xludf.DUMMYFUNCTION("""COMPUTED_VALUE"""),0.00221)</f>
        <v>0.00221</v>
      </c>
      <c r="I339" s="19" t="str">
        <f>IFERROR(__xludf.DUMMYFUNCTION("""COMPUTED_VALUE"""),"-")</f>
        <v>-</v>
      </c>
      <c r="J339" s="19">
        <f>IFERROR(__xludf.DUMMYFUNCTION("""COMPUTED_VALUE"""),0.00199)</f>
        <v>0.00199</v>
      </c>
      <c r="K339" s="19">
        <f>IFERROR(__xludf.DUMMYFUNCTION("""COMPUTED_VALUE"""),0.03971)</f>
        <v>0.03971</v>
      </c>
      <c r="L339" s="19" t="str">
        <f>IFERROR(__xludf.DUMMYFUNCTION("""COMPUTED_VALUE"""),"-")</f>
        <v>-</v>
      </c>
      <c r="M339" s="19">
        <f>IFERROR(__xludf.DUMMYFUNCTION("""COMPUTED_VALUE"""),0.03982)</f>
        <v>0.03982</v>
      </c>
    </row>
    <row r="340">
      <c r="A340" s="12" t="s">
        <v>8230</v>
      </c>
      <c r="G340" s="19">
        <f>IFERROR(__xludf.DUMMYFUNCTION("SPLIT(A338, "" |"")"),336.0)</f>
        <v>336</v>
      </c>
      <c r="H340" s="19">
        <f>IFERROR(__xludf.DUMMYFUNCTION("""COMPUTED_VALUE"""),0.00211)</f>
        <v>0.00211</v>
      </c>
      <c r="I340" s="19" t="str">
        <f>IFERROR(__xludf.DUMMYFUNCTION("""COMPUTED_VALUE"""),"-")</f>
        <v>-</v>
      </c>
      <c r="J340" s="19">
        <f>IFERROR(__xludf.DUMMYFUNCTION("""COMPUTED_VALUE"""),0.00197)</f>
        <v>0.00197</v>
      </c>
      <c r="K340" s="19">
        <f>IFERROR(__xludf.DUMMYFUNCTION("""COMPUTED_VALUE"""),0.03978)</f>
        <v>0.03978</v>
      </c>
      <c r="L340" s="19" t="str">
        <f>IFERROR(__xludf.DUMMYFUNCTION("""COMPUTED_VALUE"""),"-")</f>
        <v>-</v>
      </c>
      <c r="M340" s="19">
        <f>IFERROR(__xludf.DUMMYFUNCTION("""COMPUTED_VALUE"""),0.03982)</f>
        <v>0.03982</v>
      </c>
    </row>
    <row r="341">
      <c r="A341" s="12" t="s">
        <v>8231</v>
      </c>
      <c r="G341" s="19">
        <f>IFERROR(__xludf.DUMMYFUNCTION("SPLIT(A339, "" |"")"),337.0)</f>
        <v>337</v>
      </c>
      <c r="H341" s="19">
        <f>IFERROR(__xludf.DUMMYFUNCTION("""COMPUTED_VALUE"""),0.00212)</f>
        <v>0.00212</v>
      </c>
      <c r="I341" s="19" t="str">
        <f>IFERROR(__xludf.DUMMYFUNCTION("""COMPUTED_VALUE"""),"-")</f>
        <v>-</v>
      </c>
      <c r="J341" s="19">
        <f>IFERROR(__xludf.DUMMYFUNCTION("""COMPUTED_VALUE"""),0.00196)</f>
        <v>0.00196</v>
      </c>
      <c r="K341" s="19">
        <f>IFERROR(__xludf.DUMMYFUNCTION("""COMPUTED_VALUE"""),0.03963)</f>
        <v>0.03963</v>
      </c>
      <c r="L341" s="19" t="str">
        <f>IFERROR(__xludf.DUMMYFUNCTION("""COMPUTED_VALUE"""),"-")</f>
        <v>-</v>
      </c>
      <c r="M341" s="19">
        <f>IFERROR(__xludf.DUMMYFUNCTION("""COMPUTED_VALUE"""),0.03983)</f>
        <v>0.03983</v>
      </c>
    </row>
    <row r="342">
      <c r="A342" s="12" t="s">
        <v>8232</v>
      </c>
      <c r="G342" s="19">
        <f>IFERROR(__xludf.DUMMYFUNCTION("SPLIT(A340, "" |"")"),338.0)</f>
        <v>338</v>
      </c>
      <c r="H342" s="19">
        <f>IFERROR(__xludf.DUMMYFUNCTION("""COMPUTED_VALUE"""),0.00207)</f>
        <v>0.00207</v>
      </c>
      <c r="I342" s="19" t="str">
        <f>IFERROR(__xludf.DUMMYFUNCTION("""COMPUTED_VALUE"""),"-")</f>
        <v>-</v>
      </c>
      <c r="J342" s="19">
        <f>IFERROR(__xludf.DUMMYFUNCTION("""COMPUTED_VALUE"""),0.00199)</f>
        <v>0.00199</v>
      </c>
      <c r="K342" s="19">
        <f>IFERROR(__xludf.DUMMYFUNCTION("""COMPUTED_VALUE"""),0.03972)</f>
        <v>0.03972</v>
      </c>
      <c r="L342" s="19" t="str">
        <f>IFERROR(__xludf.DUMMYFUNCTION("""COMPUTED_VALUE"""),"-")</f>
        <v>-</v>
      </c>
      <c r="M342" s="19">
        <f>IFERROR(__xludf.DUMMYFUNCTION("""COMPUTED_VALUE"""),0.03982)</f>
        <v>0.03982</v>
      </c>
    </row>
    <row r="343">
      <c r="A343" s="12" t="s">
        <v>8233</v>
      </c>
      <c r="G343" s="19">
        <f>IFERROR(__xludf.DUMMYFUNCTION("SPLIT(A341, "" |"")"),339.0)</f>
        <v>339</v>
      </c>
      <c r="H343" s="19">
        <f>IFERROR(__xludf.DUMMYFUNCTION("""COMPUTED_VALUE"""),0.0021)</f>
        <v>0.0021</v>
      </c>
      <c r="I343" s="19" t="str">
        <f>IFERROR(__xludf.DUMMYFUNCTION("""COMPUTED_VALUE"""),"-")</f>
        <v>-</v>
      </c>
      <c r="J343" s="19">
        <f>IFERROR(__xludf.DUMMYFUNCTION("""COMPUTED_VALUE"""),0.00192)</f>
        <v>0.00192</v>
      </c>
      <c r="K343" s="19">
        <f>IFERROR(__xludf.DUMMYFUNCTION("""COMPUTED_VALUE"""),0.03974)</f>
        <v>0.03974</v>
      </c>
      <c r="L343" s="19" t="str">
        <f>IFERROR(__xludf.DUMMYFUNCTION("""COMPUTED_VALUE"""),"-")</f>
        <v>-</v>
      </c>
      <c r="M343" s="19">
        <f>IFERROR(__xludf.DUMMYFUNCTION("""COMPUTED_VALUE"""),0.03982)</f>
        <v>0.03982</v>
      </c>
    </row>
    <row r="344">
      <c r="A344" s="12" t="s">
        <v>8234</v>
      </c>
      <c r="G344" s="19">
        <f>IFERROR(__xludf.DUMMYFUNCTION("SPLIT(A342, "" |"")"),340.0)</f>
        <v>340</v>
      </c>
      <c r="H344" s="19">
        <f>IFERROR(__xludf.DUMMYFUNCTION("""COMPUTED_VALUE"""),0.00211)</f>
        <v>0.00211</v>
      </c>
      <c r="I344" s="19" t="str">
        <f>IFERROR(__xludf.DUMMYFUNCTION("""COMPUTED_VALUE"""),"-")</f>
        <v>-</v>
      </c>
      <c r="J344" s="19">
        <f>IFERROR(__xludf.DUMMYFUNCTION("""COMPUTED_VALUE"""),0.00196)</f>
        <v>0.00196</v>
      </c>
      <c r="K344" s="19">
        <f>IFERROR(__xludf.DUMMYFUNCTION("""COMPUTED_VALUE"""),0.03957)</f>
        <v>0.03957</v>
      </c>
      <c r="L344" s="19" t="str">
        <f>IFERROR(__xludf.DUMMYFUNCTION("""COMPUTED_VALUE"""),"-")</f>
        <v>-</v>
      </c>
      <c r="M344" s="19">
        <f>IFERROR(__xludf.DUMMYFUNCTION("""COMPUTED_VALUE"""),0.03981)</f>
        <v>0.03981</v>
      </c>
    </row>
    <row r="345">
      <c r="A345" s="12" t="s">
        <v>8235</v>
      </c>
      <c r="G345" s="19">
        <f>IFERROR(__xludf.DUMMYFUNCTION("SPLIT(A343, "" |"")"),341.0)</f>
        <v>341</v>
      </c>
      <c r="H345" s="19">
        <f>IFERROR(__xludf.DUMMYFUNCTION("""COMPUTED_VALUE"""),0.00209)</f>
        <v>0.00209</v>
      </c>
      <c r="I345" s="19" t="str">
        <f>IFERROR(__xludf.DUMMYFUNCTION("""COMPUTED_VALUE"""),"-")</f>
        <v>-</v>
      </c>
      <c r="J345" s="19">
        <f>IFERROR(__xludf.DUMMYFUNCTION("""COMPUTED_VALUE"""),0.00183)</f>
        <v>0.00183</v>
      </c>
      <c r="K345" s="19">
        <f>IFERROR(__xludf.DUMMYFUNCTION("""COMPUTED_VALUE"""),0.03958)</f>
        <v>0.03958</v>
      </c>
      <c r="L345" s="19" t="str">
        <f>IFERROR(__xludf.DUMMYFUNCTION("""COMPUTED_VALUE"""),"-")</f>
        <v>-</v>
      </c>
      <c r="M345" s="19">
        <f>IFERROR(__xludf.DUMMYFUNCTION("""COMPUTED_VALUE"""),0.03971)</f>
        <v>0.03971</v>
      </c>
    </row>
    <row r="346">
      <c r="A346" s="12" t="s">
        <v>8236</v>
      </c>
      <c r="G346" s="19">
        <f>IFERROR(__xludf.DUMMYFUNCTION("SPLIT(A344, "" |"")"),342.0)</f>
        <v>342</v>
      </c>
      <c r="H346" s="19">
        <f>IFERROR(__xludf.DUMMYFUNCTION("""COMPUTED_VALUE"""),0.00229)</f>
        <v>0.00229</v>
      </c>
      <c r="I346" s="19" t="str">
        <f>IFERROR(__xludf.DUMMYFUNCTION("""COMPUTED_VALUE"""),"-")</f>
        <v>-</v>
      </c>
      <c r="J346" s="19">
        <f>IFERROR(__xludf.DUMMYFUNCTION("""COMPUTED_VALUE"""),0.00195)</f>
        <v>0.00195</v>
      </c>
      <c r="K346" s="19">
        <f>IFERROR(__xludf.DUMMYFUNCTION("""COMPUTED_VALUE"""),0.03969)</f>
        <v>0.03969</v>
      </c>
      <c r="L346" s="19" t="str">
        <f>IFERROR(__xludf.DUMMYFUNCTION("""COMPUTED_VALUE"""),"-")</f>
        <v>-</v>
      </c>
      <c r="M346" s="19">
        <f>IFERROR(__xludf.DUMMYFUNCTION("""COMPUTED_VALUE"""),0.03874)</f>
        <v>0.03874</v>
      </c>
    </row>
    <row r="347">
      <c r="A347" s="12" t="s">
        <v>8237</v>
      </c>
      <c r="G347" s="19">
        <f>IFERROR(__xludf.DUMMYFUNCTION("SPLIT(A345, "" |"")"),343.0)</f>
        <v>343</v>
      </c>
      <c r="H347" s="19">
        <f>IFERROR(__xludf.DUMMYFUNCTION("""COMPUTED_VALUE"""),0.0022)</f>
        <v>0.0022</v>
      </c>
      <c r="I347" s="19" t="str">
        <f>IFERROR(__xludf.DUMMYFUNCTION("""COMPUTED_VALUE"""),"-")</f>
        <v>-</v>
      </c>
      <c r="J347" s="19">
        <f>IFERROR(__xludf.DUMMYFUNCTION("""COMPUTED_VALUE"""),0.00194)</f>
        <v>0.00194</v>
      </c>
      <c r="K347" s="19">
        <f>IFERROR(__xludf.DUMMYFUNCTION("""COMPUTED_VALUE"""),0.03967)</f>
        <v>0.03967</v>
      </c>
      <c r="L347" s="19" t="str">
        <f>IFERROR(__xludf.DUMMYFUNCTION("""COMPUTED_VALUE"""),"-")</f>
        <v>-</v>
      </c>
      <c r="M347" s="19">
        <f>IFERROR(__xludf.DUMMYFUNCTION("""COMPUTED_VALUE"""),0.03987)</f>
        <v>0.03987</v>
      </c>
    </row>
    <row r="348">
      <c r="A348" s="12" t="s">
        <v>8238</v>
      </c>
      <c r="G348" s="19">
        <f>IFERROR(__xludf.DUMMYFUNCTION("SPLIT(A346, "" |"")"),344.0)</f>
        <v>344</v>
      </c>
      <c r="H348" s="19">
        <f>IFERROR(__xludf.DUMMYFUNCTION("""COMPUTED_VALUE"""),0.00207)</f>
        <v>0.00207</v>
      </c>
      <c r="I348" s="19" t="str">
        <f>IFERROR(__xludf.DUMMYFUNCTION("""COMPUTED_VALUE"""),"-")</f>
        <v>-</v>
      </c>
      <c r="J348" s="19">
        <f>IFERROR(__xludf.DUMMYFUNCTION("""COMPUTED_VALUE"""),0.00196)</f>
        <v>0.00196</v>
      </c>
      <c r="K348" s="19">
        <f>IFERROR(__xludf.DUMMYFUNCTION("""COMPUTED_VALUE"""),0.03974)</f>
        <v>0.03974</v>
      </c>
      <c r="L348" s="19" t="str">
        <f>IFERROR(__xludf.DUMMYFUNCTION("""COMPUTED_VALUE"""),"-")</f>
        <v>-</v>
      </c>
      <c r="M348" s="19">
        <f>IFERROR(__xludf.DUMMYFUNCTION("""COMPUTED_VALUE"""),0.03978)</f>
        <v>0.03978</v>
      </c>
    </row>
    <row r="349">
      <c r="A349" s="12" t="s">
        <v>8239</v>
      </c>
      <c r="G349" s="19">
        <f>IFERROR(__xludf.DUMMYFUNCTION("SPLIT(A347, "" |"")"),345.0)</f>
        <v>345</v>
      </c>
      <c r="H349" s="19">
        <f>IFERROR(__xludf.DUMMYFUNCTION("""COMPUTED_VALUE"""),0.0021)</f>
        <v>0.0021</v>
      </c>
      <c r="I349" s="19" t="str">
        <f>IFERROR(__xludf.DUMMYFUNCTION("""COMPUTED_VALUE"""),"-")</f>
        <v>-</v>
      </c>
      <c r="J349" s="19">
        <f>IFERROR(__xludf.DUMMYFUNCTION("""COMPUTED_VALUE"""),0.00195)</f>
        <v>0.00195</v>
      </c>
      <c r="K349" s="19">
        <f>IFERROR(__xludf.DUMMYFUNCTION("""COMPUTED_VALUE"""),0.03961)</f>
        <v>0.03961</v>
      </c>
      <c r="L349" s="19" t="str">
        <f>IFERROR(__xludf.DUMMYFUNCTION("""COMPUTED_VALUE"""),"-")</f>
        <v>-</v>
      </c>
      <c r="M349" s="19">
        <f>IFERROR(__xludf.DUMMYFUNCTION("""COMPUTED_VALUE"""),0.03979)</f>
        <v>0.03979</v>
      </c>
    </row>
    <row r="350">
      <c r="A350" s="12" t="s">
        <v>8240</v>
      </c>
      <c r="G350" s="19">
        <f>IFERROR(__xludf.DUMMYFUNCTION("SPLIT(A348, "" |"")"),346.0)</f>
        <v>346</v>
      </c>
      <c r="H350" s="19">
        <f>IFERROR(__xludf.DUMMYFUNCTION("""COMPUTED_VALUE"""),0.00207)</f>
        <v>0.00207</v>
      </c>
      <c r="I350" s="19" t="str">
        <f>IFERROR(__xludf.DUMMYFUNCTION("""COMPUTED_VALUE"""),"-")</f>
        <v>-</v>
      </c>
      <c r="J350" s="19">
        <f>IFERROR(__xludf.DUMMYFUNCTION("""COMPUTED_VALUE"""),0.00194)</f>
        <v>0.00194</v>
      </c>
      <c r="K350" s="19">
        <f>IFERROR(__xludf.DUMMYFUNCTION("""COMPUTED_VALUE"""),0.03918)</f>
        <v>0.03918</v>
      </c>
      <c r="L350" s="19" t="str">
        <f>IFERROR(__xludf.DUMMYFUNCTION("""COMPUTED_VALUE"""),"-")</f>
        <v>-</v>
      </c>
      <c r="M350" s="19">
        <f>IFERROR(__xludf.DUMMYFUNCTION("""COMPUTED_VALUE"""),0.03977)</f>
        <v>0.03977</v>
      </c>
    </row>
    <row r="351">
      <c r="A351" s="12" t="s">
        <v>8241</v>
      </c>
      <c r="G351" s="19">
        <f>IFERROR(__xludf.DUMMYFUNCTION("SPLIT(A349, "" |"")"),347.0)</f>
        <v>347</v>
      </c>
      <c r="H351" s="19">
        <f>IFERROR(__xludf.DUMMYFUNCTION("""COMPUTED_VALUE"""),0.00206)</f>
        <v>0.00206</v>
      </c>
      <c r="I351" s="19" t="str">
        <f>IFERROR(__xludf.DUMMYFUNCTION("""COMPUTED_VALUE"""),"-")</f>
        <v>-</v>
      </c>
      <c r="J351" s="19">
        <f>IFERROR(__xludf.DUMMYFUNCTION("""COMPUTED_VALUE"""),0.00194)</f>
        <v>0.00194</v>
      </c>
      <c r="K351" s="19">
        <f>IFERROR(__xludf.DUMMYFUNCTION("""COMPUTED_VALUE"""),0.03402)</f>
        <v>0.03402</v>
      </c>
      <c r="L351" s="19" t="str">
        <f>IFERROR(__xludf.DUMMYFUNCTION("""COMPUTED_VALUE"""),"-")</f>
        <v>-</v>
      </c>
      <c r="M351" s="19">
        <f>IFERROR(__xludf.DUMMYFUNCTION("""COMPUTED_VALUE"""),0.03898)</f>
        <v>0.03898</v>
      </c>
    </row>
    <row r="352">
      <c r="A352" s="12" t="s">
        <v>8242</v>
      </c>
      <c r="G352" s="19">
        <f>IFERROR(__xludf.DUMMYFUNCTION("SPLIT(A350, "" |"")"),348.0)</f>
        <v>348</v>
      </c>
      <c r="H352" s="19">
        <f>IFERROR(__xludf.DUMMYFUNCTION("""COMPUTED_VALUE"""),0.00206)</f>
        <v>0.00206</v>
      </c>
      <c r="I352" s="19" t="str">
        <f>IFERROR(__xludf.DUMMYFUNCTION("""COMPUTED_VALUE"""),"-")</f>
        <v>-</v>
      </c>
      <c r="J352" s="19">
        <f>IFERROR(__xludf.DUMMYFUNCTION("""COMPUTED_VALUE"""),0.00189)</f>
        <v>0.00189</v>
      </c>
      <c r="K352" s="19">
        <f>IFERROR(__xludf.DUMMYFUNCTION("""COMPUTED_VALUE"""),0.03966)</f>
        <v>0.03966</v>
      </c>
      <c r="L352" s="19" t="str">
        <f>IFERROR(__xludf.DUMMYFUNCTION("""COMPUTED_VALUE"""),"-")</f>
        <v>-</v>
      </c>
      <c r="M352" s="19">
        <f>IFERROR(__xludf.DUMMYFUNCTION("""COMPUTED_VALUE"""),0.03921)</f>
        <v>0.03921</v>
      </c>
    </row>
    <row r="353">
      <c r="A353" s="12" t="s">
        <v>8243</v>
      </c>
      <c r="G353" s="19">
        <f>IFERROR(__xludf.DUMMYFUNCTION("SPLIT(A351, "" |"")"),349.0)</f>
        <v>349</v>
      </c>
      <c r="H353" s="19">
        <f>IFERROR(__xludf.DUMMYFUNCTION("""COMPUTED_VALUE"""),0.00208)</f>
        <v>0.00208</v>
      </c>
      <c r="I353" s="19" t="str">
        <f>IFERROR(__xludf.DUMMYFUNCTION("""COMPUTED_VALUE"""),"-")</f>
        <v>-</v>
      </c>
      <c r="J353" s="19">
        <f>IFERROR(__xludf.DUMMYFUNCTION("""COMPUTED_VALUE"""),0.00201)</f>
        <v>0.00201</v>
      </c>
      <c r="K353" s="19">
        <f>IFERROR(__xludf.DUMMYFUNCTION("""COMPUTED_VALUE"""),0.03966)</f>
        <v>0.03966</v>
      </c>
      <c r="L353" s="19" t="str">
        <f>IFERROR(__xludf.DUMMYFUNCTION("""COMPUTED_VALUE"""),"-")</f>
        <v>-</v>
      </c>
      <c r="M353" s="19">
        <f>IFERROR(__xludf.DUMMYFUNCTION("""COMPUTED_VALUE"""),0.03981)</f>
        <v>0.03981</v>
      </c>
    </row>
    <row r="354">
      <c r="A354" s="12" t="s">
        <v>8244</v>
      </c>
      <c r="G354" s="19">
        <f>IFERROR(__xludf.DUMMYFUNCTION("SPLIT(A352, "" |"")"),350.0)</f>
        <v>350</v>
      </c>
      <c r="H354" s="19">
        <f>IFERROR(__xludf.DUMMYFUNCTION("""COMPUTED_VALUE"""),0.0021)</f>
        <v>0.0021</v>
      </c>
      <c r="I354" s="19" t="str">
        <f>IFERROR(__xludf.DUMMYFUNCTION("""COMPUTED_VALUE"""),"-")</f>
        <v>-</v>
      </c>
      <c r="J354" s="19">
        <f>IFERROR(__xludf.DUMMYFUNCTION("""COMPUTED_VALUE"""),0.00199)</f>
        <v>0.00199</v>
      </c>
      <c r="K354" s="19">
        <f>IFERROR(__xludf.DUMMYFUNCTION("""COMPUTED_VALUE"""),0.03971)</f>
        <v>0.03971</v>
      </c>
      <c r="L354" s="19" t="str">
        <f>IFERROR(__xludf.DUMMYFUNCTION("""COMPUTED_VALUE"""),"-")</f>
        <v>-</v>
      </c>
      <c r="M354" s="19">
        <f>IFERROR(__xludf.DUMMYFUNCTION("""COMPUTED_VALUE"""),0.03923)</f>
        <v>0.03923</v>
      </c>
    </row>
    <row r="355">
      <c r="A355" s="12" t="s">
        <v>8245</v>
      </c>
      <c r="G355" s="19">
        <f>IFERROR(__xludf.DUMMYFUNCTION("SPLIT(A353, "" |"")"),351.0)</f>
        <v>351</v>
      </c>
      <c r="H355" s="19">
        <f>IFERROR(__xludf.DUMMYFUNCTION("""COMPUTED_VALUE"""),0.00213)</f>
        <v>0.00213</v>
      </c>
      <c r="I355" s="19" t="str">
        <f>IFERROR(__xludf.DUMMYFUNCTION("""COMPUTED_VALUE"""),"-")</f>
        <v>-</v>
      </c>
      <c r="J355" s="19">
        <f>IFERROR(__xludf.DUMMYFUNCTION("""COMPUTED_VALUE"""),0.00185)</f>
        <v>0.00185</v>
      </c>
      <c r="K355" s="19">
        <f>IFERROR(__xludf.DUMMYFUNCTION("""COMPUTED_VALUE"""),0.03953)</f>
        <v>0.03953</v>
      </c>
      <c r="L355" s="19" t="str">
        <f>IFERROR(__xludf.DUMMYFUNCTION("""COMPUTED_VALUE"""),"-")</f>
        <v>-</v>
      </c>
      <c r="M355" s="19">
        <f>IFERROR(__xludf.DUMMYFUNCTION("""COMPUTED_VALUE"""),0.03978)</f>
        <v>0.03978</v>
      </c>
    </row>
    <row r="356">
      <c r="A356" s="12" t="s">
        <v>8246</v>
      </c>
      <c r="G356" s="19">
        <f>IFERROR(__xludf.DUMMYFUNCTION("SPLIT(A354, "" |"")"),352.0)</f>
        <v>352</v>
      </c>
      <c r="H356" s="19">
        <f>IFERROR(__xludf.DUMMYFUNCTION("""COMPUTED_VALUE"""),0.00205)</f>
        <v>0.00205</v>
      </c>
      <c r="I356" s="19" t="str">
        <f>IFERROR(__xludf.DUMMYFUNCTION("""COMPUTED_VALUE"""),"-")</f>
        <v>-</v>
      </c>
      <c r="J356" s="19">
        <f>IFERROR(__xludf.DUMMYFUNCTION("""COMPUTED_VALUE"""),0.00195)</f>
        <v>0.00195</v>
      </c>
      <c r="K356" s="19">
        <f>IFERROR(__xludf.DUMMYFUNCTION("""COMPUTED_VALUE"""),0.0397)</f>
        <v>0.0397</v>
      </c>
      <c r="L356" s="19" t="str">
        <f>IFERROR(__xludf.DUMMYFUNCTION("""COMPUTED_VALUE"""),"-")</f>
        <v>-</v>
      </c>
      <c r="M356" s="19">
        <f>IFERROR(__xludf.DUMMYFUNCTION("""COMPUTED_VALUE"""),0.03981)</f>
        <v>0.03981</v>
      </c>
    </row>
    <row r="357">
      <c r="A357" s="12" t="s">
        <v>8247</v>
      </c>
      <c r="G357" s="19">
        <f>IFERROR(__xludf.DUMMYFUNCTION("SPLIT(A355, "" |"")"),353.0)</f>
        <v>353</v>
      </c>
      <c r="H357" s="19">
        <f>IFERROR(__xludf.DUMMYFUNCTION("""COMPUTED_VALUE"""),0.00216)</f>
        <v>0.00216</v>
      </c>
      <c r="I357" s="19" t="str">
        <f>IFERROR(__xludf.DUMMYFUNCTION("""COMPUTED_VALUE"""),"-")</f>
        <v>-</v>
      </c>
      <c r="J357" s="19">
        <f>IFERROR(__xludf.DUMMYFUNCTION("""COMPUTED_VALUE"""),0.00202)</f>
        <v>0.00202</v>
      </c>
      <c r="K357" s="19">
        <f>IFERROR(__xludf.DUMMYFUNCTION("""COMPUTED_VALUE"""),0.03963)</f>
        <v>0.03963</v>
      </c>
      <c r="L357" s="19" t="str">
        <f>IFERROR(__xludf.DUMMYFUNCTION("""COMPUTED_VALUE"""),"-")</f>
        <v>-</v>
      </c>
      <c r="M357" s="19">
        <f>IFERROR(__xludf.DUMMYFUNCTION("""COMPUTED_VALUE"""),0.03985)</f>
        <v>0.03985</v>
      </c>
    </row>
    <row r="358">
      <c r="A358" s="12" t="s">
        <v>8248</v>
      </c>
      <c r="G358" s="19">
        <f>IFERROR(__xludf.DUMMYFUNCTION("SPLIT(A356, "" |"")"),354.0)</f>
        <v>354</v>
      </c>
      <c r="H358" s="19">
        <f>IFERROR(__xludf.DUMMYFUNCTION("""COMPUTED_VALUE"""),0.00214)</f>
        <v>0.00214</v>
      </c>
      <c r="I358" s="19" t="str">
        <f>IFERROR(__xludf.DUMMYFUNCTION("""COMPUTED_VALUE"""),"-")</f>
        <v>-</v>
      </c>
      <c r="J358" s="19">
        <f>IFERROR(__xludf.DUMMYFUNCTION("""COMPUTED_VALUE"""),0.00198)</f>
        <v>0.00198</v>
      </c>
      <c r="K358" s="19">
        <f>IFERROR(__xludf.DUMMYFUNCTION("""COMPUTED_VALUE"""),0.0397)</f>
        <v>0.0397</v>
      </c>
      <c r="L358" s="19" t="str">
        <f>IFERROR(__xludf.DUMMYFUNCTION("""COMPUTED_VALUE"""),"-")</f>
        <v>-</v>
      </c>
      <c r="M358" s="19">
        <f>IFERROR(__xludf.DUMMYFUNCTION("""COMPUTED_VALUE"""),0.03974)</f>
        <v>0.03974</v>
      </c>
    </row>
    <row r="359">
      <c r="A359" s="12" t="s">
        <v>8249</v>
      </c>
      <c r="G359" s="19">
        <f>IFERROR(__xludf.DUMMYFUNCTION("SPLIT(A357, "" |"")"),355.0)</f>
        <v>355</v>
      </c>
      <c r="H359" s="19">
        <f>IFERROR(__xludf.DUMMYFUNCTION("""COMPUTED_VALUE"""),0.00216)</f>
        <v>0.00216</v>
      </c>
      <c r="I359" s="19" t="str">
        <f>IFERROR(__xludf.DUMMYFUNCTION("""COMPUTED_VALUE"""),"-")</f>
        <v>-</v>
      </c>
      <c r="J359" s="19">
        <f>IFERROR(__xludf.DUMMYFUNCTION("""COMPUTED_VALUE"""),0.00198)</f>
        <v>0.00198</v>
      </c>
      <c r="K359" s="19">
        <f>IFERROR(__xludf.DUMMYFUNCTION("""COMPUTED_VALUE"""),0.03967)</f>
        <v>0.03967</v>
      </c>
      <c r="L359" s="19" t="str">
        <f>IFERROR(__xludf.DUMMYFUNCTION("""COMPUTED_VALUE"""),"-")</f>
        <v>-</v>
      </c>
      <c r="M359" s="19">
        <f>IFERROR(__xludf.DUMMYFUNCTION("""COMPUTED_VALUE"""),0.03982)</f>
        <v>0.03982</v>
      </c>
    </row>
    <row r="360">
      <c r="A360" s="12" t="s">
        <v>8250</v>
      </c>
      <c r="G360" s="19">
        <f>IFERROR(__xludf.DUMMYFUNCTION("SPLIT(A358, "" |"")"),356.0)</f>
        <v>356</v>
      </c>
      <c r="H360" s="19">
        <f>IFERROR(__xludf.DUMMYFUNCTION("""COMPUTED_VALUE"""),0.00209)</f>
        <v>0.00209</v>
      </c>
      <c r="I360" s="19" t="str">
        <f>IFERROR(__xludf.DUMMYFUNCTION("""COMPUTED_VALUE"""),"-")</f>
        <v>-</v>
      </c>
      <c r="J360" s="19">
        <f>IFERROR(__xludf.DUMMYFUNCTION("""COMPUTED_VALUE"""),0.002)</f>
        <v>0.002</v>
      </c>
      <c r="K360" s="19">
        <f>IFERROR(__xludf.DUMMYFUNCTION("""COMPUTED_VALUE"""),0.03963)</f>
        <v>0.03963</v>
      </c>
      <c r="L360" s="19" t="str">
        <f>IFERROR(__xludf.DUMMYFUNCTION("""COMPUTED_VALUE"""),"-")</f>
        <v>-</v>
      </c>
      <c r="M360" s="19">
        <f>IFERROR(__xludf.DUMMYFUNCTION("""COMPUTED_VALUE"""),0.04024)</f>
        <v>0.04024</v>
      </c>
    </row>
    <row r="361">
      <c r="A361" s="12" t="s">
        <v>8251</v>
      </c>
      <c r="G361" s="19">
        <f>IFERROR(__xludf.DUMMYFUNCTION("SPLIT(A359, "" |"")"),357.0)</f>
        <v>357</v>
      </c>
      <c r="H361" s="19">
        <f>IFERROR(__xludf.DUMMYFUNCTION("""COMPUTED_VALUE"""),0.00208)</f>
        <v>0.00208</v>
      </c>
      <c r="I361" s="19" t="str">
        <f>IFERROR(__xludf.DUMMYFUNCTION("""COMPUTED_VALUE"""),"-")</f>
        <v>-</v>
      </c>
      <c r="J361" s="19">
        <f>IFERROR(__xludf.DUMMYFUNCTION("""COMPUTED_VALUE"""),0.00196)</f>
        <v>0.00196</v>
      </c>
      <c r="K361" s="19">
        <f>IFERROR(__xludf.DUMMYFUNCTION("""COMPUTED_VALUE"""),0.03966)</f>
        <v>0.03966</v>
      </c>
      <c r="L361" s="19" t="str">
        <f>IFERROR(__xludf.DUMMYFUNCTION("""COMPUTED_VALUE"""),"-")</f>
        <v>-</v>
      </c>
      <c r="M361" s="19">
        <f>IFERROR(__xludf.DUMMYFUNCTION("""COMPUTED_VALUE"""),0.03974)</f>
        <v>0.03974</v>
      </c>
    </row>
    <row r="362">
      <c r="A362" s="12" t="s">
        <v>8252</v>
      </c>
      <c r="G362" s="19">
        <f>IFERROR(__xludf.DUMMYFUNCTION("SPLIT(A360, "" |"")"),358.0)</f>
        <v>358</v>
      </c>
      <c r="H362" s="19">
        <f>IFERROR(__xludf.DUMMYFUNCTION("""COMPUTED_VALUE"""),0.00205)</f>
        <v>0.00205</v>
      </c>
      <c r="I362" s="19" t="str">
        <f>IFERROR(__xludf.DUMMYFUNCTION("""COMPUTED_VALUE"""),"-")</f>
        <v>-</v>
      </c>
      <c r="J362" s="19">
        <f>IFERROR(__xludf.DUMMYFUNCTION("""COMPUTED_VALUE"""),0.00194)</f>
        <v>0.00194</v>
      </c>
      <c r="K362" s="19">
        <f>IFERROR(__xludf.DUMMYFUNCTION("""COMPUTED_VALUE"""),0.03972)</f>
        <v>0.03972</v>
      </c>
      <c r="L362" s="19" t="str">
        <f>IFERROR(__xludf.DUMMYFUNCTION("""COMPUTED_VALUE"""),"-")</f>
        <v>-</v>
      </c>
      <c r="M362" s="19">
        <f>IFERROR(__xludf.DUMMYFUNCTION("""COMPUTED_VALUE"""),0.03983)</f>
        <v>0.03983</v>
      </c>
    </row>
    <row r="363">
      <c r="A363" s="12" t="s">
        <v>8253</v>
      </c>
      <c r="G363" s="19">
        <f>IFERROR(__xludf.DUMMYFUNCTION("SPLIT(A361, "" |"")"),359.0)</f>
        <v>359</v>
      </c>
      <c r="H363" s="19">
        <f>IFERROR(__xludf.DUMMYFUNCTION("""COMPUTED_VALUE"""),0.00225)</f>
        <v>0.00225</v>
      </c>
      <c r="I363" s="19" t="str">
        <f>IFERROR(__xludf.DUMMYFUNCTION("""COMPUTED_VALUE"""),"-")</f>
        <v>-</v>
      </c>
      <c r="J363" s="19">
        <f>IFERROR(__xludf.DUMMYFUNCTION("""COMPUTED_VALUE"""),0.00199)</f>
        <v>0.00199</v>
      </c>
      <c r="K363" s="19">
        <f>IFERROR(__xludf.DUMMYFUNCTION("""COMPUTED_VALUE"""),0.03962)</f>
        <v>0.03962</v>
      </c>
      <c r="L363" s="19" t="str">
        <f>IFERROR(__xludf.DUMMYFUNCTION("""COMPUTED_VALUE"""),"-")</f>
        <v>-</v>
      </c>
      <c r="M363" s="19">
        <f>IFERROR(__xludf.DUMMYFUNCTION("""COMPUTED_VALUE"""),0.03987)</f>
        <v>0.03987</v>
      </c>
    </row>
    <row r="364">
      <c r="A364" s="12" t="s">
        <v>8254</v>
      </c>
      <c r="G364" s="19">
        <f>IFERROR(__xludf.DUMMYFUNCTION("SPLIT(A362, "" |"")"),360.0)</f>
        <v>360</v>
      </c>
      <c r="H364" s="19">
        <f>IFERROR(__xludf.DUMMYFUNCTION("""COMPUTED_VALUE"""),0.00198)</f>
        <v>0.00198</v>
      </c>
      <c r="I364" s="19" t="str">
        <f>IFERROR(__xludf.DUMMYFUNCTION("""COMPUTED_VALUE"""),"-")</f>
        <v>-</v>
      </c>
      <c r="J364" s="19">
        <f>IFERROR(__xludf.DUMMYFUNCTION("""COMPUTED_VALUE"""),0.00185)</f>
        <v>0.00185</v>
      </c>
      <c r="K364" s="19">
        <f>IFERROR(__xludf.DUMMYFUNCTION("""COMPUTED_VALUE"""),0.03968)</f>
        <v>0.03968</v>
      </c>
      <c r="L364" s="19" t="str">
        <f>IFERROR(__xludf.DUMMYFUNCTION("""COMPUTED_VALUE"""),"-")</f>
        <v>-</v>
      </c>
      <c r="M364" s="19">
        <f>IFERROR(__xludf.DUMMYFUNCTION("""COMPUTED_VALUE"""),0.03971)</f>
        <v>0.03971</v>
      </c>
    </row>
    <row r="365">
      <c r="A365" s="12" t="s">
        <v>8255</v>
      </c>
      <c r="G365" s="19">
        <f>IFERROR(__xludf.DUMMYFUNCTION("SPLIT(A363, "" |"")"),361.0)</f>
        <v>361</v>
      </c>
      <c r="H365" s="19">
        <f>IFERROR(__xludf.DUMMYFUNCTION("""COMPUTED_VALUE"""),0.00196)</f>
        <v>0.00196</v>
      </c>
      <c r="I365" s="19" t="str">
        <f>IFERROR(__xludf.DUMMYFUNCTION("""COMPUTED_VALUE"""),"-")</f>
        <v>-</v>
      </c>
      <c r="J365" s="19">
        <f>IFERROR(__xludf.DUMMYFUNCTION("""COMPUTED_VALUE"""),0.00188)</f>
        <v>0.00188</v>
      </c>
      <c r="K365" s="19">
        <f>IFERROR(__xludf.DUMMYFUNCTION("""COMPUTED_VALUE"""),0.03962)</f>
        <v>0.03962</v>
      </c>
      <c r="L365" s="19" t="str">
        <f>IFERROR(__xludf.DUMMYFUNCTION("""COMPUTED_VALUE"""),"-")</f>
        <v>-</v>
      </c>
      <c r="M365" s="19">
        <f>IFERROR(__xludf.DUMMYFUNCTION("""COMPUTED_VALUE"""),0.03977)</f>
        <v>0.03977</v>
      </c>
    </row>
    <row r="366">
      <c r="A366" s="12" t="s">
        <v>8256</v>
      </c>
      <c r="G366" s="19">
        <f>IFERROR(__xludf.DUMMYFUNCTION("SPLIT(A364, "" |"")"),362.0)</f>
        <v>362</v>
      </c>
      <c r="H366" s="19">
        <f>IFERROR(__xludf.DUMMYFUNCTION("""COMPUTED_VALUE"""),0.00207)</f>
        <v>0.00207</v>
      </c>
      <c r="I366" s="19" t="str">
        <f>IFERROR(__xludf.DUMMYFUNCTION("""COMPUTED_VALUE"""),"-")</f>
        <v>-</v>
      </c>
      <c r="J366" s="19">
        <f>IFERROR(__xludf.DUMMYFUNCTION("""COMPUTED_VALUE"""),0.00182)</f>
        <v>0.00182</v>
      </c>
      <c r="K366" s="19">
        <f>IFERROR(__xludf.DUMMYFUNCTION("""COMPUTED_VALUE"""),0.03974)</f>
        <v>0.03974</v>
      </c>
      <c r="L366" s="19" t="str">
        <f>IFERROR(__xludf.DUMMYFUNCTION("""COMPUTED_VALUE"""),"-")</f>
        <v>-</v>
      </c>
      <c r="M366" s="19">
        <f>IFERROR(__xludf.DUMMYFUNCTION("""COMPUTED_VALUE"""),0.03986)</f>
        <v>0.03986</v>
      </c>
    </row>
    <row r="367">
      <c r="A367" s="12" t="s">
        <v>8257</v>
      </c>
      <c r="G367" s="19">
        <f>IFERROR(__xludf.DUMMYFUNCTION("SPLIT(A365, "" |"")"),363.0)</f>
        <v>363</v>
      </c>
      <c r="H367" s="19">
        <f>IFERROR(__xludf.DUMMYFUNCTION("""COMPUTED_VALUE"""),0.00207)</f>
        <v>0.00207</v>
      </c>
      <c r="I367" s="19" t="str">
        <f>IFERROR(__xludf.DUMMYFUNCTION("""COMPUTED_VALUE"""),"-")</f>
        <v>-</v>
      </c>
      <c r="J367" s="19">
        <f>IFERROR(__xludf.DUMMYFUNCTION("""COMPUTED_VALUE"""),0.00191)</f>
        <v>0.00191</v>
      </c>
      <c r="K367" s="19">
        <f>IFERROR(__xludf.DUMMYFUNCTION("""COMPUTED_VALUE"""),0.03972)</f>
        <v>0.03972</v>
      </c>
      <c r="L367" s="19" t="str">
        <f>IFERROR(__xludf.DUMMYFUNCTION("""COMPUTED_VALUE"""),"-")</f>
        <v>-</v>
      </c>
      <c r="M367" s="19">
        <f>IFERROR(__xludf.DUMMYFUNCTION("""COMPUTED_VALUE"""),0.03988)</f>
        <v>0.03988</v>
      </c>
    </row>
    <row r="368">
      <c r="A368" s="12" t="s">
        <v>8258</v>
      </c>
      <c r="G368" s="19">
        <f>IFERROR(__xludf.DUMMYFUNCTION("SPLIT(A366, "" |"")"),364.0)</f>
        <v>364</v>
      </c>
      <c r="H368" s="19">
        <f>IFERROR(__xludf.DUMMYFUNCTION("""COMPUTED_VALUE"""),0.00204)</f>
        <v>0.00204</v>
      </c>
      <c r="I368" s="19" t="str">
        <f>IFERROR(__xludf.DUMMYFUNCTION("""COMPUTED_VALUE"""),"-")</f>
        <v>-</v>
      </c>
      <c r="J368" s="19">
        <f>IFERROR(__xludf.DUMMYFUNCTION("""COMPUTED_VALUE"""),0.00196)</f>
        <v>0.00196</v>
      </c>
      <c r="K368" s="19">
        <f>IFERROR(__xludf.DUMMYFUNCTION("""COMPUTED_VALUE"""),0.03648)</f>
        <v>0.03648</v>
      </c>
      <c r="L368" s="19" t="str">
        <f>IFERROR(__xludf.DUMMYFUNCTION("""COMPUTED_VALUE"""),"-")</f>
        <v>-</v>
      </c>
      <c r="M368" s="19">
        <f>IFERROR(__xludf.DUMMYFUNCTION("""COMPUTED_VALUE"""),0.03957)</f>
        <v>0.03957</v>
      </c>
    </row>
    <row r="369">
      <c r="A369" s="12" t="s">
        <v>8259</v>
      </c>
      <c r="G369" s="19">
        <f>IFERROR(__xludf.DUMMYFUNCTION("SPLIT(A367, "" |"")"),365.0)</f>
        <v>365</v>
      </c>
      <c r="H369" s="19">
        <f>IFERROR(__xludf.DUMMYFUNCTION("""COMPUTED_VALUE"""),0.00224)</f>
        <v>0.00224</v>
      </c>
      <c r="I369" s="19" t="str">
        <f>IFERROR(__xludf.DUMMYFUNCTION("""COMPUTED_VALUE"""),"-")</f>
        <v>-</v>
      </c>
      <c r="J369" s="19">
        <f>IFERROR(__xludf.DUMMYFUNCTION("""COMPUTED_VALUE"""),0.00196)</f>
        <v>0.00196</v>
      </c>
      <c r="K369" s="19">
        <f>IFERROR(__xludf.DUMMYFUNCTION("""COMPUTED_VALUE"""),0.03724)</f>
        <v>0.03724</v>
      </c>
      <c r="L369" s="19" t="str">
        <f>IFERROR(__xludf.DUMMYFUNCTION("""COMPUTED_VALUE"""),"-")</f>
        <v>-</v>
      </c>
      <c r="M369" s="19">
        <f>IFERROR(__xludf.DUMMYFUNCTION("""COMPUTED_VALUE"""),0.04052)</f>
        <v>0.04052</v>
      </c>
    </row>
    <row r="370">
      <c r="A370" s="12" t="s">
        <v>8260</v>
      </c>
      <c r="G370" s="19">
        <f>IFERROR(__xludf.DUMMYFUNCTION("SPLIT(A368, "" |"")"),366.0)</f>
        <v>366</v>
      </c>
      <c r="H370" s="19">
        <f>IFERROR(__xludf.DUMMYFUNCTION("""COMPUTED_VALUE"""),0.00224)</f>
        <v>0.00224</v>
      </c>
      <c r="I370" s="19" t="str">
        <f>IFERROR(__xludf.DUMMYFUNCTION("""COMPUTED_VALUE"""),"-")</f>
        <v>-</v>
      </c>
      <c r="J370" s="19">
        <f>IFERROR(__xludf.DUMMYFUNCTION("""COMPUTED_VALUE"""),0.00198)</f>
        <v>0.00198</v>
      </c>
      <c r="K370" s="19">
        <f>IFERROR(__xludf.DUMMYFUNCTION("""COMPUTED_VALUE"""),0.03971)</f>
        <v>0.03971</v>
      </c>
      <c r="L370" s="19" t="str">
        <f>IFERROR(__xludf.DUMMYFUNCTION("""COMPUTED_VALUE"""),"-")</f>
        <v>-</v>
      </c>
      <c r="M370" s="19">
        <f>IFERROR(__xludf.DUMMYFUNCTION("""COMPUTED_VALUE"""),0.03993)</f>
        <v>0.03993</v>
      </c>
    </row>
    <row r="371">
      <c r="A371" s="12" t="s">
        <v>8261</v>
      </c>
      <c r="G371" s="19">
        <f>IFERROR(__xludf.DUMMYFUNCTION("SPLIT(A369, "" |"")"),367.0)</f>
        <v>367</v>
      </c>
      <c r="H371" s="19">
        <f>IFERROR(__xludf.DUMMYFUNCTION("""COMPUTED_VALUE"""),0.00214)</f>
        <v>0.00214</v>
      </c>
      <c r="I371" s="19" t="str">
        <f>IFERROR(__xludf.DUMMYFUNCTION("""COMPUTED_VALUE"""),"-")</f>
        <v>-</v>
      </c>
      <c r="J371" s="19">
        <f>IFERROR(__xludf.DUMMYFUNCTION("""COMPUTED_VALUE"""),0.00197)</f>
        <v>0.00197</v>
      </c>
      <c r="K371" s="19">
        <f>IFERROR(__xludf.DUMMYFUNCTION("""COMPUTED_VALUE"""),0.0397)</f>
        <v>0.0397</v>
      </c>
      <c r="L371" s="19" t="str">
        <f>IFERROR(__xludf.DUMMYFUNCTION("""COMPUTED_VALUE"""),"-")</f>
        <v>-</v>
      </c>
      <c r="M371" s="19">
        <f>IFERROR(__xludf.DUMMYFUNCTION("""COMPUTED_VALUE"""),0.03803)</f>
        <v>0.03803</v>
      </c>
    </row>
    <row r="372">
      <c r="A372" s="12" t="s">
        <v>8262</v>
      </c>
      <c r="G372" s="19">
        <f>IFERROR(__xludf.DUMMYFUNCTION("SPLIT(A370, "" |"")"),368.0)</f>
        <v>368</v>
      </c>
      <c r="H372" s="19">
        <f>IFERROR(__xludf.DUMMYFUNCTION("""COMPUTED_VALUE"""),0.00201)</f>
        <v>0.00201</v>
      </c>
      <c r="I372" s="19" t="str">
        <f>IFERROR(__xludf.DUMMYFUNCTION("""COMPUTED_VALUE"""),"-")</f>
        <v>-</v>
      </c>
      <c r="J372" s="19">
        <f>IFERROR(__xludf.DUMMYFUNCTION("""COMPUTED_VALUE"""),0.00185)</f>
        <v>0.00185</v>
      </c>
      <c r="K372" s="19">
        <f>IFERROR(__xludf.DUMMYFUNCTION("""COMPUTED_VALUE"""),0.03966)</f>
        <v>0.03966</v>
      </c>
      <c r="L372" s="19" t="str">
        <f>IFERROR(__xludf.DUMMYFUNCTION("""COMPUTED_VALUE"""),"-")</f>
        <v>-</v>
      </c>
      <c r="M372" s="19">
        <f>IFERROR(__xludf.DUMMYFUNCTION("""COMPUTED_VALUE"""),0.03985)</f>
        <v>0.03985</v>
      </c>
    </row>
    <row r="373">
      <c r="A373" s="12" t="s">
        <v>8263</v>
      </c>
      <c r="G373" s="19">
        <f>IFERROR(__xludf.DUMMYFUNCTION("SPLIT(A371, "" |"")"),369.0)</f>
        <v>369</v>
      </c>
      <c r="H373" s="19">
        <f>IFERROR(__xludf.DUMMYFUNCTION("""COMPUTED_VALUE"""),0.00198)</f>
        <v>0.00198</v>
      </c>
      <c r="I373" s="19" t="str">
        <f>IFERROR(__xludf.DUMMYFUNCTION("""COMPUTED_VALUE"""),"-")</f>
        <v>-</v>
      </c>
      <c r="J373" s="19">
        <f>IFERROR(__xludf.DUMMYFUNCTION("""COMPUTED_VALUE"""),0.00238)</f>
        <v>0.00238</v>
      </c>
      <c r="K373" s="19">
        <f>IFERROR(__xludf.DUMMYFUNCTION("""COMPUTED_VALUE"""),0.03723)</f>
        <v>0.03723</v>
      </c>
      <c r="L373" s="19" t="str">
        <f>IFERROR(__xludf.DUMMYFUNCTION("""COMPUTED_VALUE"""),"-")</f>
        <v>-</v>
      </c>
      <c r="M373" s="19">
        <f>IFERROR(__xludf.DUMMYFUNCTION("""COMPUTED_VALUE"""),0.03993)</f>
        <v>0.03993</v>
      </c>
    </row>
    <row r="374">
      <c r="A374" s="12" t="s">
        <v>8264</v>
      </c>
      <c r="G374" s="19">
        <f>IFERROR(__xludf.DUMMYFUNCTION("SPLIT(A372, "" |"")"),370.0)</f>
        <v>370</v>
      </c>
      <c r="H374" s="19">
        <f>IFERROR(__xludf.DUMMYFUNCTION("""COMPUTED_VALUE"""),0.00213)</f>
        <v>0.00213</v>
      </c>
      <c r="I374" s="19" t="str">
        <f>IFERROR(__xludf.DUMMYFUNCTION("""COMPUTED_VALUE"""),"-")</f>
        <v>-</v>
      </c>
      <c r="J374" s="19">
        <f>IFERROR(__xludf.DUMMYFUNCTION("""COMPUTED_VALUE"""),0.00192)</f>
        <v>0.00192</v>
      </c>
      <c r="K374" s="19">
        <f>IFERROR(__xludf.DUMMYFUNCTION("""COMPUTED_VALUE"""),0.03966)</f>
        <v>0.03966</v>
      </c>
      <c r="L374" s="19" t="str">
        <f>IFERROR(__xludf.DUMMYFUNCTION("""COMPUTED_VALUE"""),"-")</f>
        <v>-</v>
      </c>
      <c r="M374" s="19">
        <f>IFERROR(__xludf.DUMMYFUNCTION("""COMPUTED_VALUE"""),0.03979)</f>
        <v>0.03979</v>
      </c>
    </row>
    <row r="375">
      <c r="A375" s="12" t="s">
        <v>8265</v>
      </c>
      <c r="G375" s="19">
        <f>IFERROR(__xludf.DUMMYFUNCTION("SPLIT(A373, "" |"")"),371.0)</f>
        <v>371</v>
      </c>
      <c r="H375" s="19">
        <f>IFERROR(__xludf.DUMMYFUNCTION("""COMPUTED_VALUE"""),0.00202)</f>
        <v>0.00202</v>
      </c>
      <c r="I375" s="19" t="str">
        <f>IFERROR(__xludf.DUMMYFUNCTION("""COMPUTED_VALUE"""),"-")</f>
        <v>-</v>
      </c>
      <c r="J375" s="19">
        <f>IFERROR(__xludf.DUMMYFUNCTION("""COMPUTED_VALUE"""),0.00189)</f>
        <v>0.00189</v>
      </c>
      <c r="K375" s="19">
        <f>IFERROR(__xludf.DUMMYFUNCTION("""COMPUTED_VALUE"""),0.03993)</f>
        <v>0.03993</v>
      </c>
      <c r="L375" s="19" t="str">
        <f>IFERROR(__xludf.DUMMYFUNCTION("""COMPUTED_VALUE"""),"-")</f>
        <v>-</v>
      </c>
      <c r="M375" s="19">
        <f>IFERROR(__xludf.DUMMYFUNCTION("""COMPUTED_VALUE"""),0.0394)</f>
        <v>0.0394</v>
      </c>
    </row>
    <row r="376">
      <c r="A376" s="12" t="s">
        <v>8266</v>
      </c>
      <c r="G376" s="19">
        <f>IFERROR(__xludf.DUMMYFUNCTION("SPLIT(A374, "" |"")"),372.0)</f>
        <v>372</v>
      </c>
      <c r="H376" s="19">
        <f>IFERROR(__xludf.DUMMYFUNCTION("""COMPUTED_VALUE"""),0.00214)</f>
        <v>0.00214</v>
      </c>
      <c r="I376" s="19" t="str">
        <f>IFERROR(__xludf.DUMMYFUNCTION("""COMPUTED_VALUE"""),"-")</f>
        <v>-</v>
      </c>
      <c r="J376" s="19">
        <f>IFERROR(__xludf.DUMMYFUNCTION("""COMPUTED_VALUE"""),0.00189)</f>
        <v>0.00189</v>
      </c>
      <c r="K376" s="19">
        <f>IFERROR(__xludf.DUMMYFUNCTION("""COMPUTED_VALUE"""),0.03966)</f>
        <v>0.03966</v>
      </c>
      <c r="L376" s="19" t="str">
        <f>IFERROR(__xludf.DUMMYFUNCTION("""COMPUTED_VALUE"""),"-")</f>
        <v>-</v>
      </c>
      <c r="M376" s="19">
        <f>IFERROR(__xludf.DUMMYFUNCTION("""COMPUTED_VALUE"""),0.03984)</f>
        <v>0.03984</v>
      </c>
    </row>
    <row r="377">
      <c r="A377" s="12" t="s">
        <v>8267</v>
      </c>
      <c r="G377" s="19">
        <f>IFERROR(__xludf.DUMMYFUNCTION("SPLIT(A375, "" |"")"),373.0)</f>
        <v>373</v>
      </c>
      <c r="H377" s="19">
        <f>IFERROR(__xludf.DUMMYFUNCTION("""COMPUTED_VALUE"""),0.00205)</f>
        <v>0.00205</v>
      </c>
      <c r="I377" s="19" t="str">
        <f>IFERROR(__xludf.DUMMYFUNCTION("""COMPUTED_VALUE"""),"-")</f>
        <v>-</v>
      </c>
      <c r="J377" s="19">
        <f>IFERROR(__xludf.DUMMYFUNCTION("""COMPUTED_VALUE"""),0.00184)</f>
        <v>0.00184</v>
      </c>
      <c r="K377" s="19">
        <f>IFERROR(__xludf.DUMMYFUNCTION("""COMPUTED_VALUE"""),0.03957)</f>
        <v>0.03957</v>
      </c>
      <c r="L377" s="19" t="str">
        <f>IFERROR(__xludf.DUMMYFUNCTION("""COMPUTED_VALUE"""),"-")</f>
        <v>-</v>
      </c>
      <c r="M377" s="19">
        <f>IFERROR(__xludf.DUMMYFUNCTION("""COMPUTED_VALUE"""),0.03977)</f>
        <v>0.03977</v>
      </c>
    </row>
    <row r="378">
      <c r="A378" s="12" t="s">
        <v>8268</v>
      </c>
      <c r="G378" s="19">
        <f>IFERROR(__xludf.DUMMYFUNCTION("SPLIT(A376, "" |"")"),374.0)</f>
        <v>374</v>
      </c>
      <c r="H378" s="19">
        <f>IFERROR(__xludf.DUMMYFUNCTION("""COMPUTED_VALUE"""),0.00207)</f>
        <v>0.00207</v>
      </c>
      <c r="I378" s="19" t="str">
        <f>IFERROR(__xludf.DUMMYFUNCTION("""COMPUTED_VALUE"""),"-")</f>
        <v>-</v>
      </c>
      <c r="J378" s="19">
        <f>IFERROR(__xludf.DUMMYFUNCTION("""COMPUTED_VALUE"""),0.00192)</f>
        <v>0.00192</v>
      </c>
      <c r="K378" s="19">
        <f>IFERROR(__xludf.DUMMYFUNCTION("""COMPUTED_VALUE"""),0.03979)</f>
        <v>0.03979</v>
      </c>
      <c r="L378" s="19" t="str">
        <f>IFERROR(__xludf.DUMMYFUNCTION("""COMPUTED_VALUE"""),"-")</f>
        <v>-</v>
      </c>
      <c r="M378" s="19">
        <f>IFERROR(__xludf.DUMMYFUNCTION("""COMPUTED_VALUE"""),0.03988)</f>
        <v>0.03988</v>
      </c>
    </row>
    <row r="379">
      <c r="A379" s="12" t="s">
        <v>8269</v>
      </c>
      <c r="G379" s="19">
        <f>IFERROR(__xludf.DUMMYFUNCTION("SPLIT(A377, "" |"")"),375.0)</f>
        <v>375</v>
      </c>
      <c r="H379" s="19">
        <f>IFERROR(__xludf.DUMMYFUNCTION("""COMPUTED_VALUE"""),0.00212)</f>
        <v>0.00212</v>
      </c>
      <c r="I379" s="19" t="str">
        <f>IFERROR(__xludf.DUMMYFUNCTION("""COMPUTED_VALUE"""),"-")</f>
        <v>-</v>
      </c>
      <c r="J379" s="19">
        <f>IFERROR(__xludf.DUMMYFUNCTION("""COMPUTED_VALUE"""),0.00198)</f>
        <v>0.00198</v>
      </c>
      <c r="K379" s="19">
        <f>IFERROR(__xludf.DUMMYFUNCTION("""COMPUTED_VALUE"""),0.03974)</f>
        <v>0.03974</v>
      </c>
      <c r="L379" s="19" t="str">
        <f>IFERROR(__xludf.DUMMYFUNCTION("""COMPUTED_VALUE"""),"-")</f>
        <v>-</v>
      </c>
      <c r="M379" s="19">
        <f>IFERROR(__xludf.DUMMYFUNCTION("""COMPUTED_VALUE"""),0.03984)</f>
        <v>0.03984</v>
      </c>
    </row>
    <row r="380">
      <c r="A380" s="12" t="s">
        <v>8270</v>
      </c>
      <c r="G380" s="19">
        <f>IFERROR(__xludf.DUMMYFUNCTION("SPLIT(A378, "" |"")"),376.0)</f>
        <v>376</v>
      </c>
      <c r="H380" s="19">
        <f>IFERROR(__xludf.DUMMYFUNCTION("""COMPUTED_VALUE"""),0.00207)</f>
        <v>0.00207</v>
      </c>
      <c r="I380" s="19" t="str">
        <f>IFERROR(__xludf.DUMMYFUNCTION("""COMPUTED_VALUE"""),"-")</f>
        <v>-</v>
      </c>
      <c r="J380" s="19">
        <f>IFERROR(__xludf.DUMMYFUNCTION("""COMPUTED_VALUE"""),0.00195)</f>
        <v>0.00195</v>
      </c>
      <c r="K380" s="19">
        <f>IFERROR(__xludf.DUMMYFUNCTION("""COMPUTED_VALUE"""),0.03966)</f>
        <v>0.03966</v>
      </c>
      <c r="L380" s="19" t="str">
        <f>IFERROR(__xludf.DUMMYFUNCTION("""COMPUTED_VALUE"""),"-")</f>
        <v>-</v>
      </c>
      <c r="M380" s="19">
        <f>IFERROR(__xludf.DUMMYFUNCTION("""COMPUTED_VALUE"""),0.03977)</f>
        <v>0.03977</v>
      </c>
    </row>
    <row r="381">
      <c r="A381" s="12" t="s">
        <v>8271</v>
      </c>
      <c r="G381" s="19">
        <f>IFERROR(__xludf.DUMMYFUNCTION("SPLIT(A379, "" |"")"),377.0)</f>
        <v>377</v>
      </c>
      <c r="H381" s="19">
        <f>IFERROR(__xludf.DUMMYFUNCTION("""COMPUTED_VALUE"""),0.00212)</f>
        <v>0.00212</v>
      </c>
      <c r="I381" s="19" t="str">
        <f>IFERROR(__xludf.DUMMYFUNCTION("""COMPUTED_VALUE"""),"-")</f>
        <v>-</v>
      </c>
      <c r="J381" s="19">
        <f>IFERROR(__xludf.DUMMYFUNCTION("""COMPUTED_VALUE"""),0.00196)</f>
        <v>0.00196</v>
      </c>
      <c r="K381" s="19">
        <f>IFERROR(__xludf.DUMMYFUNCTION("""COMPUTED_VALUE"""),0.03895)</f>
        <v>0.03895</v>
      </c>
      <c r="L381" s="19" t="str">
        <f>IFERROR(__xludf.DUMMYFUNCTION("""COMPUTED_VALUE"""),"-")</f>
        <v>-</v>
      </c>
      <c r="M381" s="19">
        <f>IFERROR(__xludf.DUMMYFUNCTION("""COMPUTED_VALUE"""),0.03966)</f>
        <v>0.03966</v>
      </c>
    </row>
    <row r="382">
      <c r="A382" s="12" t="s">
        <v>8272</v>
      </c>
      <c r="G382" s="19">
        <f>IFERROR(__xludf.DUMMYFUNCTION("SPLIT(A380, "" |"")"),378.0)</f>
        <v>378</v>
      </c>
      <c r="H382" s="19">
        <f>IFERROR(__xludf.DUMMYFUNCTION("""COMPUTED_VALUE"""),0.00205)</f>
        <v>0.00205</v>
      </c>
      <c r="I382" s="19" t="str">
        <f>IFERROR(__xludf.DUMMYFUNCTION("""COMPUTED_VALUE"""),"-")</f>
        <v>-</v>
      </c>
      <c r="J382" s="19">
        <f>IFERROR(__xludf.DUMMYFUNCTION("""COMPUTED_VALUE"""),0.00184)</f>
        <v>0.00184</v>
      </c>
      <c r="K382" s="19">
        <f>IFERROR(__xludf.DUMMYFUNCTION("""COMPUTED_VALUE"""),0.03948)</f>
        <v>0.03948</v>
      </c>
      <c r="L382" s="19" t="str">
        <f>IFERROR(__xludf.DUMMYFUNCTION("""COMPUTED_VALUE"""),"-")</f>
        <v>-</v>
      </c>
      <c r="M382" s="19">
        <f>IFERROR(__xludf.DUMMYFUNCTION("""COMPUTED_VALUE"""),0.04038)</f>
        <v>0.04038</v>
      </c>
    </row>
    <row r="383">
      <c r="A383" s="12" t="s">
        <v>8273</v>
      </c>
      <c r="G383" s="19">
        <f>IFERROR(__xludf.DUMMYFUNCTION("SPLIT(A381, "" |"")"),379.0)</f>
        <v>379</v>
      </c>
      <c r="H383" s="19">
        <f>IFERROR(__xludf.DUMMYFUNCTION("""COMPUTED_VALUE"""),0.00219)</f>
        <v>0.00219</v>
      </c>
      <c r="I383" s="19" t="str">
        <f>IFERROR(__xludf.DUMMYFUNCTION("""COMPUTED_VALUE"""),"-")</f>
        <v>-</v>
      </c>
      <c r="J383" s="19">
        <f>IFERROR(__xludf.DUMMYFUNCTION("""COMPUTED_VALUE"""),0.002)</f>
        <v>0.002</v>
      </c>
      <c r="K383" s="19">
        <f>IFERROR(__xludf.DUMMYFUNCTION("""COMPUTED_VALUE"""),0.03832)</f>
        <v>0.03832</v>
      </c>
      <c r="L383" s="19" t="str">
        <f>IFERROR(__xludf.DUMMYFUNCTION("""COMPUTED_VALUE"""),"-")</f>
        <v>-</v>
      </c>
      <c r="M383" s="19">
        <f>IFERROR(__xludf.DUMMYFUNCTION("""COMPUTED_VALUE"""),0.04034)</f>
        <v>0.04034</v>
      </c>
    </row>
    <row r="384">
      <c r="A384" s="12" t="s">
        <v>8274</v>
      </c>
      <c r="G384" s="19">
        <f>IFERROR(__xludf.DUMMYFUNCTION("SPLIT(A382, "" |"")"),380.0)</f>
        <v>380</v>
      </c>
      <c r="H384" s="19">
        <f>IFERROR(__xludf.DUMMYFUNCTION("""COMPUTED_VALUE"""),0.00217)</f>
        <v>0.00217</v>
      </c>
      <c r="I384" s="19" t="str">
        <f>IFERROR(__xludf.DUMMYFUNCTION("""COMPUTED_VALUE"""),"-")</f>
        <v>-</v>
      </c>
      <c r="J384" s="19">
        <f>IFERROR(__xludf.DUMMYFUNCTION("""COMPUTED_VALUE"""),0.002)</f>
        <v>0.002</v>
      </c>
      <c r="K384" s="19">
        <f>IFERROR(__xludf.DUMMYFUNCTION("""COMPUTED_VALUE"""),0.03976)</f>
        <v>0.03976</v>
      </c>
      <c r="L384" s="19" t="str">
        <f>IFERROR(__xludf.DUMMYFUNCTION("""COMPUTED_VALUE"""),"-")</f>
        <v>-</v>
      </c>
      <c r="M384" s="19">
        <f>IFERROR(__xludf.DUMMYFUNCTION("""COMPUTED_VALUE"""),0.03993)</f>
        <v>0.03993</v>
      </c>
    </row>
    <row r="385">
      <c r="A385" s="12" t="s">
        <v>8275</v>
      </c>
      <c r="G385" s="19">
        <f>IFERROR(__xludf.DUMMYFUNCTION("SPLIT(A383, "" |"")"),381.0)</f>
        <v>381</v>
      </c>
      <c r="H385" s="19">
        <f>IFERROR(__xludf.DUMMYFUNCTION("""COMPUTED_VALUE"""),0.00213)</f>
        <v>0.00213</v>
      </c>
      <c r="I385" s="19" t="str">
        <f>IFERROR(__xludf.DUMMYFUNCTION("""COMPUTED_VALUE"""),"-")</f>
        <v>-</v>
      </c>
      <c r="J385" s="19">
        <f>IFERROR(__xludf.DUMMYFUNCTION("""COMPUTED_VALUE"""),0.00187)</f>
        <v>0.00187</v>
      </c>
      <c r="K385" s="19">
        <f>IFERROR(__xludf.DUMMYFUNCTION("""COMPUTED_VALUE"""),0.03963)</f>
        <v>0.03963</v>
      </c>
      <c r="L385" s="19" t="str">
        <f>IFERROR(__xludf.DUMMYFUNCTION("""COMPUTED_VALUE"""),"-")</f>
        <v>-</v>
      </c>
      <c r="M385" s="19">
        <f>IFERROR(__xludf.DUMMYFUNCTION("""COMPUTED_VALUE"""),0.03973)</f>
        <v>0.03973</v>
      </c>
    </row>
    <row r="386">
      <c r="A386" s="12" t="s">
        <v>8276</v>
      </c>
      <c r="G386" s="19">
        <f>IFERROR(__xludf.DUMMYFUNCTION("SPLIT(A384, "" |"")"),382.0)</f>
        <v>382</v>
      </c>
      <c r="H386" s="19">
        <f>IFERROR(__xludf.DUMMYFUNCTION("""COMPUTED_VALUE"""),0.00206)</f>
        <v>0.00206</v>
      </c>
      <c r="I386" s="19" t="str">
        <f>IFERROR(__xludf.DUMMYFUNCTION("""COMPUTED_VALUE"""),"-")</f>
        <v>-</v>
      </c>
      <c r="J386" s="19">
        <f>IFERROR(__xludf.DUMMYFUNCTION("""COMPUTED_VALUE"""),0.00196)</f>
        <v>0.00196</v>
      </c>
      <c r="K386" s="19">
        <f>IFERROR(__xludf.DUMMYFUNCTION("""COMPUTED_VALUE"""),0.03961)</f>
        <v>0.03961</v>
      </c>
      <c r="L386" s="19" t="str">
        <f>IFERROR(__xludf.DUMMYFUNCTION("""COMPUTED_VALUE"""),"-")</f>
        <v>-</v>
      </c>
      <c r="M386" s="19">
        <f>IFERROR(__xludf.DUMMYFUNCTION("""COMPUTED_VALUE"""),0.03986)</f>
        <v>0.03986</v>
      </c>
    </row>
    <row r="387">
      <c r="A387" s="12" t="s">
        <v>8277</v>
      </c>
      <c r="G387" s="19">
        <f>IFERROR(__xludf.DUMMYFUNCTION("SPLIT(A385, "" |"")"),383.0)</f>
        <v>383</v>
      </c>
      <c r="H387" s="19">
        <f>IFERROR(__xludf.DUMMYFUNCTION("""COMPUTED_VALUE"""),0.00226)</f>
        <v>0.00226</v>
      </c>
      <c r="I387" s="19" t="str">
        <f>IFERROR(__xludf.DUMMYFUNCTION("""COMPUTED_VALUE"""),"-")</f>
        <v>-</v>
      </c>
      <c r="J387" s="19">
        <f>IFERROR(__xludf.DUMMYFUNCTION("""COMPUTED_VALUE"""),0.00188)</f>
        <v>0.00188</v>
      </c>
      <c r="K387" s="19">
        <f>IFERROR(__xludf.DUMMYFUNCTION("""COMPUTED_VALUE"""),0.03582)</f>
        <v>0.03582</v>
      </c>
      <c r="L387" s="19" t="str">
        <f>IFERROR(__xludf.DUMMYFUNCTION("""COMPUTED_VALUE"""),"-")</f>
        <v>-</v>
      </c>
      <c r="M387" s="19">
        <f>IFERROR(__xludf.DUMMYFUNCTION("""COMPUTED_VALUE"""),0.04173)</f>
        <v>0.04173</v>
      </c>
    </row>
    <row r="388">
      <c r="A388" s="12" t="s">
        <v>8278</v>
      </c>
      <c r="G388" s="19">
        <f>IFERROR(__xludf.DUMMYFUNCTION("SPLIT(A386, "" |"")"),384.0)</f>
        <v>384</v>
      </c>
      <c r="H388" s="19">
        <f>IFERROR(__xludf.DUMMYFUNCTION("""COMPUTED_VALUE"""),0.00222)</f>
        <v>0.00222</v>
      </c>
      <c r="I388" s="19" t="str">
        <f>IFERROR(__xludf.DUMMYFUNCTION("""COMPUTED_VALUE"""),"-")</f>
        <v>-</v>
      </c>
      <c r="J388" s="19">
        <f>IFERROR(__xludf.DUMMYFUNCTION("""COMPUTED_VALUE"""),0.00185)</f>
        <v>0.00185</v>
      </c>
      <c r="K388" s="19">
        <f>IFERROR(__xludf.DUMMYFUNCTION("""COMPUTED_VALUE"""),0.03998)</f>
        <v>0.03998</v>
      </c>
      <c r="L388" s="19" t="str">
        <f>IFERROR(__xludf.DUMMYFUNCTION("""COMPUTED_VALUE"""),"-")</f>
        <v>-</v>
      </c>
      <c r="M388" s="19">
        <f>IFERROR(__xludf.DUMMYFUNCTION("""COMPUTED_VALUE"""),0.04007)</f>
        <v>0.04007</v>
      </c>
    </row>
    <row r="389">
      <c r="A389" s="12" t="s">
        <v>8279</v>
      </c>
      <c r="G389" s="19">
        <f>IFERROR(__xludf.DUMMYFUNCTION("SPLIT(A387, "" |"")"),385.0)</f>
        <v>385</v>
      </c>
      <c r="H389" s="19">
        <f>IFERROR(__xludf.DUMMYFUNCTION("""COMPUTED_VALUE"""),0.00226)</f>
        <v>0.00226</v>
      </c>
      <c r="I389" s="19" t="str">
        <f>IFERROR(__xludf.DUMMYFUNCTION("""COMPUTED_VALUE"""),"-")</f>
        <v>-</v>
      </c>
      <c r="J389" s="19">
        <f>IFERROR(__xludf.DUMMYFUNCTION("""COMPUTED_VALUE"""),0.00202)</f>
        <v>0.00202</v>
      </c>
      <c r="K389" s="19">
        <f>IFERROR(__xludf.DUMMYFUNCTION("""COMPUTED_VALUE"""),0.03972)</f>
        <v>0.03972</v>
      </c>
      <c r="L389" s="19" t="str">
        <f>IFERROR(__xludf.DUMMYFUNCTION("""COMPUTED_VALUE"""),"-")</f>
        <v>-</v>
      </c>
      <c r="M389" s="19">
        <f>IFERROR(__xludf.DUMMYFUNCTION("""COMPUTED_VALUE"""),0.04054)</f>
        <v>0.04054</v>
      </c>
    </row>
    <row r="390">
      <c r="A390" s="12" t="s">
        <v>8280</v>
      </c>
      <c r="G390" s="19">
        <f>IFERROR(__xludf.DUMMYFUNCTION("SPLIT(A388, "" |"")"),386.0)</f>
        <v>386</v>
      </c>
      <c r="H390" s="19">
        <f>IFERROR(__xludf.DUMMYFUNCTION("""COMPUTED_VALUE"""),0.0021)</f>
        <v>0.0021</v>
      </c>
      <c r="I390" s="19" t="str">
        <f>IFERROR(__xludf.DUMMYFUNCTION("""COMPUTED_VALUE"""),"-")</f>
        <v>-</v>
      </c>
      <c r="J390" s="19">
        <f>IFERROR(__xludf.DUMMYFUNCTION("""COMPUTED_VALUE"""),0.00191)</f>
        <v>0.00191</v>
      </c>
      <c r="K390" s="19">
        <f>IFERROR(__xludf.DUMMYFUNCTION("""COMPUTED_VALUE"""),0.03945)</f>
        <v>0.03945</v>
      </c>
      <c r="L390" s="19" t="str">
        <f>IFERROR(__xludf.DUMMYFUNCTION("""COMPUTED_VALUE"""),"-")</f>
        <v>-</v>
      </c>
      <c r="M390" s="19">
        <f>IFERROR(__xludf.DUMMYFUNCTION("""COMPUTED_VALUE"""),0.03708)</f>
        <v>0.03708</v>
      </c>
    </row>
    <row r="391">
      <c r="A391" s="12" t="s">
        <v>8281</v>
      </c>
      <c r="G391" s="19">
        <f>IFERROR(__xludf.DUMMYFUNCTION("SPLIT(A389, "" |"")"),387.0)</f>
        <v>387</v>
      </c>
      <c r="H391" s="19">
        <f>IFERROR(__xludf.DUMMYFUNCTION("""COMPUTED_VALUE"""),0.00255)</f>
        <v>0.00255</v>
      </c>
      <c r="I391" s="19" t="str">
        <f>IFERROR(__xludf.DUMMYFUNCTION("""COMPUTED_VALUE"""),"-")</f>
        <v>-</v>
      </c>
      <c r="J391" s="19">
        <f>IFERROR(__xludf.DUMMYFUNCTION("""COMPUTED_VALUE"""),0.00253)</f>
        <v>0.00253</v>
      </c>
      <c r="K391" s="19">
        <f>IFERROR(__xludf.DUMMYFUNCTION("""COMPUTED_VALUE"""),0.04017)</f>
        <v>0.04017</v>
      </c>
      <c r="L391" s="19" t="str">
        <f>IFERROR(__xludf.DUMMYFUNCTION("""COMPUTED_VALUE"""),"-")</f>
        <v>-</v>
      </c>
      <c r="M391" s="19">
        <f>IFERROR(__xludf.DUMMYFUNCTION("""COMPUTED_VALUE"""),0.04012)</f>
        <v>0.04012</v>
      </c>
    </row>
    <row r="392">
      <c r="A392" s="12" t="s">
        <v>8282</v>
      </c>
      <c r="G392" s="19">
        <f>IFERROR(__xludf.DUMMYFUNCTION("SPLIT(A390, "" |"")"),388.0)</f>
        <v>388</v>
      </c>
      <c r="H392" s="19">
        <f>IFERROR(__xludf.DUMMYFUNCTION("""COMPUTED_VALUE"""),0.00227)</f>
        <v>0.00227</v>
      </c>
      <c r="I392" s="19" t="str">
        <f>IFERROR(__xludf.DUMMYFUNCTION("""COMPUTED_VALUE"""),"-")</f>
        <v>-</v>
      </c>
      <c r="J392" s="19">
        <f>IFERROR(__xludf.DUMMYFUNCTION("""COMPUTED_VALUE"""),0.00208)</f>
        <v>0.00208</v>
      </c>
      <c r="K392" s="19">
        <f>IFERROR(__xludf.DUMMYFUNCTION("""COMPUTED_VALUE"""),0.03943)</f>
        <v>0.03943</v>
      </c>
      <c r="L392" s="19" t="str">
        <f>IFERROR(__xludf.DUMMYFUNCTION("""COMPUTED_VALUE"""),"-")</f>
        <v>-</v>
      </c>
      <c r="M392" s="19">
        <f>IFERROR(__xludf.DUMMYFUNCTION("""COMPUTED_VALUE"""),0.04014)</f>
        <v>0.04014</v>
      </c>
    </row>
    <row r="393">
      <c r="A393" s="12" t="s">
        <v>8283</v>
      </c>
      <c r="G393" s="19">
        <f>IFERROR(__xludf.DUMMYFUNCTION("SPLIT(A391, "" |"")"),389.0)</f>
        <v>389</v>
      </c>
      <c r="H393" s="19">
        <f>IFERROR(__xludf.DUMMYFUNCTION("""COMPUTED_VALUE"""),0.00239)</f>
        <v>0.00239</v>
      </c>
      <c r="I393" s="19" t="str">
        <f>IFERROR(__xludf.DUMMYFUNCTION("""COMPUTED_VALUE"""),"-")</f>
        <v>-</v>
      </c>
      <c r="J393" s="19">
        <f>IFERROR(__xludf.DUMMYFUNCTION("""COMPUTED_VALUE"""),0.00191)</f>
        <v>0.00191</v>
      </c>
      <c r="K393" s="19">
        <f>IFERROR(__xludf.DUMMYFUNCTION("""COMPUTED_VALUE"""),0.0402)</f>
        <v>0.0402</v>
      </c>
      <c r="L393" s="19" t="str">
        <f>IFERROR(__xludf.DUMMYFUNCTION("""COMPUTED_VALUE"""),"-")</f>
        <v>-</v>
      </c>
      <c r="M393" s="19">
        <f>IFERROR(__xludf.DUMMYFUNCTION("""COMPUTED_VALUE"""),0.04001)</f>
        <v>0.04001</v>
      </c>
    </row>
    <row r="394">
      <c r="A394" s="12" t="s">
        <v>8284</v>
      </c>
      <c r="G394" s="19">
        <f>IFERROR(__xludf.DUMMYFUNCTION("SPLIT(A392, "" |"")"),390.0)</f>
        <v>390</v>
      </c>
      <c r="H394" s="19">
        <f>IFERROR(__xludf.DUMMYFUNCTION("""COMPUTED_VALUE"""),0.00233)</f>
        <v>0.00233</v>
      </c>
      <c r="I394" s="19" t="str">
        <f>IFERROR(__xludf.DUMMYFUNCTION("""COMPUTED_VALUE"""),"-")</f>
        <v>-</v>
      </c>
      <c r="J394" s="19">
        <f>IFERROR(__xludf.DUMMYFUNCTION("""COMPUTED_VALUE"""),0.00205)</f>
        <v>0.00205</v>
      </c>
      <c r="K394" s="19">
        <f>IFERROR(__xludf.DUMMYFUNCTION("""COMPUTED_VALUE"""),0.03757)</f>
        <v>0.03757</v>
      </c>
      <c r="L394" s="19" t="str">
        <f>IFERROR(__xludf.DUMMYFUNCTION("""COMPUTED_VALUE"""),"-")</f>
        <v>-</v>
      </c>
      <c r="M394" s="19">
        <f>IFERROR(__xludf.DUMMYFUNCTION("""COMPUTED_VALUE"""),0.0371)</f>
        <v>0.0371</v>
      </c>
    </row>
    <row r="395">
      <c r="A395" s="12" t="s">
        <v>8285</v>
      </c>
      <c r="G395" s="19">
        <f>IFERROR(__xludf.DUMMYFUNCTION("SPLIT(A393, "" |"")"),391.0)</f>
        <v>391</v>
      </c>
      <c r="H395" s="19">
        <f>IFERROR(__xludf.DUMMYFUNCTION("""COMPUTED_VALUE"""),0.00219)</f>
        <v>0.00219</v>
      </c>
      <c r="I395" s="19" t="str">
        <f>IFERROR(__xludf.DUMMYFUNCTION("""COMPUTED_VALUE"""),"-")</f>
        <v>-</v>
      </c>
      <c r="J395" s="19">
        <f>IFERROR(__xludf.DUMMYFUNCTION("""COMPUTED_VALUE"""),0.00204)</f>
        <v>0.00204</v>
      </c>
      <c r="K395" s="19">
        <f>IFERROR(__xludf.DUMMYFUNCTION("""COMPUTED_VALUE"""),0.0397)</f>
        <v>0.0397</v>
      </c>
      <c r="L395" s="19" t="str">
        <f>IFERROR(__xludf.DUMMYFUNCTION("""COMPUTED_VALUE"""),"-")</f>
        <v>-</v>
      </c>
      <c r="M395" s="19">
        <f>IFERROR(__xludf.DUMMYFUNCTION("""COMPUTED_VALUE"""),0.04011)</f>
        <v>0.04011</v>
      </c>
    </row>
    <row r="396">
      <c r="A396" s="12" t="s">
        <v>8286</v>
      </c>
      <c r="G396" s="19">
        <f>IFERROR(__xludf.DUMMYFUNCTION("SPLIT(A394, "" |"")"),392.0)</f>
        <v>392</v>
      </c>
      <c r="H396" s="19">
        <f>IFERROR(__xludf.DUMMYFUNCTION("""COMPUTED_VALUE"""),0.00227)</f>
        <v>0.00227</v>
      </c>
      <c r="I396" s="19" t="str">
        <f>IFERROR(__xludf.DUMMYFUNCTION("""COMPUTED_VALUE"""),"-")</f>
        <v>-</v>
      </c>
      <c r="J396" s="19">
        <f>IFERROR(__xludf.DUMMYFUNCTION("""COMPUTED_VALUE"""),0.00203)</f>
        <v>0.00203</v>
      </c>
      <c r="K396" s="19">
        <f>IFERROR(__xludf.DUMMYFUNCTION("""COMPUTED_VALUE"""),0.03692)</f>
        <v>0.03692</v>
      </c>
      <c r="L396" s="19" t="str">
        <f>IFERROR(__xludf.DUMMYFUNCTION("""COMPUTED_VALUE"""),"-")</f>
        <v>-</v>
      </c>
      <c r="M396" s="19">
        <f>IFERROR(__xludf.DUMMYFUNCTION("""COMPUTED_VALUE"""),0.03775)</f>
        <v>0.03775</v>
      </c>
    </row>
    <row r="397">
      <c r="A397" s="12" t="s">
        <v>8287</v>
      </c>
      <c r="G397" s="19">
        <f>IFERROR(__xludf.DUMMYFUNCTION("SPLIT(A395, "" |"")"),393.0)</f>
        <v>393</v>
      </c>
      <c r="H397" s="19">
        <f>IFERROR(__xludf.DUMMYFUNCTION("""COMPUTED_VALUE"""),0.00269)</f>
        <v>0.00269</v>
      </c>
      <c r="I397" s="19" t="str">
        <f>IFERROR(__xludf.DUMMYFUNCTION("""COMPUTED_VALUE"""),"-")</f>
        <v>-</v>
      </c>
      <c r="J397" s="19">
        <f>IFERROR(__xludf.DUMMYFUNCTION("""COMPUTED_VALUE"""),0.00224)</f>
        <v>0.00224</v>
      </c>
      <c r="K397" s="19">
        <f>IFERROR(__xludf.DUMMYFUNCTION("""COMPUTED_VALUE"""),0.03743)</f>
        <v>0.03743</v>
      </c>
      <c r="L397" s="19" t="str">
        <f>IFERROR(__xludf.DUMMYFUNCTION("""COMPUTED_VALUE"""),"-")</f>
        <v>-</v>
      </c>
      <c r="M397" s="19">
        <f>IFERROR(__xludf.DUMMYFUNCTION("""COMPUTED_VALUE"""),0.03579)</f>
        <v>0.03579</v>
      </c>
    </row>
    <row r="398">
      <c r="A398" s="12" t="s">
        <v>8288</v>
      </c>
      <c r="G398" s="19">
        <f>IFERROR(__xludf.DUMMYFUNCTION("SPLIT(A396, "" |"")"),394.0)</f>
        <v>394</v>
      </c>
      <c r="H398" s="19">
        <f>IFERROR(__xludf.DUMMYFUNCTION("""COMPUTED_VALUE"""),0.00235)</f>
        <v>0.00235</v>
      </c>
      <c r="I398" s="19" t="str">
        <f>IFERROR(__xludf.DUMMYFUNCTION("""COMPUTED_VALUE"""),"-")</f>
        <v>-</v>
      </c>
      <c r="J398" s="19">
        <f>IFERROR(__xludf.DUMMYFUNCTION("""COMPUTED_VALUE"""),0.00194)</f>
        <v>0.00194</v>
      </c>
      <c r="K398" s="19">
        <f>IFERROR(__xludf.DUMMYFUNCTION("""COMPUTED_VALUE"""),0.03997)</f>
        <v>0.03997</v>
      </c>
      <c r="L398" s="19" t="str">
        <f>IFERROR(__xludf.DUMMYFUNCTION("""COMPUTED_VALUE"""),"-")</f>
        <v>-</v>
      </c>
      <c r="M398" s="19">
        <f>IFERROR(__xludf.DUMMYFUNCTION("""COMPUTED_VALUE"""),0.03888)</f>
        <v>0.03888</v>
      </c>
    </row>
    <row r="399">
      <c r="A399" s="12" t="s">
        <v>8289</v>
      </c>
      <c r="G399" s="19">
        <f>IFERROR(__xludf.DUMMYFUNCTION("SPLIT(A397, "" |"")"),395.0)</f>
        <v>395</v>
      </c>
      <c r="H399" s="19">
        <f>IFERROR(__xludf.DUMMYFUNCTION("""COMPUTED_VALUE"""),0.00231)</f>
        <v>0.00231</v>
      </c>
      <c r="I399" s="19" t="str">
        <f>IFERROR(__xludf.DUMMYFUNCTION("""COMPUTED_VALUE"""),"-")</f>
        <v>-</v>
      </c>
      <c r="J399" s="19">
        <f>IFERROR(__xludf.DUMMYFUNCTION("""COMPUTED_VALUE"""),0.00216)</f>
        <v>0.00216</v>
      </c>
      <c r="K399" s="19">
        <f>IFERROR(__xludf.DUMMYFUNCTION("""COMPUTED_VALUE"""),0.03744)</f>
        <v>0.03744</v>
      </c>
      <c r="L399" s="19" t="str">
        <f>IFERROR(__xludf.DUMMYFUNCTION("""COMPUTED_VALUE"""),"-")</f>
        <v>-</v>
      </c>
      <c r="M399" s="19">
        <f>IFERROR(__xludf.DUMMYFUNCTION("""COMPUTED_VALUE"""),0.04023)</f>
        <v>0.04023</v>
      </c>
    </row>
    <row r="400">
      <c r="A400" s="12" t="s">
        <v>8290</v>
      </c>
      <c r="G400" s="19">
        <f>IFERROR(__xludf.DUMMYFUNCTION("SPLIT(A398, "" |"")"),396.0)</f>
        <v>396</v>
      </c>
      <c r="H400" s="19">
        <f>IFERROR(__xludf.DUMMYFUNCTION("""COMPUTED_VALUE"""),0.00225)</f>
        <v>0.00225</v>
      </c>
      <c r="I400" s="19" t="str">
        <f>IFERROR(__xludf.DUMMYFUNCTION("""COMPUTED_VALUE"""),"-")</f>
        <v>-</v>
      </c>
      <c r="J400" s="19">
        <f>IFERROR(__xludf.DUMMYFUNCTION("""COMPUTED_VALUE"""),0.00201)</f>
        <v>0.00201</v>
      </c>
      <c r="K400" s="19">
        <f>IFERROR(__xludf.DUMMYFUNCTION("""COMPUTED_VALUE"""),0.03957)</f>
        <v>0.03957</v>
      </c>
      <c r="L400" s="19" t="str">
        <f>IFERROR(__xludf.DUMMYFUNCTION("""COMPUTED_VALUE"""),"-")</f>
        <v>-</v>
      </c>
      <c r="M400" s="19">
        <f>IFERROR(__xludf.DUMMYFUNCTION("""COMPUTED_VALUE"""),0.03978)</f>
        <v>0.03978</v>
      </c>
    </row>
    <row r="401">
      <c r="A401" s="12" t="s">
        <v>8291</v>
      </c>
      <c r="G401" s="19">
        <f>IFERROR(__xludf.DUMMYFUNCTION("SPLIT(A399, "" |"")"),397.0)</f>
        <v>397</v>
      </c>
      <c r="H401" s="19">
        <f>IFERROR(__xludf.DUMMYFUNCTION("""COMPUTED_VALUE"""),0.00202)</f>
        <v>0.00202</v>
      </c>
      <c r="I401" s="19" t="str">
        <f>IFERROR(__xludf.DUMMYFUNCTION("""COMPUTED_VALUE"""),"-")</f>
        <v>-</v>
      </c>
      <c r="J401" s="19">
        <f>IFERROR(__xludf.DUMMYFUNCTION("""COMPUTED_VALUE"""),0.00207)</f>
        <v>0.00207</v>
      </c>
      <c r="K401" s="19">
        <f>IFERROR(__xludf.DUMMYFUNCTION("""COMPUTED_VALUE"""),0.03987)</f>
        <v>0.03987</v>
      </c>
      <c r="L401" s="19" t="str">
        <f>IFERROR(__xludf.DUMMYFUNCTION("""COMPUTED_VALUE"""),"-")</f>
        <v>-</v>
      </c>
      <c r="M401" s="19">
        <f>IFERROR(__xludf.DUMMYFUNCTION("""COMPUTED_VALUE"""),0.03974)</f>
        <v>0.03974</v>
      </c>
    </row>
    <row r="402">
      <c r="A402" s="12" t="s">
        <v>8292</v>
      </c>
      <c r="G402" s="19">
        <f>IFERROR(__xludf.DUMMYFUNCTION("SPLIT(A400, "" |"")"),398.0)</f>
        <v>398</v>
      </c>
      <c r="H402" s="19">
        <f>IFERROR(__xludf.DUMMYFUNCTION("""COMPUTED_VALUE"""),0.00197)</f>
        <v>0.00197</v>
      </c>
      <c r="I402" s="19" t="str">
        <f>IFERROR(__xludf.DUMMYFUNCTION("""COMPUTED_VALUE"""),"-")</f>
        <v>-</v>
      </c>
      <c r="J402" s="19">
        <f>IFERROR(__xludf.DUMMYFUNCTION("""COMPUTED_VALUE"""),0.00198)</f>
        <v>0.00198</v>
      </c>
      <c r="K402" s="19">
        <f>IFERROR(__xludf.DUMMYFUNCTION("""COMPUTED_VALUE"""),0.03956)</f>
        <v>0.03956</v>
      </c>
      <c r="L402" s="19" t="str">
        <f>IFERROR(__xludf.DUMMYFUNCTION("""COMPUTED_VALUE"""),"-")</f>
        <v>-</v>
      </c>
      <c r="M402" s="19">
        <f>IFERROR(__xludf.DUMMYFUNCTION("""COMPUTED_VALUE"""),0.03664)</f>
        <v>0.03664</v>
      </c>
    </row>
    <row r="403">
      <c r="A403" s="12" t="s">
        <v>8293</v>
      </c>
      <c r="G403" s="19">
        <f>IFERROR(__xludf.DUMMYFUNCTION("SPLIT(A401, "" |"")"),399.0)</f>
        <v>399</v>
      </c>
      <c r="H403" s="19">
        <f>IFERROR(__xludf.DUMMYFUNCTION("""COMPUTED_VALUE"""),0.00213)</f>
        <v>0.00213</v>
      </c>
      <c r="I403" s="19" t="str">
        <f>IFERROR(__xludf.DUMMYFUNCTION("""COMPUTED_VALUE"""),"-")</f>
        <v>-</v>
      </c>
      <c r="J403" s="19">
        <f>IFERROR(__xludf.DUMMYFUNCTION("""COMPUTED_VALUE"""),0.00197)</f>
        <v>0.00197</v>
      </c>
      <c r="K403" s="19">
        <f>IFERROR(__xludf.DUMMYFUNCTION("""COMPUTED_VALUE"""),0.03728)</f>
        <v>0.03728</v>
      </c>
      <c r="L403" s="19" t="str">
        <f>IFERROR(__xludf.DUMMYFUNCTION("""COMPUTED_VALUE"""),"-")</f>
        <v>-</v>
      </c>
      <c r="M403" s="19">
        <f>IFERROR(__xludf.DUMMYFUNCTION("""COMPUTED_VALUE"""),0.04041)</f>
        <v>0.04041</v>
      </c>
    </row>
    <row r="404">
      <c r="A404" s="12" t="s">
        <v>8294</v>
      </c>
      <c r="G404" s="19">
        <f>IFERROR(__xludf.DUMMYFUNCTION("SPLIT(A402, "" |"")"),400.0)</f>
        <v>400</v>
      </c>
      <c r="H404" s="19">
        <f>IFERROR(__xludf.DUMMYFUNCTION("""COMPUTED_VALUE"""),0.00216)</f>
        <v>0.00216</v>
      </c>
      <c r="I404" s="19" t="str">
        <f>IFERROR(__xludf.DUMMYFUNCTION("""COMPUTED_VALUE"""),"-")</f>
        <v>-</v>
      </c>
      <c r="J404" s="19">
        <f>IFERROR(__xludf.DUMMYFUNCTION("""COMPUTED_VALUE"""),0.00184)</f>
        <v>0.00184</v>
      </c>
      <c r="K404" s="19">
        <f>IFERROR(__xludf.DUMMYFUNCTION("""COMPUTED_VALUE"""),0.0387)</f>
        <v>0.0387</v>
      </c>
      <c r="L404" s="19" t="str">
        <f>IFERROR(__xludf.DUMMYFUNCTION("""COMPUTED_VALUE"""),"-")</f>
        <v>-</v>
      </c>
      <c r="M404" s="19">
        <f>IFERROR(__xludf.DUMMYFUNCTION("""COMPUTED_VALUE"""),0.03986)</f>
        <v>0.03986</v>
      </c>
    </row>
    <row r="405">
      <c r="A405" s="12" t="s">
        <v>8295</v>
      </c>
      <c r="G405" s="19">
        <f>IFERROR(__xludf.DUMMYFUNCTION("SPLIT(A403, "" |"")"),401.0)</f>
        <v>401</v>
      </c>
      <c r="H405" s="19">
        <f>IFERROR(__xludf.DUMMYFUNCTION("""COMPUTED_VALUE"""),0.00211)</f>
        <v>0.00211</v>
      </c>
      <c r="I405" s="19" t="str">
        <f>IFERROR(__xludf.DUMMYFUNCTION("""COMPUTED_VALUE"""),"-")</f>
        <v>-</v>
      </c>
      <c r="J405" s="19">
        <f>IFERROR(__xludf.DUMMYFUNCTION("""COMPUTED_VALUE"""),0.00195)</f>
        <v>0.00195</v>
      </c>
      <c r="K405" s="19">
        <f>IFERROR(__xludf.DUMMYFUNCTION("""COMPUTED_VALUE"""),0.03973)</f>
        <v>0.03973</v>
      </c>
      <c r="L405" s="19" t="str">
        <f>IFERROR(__xludf.DUMMYFUNCTION("""COMPUTED_VALUE"""),"-")</f>
        <v>-</v>
      </c>
      <c r="M405" s="19">
        <f>IFERROR(__xludf.DUMMYFUNCTION("""COMPUTED_VALUE"""),0.03982)</f>
        <v>0.03982</v>
      </c>
    </row>
    <row r="406">
      <c r="A406" s="12" t="s">
        <v>8296</v>
      </c>
      <c r="G406" s="19">
        <f>IFERROR(__xludf.DUMMYFUNCTION("SPLIT(A404, "" |"")"),402.0)</f>
        <v>402</v>
      </c>
      <c r="H406" s="19">
        <f>IFERROR(__xludf.DUMMYFUNCTION("""COMPUTED_VALUE"""),0.0021)</f>
        <v>0.0021</v>
      </c>
      <c r="I406" s="19" t="str">
        <f>IFERROR(__xludf.DUMMYFUNCTION("""COMPUTED_VALUE"""),"-")</f>
        <v>-</v>
      </c>
      <c r="J406" s="19">
        <f>IFERROR(__xludf.DUMMYFUNCTION("""COMPUTED_VALUE"""),0.00187)</f>
        <v>0.00187</v>
      </c>
      <c r="K406" s="19">
        <f>IFERROR(__xludf.DUMMYFUNCTION("""COMPUTED_VALUE"""),0.03941)</f>
        <v>0.03941</v>
      </c>
      <c r="L406" s="19" t="str">
        <f>IFERROR(__xludf.DUMMYFUNCTION("""COMPUTED_VALUE"""),"-")</f>
        <v>-</v>
      </c>
      <c r="M406" s="19">
        <f>IFERROR(__xludf.DUMMYFUNCTION("""COMPUTED_VALUE"""),0.03978)</f>
        <v>0.03978</v>
      </c>
    </row>
    <row r="407">
      <c r="A407" s="12" t="s">
        <v>8297</v>
      </c>
      <c r="G407" s="19">
        <f>IFERROR(__xludf.DUMMYFUNCTION("SPLIT(A405, "" |"")"),403.0)</f>
        <v>403</v>
      </c>
      <c r="H407" s="19">
        <f>IFERROR(__xludf.DUMMYFUNCTION("""COMPUTED_VALUE"""),0.00215)</f>
        <v>0.00215</v>
      </c>
      <c r="I407" s="19" t="str">
        <f>IFERROR(__xludf.DUMMYFUNCTION("""COMPUTED_VALUE"""),"-")</f>
        <v>-</v>
      </c>
      <c r="J407" s="19">
        <f>IFERROR(__xludf.DUMMYFUNCTION("""COMPUTED_VALUE"""),0.00196)</f>
        <v>0.00196</v>
      </c>
      <c r="K407" s="19">
        <f>IFERROR(__xludf.DUMMYFUNCTION("""COMPUTED_VALUE"""),0.03972)</f>
        <v>0.03972</v>
      </c>
      <c r="L407" s="19" t="str">
        <f>IFERROR(__xludf.DUMMYFUNCTION("""COMPUTED_VALUE"""),"-")</f>
        <v>-</v>
      </c>
      <c r="M407" s="19">
        <f>IFERROR(__xludf.DUMMYFUNCTION("""COMPUTED_VALUE"""),0.03779)</f>
        <v>0.03779</v>
      </c>
    </row>
    <row r="408">
      <c r="A408" s="12" t="s">
        <v>8298</v>
      </c>
      <c r="G408" s="19">
        <f>IFERROR(__xludf.DUMMYFUNCTION("SPLIT(A406, "" |"")"),404.0)</f>
        <v>404</v>
      </c>
      <c r="H408" s="19">
        <f>IFERROR(__xludf.DUMMYFUNCTION("""COMPUTED_VALUE"""),0.00233)</f>
        <v>0.00233</v>
      </c>
      <c r="I408" s="19" t="str">
        <f>IFERROR(__xludf.DUMMYFUNCTION("""COMPUTED_VALUE"""),"-")</f>
        <v>-</v>
      </c>
      <c r="J408" s="19">
        <f>IFERROR(__xludf.DUMMYFUNCTION("""COMPUTED_VALUE"""),0.0019)</f>
        <v>0.0019</v>
      </c>
      <c r="K408" s="19">
        <f>IFERROR(__xludf.DUMMYFUNCTION("""COMPUTED_VALUE"""),0.03667)</f>
        <v>0.03667</v>
      </c>
      <c r="L408" s="19" t="str">
        <f>IFERROR(__xludf.DUMMYFUNCTION("""COMPUTED_VALUE"""),"-")</f>
        <v>-</v>
      </c>
      <c r="M408" s="19">
        <f>IFERROR(__xludf.DUMMYFUNCTION("""COMPUTED_VALUE"""),0.03685)</f>
        <v>0.03685</v>
      </c>
    </row>
    <row r="409">
      <c r="A409" s="12" t="s">
        <v>8299</v>
      </c>
      <c r="G409" s="19">
        <f>IFERROR(__xludf.DUMMYFUNCTION("SPLIT(A407, "" |"")"),405.0)</f>
        <v>405</v>
      </c>
      <c r="H409" s="19">
        <f>IFERROR(__xludf.DUMMYFUNCTION("""COMPUTED_VALUE"""),0.00235)</f>
        <v>0.00235</v>
      </c>
      <c r="I409" s="19" t="str">
        <f>IFERROR(__xludf.DUMMYFUNCTION("""COMPUTED_VALUE"""),"-")</f>
        <v>-</v>
      </c>
      <c r="J409" s="19">
        <f>IFERROR(__xludf.DUMMYFUNCTION("""COMPUTED_VALUE"""),0.00206)</f>
        <v>0.00206</v>
      </c>
      <c r="K409" s="19">
        <f>IFERROR(__xludf.DUMMYFUNCTION("""COMPUTED_VALUE"""),0.03988)</f>
        <v>0.03988</v>
      </c>
      <c r="L409" s="19" t="str">
        <f>IFERROR(__xludf.DUMMYFUNCTION("""COMPUTED_VALUE"""),"-")</f>
        <v>-</v>
      </c>
      <c r="M409" s="19">
        <f>IFERROR(__xludf.DUMMYFUNCTION("""COMPUTED_VALUE"""),0.04011)</f>
        <v>0.04011</v>
      </c>
    </row>
    <row r="410">
      <c r="A410" s="12" t="s">
        <v>8300</v>
      </c>
      <c r="G410" s="19">
        <f>IFERROR(__xludf.DUMMYFUNCTION("SPLIT(A408, "" |"")"),406.0)</f>
        <v>406</v>
      </c>
      <c r="H410" s="19">
        <f>IFERROR(__xludf.DUMMYFUNCTION("""COMPUTED_VALUE"""),0.00217)</f>
        <v>0.00217</v>
      </c>
      <c r="I410" s="19" t="str">
        <f>IFERROR(__xludf.DUMMYFUNCTION("""COMPUTED_VALUE"""),"-")</f>
        <v>-</v>
      </c>
      <c r="J410" s="19">
        <f>IFERROR(__xludf.DUMMYFUNCTION("""COMPUTED_VALUE"""),0.00247)</f>
        <v>0.00247</v>
      </c>
      <c r="K410" s="19">
        <f>IFERROR(__xludf.DUMMYFUNCTION("""COMPUTED_VALUE"""),0.04423)</f>
        <v>0.04423</v>
      </c>
      <c r="L410" s="19" t="str">
        <f>IFERROR(__xludf.DUMMYFUNCTION("""COMPUTED_VALUE"""),"-")</f>
        <v>-</v>
      </c>
      <c r="M410" s="19">
        <f>IFERROR(__xludf.DUMMYFUNCTION("""COMPUTED_VALUE"""),0.04002)</f>
        <v>0.04002</v>
      </c>
    </row>
    <row r="411">
      <c r="A411" s="12" t="s">
        <v>8301</v>
      </c>
      <c r="G411" s="19">
        <f>IFERROR(__xludf.DUMMYFUNCTION("SPLIT(A409, "" |"")"),407.0)</f>
        <v>407</v>
      </c>
      <c r="H411" s="19">
        <f>IFERROR(__xludf.DUMMYFUNCTION("""COMPUTED_VALUE"""),0.00263)</f>
        <v>0.00263</v>
      </c>
      <c r="I411" s="19" t="str">
        <f>IFERROR(__xludf.DUMMYFUNCTION("""COMPUTED_VALUE"""),"-")</f>
        <v>-</v>
      </c>
      <c r="J411" s="19">
        <f>IFERROR(__xludf.DUMMYFUNCTION("""COMPUTED_VALUE"""),0.00238)</f>
        <v>0.00238</v>
      </c>
      <c r="K411" s="19">
        <f>IFERROR(__xludf.DUMMYFUNCTION("""COMPUTED_VALUE"""),0.04014)</f>
        <v>0.04014</v>
      </c>
      <c r="L411" s="19" t="str">
        <f>IFERROR(__xludf.DUMMYFUNCTION("""COMPUTED_VALUE"""),"-")</f>
        <v>-</v>
      </c>
      <c r="M411" s="19">
        <f>IFERROR(__xludf.DUMMYFUNCTION("""COMPUTED_VALUE"""),0.04042)</f>
        <v>0.04042</v>
      </c>
    </row>
    <row r="412">
      <c r="A412" s="12" t="s">
        <v>8302</v>
      </c>
      <c r="G412" s="19">
        <f>IFERROR(__xludf.DUMMYFUNCTION("SPLIT(A410, "" |"")"),408.0)</f>
        <v>408</v>
      </c>
      <c r="H412" s="19">
        <f>IFERROR(__xludf.DUMMYFUNCTION("""COMPUTED_VALUE"""),0.00221)</f>
        <v>0.00221</v>
      </c>
      <c r="I412" s="19" t="str">
        <f>IFERROR(__xludf.DUMMYFUNCTION("""COMPUTED_VALUE"""),"-")</f>
        <v>-</v>
      </c>
      <c r="J412" s="19">
        <f>IFERROR(__xludf.DUMMYFUNCTION("""COMPUTED_VALUE"""),0.00235)</f>
        <v>0.00235</v>
      </c>
      <c r="K412" s="19">
        <f>IFERROR(__xludf.DUMMYFUNCTION("""COMPUTED_VALUE"""),0.03938)</f>
        <v>0.03938</v>
      </c>
      <c r="L412" s="19" t="str">
        <f>IFERROR(__xludf.DUMMYFUNCTION("""COMPUTED_VALUE"""),"-")</f>
        <v>-</v>
      </c>
      <c r="M412" s="19">
        <f>IFERROR(__xludf.DUMMYFUNCTION("""COMPUTED_VALUE"""),0.03845)</f>
        <v>0.03845</v>
      </c>
    </row>
    <row r="413">
      <c r="A413" s="12" t="s">
        <v>8303</v>
      </c>
      <c r="G413" s="19">
        <f>IFERROR(__xludf.DUMMYFUNCTION("SPLIT(A411, "" |"")"),409.0)</f>
        <v>409</v>
      </c>
      <c r="H413" s="19">
        <f>IFERROR(__xludf.DUMMYFUNCTION("""COMPUTED_VALUE"""),0.00219)</f>
        <v>0.00219</v>
      </c>
      <c r="I413" s="19" t="str">
        <f>IFERROR(__xludf.DUMMYFUNCTION("""COMPUTED_VALUE"""),"-")</f>
        <v>-</v>
      </c>
      <c r="J413" s="19">
        <f>IFERROR(__xludf.DUMMYFUNCTION("""COMPUTED_VALUE"""),0.0021)</f>
        <v>0.0021</v>
      </c>
      <c r="K413" s="19">
        <f>IFERROR(__xludf.DUMMYFUNCTION("""COMPUTED_VALUE"""),0.03988)</f>
        <v>0.03988</v>
      </c>
      <c r="L413" s="19" t="str">
        <f>IFERROR(__xludf.DUMMYFUNCTION("""COMPUTED_VALUE"""),"-")</f>
        <v>-</v>
      </c>
      <c r="M413" s="19">
        <f>IFERROR(__xludf.DUMMYFUNCTION("""COMPUTED_VALUE"""),0.03902)</f>
        <v>0.03902</v>
      </c>
    </row>
    <row r="414">
      <c r="A414" s="12" t="s">
        <v>8304</v>
      </c>
      <c r="G414" s="19">
        <f>IFERROR(__xludf.DUMMYFUNCTION("SPLIT(A412, "" |"")"),410.0)</f>
        <v>410</v>
      </c>
      <c r="H414" s="19">
        <f>IFERROR(__xludf.DUMMYFUNCTION("""COMPUTED_VALUE"""),0.00239)</f>
        <v>0.00239</v>
      </c>
      <c r="I414" s="19" t="str">
        <f>IFERROR(__xludf.DUMMYFUNCTION("""COMPUTED_VALUE"""),"-")</f>
        <v>-</v>
      </c>
      <c r="J414" s="19">
        <f>IFERROR(__xludf.DUMMYFUNCTION("""COMPUTED_VALUE"""),0.00227)</f>
        <v>0.00227</v>
      </c>
      <c r="K414" s="19">
        <f>IFERROR(__xludf.DUMMYFUNCTION("""COMPUTED_VALUE"""),0.03987)</f>
        <v>0.03987</v>
      </c>
      <c r="L414" s="19" t="str">
        <f>IFERROR(__xludf.DUMMYFUNCTION("""COMPUTED_VALUE"""),"-")</f>
        <v>-</v>
      </c>
      <c r="M414" s="19">
        <f>IFERROR(__xludf.DUMMYFUNCTION("""COMPUTED_VALUE"""),0.03841)</f>
        <v>0.03841</v>
      </c>
    </row>
    <row r="415">
      <c r="A415" s="12" t="s">
        <v>8305</v>
      </c>
      <c r="G415" s="19">
        <f>IFERROR(__xludf.DUMMYFUNCTION("SPLIT(A413, "" |"")"),411.0)</f>
        <v>411</v>
      </c>
      <c r="H415" s="19">
        <f>IFERROR(__xludf.DUMMYFUNCTION("""COMPUTED_VALUE"""),0.0022)</f>
        <v>0.0022</v>
      </c>
      <c r="I415" s="19" t="str">
        <f>IFERROR(__xludf.DUMMYFUNCTION("""COMPUTED_VALUE"""),"-")</f>
        <v>-</v>
      </c>
      <c r="J415" s="19">
        <f>IFERROR(__xludf.DUMMYFUNCTION("""COMPUTED_VALUE"""),0.00193)</f>
        <v>0.00193</v>
      </c>
      <c r="K415" s="19">
        <f>IFERROR(__xludf.DUMMYFUNCTION("""COMPUTED_VALUE"""),0.04024)</f>
        <v>0.04024</v>
      </c>
      <c r="L415" s="19" t="str">
        <f>IFERROR(__xludf.DUMMYFUNCTION("""COMPUTED_VALUE"""),"-")</f>
        <v>-</v>
      </c>
      <c r="M415" s="19">
        <f>IFERROR(__xludf.DUMMYFUNCTION("""COMPUTED_VALUE"""),0.03902)</f>
        <v>0.03902</v>
      </c>
    </row>
    <row r="416">
      <c r="A416" s="12" t="s">
        <v>8306</v>
      </c>
      <c r="G416" s="19">
        <f>IFERROR(__xludf.DUMMYFUNCTION("SPLIT(A414, "" |"")"),412.0)</f>
        <v>412</v>
      </c>
      <c r="H416" s="19">
        <f>IFERROR(__xludf.DUMMYFUNCTION("""COMPUTED_VALUE"""),0.0021)</f>
        <v>0.0021</v>
      </c>
      <c r="I416" s="19" t="str">
        <f>IFERROR(__xludf.DUMMYFUNCTION("""COMPUTED_VALUE"""),"-")</f>
        <v>-</v>
      </c>
      <c r="J416" s="19">
        <f>IFERROR(__xludf.DUMMYFUNCTION("""COMPUTED_VALUE"""),0.00198)</f>
        <v>0.00198</v>
      </c>
      <c r="K416" s="19">
        <f>IFERROR(__xludf.DUMMYFUNCTION("""COMPUTED_VALUE"""),0.03723)</f>
        <v>0.03723</v>
      </c>
      <c r="L416" s="19" t="str">
        <f>IFERROR(__xludf.DUMMYFUNCTION("""COMPUTED_VALUE"""),"-")</f>
        <v>-</v>
      </c>
      <c r="M416" s="19">
        <f>IFERROR(__xludf.DUMMYFUNCTION("""COMPUTED_VALUE"""),0.03338)</f>
        <v>0.03338</v>
      </c>
    </row>
    <row r="417">
      <c r="A417" s="12" t="s">
        <v>8307</v>
      </c>
      <c r="G417" s="19">
        <f>IFERROR(__xludf.DUMMYFUNCTION("SPLIT(A415, "" |"")"),413.0)</f>
        <v>413</v>
      </c>
      <c r="H417" s="19">
        <f>IFERROR(__xludf.DUMMYFUNCTION("""COMPUTED_VALUE"""),0.00215)</f>
        <v>0.00215</v>
      </c>
      <c r="I417" s="19" t="str">
        <f>IFERROR(__xludf.DUMMYFUNCTION("""COMPUTED_VALUE"""),"-")</f>
        <v>-</v>
      </c>
      <c r="J417" s="19">
        <f>IFERROR(__xludf.DUMMYFUNCTION("""COMPUTED_VALUE"""),0.00199)</f>
        <v>0.00199</v>
      </c>
      <c r="K417" s="19">
        <f>IFERROR(__xludf.DUMMYFUNCTION("""COMPUTED_VALUE"""),0.04011)</f>
        <v>0.04011</v>
      </c>
      <c r="L417" s="19" t="str">
        <f>IFERROR(__xludf.DUMMYFUNCTION("""COMPUTED_VALUE"""),"-")</f>
        <v>-</v>
      </c>
      <c r="M417" s="19">
        <f>IFERROR(__xludf.DUMMYFUNCTION("""COMPUTED_VALUE"""),0.03969)</f>
        <v>0.03969</v>
      </c>
    </row>
    <row r="418">
      <c r="A418" s="12" t="s">
        <v>8308</v>
      </c>
      <c r="G418" s="19">
        <f>IFERROR(__xludf.DUMMYFUNCTION("SPLIT(A416, "" |"")"),414.0)</f>
        <v>414</v>
      </c>
      <c r="H418" s="19">
        <f>IFERROR(__xludf.DUMMYFUNCTION("""COMPUTED_VALUE"""),0.00196)</f>
        <v>0.00196</v>
      </c>
      <c r="I418" s="19" t="str">
        <f>IFERROR(__xludf.DUMMYFUNCTION("""COMPUTED_VALUE"""),"-")</f>
        <v>-</v>
      </c>
      <c r="J418" s="19">
        <f>IFERROR(__xludf.DUMMYFUNCTION("""COMPUTED_VALUE"""),0.00196)</f>
        <v>0.00196</v>
      </c>
      <c r="K418" s="19">
        <f>IFERROR(__xludf.DUMMYFUNCTION("""COMPUTED_VALUE"""),0.03992)</f>
        <v>0.03992</v>
      </c>
      <c r="L418" s="19" t="str">
        <f>IFERROR(__xludf.DUMMYFUNCTION("""COMPUTED_VALUE"""),"-")</f>
        <v>-</v>
      </c>
      <c r="M418" s="19">
        <f>IFERROR(__xludf.DUMMYFUNCTION("""COMPUTED_VALUE"""),0.03904)</f>
        <v>0.03904</v>
      </c>
    </row>
    <row r="419">
      <c r="A419" s="12" t="s">
        <v>8309</v>
      </c>
      <c r="G419" s="19">
        <f>IFERROR(__xludf.DUMMYFUNCTION("SPLIT(A417, "" |"")"),415.0)</f>
        <v>415</v>
      </c>
      <c r="H419" s="19">
        <f>IFERROR(__xludf.DUMMYFUNCTION("""COMPUTED_VALUE"""),0.00211)</f>
        <v>0.00211</v>
      </c>
      <c r="I419" s="19" t="str">
        <f>IFERROR(__xludf.DUMMYFUNCTION("""COMPUTED_VALUE"""),"-")</f>
        <v>-</v>
      </c>
      <c r="J419" s="19">
        <f>IFERROR(__xludf.DUMMYFUNCTION("""COMPUTED_VALUE"""),0.00188)</f>
        <v>0.00188</v>
      </c>
      <c r="K419" s="19">
        <f>IFERROR(__xludf.DUMMYFUNCTION("""COMPUTED_VALUE"""),0.03956)</f>
        <v>0.03956</v>
      </c>
      <c r="L419" s="19" t="str">
        <f>IFERROR(__xludf.DUMMYFUNCTION("""COMPUTED_VALUE"""),"-")</f>
        <v>-</v>
      </c>
      <c r="M419" s="19">
        <f>IFERROR(__xludf.DUMMYFUNCTION("""COMPUTED_VALUE"""),0.03969)</f>
        <v>0.03969</v>
      </c>
    </row>
    <row r="420">
      <c r="A420" s="12" t="s">
        <v>8310</v>
      </c>
      <c r="G420" s="19">
        <f>IFERROR(__xludf.DUMMYFUNCTION("SPLIT(A418, "" |"")"),416.0)</f>
        <v>416</v>
      </c>
      <c r="H420" s="19">
        <f>IFERROR(__xludf.DUMMYFUNCTION("""COMPUTED_VALUE"""),0.00213)</f>
        <v>0.00213</v>
      </c>
      <c r="I420" s="19" t="str">
        <f>IFERROR(__xludf.DUMMYFUNCTION("""COMPUTED_VALUE"""),"-")</f>
        <v>-</v>
      </c>
      <c r="J420" s="19">
        <f>IFERROR(__xludf.DUMMYFUNCTION("""COMPUTED_VALUE"""),0.00195)</f>
        <v>0.00195</v>
      </c>
      <c r="K420" s="19">
        <f>IFERROR(__xludf.DUMMYFUNCTION("""COMPUTED_VALUE"""),0.03584)</f>
        <v>0.03584</v>
      </c>
      <c r="L420" s="19" t="str">
        <f>IFERROR(__xludf.DUMMYFUNCTION("""COMPUTED_VALUE"""),"-")</f>
        <v>-</v>
      </c>
      <c r="M420" s="19">
        <f>IFERROR(__xludf.DUMMYFUNCTION("""COMPUTED_VALUE"""),0.03514)</f>
        <v>0.03514</v>
      </c>
    </row>
    <row r="421">
      <c r="A421" s="12" t="s">
        <v>8311</v>
      </c>
      <c r="G421" s="19">
        <f>IFERROR(__xludf.DUMMYFUNCTION("SPLIT(A419, "" |"")"),417.0)</f>
        <v>417</v>
      </c>
      <c r="H421" s="19">
        <f>IFERROR(__xludf.DUMMYFUNCTION("""COMPUTED_VALUE"""),0.0023)</f>
        <v>0.0023</v>
      </c>
      <c r="I421" s="19" t="str">
        <f>IFERROR(__xludf.DUMMYFUNCTION("""COMPUTED_VALUE"""),"-")</f>
        <v>-</v>
      </c>
      <c r="J421" s="19">
        <f>IFERROR(__xludf.DUMMYFUNCTION("""COMPUTED_VALUE"""),0.00214)</f>
        <v>0.00214</v>
      </c>
      <c r="K421" s="19">
        <f>IFERROR(__xludf.DUMMYFUNCTION("""COMPUTED_VALUE"""),0.04005)</f>
        <v>0.04005</v>
      </c>
      <c r="L421" s="19" t="str">
        <f>IFERROR(__xludf.DUMMYFUNCTION("""COMPUTED_VALUE"""),"-")</f>
        <v>-</v>
      </c>
      <c r="M421" s="19">
        <f>IFERROR(__xludf.DUMMYFUNCTION("""COMPUTED_VALUE"""),0.03993)</f>
        <v>0.03993</v>
      </c>
    </row>
    <row r="422">
      <c r="A422" s="12" t="s">
        <v>8312</v>
      </c>
      <c r="G422" s="19">
        <f>IFERROR(__xludf.DUMMYFUNCTION("SPLIT(A420, "" |"")"),418.0)</f>
        <v>418</v>
      </c>
      <c r="H422" s="19">
        <f>IFERROR(__xludf.DUMMYFUNCTION("""COMPUTED_VALUE"""),0.00211)</f>
        <v>0.00211</v>
      </c>
      <c r="I422" s="19" t="str">
        <f>IFERROR(__xludf.DUMMYFUNCTION("""COMPUTED_VALUE"""),"-")</f>
        <v>-</v>
      </c>
      <c r="J422" s="19">
        <f>IFERROR(__xludf.DUMMYFUNCTION("""COMPUTED_VALUE"""),0.00195)</f>
        <v>0.00195</v>
      </c>
      <c r="K422" s="19">
        <f>IFERROR(__xludf.DUMMYFUNCTION("""COMPUTED_VALUE"""),0.03962)</f>
        <v>0.03962</v>
      </c>
      <c r="L422" s="19" t="str">
        <f>IFERROR(__xludf.DUMMYFUNCTION("""COMPUTED_VALUE"""),"-")</f>
        <v>-</v>
      </c>
      <c r="M422" s="19">
        <f>IFERROR(__xludf.DUMMYFUNCTION("""COMPUTED_VALUE"""),0.03759)</f>
        <v>0.03759</v>
      </c>
    </row>
    <row r="423">
      <c r="A423" s="12" t="s">
        <v>8313</v>
      </c>
      <c r="G423" s="19">
        <f>IFERROR(__xludf.DUMMYFUNCTION("SPLIT(A421, "" |"")"),419.0)</f>
        <v>419</v>
      </c>
      <c r="H423" s="19">
        <f>IFERROR(__xludf.DUMMYFUNCTION("""COMPUTED_VALUE"""),0.00218)</f>
        <v>0.00218</v>
      </c>
      <c r="I423" s="19" t="str">
        <f>IFERROR(__xludf.DUMMYFUNCTION("""COMPUTED_VALUE"""),"-")</f>
        <v>-</v>
      </c>
      <c r="J423" s="19">
        <f>IFERROR(__xludf.DUMMYFUNCTION("""COMPUTED_VALUE"""),0.00186)</f>
        <v>0.00186</v>
      </c>
      <c r="K423" s="19">
        <f>IFERROR(__xludf.DUMMYFUNCTION("""COMPUTED_VALUE"""),0.04004)</f>
        <v>0.04004</v>
      </c>
      <c r="L423" s="19" t="str">
        <f>IFERROR(__xludf.DUMMYFUNCTION("""COMPUTED_VALUE"""),"-")</f>
        <v>-</v>
      </c>
      <c r="M423" s="19">
        <f>IFERROR(__xludf.DUMMYFUNCTION("""COMPUTED_VALUE"""),0.03866)</f>
        <v>0.03866</v>
      </c>
    </row>
    <row r="424">
      <c r="A424" s="12" t="s">
        <v>8314</v>
      </c>
      <c r="G424" s="19">
        <f>IFERROR(__xludf.DUMMYFUNCTION("SPLIT(A422, "" |"")"),420.0)</f>
        <v>420</v>
      </c>
      <c r="H424" s="19">
        <f>IFERROR(__xludf.DUMMYFUNCTION("""COMPUTED_VALUE"""),0.00206)</f>
        <v>0.00206</v>
      </c>
      <c r="I424" s="19" t="str">
        <f>IFERROR(__xludf.DUMMYFUNCTION("""COMPUTED_VALUE"""),"-")</f>
        <v>-</v>
      </c>
      <c r="J424" s="19">
        <f>IFERROR(__xludf.DUMMYFUNCTION("""COMPUTED_VALUE"""),0.00186)</f>
        <v>0.00186</v>
      </c>
      <c r="K424" s="19">
        <f>IFERROR(__xludf.DUMMYFUNCTION("""COMPUTED_VALUE"""),0.03969)</f>
        <v>0.03969</v>
      </c>
      <c r="L424" s="19" t="str">
        <f>IFERROR(__xludf.DUMMYFUNCTION("""COMPUTED_VALUE"""),"-")</f>
        <v>-</v>
      </c>
      <c r="M424" s="19">
        <f>IFERROR(__xludf.DUMMYFUNCTION("""COMPUTED_VALUE"""),0.03984)</f>
        <v>0.03984</v>
      </c>
    </row>
    <row r="425">
      <c r="A425" s="12" t="s">
        <v>8315</v>
      </c>
      <c r="G425" s="19">
        <f>IFERROR(__xludf.DUMMYFUNCTION("SPLIT(A423, "" |"")"),421.0)</f>
        <v>421</v>
      </c>
      <c r="H425" s="19">
        <f>IFERROR(__xludf.DUMMYFUNCTION("""COMPUTED_VALUE"""),0.00208)</f>
        <v>0.00208</v>
      </c>
      <c r="I425" s="19" t="str">
        <f>IFERROR(__xludf.DUMMYFUNCTION("""COMPUTED_VALUE"""),"-")</f>
        <v>-</v>
      </c>
      <c r="J425" s="19">
        <f>IFERROR(__xludf.DUMMYFUNCTION("""COMPUTED_VALUE"""),0.00201)</f>
        <v>0.00201</v>
      </c>
      <c r="K425" s="19">
        <f>IFERROR(__xludf.DUMMYFUNCTION("""COMPUTED_VALUE"""),0.03961)</f>
        <v>0.03961</v>
      </c>
      <c r="L425" s="19" t="str">
        <f>IFERROR(__xludf.DUMMYFUNCTION("""COMPUTED_VALUE"""),"-")</f>
        <v>-</v>
      </c>
      <c r="M425" s="19">
        <f>IFERROR(__xludf.DUMMYFUNCTION("""COMPUTED_VALUE"""),0.03989)</f>
        <v>0.03989</v>
      </c>
    </row>
    <row r="426">
      <c r="A426" s="12" t="s">
        <v>8316</v>
      </c>
      <c r="G426" s="19">
        <f>IFERROR(__xludf.DUMMYFUNCTION("SPLIT(A424, "" |"")"),422.0)</f>
        <v>422</v>
      </c>
      <c r="H426" s="19">
        <f>IFERROR(__xludf.DUMMYFUNCTION("""COMPUTED_VALUE"""),0.00204)</f>
        <v>0.00204</v>
      </c>
      <c r="I426" s="19" t="str">
        <f>IFERROR(__xludf.DUMMYFUNCTION("""COMPUTED_VALUE"""),"-")</f>
        <v>-</v>
      </c>
      <c r="J426" s="19">
        <f>IFERROR(__xludf.DUMMYFUNCTION("""COMPUTED_VALUE"""),0.00194)</f>
        <v>0.00194</v>
      </c>
      <c r="K426" s="19">
        <f>IFERROR(__xludf.DUMMYFUNCTION("""COMPUTED_VALUE"""),0.03961)</f>
        <v>0.03961</v>
      </c>
      <c r="L426" s="19" t="str">
        <f>IFERROR(__xludf.DUMMYFUNCTION("""COMPUTED_VALUE"""),"-")</f>
        <v>-</v>
      </c>
      <c r="M426" s="19">
        <f>IFERROR(__xludf.DUMMYFUNCTION("""COMPUTED_VALUE"""),0.03996)</f>
        <v>0.03996</v>
      </c>
    </row>
    <row r="427">
      <c r="A427" s="12" t="s">
        <v>8317</v>
      </c>
      <c r="G427" s="19">
        <f>IFERROR(__xludf.DUMMYFUNCTION("SPLIT(A425, "" |"")"),423.0)</f>
        <v>423</v>
      </c>
      <c r="H427" s="19">
        <f>IFERROR(__xludf.DUMMYFUNCTION("""COMPUTED_VALUE"""),0.0022)</f>
        <v>0.0022</v>
      </c>
      <c r="I427" s="19" t="str">
        <f>IFERROR(__xludf.DUMMYFUNCTION("""COMPUTED_VALUE"""),"-")</f>
        <v>-</v>
      </c>
      <c r="J427" s="19">
        <f>IFERROR(__xludf.DUMMYFUNCTION("""COMPUTED_VALUE"""),0.00191)</f>
        <v>0.00191</v>
      </c>
      <c r="K427" s="19">
        <f>IFERROR(__xludf.DUMMYFUNCTION("""COMPUTED_VALUE"""),0.04017)</f>
        <v>0.04017</v>
      </c>
      <c r="L427" s="19" t="str">
        <f>IFERROR(__xludf.DUMMYFUNCTION("""COMPUTED_VALUE"""),"-")</f>
        <v>-</v>
      </c>
      <c r="M427" s="19">
        <f>IFERROR(__xludf.DUMMYFUNCTION("""COMPUTED_VALUE"""),0.03978)</f>
        <v>0.03978</v>
      </c>
    </row>
    <row r="428">
      <c r="A428" s="12" t="s">
        <v>8318</v>
      </c>
      <c r="G428" s="19">
        <f>IFERROR(__xludf.DUMMYFUNCTION("SPLIT(A426, "" |"")"),424.0)</f>
        <v>424</v>
      </c>
      <c r="H428" s="19">
        <f>IFERROR(__xludf.DUMMYFUNCTION("""COMPUTED_VALUE"""),0.00204)</f>
        <v>0.00204</v>
      </c>
      <c r="I428" s="19" t="str">
        <f>IFERROR(__xludf.DUMMYFUNCTION("""COMPUTED_VALUE"""),"-")</f>
        <v>-</v>
      </c>
      <c r="J428" s="19">
        <f>IFERROR(__xludf.DUMMYFUNCTION("""COMPUTED_VALUE"""),0.00187)</f>
        <v>0.00187</v>
      </c>
      <c r="K428" s="19">
        <f>IFERROR(__xludf.DUMMYFUNCTION("""COMPUTED_VALUE"""),0.03961)</f>
        <v>0.03961</v>
      </c>
      <c r="L428" s="19" t="str">
        <f>IFERROR(__xludf.DUMMYFUNCTION("""COMPUTED_VALUE"""),"-")</f>
        <v>-</v>
      </c>
      <c r="M428" s="19">
        <f>IFERROR(__xludf.DUMMYFUNCTION("""COMPUTED_VALUE"""),0.03973)</f>
        <v>0.03973</v>
      </c>
    </row>
    <row r="429">
      <c r="A429" s="12" t="s">
        <v>8319</v>
      </c>
      <c r="G429" s="19">
        <f>IFERROR(__xludf.DUMMYFUNCTION("SPLIT(A427, "" |"")"),425.0)</f>
        <v>425</v>
      </c>
      <c r="H429" s="19">
        <f>IFERROR(__xludf.DUMMYFUNCTION("""COMPUTED_VALUE"""),0.00227)</f>
        <v>0.00227</v>
      </c>
      <c r="I429" s="19" t="str">
        <f>IFERROR(__xludf.DUMMYFUNCTION("""COMPUTED_VALUE"""),"-")</f>
        <v>-</v>
      </c>
      <c r="J429" s="19">
        <f>IFERROR(__xludf.DUMMYFUNCTION("""COMPUTED_VALUE"""),0.00188)</f>
        <v>0.00188</v>
      </c>
      <c r="K429" s="19">
        <f>IFERROR(__xludf.DUMMYFUNCTION("""COMPUTED_VALUE"""),0.03969)</f>
        <v>0.03969</v>
      </c>
      <c r="L429" s="19" t="str">
        <f>IFERROR(__xludf.DUMMYFUNCTION("""COMPUTED_VALUE"""),"-")</f>
        <v>-</v>
      </c>
      <c r="M429" s="19">
        <f>IFERROR(__xludf.DUMMYFUNCTION("""COMPUTED_VALUE"""),0.03984)</f>
        <v>0.03984</v>
      </c>
    </row>
    <row r="430">
      <c r="A430" s="12" t="s">
        <v>8320</v>
      </c>
      <c r="G430" s="19">
        <f>IFERROR(__xludf.DUMMYFUNCTION("SPLIT(A428, "" |"")"),426.0)</f>
        <v>426</v>
      </c>
      <c r="H430" s="19">
        <f>IFERROR(__xludf.DUMMYFUNCTION("""COMPUTED_VALUE"""),0.0021)</f>
        <v>0.0021</v>
      </c>
      <c r="I430" s="19" t="str">
        <f>IFERROR(__xludf.DUMMYFUNCTION("""COMPUTED_VALUE"""),"-")</f>
        <v>-</v>
      </c>
      <c r="J430" s="19">
        <f>IFERROR(__xludf.DUMMYFUNCTION("""COMPUTED_VALUE"""),0.00196)</f>
        <v>0.00196</v>
      </c>
      <c r="K430" s="19">
        <f>IFERROR(__xludf.DUMMYFUNCTION("""COMPUTED_VALUE"""),0.03969)</f>
        <v>0.03969</v>
      </c>
      <c r="L430" s="19" t="str">
        <f>IFERROR(__xludf.DUMMYFUNCTION("""COMPUTED_VALUE"""),"-")</f>
        <v>-</v>
      </c>
      <c r="M430" s="19">
        <f>IFERROR(__xludf.DUMMYFUNCTION("""COMPUTED_VALUE"""),0.03969)</f>
        <v>0.03969</v>
      </c>
    </row>
    <row r="431">
      <c r="A431" s="12" t="s">
        <v>8321</v>
      </c>
      <c r="G431" s="19">
        <f>IFERROR(__xludf.DUMMYFUNCTION("SPLIT(A429, "" |"")"),427.0)</f>
        <v>427</v>
      </c>
      <c r="H431" s="19">
        <f>IFERROR(__xludf.DUMMYFUNCTION("""COMPUTED_VALUE"""),0.00213)</f>
        <v>0.00213</v>
      </c>
      <c r="I431" s="19" t="str">
        <f>IFERROR(__xludf.DUMMYFUNCTION("""COMPUTED_VALUE"""),"-")</f>
        <v>-</v>
      </c>
      <c r="J431" s="19">
        <f>IFERROR(__xludf.DUMMYFUNCTION("""COMPUTED_VALUE"""),0.00195)</f>
        <v>0.00195</v>
      </c>
      <c r="K431" s="19">
        <f>IFERROR(__xludf.DUMMYFUNCTION("""COMPUTED_VALUE"""),0.03993)</f>
        <v>0.03993</v>
      </c>
      <c r="L431" s="19" t="str">
        <f>IFERROR(__xludf.DUMMYFUNCTION("""COMPUTED_VALUE"""),"-")</f>
        <v>-</v>
      </c>
      <c r="M431" s="19">
        <f>IFERROR(__xludf.DUMMYFUNCTION("""COMPUTED_VALUE"""),0.03991)</f>
        <v>0.03991</v>
      </c>
    </row>
    <row r="432">
      <c r="A432" s="12" t="s">
        <v>8322</v>
      </c>
      <c r="G432" s="19">
        <f>IFERROR(__xludf.DUMMYFUNCTION("SPLIT(A430, "" |"")"),428.0)</f>
        <v>428</v>
      </c>
      <c r="H432" s="19">
        <f>IFERROR(__xludf.DUMMYFUNCTION("""COMPUTED_VALUE"""),0.00219)</f>
        <v>0.00219</v>
      </c>
      <c r="I432" s="19" t="str">
        <f>IFERROR(__xludf.DUMMYFUNCTION("""COMPUTED_VALUE"""),"-")</f>
        <v>-</v>
      </c>
      <c r="J432" s="19">
        <f>IFERROR(__xludf.DUMMYFUNCTION("""COMPUTED_VALUE"""),0.00194)</f>
        <v>0.00194</v>
      </c>
      <c r="K432" s="19">
        <f>IFERROR(__xludf.DUMMYFUNCTION("""COMPUTED_VALUE"""),0.03961)</f>
        <v>0.03961</v>
      </c>
      <c r="L432" s="19" t="str">
        <f>IFERROR(__xludf.DUMMYFUNCTION("""COMPUTED_VALUE"""),"-")</f>
        <v>-</v>
      </c>
      <c r="M432" s="19">
        <f>IFERROR(__xludf.DUMMYFUNCTION("""COMPUTED_VALUE"""),0.03988)</f>
        <v>0.03988</v>
      </c>
    </row>
    <row r="433">
      <c r="A433" s="12" t="s">
        <v>8323</v>
      </c>
      <c r="G433" s="19">
        <f>IFERROR(__xludf.DUMMYFUNCTION("SPLIT(A431, "" |"")"),429.0)</f>
        <v>429</v>
      </c>
      <c r="H433" s="19">
        <f>IFERROR(__xludf.DUMMYFUNCTION("""COMPUTED_VALUE"""),0.00208)</f>
        <v>0.00208</v>
      </c>
      <c r="I433" s="19" t="str">
        <f>IFERROR(__xludf.DUMMYFUNCTION("""COMPUTED_VALUE"""),"-")</f>
        <v>-</v>
      </c>
      <c r="J433" s="19">
        <f>IFERROR(__xludf.DUMMYFUNCTION("""COMPUTED_VALUE"""),0.00186)</f>
        <v>0.00186</v>
      </c>
      <c r="K433" s="19">
        <f>IFERROR(__xludf.DUMMYFUNCTION("""COMPUTED_VALUE"""),0.03962)</f>
        <v>0.03962</v>
      </c>
      <c r="L433" s="19" t="str">
        <f>IFERROR(__xludf.DUMMYFUNCTION("""COMPUTED_VALUE"""),"-")</f>
        <v>-</v>
      </c>
      <c r="M433" s="19">
        <f>IFERROR(__xludf.DUMMYFUNCTION("""COMPUTED_VALUE"""),0.0397)</f>
        <v>0.0397</v>
      </c>
    </row>
    <row r="434">
      <c r="A434" s="12" t="s">
        <v>8324</v>
      </c>
      <c r="G434" s="19">
        <f>IFERROR(__xludf.DUMMYFUNCTION("SPLIT(A432, "" |"")"),430.0)</f>
        <v>430</v>
      </c>
      <c r="H434" s="19">
        <f>IFERROR(__xludf.DUMMYFUNCTION("""COMPUTED_VALUE"""),0.00203)</f>
        <v>0.00203</v>
      </c>
      <c r="I434" s="19" t="str">
        <f>IFERROR(__xludf.DUMMYFUNCTION("""COMPUTED_VALUE"""),"-")</f>
        <v>-</v>
      </c>
      <c r="J434" s="19">
        <f>IFERROR(__xludf.DUMMYFUNCTION("""COMPUTED_VALUE"""),0.00197)</f>
        <v>0.00197</v>
      </c>
      <c r="K434" s="19">
        <f>IFERROR(__xludf.DUMMYFUNCTION("""COMPUTED_VALUE"""),0.03971)</f>
        <v>0.03971</v>
      </c>
      <c r="L434" s="19" t="str">
        <f>IFERROR(__xludf.DUMMYFUNCTION("""COMPUTED_VALUE"""),"-")</f>
        <v>-</v>
      </c>
      <c r="M434" s="19">
        <f>IFERROR(__xludf.DUMMYFUNCTION("""COMPUTED_VALUE"""),0.03996)</f>
        <v>0.03996</v>
      </c>
    </row>
    <row r="435">
      <c r="A435" s="12" t="s">
        <v>8325</v>
      </c>
      <c r="G435" s="19">
        <f>IFERROR(__xludf.DUMMYFUNCTION("SPLIT(A433, "" |"")"),431.0)</f>
        <v>431</v>
      </c>
      <c r="H435" s="19">
        <f>IFERROR(__xludf.DUMMYFUNCTION("""COMPUTED_VALUE"""),0.00208)</f>
        <v>0.00208</v>
      </c>
      <c r="I435" s="19" t="str">
        <f>IFERROR(__xludf.DUMMYFUNCTION("""COMPUTED_VALUE"""),"-")</f>
        <v>-</v>
      </c>
      <c r="J435" s="19">
        <f>IFERROR(__xludf.DUMMYFUNCTION("""COMPUTED_VALUE"""),0.00198)</f>
        <v>0.00198</v>
      </c>
      <c r="K435" s="19">
        <f>IFERROR(__xludf.DUMMYFUNCTION("""COMPUTED_VALUE"""),0.03953)</f>
        <v>0.03953</v>
      </c>
      <c r="L435" s="19" t="str">
        <f>IFERROR(__xludf.DUMMYFUNCTION("""COMPUTED_VALUE"""),"-")</f>
        <v>-</v>
      </c>
      <c r="M435" s="19">
        <f>IFERROR(__xludf.DUMMYFUNCTION("""COMPUTED_VALUE"""),0.03983)</f>
        <v>0.03983</v>
      </c>
    </row>
    <row r="436">
      <c r="A436" s="12" t="s">
        <v>8326</v>
      </c>
      <c r="G436" s="19">
        <f>IFERROR(__xludf.DUMMYFUNCTION("SPLIT(A434, "" |"")"),432.0)</f>
        <v>432</v>
      </c>
      <c r="H436" s="19">
        <f>IFERROR(__xludf.DUMMYFUNCTION("""COMPUTED_VALUE"""),0.00214)</f>
        <v>0.00214</v>
      </c>
      <c r="I436" s="19" t="str">
        <f>IFERROR(__xludf.DUMMYFUNCTION("""COMPUTED_VALUE"""),"-")</f>
        <v>-</v>
      </c>
      <c r="J436" s="19">
        <f>IFERROR(__xludf.DUMMYFUNCTION("""COMPUTED_VALUE"""),0.00194)</f>
        <v>0.00194</v>
      </c>
      <c r="K436" s="19">
        <f>IFERROR(__xludf.DUMMYFUNCTION("""COMPUTED_VALUE"""),0.03968)</f>
        <v>0.03968</v>
      </c>
      <c r="L436" s="19" t="str">
        <f>IFERROR(__xludf.DUMMYFUNCTION("""COMPUTED_VALUE"""),"-")</f>
        <v>-</v>
      </c>
      <c r="M436" s="19">
        <f>IFERROR(__xludf.DUMMYFUNCTION("""COMPUTED_VALUE"""),0.03983)</f>
        <v>0.03983</v>
      </c>
    </row>
    <row r="437">
      <c r="A437" s="12" t="s">
        <v>8327</v>
      </c>
      <c r="G437" s="19">
        <f>IFERROR(__xludf.DUMMYFUNCTION("SPLIT(A435, "" |"")"),433.0)</f>
        <v>433</v>
      </c>
      <c r="H437" s="19">
        <f>IFERROR(__xludf.DUMMYFUNCTION("""COMPUTED_VALUE"""),0.00208)</f>
        <v>0.00208</v>
      </c>
      <c r="I437" s="19" t="str">
        <f>IFERROR(__xludf.DUMMYFUNCTION("""COMPUTED_VALUE"""),"-")</f>
        <v>-</v>
      </c>
      <c r="J437" s="19">
        <f>IFERROR(__xludf.DUMMYFUNCTION("""COMPUTED_VALUE"""),0.00183)</f>
        <v>0.00183</v>
      </c>
      <c r="K437" s="19">
        <f>IFERROR(__xludf.DUMMYFUNCTION("""COMPUTED_VALUE"""),0.03972)</f>
        <v>0.03972</v>
      </c>
      <c r="L437" s="19" t="str">
        <f>IFERROR(__xludf.DUMMYFUNCTION("""COMPUTED_VALUE"""),"-")</f>
        <v>-</v>
      </c>
      <c r="M437" s="19">
        <f>IFERROR(__xludf.DUMMYFUNCTION("""COMPUTED_VALUE"""),0.04019)</f>
        <v>0.04019</v>
      </c>
    </row>
    <row r="438">
      <c r="A438" s="12" t="s">
        <v>8328</v>
      </c>
      <c r="G438" s="19">
        <f>IFERROR(__xludf.DUMMYFUNCTION("SPLIT(A436, "" |"")"),434.0)</f>
        <v>434</v>
      </c>
      <c r="H438" s="19">
        <f>IFERROR(__xludf.DUMMYFUNCTION("""COMPUTED_VALUE"""),0.00194)</f>
        <v>0.00194</v>
      </c>
      <c r="I438" s="19" t="str">
        <f>IFERROR(__xludf.DUMMYFUNCTION("""COMPUTED_VALUE"""),"-")</f>
        <v>-</v>
      </c>
      <c r="J438" s="19">
        <f>IFERROR(__xludf.DUMMYFUNCTION("""COMPUTED_VALUE"""),0.00182)</f>
        <v>0.00182</v>
      </c>
      <c r="K438" s="19">
        <f>IFERROR(__xludf.DUMMYFUNCTION("""COMPUTED_VALUE"""),0.0396)</f>
        <v>0.0396</v>
      </c>
      <c r="L438" s="19" t="str">
        <f>IFERROR(__xludf.DUMMYFUNCTION("""COMPUTED_VALUE"""),"-")</f>
        <v>-</v>
      </c>
      <c r="M438" s="19">
        <f>IFERROR(__xludf.DUMMYFUNCTION("""COMPUTED_VALUE"""),0.04001)</f>
        <v>0.04001</v>
      </c>
    </row>
    <row r="439">
      <c r="A439" s="12" t="s">
        <v>8329</v>
      </c>
      <c r="G439" s="19">
        <f>IFERROR(__xludf.DUMMYFUNCTION("SPLIT(A437, "" |"")"),435.0)</f>
        <v>435</v>
      </c>
      <c r="H439" s="19">
        <f>IFERROR(__xludf.DUMMYFUNCTION("""COMPUTED_VALUE"""),0.00203)</f>
        <v>0.00203</v>
      </c>
      <c r="I439" s="19" t="str">
        <f>IFERROR(__xludf.DUMMYFUNCTION("""COMPUTED_VALUE"""),"-")</f>
        <v>-</v>
      </c>
      <c r="J439" s="19">
        <f>IFERROR(__xludf.DUMMYFUNCTION("""COMPUTED_VALUE"""),0.00192)</f>
        <v>0.00192</v>
      </c>
      <c r="K439" s="19">
        <f>IFERROR(__xludf.DUMMYFUNCTION("""COMPUTED_VALUE"""),0.03971)</f>
        <v>0.03971</v>
      </c>
      <c r="L439" s="19" t="str">
        <f>IFERROR(__xludf.DUMMYFUNCTION("""COMPUTED_VALUE"""),"-")</f>
        <v>-</v>
      </c>
      <c r="M439" s="19">
        <f>IFERROR(__xludf.DUMMYFUNCTION("""COMPUTED_VALUE"""),0.03986)</f>
        <v>0.03986</v>
      </c>
    </row>
    <row r="440">
      <c r="A440" s="12" t="s">
        <v>8330</v>
      </c>
      <c r="G440" s="19">
        <f>IFERROR(__xludf.DUMMYFUNCTION("SPLIT(A438, "" |"")"),436.0)</f>
        <v>436</v>
      </c>
      <c r="H440" s="19">
        <f>IFERROR(__xludf.DUMMYFUNCTION("""COMPUTED_VALUE"""),0.00217)</f>
        <v>0.00217</v>
      </c>
      <c r="I440" s="19" t="str">
        <f>IFERROR(__xludf.DUMMYFUNCTION("""COMPUTED_VALUE"""),"-")</f>
        <v>-</v>
      </c>
      <c r="J440" s="19">
        <f>IFERROR(__xludf.DUMMYFUNCTION("""COMPUTED_VALUE"""),0.00199)</f>
        <v>0.00199</v>
      </c>
      <c r="K440" s="19">
        <f>IFERROR(__xludf.DUMMYFUNCTION("""COMPUTED_VALUE"""),0.03971)</f>
        <v>0.03971</v>
      </c>
      <c r="L440" s="19" t="str">
        <f>IFERROR(__xludf.DUMMYFUNCTION("""COMPUTED_VALUE"""),"-")</f>
        <v>-</v>
      </c>
      <c r="M440" s="19">
        <f>IFERROR(__xludf.DUMMYFUNCTION("""COMPUTED_VALUE"""),0.03983)</f>
        <v>0.03983</v>
      </c>
    </row>
    <row r="441">
      <c r="A441" s="12" t="s">
        <v>8331</v>
      </c>
      <c r="G441" s="19">
        <f>IFERROR(__xludf.DUMMYFUNCTION("SPLIT(A439, "" |"")"),437.0)</f>
        <v>437</v>
      </c>
      <c r="H441" s="19">
        <f>IFERROR(__xludf.DUMMYFUNCTION("""COMPUTED_VALUE"""),0.00212)</f>
        <v>0.00212</v>
      </c>
      <c r="I441" s="19" t="str">
        <f>IFERROR(__xludf.DUMMYFUNCTION("""COMPUTED_VALUE"""),"-")</f>
        <v>-</v>
      </c>
      <c r="J441" s="19">
        <f>IFERROR(__xludf.DUMMYFUNCTION("""COMPUTED_VALUE"""),0.002)</f>
        <v>0.002</v>
      </c>
      <c r="K441" s="19">
        <f>IFERROR(__xludf.DUMMYFUNCTION("""COMPUTED_VALUE"""),0.03958)</f>
        <v>0.03958</v>
      </c>
      <c r="L441" s="19" t="str">
        <f>IFERROR(__xludf.DUMMYFUNCTION("""COMPUTED_VALUE"""),"-")</f>
        <v>-</v>
      </c>
      <c r="M441" s="19">
        <f>IFERROR(__xludf.DUMMYFUNCTION("""COMPUTED_VALUE"""),0.04015)</f>
        <v>0.04015</v>
      </c>
    </row>
    <row r="442">
      <c r="A442" s="12" t="s">
        <v>8332</v>
      </c>
      <c r="G442" s="19">
        <f>IFERROR(__xludf.DUMMYFUNCTION("SPLIT(A440, "" |"")"),438.0)</f>
        <v>438</v>
      </c>
      <c r="H442" s="19">
        <f>IFERROR(__xludf.DUMMYFUNCTION("""COMPUTED_VALUE"""),0.00211)</f>
        <v>0.00211</v>
      </c>
      <c r="I442" s="19" t="str">
        <f>IFERROR(__xludf.DUMMYFUNCTION("""COMPUTED_VALUE"""),"-")</f>
        <v>-</v>
      </c>
      <c r="J442" s="19">
        <f>IFERROR(__xludf.DUMMYFUNCTION("""COMPUTED_VALUE"""),0.00194)</f>
        <v>0.00194</v>
      </c>
      <c r="K442" s="19">
        <f>IFERROR(__xludf.DUMMYFUNCTION("""COMPUTED_VALUE"""),0.03661)</f>
        <v>0.03661</v>
      </c>
      <c r="L442" s="19" t="str">
        <f>IFERROR(__xludf.DUMMYFUNCTION("""COMPUTED_VALUE"""),"-")</f>
        <v>-</v>
      </c>
      <c r="M442" s="19">
        <f>IFERROR(__xludf.DUMMYFUNCTION("""COMPUTED_VALUE"""),0.04037)</f>
        <v>0.04037</v>
      </c>
    </row>
    <row r="443">
      <c r="A443" s="12" t="s">
        <v>8333</v>
      </c>
      <c r="G443" s="19">
        <f>IFERROR(__xludf.DUMMYFUNCTION("SPLIT(A441, "" |"")"),439.0)</f>
        <v>439</v>
      </c>
      <c r="H443" s="19">
        <f>IFERROR(__xludf.DUMMYFUNCTION("""COMPUTED_VALUE"""),0.00216)</f>
        <v>0.00216</v>
      </c>
      <c r="I443" s="19" t="str">
        <f>IFERROR(__xludf.DUMMYFUNCTION("""COMPUTED_VALUE"""),"-")</f>
        <v>-</v>
      </c>
      <c r="J443" s="19">
        <f>IFERROR(__xludf.DUMMYFUNCTION("""COMPUTED_VALUE"""),0.00206)</f>
        <v>0.00206</v>
      </c>
      <c r="K443" s="19">
        <f>IFERROR(__xludf.DUMMYFUNCTION("""COMPUTED_VALUE"""),0.03961)</f>
        <v>0.03961</v>
      </c>
      <c r="L443" s="19" t="str">
        <f>IFERROR(__xludf.DUMMYFUNCTION("""COMPUTED_VALUE"""),"-")</f>
        <v>-</v>
      </c>
      <c r="M443" s="19">
        <f>IFERROR(__xludf.DUMMYFUNCTION("""COMPUTED_VALUE"""),0.03972)</f>
        <v>0.03972</v>
      </c>
    </row>
    <row r="444">
      <c r="A444" s="12" t="s">
        <v>8334</v>
      </c>
      <c r="G444" s="19">
        <f>IFERROR(__xludf.DUMMYFUNCTION("SPLIT(A442, "" |"")"),440.0)</f>
        <v>440</v>
      </c>
      <c r="H444" s="19">
        <f>IFERROR(__xludf.DUMMYFUNCTION("""COMPUTED_VALUE"""),0.00208)</f>
        <v>0.00208</v>
      </c>
      <c r="I444" s="19" t="str">
        <f>IFERROR(__xludf.DUMMYFUNCTION("""COMPUTED_VALUE"""),"-")</f>
        <v>-</v>
      </c>
      <c r="J444" s="19">
        <f>IFERROR(__xludf.DUMMYFUNCTION("""COMPUTED_VALUE"""),0.00194)</f>
        <v>0.00194</v>
      </c>
      <c r="K444" s="19">
        <f>IFERROR(__xludf.DUMMYFUNCTION("""COMPUTED_VALUE"""),0.0383)</f>
        <v>0.0383</v>
      </c>
      <c r="L444" s="19" t="str">
        <f>IFERROR(__xludf.DUMMYFUNCTION("""COMPUTED_VALUE"""),"-")</f>
        <v>-</v>
      </c>
      <c r="M444" s="19">
        <f>IFERROR(__xludf.DUMMYFUNCTION("""COMPUTED_VALUE"""),0.0399)</f>
        <v>0.0399</v>
      </c>
    </row>
    <row r="445">
      <c r="A445" s="12" t="s">
        <v>8335</v>
      </c>
      <c r="G445" s="19">
        <f>IFERROR(__xludf.DUMMYFUNCTION("SPLIT(A443, "" |"")"),441.0)</f>
        <v>441</v>
      </c>
      <c r="H445" s="19">
        <f>IFERROR(__xludf.DUMMYFUNCTION("""COMPUTED_VALUE"""),0.00209)</f>
        <v>0.00209</v>
      </c>
      <c r="I445" s="19" t="str">
        <f>IFERROR(__xludf.DUMMYFUNCTION("""COMPUTED_VALUE"""),"-")</f>
        <v>-</v>
      </c>
      <c r="J445" s="19">
        <f>IFERROR(__xludf.DUMMYFUNCTION("""COMPUTED_VALUE"""),0.00194)</f>
        <v>0.00194</v>
      </c>
      <c r="K445" s="19">
        <f>IFERROR(__xludf.DUMMYFUNCTION("""COMPUTED_VALUE"""),0.03946)</f>
        <v>0.03946</v>
      </c>
      <c r="L445" s="19" t="str">
        <f>IFERROR(__xludf.DUMMYFUNCTION("""COMPUTED_VALUE"""),"-")</f>
        <v>-</v>
      </c>
      <c r="M445" s="19">
        <f>IFERROR(__xludf.DUMMYFUNCTION("""COMPUTED_VALUE"""),0.03686)</f>
        <v>0.03686</v>
      </c>
    </row>
    <row r="446">
      <c r="A446" s="12" t="s">
        <v>8336</v>
      </c>
      <c r="G446" s="19">
        <f>IFERROR(__xludf.DUMMYFUNCTION("SPLIT(A444, "" |"")"),442.0)</f>
        <v>442</v>
      </c>
      <c r="H446" s="19">
        <f>IFERROR(__xludf.DUMMYFUNCTION("""COMPUTED_VALUE"""),0.00212)</f>
        <v>0.00212</v>
      </c>
      <c r="I446" s="19" t="str">
        <f>IFERROR(__xludf.DUMMYFUNCTION("""COMPUTED_VALUE"""),"-")</f>
        <v>-</v>
      </c>
      <c r="J446" s="19">
        <f>IFERROR(__xludf.DUMMYFUNCTION("""COMPUTED_VALUE"""),0.00192)</f>
        <v>0.00192</v>
      </c>
      <c r="K446" s="19">
        <f>IFERROR(__xludf.DUMMYFUNCTION("""COMPUTED_VALUE"""),0.03656)</f>
        <v>0.03656</v>
      </c>
      <c r="L446" s="19" t="str">
        <f>IFERROR(__xludf.DUMMYFUNCTION("""COMPUTED_VALUE"""),"-")</f>
        <v>-</v>
      </c>
      <c r="M446" s="19">
        <f>IFERROR(__xludf.DUMMYFUNCTION("""COMPUTED_VALUE"""),0.03982)</f>
        <v>0.03982</v>
      </c>
    </row>
    <row r="447">
      <c r="A447" s="12" t="s">
        <v>8337</v>
      </c>
      <c r="G447" s="19">
        <f>IFERROR(__xludf.DUMMYFUNCTION("SPLIT(A445, "" |"")"),443.0)</f>
        <v>443</v>
      </c>
      <c r="H447" s="19">
        <f>IFERROR(__xludf.DUMMYFUNCTION("""COMPUTED_VALUE"""),0.002)</f>
        <v>0.002</v>
      </c>
      <c r="I447" s="19" t="str">
        <f>IFERROR(__xludf.DUMMYFUNCTION("""COMPUTED_VALUE"""),"-")</f>
        <v>-</v>
      </c>
      <c r="J447" s="19">
        <f>IFERROR(__xludf.DUMMYFUNCTION("""COMPUTED_VALUE"""),0.00187)</f>
        <v>0.00187</v>
      </c>
      <c r="K447" s="19">
        <f>IFERROR(__xludf.DUMMYFUNCTION("""COMPUTED_VALUE"""),0.0396)</f>
        <v>0.0396</v>
      </c>
      <c r="L447" s="19" t="str">
        <f>IFERROR(__xludf.DUMMYFUNCTION("""COMPUTED_VALUE"""),"-")</f>
        <v>-</v>
      </c>
      <c r="M447" s="19">
        <f>IFERROR(__xludf.DUMMYFUNCTION("""COMPUTED_VALUE"""),0.0382)</f>
        <v>0.0382</v>
      </c>
    </row>
    <row r="448">
      <c r="A448" s="12" t="s">
        <v>8338</v>
      </c>
      <c r="G448" s="19">
        <f>IFERROR(__xludf.DUMMYFUNCTION("SPLIT(A446, "" |"")"),444.0)</f>
        <v>444</v>
      </c>
      <c r="H448" s="19">
        <f>IFERROR(__xludf.DUMMYFUNCTION("""COMPUTED_VALUE"""),0.00207)</f>
        <v>0.00207</v>
      </c>
      <c r="I448" s="19" t="str">
        <f>IFERROR(__xludf.DUMMYFUNCTION("""COMPUTED_VALUE"""),"-")</f>
        <v>-</v>
      </c>
      <c r="J448" s="19">
        <f>IFERROR(__xludf.DUMMYFUNCTION("""COMPUTED_VALUE"""),0.00184)</f>
        <v>0.00184</v>
      </c>
      <c r="K448" s="19">
        <f>IFERROR(__xludf.DUMMYFUNCTION("""COMPUTED_VALUE"""),0.03939)</f>
        <v>0.03939</v>
      </c>
      <c r="L448" s="19" t="str">
        <f>IFERROR(__xludf.DUMMYFUNCTION("""COMPUTED_VALUE"""),"-")</f>
        <v>-</v>
      </c>
      <c r="M448" s="19">
        <f>IFERROR(__xludf.DUMMYFUNCTION("""COMPUTED_VALUE"""),0.03976)</f>
        <v>0.03976</v>
      </c>
    </row>
    <row r="449">
      <c r="A449" s="12" t="s">
        <v>8339</v>
      </c>
      <c r="G449" s="19">
        <f>IFERROR(__xludf.DUMMYFUNCTION("SPLIT(A447, "" |"")"),445.0)</f>
        <v>445</v>
      </c>
      <c r="H449" s="19">
        <f>IFERROR(__xludf.DUMMYFUNCTION("""COMPUTED_VALUE"""),0.00198)</f>
        <v>0.00198</v>
      </c>
      <c r="I449" s="19" t="str">
        <f>IFERROR(__xludf.DUMMYFUNCTION("""COMPUTED_VALUE"""),"-")</f>
        <v>-</v>
      </c>
      <c r="J449" s="19">
        <f>IFERROR(__xludf.DUMMYFUNCTION("""COMPUTED_VALUE"""),0.00184)</f>
        <v>0.00184</v>
      </c>
      <c r="K449" s="19">
        <f>IFERROR(__xludf.DUMMYFUNCTION("""COMPUTED_VALUE"""),0.03954)</f>
        <v>0.03954</v>
      </c>
      <c r="L449" s="19" t="str">
        <f>IFERROR(__xludf.DUMMYFUNCTION("""COMPUTED_VALUE"""),"-")</f>
        <v>-</v>
      </c>
      <c r="M449" s="19">
        <f>IFERROR(__xludf.DUMMYFUNCTION("""COMPUTED_VALUE"""),0.03981)</f>
        <v>0.03981</v>
      </c>
    </row>
    <row r="450">
      <c r="A450" s="12" t="s">
        <v>8340</v>
      </c>
      <c r="G450" s="19">
        <f>IFERROR(__xludf.DUMMYFUNCTION("SPLIT(A448, "" |"")"),446.0)</f>
        <v>446</v>
      </c>
      <c r="H450" s="19">
        <f>IFERROR(__xludf.DUMMYFUNCTION("""COMPUTED_VALUE"""),0.002)</f>
        <v>0.002</v>
      </c>
      <c r="I450" s="19" t="str">
        <f>IFERROR(__xludf.DUMMYFUNCTION("""COMPUTED_VALUE"""),"-")</f>
        <v>-</v>
      </c>
      <c r="J450" s="19">
        <f>IFERROR(__xludf.DUMMYFUNCTION("""COMPUTED_VALUE"""),0.00185)</f>
        <v>0.00185</v>
      </c>
      <c r="K450" s="19">
        <f>IFERROR(__xludf.DUMMYFUNCTION("""COMPUTED_VALUE"""),0.03774)</f>
        <v>0.03774</v>
      </c>
      <c r="L450" s="19" t="str">
        <f>IFERROR(__xludf.DUMMYFUNCTION("""COMPUTED_VALUE"""),"-")</f>
        <v>-</v>
      </c>
      <c r="M450" s="19">
        <f>IFERROR(__xludf.DUMMYFUNCTION("""COMPUTED_VALUE"""),0.03988)</f>
        <v>0.03988</v>
      </c>
    </row>
    <row r="451">
      <c r="A451" s="12" t="s">
        <v>8341</v>
      </c>
      <c r="G451" s="19">
        <f>IFERROR(__xludf.DUMMYFUNCTION("SPLIT(A449, "" |"")"),447.0)</f>
        <v>447</v>
      </c>
      <c r="H451" s="19">
        <f>IFERROR(__xludf.DUMMYFUNCTION("""COMPUTED_VALUE"""),0.00209)</f>
        <v>0.00209</v>
      </c>
      <c r="I451" s="19" t="str">
        <f>IFERROR(__xludf.DUMMYFUNCTION("""COMPUTED_VALUE"""),"-")</f>
        <v>-</v>
      </c>
      <c r="J451" s="19">
        <f>IFERROR(__xludf.DUMMYFUNCTION("""COMPUTED_VALUE"""),0.00194)</f>
        <v>0.00194</v>
      </c>
      <c r="K451" s="19">
        <f>IFERROR(__xludf.DUMMYFUNCTION("""COMPUTED_VALUE"""),0.03969)</f>
        <v>0.03969</v>
      </c>
      <c r="L451" s="19" t="str">
        <f>IFERROR(__xludf.DUMMYFUNCTION("""COMPUTED_VALUE"""),"-")</f>
        <v>-</v>
      </c>
      <c r="M451" s="19">
        <f>IFERROR(__xludf.DUMMYFUNCTION("""COMPUTED_VALUE"""),0.0392)</f>
        <v>0.0392</v>
      </c>
    </row>
    <row r="452">
      <c r="A452" s="12" t="s">
        <v>8342</v>
      </c>
      <c r="G452" s="19">
        <f>IFERROR(__xludf.DUMMYFUNCTION("SPLIT(A450, "" |"")"),448.0)</f>
        <v>448</v>
      </c>
      <c r="H452" s="19">
        <f>IFERROR(__xludf.DUMMYFUNCTION("""COMPUTED_VALUE"""),0.00196)</f>
        <v>0.00196</v>
      </c>
      <c r="I452" s="19" t="str">
        <f>IFERROR(__xludf.DUMMYFUNCTION("""COMPUTED_VALUE"""),"-")</f>
        <v>-</v>
      </c>
      <c r="J452" s="19">
        <f>IFERROR(__xludf.DUMMYFUNCTION("""COMPUTED_VALUE"""),0.00185)</f>
        <v>0.00185</v>
      </c>
      <c r="K452" s="19">
        <f>IFERROR(__xludf.DUMMYFUNCTION("""COMPUTED_VALUE"""),0.03771)</f>
        <v>0.03771</v>
      </c>
      <c r="L452" s="19" t="str">
        <f>IFERROR(__xludf.DUMMYFUNCTION("""COMPUTED_VALUE"""),"-")</f>
        <v>-</v>
      </c>
      <c r="M452" s="19">
        <f>IFERROR(__xludf.DUMMYFUNCTION("""COMPUTED_VALUE"""),0.04039)</f>
        <v>0.04039</v>
      </c>
    </row>
    <row r="453">
      <c r="A453" s="12" t="s">
        <v>8343</v>
      </c>
      <c r="G453" s="19">
        <f>IFERROR(__xludf.DUMMYFUNCTION("SPLIT(A451, "" |"")"),449.0)</f>
        <v>449</v>
      </c>
      <c r="H453" s="19">
        <f>IFERROR(__xludf.DUMMYFUNCTION("""COMPUTED_VALUE"""),0.00229)</f>
        <v>0.00229</v>
      </c>
      <c r="I453" s="19" t="str">
        <f>IFERROR(__xludf.DUMMYFUNCTION("""COMPUTED_VALUE"""),"-")</f>
        <v>-</v>
      </c>
      <c r="J453" s="19">
        <f>IFERROR(__xludf.DUMMYFUNCTION("""COMPUTED_VALUE"""),0.0021)</f>
        <v>0.0021</v>
      </c>
      <c r="K453" s="19">
        <f>IFERROR(__xludf.DUMMYFUNCTION("""COMPUTED_VALUE"""),0.03942)</f>
        <v>0.03942</v>
      </c>
      <c r="L453" s="19" t="str">
        <f>IFERROR(__xludf.DUMMYFUNCTION("""COMPUTED_VALUE"""),"-")</f>
        <v>-</v>
      </c>
      <c r="M453" s="19">
        <f>IFERROR(__xludf.DUMMYFUNCTION("""COMPUTED_VALUE"""),0.03771)</f>
        <v>0.03771</v>
      </c>
    </row>
    <row r="454">
      <c r="A454" s="12" t="s">
        <v>8344</v>
      </c>
      <c r="G454" s="19">
        <f>IFERROR(__xludf.DUMMYFUNCTION("SPLIT(A452, "" |"")"),450.0)</f>
        <v>450</v>
      </c>
      <c r="H454" s="19">
        <f>IFERROR(__xludf.DUMMYFUNCTION("""COMPUTED_VALUE"""),0.00215)</f>
        <v>0.00215</v>
      </c>
      <c r="I454" s="19" t="str">
        <f>IFERROR(__xludf.DUMMYFUNCTION("""COMPUTED_VALUE"""),"-")</f>
        <v>-</v>
      </c>
      <c r="J454" s="19">
        <f>IFERROR(__xludf.DUMMYFUNCTION("""COMPUTED_VALUE"""),0.002)</f>
        <v>0.002</v>
      </c>
      <c r="K454" s="19">
        <f>IFERROR(__xludf.DUMMYFUNCTION("""COMPUTED_VALUE"""),0.03973)</f>
        <v>0.03973</v>
      </c>
      <c r="L454" s="19" t="str">
        <f>IFERROR(__xludf.DUMMYFUNCTION("""COMPUTED_VALUE"""),"-")</f>
        <v>-</v>
      </c>
      <c r="M454" s="19">
        <f>IFERROR(__xludf.DUMMYFUNCTION("""COMPUTED_VALUE"""),0.03953)</f>
        <v>0.03953</v>
      </c>
    </row>
    <row r="455">
      <c r="A455" s="12" t="s">
        <v>8345</v>
      </c>
      <c r="G455" s="19">
        <f>IFERROR(__xludf.DUMMYFUNCTION("SPLIT(A453, "" |"")"),451.0)</f>
        <v>451</v>
      </c>
      <c r="H455" s="19">
        <f>IFERROR(__xludf.DUMMYFUNCTION("""COMPUTED_VALUE"""),0.00199)</f>
        <v>0.00199</v>
      </c>
      <c r="I455" s="19" t="str">
        <f>IFERROR(__xludf.DUMMYFUNCTION("""COMPUTED_VALUE"""),"-")</f>
        <v>-</v>
      </c>
      <c r="J455" s="19">
        <f>IFERROR(__xludf.DUMMYFUNCTION("""COMPUTED_VALUE"""),0.002)</f>
        <v>0.002</v>
      </c>
      <c r="K455" s="19">
        <f>IFERROR(__xludf.DUMMYFUNCTION("""COMPUTED_VALUE"""),0.03955)</f>
        <v>0.03955</v>
      </c>
      <c r="L455" s="19" t="str">
        <f>IFERROR(__xludf.DUMMYFUNCTION("""COMPUTED_VALUE"""),"-")</f>
        <v>-</v>
      </c>
      <c r="M455" s="19">
        <f>IFERROR(__xludf.DUMMYFUNCTION("""COMPUTED_VALUE"""),0.03977)</f>
        <v>0.03977</v>
      </c>
    </row>
    <row r="456">
      <c r="A456" s="12" t="s">
        <v>8346</v>
      </c>
      <c r="G456" s="19">
        <f>IFERROR(__xludf.DUMMYFUNCTION("SPLIT(A454, "" |"")"),452.0)</f>
        <v>452</v>
      </c>
      <c r="H456" s="19">
        <f>IFERROR(__xludf.DUMMYFUNCTION("""COMPUTED_VALUE"""),0.00201)</f>
        <v>0.00201</v>
      </c>
      <c r="I456" s="19" t="str">
        <f>IFERROR(__xludf.DUMMYFUNCTION("""COMPUTED_VALUE"""),"-")</f>
        <v>-</v>
      </c>
      <c r="J456" s="19">
        <f>IFERROR(__xludf.DUMMYFUNCTION("""COMPUTED_VALUE"""),0.00191)</f>
        <v>0.00191</v>
      </c>
      <c r="K456" s="19">
        <f>IFERROR(__xludf.DUMMYFUNCTION("""COMPUTED_VALUE"""),0.0397)</f>
        <v>0.0397</v>
      </c>
      <c r="L456" s="19" t="str">
        <f>IFERROR(__xludf.DUMMYFUNCTION("""COMPUTED_VALUE"""),"-")</f>
        <v>-</v>
      </c>
      <c r="M456" s="19">
        <f>IFERROR(__xludf.DUMMYFUNCTION("""COMPUTED_VALUE"""),0.03981)</f>
        <v>0.03981</v>
      </c>
    </row>
    <row r="457">
      <c r="A457" s="12" t="s">
        <v>8347</v>
      </c>
      <c r="G457" s="19">
        <f>IFERROR(__xludf.DUMMYFUNCTION("SPLIT(A455, "" |"")"),453.0)</f>
        <v>453</v>
      </c>
      <c r="H457" s="19">
        <f>IFERROR(__xludf.DUMMYFUNCTION("""COMPUTED_VALUE"""),0.00213)</f>
        <v>0.00213</v>
      </c>
      <c r="I457" s="19" t="str">
        <f>IFERROR(__xludf.DUMMYFUNCTION("""COMPUTED_VALUE"""),"-")</f>
        <v>-</v>
      </c>
      <c r="J457" s="19">
        <f>IFERROR(__xludf.DUMMYFUNCTION("""COMPUTED_VALUE"""),0.00195)</f>
        <v>0.00195</v>
      </c>
      <c r="K457" s="19">
        <f>IFERROR(__xludf.DUMMYFUNCTION("""COMPUTED_VALUE"""),0.03684)</f>
        <v>0.03684</v>
      </c>
      <c r="L457" s="19" t="str">
        <f>IFERROR(__xludf.DUMMYFUNCTION("""COMPUTED_VALUE"""),"-")</f>
        <v>-</v>
      </c>
      <c r="M457" s="19">
        <f>IFERROR(__xludf.DUMMYFUNCTION("""COMPUTED_VALUE"""),0.03682)</f>
        <v>0.03682</v>
      </c>
    </row>
    <row r="458">
      <c r="A458" s="12" t="s">
        <v>8348</v>
      </c>
      <c r="G458" s="19">
        <f>IFERROR(__xludf.DUMMYFUNCTION("SPLIT(A456, "" |"")"),454.0)</f>
        <v>454</v>
      </c>
      <c r="H458" s="19">
        <f>IFERROR(__xludf.DUMMYFUNCTION("""COMPUTED_VALUE"""),0.00221)</f>
        <v>0.00221</v>
      </c>
      <c r="I458" s="19" t="str">
        <f>IFERROR(__xludf.DUMMYFUNCTION("""COMPUTED_VALUE"""),"-")</f>
        <v>-</v>
      </c>
      <c r="J458" s="19">
        <f>IFERROR(__xludf.DUMMYFUNCTION("""COMPUTED_VALUE"""),0.00199)</f>
        <v>0.00199</v>
      </c>
      <c r="K458" s="19">
        <f>IFERROR(__xludf.DUMMYFUNCTION("""COMPUTED_VALUE"""),0.03965)</f>
        <v>0.03965</v>
      </c>
      <c r="L458" s="19" t="str">
        <f>IFERROR(__xludf.DUMMYFUNCTION("""COMPUTED_VALUE"""),"-")</f>
        <v>-</v>
      </c>
      <c r="M458" s="19">
        <f>IFERROR(__xludf.DUMMYFUNCTION("""COMPUTED_VALUE"""),0.03628)</f>
        <v>0.03628</v>
      </c>
    </row>
    <row r="459">
      <c r="A459" s="12" t="s">
        <v>8349</v>
      </c>
      <c r="G459" s="19">
        <f>IFERROR(__xludf.DUMMYFUNCTION("SPLIT(A457, "" |"")"),455.0)</f>
        <v>455</v>
      </c>
      <c r="H459" s="19">
        <f>IFERROR(__xludf.DUMMYFUNCTION("""COMPUTED_VALUE"""),0.00224)</f>
        <v>0.00224</v>
      </c>
      <c r="I459" s="19" t="str">
        <f>IFERROR(__xludf.DUMMYFUNCTION("""COMPUTED_VALUE"""),"-")</f>
        <v>-</v>
      </c>
      <c r="J459" s="19">
        <f>IFERROR(__xludf.DUMMYFUNCTION("""COMPUTED_VALUE"""),0.00199)</f>
        <v>0.00199</v>
      </c>
      <c r="K459" s="19">
        <f>IFERROR(__xludf.DUMMYFUNCTION("""COMPUTED_VALUE"""),0.03622)</f>
        <v>0.03622</v>
      </c>
      <c r="L459" s="19" t="str">
        <f>IFERROR(__xludf.DUMMYFUNCTION("""COMPUTED_VALUE"""),"-")</f>
        <v>-</v>
      </c>
      <c r="M459" s="19">
        <f>IFERROR(__xludf.DUMMYFUNCTION("""COMPUTED_VALUE"""),0.04032)</f>
        <v>0.04032</v>
      </c>
    </row>
    <row r="460">
      <c r="A460" s="12" t="s">
        <v>8350</v>
      </c>
      <c r="G460" s="19">
        <f>IFERROR(__xludf.DUMMYFUNCTION("SPLIT(A458, "" |"")"),456.0)</f>
        <v>456</v>
      </c>
      <c r="H460" s="19">
        <f>IFERROR(__xludf.DUMMYFUNCTION("""COMPUTED_VALUE"""),0.00226)</f>
        <v>0.00226</v>
      </c>
      <c r="I460" s="19" t="str">
        <f>IFERROR(__xludf.DUMMYFUNCTION("""COMPUTED_VALUE"""),"-")</f>
        <v>-</v>
      </c>
      <c r="J460" s="19">
        <f>IFERROR(__xludf.DUMMYFUNCTION("""COMPUTED_VALUE"""),0.00206)</f>
        <v>0.00206</v>
      </c>
      <c r="K460" s="19">
        <f>IFERROR(__xludf.DUMMYFUNCTION("""COMPUTED_VALUE"""),0.03976)</f>
        <v>0.03976</v>
      </c>
      <c r="L460" s="19" t="str">
        <f>IFERROR(__xludf.DUMMYFUNCTION("""COMPUTED_VALUE"""),"-")</f>
        <v>-</v>
      </c>
      <c r="M460" s="19">
        <f>IFERROR(__xludf.DUMMYFUNCTION("""COMPUTED_VALUE"""),0.03993)</f>
        <v>0.03993</v>
      </c>
    </row>
    <row r="461">
      <c r="A461" s="12" t="s">
        <v>8351</v>
      </c>
      <c r="G461" s="19">
        <f>IFERROR(__xludf.DUMMYFUNCTION("SPLIT(A459, "" |"")"),457.0)</f>
        <v>457</v>
      </c>
      <c r="H461" s="19">
        <f>IFERROR(__xludf.DUMMYFUNCTION("""COMPUTED_VALUE"""),0.00215)</f>
        <v>0.00215</v>
      </c>
      <c r="I461" s="19" t="str">
        <f>IFERROR(__xludf.DUMMYFUNCTION("""COMPUTED_VALUE"""),"-")</f>
        <v>-</v>
      </c>
      <c r="J461" s="19">
        <f>IFERROR(__xludf.DUMMYFUNCTION("""COMPUTED_VALUE"""),0.00214)</f>
        <v>0.00214</v>
      </c>
      <c r="K461" s="19">
        <f>IFERROR(__xludf.DUMMYFUNCTION("""COMPUTED_VALUE"""),0.03817)</f>
        <v>0.03817</v>
      </c>
      <c r="L461" s="19" t="str">
        <f>IFERROR(__xludf.DUMMYFUNCTION("""COMPUTED_VALUE"""),"-")</f>
        <v>-</v>
      </c>
      <c r="M461" s="19">
        <f>IFERROR(__xludf.DUMMYFUNCTION("""COMPUTED_VALUE"""),0.04042)</f>
        <v>0.04042</v>
      </c>
    </row>
    <row r="462">
      <c r="A462" s="12" t="s">
        <v>8352</v>
      </c>
      <c r="G462" s="19">
        <f>IFERROR(__xludf.DUMMYFUNCTION("SPLIT(A460, "" |"")"),458.0)</f>
        <v>458</v>
      </c>
      <c r="H462" s="19">
        <f>IFERROR(__xludf.DUMMYFUNCTION("""COMPUTED_VALUE"""),0.00218)</f>
        <v>0.00218</v>
      </c>
      <c r="I462" s="19" t="str">
        <f>IFERROR(__xludf.DUMMYFUNCTION("""COMPUTED_VALUE"""),"-")</f>
        <v>-</v>
      </c>
      <c r="J462" s="19">
        <f>IFERROR(__xludf.DUMMYFUNCTION("""COMPUTED_VALUE"""),0.002)</f>
        <v>0.002</v>
      </c>
      <c r="K462" s="19">
        <f>IFERROR(__xludf.DUMMYFUNCTION("""COMPUTED_VALUE"""),0.03887)</f>
        <v>0.03887</v>
      </c>
      <c r="L462" s="19" t="str">
        <f>IFERROR(__xludf.DUMMYFUNCTION("""COMPUTED_VALUE"""),"-")</f>
        <v>-</v>
      </c>
      <c r="M462" s="19">
        <f>IFERROR(__xludf.DUMMYFUNCTION("""COMPUTED_VALUE"""),0.03982)</f>
        <v>0.03982</v>
      </c>
    </row>
    <row r="463">
      <c r="A463" s="12" t="s">
        <v>8353</v>
      </c>
      <c r="G463" s="19">
        <f>IFERROR(__xludf.DUMMYFUNCTION("SPLIT(A461, "" |"")"),459.0)</f>
        <v>459</v>
      </c>
      <c r="H463" s="19">
        <f>IFERROR(__xludf.DUMMYFUNCTION("""COMPUTED_VALUE"""),0.00235)</f>
        <v>0.00235</v>
      </c>
      <c r="I463" s="19" t="str">
        <f>IFERROR(__xludf.DUMMYFUNCTION("""COMPUTED_VALUE"""),"-")</f>
        <v>-</v>
      </c>
      <c r="J463" s="19">
        <f>IFERROR(__xludf.DUMMYFUNCTION("""COMPUTED_VALUE"""),0.00213)</f>
        <v>0.00213</v>
      </c>
      <c r="K463" s="19">
        <f>IFERROR(__xludf.DUMMYFUNCTION("""COMPUTED_VALUE"""),0.03972)</f>
        <v>0.03972</v>
      </c>
      <c r="L463" s="19" t="str">
        <f>IFERROR(__xludf.DUMMYFUNCTION("""COMPUTED_VALUE"""),"-")</f>
        <v>-</v>
      </c>
      <c r="M463" s="19">
        <f>IFERROR(__xludf.DUMMYFUNCTION("""COMPUTED_VALUE"""),0.03993)</f>
        <v>0.03993</v>
      </c>
    </row>
    <row r="464">
      <c r="A464" s="12" t="s">
        <v>8354</v>
      </c>
      <c r="G464" s="19">
        <f>IFERROR(__xludf.DUMMYFUNCTION("SPLIT(A462, "" |"")"),460.0)</f>
        <v>460</v>
      </c>
      <c r="H464" s="19">
        <f>IFERROR(__xludf.DUMMYFUNCTION("""COMPUTED_VALUE"""),0.00208)</f>
        <v>0.00208</v>
      </c>
      <c r="I464" s="19" t="str">
        <f>IFERROR(__xludf.DUMMYFUNCTION("""COMPUTED_VALUE"""),"-")</f>
        <v>-</v>
      </c>
      <c r="J464" s="19">
        <f>IFERROR(__xludf.DUMMYFUNCTION("""COMPUTED_VALUE"""),0.00193)</f>
        <v>0.00193</v>
      </c>
      <c r="K464" s="19">
        <f>IFERROR(__xludf.DUMMYFUNCTION("""COMPUTED_VALUE"""),0.04009)</f>
        <v>0.04009</v>
      </c>
      <c r="L464" s="19" t="str">
        <f>IFERROR(__xludf.DUMMYFUNCTION("""COMPUTED_VALUE"""),"-")</f>
        <v>-</v>
      </c>
      <c r="M464" s="19">
        <f>IFERROR(__xludf.DUMMYFUNCTION("""COMPUTED_VALUE"""),0.04024)</f>
        <v>0.04024</v>
      </c>
    </row>
    <row r="465">
      <c r="A465" s="12" t="s">
        <v>8355</v>
      </c>
      <c r="G465" s="19">
        <f>IFERROR(__xludf.DUMMYFUNCTION("SPLIT(A463, "" |"")"),461.0)</f>
        <v>461</v>
      </c>
      <c r="H465" s="19">
        <f>IFERROR(__xludf.DUMMYFUNCTION("""COMPUTED_VALUE"""),0.00216)</f>
        <v>0.00216</v>
      </c>
      <c r="I465" s="19" t="str">
        <f>IFERROR(__xludf.DUMMYFUNCTION("""COMPUTED_VALUE"""),"-")</f>
        <v>-</v>
      </c>
      <c r="J465" s="19">
        <f>IFERROR(__xludf.DUMMYFUNCTION("""COMPUTED_VALUE"""),0.00207)</f>
        <v>0.00207</v>
      </c>
      <c r="K465" s="19">
        <f>IFERROR(__xludf.DUMMYFUNCTION("""COMPUTED_VALUE"""),0.03984)</f>
        <v>0.03984</v>
      </c>
      <c r="L465" s="19" t="str">
        <f>IFERROR(__xludf.DUMMYFUNCTION("""COMPUTED_VALUE"""),"-")</f>
        <v>-</v>
      </c>
      <c r="M465" s="19">
        <f>IFERROR(__xludf.DUMMYFUNCTION("""COMPUTED_VALUE"""),0.04024)</f>
        <v>0.04024</v>
      </c>
    </row>
    <row r="466">
      <c r="A466" s="12" t="s">
        <v>8356</v>
      </c>
      <c r="G466" s="19">
        <f>IFERROR(__xludf.DUMMYFUNCTION("SPLIT(A464, "" |"")"),462.0)</f>
        <v>462</v>
      </c>
      <c r="H466" s="19">
        <f>IFERROR(__xludf.DUMMYFUNCTION("""COMPUTED_VALUE"""),0.00223)</f>
        <v>0.00223</v>
      </c>
      <c r="I466" s="19" t="str">
        <f>IFERROR(__xludf.DUMMYFUNCTION("""COMPUTED_VALUE"""),"-")</f>
        <v>-</v>
      </c>
      <c r="J466" s="19">
        <f>IFERROR(__xludf.DUMMYFUNCTION("""COMPUTED_VALUE"""),0.00191)</f>
        <v>0.00191</v>
      </c>
      <c r="K466" s="19">
        <f>IFERROR(__xludf.DUMMYFUNCTION("""COMPUTED_VALUE"""),0.03958)</f>
        <v>0.03958</v>
      </c>
      <c r="L466" s="19" t="str">
        <f>IFERROR(__xludf.DUMMYFUNCTION("""COMPUTED_VALUE"""),"-")</f>
        <v>-</v>
      </c>
      <c r="M466" s="19">
        <f>IFERROR(__xludf.DUMMYFUNCTION("""COMPUTED_VALUE"""),0.03977)</f>
        <v>0.03977</v>
      </c>
    </row>
    <row r="467">
      <c r="A467" s="12" t="s">
        <v>8357</v>
      </c>
      <c r="G467" s="19">
        <f>IFERROR(__xludf.DUMMYFUNCTION("SPLIT(A465, "" |"")"),463.0)</f>
        <v>463</v>
      </c>
      <c r="H467" s="19">
        <f>IFERROR(__xludf.DUMMYFUNCTION("""COMPUTED_VALUE"""),0.00211)</f>
        <v>0.00211</v>
      </c>
      <c r="I467" s="19" t="str">
        <f>IFERROR(__xludf.DUMMYFUNCTION("""COMPUTED_VALUE"""),"-")</f>
        <v>-</v>
      </c>
      <c r="J467" s="19">
        <f>IFERROR(__xludf.DUMMYFUNCTION("""COMPUTED_VALUE"""),0.00195)</f>
        <v>0.00195</v>
      </c>
      <c r="K467" s="19">
        <f>IFERROR(__xludf.DUMMYFUNCTION("""COMPUTED_VALUE"""),0.03975)</f>
        <v>0.03975</v>
      </c>
      <c r="L467" s="19" t="str">
        <f>IFERROR(__xludf.DUMMYFUNCTION("""COMPUTED_VALUE"""),"-")</f>
        <v>-</v>
      </c>
      <c r="M467" s="19">
        <f>IFERROR(__xludf.DUMMYFUNCTION("""COMPUTED_VALUE"""),0.03875)</f>
        <v>0.03875</v>
      </c>
    </row>
    <row r="468">
      <c r="A468" s="12" t="s">
        <v>8358</v>
      </c>
      <c r="G468" s="19">
        <f>IFERROR(__xludf.DUMMYFUNCTION("SPLIT(A466, "" |"")"),464.0)</f>
        <v>464</v>
      </c>
      <c r="H468" s="19">
        <f>IFERROR(__xludf.DUMMYFUNCTION("""COMPUTED_VALUE"""),0.00211)</f>
        <v>0.00211</v>
      </c>
      <c r="I468" s="19" t="str">
        <f>IFERROR(__xludf.DUMMYFUNCTION("""COMPUTED_VALUE"""),"-")</f>
        <v>-</v>
      </c>
      <c r="J468" s="19">
        <f>IFERROR(__xludf.DUMMYFUNCTION("""COMPUTED_VALUE"""),0.00194)</f>
        <v>0.00194</v>
      </c>
      <c r="K468" s="19">
        <f>IFERROR(__xludf.DUMMYFUNCTION("""COMPUTED_VALUE"""),0.03961)</f>
        <v>0.03961</v>
      </c>
      <c r="L468" s="19" t="str">
        <f>IFERROR(__xludf.DUMMYFUNCTION("""COMPUTED_VALUE"""),"-")</f>
        <v>-</v>
      </c>
      <c r="M468" s="19">
        <f>IFERROR(__xludf.DUMMYFUNCTION("""COMPUTED_VALUE"""),0.04026)</f>
        <v>0.04026</v>
      </c>
    </row>
    <row r="469">
      <c r="A469" s="12" t="s">
        <v>8359</v>
      </c>
      <c r="G469" s="19">
        <f>IFERROR(__xludf.DUMMYFUNCTION("SPLIT(A467, "" |"")"),465.0)</f>
        <v>465</v>
      </c>
      <c r="H469" s="19">
        <f>IFERROR(__xludf.DUMMYFUNCTION("""COMPUTED_VALUE"""),0.00208)</f>
        <v>0.00208</v>
      </c>
      <c r="I469" s="19" t="str">
        <f>IFERROR(__xludf.DUMMYFUNCTION("""COMPUTED_VALUE"""),"-")</f>
        <v>-</v>
      </c>
      <c r="J469" s="19">
        <f>IFERROR(__xludf.DUMMYFUNCTION("""COMPUTED_VALUE"""),0.00194)</f>
        <v>0.00194</v>
      </c>
      <c r="K469" s="19">
        <f>IFERROR(__xludf.DUMMYFUNCTION("""COMPUTED_VALUE"""),0.03964)</f>
        <v>0.03964</v>
      </c>
      <c r="L469" s="19" t="str">
        <f>IFERROR(__xludf.DUMMYFUNCTION("""COMPUTED_VALUE"""),"-")</f>
        <v>-</v>
      </c>
      <c r="M469" s="19">
        <f>IFERROR(__xludf.DUMMYFUNCTION("""COMPUTED_VALUE"""),0.03976)</f>
        <v>0.03976</v>
      </c>
    </row>
    <row r="470">
      <c r="A470" s="12" t="s">
        <v>8360</v>
      </c>
      <c r="G470" s="19">
        <f>IFERROR(__xludf.DUMMYFUNCTION("SPLIT(A468, "" |"")"),466.0)</f>
        <v>466</v>
      </c>
      <c r="H470" s="19">
        <f>IFERROR(__xludf.DUMMYFUNCTION("""COMPUTED_VALUE"""),0.0019)</f>
        <v>0.0019</v>
      </c>
      <c r="I470" s="19" t="str">
        <f>IFERROR(__xludf.DUMMYFUNCTION("""COMPUTED_VALUE"""),"-")</f>
        <v>-</v>
      </c>
      <c r="J470" s="19">
        <f>IFERROR(__xludf.DUMMYFUNCTION("""COMPUTED_VALUE"""),0.00186)</f>
        <v>0.00186</v>
      </c>
      <c r="K470" s="19">
        <f>IFERROR(__xludf.DUMMYFUNCTION("""COMPUTED_VALUE"""),0.04024)</f>
        <v>0.04024</v>
      </c>
      <c r="L470" s="19" t="str">
        <f>IFERROR(__xludf.DUMMYFUNCTION("""COMPUTED_VALUE"""),"-")</f>
        <v>-</v>
      </c>
      <c r="M470" s="19">
        <f>IFERROR(__xludf.DUMMYFUNCTION("""COMPUTED_VALUE"""),0.03975)</f>
        <v>0.03975</v>
      </c>
    </row>
    <row r="471">
      <c r="A471" s="12" t="s">
        <v>8361</v>
      </c>
      <c r="G471" s="19">
        <f>IFERROR(__xludf.DUMMYFUNCTION("SPLIT(A469, "" |"")"),467.0)</f>
        <v>467</v>
      </c>
      <c r="H471" s="19">
        <f>IFERROR(__xludf.DUMMYFUNCTION("""COMPUTED_VALUE"""),0.00207)</f>
        <v>0.00207</v>
      </c>
      <c r="I471" s="19" t="str">
        <f>IFERROR(__xludf.DUMMYFUNCTION("""COMPUTED_VALUE"""),"-")</f>
        <v>-</v>
      </c>
      <c r="J471" s="19">
        <f>IFERROR(__xludf.DUMMYFUNCTION("""COMPUTED_VALUE"""),0.00197)</f>
        <v>0.00197</v>
      </c>
      <c r="K471" s="19">
        <f>IFERROR(__xludf.DUMMYFUNCTION("""COMPUTED_VALUE"""),0.0397)</f>
        <v>0.0397</v>
      </c>
      <c r="L471" s="19" t="str">
        <f>IFERROR(__xludf.DUMMYFUNCTION("""COMPUTED_VALUE"""),"-")</f>
        <v>-</v>
      </c>
      <c r="M471" s="19">
        <f>IFERROR(__xludf.DUMMYFUNCTION("""COMPUTED_VALUE"""),0.03621)</f>
        <v>0.03621</v>
      </c>
    </row>
    <row r="472">
      <c r="A472" s="12" t="s">
        <v>8362</v>
      </c>
      <c r="G472" s="19">
        <f>IFERROR(__xludf.DUMMYFUNCTION("SPLIT(A470, "" |"")"),468.0)</f>
        <v>468</v>
      </c>
      <c r="H472" s="19">
        <f>IFERROR(__xludf.DUMMYFUNCTION("""COMPUTED_VALUE"""),0.00219)</f>
        <v>0.00219</v>
      </c>
      <c r="I472" s="19" t="str">
        <f>IFERROR(__xludf.DUMMYFUNCTION("""COMPUTED_VALUE"""),"-")</f>
        <v>-</v>
      </c>
      <c r="J472" s="19">
        <f>IFERROR(__xludf.DUMMYFUNCTION("""COMPUTED_VALUE"""),0.00196)</f>
        <v>0.00196</v>
      </c>
      <c r="K472" s="19">
        <f>IFERROR(__xludf.DUMMYFUNCTION("""COMPUTED_VALUE"""),0.04087)</f>
        <v>0.04087</v>
      </c>
      <c r="L472" s="19" t="str">
        <f>IFERROR(__xludf.DUMMYFUNCTION("""COMPUTED_VALUE"""),"-")</f>
        <v>-</v>
      </c>
      <c r="M472" s="19">
        <f>IFERROR(__xludf.DUMMYFUNCTION("""COMPUTED_VALUE"""),0.03973)</f>
        <v>0.03973</v>
      </c>
    </row>
    <row r="473">
      <c r="A473" s="12" t="s">
        <v>8363</v>
      </c>
      <c r="G473" s="19">
        <f>IFERROR(__xludf.DUMMYFUNCTION("SPLIT(A471, "" |"")"),469.0)</f>
        <v>469</v>
      </c>
      <c r="H473" s="19">
        <f>IFERROR(__xludf.DUMMYFUNCTION("""COMPUTED_VALUE"""),0.00203)</f>
        <v>0.00203</v>
      </c>
      <c r="I473" s="19" t="str">
        <f>IFERROR(__xludf.DUMMYFUNCTION("""COMPUTED_VALUE"""),"-")</f>
        <v>-</v>
      </c>
      <c r="J473" s="19">
        <f>IFERROR(__xludf.DUMMYFUNCTION("""COMPUTED_VALUE"""),0.00191)</f>
        <v>0.00191</v>
      </c>
      <c r="K473" s="19">
        <f>IFERROR(__xludf.DUMMYFUNCTION("""COMPUTED_VALUE"""),0.03956)</f>
        <v>0.03956</v>
      </c>
      <c r="L473" s="19" t="str">
        <f>IFERROR(__xludf.DUMMYFUNCTION("""COMPUTED_VALUE"""),"-")</f>
        <v>-</v>
      </c>
      <c r="M473" s="19">
        <f>IFERROR(__xludf.DUMMYFUNCTION("""COMPUTED_VALUE"""),0.03865)</f>
        <v>0.03865</v>
      </c>
    </row>
    <row r="474">
      <c r="A474" s="12" t="s">
        <v>8364</v>
      </c>
      <c r="G474" s="19">
        <f>IFERROR(__xludf.DUMMYFUNCTION("SPLIT(A472, "" |"")"),470.0)</f>
        <v>470</v>
      </c>
      <c r="H474" s="19">
        <f>IFERROR(__xludf.DUMMYFUNCTION("""COMPUTED_VALUE"""),0.00212)</f>
        <v>0.00212</v>
      </c>
      <c r="I474" s="19" t="str">
        <f>IFERROR(__xludf.DUMMYFUNCTION("""COMPUTED_VALUE"""),"-")</f>
        <v>-</v>
      </c>
      <c r="J474" s="19">
        <f>IFERROR(__xludf.DUMMYFUNCTION("""COMPUTED_VALUE"""),0.00198)</f>
        <v>0.00198</v>
      </c>
      <c r="K474" s="19">
        <f>IFERROR(__xludf.DUMMYFUNCTION("""COMPUTED_VALUE"""),0.03975)</f>
        <v>0.03975</v>
      </c>
      <c r="L474" s="19" t="str">
        <f>IFERROR(__xludf.DUMMYFUNCTION("""COMPUTED_VALUE"""),"-")</f>
        <v>-</v>
      </c>
      <c r="M474" s="19">
        <f>IFERROR(__xludf.DUMMYFUNCTION("""COMPUTED_VALUE"""),0.04011)</f>
        <v>0.04011</v>
      </c>
    </row>
    <row r="475">
      <c r="A475" s="12" t="s">
        <v>8365</v>
      </c>
      <c r="G475" s="19">
        <f>IFERROR(__xludf.DUMMYFUNCTION("SPLIT(A473, "" |"")"),471.0)</f>
        <v>471</v>
      </c>
      <c r="H475" s="19">
        <f>IFERROR(__xludf.DUMMYFUNCTION("""COMPUTED_VALUE"""),0.00204)</f>
        <v>0.00204</v>
      </c>
      <c r="I475" s="19" t="str">
        <f>IFERROR(__xludf.DUMMYFUNCTION("""COMPUTED_VALUE"""),"-")</f>
        <v>-</v>
      </c>
      <c r="J475" s="19">
        <f>IFERROR(__xludf.DUMMYFUNCTION("""COMPUTED_VALUE"""),0.00184)</f>
        <v>0.00184</v>
      </c>
      <c r="K475" s="19">
        <f>IFERROR(__xludf.DUMMYFUNCTION("""COMPUTED_VALUE"""),0.03983)</f>
        <v>0.03983</v>
      </c>
      <c r="L475" s="19" t="str">
        <f>IFERROR(__xludf.DUMMYFUNCTION("""COMPUTED_VALUE"""),"-")</f>
        <v>-</v>
      </c>
      <c r="M475" s="19">
        <f>IFERROR(__xludf.DUMMYFUNCTION("""COMPUTED_VALUE"""),0.03987)</f>
        <v>0.03987</v>
      </c>
    </row>
    <row r="476">
      <c r="A476" s="12" t="s">
        <v>8366</v>
      </c>
      <c r="G476" s="19">
        <f>IFERROR(__xludf.DUMMYFUNCTION("SPLIT(A474, "" |"")"),472.0)</f>
        <v>472</v>
      </c>
      <c r="H476" s="19">
        <f>IFERROR(__xludf.DUMMYFUNCTION("""COMPUTED_VALUE"""),0.00222)</f>
        <v>0.00222</v>
      </c>
      <c r="I476" s="19" t="str">
        <f>IFERROR(__xludf.DUMMYFUNCTION("""COMPUTED_VALUE"""),"-")</f>
        <v>-</v>
      </c>
      <c r="J476" s="19">
        <f>IFERROR(__xludf.DUMMYFUNCTION("""COMPUTED_VALUE"""),0.00203)</f>
        <v>0.00203</v>
      </c>
      <c r="K476" s="19">
        <f>IFERROR(__xludf.DUMMYFUNCTION("""COMPUTED_VALUE"""),0.03972)</f>
        <v>0.03972</v>
      </c>
      <c r="L476" s="19" t="str">
        <f>IFERROR(__xludf.DUMMYFUNCTION("""COMPUTED_VALUE"""),"-")</f>
        <v>-</v>
      </c>
      <c r="M476" s="19">
        <f>IFERROR(__xludf.DUMMYFUNCTION("""COMPUTED_VALUE"""),0.04022)</f>
        <v>0.04022</v>
      </c>
    </row>
    <row r="477">
      <c r="A477" s="12" t="s">
        <v>8367</v>
      </c>
      <c r="G477" s="19">
        <f>IFERROR(__xludf.DUMMYFUNCTION("SPLIT(A475, "" |"")"),473.0)</f>
        <v>473</v>
      </c>
      <c r="H477" s="19">
        <f>IFERROR(__xludf.DUMMYFUNCTION("""COMPUTED_VALUE"""),0.00207)</f>
        <v>0.00207</v>
      </c>
      <c r="I477" s="19" t="str">
        <f>IFERROR(__xludf.DUMMYFUNCTION("""COMPUTED_VALUE"""),"-")</f>
        <v>-</v>
      </c>
      <c r="J477" s="19">
        <f>IFERROR(__xludf.DUMMYFUNCTION("""COMPUTED_VALUE"""),0.00201)</f>
        <v>0.00201</v>
      </c>
      <c r="K477" s="19">
        <f>IFERROR(__xludf.DUMMYFUNCTION("""COMPUTED_VALUE"""),0.03978)</f>
        <v>0.03978</v>
      </c>
      <c r="L477" s="19" t="str">
        <f>IFERROR(__xludf.DUMMYFUNCTION("""COMPUTED_VALUE"""),"-")</f>
        <v>-</v>
      </c>
      <c r="M477" s="19">
        <f>IFERROR(__xludf.DUMMYFUNCTION("""COMPUTED_VALUE"""),0.04004)</f>
        <v>0.04004</v>
      </c>
    </row>
    <row r="478">
      <c r="A478" s="12" t="s">
        <v>8368</v>
      </c>
      <c r="G478" s="19">
        <f>IFERROR(__xludf.DUMMYFUNCTION("SPLIT(A476, "" |"")"),474.0)</f>
        <v>474</v>
      </c>
      <c r="H478" s="19">
        <f>IFERROR(__xludf.DUMMYFUNCTION("""COMPUTED_VALUE"""),0.00214)</f>
        <v>0.00214</v>
      </c>
      <c r="I478" s="19" t="str">
        <f>IFERROR(__xludf.DUMMYFUNCTION("""COMPUTED_VALUE"""),"-")</f>
        <v>-</v>
      </c>
      <c r="J478" s="19">
        <f>IFERROR(__xludf.DUMMYFUNCTION("""COMPUTED_VALUE"""),0.002)</f>
        <v>0.002</v>
      </c>
      <c r="K478" s="19">
        <f>IFERROR(__xludf.DUMMYFUNCTION("""COMPUTED_VALUE"""),0.03969)</f>
        <v>0.03969</v>
      </c>
      <c r="L478" s="19" t="str">
        <f>IFERROR(__xludf.DUMMYFUNCTION("""COMPUTED_VALUE"""),"-")</f>
        <v>-</v>
      </c>
      <c r="M478" s="19">
        <f>IFERROR(__xludf.DUMMYFUNCTION("""COMPUTED_VALUE"""),0.03917)</f>
        <v>0.03917</v>
      </c>
    </row>
    <row r="479">
      <c r="A479" s="12" t="s">
        <v>8369</v>
      </c>
      <c r="G479" s="19">
        <f>IFERROR(__xludf.DUMMYFUNCTION("SPLIT(A477, "" |"")"),475.0)</f>
        <v>475</v>
      </c>
      <c r="H479" s="19">
        <f>IFERROR(__xludf.DUMMYFUNCTION("""COMPUTED_VALUE"""),0.00215)</f>
        <v>0.00215</v>
      </c>
      <c r="I479" s="19" t="str">
        <f>IFERROR(__xludf.DUMMYFUNCTION("""COMPUTED_VALUE"""),"-")</f>
        <v>-</v>
      </c>
      <c r="J479" s="19">
        <f>IFERROR(__xludf.DUMMYFUNCTION("""COMPUTED_VALUE"""),0.00195)</f>
        <v>0.00195</v>
      </c>
      <c r="K479" s="19">
        <f>IFERROR(__xludf.DUMMYFUNCTION("""COMPUTED_VALUE"""),0.03649)</f>
        <v>0.03649</v>
      </c>
      <c r="L479" s="19" t="str">
        <f>IFERROR(__xludf.DUMMYFUNCTION("""COMPUTED_VALUE"""),"-")</f>
        <v>-</v>
      </c>
      <c r="M479" s="19">
        <f>IFERROR(__xludf.DUMMYFUNCTION("""COMPUTED_VALUE"""),0.03974)</f>
        <v>0.03974</v>
      </c>
    </row>
    <row r="480">
      <c r="A480" s="12" t="s">
        <v>8370</v>
      </c>
      <c r="G480" s="19">
        <f>IFERROR(__xludf.DUMMYFUNCTION("SPLIT(A478, "" |"")"),476.0)</f>
        <v>476</v>
      </c>
      <c r="H480" s="19">
        <f>IFERROR(__xludf.DUMMYFUNCTION("""COMPUTED_VALUE"""),0.00204)</f>
        <v>0.00204</v>
      </c>
      <c r="I480" s="19" t="str">
        <f>IFERROR(__xludf.DUMMYFUNCTION("""COMPUTED_VALUE"""),"-")</f>
        <v>-</v>
      </c>
      <c r="J480" s="19">
        <f>IFERROR(__xludf.DUMMYFUNCTION("""COMPUTED_VALUE"""),0.0019)</f>
        <v>0.0019</v>
      </c>
      <c r="K480" s="19">
        <f>IFERROR(__xludf.DUMMYFUNCTION("""COMPUTED_VALUE"""),0.03964)</f>
        <v>0.03964</v>
      </c>
      <c r="L480" s="19" t="str">
        <f>IFERROR(__xludf.DUMMYFUNCTION("""COMPUTED_VALUE"""),"-")</f>
        <v>-</v>
      </c>
      <c r="M480" s="19">
        <f>IFERROR(__xludf.DUMMYFUNCTION("""COMPUTED_VALUE"""),0.03994)</f>
        <v>0.03994</v>
      </c>
    </row>
    <row r="481">
      <c r="A481" s="12" t="s">
        <v>8371</v>
      </c>
      <c r="G481" s="19">
        <f>IFERROR(__xludf.DUMMYFUNCTION("SPLIT(A479, "" |"")"),477.0)</f>
        <v>477</v>
      </c>
      <c r="H481" s="19">
        <f>IFERROR(__xludf.DUMMYFUNCTION("""COMPUTED_VALUE"""),0.00217)</f>
        <v>0.00217</v>
      </c>
      <c r="I481" s="19" t="str">
        <f>IFERROR(__xludf.DUMMYFUNCTION("""COMPUTED_VALUE"""),"-")</f>
        <v>-</v>
      </c>
      <c r="J481" s="19">
        <f>IFERROR(__xludf.DUMMYFUNCTION("""COMPUTED_VALUE"""),0.00211)</f>
        <v>0.00211</v>
      </c>
      <c r="K481" s="19">
        <f>IFERROR(__xludf.DUMMYFUNCTION("""COMPUTED_VALUE"""),0.03712)</f>
        <v>0.03712</v>
      </c>
      <c r="L481" s="19" t="str">
        <f>IFERROR(__xludf.DUMMYFUNCTION("""COMPUTED_VALUE"""),"-")</f>
        <v>-</v>
      </c>
      <c r="M481" s="19">
        <f>IFERROR(__xludf.DUMMYFUNCTION("""COMPUTED_VALUE"""),0.04077)</f>
        <v>0.04077</v>
      </c>
    </row>
    <row r="482">
      <c r="A482" s="12" t="s">
        <v>8372</v>
      </c>
      <c r="G482" s="19">
        <f>IFERROR(__xludf.DUMMYFUNCTION("SPLIT(A480, "" |"")"),478.0)</f>
        <v>478</v>
      </c>
      <c r="H482" s="19">
        <f>IFERROR(__xludf.DUMMYFUNCTION("""COMPUTED_VALUE"""),0.00226)</f>
        <v>0.00226</v>
      </c>
      <c r="I482" s="19" t="str">
        <f>IFERROR(__xludf.DUMMYFUNCTION("""COMPUTED_VALUE"""),"-")</f>
        <v>-</v>
      </c>
      <c r="J482" s="19">
        <f>IFERROR(__xludf.DUMMYFUNCTION("""COMPUTED_VALUE"""),0.00211)</f>
        <v>0.00211</v>
      </c>
      <c r="K482" s="19">
        <f>IFERROR(__xludf.DUMMYFUNCTION("""COMPUTED_VALUE"""),0.03923)</f>
        <v>0.03923</v>
      </c>
      <c r="L482" s="19" t="str">
        <f>IFERROR(__xludf.DUMMYFUNCTION("""COMPUTED_VALUE"""),"-")</f>
        <v>-</v>
      </c>
      <c r="M482" s="19">
        <f>IFERROR(__xludf.DUMMYFUNCTION("""COMPUTED_VALUE"""),0.03529)</f>
        <v>0.03529</v>
      </c>
    </row>
    <row r="483">
      <c r="A483" s="12" t="s">
        <v>8373</v>
      </c>
      <c r="G483" s="19">
        <f>IFERROR(__xludf.DUMMYFUNCTION("SPLIT(A481, "" |"")"),479.0)</f>
        <v>479</v>
      </c>
      <c r="H483" s="19">
        <f>IFERROR(__xludf.DUMMYFUNCTION("""COMPUTED_VALUE"""),0.0022)</f>
        <v>0.0022</v>
      </c>
      <c r="I483" s="19" t="str">
        <f>IFERROR(__xludf.DUMMYFUNCTION("""COMPUTED_VALUE"""),"-")</f>
        <v>-</v>
      </c>
      <c r="J483" s="19">
        <f>IFERROR(__xludf.DUMMYFUNCTION("""COMPUTED_VALUE"""),0.00182)</f>
        <v>0.00182</v>
      </c>
      <c r="K483" s="19">
        <f>IFERROR(__xludf.DUMMYFUNCTION("""COMPUTED_VALUE"""),0.03889)</f>
        <v>0.03889</v>
      </c>
      <c r="L483" s="19" t="str">
        <f>IFERROR(__xludf.DUMMYFUNCTION("""COMPUTED_VALUE"""),"-")</f>
        <v>-</v>
      </c>
      <c r="M483" s="19">
        <f>IFERROR(__xludf.DUMMYFUNCTION("""COMPUTED_VALUE"""),0.04009)</f>
        <v>0.04009</v>
      </c>
    </row>
    <row r="484">
      <c r="A484" s="12" t="s">
        <v>8374</v>
      </c>
      <c r="G484" s="19">
        <f>IFERROR(__xludf.DUMMYFUNCTION("SPLIT(A482, "" |"")"),480.0)</f>
        <v>480</v>
      </c>
      <c r="H484" s="19">
        <f>IFERROR(__xludf.DUMMYFUNCTION("""COMPUTED_VALUE"""),0.00207)</f>
        <v>0.00207</v>
      </c>
      <c r="I484" s="19" t="str">
        <f>IFERROR(__xludf.DUMMYFUNCTION("""COMPUTED_VALUE"""),"-")</f>
        <v>-</v>
      </c>
      <c r="J484" s="19">
        <f>IFERROR(__xludf.DUMMYFUNCTION("""COMPUTED_VALUE"""),0.00189)</f>
        <v>0.00189</v>
      </c>
      <c r="K484" s="19">
        <f>IFERROR(__xludf.DUMMYFUNCTION("""COMPUTED_VALUE"""),0.03969)</f>
        <v>0.03969</v>
      </c>
      <c r="L484" s="19" t="str">
        <f>IFERROR(__xludf.DUMMYFUNCTION("""COMPUTED_VALUE"""),"-")</f>
        <v>-</v>
      </c>
      <c r="M484" s="19">
        <f>IFERROR(__xludf.DUMMYFUNCTION("""COMPUTED_VALUE"""),0.03985)</f>
        <v>0.03985</v>
      </c>
    </row>
    <row r="485">
      <c r="A485" s="12" t="s">
        <v>8375</v>
      </c>
      <c r="G485" s="19">
        <f>IFERROR(__xludf.DUMMYFUNCTION("SPLIT(A483, "" |"")"),481.0)</f>
        <v>481</v>
      </c>
      <c r="H485" s="19">
        <f>IFERROR(__xludf.DUMMYFUNCTION("""COMPUTED_VALUE"""),0.00205)</f>
        <v>0.00205</v>
      </c>
      <c r="I485" s="19" t="str">
        <f>IFERROR(__xludf.DUMMYFUNCTION("""COMPUTED_VALUE"""),"-")</f>
        <v>-</v>
      </c>
      <c r="J485" s="19">
        <f>IFERROR(__xludf.DUMMYFUNCTION("""COMPUTED_VALUE"""),0.00202)</f>
        <v>0.00202</v>
      </c>
      <c r="K485" s="19">
        <f>IFERROR(__xludf.DUMMYFUNCTION("""COMPUTED_VALUE"""),0.03962)</f>
        <v>0.03962</v>
      </c>
      <c r="L485" s="19" t="str">
        <f>IFERROR(__xludf.DUMMYFUNCTION("""COMPUTED_VALUE"""),"-")</f>
        <v>-</v>
      </c>
      <c r="M485" s="19">
        <f>IFERROR(__xludf.DUMMYFUNCTION("""COMPUTED_VALUE"""),0.03617)</f>
        <v>0.03617</v>
      </c>
    </row>
    <row r="486">
      <c r="A486" s="12" t="s">
        <v>8376</v>
      </c>
      <c r="G486" s="19">
        <f>IFERROR(__xludf.DUMMYFUNCTION("SPLIT(A484, "" |"")"),482.0)</f>
        <v>482</v>
      </c>
      <c r="H486" s="19">
        <f>IFERROR(__xludf.DUMMYFUNCTION("""COMPUTED_VALUE"""),0.00208)</f>
        <v>0.00208</v>
      </c>
      <c r="I486" s="19" t="str">
        <f>IFERROR(__xludf.DUMMYFUNCTION("""COMPUTED_VALUE"""),"-")</f>
        <v>-</v>
      </c>
      <c r="J486" s="19">
        <f>IFERROR(__xludf.DUMMYFUNCTION("""COMPUTED_VALUE"""),0.00186)</f>
        <v>0.00186</v>
      </c>
      <c r="K486" s="19">
        <f>IFERROR(__xludf.DUMMYFUNCTION("""COMPUTED_VALUE"""),0.03951)</f>
        <v>0.03951</v>
      </c>
      <c r="L486" s="19" t="str">
        <f>IFERROR(__xludf.DUMMYFUNCTION("""COMPUTED_VALUE"""),"-")</f>
        <v>-</v>
      </c>
      <c r="M486" s="19">
        <f>IFERROR(__xludf.DUMMYFUNCTION("""COMPUTED_VALUE"""),0.03968)</f>
        <v>0.03968</v>
      </c>
    </row>
    <row r="487">
      <c r="A487" s="12" t="s">
        <v>8377</v>
      </c>
      <c r="G487" s="19">
        <f>IFERROR(__xludf.DUMMYFUNCTION("SPLIT(A485, "" |"")"),483.0)</f>
        <v>483</v>
      </c>
      <c r="H487" s="19">
        <f>IFERROR(__xludf.DUMMYFUNCTION("""COMPUTED_VALUE"""),0.00206)</f>
        <v>0.00206</v>
      </c>
      <c r="I487" s="19" t="str">
        <f>IFERROR(__xludf.DUMMYFUNCTION("""COMPUTED_VALUE"""),"-")</f>
        <v>-</v>
      </c>
      <c r="J487" s="19">
        <f>IFERROR(__xludf.DUMMYFUNCTION("""COMPUTED_VALUE"""),0.00184)</f>
        <v>0.00184</v>
      </c>
      <c r="K487" s="19">
        <f>IFERROR(__xludf.DUMMYFUNCTION("""COMPUTED_VALUE"""),0.03953)</f>
        <v>0.03953</v>
      </c>
      <c r="L487" s="19" t="str">
        <f>IFERROR(__xludf.DUMMYFUNCTION("""COMPUTED_VALUE"""),"-")</f>
        <v>-</v>
      </c>
      <c r="M487" s="19">
        <f>IFERROR(__xludf.DUMMYFUNCTION("""COMPUTED_VALUE"""),0.03822)</f>
        <v>0.03822</v>
      </c>
    </row>
    <row r="488">
      <c r="A488" s="12" t="s">
        <v>8378</v>
      </c>
      <c r="G488" s="19">
        <f>IFERROR(__xludf.DUMMYFUNCTION("SPLIT(A486, "" |"")"),484.0)</f>
        <v>484</v>
      </c>
      <c r="H488" s="19">
        <f>IFERROR(__xludf.DUMMYFUNCTION("""COMPUTED_VALUE"""),0.00204)</f>
        <v>0.00204</v>
      </c>
      <c r="I488" s="19" t="str">
        <f>IFERROR(__xludf.DUMMYFUNCTION("""COMPUTED_VALUE"""),"-")</f>
        <v>-</v>
      </c>
      <c r="J488" s="19">
        <f>IFERROR(__xludf.DUMMYFUNCTION("""COMPUTED_VALUE"""),0.00198)</f>
        <v>0.00198</v>
      </c>
      <c r="K488" s="19">
        <f>IFERROR(__xludf.DUMMYFUNCTION("""COMPUTED_VALUE"""),0.03967)</f>
        <v>0.03967</v>
      </c>
      <c r="L488" s="19" t="str">
        <f>IFERROR(__xludf.DUMMYFUNCTION("""COMPUTED_VALUE"""),"-")</f>
        <v>-</v>
      </c>
      <c r="M488" s="19">
        <f>IFERROR(__xludf.DUMMYFUNCTION("""COMPUTED_VALUE"""),0.0399)</f>
        <v>0.0399</v>
      </c>
    </row>
    <row r="489">
      <c r="A489" s="12" t="s">
        <v>8379</v>
      </c>
      <c r="G489" s="19">
        <f>IFERROR(__xludf.DUMMYFUNCTION("SPLIT(A487, "" |"")"),485.0)</f>
        <v>485</v>
      </c>
      <c r="H489" s="19">
        <f>IFERROR(__xludf.DUMMYFUNCTION("""COMPUTED_VALUE"""),0.00211)</f>
        <v>0.00211</v>
      </c>
      <c r="I489" s="19" t="str">
        <f>IFERROR(__xludf.DUMMYFUNCTION("""COMPUTED_VALUE"""),"-")</f>
        <v>-</v>
      </c>
      <c r="J489" s="19">
        <f>IFERROR(__xludf.DUMMYFUNCTION("""COMPUTED_VALUE"""),0.00196)</f>
        <v>0.00196</v>
      </c>
      <c r="K489" s="19">
        <f>IFERROR(__xludf.DUMMYFUNCTION("""COMPUTED_VALUE"""),0.03974)</f>
        <v>0.03974</v>
      </c>
      <c r="L489" s="19" t="str">
        <f>IFERROR(__xludf.DUMMYFUNCTION("""COMPUTED_VALUE"""),"-")</f>
        <v>-</v>
      </c>
      <c r="M489" s="19">
        <f>IFERROR(__xludf.DUMMYFUNCTION("""COMPUTED_VALUE"""),0.0398)</f>
        <v>0.0398</v>
      </c>
    </row>
    <row r="490">
      <c r="A490" s="12" t="s">
        <v>8380</v>
      </c>
      <c r="G490" s="19">
        <f>IFERROR(__xludf.DUMMYFUNCTION("SPLIT(A488, "" |"")"),486.0)</f>
        <v>486</v>
      </c>
      <c r="H490" s="19">
        <f>IFERROR(__xludf.DUMMYFUNCTION("""COMPUTED_VALUE"""),0.00216)</f>
        <v>0.00216</v>
      </c>
      <c r="I490" s="19" t="str">
        <f>IFERROR(__xludf.DUMMYFUNCTION("""COMPUTED_VALUE"""),"-")</f>
        <v>-</v>
      </c>
      <c r="J490" s="19">
        <f>IFERROR(__xludf.DUMMYFUNCTION("""COMPUTED_VALUE"""),0.00202)</f>
        <v>0.00202</v>
      </c>
      <c r="K490" s="19">
        <f>IFERROR(__xludf.DUMMYFUNCTION("""COMPUTED_VALUE"""),0.03972)</f>
        <v>0.03972</v>
      </c>
      <c r="L490" s="19" t="str">
        <f>IFERROR(__xludf.DUMMYFUNCTION("""COMPUTED_VALUE"""),"-")</f>
        <v>-</v>
      </c>
      <c r="M490" s="19">
        <f>IFERROR(__xludf.DUMMYFUNCTION("""COMPUTED_VALUE"""),0.0398)</f>
        <v>0.0398</v>
      </c>
    </row>
    <row r="491">
      <c r="A491" s="12" t="s">
        <v>8381</v>
      </c>
      <c r="G491" s="19">
        <f>IFERROR(__xludf.DUMMYFUNCTION("SPLIT(A489, "" |"")"),487.0)</f>
        <v>487</v>
      </c>
      <c r="H491" s="19">
        <f>IFERROR(__xludf.DUMMYFUNCTION("""COMPUTED_VALUE"""),0.00197)</f>
        <v>0.00197</v>
      </c>
      <c r="I491" s="19" t="str">
        <f>IFERROR(__xludf.DUMMYFUNCTION("""COMPUTED_VALUE"""),"-")</f>
        <v>-</v>
      </c>
      <c r="J491" s="19">
        <f>IFERROR(__xludf.DUMMYFUNCTION("""COMPUTED_VALUE"""),0.00185)</f>
        <v>0.00185</v>
      </c>
      <c r="K491" s="19">
        <f>IFERROR(__xludf.DUMMYFUNCTION("""COMPUTED_VALUE"""),0.0396)</f>
        <v>0.0396</v>
      </c>
      <c r="L491" s="19" t="str">
        <f>IFERROR(__xludf.DUMMYFUNCTION("""COMPUTED_VALUE"""),"-")</f>
        <v>-</v>
      </c>
      <c r="M491" s="19">
        <f>IFERROR(__xludf.DUMMYFUNCTION("""COMPUTED_VALUE"""),0.03977)</f>
        <v>0.03977</v>
      </c>
    </row>
    <row r="492">
      <c r="A492" s="12" t="s">
        <v>8382</v>
      </c>
      <c r="G492" s="19">
        <f>IFERROR(__xludf.DUMMYFUNCTION("SPLIT(A490, "" |"")"),488.0)</f>
        <v>488</v>
      </c>
      <c r="H492" s="19">
        <f>IFERROR(__xludf.DUMMYFUNCTION("""COMPUTED_VALUE"""),0.00218)</f>
        <v>0.00218</v>
      </c>
      <c r="I492" s="19" t="str">
        <f>IFERROR(__xludf.DUMMYFUNCTION("""COMPUTED_VALUE"""),"-")</f>
        <v>-</v>
      </c>
      <c r="J492" s="19">
        <f>IFERROR(__xludf.DUMMYFUNCTION("""COMPUTED_VALUE"""),0.00218)</f>
        <v>0.00218</v>
      </c>
      <c r="K492" s="19">
        <f>IFERROR(__xludf.DUMMYFUNCTION("""COMPUTED_VALUE"""),0.0399)</f>
        <v>0.0399</v>
      </c>
      <c r="L492" s="19" t="str">
        <f>IFERROR(__xludf.DUMMYFUNCTION("""COMPUTED_VALUE"""),"-")</f>
        <v>-</v>
      </c>
      <c r="M492" s="19">
        <f>IFERROR(__xludf.DUMMYFUNCTION("""COMPUTED_VALUE"""),0.03984)</f>
        <v>0.03984</v>
      </c>
    </row>
    <row r="493">
      <c r="A493" s="12" t="s">
        <v>8383</v>
      </c>
      <c r="G493" s="19">
        <f>IFERROR(__xludf.DUMMYFUNCTION("SPLIT(A491, "" |"")"),489.0)</f>
        <v>489</v>
      </c>
      <c r="H493" s="19">
        <f>IFERROR(__xludf.DUMMYFUNCTION("""COMPUTED_VALUE"""),0.00232)</f>
        <v>0.00232</v>
      </c>
      <c r="I493" s="19" t="str">
        <f>IFERROR(__xludf.DUMMYFUNCTION("""COMPUTED_VALUE"""),"-")</f>
        <v>-</v>
      </c>
      <c r="J493" s="19">
        <f>IFERROR(__xludf.DUMMYFUNCTION("""COMPUTED_VALUE"""),0.00206)</f>
        <v>0.00206</v>
      </c>
      <c r="K493" s="19">
        <f>IFERROR(__xludf.DUMMYFUNCTION("""COMPUTED_VALUE"""),0.03638)</f>
        <v>0.03638</v>
      </c>
      <c r="L493" s="19" t="str">
        <f>IFERROR(__xludf.DUMMYFUNCTION("""COMPUTED_VALUE"""),"-")</f>
        <v>-</v>
      </c>
      <c r="M493" s="19">
        <f>IFERROR(__xludf.DUMMYFUNCTION("""COMPUTED_VALUE"""),0.04043)</f>
        <v>0.04043</v>
      </c>
    </row>
    <row r="494">
      <c r="A494" s="12" t="s">
        <v>8384</v>
      </c>
      <c r="G494" s="19">
        <f>IFERROR(__xludf.DUMMYFUNCTION("SPLIT(A492, "" |"")"),490.0)</f>
        <v>490</v>
      </c>
      <c r="H494" s="19">
        <f>IFERROR(__xludf.DUMMYFUNCTION("""COMPUTED_VALUE"""),0.00232)</f>
        <v>0.00232</v>
      </c>
      <c r="I494" s="19" t="str">
        <f>IFERROR(__xludf.DUMMYFUNCTION("""COMPUTED_VALUE"""),"-")</f>
        <v>-</v>
      </c>
      <c r="J494" s="19">
        <f>IFERROR(__xludf.DUMMYFUNCTION("""COMPUTED_VALUE"""),0.00228)</f>
        <v>0.00228</v>
      </c>
      <c r="K494" s="19">
        <f>IFERROR(__xludf.DUMMYFUNCTION("""COMPUTED_VALUE"""),0.0399)</f>
        <v>0.0399</v>
      </c>
      <c r="L494" s="19" t="str">
        <f>IFERROR(__xludf.DUMMYFUNCTION("""COMPUTED_VALUE"""),"-")</f>
        <v>-</v>
      </c>
      <c r="M494" s="19">
        <f>IFERROR(__xludf.DUMMYFUNCTION("""COMPUTED_VALUE"""),0.04003)</f>
        <v>0.04003</v>
      </c>
    </row>
    <row r="495">
      <c r="A495" s="12" t="s">
        <v>8385</v>
      </c>
      <c r="G495" s="19">
        <f>IFERROR(__xludf.DUMMYFUNCTION("SPLIT(A493, "" |"")"),491.0)</f>
        <v>491</v>
      </c>
      <c r="H495" s="19">
        <f>IFERROR(__xludf.DUMMYFUNCTION("""COMPUTED_VALUE"""),0.00245)</f>
        <v>0.00245</v>
      </c>
      <c r="I495" s="19" t="str">
        <f>IFERROR(__xludf.DUMMYFUNCTION("""COMPUTED_VALUE"""),"-")</f>
        <v>-</v>
      </c>
      <c r="J495" s="19">
        <f>IFERROR(__xludf.DUMMYFUNCTION("""COMPUTED_VALUE"""),0.00203)</f>
        <v>0.00203</v>
      </c>
      <c r="K495" s="19">
        <f>IFERROR(__xludf.DUMMYFUNCTION("""COMPUTED_VALUE"""),0.03968)</f>
        <v>0.03968</v>
      </c>
      <c r="L495" s="19" t="str">
        <f>IFERROR(__xludf.DUMMYFUNCTION("""COMPUTED_VALUE"""),"-")</f>
        <v>-</v>
      </c>
      <c r="M495" s="19">
        <f>IFERROR(__xludf.DUMMYFUNCTION("""COMPUTED_VALUE"""),0.03874)</f>
        <v>0.03874</v>
      </c>
    </row>
    <row r="496">
      <c r="A496" s="12" t="s">
        <v>8386</v>
      </c>
      <c r="G496" s="19">
        <f>IFERROR(__xludf.DUMMYFUNCTION("SPLIT(A494, "" |"")"),492.0)</f>
        <v>492</v>
      </c>
      <c r="H496" s="19">
        <f>IFERROR(__xludf.DUMMYFUNCTION("""COMPUTED_VALUE"""),0.00212)</f>
        <v>0.00212</v>
      </c>
      <c r="I496" s="19" t="str">
        <f>IFERROR(__xludf.DUMMYFUNCTION("""COMPUTED_VALUE"""),"-")</f>
        <v>-</v>
      </c>
      <c r="J496" s="19">
        <f>IFERROR(__xludf.DUMMYFUNCTION("""COMPUTED_VALUE"""),0.00188)</f>
        <v>0.00188</v>
      </c>
      <c r="K496" s="19">
        <f>IFERROR(__xludf.DUMMYFUNCTION("""COMPUTED_VALUE"""),0.03974)</f>
        <v>0.03974</v>
      </c>
      <c r="L496" s="19" t="str">
        <f>IFERROR(__xludf.DUMMYFUNCTION("""COMPUTED_VALUE"""),"-")</f>
        <v>-</v>
      </c>
      <c r="M496" s="19">
        <f>IFERROR(__xludf.DUMMYFUNCTION("""COMPUTED_VALUE"""),0.03994)</f>
        <v>0.03994</v>
      </c>
    </row>
    <row r="497">
      <c r="A497" s="12" t="s">
        <v>8387</v>
      </c>
      <c r="G497" s="19">
        <f>IFERROR(__xludf.DUMMYFUNCTION("SPLIT(A495, "" |"")"),493.0)</f>
        <v>493</v>
      </c>
      <c r="H497" s="19">
        <f>IFERROR(__xludf.DUMMYFUNCTION("""COMPUTED_VALUE"""),0.0021)</f>
        <v>0.0021</v>
      </c>
      <c r="I497" s="19" t="str">
        <f>IFERROR(__xludf.DUMMYFUNCTION("""COMPUTED_VALUE"""),"-")</f>
        <v>-</v>
      </c>
      <c r="J497" s="19">
        <f>IFERROR(__xludf.DUMMYFUNCTION("""COMPUTED_VALUE"""),0.0019)</f>
        <v>0.0019</v>
      </c>
      <c r="K497" s="19">
        <f>IFERROR(__xludf.DUMMYFUNCTION("""COMPUTED_VALUE"""),0.03966)</f>
        <v>0.03966</v>
      </c>
      <c r="L497" s="19" t="str">
        <f>IFERROR(__xludf.DUMMYFUNCTION("""COMPUTED_VALUE"""),"-")</f>
        <v>-</v>
      </c>
      <c r="M497" s="19">
        <f>IFERROR(__xludf.DUMMYFUNCTION("""COMPUTED_VALUE"""),0.03961)</f>
        <v>0.03961</v>
      </c>
    </row>
    <row r="498">
      <c r="A498" s="12" t="s">
        <v>8388</v>
      </c>
      <c r="G498" s="19">
        <f>IFERROR(__xludf.DUMMYFUNCTION("SPLIT(A496, "" |"")"),494.0)</f>
        <v>494</v>
      </c>
      <c r="H498" s="19">
        <f>IFERROR(__xludf.DUMMYFUNCTION("""COMPUTED_VALUE"""),0.00209)</f>
        <v>0.00209</v>
      </c>
      <c r="I498" s="19" t="str">
        <f>IFERROR(__xludf.DUMMYFUNCTION("""COMPUTED_VALUE"""),"-")</f>
        <v>-</v>
      </c>
      <c r="J498" s="19">
        <f>IFERROR(__xludf.DUMMYFUNCTION("""COMPUTED_VALUE"""),0.00195)</f>
        <v>0.00195</v>
      </c>
      <c r="K498" s="19">
        <f>IFERROR(__xludf.DUMMYFUNCTION("""COMPUTED_VALUE"""),0.03978)</f>
        <v>0.03978</v>
      </c>
      <c r="L498" s="19" t="str">
        <f>IFERROR(__xludf.DUMMYFUNCTION("""COMPUTED_VALUE"""),"-")</f>
        <v>-</v>
      </c>
      <c r="M498" s="19">
        <f>IFERROR(__xludf.DUMMYFUNCTION("""COMPUTED_VALUE"""),0.0398)</f>
        <v>0.0398</v>
      </c>
    </row>
    <row r="499">
      <c r="A499" s="12" t="s">
        <v>8389</v>
      </c>
      <c r="G499" s="19">
        <f>IFERROR(__xludf.DUMMYFUNCTION("SPLIT(A497, "" |"")"),495.0)</f>
        <v>495</v>
      </c>
      <c r="H499" s="19">
        <f>IFERROR(__xludf.DUMMYFUNCTION("""COMPUTED_VALUE"""),0.00207)</f>
        <v>0.00207</v>
      </c>
      <c r="I499" s="19" t="str">
        <f>IFERROR(__xludf.DUMMYFUNCTION("""COMPUTED_VALUE"""),"-")</f>
        <v>-</v>
      </c>
      <c r="J499" s="19">
        <f>IFERROR(__xludf.DUMMYFUNCTION("""COMPUTED_VALUE"""),0.00198)</f>
        <v>0.00198</v>
      </c>
      <c r="K499" s="19">
        <f>IFERROR(__xludf.DUMMYFUNCTION("""COMPUTED_VALUE"""),0.03965)</f>
        <v>0.03965</v>
      </c>
      <c r="L499" s="19" t="str">
        <f>IFERROR(__xludf.DUMMYFUNCTION("""COMPUTED_VALUE"""),"-")</f>
        <v>-</v>
      </c>
      <c r="M499" s="19">
        <f>IFERROR(__xludf.DUMMYFUNCTION("""COMPUTED_VALUE"""),0.03985)</f>
        <v>0.03985</v>
      </c>
    </row>
    <row r="500">
      <c r="A500" s="12" t="s">
        <v>8390</v>
      </c>
      <c r="G500" s="19">
        <f>IFERROR(__xludf.DUMMYFUNCTION("SPLIT(A498, "" |"")"),496.0)</f>
        <v>496</v>
      </c>
      <c r="H500" s="19">
        <f>IFERROR(__xludf.DUMMYFUNCTION("""COMPUTED_VALUE"""),0.00214)</f>
        <v>0.00214</v>
      </c>
      <c r="I500" s="19" t="str">
        <f>IFERROR(__xludf.DUMMYFUNCTION("""COMPUTED_VALUE"""),"-")</f>
        <v>-</v>
      </c>
      <c r="J500" s="19">
        <f>IFERROR(__xludf.DUMMYFUNCTION("""COMPUTED_VALUE"""),0.00203)</f>
        <v>0.00203</v>
      </c>
      <c r="K500" s="19">
        <f>IFERROR(__xludf.DUMMYFUNCTION("""COMPUTED_VALUE"""),0.03966)</f>
        <v>0.03966</v>
      </c>
      <c r="L500" s="19" t="str">
        <f>IFERROR(__xludf.DUMMYFUNCTION("""COMPUTED_VALUE"""),"-")</f>
        <v>-</v>
      </c>
      <c r="M500" s="19">
        <f>IFERROR(__xludf.DUMMYFUNCTION("""COMPUTED_VALUE"""),0.03984)</f>
        <v>0.03984</v>
      </c>
    </row>
    <row r="501">
      <c r="A501" s="12" t="s">
        <v>8391</v>
      </c>
      <c r="G501" s="19">
        <f>IFERROR(__xludf.DUMMYFUNCTION("SPLIT(A499, "" |"")"),497.0)</f>
        <v>497</v>
      </c>
      <c r="H501" s="19">
        <f>IFERROR(__xludf.DUMMYFUNCTION("""COMPUTED_VALUE"""),0.00215)</f>
        <v>0.00215</v>
      </c>
      <c r="I501" s="19" t="str">
        <f>IFERROR(__xludf.DUMMYFUNCTION("""COMPUTED_VALUE"""),"-")</f>
        <v>-</v>
      </c>
      <c r="J501" s="19">
        <f>IFERROR(__xludf.DUMMYFUNCTION("""COMPUTED_VALUE"""),0.00198)</f>
        <v>0.00198</v>
      </c>
      <c r="K501" s="19">
        <f>IFERROR(__xludf.DUMMYFUNCTION("""COMPUTED_VALUE"""),0.03969)</f>
        <v>0.03969</v>
      </c>
      <c r="L501" s="19" t="str">
        <f>IFERROR(__xludf.DUMMYFUNCTION("""COMPUTED_VALUE"""),"-")</f>
        <v>-</v>
      </c>
      <c r="M501" s="19">
        <f>IFERROR(__xludf.DUMMYFUNCTION("""COMPUTED_VALUE"""),0.03762)</f>
        <v>0.03762</v>
      </c>
    </row>
    <row r="502">
      <c r="A502" s="12" t="s">
        <v>8392</v>
      </c>
      <c r="G502" s="19">
        <f>IFERROR(__xludf.DUMMYFUNCTION("SPLIT(A500, "" |"")"),498.0)</f>
        <v>498</v>
      </c>
      <c r="H502" s="19">
        <f>IFERROR(__xludf.DUMMYFUNCTION("""COMPUTED_VALUE"""),0.00218)</f>
        <v>0.00218</v>
      </c>
      <c r="I502" s="19" t="str">
        <f>IFERROR(__xludf.DUMMYFUNCTION("""COMPUTED_VALUE"""),"-")</f>
        <v>-</v>
      </c>
      <c r="J502" s="19">
        <f>IFERROR(__xludf.DUMMYFUNCTION("""COMPUTED_VALUE"""),0.00199)</f>
        <v>0.00199</v>
      </c>
      <c r="K502" s="19">
        <f>IFERROR(__xludf.DUMMYFUNCTION("""COMPUTED_VALUE"""),0.03742)</f>
        <v>0.03742</v>
      </c>
      <c r="L502" s="19" t="str">
        <f>IFERROR(__xludf.DUMMYFUNCTION("""COMPUTED_VALUE"""),"-")</f>
        <v>-</v>
      </c>
      <c r="M502" s="19">
        <f>IFERROR(__xludf.DUMMYFUNCTION("""COMPUTED_VALUE"""),0.04021)</f>
        <v>0.04021</v>
      </c>
    </row>
    <row r="503">
      <c r="A503" s="12" t="s">
        <v>8393</v>
      </c>
      <c r="G503" s="19">
        <f>IFERROR(__xludf.DUMMYFUNCTION("SPLIT(A501, "" |"")"),499.0)</f>
        <v>499</v>
      </c>
      <c r="H503" s="19">
        <f>IFERROR(__xludf.DUMMYFUNCTION("""COMPUTED_VALUE"""),0.00229)</f>
        <v>0.00229</v>
      </c>
      <c r="I503" s="19" t="str">
        <f>IFERROR(__xludf.DUMMYFUNCTION("""COMPUTED_VALUE"""),"-")</f>
        <v>-</v>
      </c>
      <c r="J503" s="19">
        <f>IFERROR(__xludf.DUMMYFUNCTION("""COMPUTED_VALUE"""),0.00223)</f>
        <v>0.00223</v>
      </c>
      <c r="K503" s="19">
        <f>IFERROR(__xludf.DUMMYFUNCTION("""COMPUTED_VALUE"""),0.03997)</f>
        <v>0.03997</v>
      </c>
      <c r="L503" s="19" t="str">
        <f>IFERROR(__xludf.DUMMYFUNCTION("""COMPUTED_VALUE"""),"-")</f>
        <v>-</v>
      </c>
      <c r="M503" s="19">
        <f>IFERROR(__xludf.DUMMYFUNCTION("""COMPUTED_VALUE"""),0.03994)</f>
        <v>0.03994</v>
      </c>
    </row>
    <row r="504">
      <c r="A504" s="12" t="s">
        <v>8394</v>
      </c>
      <c r="G504" s="19">
        <f>IFERROR(__xludf.DUMMYFUNCTION("SPLIT(A502, "" |"")"),500.0)</f>
        <v>500</v>
      </c>
      <c r="H504" s="19">
        <f>IFERROR(__xludf.DUMMYFUNCTION("""COMPUTED_VALUE"""),0.00228)</f>
        <v>0.00228</v>
      </c>
      <c r="I504" s="19" t="str">
        <f>IFERROR(__xludf.DUMMYFUNCTION("""COMPUTED_VALUE"""),"-")</f>
        <v>-</v>
      </c>
      <c r="J504" s="19">
        <f>IFERROR(__xludf.DUMMYFUNCTION("""COMPUTED_VALUE"""),0.00203)</f>
        <v>0.00203</v>
      </c>
      <c r="K504" s="19">
        <f>IFERROR(__xludf.DUMMYFUNCTION("""COMPUTED_VALUE"""),0.04019)</f>
        <v>0.04019</v>
      </c>
      <c r="L504" s="19" t="str">
        <f>IFERROR(__xludf.DUMMYFUNCTION("""COMPUTED_VALUE"""),"-")</f>
        <v>-</v>
      </c>
      <c r="M504" s="19">
        <f>IFERROR(__xludf.DUMMYFUNCTION("""COMPUTED_VALUE"""),0.04037)</f>
        <v>0.04037</v>
      </c>
    </row>
    <row r="505">
      <c r="A505" s="12" t="s">
        <v>8395</v>
      </c>
      <c r="G505" s="19">
        <f>IFERROR(__xludf.DUMMYFUNCTION("SPLIT(A503, "" |"")"),501.0)</f>
        <v>501</v>
      </c>
      <c r="H505" s="19">
        <f>IFERROR(__xludf.DUMMYFUNCTION("""COMPUTED_VALUE"""),0.00218)</f>
        <v>0.00218</v>
      </c>
      <c r="I505" s="19" t="str">
        <f>IFERROR(__xludf.DUMMYFUNCTION("""COMPUTED_VALUE"""),"-")</f>
        <v>-</v>
      </c>
      <c r="J505" s="19">
        <f>IFERROR(__xludf.DUMMYFUNCTION("""COMPUTED_VALUE"""),0.00193)</f>
        <v>0.00193</v>
      </c>
      <c r="K505" s="19">
        <f>IFERROR(__xludf.DUMMYFUNCTION("""COMPUTED_VALUE"""),0.03693)</f>
        <v>0.03693</v>
      </c>
      <c r="L505" s="19" t="str">
        <f>IFERROR(__xludf.DUMMYFUNCTION("""COMPUTED_VALUE"""),"-")</f>
        <v>-</v>
      </c>
      <c r="M505" s="19">
        <f>IFERROR(__xludf.DUMMYFUNCTION("""COMPUTED_VALUE"""),0.0403)</f>
        <v>0.0403</v>
      </c>
    </row>
    <row r="506">
      <c r="A506" s="12" t="s">
        <v>8396</v>
      </c>
      <c r="G506" s="19">
        <f>IFERROR(__xludf.DUMMYFUNCTION("SPLIT(A504, "" |"")"),502.0)</f>
        <v>502</v>
      </c>
      <c r="H506" s="19">
        <f>IFERROR(__xludf.DUMMYFUNCTION("""COMPUTED_VALUE"""),0.00195)</f>
        <v>0.00195</v>
      </c>
      <c r="I506" s="19" t="str">
        <f>IFERROR(__xludf.DUMMYFUNCTION("""COMPUTED_VALUE"""),"-")</f>
        <v>-</v>
      </c>
      <c r="J506" s="19">
        <f>IFERROR(__xludf.DUMMYFUNCTION("""COMPUTED_VALUE"""),0.00188)</f>
        <v>0.00188</v>
      </c>
      <c r="K506" s="19">
        <f>IFERROR(__xludf.DUMMYFUNCTION("""COMPUTED_VALUE"""),0.03961)</f>
        <v>0.03961</v>
      </c>
      <c r="L506" s="19" t="str">
        <f>IFERROR(__xludf.DUMMYFUNCTION("""COMPUTED_VALUE"""),"-")</f>
        <v>-</v>
      </c>
      <c r="M506" s="19">
        <f>IFERROR(__xludf.DUMMYFUNCTION("""COMPUTED_VALUE"""),0.0403)</f>
        <v>0.0403</v>
      </c>
    </row>
    <row r="507">
      <c r="A507" s="12" t="s">
        <v>8397</v>
      </c>
      <c r="G507" s="19">
        <f>IFERROR(__xludf.DUMMYFUNCTION("SPLIT(A505, "" |"")"),503.0)</f>
        <v>503</v>
      </c>
      <c r="H507" s="19">
        <f>IFERROR(__xludf.DUMMYFUNCTION("""COMPUTED_VALUE"""),0.00213)</f>
        <v>0.00213</v>
      </c>
      <c r="I507" s="19" t="str">
        <f>IFERROR(__xludf.DUMMYFUNCTION("""COMPUTED_VALUE"""),"-")</f>
        <v>-</v>
      </c>
      <c r="J507" s="19">
        <f>IFERROR(__xludf.DUMMYFUNCTION("""COMPUTED_VALUE"""),0.00208)</f>
        <v>0.00208</v>
      </c>
      <c r="K507" s="19">
        <f>IFERROR(__xludf.DUMMYFUNCTION("""COMPUTED_VALUE"""),0.03773)</f>
        <v>0.03773</v>
      </c>
      <c r="L507" s="19" t="str">
        <f>IFERROR(__xludf.DUMMYFUNCTION("""COMPUTED_VALUE"""),"-")</f>
        <v>-</v>
      </c>
      <c r="M507" s="19">
        <f>IFERROR(__xludf.DUMMYFUNCTION("""COMPUTED_VALUE"""),0.04039)</f>
        <v>0.04039</v>
      </c>
    </row>
    <row r="508">
      <c r="A508" s="12" t="s">
        <v>8398</v>
      </c>
      <c r="G508" s="19">
        <f>IFERROR(__xludf.DUMMYFUNCTION("SPLIT(A506, "" |"")"),504.0)</f>
        <v>504</v>
      </c>
      <c r="H508" s="19">
        <f>IFERROR(__xludf.DUMMYFUNCTION("""COMPUTED_VALUE"""),0.00214)</f>
        <v>0.00214</v>
      </c>
      <c r="I508" s="19" t="str">
        <f>IFERROR(__xludf.DUMMYFUNCTION("""COMPUTED_VALUE"""),"-")</f>
        <v>-</v>
      </c>
      <c r="J508" s="19">
        <f>IFERROR(__xludf.DUMMYFUNCTION("""COMPUTED_VALUE"""),0.00187)</f>
        <v>0.00187</v>
      </c>
      <c r="K508" s="19">
        <f>IFERROR(__xludf.DUMMYFUNCTION("""COMPUTED_VALUE"""),0.03982)</f>
        <v>0.03982</v>
      </c>
      <c r="L508" s="19" t="str">
        <f>IFERROR(__xludf.DUMMYFUNCTION("""COMPUTED_VALUE"""),"-")</f>
        <v>-</v>
      </c>
      <c r="M508" s="19">
        <f>IFERROR(__xludf.DUMMYFUNCTION("""COMPUTED_VALUE"""),0.0383)</f>
        <v>0.0383</v>
      </c>
    </row>
    <row r="509">
      <c r="A509" s="12" t="s">
        <v>8399</v>
      </c>
      <c r="G509" s="19">
        <f>IFERROR(__xludf.DUMMYFUNCTION("SPLIT(A507, "" |"")"),505.0)</f>
        <v>505</v>
      </c>
      <c r="H509" s="19">
        <f>IFERROR(__xludf.DUMMYFUNCTION("""COMPUTED_VALUE"""),0.00215)</f>
        <v>0.00215</v>
      </c>
      <c r="I509" s="19" t="str">
        <f>IFERROR(__xludf.DUMMYFUNCTION("""COMPUTED_VALUE"""),"-")</f>
        <v>-</v>
      </c>
      <c r="J509" s="19">
        <f>IFERROR(__xludf.DUMMYFUNCTION("""COMPUTED_VALUE"""),0.00204)</f>
        <v>0.00204</v>
      </c>
      <c r="K509" s="19">
        <f>IFERROR(__xludf.DUMMYFUNCTION("""COMPUTED_VALUE"""),0.04031)</f>
        <v>0.04031</v>
      </c>
      <c r="L509" s="19" t="str">
        <f>IFERROR(__xludf.DUMMYFUNCTION("""COMPUTED_VALUE"""),"-")</f>
        <v>-</v>
      </c>
      <c r="M509" s="19">
        <f>IFERROR(__xludf.DUMMYFUNCTION("""COMPUTED_VALUE"""),0.04008)</f>
        <v>0.04008</v>
      </c>
    </row>
    <row r="510">
      <c r="A510" s="12" t="s">
        <v>8400</v>
      </c>
      <c r="G510" s="19">
        <f>IFERROR(__xludf.DUMMYFUNCTION("SPLIT(A508, "" |"")"),506.0)</f>
        <v>506</v>
      </c>
      <c r="H510" s="19">
        <f>IFERROR(__xludf.DUMMYFUNCTION("""COMPUTED_VALUE"""),0.00222)</f>
        <v>0.00222</v>
      </c>
      <c r="I510" s="19" t="str">
        <f>IFERROR(__xludf.DUMMYFUNCTION("""COMPUTED_VALUE"""),"-")</f>
        <v>-</v>
      </c>
      <c r="J510" s="19">
        <f>IFERROR(__xludf.DUMMYFUNCTION("""COMPUTED_VALUE"""),0.00191)</f>
        <v>0.00191</v>
      </c>
      <c r="K510" s="19">
        <f>IFERROR(__xludf.DUMMYFUNCTION("""COMPUTED_VALUE"""),0.03728)</f>
        <v>0.03728</v>
      </c>
      <c r="L510" s="19" t="str">
        <f>IFERROR(__xludf.DUMMYFUNCTION("""COMPUTED_VALUE"""),"-")</f>
        <v>-</v>
      </c>
      <c r="M510" s="19">
        <f>IFERROR(__xludf.DUMMYFUNCTION("""COMPUTED_VALUE"""),0.04023)</f>
        <v>0.04023</v>
      </c>
    </row>
    <row r="511">
      <c r="A511" s="12" t="s">
        <v>8401</v>
      </c>
      <c r="G511" s="19">
        <f>IFERROR(__xludf.DUMMYFUNCTION("SPLIT(A509, "" |"")"),507.0)</f>
        <v>507</v>
      </c>
      <c r="H511" s="19">
        <f>IFERROR(__xludf.DUMMYFUNCTION("""COMPUTED_VALUE"""),0.00221)</f>
        <v>0.00221</v>
      </c>
      <c r="I511" s="19" t="str">
        <f>IFERROR(__xludf.DUMMYFUNCTION("""COMPUTED_VALUE"""),"-")</f>
        <v>-</v>
      </c>
      <c r="J511" s="19">
        <f>IFERROR(__xludf.DUMMYFUNCTION("""COMPUTED_VALUE"""),0.00226)</f>
        <v>0.00226</v>
      </c>
      <c r="K511" s="19">
        <f>IFERROR(__xludf.DUMMYFUNCTION("""COMPUTED_VALUE"""),0.03846)</f>
        <v>0.03846</v>
      </c>
      <c r="L511" s="19" t="str">
        <f>IFERROR(__xludf.DUMMYFUNCTION("""COMPUTED_VALUE"""),"-")</f>
        <v>-</v>
      </c>
      <c r="M511" s="19">
        <f>IFERROR(__xludf.DUMMYFUNCTION("""COMPUTED_VALUE"""),0.0401)</f>
        <v>0.0401</v>
      </c>
    </row>
    <row r="512">
      <c r="A512" s="12" t="s">
        <v>8402</v>
      </c>
      <c r="G512" s="19">
        <f>IFERROR(__xludf.DUMMYFUNCTION("SPLIT(A510, "" |"")"),508.0)</f>
        <v>508</v>
      </c>
      <c r="H512" s="19">
        <f>IFERROR(__xludf.DUMMYFUNCTION("""COMPUTED_VALUE"""),0.00226)</f>
        <v>0.00226</v>
      </c>
      <c r="I512" s="19" t="str">
        <f>IFERROR(__xludf.DUMMYFUNCTION("""COMPUTED_VALUE"""),"-")</f>
        <v>-</v>
      </c>
      <c r="J512" s="19">
        <f>IFERROR(__xludf.DUMMYFUNCTION("""COMPUTED_VALUE"""),0.00204)</f>
        <v>0.00204</v>
      </c>
      <c r="K512" s="19">
        <f>IFERROR(__xludf.DUMMYFUNCTION("""COMPUTED_VALUE"""),0.03874)</f>
        <v>0.03874</v>
      </c>
      <c r="L512" s="19" t="str">
        <f>IFERROR(__xludf.DUMMYFUNCTION("""COMPUTED_VALUE"""),"-")</f>
        <v>-</v>
      </c>
      <c r="M512" s="19">
        <f>IFERROR(__xludf.DUMMYFUNCTION("""COMPUTED_VALUE"""),0.03995)</f>
        <v>0.03995</v>
      </c>
    </row>
    <row r="513">
      <c r="A513" s="12" t="s">
        <v>8403</v>
      </c>
      <c r="G513" s="19">
        <f>IFERROR(__xludf.DUMMYFUNCTION("SPLIT(A511, "" |"")"),509.0)</f>
        <v>509</v>
      </c>
      <c r="H513" s="19">
        <f>IFERROR(__xludf.DUMMYFUNCTION("""COMPUTED_VALUE"""),0.00222)</f>
        <v>0.00222</v>
      </c>
      <c r="I513" s="19" t="str">
        <f>IFERROR(__xludf.DUMMYFUNCTION("""COMPUTED_VALUE"""),"-")</f>
        <v>-</v>
      </c>
      <c r="J513" s="19">
        <f>IFERROR(__xludf.DUMMYFUNCTION("""COMPUTED_VALUE"""),0.00257)</f>
        <v>0.00257</v>
      </c>
      <c r="K513" s="19">
        <f>IFERROR(__xludf.DUMMYFUNCTION("""COMPUTED_VALUE"""),0.03986)</f>
        <v>0.03986</v>
      </c>
      <c r="L513" s="19" t="str">
        <f>IFERROR(__xludf.DUMMYFUNCTION("""COMPUTED_VALUE"""),"-")</f>
        <v>-</v>
      </c>
      <c r="M513" s="19">
        <f>IFERROR(__xludf.DUMMYFUNCTION("""COMPUTED_VALUE"""),0.04056)</f>
        <v>0.04056</v>
      </c>
    </row>
    <row r="514">
      <c r="A514" s="12" t="s">
        <v>8404</v>
      </c>
      <c r="G514" s="19">
        <f>IFERROR(__xludf.DUMMYFUNCTION("SPLIT(A512, "" |"")"),510.0)</f>
        <v>510</v>
      </c>
      <c r="H514" s="19">
        <f>IFERROR(__xludf.DUMMYFUNCTION("""COMPUTED_VALUE"""),0.00213)</f>
        <v>0.00213</v>
      </c>
      <c r="I514" s="19" t="str">
        <f>IFERROR(__xludf.DUMMYFUNCTION("""COMPUTED_VALUE"""),"-")</f>
        <v>-</v>
      </c>
      <c r="J514" s="19">
        <f>IFERROR(__xludf.DUMMYFUNCTION("""COMPUTED_VALUE"""),0.00189)</f>
        <v>0.00189</v>
      </c>
      <c r="K514" s="19">
        <f>IFERROR(__xludf.DUMMYFUNCTION("""COMPUTED_VALUE"""),0.03961)</f>
        <v>0.03961</v>
      </c>
      <c r="L514" s="19" t="str">
        <f>IFERROR(__xludf.DUMMYFUNCTION("""COMPUTED_VALUE"""),"-")</f>
        <v>-</v>
      </c>
      <c r="M514" s="19">
        <f>IFERROR(__xludf.DUMMYFUNCTION("""COMPUTED_VALUE"""),0.0401)</f>
        <v>0.0401</v>
      </c>
    </row>
    <row r="515">
      <c r="A515" s="12" t="s">
        <v>8405</v>
      </c>
      <c r="G515" s="19">
        <f>IFERROR(__xludf.DUMMYFUNCTION("SPLIT(A513, "" |"")"),511.0)</f>
        <v>511</v>
      </c>
      <c r="H515" s="19">
        <f>IFERROR(__xludf.DUMMYFUNCTION("""COMPUTED_VALUE"""),0.00194)</f>
        <v>0.00194</v>
      </c>
      <c r="I515" s="19" t="str">
        <f>IFERROR(__xludf.DUMMYFUNCTION("""COMPUTED_VALUE"""),"-")</f>
        <v>-</v>
      </c>
      <c r="J515" s="19">
        <f>IFERROR(__xludf.DUMMYFUNCTION("""COMPUTED_VALUE"""),0.00181)</f>
        <v>0.00181</v>
      </c>
      <c r="K515" s="19">
        <f>IFERROR(__xludf.DUMMYFUNCTION("""COMPUTED_VALUE"""),0.03947)</f>
        <v>0.03947</v>
      </c>
      <c r="L515" s="19" t="str">
        <f>IFERROR(__xludf.DUMMYFUNCTION("""COMPUTED_VALUE"""),"-")</f>
        <v>-</v>
      </c>
      <c r="M515" s="19">
        <f>IFERROR(__xludf.DUMMYFUNCTION("""COMPUTED_VALUE"""),0.03914)</f>
        <v>0.03914</v>
      </c>
    </row>
    <row r="516">
      <c r="A516" s="12" t="s">
        <v>8406</v>
      </c>
      <c r="G516" s="19">
        <f>IFERROR(__xludf.DUMMYFUNCTION("SPLIT(A514, "" |"")"),512.0)</f>
        <v>512</v>
      </c>
      <c r="H516" s="19">
        <f>IFERROR(__xludf.DUMMYFUNCTION("""COMPUTED_VALUE"""),0.00211)</f>
        <v>0.00211</v>
      </c>
      <c r="I516" s="19" t="str">
        <f>IFERROR(__xludf.DUMMYFUNCTION("""COMPUTED_VALUE"""),"-")</f>
        <v>-</v>
      </c>
      <c r="J516" s="19">
        <f>IFERROR(__xludf.DUMMYFUNCTION("""COMPUTED_VALUE"""),0.00193)</f>
        <v>0.00193</v>
      </c>
      <c r="K516" s="19">
        <f>IFERROR(__xludf.DUMMYFUNCTION("""COMPUTED_VALUE"""),0.03618)</f>
        <v>0.03618</v>
      </c>
      <c r="L516" s="19" t="str">
        <f>IFERROR(__xludf.DUMMYFUNCTION("""COMPUTED_VALUE"""),"-")</f>
        <v>-</v>
      </c>
      <c r="M516" s="19">
        <f>IFERROR(__xludf.DUMMYFUNCTION("""COMPUTED_VALUE"""),0.04011)</f>
        <v>0.04011</v>
      </c>
    </row>
    <row r="517">
      <c r="A517" s="12" t="s">
        <v>8407</v>
      </c>
      <c r="G517" s="19">
        <f>IFERROR(__xludf.DUMMYFUNCTION("SPLIT(A515, "" |"")"),513.0)</f>
        <v>513</v>
      </c>
      <c r="H517" s="19">
        <f>IFERROR(__xludf.DUMMYFUNCTION("""COMPUTED_VALUE"""),0.00222)</f>
        <v>0.00222</v>
      </c>
      <c r="I517" s="19" t="str">
        <f>IFERROR(__xludf.DUMMYFUNCTION("""COMPUTED_VALUE"""),"-")</f>
        <v>-</v>
      </c>
      <c r="J517" s="19">
        <f>IFERROR(__xludf.DUMMYFUNCTION("""COMPUTED_VALUE"""),0.00185)</f>
        <v>0.00185</v>
      </c>
      <c r="K517" s="19">
        <f>IFERROR(__xludf.DUMMYFUNCTION("""COMPUTED_VALUE"""),0.03964)</f>
        <v>0.03964</v>
      </c>
      <c r="L517" s="19" t="str">
        <f>IFERROR(__xludf.DUMMYFUNCTION("""COMPUTED_VALUE"""),"-")</f>
        <v>-</v>
      </c>
      <c r="M517" s="19">
        <f>IFERROR(__xludf.DUMMYFUNCTION("""COMPUTED_VALUE"""),0.03934)</f>
        <v>0.03934</v>
      </c>
    </row>
    <row r="518">
      <c r="A518" s="12" t="s">
        <v>8408</v>
      </c>
      <c r="G518" s="19">
        <f>IFERROR(__xludf.DUMMYFUNCTION("SPLIT(A516, "" |"")"),514.0)</f>
        <v>514</v>
      </c>
      <c r="H518" s="19">
        <f>IFERROR(__xludf.DUMMYFUNCTION("""COMPUTED_VALUE"""),0.00223)</f>
        <v>0.00223</v>
      </c>
      <c r="I518" s="19" t="str">
        <f>IFERROR(__xludf.DUMMYFUNCTION("""COMPUTED_VALUE"""),"-")</f>
        <v>-</v>
      </c>
      <c r="J518" s="19">
        <f>IFERROR(__xludf.DUMMYFUNCTION("""COMPUTED_VALUE"""),0.00197)</f>
        <v>0.00197</v>
      </c>
      <c r="K518" s="19">
        <f>IFERROR(__xludf.DUMMYFUNCTION("""COMPUTED_VALUE"""),0.03989)</f>
        <v>0.03989</v>
      </c>
      <c r="L518" s="19" t="str">
        <f>IFERROR(__xludf.DUMMYFUNCTION("""COMPUTED_VALUE"""),"-")</f>
        <v>-</v>
      </c>
      <c r="M518" s="19">
        <f>IFERROR(__xludf.DUMMYFUNCTION("""COMPUTED_VALUE"""),0.03983)</f>
        <v>0.03983</v>
      </c>
    </row>
    <row r="519">
      <c r="A519" s="12" t="s">
        <v>8409</v>
      </c>
      <c r="G519" s="19">
        <f>IFERROR(__xludf.DUMMYFUNCTION("SPLIT(A517, "" |"")"),515.0)</f>
        <v>515</v>
      </c>
      <c r="H519" s="19">
        <f>IFERROR(__xludf.DUMMYFUNCTION("""COMPUTED_VALUE"""),0.00224)</f>
        <v>0.00224</v>
      </c>
      <c r="I519" s="19" t="str">
        <f>IFERROR(__xludf.DUMMYFUNCTION("""COMPUTED_VALUE"""),"-")</f>
        <v>-</v>
      </c>
      <c r="J519" s="19">
        <f>IFERROR(__xludf.DUMMYFUNCTION("""COMPUTED_VALUE"""),0.00192)</f>
        <v>0.00192</v>
      </c>
      <c r="K519" s="19">
        <f>IFERROR(__xludf.DUMMYFUNCTION("""COMPUTED_VALUE"""),0.04006)</f>
        <v>0.04006</v>
      </c>
      <c r="L519" s="19" t="str">
        <f>IFERROR(__xludf.DUMMYFUNCTION("""COMPUTED_VALUE"""),"-")</f>
        <v>-</v>
      </c>
      <c r="M519" s="19">
        <f>IFERROR(__xludf.DUMMYFUNCTION("""COMPUTED_VALUE"""),0.03988)</f>
        <v>0.03988</v>
      </c>
    </row>
    <row r="520">
      <c r="A520" s="12" t="s">
        <v>8410</v>
      </c>
      <c r="G520" s="19">
        <f>IFERROR(__xludf.DUMMYFUNCTION("SPLIT(A518, "" |"")"),516.0)</f>
        <v>516</v>
      </c>
      <c r="H520" s="19">
        <f>IFERROR(__xludf.DUMMYFUNCTION("""COMPUTED_VALUE"""),0.00216)</f>
        <v>0.00216</v>
      </c>
      <c r="I520" s="19" t="str">
        <f>IFERROR(__xludf.DUMMYFUNCTION("""COMPUTED_VALUE"""),"-")</f>
        <v>-</v>
      </c>
      <c r="J520" s="19">
        <f>IFERROR(__xludf.DUMMYFUNCTION("""COMPUTED_VALUE"""),0.00189)</f>
        <v>0.00189</v>
      </c>
      <c r="K520" s="19">
        <f>IFERROR(__xludf.DUMMYFUNCTION("""COMPUTED_VALUE"""),0.03976)</f>
        <v>0.03976</v>
      </c>
      <c r="L520" s="19" t="str">
        <f>IFERROR(__xludf.DUMMYFUNCTION("""COMPUTED_VALUE"""),"-")</f>
        <v>-</v>
      </c>
      <c r="M520" s="19">
        <f>IFERROR(__xludf.DUMMYFUNCTION("""COMPUTED_VALUE"""),0.03993)</f>
        <v>0.03993</v>
      </c>
    </row>
    <row r="521">
      <c r="A521" s="12" t="s">
        <v>8411</v>
      </c>
      <c r="G521" s="19">
        <f>IFERROR(__xludf.DUMMYFUNCTION("SPLIT(A519, "" |"")"),517.0)</f>
        <v>517</v>
      </c>
      <c r="H521" s="19">
        <f>IFERROR(__xludf.DUMMYFUNCTION("""COMPUTED_VALUE"""),0.00215)</f>
        <v>0.00215</v>
      </c>
      <c r="I521" s="19" t="str">
        <f>IFERROR(__xludf.DUMMYFUNCTION("""COMPUTED_VALUE"""),"-")</f>
        <v>-</v>
      </c>
      <c r="J521" s="19">
        <f>IFERROR(__xludf.DUMMYFUNCTION("""COMPUTED_VALUE"""),0.00192)</f>
        <v>0.00192</v>
      </c>
      <c r="K521" s="19">
        <f>IFERROR(__xludf.DUMMYFUNCTION("""COMPUTED_VALUE"""),0.03968)</f>
        <v>0.03968</v>
      </c>
      <c r="L521" s="19" t="str">
        <f>IFERROR(__xludf.DUMMYFUNCTION("""COMPUTED_VALUE"""),"-")</f>
        <v>-</v>
      </c>
      <c r="M521" s="19">
        <f>IFERROR(__xludf.DUMMYFUNCTION("""COMPUTED_VALUE"""),0.04033)</f>
        <v>0.04033</v>
      </c>
    </row>
    <row r="522">
      <c r="A522" s="12" t="s">
        <v>8412</v>
      </c>
      <c r="G522" s="19">
        <f>IFERROR(__xludf.DUMMYFUNCTION("SPLIT(A520, "" |"")"),518.0)</f>
        <v>518</v>
      </c>
      <c r="H522" s="19">
        <f>IFERROR(__xludf.DUMMYFUNCTION("""COMPUTED_VALUE"""),0.00208)</f>
        <v>0.00208</v>
      </c>
      <c r="I522" s="19" t="str">
        <f>IFERROR(__xludf.DUMMYFUNCTION("""COMPUTED_VALUE"""),"-")</f>
        <v>-</v>
      </c>
      <c r="J522" s="19">
        <f>IFERROR(__xludf.DUMMYFUNCTION("""COMPUTED_VALUE"""),0.00192)</f>
        <v>0.00192</v>
      </c>
      <c r="K522" s="19">
        <f>IFERROR(__xludf.DUMMYFUNCTION("""COMPUTED_VALUE"""),0.03956)</f>
        <v>0.03956</v>
      </c>
      <c r="L522" s="19" t="str">
        <f>IFERROR(__xludf.DUMMYFUNCTION("""COMPUTED_VALUE"""),"-")</f>
        <v>-</v>
      </c>
      <c r="M522" s="19">
        <f>IFERROR(__xludf.DUMMYFUNCTION("""COMPUTED_VALUE"""),0.04035)</f>
        <v>0.04035</v>
      </c>
    </row>
    <row r="523">
      <c r="A523" s="12" t="s">
        <v>8413</v>
      </c>
      <c r="G523" s="19">
        <f>IFERROR(__xludf.DUMMYFUNCTION("SPLIT(A521, "" |"")"),519.0)</f>
        <v>519</v>
      </c>
      <c r="H523" s="19">
        <f>IFERROR(__xludf.DUMMYFUNCTION("""COMPUTED_VALUE"""),0.00198)</f>
        <v>0.00198</v>
      </c>
      <c r="I523" s="19" t="str">
        <f>IFERROR(__xludf.DUMMYFUNCTION("""COMPUTED_VALUE"""),"-")</f>
        <v>-</v>
      </c>
      <c r="J523" s="19">
        <f>IFERROR(__xludf.DUMMYFUNCTION("""COMPUTED_VALUE"""),0.00184)</f>
        <v>0.00184</v>
      </c>
      <c r="K523" s="19">
        <f>IFERROR(__xludf.DUMMYFUNCTION("""COMPUTED_VALUE"""),0.03958)</f>
        <v>0.03958</v>
      </c>
      <c r="L523" s="19" t="str">
        <f>IFERROR(__xludf.DUMMYFUNCTION("""COMPUTED_VALUE"""),"-")</f>
        <v>-</v>
      </c>
      <c r="M523" s="19">
        <f>IFERROR(__xludf.DUMMYFUNCTION("""COMPUTED_VALUE"""),0.04028)</f>
        <v>0.04028</v>
      </c>
    </row>
    <row r="524">
      <c r="A524" s="12" t="s">
        <v>8414</v>
      </c>
      <c r="G524" s="19">
        <f>IFERROR(__xludf.DUMMYFUNCTION("SPLIT(A522, "" |"")"),520.0)</f>
        <v>520</v>
      </c>
      <c r="H524" s="19">
        <f>IFERROR(__xludf.DUMMYFUNCTION("""COMPUTED_VALUE"""),0.0021)</f>
        <v>0.0021</v>
      </c>
      <c r="I524" s="19" t="str">
        <f>IFERROR(__xludf.DUMMYFUNCTION("""COMPUTED_VALUE"""),"-")</f>
        <v>-</v>
      </c>
      <c r="J524" s="19">
        <f>IFERROR(__xludf.DUMMYFUNCTION("""COMPUTED_VALUE"""),0.00186)</f>
        <v>0.00186</v>
      </c>
      <c r="K524" s="19">
        <f>IFERROR(__xludf.DUMMYFUNCTION("""COMPUTED_VALUE"""),0.03848)</f>
        <v>0.03848</v>
      </c>
      <c r="L524" s="19" t="str">
        <f>IFERROR(__xludf.DUMMYFUNCTION("""COMPUTED_VALUE"""),"-")</f>
        <v>-</v>
      </c>
      <c r="M524" s="19">
        <f>IFERROR(__xludf.DUMMYFUNCTION("""COMPUTED_VALUE"""),0.04022)</f>
        <v>0.04022</v>
      </c>
    </row>
    <row r="525">
      <c r="A525" s="12" t="s">
        <v>8415</v>
      </c>
      <c r="G525" s="19">
        <f>IFERROR(__xludf.DUMMYFUNCTION("SPLIT(A523, "" |"")"),521.0)</f>
        <v>521</v>
      </c>
      <c r="H525" s="19">
        <f>IFERROR(__xludf.DUMMYFUNCTION("""COMPUTED_VALUE"""),0.00214)</f>
        <v>0.00214</v>
      </c>
      <c r="I525" s="19" t="str">
        <f>IFERROR(__xludf.DUMMYFUNCTION("""COMPUTED_VALUE"""),"-")</f>
        <v>-</v>
      </c>
      <c r="J525" s="19">
        <f>IFERROR(__xludf.DUMMYFUNCTION("""COMPUTED_VALUE"""),0.00235)</f>
        <v>0.00235</v>
      </c>
      <c r="K525" s="19">
        <f>IFERROR(__xludf.DUMMYFUNCTION("""COMPUTED_VALUE"""),0.03988)</f>
        <v>0.03988</v>
      </c>
      <c r="L525" s="19" t="str">
        <f>IFERROR(__xludf.DUMMYFUNCTION("""COMPUTED_VALUE"""),"-")</f>
        <v>-</v>
      </c>
      <c r="M525" s="19">
        <f>IFERROR(__xludf.DUMMYFUNCTION("""COMPUTED_VALUE"""),0.03988)</f>
        <v>0.03988</v>
      </c>
    </row>
    <row r="526">
      <c r="A526" s="12" t="s">
        <v>8416</v>
      </c>
      <c r="G526" s="19">
        <f>IFERROR(__xludf.DUMMYFUNCTION("SPLIT(A524, "" |"")"),522.0)</f>
        <v>522</v>
      </c>
      <c r="H526" s="19">
        <f>IFERROR(__xludf.DUMMYFUNCTION("""COMPUTED_VALUE"""),0.00207)</f>
        <v>0.00207</v>
      </c>
      <c r="I526" s="19" t="str">
        <f>IFERROR(__xludf.DUMMYFUNCTION("""COMPUTED_VALUE"""),"-")</f>
        <v>-</v>
      </c>
      <c r="J526" s="19">
        <f>IFERROR(__xludf.DUMMYFUNCTION("""COMPUTED_VALUE"""),0.00203)</f>
        <v>0.00203</v>
      </c>
      <c r="K526" s="19">
        <f>IFERROR(__xludf.DUMMYFUNCTION("""COMPUTED_VALUE"""),0.0395)</f>
        <v>0.0395</v>
      </c>
      <c r="L526" s="19" t="str">
        <f>IFERROR(__xludf.DUMMYFUNCTION("""COMPUTED_VALUE"""),"-")</f>
        <v>-</v>
      </c>
      <c r="M526" s="19">
        <f>IFERROR(__xludf.DUMMYFUNCTION("""COMPUTED_VALUE"""),0.0372)</f>
        <v>0.0372</v>
      </c>
    </row>
    <row r="527">
      <c r="A527" s="12" t="s">
        <v>8417</v>
      </c>
      <c r="G527" s="19">
        <f>IFERROR(__xludf.DUMMYFUNCTION("SPLIT(A525, "" |"")"),523.0)</f>
        <v>523</v>
      </c>
      <c r="H527" s="19">
        <f>IFERROR(__xludf.DUMMYFUNCTION("""COMPUTED_VALUE"""),0.00215)</f>
        <v>0.00215</v>
      </c>
      <c r="I527" s="19" t="str">
        <f>IFERROR(__xludf.DUMMYFUNCTION("""COMPUTED_VALUE"""),"-")</f>
        <v>-</v>
      </c>
      <c r="J527" s="19">
        <f>IFERROR(__xludf.DUMMYFUNCTION("""COMPUTED_VALUE"""),0.00189)</f>
        <v>0.00189</v>
      </c>
      <c r="K527" s="19">
        <f>IFERROR(__xludf.DUMMYFUNCTION("""COMPUTED_VALUE"""),0.03757)</f>
        <v>0.03757</v>
      </c>
      <c r="L527" s="19" t="str">
        <f>IFERROR(__xludf.DUMMYFUNCTION("""COMPUTED_VALUE"""),"-")</f>
        <v>-</v>
      </c>
      <c r="M527" s="19">
        <f>IFERROR(__xludf.DUMMYFUNCTION("""COMPUTED_VALUE"""),0.04007)</f>
        <v>0.04007</v>
      </c>
    </row>
    <row r="528">
      <c r="A528" s="12" t="s">
        <v>8418</v>
      </c>
      <c r="G528" s="19">
        <f>IFERROR(__xludf.DUMMYFUNCTION("SPLIT(A526, "" |"")"),524.0)</f>
        <v>524</v>
      </c>
      <c r="H528" s="19">
        <f>IFERROR(__xludf.DUMMYFUNCTION("""COMPUTED_VALUE"""),0.00233)</f>
        <v>0.00233</v>
      </c>
      <c r="I528" s="19" t="str">
        <f>IFERROR(__xludf.DUMMYFUNCTION("""COMPUTED_VALUE"""),"-")</f>
        <v>-</v>
      </c>
      <c r="J528" s="19">
        <f>IFERROR(__xludf.DUMMYFUNCTION("""COMPUTED_VALUE"""),0.00201)</f>
        <v>0.00201</v>
      </c>
      <c r="K528" s="19">
        <f>IFERROR(__xludf.DUMMYFUNCTION("""COMPUTED_VALUE"""),0.03994)</f>
        <v>0.03994</v>
      </c>
      <c r="L528" s="19" t="str">
        <f>IFERROR(__xludf.DUMMYFUNCTION("""COMPUTED_VALUE"""),"-")</f>
        <v>-</v>
      </c>
      <c r="M528" s="19">
        <f>IFERROR(__xludf.DUMMYFUNCTION("""COMPUTED_VALUE"""),0.04018)</f>
        <v>0.04018</v>
      </c>
    </row>
    <row r="529">
      <c r="A529" s="12" t="s">
        <v>8419</v>
      </c>
      <c r="G529" s="19">
        <f>IFERROR(__xludf.DUMMYFUNCTION("SPLIT(A527, "" |"")"),525.0)</f>
        <v>525</v>
      </c>
      <c r="H529" s="19">
        <f>IFERROR(__xludf.DUMMYFUNCTION("""COMPUTED_VALUE"""),0.00217)</f>
        <v>0.00217</v>
      </c>
      <c r="I529" s="19" t="str">
        <f>IFERROR(__xludf.DUMMYFUNCTION("""COMPUTED_VALUE"""),"-")</f>
        <v>-</v>
      </c>
      <c r="J529" s="19">
        <f>IFERROR(__xludf.DUMMYFUNCTION("""COMPUTED_VALUE"""),0.00206)</f>
        <v>0.00206</v>
      </c>
      <c r="K529" s="19">
        <f>IFERROR(__xludf.DUMMYFUNCTION("""COMPUTED_VALUE"""),0.03763)</f>
        <v>0.03763</v>
      </c>
      <c r="L529" s="19" t="str">
        <f>IFERROR(__xludf.DUMMYFUNCTION("""COMPUTED_VALUE"""),"-")</f>
        <v>-</v>
      </c>
      <c r="M529" s="19">
        <f>IFERROR(__xludf.DUMMYFUNCTION("""COMPUTED_VALUE"""),0.04029)</f>
        <v>0.04029</v>
      </c>
    </row>
    <row r="530">
      <c r="A530" s="12" t="s">
        <v>8420</v>
      </c>
      <c r="G530" s="19">
        <f>IFERROR(__xludf.DUMMYFUNCTION("SPLIT(A528, "" |"")"),526.0)</f>
        <v>526</v>
      </c>
      <c r="H530" s="19">
        <f>IFERROR(__xludf.DUMMYFUNCTION("""COMPUTED_VALUE"""),0.00228)</f>
        <v>0.00228</v>
      </c>
      <c r="I530" s="19" t="str">
        <f>IFERROR(__xludf.DUMMYFUNCTION("""COMPUTED_VALUE"""),"-")</f>
        <v>-</v>
      </c>
      <c r="J530" s="19">
        <f>IFERROR(__xludf.DUMMYFUNCTION("""COMPUTED_VALUE"""),0.00203)</f>
        <v>0.00203</v>
      </c>
      <c r="K530" s="19">
        <f>IFERROR(__xludf.DUMMYFUNCTION("""COMPUTED_VALUE"""),0.03952)</f>
        <v>0.03952</v>
      </c>
      <c r="L530" s="19" t="str">
        <f>IFERROR(__xludf.DUMMYFUNCTION("""COMPUTED_VALUE"""),"-")</f>
        <v>-</v>
      </c>
      <c r="M530" s="19">
        <f>IFERROR(__xludf.DUMMYFUNCTION("""COMPUTED_VALUE"""),0.04023)</f>
        <v>0.04023</v>
      </c>
    </row>
    <row r="531">
      <c r="A531" s="12" t="s">
        <v>8421</v>
      </c>
      <c r="G531" s="19">
        <f>IFERROR(__xludf.DUMMYFUNCTION("SPLIT(A529, "" |"")"),527.0)</f>
        <v>527</v>
      </c>
      <c r="H531" s="19">
        <f>IFERROR(__xludf.DUMMYFUNCTION("""COMPUTED_VALUE"""),0.00217)</f>
        <v>0.00217</v>
      </c>
      <c r="I531" s="19" t="str">
        <f>IFERROR(__xludf.DUMMYFUNCTION("""COMPUTED_VALUE"""),"-")</f>
        <v>-</v>
      </c>
      <c r="J531" s="19">
        <f>IFERROR(__xludf.DUMMYFUNCTION("""COMPUTED_VALUE"""),0.00197)</f>
        <v>0.00197</v>
      </c>
      <c r="K531" s="19">
        <f>IFERROR(__xludf.DUMMYFUNCTION("""COMPUTED_VALUE"""),0.04005)</f>
        <v>0.04005</v>
      </c>
      <c r="L531" s="19" t="str">
        <f>IFERROR(__xludf.DUMMYFUNCTION("""COMPUTED_VALUE"""),"-")</f>
        <v>-</v>
      </c>
      <c r="M531" s="19">
        <f>IFERROR(__xludf.DUMMYFUNCTION("""COMPUTED_VALUE"""),0.03987)</f>
        <v>0.03987</v>
      </c>
    </row>
    <row r="532">
      <c r="A532" s="12" t="s">
        <v>8422</v>
      </c>
      <c r="G532" s="19">
        <f>IFERROR(__xludf.DUMMYFUNCTION("SPLIT(A530, "" |"")"),528.0)</f>
        <v>528</v>
      </c>
      <c r="H532" s="19">
        <f>IFERROR(__xludf.DUMMYFUNCTION("""COMPUTED_VALUE"""),0.00204)</f>
        <v>0.00204</v>
      </c>
      <c r="I532" s="19" t="str">
        <f>IFERROR(__xludf.DUMMYFUNCTION("""COMPUTED_VALUE"""),"-")</f>
        <v>-</v>
      </c>
      <c r="J532" s="19">
        <f>IFERROR(__xludf.DUMMYFUNCTION("""COMPUTED_VALUE"""),0.00184)</f>
        <v>0.00184</v>
      </c>
      <c r="K532" s="19">
        <f>IFERROR(__xludf.DUMMYFUNCTION("""COMPUTED_VALUE"""),0.03942)</f>
        <v>0.03942</v>
      </c>
      <c r="L532" s="19" t="str">
        <f>IFERROR(__xludf.DUMMYFUNCTION("""COMPUTED_VALUE"""),"-")</f>
        <v>-</v>
      </c>
      <c r="M532" s="19">
        <f>IFERROR(__xludf.DUMMYFUNCTION("""COMPUTED_VALUE"""),0.03978)</f>
        <v>0.03978</v>
      </c>
    </row>
    <row r="533">
      <c r="A533" s="12" t="s">
        <v>8423</v>
      </c>
      <c r="G533" s="19">
        <f>IFERROR(__xludf.DUMMYFUNCTION("SPLIT(A531, "" |"")"),529.0)</f>
        <v>529</v>
      </c>
      <c r="H533" s="19">
        <f>IFERROR(__xludf.DUMMYFUNCTION("""COMPUTED_VALUE"""),0.00216)</f>
        <v>0.00216</v>
      </c>
      <c r="I533" s="19" t="str">
        <f>IFERROR(__xludf.DUMMYFUNCTION("""COMPUTED_VALUE"""),"-")</f>
        <v>-</v>
      </c>
      <c r="J533" s="19">
        <f>IFERROR(__xludf.DUMMYFUNCTION("""COMPUTED_VALUE"""),0.00191)</f>
        <v>0.00191</v>
      </c>
      <c r="K533" s="19">
        <f>IFERROR(__xludf.DUMMYFUNCTION("""COMPUTED_VALUE"""),0.03584)</f>
        <v>0.03584</v>
      </c>
      <c r="L533" s="19" t="str">
        <f>IFERROR(__xludf.DUMMYFUNCTION("""COMPUTED_VALUE"""),"-")</f>
        <v>-</v>
      </c>
      <c r="M533" s="19">
        <f>IFERROR(__xludf.DUMMYFUNCTION("""COMPUTED_VALUE"""),0.03986)</f>
        <v>0.03986</v>
      </c>
    </row>
    <row r="534">
      <c r="A534" s="12" t="s">
        <v>8424</v>
      </c>
      <c r="G534" s="19">
        <f>IFERROR(__xludf.DUMMYFUNCTION("SPLIT(A532, "" |"")"),530.0)</f>
        <v>530</v>
      </c>
      <c r="H534" s="19">
        <f>IFERROR(__xludf.DUMMYFUNCTION("""COMPUTED_VALUE"""),0.00211)</f>
        <v>0.00211</v>
      </c>
      <c r="I534" s="19" t="str">
        <f>IFERROR(__xludf.DUMMYFUNCTION("""COMPUTED_VALUE"""),"-")</f>
        <v>-</v>
      </c>
      <c r="J534" s="19">
        <f>IFERROR(__xludf.DUMMYFUNCTION("""COMPUTED_VALUE"""),0.00197)</f>
        <v>0.00197</v>
      </c>
      <c r="K534" s="19">
        <f>IFERROR(__xludf.DUMMYFUNCTION("""COMPUTED_VALUE"""),0.03979)</f>
        <v>0.03979</v>
      </c>
      <c r="L534" s="19" t="str">
        <f>IFERROR(__xludf.DUMMYFUNCTION("""COMPUTED_VALUE"""),"-")</f>
        <v>-</v>
      </c>
      <c r="M534" s="19">
        <f>IFERROR(__xludf.DUMMYFUNCTION("""COMPUTED_VALUE"""),0.04011)</f>
        <v>0.04011</v>
      </c>
    </row>
    <row r="535">
      <c r="A535" s="12" t="s">
        <v>8425</v>
      </c>
      <c r="G535" s="19">
        <f>IFERROR(__xludf.DUMMYFUNCTION("SPLIT(A533, "" |"")"),531.0)</f>
        <v>531</v>
      </c>
      <c r="H535" s="19">
        <f>IFERROR(__xludf.DUMMYFUNCTION("""COMPUTED_VALUE"""),0.00227)</f>
        <v>0.00227</v>
      </c>
      <c r="I535" s="19" t="str">
        <f>IFERROR(__xludf.DUMMYFUNCTION("""COMPUTED_VALUE"""),"-")</f>
        <v>-</v>
      </c>
      <c r="J535" s="19">
        <f>IFERROR(__xludf.DUMMYFUNCTION("""COMPUTED_VALUE"""),0.00222)</f>
        <v>0.00222</v>
      </c>
      <c r="K535" s="19">
        <f>IFERROR(__xludf.DUMMYFUNCTION("""COMPUTED_VALUE"""),0.03776)</f>
        <v>0.03776</v>
      </c>
      <c r="L535" s="19" t="str">
        <f>IFERROR(__xludf.DUMMYFUNCTION("""COMPUTED_VALUE"""),"-")</f>
        <v>-</v>
      </c>
      <c r="M535" s="19">
        <f>IFERROR(__xludf.DUMMYFUNCTION("""COMPUTED_VALUE"""),0.0354)</f>
        <v>0.0354</v>
      </c>
    </row>
    <row r="536">
      <c r="A536" s="12" t="s">
        <v>8426</v>
      </c>
      <c r="G536" s="19">
        <f>IFERROR(__xludf.DUMMYFUNCTION("SPLIT(A534, "" |"")"),532.0)</f>
        <v>532</v>
      </c>
      <c r="H536" s="19">
        <f>IFERROR(__xludf.DUMMYFUNCTION("""COMPUTED_VALUE"""),0.00224)</f>
        <v>0.00224</v>
      </c>
      <c r="I536" s="19" t="str">
        <f>IFERROR(__xludf.DUMMYFUNCTION("""COMPUTED_VALUE"""),"-")</f>
        <v>-</v>
      </c>
      <c r="J536" s="19">
        <f>IFERROR(__xludf.DUMMYFUNCTION("""COMPUTED_VALUE"""),0.00198)</f>
        <v>0.00198</v>
      </c>
      <c r="K536" s="19">
        <f>IFERROR(__xludf.DUMMYFUNCTION("""COMPUTED_VALUE"""),0.03799)</f>
        <v>0.03799</v>
      </c>
      <c r="L536" s="19" t="str">
        <f>IFERROR(__xludf.DUMMYFUNCTION("""COMPUTED_VALUE"""),"-")</f>
        <v>-</v>
      </c>
      <c r="M536" s="19">
        <f>IFERROR(__xludf.DUMMYFUNCTION("""COMPUTED_VALUE"""),0.03987)</f>
        <v>0.03987</v>
      </c>
    </row>
    <row r="537">
      <c r="A537" s="12" t="s">
        <v>8427</v>
      </c>
      <c r="G537" s="19">
        <f>IFERROR(__xludf.DUMMYFUNCTION("SPLIT(A535, "" |"")"),533.0)</f>
        <v>533</v>
      </c>
      <c r="H537" s="19">
        <f>IFERROR(__xludf.DUMMYFUNCTION("""COMPUTED_VALUE"""),0.00217)</f>
        <v>0.00217</v>
      </c>
      <c r="I537" s="19" t="str">
        <f>IFERROR(__xludf.DUMMYFUNCTION("""COMPUTED_VALUE"""),"-")</f>
        <v>-</v>
      </c>
      <c r="J537" s="19">
        <f>IFERROR(__xludf.DUMMYFUNCTION("""COMPUTED_VALUE"""),0.00202)</f>
        <v>0.00202</v>
      </c>
      <c r="K537" s="19">
        <f>IFERROR(__xludf.DUMMYFUNCTION("""COMPUTED_VALUE"""),0.03972)</f>
        <v>0.03972</v>
      </c>
      <c r="L537" s="19" t="str">
        <f>IFERROR(__xludf.DUMMYFUNCTION("""COMPUTED_VALUE"""),"-")</f>
        <v>-</v>
      </c>
      <c r="M537" s="19">
        <f>IFERROR(__xludf.DUMMYFUNCTION("""COMPUTED_VALUE"""),0.03995)</f>
        <v>0.03995</v>
      </c>
    </row>
    <row r="538">
      <c r="A538" s="12" t="s">
        <v>8428</v>
      </c>
      <c r="G538" s="19">
        <f>IFERROR(__xludf.DUMMYFUNCTION("SPLIT(A536, "" |"")"),534.0)</f>
        <v>534</v>
      </c>
      <c r="H538" s="19">
        <f>IFERROR(__xludf.DUMMYFUNCTION("""COMPUTED_VALUE"""),0.0022)</f>
        <v>0.0022</v>
      </c>
      <c r="I538" s="19" t="str">
        <f>IFERROR(__xludf.DUMMYFUNCTION("""COMPUTED_VALUE"""),"-")</f>
        <v>-</v>
      </c>
      <c r="J538" s="19">
        <f>IFERROR(__xludf.DUMMYFUNCTION("""COMPUTED_VALUE"""),0.00199)</f>
        <v>0.00199</v>
      </c>
      <c r="K538" s="19">
        <f>IFERROR(__xludf.DUMMYFUNCTION("""COMPUTED_VALUE"""),0.03972)</f>
        <v>0.03972</v>
      </c>
      <c r="L538" s="19" t="str">
        <f>IFERROR(__xludf.DUMMYFUNCTION("""COMPUTED_VALUE"""),"-")</f>
        <v>-</v>
      </c>
      <c r="M538" s="19">
        <f>IFERROR(__xludf.DUMMYFUNCTION("""COMPUTED_VALUE"""),0.03994)</f>
        <v>0.03994</v>
      </c>
    </row>
    <row r="539">
      <c r="A539" s="12" t="s">
        <v>8429</v>
      </c>
      <c r="G539" s="19">
        <f>IFERROR(__xludf.DUMMYFUNCTION("SPLIT(A537, "" |"")"),535.0)</f>
        <v>535</v>
      </c>
      <c r="H539" s="19">
        <f>IFERROR(__xludf.DUMMYFUNCTION("""COMPUTED_VALUE"""),0.00227)</f>
        <v>0.00227</v>
      </c>
      <c r="I539" s="19" t="str">
        <f>IFERROR(__xludf.DUMMYFUNCTION("""COMPUTED_VALUE"""),"-")</f>
        <v>-</v>
      </c>
      <c r="J539" s="19">
        <f>IFERROR(__xludf.DUMMYFUNCTION("""COMPUTED_VALUE"""),0.00198)</f>
        <v>0.00198</v>
      </c>
      <c r="K539" s="19">
        <f>IFERROR(__xludf.DUMMYFUNCTION("""COMPUTED_VALUE"""),0.037)</f>
        <v>0.037</v>
      </c>
      <c r="L539" s="19" t="str">
        <f>IFERROR(__xludf.DUMMYFUNCTION("""COMPUTED_VALUE"""),"-")</f>
        <v>-</v>
      </c>
      <c r="M539" s="19">
        <f>IFERROR(__xludf.DUMMYFUNCTION("""COMPUTED_VALUE"""),0.03993)</f>
        <v>0.03993</v>
      </c>
    </row>
    <row r="540">
      <c r="A540" s="12" t="s">
        <v>8430</v>
      </c>
      <c r="G540" s="19">
        <f>IFERROR(__xludf.DUMMYFUNCTION("SPLIT(A538, "" |"")"),536.0)</f>
        <v>536</v>
      </c>
      <c r="H540" s="19">
        <f>IFERROR(__xludf.DUMMYFUNCTION("""COMPUTED_VALUE"""),0.00183)</f>
        <v>0.00183</v>
      </c>
      <c r="I540" s="19" t="str">
        <f>IFERROR(__xludf.DUMMYFUNCTION("""COMPUTED_VALUE"""),"-")</f>
        <v>-</v>
      </c>
      <c r="J540" s="19">
        <f>IFERROR(__xludf.DUMMYFUNCTION("""COMPUTED_VALUE"""),0.0019)</f>
        <v>0.0019</v>
      </c>
      <c r="K540" s="19">
        <f>IFERROR(__xludf.DUMMYFUNCTION("""COMPUTED_VALUE"""),0.0406)</f>
        <v>0.0406</v>
      </c>
      <c r="L540" s="19" t="str">
        <f>IFERROR(__xludf.DUMMYFUNCTION("""COMPUTED_VALUE"""),"-")</f>
        <v>-</v>
      </c>
      <c r="M540" s="19">
        <f>IFERROR(__xludf.DUMMYFUNCTION("""COMPUTED_VALUE"""),0.03972)</f>
        <v>0.03972</v>
      </c>
    </row>
    <row r="541">
      <c r="A541" s="12" t="s">
        <v>8431</v>
      </c>
      <c r="G541" s="19">
        <f>IFERROR(__xludf.DUMMYFUNCTION("SPLIT(A539, "" |"")"),537.0)</f>
        <v>537</v>
      </c>
      <c r="H541" s="19">
        <f>IFERROR(__xludf.DUMMYFUNCTION("""COMPUTED_VALUE"""),0.00202)</f>
        <v>0.00202</v>
      </c>
      <c r="I541" s="19" t="str">
        <f>IFERROR(__xludf.DUMMYFUNCTION("""COMPUTED_VALUE"""),"-")</f>
        <v>-</v>
      </c>
      <c r="J541" s="19">
        <f>IFERROR(__xludf.DUMMYFUNCTION("""COMPUTED_VALUE"""),0.00183)</f>
        <v>0.00183</v>
      </c>
      <c r="K541" s="19">
        <f>IFERROR(__xludf.DUMMYFUNCTION("""COMPUTED_VALUE"""),0.03955)</f>
        <v>0.03955</v>
      </c>
      <c r="L541" s="19" t="str">
        <f>IFERROR(__xludf.DUMMYFUNCTION("""COMPUTED_VALUE"""),"-")</f>
        <v>-</v>
      </c>
      <c r="M541" s="19">
        <f>IFERROR(__xludf.DUMMYFUNCTION("""COMPUTED_VALUE"""),0.03974)</f>
        <v>0.03974</v>
      </c>
    </row>
    <row r="542">
      <c r="A542" s="12" t="s">
        <v>8432</v>
      </c>
      <c r="G542" s="19">
        <f>IFERROR(__xludf.DUMMYFUNCTION("SPLIT(A540, "" |"")"),538.0)</f>
        <v>538</v>
      </c>
      <c r="H542" s="19">
        <f>IFERROR(__xludf.DUMMYFUNCTION("""COMPUTED_VALUE"""),0.00201)</f>
        <v>0.00201</v>
      </c>
      <c r="I542" s="19" t="str">
        <f>IFERROR(__xludf.DUMMYFUNCTION("""COMPUTED_VALUE"""),"-")</f>
        <v>-</v>
      </c>
      <c r="J542" s="19">
        <f>IFERROR(__xludf.DUMMYFUNCTION("""COMPUTED_VALUE"""),0.00194)</f>
        <v>0.00194</v>
      </c>
      <c r="K542" s="19">
        <f>IFERROR(__xludf.DUMMYFUNCTION("""COMPUTED_VALUE"""),0.03673)</f>
        <v>0.03673</v>
      </c>
      <c r="L542" s="19" t="str">
        <f>IFERROR(__xludf.DUMMYFUNCTION("""COMPUTED_VALUE"""),"-")</f>
        <v>-</v>
      </c>
      <c r="M542" s="19">
        <f>IFERROR(__xludf.DUMMYFUNCTION("""COMPUTED_VALUE"""),0.03984)</f>
        <v>0.03984</v>
      </c>
    </row>
    <row r="543">
      <c r="A543" s="12" t="s">
        <v>8433</v>
      </c>
      <c r="G543" s="19">
        <f>IFERROR(__xludf.DUMMYFUNCTION("SPLIT(A541, "" |"")"),539.0)</f>
        <v>539</v>
      </c>
      <c r="H543" s="19">
        <f>IFERROR(__xludf.DUMMYFUNCTION("""COMPUTED_VALUE"""),0.00206)</f>
        <v>0.00206</v>
      </c>
      <c r="I543" s="19" t="str">
        <f>IFERROR(__xludf.DUMMYFUNCTION("""COMPUTED_VALUE"""),"-")</f>
        <v>-</v>
      </c>
      <c r="J543" s="19">
        <f>IFERROR(__xludf.DUMMYFUNCTION("""COMPUTED_VALUE"""),0.00191)</f>
        <v>0.00191</v>
      </c>
      <c r="K543" s="19">
        <f>IFERROR(__xludf.DUMMYFUNCTION("""COMPUTED_VALUE"""),0.03957)</f>
        <v>0.03957</v>
      </c>
      <c r="L543" s="19" t="str">
        <f>IFERROR(__xludf.DUMMYFUNCTION("""COMPUTED_VALUE"""),"-")</f>
        <v>-</v>
      </c>
      <c r="M543" s="19">
        <f>IFERROR(__xludf.DUMMYFUNCTION("""COMPUTED_VALUE"""),0.03799)</f>
        <v>0.03799</v>
      </c>
    </row>
    <row r="544">
      <c r="A544" s="12" t="s">
        <v>8434</v>
      </c>
      <c r="G544" s="19">
        <f>IFERROR(__xludf.DUMMYFUNCTION("SPLIT(A542, "" |"")"),540.0)</f>
        <v>540</v>
      </c>
      <c r="H544" s="19">
        <f>IFERROR(__xludf.DUMMYFUNCTION("""COMPUTED_VALUE"""),0.00207)</f>
        <v>0.00207</v>
      </c>
      <c r="I544" s="19" t="str">
        <f>IFERROR(__xludf.DUMMYFUNCTION("""COMPUTED_VALUE"""),"-")</f>
        <v>-</v>
      </c>
      <c r="J544" s="19">
        <f>IFERROR(__xludf.DUMMYFUNCTION("""COMPUTED_VALUE"""),0.00193)</f>
        <v>0.00193</v>
      </c>
      <c r="K544" s="19">
        <f>IFERROR(__xludf.DUMMYFUNCTION("""COMPUTED_VALUE"""),0.03956)</f>
        <v>0.03956</v>
      </c>
      <c r="L544" s="19" t="str">
        <f>IFERROR(__xludf.DUMMYFUNCTION("""COMPUTED_VALUE"""),"-")</f>
        <v>-</v>
      </c>
      <c r="M544" s="19">
        <f>IFERROR(__xludf.DUMMYFUNCTION("""COMPUTED_VALUE"""),0.04067)</f>
        <v>0.04067</v>
      </c>
    </row>
    <row r="545">
      <c r="A545" s="12" t="s">
        <v>8435</v>
      </c>
      <c r="G545" s="19">
        <f>IFERROR(__xludf.DUMMYFUNCTION("SPLIT(A543, "" |"")"),541.0)</f>
        <v>541</v>
      </c>
      <c r="H545" s="19">
        <f>IFERROR(__xludf.DUMMYFUNCTION("""COMPUTED_VALUE"""),0.00217)</f>
        <v>0.00217</v>
      </c>
      <c r="I545" s="19" t="str">
        <f>IFERROR(__xludf.DUMMYFUNCTION("""COMPUTED_VALUE"""),"-")</f>
        <v>-</v>
      </c>
      <c r="J545" s="19">
        <f>IFERROR(__xludf.DUMMYFUNCTION("""COMPUTED_VALUE"""),0.00187)</f>
        <v>0.00187</v>
      </c>
      <c r="K545" s="19">
        <f>IFERROR(__xludf.DUMMYFUNCTION("""COMPUTED_VALUE"""),0.03698)</f>
        <v>0.03698</v>
      </c>
      <c r="L545" s="19" t="str">
        <f>IFERROR(__xludf.DUMMYFUNCTION("""COMPUTED_VALUE"""),"-")</f>
        <v>-</v>
      </c>
      <c r="M545" s="19">
        <f>IFERROR(__xludf.DUMMYFUNCTION("""COMPUTED_VALUE"""),0.04048)</f>
        <v>0.04048</v>
      </c>
    </row>
    <row r="546">
      <c r="A546" s="12" t="s">
        <v>8436</v>
      </c>
      <c r="G546" s="19">
        <f>IFERROR(__xludf.DUMMYFUNCTION("SPLIT(A544, "" |"")"),542.0)</f>
        <v>542</v>
      </c>
      <c r="H546" s="19">
        <f>IFERROR(__xludf.DUMMYFUNCTION("""COMPUTED_VALUE"""),0.00211)</f>
        <v>0.00211</v>
      </c>
      <c r="I546" s="19" t="str">
        <f>IFERROR(__xludf.DUMMYFUNCTION("""COMPUTED_VALUE"""),"-")</f>
        <v>-</v>
      </c>
      <c r="J546" s="19">
        <f>IFERROR(__xludf.DUMMYFUNCTION("""COMPUTED_VALUE"""),0.00289)</f>
        <v>0.00289</v>
      </c>
      <c r="K546" s="19">
        <f>IFERROR(__xludf.DUMMYFUNCTION("""COMPUTED_VALUE"""),0.03976)</f>
        <v>0.03976</v>
      </c>
      <c r="L546" s="19" t="str">
        <f>IFERROR(__xludf.DUMMYFUNCTION("""COMPUTED_VALUE"""),"-")</f>
        <v>-</v>
      </c>
      <c r="M546" s="19">
        <f>IFERROR(__xludf.DUMMYFUNCTION("""COMPUTED_VALUE"""),0.03997)</f>
        <v>0.03997</v>
      </c>
    </row>
    <row r="547">
      <c r="A547" s="12" t="s">
        <v>8437</v>
      </c>
      <c r="G547" s="19">
        <f>IFERROR(__xludf.DUMMYFUNCTION("SPLIT(A545, "" |"")"),543.0)</f>
        <v>543</v>
      </c>
      <c r="H547" s="19">
        <f>IFERROR(__xludf.DUMMYFUNCTION("""COMPUTED_VALUE"""),0.00215)</f>
        <v>0.00215</v>
      </c>
      <c r="I547" s="19" t="str">
        <f>IFERROR(__xludf.DUMMYFUNCTION("""COMPUTED_VALUE"""),"-")</f>
        <v>-</v>
      </c>
      <c r="J547" s="19">
        <f>IFERROR(__xludf.DUMMYFUNCTION("""COMPUTED_VALUE"""),0.00208)</f>
        <v>0.00208</v>
      </c>
      <c r="K547" s="19">
        <f>IFERROR(__xludf.DUMMYFUNCTION("""COMPUTED_VALUE"""),0.04023)</f>
        <v>0.04023</v>
      </c>
      <c r="L547" s="19" t="str">
        <f>IFERROR(__xludf.DUMMYFUNCTION("""COMPUTED_VALUE"""),"-")</f>
        <v>-</v>
      </c>
      <c r="M547" s="19">
        <f>IFERROR(__xludf.DUMMYFUNCTION("""COMPUTED_VALUE"""),0.04012)</f>
        <v>0.04012</v>
      </c>
    </row>
    <row r="548">
      <c r="A548" s="12" t="s">
        <v>8438</v>
      </c>
      <c r="G548" s="19">
        <f>IFERROR(__xludf.DUMMYFUNCTION("SPLIT(A546, "" |"")"),544.0)</f>
        <v>544</v>
      </c>
      <c r="H548" s="19">
        <f>IFERROR(__xludf.DUMMYFUNCTION("""COMPUTED_VALUE"""),0.00217)</f>
        <v>0.00217</v>
      </c>
      <c r="I548" s="19" t="str">
        <f>IFERROR(__xludf.DUMMYFUNCTION("""COMPUTED_VALUE"""),"-")</f>
        <v>-</v>
      </c>
      <c r="J548" s="19">
        <f>IFERROR(__xludf.DUMMYFUNCTION("""COMPUTED_VALUE"""),0.00251)</f>
        <v>0.00251</v>
      </c>
      <c r="K548" s="19">
        <f>IFERROR(__xludf.DUMMYFUNCTION("""COMPUTED_VALUE"""),0.03992)</f>
        <v>0.03992</v>
      </c>
      <c r="L548" s="19" t="str">
        <f>IFERROR(__xludf.DUMMYFUNCTION("""COMPUTED_VALUE"""),"-")</f>
        <v>-</v>
      </c>
      <c r="M548" s="19">
        <f>IFERROR(__xludf.DUMMYFUNCTION("""COMPUTED_VALUE"""),0.04033)</f>
        <v>0.04033</v>
      </c>
    </row>
    <row r="549">
      <c r="A549" s="12" t="s">
        <v>8439</v>
      </c>
      <c r="G549" s="19">
        <f>IFERROR(__xludf.DUMMYFUNCTION("SPLIT(A547, "" |"")"),545.0)</f>
        <v>545</v>
      </c>
      <c r="H549" s="19">
        <f>IFERROR(__xludf.DUMMYFUNCTION("""COMPUTED_VALUE"""),0.00211)</f>
        <v>0.00211</v>
      </c>
      <c r="I549" s="19" t="str">
        <f>IFERROR(__xludf.DUMMYFUNCTION("""COMPUTED_VALUE"""),"-")</f>
        <v>-</v>
      </c>
      <c r="J549" s="19">
        <f>IFERROR(__xludf.DUMMYFUNCTION("""COMPUTED_VALUE"""),0.00236)</f>
        <v>0.00236</v>
      </c>
      <c r="K549" s="19">
        <f>IFERROR(__xludf.DUMMYFUNCTION("""COMPUTED_VALUE"""),0.04005)</f>
        <v>0.04005</v>
      </c>
      <c r="L549" s="19" t="str">
        <f>IFERROR(__xludf.DUMMYFUNCTION("""COMPUTED_VALUE"""),"-")</f>
        <v>-</v>
      </c>
      <c r="M549" s="19">
        <f>IFERROR(__xludf.DUMMYFUNCTION("""COMPUTED_VALUE"""),0.03991)</f>
        <v>0.03991</v>
      </c>
    </row>
    <row r="550">
      <c r="A550" s="12" t="s">
        <v>8440</v>
      </c>
      <c r="G550" s="19">
        <f>IFERROR(__xludf.DUMMYFUNCTION("SPLIT(A548, "" |"")"),546.0)</f>
        <v>546</v>
      </c>
      <c r="H550" s="19">
        <f>IFERROR(__xludf.DUMMYFUNCTION("""COMPUTED_VALUE"""),0.00243)</f>
        <v>0.00243</v>
      </c>
      <c r="I550" s="19" t="str">
        <f>IFERROR(__xludf.DUMMYFUNCTION("""COMPUTED_VALUE"""),"-")</f>
        <v>-</v>
      </c>
      <c r="J550" s="19">
        <f>IFERROR(__xludf.DUMMYFUNCTION("""COMPUTED_VALUE"""),0.00204)</f>
        <v>0.00204</v>
      </c>
      <c r="K550" s="19">
        <f>IFERROR(__xludf.DUMMYFUNCTION("""COMPUTED_VALUE"""),0.0396)</f>
        <v>0.0396</v>
      </c>
      <c r="L550" s="19" t="str">
        <f>IFERROR(__xludf.DUMMYFUNCTION("""COMPUTED_VALUE"""),"-")</f>
        <v>-</v>
      </c>
      <c r="M550" s="19">
        <f>IFERROR(__xludf.DUMMYFUNCTION("""COMPUTED_VALUE"""),0.03985)</f>
        <v>0.03985</v>
      </c>
    </row>
    <row r="551">
      <c r="A551" s="12" t="s">
        <v>8441</v>
      </c>
      <c r="G551" s="19">
        <f>IFERROR(__xludf.DUMMYFUNCTION("SPLIT(A549, "" |"")"),547.0)</f>
        <v>547</v>
      </c>
      <c r="H551" s="19">
        <f>IFERROR(__xludf.DUMMYFUNCTION("""COMPUTED_VALUE"""),0.00219)</f>
        <v>0.00219</v>
      </c>
      <c r="I551" s="19" t="str">
        <f>IFERROR(__xludf.DUMMYFUNCTION("""COMPUTED_VALUE"""),"-")</f>
        <v>-</v>
      </c>
      <c r="J551" s="19">
        <f>IFERROR(__xludf.DUMMYFUNCTION("""COMPUTED_VALUE"""),0.00213)</f>
        <v>0.00213</v>
      </c>
      <c r="K551" s="19">
        <f>IFERROR(__xludf.DUMMYFUNCTION("""COMPUTED_VALUE"""),0.03673)</f>
        <v>0.03673</v>
      </c>
      <c r="L551" s="19" t="str">
        <f>IFERROR(__xludf.DUMMYFUNCTION("""COMPUTED_VALUE"""),"-")</f>
        <v>-</v>
      </c>
      <c r="M551" s="19">
        <f>IFERROR(__xludf.DUMMYFUNCTION("""COMPUTED_VALUE"""),0.0401)</f>
        <v>0.0401</v>
      </c>
    </row>
    <row r="552">
      <c r="A552" s="12" t="s">
        <v>8442</v>
      </c>
      <c r="G552" s="19">
        <f>IFERROR(__xludf.DUMMYFUNCTION("SPLIT(A550, "" |"")"),548.0)</f>
        <v>548</v>
      </c>
      <c r="H552" s="19">
        <f>IFERROR(__xludf.DUMMYFUNCTION("""COMPUTED_VALUE"""),0.00245)</f>
        <v>0.00245</v>
      </c>
      <c r="I552" s="19" t="str">
        <f>IFERROR(__xludf.DUMMYFUNCTION("""COMPUTED_VALUE"""),"-")</f>
        <v>-</v>
      </c>
      <c r="J552" s="19">
        <f>IFERROR(__xludf.DUMMYFUNCTION("""COMPUTED_VALUE"""),0.00206)</f>
        <v>0.00206</v>
      </c>
      <c r="K552" s="19">
        <f>IFERROR(__xludf.DUMMYFUNCTION("""COMPUTED_VALUE"""),0.03973)</f>
        <v>0.03973</v>
      </c>
      <c r="L552" s="19" t="str">
        <f>IFERROR(__xludf.DUMMYFUNCTION("""COMPUTED_VALUE"""),"-")</f>
        <v>-</v>
      </c>
      <c r="M552" s="19">
        <f>IFERROR(__xludf.DUMMYFUNCTION("""COMPUTED_VALUE"""),0.03975)</f>
        <v>0.03975</v>
      </c>
    </row>
    <row r="553">
      <c r="A553" s="12" t="s">
        <v>8443</v>
      </c>
      <c r="G553" s="19">
        <f>IFERROR(__xludf.DUMMYFUNCTION("SPLIT(A551, "" |"")"),549.0)</f>
        <v>549</v>
      </c>
      <c r="H553" s="19">
        <f>IFERROR(__xludf.DUMMYFUNCTION("""COMPUTED_VALUE"""),0.00218)</f>
        <v>0.00218</v>
      </c>
      <c r="I553" s="19" t="str">
        <f>IFERROR(__xludf.DUMMYFUNCTION("""COMPUTED_VALUE"""),"-")</f>
        <v>-</v>
      </c>
      <c r="J553" s="19">
        <f>IFERROR(__xludf.DUMMYFUNCTION("""COMPUTED_VALUE"""),0.00232)</f>
        <v>0.00232</v>
      </c>
      <c r="K553" s="19">
        <f>IFERROR(__xludf.DUMMYFUNCTION("""COMPUTED_VALUE"""),0.03958)</f>
        <v>0.03958</v>
      </c>
      <c r="L553" s="19" t="str">
        <f>IFERROR(__xludf.DUMMYFUNCTION("""COMPUTED_VALUE"""),"-")</f>
        <v>-</v>
      </c>
      <c r="M553" s="19">
        <f>IFERROR(__xludf.DUMMYFUNCTION("""COMPUTED_VALUE"""),0.03444)</f>
        <v>0.03444</v>
      </c>
    </row>
    <row r="554">
      <c r="A554" s="12" t="s">
        <v>8444</v>
      </c>
      <c r="G554" s="19">
        <f>IFERROR(__xludf.DUMMYFUNCTION("SPLIT(A552, "" |"")"),550.0)</f>
        <v>550</v>
      </c>
      <c r="H554" s="19">
        <f>IFERROR(__xludf.DUMMYFUNCTION("""COMPUTED_VALUE"""),0.00232)</f>
        <v>0.00232</v>
      </c>
      <c r="I554" s="19" t="str">
        <f>IFERROR(__xludf.DUMMYFUNCTION("""COMPUTED_VALUE"""),"-")</f>
        <v>-</v>
      </c>
      <c r="J554" s="19">
        <f>IFERROR(__xludf.DUMMYFUNCTION("""COMPUTED_VALUE"""),0.00229)</f>
        <v>0.00229</v>
      </c>
      <c r="K554" s="19">
        <f>IFERROR(__xludf.DUMMYFUNCTION("""COMPUTED_VALUE"""),0.03685)</f>
        <v>0.03685</v>
      </c>
      <c r="L554" s="19" t="str">
        <f>IFERROR(__xludf.DUMMYFUNCTION("""COMPUTED_VALUE"""),"-")</f>
        <v>-</v>
      </c>
      <c r="M554" s="19">
        <f>IFERROR(__xludf.DUMMYFUNCTION("""COMPUTED_VALUE"""),0.0382)</f>
        <v>0.0382</v>
      </c>
    </row>
    <row r="555">
      <c r="A555" s="12" t="s">
        <v>8445</v>
      </c>
      <c r="G555" s="19">
        <f>IFERROR(__xludf.DUMMYFUNCTION("SPLIT(A553, "" |"")"),551.0)</f>
        <v>551</v>
      </c>
      <c r="H555" s="19">
        <f>IFERROR(__xludf.DUMMYFUNCTION("""COMPUTED_VALUE"""),0.00218)</f>
        <v>0.00218</v>
      </c>
      <c r="I555" s="19" t="str">
        <f>IFERROR(__xludf.DUMMYFUNCTION("""COMPUTED_VALUE"""),"-")</f>
        <v>-</v>
      </c>
      <c r="J555" s="19">
        <f>IFERROR(__xludf.DUMMYFUNCTION("""COMPUTED_VALUE"""),0.00196)</f>
        <v>0.00196</v>
      </c>
      <c r="K555" s="19">
        <f>IFERROR(__xludf.DUMMYFUNCTION("""COMPUTED_VALUE"""),0.0396)</f>
        <v>0.0396</v>
      </c>
      <c r="L555" s="19" t="str">
        <f>IFERROR(__xludf.DUMMYFUNCTION("""COMPUTED_VALUE"""),"-")</f>
        <v>-</v>
      </c>
      <c r="M555" s="19">
        <f>IFERROR(__xludf.DUMMYFUNCTION("""COMPUTED_VALUE"""),0.03922)</f>
        <v>0.03922</v>
      </c>
    </row>
    <row r="556">
      <c r="A556" s="12" t="s">
        <v>8446</v>
      </c>
      <c r="G556" s="19">
        <f>IFERROR(__xludf.DUMMYFUNCTION("SPLIT(A554, "" |"")"),552.0)</f>
        <v>552</v>
      </c>
      <c r="H556" s="19">
        <f>IFERROR(__xludf.DUMMYFUNCTION("""COMPUTED_VALUE"""),0.002)</f>
        <v>0.002</v>
      </c>
      <c r="I556" s="19" t="str">
        <f>IFERROR(__xludf.DUMMYFUNCTION("""COMPUTED_VALUE"""),"-")</f>
        <v>-</v>
      </c>
      <c r="J556" s="19">
        <f>IFERROR(__xludf.DUMMYFUNCTION("""COMPUTED_VALUE"""),0.00196)</f>
        <v>0.00196</v>
      </c>
      <c r="K556" s="19">
        <f>IFERROR(__xludf.DUMMYFUNCTION("""COMPUTED_VALUE"""),0.03966)</f>
        <v>0.03966</v>
      </c>
      <c r="L556" s="19" t="str">
        <f>IFERROR(__xludf.DUMMYFUNCTION("""COMPUTED_VALUE"""),"-")</f>
        <v>-</v>
      </c>
      <c r="M556" s="19">
        <f>IFERROR(__xludf.DUMMYFUNCTION("""COMPUTED_VALUE"""),0.03993)</f>
        <v>0.03993</v>
      </c>
    </row>
    <row r="557">
      <c r="A557" s="12" t="s">
        <v>8447</v>
      </c>
      <c r="G557" s="19">
        <f>IFERROR(__xludf.DUMMYFUNCTION("SPLIT(A555, "" |"")"),553.0)</f>
        <v>553</v>
      </c>
      <c r="H557" s="19">
        <f>IFERROR(__xludf.DUMMYFUNCTION("""COMPUTED_VALUE"""),0.00208)</f>
        <v>0.00208</v>
      </c>
      <c r="I557" s="19" t="str">
        <f>IFERROR(__xludf.DUMMYFUNCTION("""COMPUTED_VALUE"""),"-")</f>
        <v>-</v>
      </c>
      <c r="J557" s="19">
        <f>IFERROR(__xludf.DUMMYFUNCTION("""COMPUTED_VALUE"""),0.00199)</f>
        <v>0.00199</v>
      </c>
      <c r="K557" s="19">
        <f>IFERROR(__xludf.DUMMYFUNCTION("""COMPUTED_VALUE"""),0.03958)</f>
        <v>0.03958</v>
      </c>
      <c r="L557" s="19" t="str">
        <f>IFERROR(__xludf.DUMMYFUNCTION("""COMPUTED_VALUE"""),"-")</f>
        <v>-</v>
      </c>
      <c r="M557" s="19">
        <f>IFERROR(__xludf.DUMMYFUNCTION("""COMPUTED_VALUE"""),0.03978)</f>
        <v>0.03978</v>
      </c>
    </row>
    <row r="558">
      <c r="A558" s="12" t="s">
        <v>8448</v>
      </c>
      <c r="G558" s="19">
        <f>IFERROR(__xludf.DUMMYFUNCTION("SPLIT(A556, "" |"")"),554.0)</f>
        <v>554</v>
      </c>
      <c r="H558" s="19">
        <f>IFERROR(__xludf.DUMMYFUNCTION("""COMPUTED_VALUE"""),0.00206)</f>
        <v>0.00206</v>
      </c>
      <c r="I558" s="19" t="str">
        <f>IFERROR(__xludf.DUMMYFUNCTION("""COMPUTED_VALUE"""),"-")</f>
        <v>-</v>
      </c>
      <c r="J558" s="19">
        <f>IFERROR(__xludf.DUMMYFUNCTION("""COMPUTED_VALUE"""),0.00196)</f>
        <v>0.00196</v>
      </c>
      <c r="K558" s="19">
        <f>IFERROR(__xludf.DUMMYFUNCTION("""COMPUTED_VALUE"""),0.03965)</f>
        <v>0.03965</v>
      </c>
      <c r="L558" s="19" t="str">
        <f>IFERROR(__xludf.DUMMYFUNCTION("""COMPUTED_VALUE"""),"-")</f>
        <v>-</v>
      </c>
      <c r="M558" s="19">
        <f>IFERROR(__xludf.DUMMYFUNCTION("""COMPUTED_VALUE"""),0.03979)</f>
        <v>0.03979</v>
      </c>
    </row>
    <row r="559">
      <c r="A559" s="12" t="s">
        <v>8449</v>
      </c>
      <c r="G559" s="19">
        <f>IFERROR(__xludf.DUMMYFUNCTION("SPLIT(A557, "" |"")"),555.0)</f>
        <v>555</v>
      </c>
      <c r="H559" s="19">
        <f>IFERROR(__xludf.DUMMYFUNCTION("""COMPUTED_VALUE"""),0.00217)</f>
        <v>0.00217</v>
      </c>
      <c r="I559" s="19" t="str">
        <f>IFERROR(__xludf.DUMMYFUNCTION("""COMPUTED_VALUE"""),"-")</f>
        <v>-</v>
      </c>
      <c r="J559" s="19">
        <f>IFERROR(__xludf.DUMMYFUNCTION("""COMPUTED_VALUE"""),0.00195)</f>
        <v>0.00195</v>
      </c>
      <c r="K559" s="19">
        <f>IFERROR(__xludf.DUMMYFUNCTION("""COMPUTED_VALUE"""),0.03976)</f>
        <v>0.03976</v>
      </c>
      <c r="L559" s="19" t="str">
        <f>IFERROR(__xludf.DUMMYFUNCTION("""COMPUTED_VALUE"""),"-")</f>
        <v>-</v>
      </c>
      <c r="M559" s="19">
        <f>IFERROR(__xludf.DUMMYFUNCTION("""COMPUTED_VALUE"""),0.03922)</f>
        <v>0.03922</v>
      </c>
    </row>
    <row r="560">
      <c r="A560" s="12" t="s">
        <v>8450</v>
      </c>
      <c r="G560" s="19">
        <f>IFERROR(__xludf.DUMMYFUNCTION("SPLIT(A558, "" |"")"),556.0)</f>
        <v>556</v>
      </c>
      <c r="H560" s="19">
        <f>IFERROR(__xludf.DUMMYFUNCTION("""COMPUTED_VALUE"""),0.00243)</f>
        <v>0.00243</v>
      </c>
      <c r="I560" s="19" t="str">
        <f>IFERROR(__xludf.DUMMYFUNCTION("""COMPUTED_VALUE"""),"-")</f>
        <v>-</v>
      </c>
      <c r="J560" s="19">
        <f>IFERROR(__xludf.DUMMYFUNCTION("""COMPUTED_VALUE"""),0.00222)</f>
        <v>0.00222</v>
      </c>
      <c r="K560" s="19">
        <f>IFERROR(__xludf.DUMMYFUNCTION("""COMPUTED_VALUE"""),0.03989)</f>
        <v>0.03989</v>
      </c>
      <c r="L560" s="19" t="str">
        <f>IFERROR(__xludf.DUMMYFUNCTION("""COMPUTED_VALUE"""),"-")</f>
        <v>-</v>
      </c>
      <c r="M560" s="19">
        <f>IFERROR(__xludf.DUMMYFUNCTION("""COMPUTED_VALUE"""),0.03981)</f>
        <v>0.03981</v>
      </c>
    </row>
    <row r="561">
      <c r="A561" s="12" t="s">
        <v>8451</v>
      </c>
      <c r="G561" s="19">
        <f>IFERROR(__xludf.DUMMYFUNCTION("SPLIT(A559, "" |"")"),557.0)</f>
        <v>557</v>
      </c>
      <c r="H561" s="19">
        <f>IFERROR(__xludf.DUMMYFUNCTION("""COMPUTED_VALUE"""),0.00221)</f>
        <v>0.00221</v>
      </c>
      <c r="I561" s="19" t="str">
        <f>IFERROR(__xludf.DUMMYFUNCTION("""COMPUTED_VALUE"""),"-")</f>
        <v>-</v>
      </c>
      <c r="J561" s="19">
        <f>IFERROR(__xludf.DUMMYFUNCTION("""COMPUTED_VALUE"""),0.00196)</f>
        <v>0.00196</v>
      </c>
      <c r="K561" s="19">
        <f>IFERROR(__xludf.DUMMYFUNCTION("""COMPUTED_VALUE"""),0.03973)</f>
        <v>0.03973</v>
      </c>
      <c r="L561" s="19" t="str">
        <f>IFERROR(__xludf.DUMMYFUNCTION("""COMPUTED_VALUE"""),"-")</f>
        <v>-</v>
      </c>
      <c r="M561" s="19">
        <f>IFERROR(__xludf.DUMMYFUNCTION("""COMPUTED_VALUE"""),0.03826)</f>
        <v>0.03826</v>
      </c>
    </row>
    <row r="562">
      <c r="A562" s="12" t="s">
        <v>8452</v>
      </c>
      <c r="G562" s="19">
        <f>IFERROR(__xludf.DUMMYFUNCTION("SPLIT(A560, "" |"")"),558.0)</f>
        <v>558</v>
      </c>
      <c r="H562" s="19">
        <f>IFERROR(__xludf.DUMMYFUNCTION("""COMPUTED_VALUE"""),0.00215)</f>
        <v>0.00215</v>
      </c>
      <c r="I562" s="19" t="str">
        <f>IFERROR(__xludf.DUMMYFUNCTION("""COMPUTED_VALUE"""),"-")</f>
        <v>-</v>
      </c>
      <c r="J562" s="19">
        <f>IFERROR(__xludf.DUMMYFUNCTION("""COMPUTED_VALUE"""),0.00197)</f>
        <v>0.00197</v>
      </c>
      <c r="K562" s="19">
        <f>IFERROR(__xludf.DUMMYFUNCTION("""COMPUTED_VALUE"""),0.03972)</f>
        <v>0.03972</v>
      </c>
      <c r="L562" s="19" t="str">
        <f>IFERROR(__xludf.DUMMYFUNCTION("""COMPUTED_VALUE"""),"-")</f>
        <v>-</v>
      </c>
      <c r="M562" s="19">
        <f>IFERROR(__xludf.DUMMYFUNCTION("""COMPUTED_VALUE"""),0.03993)</f>
        <v>0.03993</v>
      </c>
    </row>
    <row r="563">
      <c r="A563" s="12" t="s">
        <v>8453</v>
      </c>
      <c r="G563" s="19">
        <f>IFERROR(__xludf.DUMMYFUNCTION("SPLIT(A561, "" |"")"),559.0)</f>
        <v>559</v>
      </c>
      <c r="H563" s="19">
        <f>IFERROR(__xludf.DUMMYFUNCTION("""COMPUTED_VALUE"""),0.00211)</f>
        <v>0.00211</v>
      </c>
      <c r="I563" s="19" t="str">
        <f>IFERROR(__xludf.DUMMYFUNCTION("""COMPUTED_VALUE"""),"-")</f>
        <v>-</v>
      </c>
      <c r="J563" s="19">
        <f>IFERROR(__xludf.DUMMYFUNCTION("""COMPUTED_VALUE"""),0.00198)</f>
        <v>0.00198</v>
      </c>
      <c r="K563" s="19">
        <f>IFERROR(__xludf.DUMMYFUNCTION("""COMPUTED_VALUE"""),0.03983)</f>
        <v>0.03983</v>
      </c>
      <c r="L563" s="19" t="str">
        <f>IFERROR(__xludf.DUMMYFUNCTION("""COMPUTED_VALUE"""),"-")</f>
        <v>-</v>
      </c>
      <c r="M563" s="19">
        <f>IFERROR(__xludf.DUMMYFUNCTION("""COMPUTED_VALUE"""),0.03964)</f>
        <v>0.03964</v>
      </c>
    </row>
    <row r="564">
      <c r="A564" s="12" t="s">
        <v>8454</v>
      </c>
      <c r="G564" s="19">
        <f>IFERROR(__xludf.DUMMYFUNCTION("SPLIT(A562, "" |"")"),560.0)</f>
        <v>560</v>
      </c>
      <c r="H564" s="19">
        <f>IFERROR(__xludf.DUMMYFUNCTION("""COMPUTED_VALUE"""),0.00201)</f>
        <v>0.00201</v>
      </c>
      <c r="I564" s="19" t="str">
        <f>IFERROR(__xludf.DUMMYFUNCTION("""COMPUTED_VALUE"""),"-")</f>
        <v>-</v>
      </c>
      <c r="J564" s="19">
        <f>IFERROR(__xludf.DUMMYFUNCTION("""COMPUTED_VALUE"""),0.00192)</f>
        <v>0.00192</v>
      </c>
      <c r="K564" s="19">
        <f>IFERROR(__xludf.DUMMYFUNCTION("""COMPUTED_VALUE"""),0.03846)</f>
        <v>0.03846</v>
      </c>
      <c r="L564" s="19" t="str">
        <f>IFERROR(__xludf.DUMMYFUNCTION("""COMPUTED_VALUE"""),"-")</f>
        <v>-</v>
      </c>
      <c r="M564" s="19">
        <f>IFERROR(__xludf.DUMMYFUNCTION("""COMPUTED_VALUE"""),0.03986)</f>
        <v>0.03986</v>
      </c>
    </row>
    <row r="565">
      <c r="A565" s="12" t="s">
        <v>8455</v>
      </c>
      <c r="G565" s="19">
        <f>IFERROR(__xludf.DUMMYFUNCTION("SPLIT(A563, "" |"")"),561.0)</f>
        <v>561</v>
      </c>
      <c r="H565" s="19">
        <f>IFERROR(__xludf.DUMMYFUNCTION("""COMPUTED_VALUE"""),0.00216)</f>
        <v>0.00216</v>
      </c>
      <c r="I565" s="19" t="str">
        <f>IFERROR(__xludf.DUMMYFUNCTION("""COMPUTED_VALUE"""),"-")</f>
        <v>-</v>
      </c>
      <c r="J565" s="19">
        <f>IFERROR(__xludf.DUMMYFUNCTION("""COMPUTED_VALUE"""),0.00197)</f>
        <v>0.00197</v>
      </c>
      <c r="K565" s="19">
        <f>IFERROR(__xludf.DUMMYFUNCTION("""COMPUTED_VALUE"""),0.03972)</f>
        <v>0.03972</v>
      </c>
      <c r="L565" s="19" t="str">
        <f>IFERROR(__xludf.DUMMYFUNCTION("""COMPUTED_VALUE"""),"-")</f>
        <v>-</v>
      </c>
      <c r="M565" s="19">
        <f>IFERROR(__xludf.DUMMYFUNCTION("""COMPUTED_VALUE"""),0.03978)</f>
        <v>0.03978</v>
      </c>
    </row>
    <row r="566">
      <c r="A566" s="12" t="s">
        <v>8456</v>
      </c>
      <c r="G566" s="19">
        <f>IFERROR(__xludf.DUMMYFUNCTION("SPLIT(A564, "" |"")"),562.0)</f>
        <v>562</v>
      </c>
      <c r="H566" s="19">
        <f>IFERROR(__xludf.DUMMYFUNCTION("""COMPUTED_VALUE"""),0.00221)</f>
        <v>0.00221</v>
      </c>
      <c r="I566" s="19" t="str">
        <f>IFERROR(__xludf.DUMMYFUNCTION("""COMPUTED_VALUE"""),"-")</f>
        <v>-</v>
      </c>
      <c r="J566" s="19">
        <f>IFERROR(__xludf.DUMMYFUNCTION("""COMPUTED_VALUE"""),0.0019)</f>
        <v>0.0019</v>
      </c>
      <c r="K566" s="19">
        <f>IFERROR(__xludf.DUMMYFUNCTION("""COMPUTED_VALUE"""),0.03965)</f>
        <v>0.03965</v>
      </c>
      <c r="L566" s="19" t="str">
        <f>IFERROR(__xludf.DUMMYFUNCTION("""COMPUTED_VALUE"""),"-")</f>
        <v>-</v>
      </c>
      <c r="M566" s="19">
        <f>IFERROR(__xludf.DUMMYFUNCTION("""COMPUTED_VALUE"""),0.03973)</f>
        <v>0.03973</v>
      </c>
    </row>
    <row r="567">
      <c r="A567" s="12" t="s">
        <v>8457</v>
      </c>
      <c r="G567" s="19">
        <f>IFERROR(__xludf.DUMMYFUNCTION("SPLIT(A565, "" |"")"),563.0)</f>
        <v>563</v>
      </c>
      <c r="H567" s="19">
        <f>IFERROR(__xludf.DUMMYFUNCTION("""COMPUTED_VALUE"""),0.00212)</f>
        <v>0.00212</v>
      </c>
      <c r="I567" s="19" t="str">
        <f>IFERROR(__xludf.DUMMYFUNCTION("""COMPUTED_VALUE"""),"-")</f>
        <v>-</v>
      </c>
      <c r="J567" s="19">
        <f>IFERROR(__xludf.DUMMYFUNCTION("""COMPUTED_VALUE"""),0.0019)</f>
        <v>0.0019</v>
      </c>
      <c r="K567" s="19">
        <f>IFERROR(__xludf.DUMMYFUNCTION("""COMPUTED_VALUE"""),0.03971)</f>
        <v>0.03971</v>
      </c>
      <c r="L567" s="19" t="str">
        <f>IFERROR(__xludf.DUMMYFUNCTION("""COMPUTED_VALUE"""),"-")</f>
        <v>-</v>
      </c>
      <c r="M567" s="19">
        <f>IFERROR(__xludf.DUMMYFUNCTION("""COMPUTED_VALUE"""),0.03992)</f>
        <v>0.03992</v>
      </c>
    </row>
    <row r="568">
      <c r="A568" s="12" t="s">
        <v>8458</v>
      </c>
      <c r="G568" s="19">
        <f>IFERROR(__xludf.DUMMYFUNCTION("SPLIT(A566, "" |"")"),564.0)</f>
        <v>564</v>
      </c>
      <c r="H568" s="19">
        <f>IFERROR(__xludf.DUMMYFUNCTION("""COMPUTED_VALUE"""),0.00219)</f>
        <v>0.00219</v>
      </c>
      <c r="I568" s="19" t="str">
        <f>IFERROR(__xludf.DUMMYFUNCTION("""COMPUTED_VALUE"""),"-")</f>
        <v>-</v>
      </c>
      <c r="J568" s="19">
        <f>IFERROR(__xludf.DUMMYFUNCTION("""COMPUTED_VALUE"""),0.00216)</f>
        <v>0.00216</v>
      </c>
      <c r="K568" s="19">
        <f>IFERROR(__xludf.DUMMYFUNCTION("""COMPUTED_VALUE"""),0.03985)</f>
        <v>0.03985</v>
      </c>
      <c r="L568" s="19" t="str">
        <f>IFERROR(__xludf.DUMMYFUNCTION("""COMPUTED_VALUE"""),"-")</f>
        <v>-</v>
      </c>
      <c r="M568" s="19">
        <f>IFERROR(__xludf.DUMMYFUNCTION("""COMPUTED_VALUE"""),0.04)</f>
        <v>0.04</v>
      </c>
    </row>
    <row r="569">
      <c r="A569" s="12" t="s">
        <v>8459</v>
      </c>
      <c r="G569" s="19">
        <f>IFERROR(__xludf.DUMMYFUNCTION("SPLIT(A567, "" |"")"),565.0)</f>
        <v>565</v>
      </c>
      <c r="H569" s="19">
        <f>IFERROR(__xludf.DUMMYFUNCTION("""COMPUTED_VALUE"""),0.00223)</f>
        <v>0.00223</v>
      </c>
      <c r="I569" s="19" t="str">
        <f>IFERROR(__xludf.DUMMYFUNCTION("""COMPUTED_VALUE"""),"-")</f>
        <v>-</v>
      </c>
      <c r="J569" s="19">
        <f>IFERROR(__xludf.DUMMYFUNCTION("""COMPUTED_VALUE"""),0.00209)</f>
        <v>0.00209</v>
      </c>
      <c r="K569" s="19">
        <f>IFERROR(__xludf.DUMMYFUNCTION("""COMPUTED_VALUE"""),0.04009)</f>
        <v>0.04009</v>
      </c>
      <c r="L569" s="19" t="str">
        <f>IFERROR(__xludf.DUMMYFUNCTION("""COMPUTED_VALUE"""),"-")</f>
        <v>-</v>
      </c>
      <c r="M569" s="19">
        <f>IFERROR(__xludf.DUMMYFUNCTION("""COMPUTED_VALUE"""),0.03934)</f>
        <v>0.03934</v>
      </c>
    </row>
    <row r="570">
      <c r="A570" s="12" t="s">
        <v>8460</v>
      </c>
      <c r="G570" s="19">
        <f>IFERROR(__xludf.DUMMYFUNCTION("SPLIT(A568, "" |"")"),566.0)</f>
        <v>566</v>
      </c>
      <c r="H570" s="19">
        <f>IFERROR(__xludf.DUMMYFUNCTION("""COMPUTED_VALUE"""),0.00318)</f>
        <v>0.00318</v>
      </c>
      <c r="I570" s="19" t="str">
        <f>IFERROR(__xludf.DUMMYFUNCTION("""COMPUTED_VALUE"""),"-")</f>
        <v>-</v>
      </c>
      <c r="J570" s="19">
        <f>IFERROR(__xludf.DUMMYFUNCTION("""COMPUTED_VALUE"""),0.00213)</f>
        <v>0.00213</v>
      </c>
      <c r="K570" s="19">
        <f>IFERROR(__xludf.DUMMYFUNCTION("""COMPUTED_VALUE"""),0.04001)</f>
        <v>0.04001</v>
      </c>
      <c r="L570" s="19" t="str">
        <f>IFERROR(__xludf.DUMMYFUNCTION("""COMPUTED_VALUE"""),"-")</f>
        <v>-</v>
      </c>
      <c r="M570" s="19">
        <f>IFERROR(__xludf.DUMMYFUNCTION("""COMPUTED_VALUE"""),0.04022)</f>
        <v>0.04022</v>
      </c>
    </row>
    <row r="571">
      <c r="A571" s="12" t="s">
        <v>8461</v>
      </c>
      <c r="G571" s="19">
        <f>IFERROR(__xludf.DUMMYFUNCTION("SPLIT(A569, "" |"")"),567.0)</f>
        <v>567</v>
      </c>
      <c r="H571" s="19">
        <f>IFERROR(__xludf.DUMMYFUNCTION("""COMPUTED_VALUE"""),0.00237)</f>
        <v>0.00237</v>
      </c>
      <c r="I571" s="19" t="str">
        <f>IFERROR(__xludf.DUMMYFUNCTION("""COMPUTED_VALUE"""),"-")</f>
        <v>-</v>
      </c>
      <c r="J571" s="19">
        <f>IFERROR(__xludf.DUMMYFUNCTION("""COMPUTED_VALUE"""),0.00209)</f>
        <v>0.00209</v>
      </c>
      <c r="K571" s="19">
        <f>IFERROR(__xludf.DUMMYFUNCTION("""COMPUTED_VALUE"""),0.0397)</f>
        <v>0.0397</v>
      </c>
      <c r="L571" s="19" t="str">
        <f>IFERROR(__xludf.DUMMYFUNCTION("""COMPUTED_VALUE"""),"-")</f>
        <v>-</v>
      </c>
      <c r="M571" s="19">
        <f>IFERROR(__xludf.DUMMYFUNCTION("""COMPUTED_VALUE"""),0.04019)</f>
        <v>0.04019</v>
      </c>
    </row>
    <row r="572">
      <c r="A572" s="12" t="s">
        <v>8462</v>
      </c>
      <c r="G572" s="19">
        <f>IFERROR(__xludf.DUMMYFUNCTION("SPLIT(A570, "" |"")"),568.0)</f>
        <v>568</v>
      </c>
      <c r="H572" s="19">
        <f>IFERROR(__xludf.DUMMYFUNCTION("""COMPUTED_VALUE"""),0.00266)</f>
        <v>0.00266</v>
      </c>
      <c r="I572" s="19" t="str">
        <f>IFERROR(__xludf.DUMMYFUNCTION("""COMPUTED_VALUE"""),"-")</f>
        <v>-</v>
      </c>
      <c r="J572" s="19">
        <f>IFERROR(__xludf.DUMMYFUNCTION("""COMPUTED_VALUE"""),0.00204)</f>
        <v>0.00204</v>
      </c>
      <c r="K572" s="19">
        <f>IFERROR(__xludf.DUMMYFUNCTION("""COMPUTED_VALUE"""),0.03963)</f>
        <v>0.03963</v>
      </c>
      <c r="L572" s="19" t="str">
        <f>IFERROR(__xludf.DUMMYFUNCTION("""COMPUTED_VALUE"""),"-")</f>
        <v>-</v>
      </c>
      <c r="M572" s="19">
        <f>IFERROR(__xludf.DUMMYFUNCTION("""COMPUTED_VALUE"""),0.04029)</f>
        <v>0.04029</v>
      </c>
    </row>
    <row r="573">
      <c r="A573" s="12" t="s">
        <v>8463</v>
      </c>
      <c r="G573" s="19">
        <f>IFERROR(__xludf.DUMMYFUNCTION("SPLIT(A571, "" |"")"),569.0)</f>
        <v>569</v>
      </c>
      <c r="H573" s="19">
        <f>IFERROR(__xludf.DUMMYFUNCTION("""COMPUTED_VALUE"""),0.00197)</f>
        <v>0.00197</v>
      </c>
      <c r="I573" s="19" t="str">
        <f>IFERROR(__xludf.DUMMYFUNCTION("""COMPUTED_VALUE"""),"-")</f>
        <v>-</v>
      </c>
      <c r="J573" s="19">
        <f>IFERROR(__xludf.DUMMYFUNCTION("""COMPUTED_VALUE"""),0.00182)</f>
        <v>0.00182</v>
      </c>
      <c r="K573" s="19">
        <f>IFERROR(__xludf.DUMMYFUNCTION("""COMPUTED_VALUE"""),0.03965)</f>
        <v>0.03965</v>
      </c>
      <c r="L573" s="19" t="str">
        <f>IFERROR(__xludf.DUMMYFUNCTION("""COMPUTED_VALUE"""),"-")</f>
        <v>-</v>
      </c>
      <c r="M573" s="19">
        <f>IFERROR(__xludf.DUMMYFUNCTION("""COMPUTED_VALUE"""),0.03995)</f>
        <v>0.03995</v>
      </c>
    </row>
    <row r="574">
      <c r="A574" s="12" t="s">
        <v>8464</v>
      </c>
      <c r="G574" s="19">
        <f>IFERROR(__xludf.DUMMYFUNCTION("SPLIT(A572, "" |"")"),570.0)</f>
        <v>570</v>
      </c>
      <c r="H574" s="19">
        <f>IFERROR(__xludf.DUMMYFUNCTION("""COMPUTED_VALUE"""),0.00209)</f>
        <v>0.00209</v>
      </c>
      <c r="I574" s="19" t="str">
        <f>IFERROR(__xludf.DUMMYFUNCTION("""COMPUTED_VALUE"""),"-")</f>
        <v>-</v>
      </c>
      <c r="J574" s="19">
        <f>IFERROR(__xludf.DUMMYFUNCTION("""COMPUTED_VALUE"""),0.00198)</f>
        <v>0.00198</v>
      </c>
      <c r="K574" s="19">
        <f>IFERROR(__xludf.DUMMYFUNCTION("""COMPUTED_VALUE"""),0.03968)</f>
        <v>0.03968</v>
      </c>
      <c r="L574" s="19" t="str">
        <f>IFERROR(__xludf.DUMMYFUNCTION("""COMPUTED_VALUE"""),"-")</f>
        <v>-</v>
      </c>
      <c r="M574" s="19">
        <f>IFERROR(__xludf.DUMMYFUNCTION("""COMPUTED_VALUE"""),0.04065)</f>
        <v>0.04065</v>
      </c>
    </row>
    <row r="575">
      <c r="A575" s="12" t="s">
        <v>8465</v>
      </c>
      <c r="G575" s="19">
        <f>IFERROR(__xludf.DUMMYFUNCTION("SPLIT(A573, "" |"")"),571.0)</f>
        <v>571</v>
      </c>
      <c r="H575" s="19">
        <f>IFERROR(__xludf.DUMMYFUNCTION("""COMPUTED_VALUE"""),0.00198)</f>
        <v>0.00198</v>
      </c>
      <c r="I575" s="19" t="str">
        <f>IFERROR(__xludf.DUMMYFUNCTION("""COMPUTED_VALUE"""),"-")</f>
        <v>-</v>
      </c>
      <c r="J575" s="19">
        <f>IFERROR(__xludf.DUMMYFUNCTION("""COMPUTED_VALUE"""),0.00188)</f>
        <v>0.00188</v>
      </c>
      <c r="K575" s="19">
        <f>IFERROR(__xludf.DUMMYFUNCTION("""COMPUTED_VALUE"""),0.03971)</f>
        <v>0.03971</v>
      </c>
      <c r="L575" s="19" t="str">
        <f>IFERROR(__xludf.DUMMYFUNCTION("""COMPUTED_VALUE"""),"-")</f>
        <v>-</v>
      </c>
      <c r="M575" s="19">
        <f>IFERROR(__xludf.DUMMYFUNCTION("""COMPUTED_VALUE"""),0.0397)</f>
        <v>0.0397</v>
      </c>
    </row>
    <row r="576">
      <c r="A576" s="12" t="s">
        <v>8466</v>
      </c>
      <c r="G576" s="19">
        <f>IFERROR(__xludf.DUMMYFUNCTION("SPLIT(A574, "" |"")"),572.0)</f>
        <v>572</v>
      </c>
      <c r="H576" s="19">
        <f>IFERROR(__xludf.DUMMYFUNCTION("""COMPUTED_VALUE"""),0.00222)</f>
        <v>0.00222</v>
      </c>
      <c r="I576" s="19" t="str">
        <f>IFERROR(__xludf.DUMMYFUNCTION("""COMPUTED_VALUE"""),"-")</f>
        <v>-</v>
      </c>
      <c r="J576" s="19">
        <f>IFERROR(__xludf.DUMMYFUNCTION("""COMPUTED_VALUE"""),0.00191)</f>
        <v>0.00191</v>
      </c>
      <c r="K576" s="19">
        <f>IFERROR(__xludf.DUMMYFUNCTION("""COMPUTED_VALUE"""),0.03954)</f>
        <v>0.03954</v>
      </c>
      <c r="L576" s="19" t="str">
        <f>IFERROR(__xludf.DUMMYFUNCTION("""COMPUTED_VALUE"""),"-")</f>
        <v>-</v>
      </c>
      <c r="M576" s="19">
        <f>IFERROR(__xludf.DUMMYFUNCTION("""COMPUTED_VALUE"""),0.03706)</f>
        <v>0.03706</v>
      </c>
    </row>
    <row r="577">
      <c r="A577" s="12" t="s">
        <v>8467</v>
      </c>
      <c r="G577" s="19">
        <f>IFERROR(__xludf.DUMMYFUNCTION("SPLIT(A575, "" |"")"),573.0)</f>
        <v>573</v>
      </c>
      <c r="H577" s="19">
        <f>IFERROR(__xludf.DUMMYFUNCTION("""COMPUTED_VALUE"""),0.00235)</f>
        <v>0.00235</v>
      </c>
      <c r="I577" s="19" t="str">
        <f>IFERROR(__xludf.DUMMYFUNCTION("""COMPUTED_VALUE"""),"-")</f>
        <v>-</v>
      </c>
      <c r="J577" s="19">
        <f>IFERROR(__xludf.DUMMYFUNCTION("""COMPUTED_VALUE"""),0.00205)</f>
        <v>0.00205</v>
      </c>
      <c r="K577" s="19">
        <f>IFERROR(__xludf.DUMMYFUNCTION("""COMPUTED_VALUE"""),0.03705)</f>
        <v>0.03705</v>
      </c>
      <c r="L577" s="19" t="str">
        <f>IFERROR(__xludf.DUMMYFUNCTION("""COMPUTED_VALUE"""),"-")</f>
        <v>-</v>
      </c>
      <c r="M577" s="19">
        <f>IFERROR(__xludf.DUMMYFUNCTION("""COMPUTED_VALUE"""),0.03748)</f>
        <v>0.03748</v>
      </c>
    </row>
    <row r="578">
      <c r="A578" s="12" t="s">
        <v>8468</v>
      </c>
      <c r="G578" s="19">
        <f>IFERROR(__xludf.DUMMYFUNCTION("SPLIT(A576, "" |"")"),574.0)</f>
        <v>574</v>
      </c>
      <c r="H578" s="19">
        <f>IFERROR(__xludf.DUMMYFUNCTION("""COMPUTED_VALUE"""),0.00212)</f>
        <v>0.00212</v>
      </c>
      <c r="I578" s="19" t="str">
        <f>IFERROR(__xludf.DUMMYFUNCTION("""COMPUTED_VALUE"""),"-")</f>
        <v>-</v>
      </c>
      <c r="J578" s="19">
        <f>IFERROR(__xludf.DUMMYFUNCTION("""COMPUTED_VALUE"""),0.00188)</f>
        <v>0.00188</v>
      </c>
      <c r="K578" s="19">
        <f>IFERROR(__xludf.DUMMYFUNCTION("""COMPUTED_VALUE"""),0.03592)</f>
        <v>0.03592</v>
      </c>
      <c r="L578" s="19" t="str">
        <f>IFERROR(__xludf.DUMMYFUNCTION("""COMPUTED_VALUE"""),"-")</f>
        <v>-</v>
      </c>
      <c r="M578" s="19">
        <f>IFERROR(__xludf.DUMMYFUNCTION("""COMPUTED_VALUE"""),0.03486)</f>
        <v>0.03486</v>
      </c>
    </row>
    <row r="579">
      <c r="A579" s="12" t="s">
        <v>8469</v>
      </c>
      <c r="G579" s="19">
        <f>IFERROR(__xludf.DUMMYFUNCTION("SPLIT(A577, "" |"")"),575.0)</f>
        <v>575</v>
      </c>
      <c r="H579" s="19">
        <f>IFERROR(__xludf.DUMMYFUNCTION("""COMPUTED_VALUE"""),0.00214)</f>
        <v>0.00214</v>
      </c>
      <c r="I579" s="19" t="str">
        <f>IFERROR(__xludf.DUMMYFUNCTION("""COMPUTED_VALUE"""),"-")</f>
        <v>-</v>
      </c>
      <c r="J579" s="19">
        <f>IFERROR(__xludf.DUMMYFUNCTION("""COMPUTED_VALUE"""),0.00195)</f>
        <v>0.00195</v>
      </c>
      <c r="K579" s="19">
        <f>IFERROR(__xludf.DUMMYFUNCTION("""COMPUTED_VALUE"""),0.0334)</f>
        <v>0.0334</v>
      </c>
      <c r="L579" s="19" t="str">
        <f>IFERROR(__xludf.DUMMYFUNCTION("""COMPUTED_VALUE"""),"-")</f>
        <v>-</v>
      </c>
      <c r="M579" s="19">
        <f>IFERROR(__xludf.DUMMYFUNCTION("""COMPUTED_VALUE"""),0.03746)</f>
        <v>0.03746</v>
      </c>
    </row>
    <row r="580">
      <c r="A580" s="12" t="s">
        <v>8470</v>
      </c>
      <c r="G580" s="19">
        <f>IFERROR(__xludf.DUMMYFUNCTION("SPLIT(A578, "" |"")"),576.0)</f>
        <v>576</v>
      </c>
      <c r="H580" s="19">
        <f>IFERROR(__xludf.DUMMYFUNCTION("""COMPUTED_VALUE"""),0.00215)</f>
        <v>0.00215</v>
      </c>
      <c r="I580" s="19" t="str">
        <f>IFERROR(__xludf.DUMMYFUNCTION("""COMPUTED_VALUE"""),"-")</f>
        <v>-</v>
      </c>
      <c r="J580" s="19">
        <f>IFERROR(__xludf.DUMMYFUNCTION("""COMPUTED_VALUE"""),0.00199)</f>
        <v>0.00199</v>
      </c>
      <c r="K580" s="19">
        <f>IFERROR(__xludf.DUMMYFUNCTION("""COMPUTED_VALUE"""),0.03965)</f>
        <v>0.03965</v>
      </c>
      <c r="L580" s="19" t="str">
        <f>IFERROR(__xludf.DUMMYFUNCTION("""COMPUTED_VALUE"""),"-")</f>
        <v>-</v>
      </c>
      <c r="M580" s="19">
        <f>IFERROR(__xludf.DUMMYFUNCTION("""COMPUTED_VALUE"""),0.03848)</f>
        <v>0.03848</v>
      </c>
    </row>
    <row r="581">
      <c r="A581" s="12" t="s">
        <v>8471</v>
      </c>
      <c r="G581" s="19">
        <f>IFERROR(__xludf.DUMMYFUNCTION("SPLIT(A579, "" |"")"),577.0)</f>
        <v>577</v>
      </c>
      <c r="H581" s="19">
        <f>IFERROR(__xludf.DUMMYFUNCTION("""COMPUTED_VALUE"""),0.00207)</f>
        <v>0.00207</v>
      </c>
      <c r="I581" s="19" t="str">
        <f>IFERROR(__xludf.DUMMYFUNCTION("""COMPUTED_VALUE"""),"-")</f>
        <v>-</v>
      </c>
      <c r="J581" s="19">
        <f>IFERROR(__xludf.DUMMYFUNCTION("""COMPUTED_VALUE"""),0.0018)</f>
        <v>0.0018</v>
      </c>
      <c r="K581" s="19">
        <f>IFERROR(__xludf.DUMMYFUNCTION("""COMPUTED_VALUE"""),0.03948)</f>
        <v>0.03948</v>
      </c>
      <c r="L581" s="19" t="str">
        <f>IFERROR(__xludf.DUMMYFUNCTION("""COMPUTED_VALUE"""),"-")</f>
        <v>-</v>
      </c>
      <c r="M581" s="19">
        <f>IFERROR(__xludf.DUMMYFUNCTION("""COMPUTED_VALUE"""),0.03993)</f>
        <v>0.03993</v>
      </c>
    </row>
    <row r="582">
      <c r="A582" s="12" t="s">
        <v>8472</v>
      </c>
      <c r="G582" s="19">
        <f>IFERROR(__xludf.DUMMYFUNCTION("SPLIT(A580, "" |"")"),578.0)</f>
        <v>578</v>
      </c>
      <c r="H582" s="19">
        <f>IFERROR(__xludf.DUMMYFUNCTION("""COMPUTED_VALUE"""),0.00208)</f>
        <v>0.00208</v>
      </c>
      <c r="I582" s="19" t="str">
        <f>IFERROR(__xludf.DUMMYFUNCTION("""COMPUTED_VALUE"""),"-")</f>
        <v>-</v>
      </c>
      <c r="J582" s="19">
        <f>IFERROR(__xludf.DUMMYFUNCTION("""COMPUTED_VALUE"""),0.00195)</f>
        <v>0.00195</v>
      </c>
      <c r="K582" s="19">
        <f>IFERROR(__xludf.DUMMYFUNCTION("""COMPUTED_VALUE"""),0.03971)</f>
        <v>0.03971</v>
      </c>
      <c r="L582" s="19" t="str">
        <f>IFERROR(__xludf.DUMMYFUNCTION("""COMPUTED_VALUE"""),"-")</f>
        <v>-</v>
      </c>
      <c r="M582" s="19">
        <f>IFERROR(__xludf.DUMMYFUNCTION("""COMPUTED_VALUE"""),0.03989)</f>
        <v>0.03989</v>
      </c>
    </row>
    <row r="583">
      <c r="A583" s="12" t="s">
        <v>8473</v>
      </c>
      <c r="G583" s="19">
        <f>IFERROR(__xludf.DUMMYFUNCTION("SPLIT(A581, "" |"")"),579.0)</f>
        <v>579</v>
      </c>
      <c r="H583" s="19">
        <f>IFERROR(__xludf.DUMMYFUNCTION("""COMPUTED_VALUE"""),0.00209)</f>
        <v>0.00209</v>
      </c>
      <c r="I583" s="19" t="str">
        <f>IFERROR(__xludf.DUMMYFUNCTION("""COMPUTED_VALUE"""),"-")</f>
        <v>-</v>
      </c>
      <c r="J583" s="19">
        <f>IFERROR(__xludf.DUMMYFUNCTION("""COMPUTED_VALUE"""),0.00185)</f>
        <v>0.00185</v>
      </c>
      <c r="K583" s="19">
        <f>IFERROR(__xludf.DUMMYFUNCTION("""COMPUTED_VALUE"""),0.03888)</f>
        <v>0.03888</v>
      </c>
      <c r="L583" s="19" t="str">
        <f>IFERROR(__xludf.DUMMYFUNCTION("""COMPUTED_VALUE"""),"-")</f>
        <v>-</v>
      </c>
      <c r="M583" s="19">
        <f>IFERROR(__xludf.DUMMYFUNCTION("""COMPUTED_VALUE"""),0.03759)</f>
        <v>0.03759</v>
      </c>
    </row>
    <row r="584">
      <c r="A584" s="12" t="s">
        <v>8474</v>
      </c>
      <c r="G584" s="19">
        <f>IFERROR(__xludf.DUMMYFUNCTION("SPLIT(A582, "" |"")"),580.0)</f>
        <v>580</v>
      </c>
      <c r="H584" s="19">
        <f>IFERROR(__xludf.DUMMYFUNCTION("""COMPUTED_VALUE"""),0.00276)</f>
        <v>0.00276</v>
      </c>
      <c r="I584" s="19" t="str">
        <f>IFERROR(__xludf.DUMMYFUNCTION("""COMPUTED_VALUE"""),"-")</f>
        <v>-</v>
      </c>
      <c r="J584" s="19">
        <f>IFERROR(__xludf.DUMMYFUNCTION("""COMPUTED_VALUE"""),0.00222)</f>
        <v>0.00222</v>
      </c>
      <c r="K584" s="19">
        <f>IFERROR(__xludf.DUMMYFUNCTION("""COMPUTED_VALUE"""),0.03977)</f>
        <v>0.03977</v>
      </c>
      <c r="L584" s="19" t="str">
        <f>IFERROR(__xludf.DUMMYFUNCTION("""COMPUTED_VALUE"""),"-")</f>
        <v>-</v>
      </c>
      <c r="M584" s="19">
        <f>IFERROR(__xludf.DUMMYFUNCTION("""COMPUTED_VALUE"""),0.0383)</f>
        <v>0.0383</v>
      </c>
    </row>
    <row r="585">
      <c r="A585" s="12" t="s">
        <v>8475</v>
      </c>
      <c r="G585" s="19">
        <f>IFERROR(__xludf.DUMMYFUNCTION("SPLIT(A583, "" |"")"),581.0)</f>
        <v>581</v>
      </c>
      <c r="H585" s="19">
        <f>IFERROR(__xludf.DUMMYFUNCTION("""COMPUTED_VALUE"""),0.0022)</f>
        <v>0.0022</v>
      </c>
      <c r="I585" s="19" t="str">
        <f>IFERROR(__xludf.DUMMYFUNCTION("""COMPUTED_VALUE"""),"-")</f>
        <v>-</v>
      </c>
      <c r="J585" s="19">
        <f>IFERROR(__xludf.DUMMYFUNCTION("""COMPUTED_VALUE"""),0.00199)</f>
        <v>0.00199</v>
      </c>
      <c r="K585" s="19">
        <f>IFERROR(__xludf.DUMMYFUNCTION("""COMPUTED_VALUE"""),0.0382)</f>
        <v>0.0382</v>
      </c>
      <c r="L585" s="19" t="str">
        <f>IFERROR(__xludf.DUMMYFUNCTION("""COMPUTED_VALUE"""),"-")</f>
        <v>-</v>
      </c>
      <c r="M585" s="19">
        <f>IFERROR(__xludf.DUMMYFUNCTION("""COMPUTED_VALUE"""),0.04003)</f>
        <v>0.04003</v>
      </c>
    </row>
    <row r="586">
      <c r="A586" s="12" t="s">
        <v>8476</v>
      </c>
      <c r="G586" s="19">
        <f>IFERROR(__xludf.DUMMYFUNCTION("SPLIT(A584, "" |"")"),582.0)</f>
        <v>582</v>
      </c>
      <c r="H586" s="19">
        <f>IFERROR(__xludf.DUMMYFUNCTION("""COMPUTED_VALUE"""),0.00228)</f>
        <v>0.00228</v>
      </c>
      <c r="I586" s="19" t="str">
        <f>IFERROR(__xludf.DUMMYFUNCTION("""COMPUTED_VALUE"""),"-")</f>
        <v>-</v>
      </c>
      <c r="J586" s="19">
        <f>IFERROR(__xludf.DUMMYFUNCTION("""COMPUTED_VALUE"""),0.00202)</f>
        <v>0.00202</v>
      </c>
      <c r="K586" s="19">
        <f>IFERROR(__xludf.DUMMYFUNCTION("""COMPUTED_VALUE"""),0.0379)</f>
        <v>0.0379</v>
      </c>
      <c r="L586" s="19" t="str">
        <f>IFERROR(__xludf.DUMMYFUNCTION("""COMPUTED_VALUE"""),"-")</f>
        <v>-</v>
      </c>
      <c r="M586" s="19">
        <f>IFERROR(__xludf.DUMMYFUNCTION("""COMPUTED_VALUE"""),0.04058)</f>
        <v>0.04058</v>
      </c>
    </row>
    <row r="587">
      <c r="A587" s="12" t="s">
        <v>8477</v>
      </c>
      <c r="G587" s="19">
        <f>IFERROR(__xludf.DUMMYFUNCTION("SPLIT(A585, "" |"")"),583.0)</f>
        <v>583</v>
      </c>
      <c r="H587" s="19">
        <f>IFERROR(__xludf.DUMMYFUNCTION("""COMPUTED_VALUE"""),0.00233)</f>
        <v>0.00233</v>
      </c>
      <c r="I587" s="19" t="str">
        <f>IFERROR(__xludf.DUMMYFUNCTION("""COMPUTED_VALUE"""),"-")</f>
        <v>-</v>
      </c>
      <c r="J587" s="19">
        <f>IFERROR(__xludf.DUMMYFUNCTION("""COMPUTED_VALUE"""),0.00207)</f>
        <v>0.00207</v>
      </c>
      <c r="K587" s="19">
        <f>IFERROR(__xludf.DUMMYFUNCTION("""COMPUTED_VALUE"""),0.03978)</f>
        <v>0.03978</v>
      </c>
      <c r="L587" s="19" t="str">
        <f>IFERROR(__xludf.DUMMYFUNCTION("""COMPUTED_VALUE"""),"-")</f>
        <v>-</v>
      </c>
      <c r="M587" s="19">
        <f>IFERROR(__xludf.DUMMYFUNCTION("""COMPUTED_VALUE"""),0.03912)</f>
        <v>0.03912</v>
      </c>
    </row>
    <row r="588">
      <c r="A588" s="12" t="s">
        <v>8478</v>
      </c>
      <c r="G588" s="19">
        <f>IFERROR(__xludf.DUMMYFUNCTION("SPLIT(A586, "" |"")"),584.0)</f>
        <v>584</v>
      </c>
      <c r="H588" s="19">
        <f>IFERROR(__xludf.DUMMYFUNCTION("""COMPUTED_VALUE"""),0.0022)</f>
        <v>0.0022</v>
      </c>
      <c r="I588" s="19" t="str">
        <f>IFERROR(__xludf.DUMMYFUNCTION("""COMPUTED_VALUE"""),"-")</f>
        <v>-</v>
      </c>
      <c r="J588" s="19">
        <f>IFERROR(__xludf.DUMMYFUNCTION("""COMPUTED_VALUE"""),0.00194)</f>
        <v>0.00194</v>
      </c>
      <c r="K588" s="19">
        <f>IFERROR(__xludf.DUMMYFUNCTION("""COMPUTED_VALUE"""),0.0404)</f>
        <v>0.0404</v>
      </c>
      <c r="L588" s="19" t="str">
        <f>IFERROR(__xludf.DUMMYFUNCTION("""COMPUTED_VALUE"""),"-")</f>
        <v>-</v>
      </c>
      <c r="M588" s="19">
        <f>IFERROR(__xludf.DUMMYFUNCTION("""COMPUTED_VALUE"""),0.0345)</f>
        <v>0.0345</v>
      </c>
    </row>
    <row r="589">
      <c r="A589" s="12" t="s">
        <v>8479</v>
      </c>
      <c r="G589" s="19">
        <f>IFERROR(__xludf.DUMMYFUNCTION("SPLIT(A587, "" |"")"),585.0)</f>
        <v>585</v>
      </c>
      <c r="H589" s="19">
        <f>IFERROR(__xludf.DUMMYFUNCTION("""COMPUTED_VALUE"""),0.00219)</f>
        <v>0.00219</v>
      </c>
      <c r="I589" s="19" t="str">
        <f>IFERROR(__xludf.DUMMYFUNCTION("""COMPUTED_VALUE"""),"-")</f>
        <v>-</v>
      </c>
      <c r="J589" s="19">
        <f>IFERROR(__xludf.DUMMYFUNCTION("""COMPUTED_VALUE"""),0.00235)</f>
        <v>0.00235</v>
      </c>
      <c r="K589" s="19">
        <f>IFERROR(__xludf.DUMMYFUNCTION("""COMPUTED_VALUE"""),0.03893)</f>
        <v>0.03893</v>
      </c>
      <c r="L589" s="19" t="str">
        <f>IFERROR(__xludf.DUMMYFUNCTION("""COMPUTED_VALUE"""),"-")</f>
        <v>-</v>
      </c>
      <c r="M589" s="19">
        <f>IFERROR(__xludf.DUMMYFUNCTION("""COMPUTED_VALUE"""),0.03907)</f>
        <v>0.03907</v>
      </c>
    </row>
    <row r="590">
      <c r="A590" s="12" t="s">
        <v>8480</v>
      </c>
      <c r="G590" s="19">
        <f>IFERROR(__xludf.DUMMYFUNCTION("SPLIT(A588, "" |"")"),586.0)</f>
        <v>586</v>
      </c>
      <c r="H590" s="19">
        <f>IFERROR(__xludf.DUMMYFUNCTION("""COMPUTED_VALUE"""),0.00204)</f>
        <v>0.00204</v>
      </c>
      <c r="I590" s="19" t="str">
        <f>IFERROR(__xludf.DUMMYFUNCTION("""COMPUTED_VALUE"""),"-")</f>
        <v>-</v>
      </c>
      <c r="J590" s="19">
        <f>IFERROR(__xludf.DUMMYFUNCTION("""COMPUTED_VALUE"""),0.00202)</f>
        <v>0.00202</v>
      </c>
      <c r="K590" s="19">
        <f>IFERROR(__xludf.DUMMYFUNCTION("""COMPUTED_VALUE"""),0.0397)</f>
        <v>0.0397</v>
      </c>
      <c r="L590" s="19" t="str">
        <f>IFERROR(__xludf.DUMMYFUNCTION("""COMPUTED_VALUE"""),"-")</f>
        <v>-</v>
      </c>
      <c r="M590" s="19">
        <f>IFERROR(__xludf.DUMMYFUNCTION("""COMPUTED_VALUE"""),0.03986)</f>
        <v>0.03986</v>
      </c>
    </row>
    <row r="591">
      <c r="A591" s="12" t="s">
        <v>8481</v>
      </c>
      <c r="G591" s="19">
        <f>IFERROR(__xludf.DUMMYFUNCTION("SPLIT(A589, "" |"")"),587.0)</f>
        <v>587</v>
      </c>
      <c r="H591" s="19">
        <f>IFERROR(__xludf.DUMMYFUNCTION("""COMPUTED_VALUE"""),0.00214)</f>
        <v>0.00214</v>
      </c>
      <c r="I591" s="19" t="str">
        <f>IFERROR(__xludf.DUMMYFUNCTION("""COMPUTED_VALUE"""),"-")</f>
        <v>-</v>
      </c>
      <c r="J591" s="19">
        <f>IFERROR(__xludf.DUMMYFUNCTION("""COMPUTED_VALUE"""),0.002)</f>
        <v>0.002</v>
      </c>
      <c r="K591" s="19">
        <f>IFERROR(__xludf.DUMMYFUNCTION("""COMPUTED_VALUE"""),0.03938)</f>
        <v>0.03938</v>
      </c>
      <c r="L591" s="19" t="str">
        <f>IFERROR(__xludf.DUMMYFUNCTION("""COMPUTED_VALUE"""),"-")</f>
        <v>-</v>
      </c>
      <c r="M591" s="19">
        <f>IFERROR(__xludf.DUMMYFUNCTION("""COMPUTED_VALUE"""),0.03984)</f>
        <v>0.03984</v>
      </c>
    </row>
    <row r="592">
      <c r="A592" s="12" t="s">
        <v>8482</v>
      </c>
      <c r="G592" s="19">
        <f>IFERROR(__xludf.DUMMYFUNCTION("SPLIT(A590, "" |"")"),588.0)</f>
        <v>588</v>
      </c>
      <c r="H592" s="19">
        <f>IFERROR(__xludf.DUMMYFUNCTION("""COMPUTED_VALUE"""),0.0021)</f>
        <v>0.0021</v>
      </c>
      <c r="I592" s="19" t="str">
        <f>IFERROR(__xludf.DUMMYFUNCTION("""COMPUTED_VALUE"""),"-")</f>
        <v>-</v>
      </c>
      <c r="J592" s="19">
        <f>IFERROR(__xludf.DUMMYFUNCTION("""COMPUTED_VALUE"""),0.00196)</f>
        <v>0.00196</v>
      </c>
      <c r="K592" s="19">
        <f>IFERROR(__xludf.DUMMYFUNCTION("""COMPUTED_VALUE"""),0.03929)</f>
        <v>0.03929</v>
      </c>
      <c r="L592" s="19" t="str">
        <f>IFERROR(__xludf.DUMMYFUNCTION("""COMPUTED_VALUE"""),"-")</f>
        <v>-</v>
      </c>
      <c r="M592" s="19">
        <f>IFERROR(__xludf.DUMMYFUNCTION("""COMPUTED_VALUE"""),0.03967)</f>
        <v>0.03967</v>
      </c>
    </row>
    <row r="593">
      <c r="A593" s="12" t="s">
        <v>8483</v>
      </c>
      <c r="G593" s="19">
        <f>IFERROR(__xludf.DUMMYFUNCTION("SPLIT(A591, "" |"")"),589.0)</f>
        <v>589</v>
      </c>
      <c r="H593" s="19">
        <f>IFERROR(__xludf.DUMMYFUNCTION("""COMPUTED_VALUE"""),0.00202)</f>
        <v>0.00202</v>
      </c>
      <c r="I593" s="19" t="str">
        <f>IFERROR(__xludf.DUMMYFUNCTION("""COMPUTED_VALUE"""),"-")</f>
        <v>-</v>
      </c>
      <c r="J593" s="19">
        <f>IFERROR(__xludf.DUMMYFUNCTION("""COMPUTED_VALUE"""),0.002)</f>
        <v>0.002</v>
      </c>
      <c r="K593" s="19">
        <f>IFERROR(__xludf.DUMMYFUNCTION("""COMPUTED_VALUE"""),0.03913)</f>
        <v>0.03913</v>
      </c>
      <c r="L593" s="19" t="str">
        <f>IFERROR(__xludf.DUMMYFUNCTION("""COMPUTED_VALUE"""),"-")</f>
        <v>-</v>
      </c>
      <c r="M593" s="19">
        <f>IFERROR(__xludf.DUMMYFUNCTION("""COMPUTED_VALUE"""),0.03987)</f>
        <v>0.03987</v>
      </c>
    </row>
    <row r="594">
      <c r="A594" s="12" t="s">
        <v>8484</v>
      </c>
      <c r="G594" s="19">
        <f>IFERROR(__xludf.DUMMYFUNCTION("SPLIT(A592, "" |"")"),590.0)</f>
        <v>590</v>
      </c>
      <c r="H594" s="19">
        <f>IFERROR(__xludf.DUMMYFUNCTION("""COMPUTED_VALUE"""),0.00244)</f>
        <v>0.00244</v>
      </c>
      <c r="I594" s="19" t="str">
        <f>IFERROR(__xludf.DUMMYFUNCTION("""COMPUTED_VALUE"""),"-")</f>
        <v>-</v>
      </c>
      <c r="J594" s="19">
        <f>IFERROR(__xludf.DUMMYFUNCTION("""COMPUTED_VALUE"""),0.0023)</f>
        <v>0.0023</v>
      </c>
      <c r="K594" s="19">
        <f>IFERROR(__xludf.DUMMYFUNCTION("""COMPUTED_VALUE"""),0.03976)</f>
        <v>0.03976</v>
      </c>
      <c r="L594" s="19" t="str">
        <f>IFERROR(__xludf.DUMMYFUNCTION("""COMPUTED_VALUE"""),"-")</f>
        <v>-</v>
      </c>
      <c r="M594" s="19">
        <f>IFERROR(__xludf.DUMMYFUNCTION("""COMPUTED_VALUE"""),0.03956)</f>
        <v>0.03956</v>
      </c>
    </row>
    <row r="595">
      <c r="A595" s="12" t="s">
        <v>8485</v>
      </c>
      <c r="G595" s="19">
        <f>IFERROR(__xludf.DUMMYFUNCTION("SPLIT(A593, "" |"")"),591.0)</f>
        <v>591</v>
      </c>
      <c r="H595" s="19">
        <f>IFERROR(__xludf.DUMMYFUNCTION("""COMPUTED_VALUE"""),0.00223)</f>
        <v>0.00223</v>
      </c>
      <c r="I595" s="19" t="str">
        <f>IFERROR(__xludf.DUMMYFUNCTION("""COMPUTED_VALUE"""),"-")</f>
        <v>-</v>
      </c>
      <c r="J595" s="19">
        <f>IFERROR(__xludf.DUMMYFUNCTION("""COMPUTED_VALUE"""),0.00198)</f>
        <v>0.00198</v>
      </c>
      <c r="K595" s="19">
        <f>IFERROR(__xludf.DUMMYFUNCTION("""COMPUTED_VALUE"""),0.03676)</f>
        <v>0.03676</v>
      </c>
      <c r="L595" s="19" t="str">
        <f>IFERROR(__xludf.DUMMYFUNCTION("""COMPUTED_VALUE"""),"-")</f>
        <v>-</v>
      </c>
      <c r="M595" s="19">
        <f>IFERROR(__xludf.DUMMYFUNCTION("""COMPUTED_VALUE"""),0.04042)</f>
        <v>0.04042</v>
      </c>
    </row>
    <row r="596">
      <c r="A596" s="12" t="s">
        <v>8486</v>
      </c>
      <c r="G596" s="19">
        <f>IFERROR(__xludf.DUMMYFUNCTION("SPLIT(A594, "" |"")"),592.0)</f>
        <v>592</v>
      </c>
      <c r="H596" s="19">
        <f>IFERROR(__xludf.DUMMYFUNCTION("""COMPUTED_VALUE"""),0.00221)</f>
        <v>0.00221</v>
      </c>
      <c r="I596" s="19" t="str">
        <f>IFERROR(__xludf.DUMMYFUNCTION("""COMPUTED_VALUE"""),"-")</f>
        <v>-</v>
      </c>
      <c r="J596" s="19">
        <f>IFERROR(__xludf.DUMMYFUNCTION("""COMPUTED_VALUE"""),0.00187)</f>
        <v>0.00187</v>
      </c>
      <c r="K596" s="19">
        <f>IFERROR(__xludf.DUMMYFUNCTION("""COMPUTED_VALUE"""),0.03965)</f>
        <v>0.03965</v>
      </c>
      <c r="L596" s="19" t="str">
        <f>IFERROR(__xludf.DUMMYFUNCTION("""COMPUTED_VALUE"""),"-")</f>
        <v>-</v>
      </c>
      <c r="M596" s="19">
        <f>IFERROR(__xludf.DUMMYFUNCTION("""COMPUTED_VALUE"""),0.04051)</f>
        <v>0.04051</v>
      </c>
    </row>
    <row r="597">
      <c r="A597" s="12" t="s">
        <v>8487</v>
      </c>
      <c r="G597" s="19">
        <f>IFERROR(__xludf.DUMMYFUNCTION("SPLIT(A595, "" |"")"),593.0)</f>
        <v>593</v>
      </c>
      <c r="H597" s="19">
        <f>IFERROR(__xludf.DUMMYFUNCTION("""COMPUTED_VALUE"""),0.00395)</f>
        <v>0.00395</v>
      </c>
      <c r="I597" s="19" t="str">
        <f>IFERROR(__xludf.DUMMYFUNCTION("""COMPUTED_VALUE"""),"-")</f>
        <v>-</v>
      </c>
      <c r="J597" s="19">
        <f>IFERROR(__xludf.DUMMYFUNCTION("""COMPUTED_VALUE"""),0.00435)</f>
        <v>0.00435</v>
      </c>
      <c r="K597" s="19">
        <f>IFERROR(__xludf.DUMMYFUNCTION("""COMPUTED_VALUE"""),0.04262)</f>
        <v>0.04262</v>
      </c>
      <c r="L597" s="19" t="str">
        <f>IFERROR(__xludf.DUMMYFUNCTION("""COMPUTED_VALUE"""),"-")</f>
        <v>-</v>
      </c>
      <c r="M597" s="19">
        <f>IFERROR(__xludf.DUMMYFUNCTION("""COMPUTED_VALUE"""),0.07138)</f>
        <v>0.07138</v>
      </c>
    </row>
    <row r="598">
      <c r="A598" s="12" t="s">
        <v>8488</v>
      </c>
      <c r="G598" s="19">
        <f>IFERROR(__xludf.DUMMYFUNCTION("SPLIT(A596, "" |"")"),594.0)</f>
        <v>594</v>
      </c>
      <c r="H598" s="19">
        <f>IFERROR(__xludf.DUMMYFUNCTION("""COMPUTED_VALUE"""),0.00222)</f>
        <v>0.00222</v>
      </c>
      <c r="I598" s="19" t="str">
        <f>IFERROR(__xludf.DUMMYFUNCTION("""COMPUTED_VALUE"""),"-")</f>
        <v>-</v>
      </c>
      <c r="J598" s="19">
        <f>IFERROR(__xludf.DUMMYFUNCTION("""COMPUTED_VALUE"""),0.00206)</f>
        <v>0.00206</v>
      </c>
      <c r="K598" s="19">
        <f>IFERROR(__xludf.DUMMYFUNCTION("""COMPUTED_VALUE"""),0.03692)</f>
        <v>0.03692</v>
      </c>
      <c r="L598" s="19" t="str">
        <f>IFERROR(__xludf.DUMMYFUNCTION("""COMPUTED_VALUE"""),"-")</f>
        <v>-</v>
      </c>
      <c r="M598" s="19">
        <f>IFERROR(__xludf.DUMMYFUNCTION("""COMPUTED_VALUE"""),0.04024)</f>
        <v>0.04024</v>
      </c>
    </row>
    <row r="599">
      <c r="A599" s="12" t="s">
        <v>8489</v>
      </c>
      <c r="G599" s="19">
        <f>IFERROR(__xludf.DUMMYFUNCTION("SPLIT(A597, "" |"")"),595.0)</f>
        <v>595</v>
      </c>
      <c r="H599" s="19">
        <f>IFERROR(__xludf.DUMMYFUNCTION("""COMPUTED_VALUE"""),0.00224)</f>
        <v>0.00224</v>
      </c>
      <c r="I599" s="19" t="str">
        <f>IFERROR(__xludf.DUMMYFUNCTION("""COMPUTED_VALUE"""),"-")</f>
        <v>-</v>
      </c>
      <c r="J599" s="19">
        <f>IFERROR(__xludf.DUMMYFUNCTION("""COMPUTED_VALUE"""),0.00199)</f>
        <v>0.00199</v>
      </c>
      <c r="K599" s="19">
        <f>IFERROR(__xludf.DUMMYFUNCTION("""COMPUTED_VALUE"""),0.03925)</f>
        <v>0.03925</v>
      </c>
      <c r="L599" s="19" t="str">
        <f>IFERROR(__xludf.DUMMYFUNCTION("""COMPUTED_VALUE"""),"-")</f>
        <v>-</v>
      </c>
      <c r="M599" s="19">
        <f>IFERROR(__xludf.DUMMYFUNCTION("""COMPUTED_VALUE"""),0.04005)</f>
        <v>0.04005</v>
      </c>
    </row>
    <row r="600">
      <c r="A600" s="12" t="s">
        <v>8490</v>
      </c>
      <c r="G600" s="19">
        <f>IFERROR(__xludf.DUMMYFUNCTION("SPLIT(A598, "" |"")"),596.0)</f>
        <v>596</v>
      </c>
      <c r="H600" s="19">
        <f>IFERROR(__xludf.DUMMYFUNCTION("""COMPUTED_VALUE"""),0.00216)</f>
        <v>0.00216</v>
      </c>
      <c r="I600" s="19" t="str">
        <f>IFERROR(__xludf.DUMMYFUNCTION("""COMPUTED_VALUE"""),"-")</f>
        <v>-</v>
      </c>
      <c r="J600" s="19">
        <f>IFERROR(__xludf.DUMMYFUNCTION("""COMPUTED_VALUE"""),0.00205)</f>
        <v>0.00205</v>
      </c>
      <c r="K600" s="19">
        <f>IFERROR(__xludf.DUMMYFUNCTION("""COMPUTED_VALUE"""),0.03953)</f>
        <v>0.03953</v>
      </c>
      <c r="L600" s="19" t="str">
        <f>IFERROR(__xludf.DUMMYFUNCTION("""COMPUTED_VALUE"""),"-")</f>
        <v>-</v>
      </c>
      <c r="M600" s="19">
        <f>IFERROR(__xludf.DUMMYFUNCTION("""COMPUTED_VALUE"""),0.03962)</f>
        <v>0.03962</v>
      </c>
    </row>
    <row r="601">
      <c r="A601" s="12" t="s">
        <v>8491</v>
      </c>
      <c r="G601" s="19">
        <f>IFERROR(__xludf.DUMMYFUNCTION("SPLIT(A599, "" |"")"),597.0)</f>
        <v>597</v>
      </c>
      <c r="H601" s="19">
        <f>IFERROR(__xludf.DUMMYFUNCTION("""COMPUTED_VALUE"""),0.00234)</f>
        <v>0.00234</v>
      </c>
      <c r="I601" s="19" t="str">
        <f>IFERROR(__xludf.DUMMYFUNCTION("""COMPUTED_VALUE"""),"-")</f>
        <v>-</v>
      </c>
      <c r="J601" s="19">
        <f>IFERROR(__xludf.DUMMYFUNCTION("""COMPUTED_VALUE"""),0.0021)</f>
        <v>0.0021</v>
      </c>
      <c r="K601" s="19">
        <f>IFERROR(__xludf.DUMMYFUNCTION("""COMPUTED_VALUE"""),0.03818)</f>
        <v>0.03818</v>
      </c>
      <c r="L601" s="19" t="str">
        <f>IFERROR(__xludf.DUMMYFUNCTION("""COMPUTED_VALUE"""),"-")</f>
        <v>-</v>
      </c>
      <c r="M601" s="19">
        <f>IFERROR(__xludf.DUMMYFUNCTION("""COMPUTED_VALUE"""),0.03968)</f>
        <v>0.03968</v>
      </c>
    </row>
    <row r="602">
      <c r="A602" s="12" t="s">
        <v>8492</v>
      </c>
      <c r="G602" s="19">
        <f>IFERROR(__xludf.DUMMYFUNCTION("SPLIT(A600, "" |"")"),598.0)</f>
        <v>598</v>
      </c>
      <c r="H602" s="19">
        <f>IFERROR(__xludf.DUMMYFUNCTION("""COMPUTED_VALUE"""),0.00228)</f>
        <v>0.00228</v>
      </c>
      <c r="I602" s="19" t="str">
        <f>IFERROR(__xludf.DUMMYFUNCTION("""COMPUTED_VALUE"""),"-")</f>
        <v>-</v>
      </c>
      <c r="J602" s="19">
        <f>IFERROR(__xludf.DUMMYFUNCTION("""COMPUTED_VALUE"""),0.00201)</f>
        <v>0.00201</v>
      </c>
      <c r="K602" s="19">
        <f>IFERROR(__xludf.DUMMYFUNCTION("""COMPUTED_VALUE"""),0.03881)</f>
        <v>0.03881</v>
      </c>
      <c r="L602" s="19" t="str">
        <f>IFERROR(__xludf.DUMMYFUNCTION("""COMPUTED_VALUE"""),"-")</f>
        <v>-</v>
      </c>
      <c r="M602" s="19">
        <f>IFERROR(__xludf.DUMMYFUNCTION("""COMPUTED_VALUE"""),0.03656)</f>
        <v>0.03656</v>
      </c>
    </row>
    <row r="603">
      <c r="A603" s="12" t="s">
        <v>8493</v>
      </c>
      <c r="G603" s="19">
        <f>IFERROR(__xludf.DUMMYFUNCTION("SPLIT(A601, "" |"")"),599.0)</f>
        <v>599</v>
      </c>
      <c r="H603" s="19">
        <f>IFERROR(__xludf.DUMMYFUNCTION("""COMPUTED_VALUE"""),0.00217)</f>
        <v>0.00217</v>
      </c>
      <c r="I603" s="19" t="str">
        <f>IFERROR(__xludf.DUMMYFUNCTION("""COMPUTED_VALUE"""),"-")</f>
        <v>-</v>
      </c>
      <c r="J603" s="19">
        <f>IFERROR(__xludf.DUMMYFUNCTION("""COMPUTED_VALUE"""),0.00181)</f>
        <v>0.00181</v>
      </c>
      <c r="K603" s="19">
        <f>IFERROR(__xludf.DUMMYFUNCTION("""COMPUTED_VALUE"""),0.03772)</f>
        <v>0.03772</v>
      </c>
      <c r="L603" s="19" t="str">
        <f>IFERROR(__xludf.DUMMYFUNCTION("""COMPUTED_VALUE"""),"-")</f>
        <v>-</v>
      </c>
      <c r="M603" s="19">
        <f>IFERROR(__xludf.DUMMYFUNCTION("""COMPUTED_VALUE"""),0.03725)</f>
        <v>0.03725</v>
      </c>
    </row>
    <row r="604">
      <c r="A604" s="12" t="s">
        <v>8494</v>
      </c>
      <c r="G604" s="19">
        <f>IFERROR(__xludf.DUMMYFUNCTION("SPLIT(A602, "" |"")"),600.0)</f>
        <v>600</v>
      </c>
      <c r="H604" s="19">
        <f>IFERROR(__xludf.DUMMYFUNCTION("""COMPUTED_VALUE"""),0.00205)</f>
        <v>0.00205</v>
      </c>
      <c r="I604" s="19" t="str">
        <f>IFERROR(__xludf.DUMMYFUNCTION("""COMPUTED_VALUE"""),"-")</f>
        <v>-</v>
      </c>
      <c r="J604" s="19">
        <f>IFERROR(__xludf.DUMMYFUNCTION("""COMPUTED_VALUE"""),0.00193)</f>
        <v>0.00193</v>
      </c>
      <c r="K604" s="19">
        <f>IFERROR(__xludf.DUMMYFUNCTION("""COMPUTED_VALUE"""),0.04028)</f>
        <v>0.04028</v>
      </c>
      <c r="L604" s="19" t="str">
        <f>IFERROR(__xludf.DUMMYFUNCTION("""COMPUTED_VALUE"""),"-")</f>
        <v>-</v>
      </c>
      <c r="M604" s="19">
        <f>IFERROR(__xludf.DUMMYFUNCTION("""COMPUTED_VALUE"""),0.03895)</f>
        <v>0.03895</v>
      </c>
    </row>
    <row r="605">
      <c r="A605" s="12" t="s">
        <v>8495</v>
      </c>
      <c r="G605" s="19">
        <f>IFERROR(__xludf.DUMMYFUNCTION("SPLIT(A603, "" |"")"),601.0)</f>
        <v>601</v>
      </c>
      <c r="H605" s="19">
        <f>IFERROR(__xludf.DUMMYFUNCTION("""COMPUTED_VALUE"""),0.00221)</f>
        <v>0.00221</v>
      </c>
      <c r="I605" s="19" t="str">
        <f>IFERROR(__xludf.DUMMYFUNCTION("""COMPUTED_VALUE"""),"-")</f>
        <v>-</v>
      </c>
      <c r="J605" s="19">
        <f>IFERROR(__xludf.DUMMYFUNCTION("""COMPUTED_VALUE"""),0.00193)</f>
        <v>0.00193</v>
      </c>
      <c r="K605" s="19">
        <f>IFERROR(__xludf.DUMMYFUNCTION("""COMPUTED_VALUE"""),0.0395)</f>
        <v>0.0395</v>
      </c>
      <c r="L605" s="19" t="str">
        <f>IFERROR(__xludf.DUMMYFUNCTION("""COMPUTED_VALUE"""),"-")</f>
        <v>-</v>
      </c>
      <c r="M605" s="19">
        <f>IFERROR(__xludf.DUMMYFUNCTION("""COMPUTED_VALUE"""),0.03598)</f>
        <v>0.03598</v>
      </c>
    </row>
    <row r="606">
      <c r="A606" s="12" t="s">
        <v>8496</v>
      </c>
      <c r="G606" s="19">
        <f>IFERROR(__xludf.DUMMYFUNCTION("SPLIT(A604, "" |"")"),602.0)</f>
        <v>602</v>
      </c>
      <c r="H606" s="19">
        <f>IFERROR(__xludf.DUMMYFUNCTION("""COMPUTED_VALUE"""),0.00205)</f>
        <v>0.00205</v>
      </c>
      <c r="I606" s="19" t="str">
        <f>IFERROR(__xludf.DUMMYFUNCTION("""COMPUTED_VALUE"""),"-")</f>
        <v>-</v>
      </c>
      <c r="J606" s="19">
        <f>IFERROR(__xludf.DUMMYFUNCTION("""COMPUTED_VALUE"""),0.00192)</f>
        <v>0.00192</v>
      </c>
      <c r="K606" s="19">
        <f>IFERROR(__xludf.DUMMYFUNCTION("""COMPUTED_VALUE"""),0.03997)</f>
        <v>0.03997</v>
      </c>
      <c r="L606" s="19" t="str">
        <f>IFERROR(__xludf.DUMMYFUNCTION("""COMPUTED_VALUE"""),"-")</f>
        <v>-</v>
      </c>
      <c r="M606" s="19">
        <f>IFERROR(__xludf.DUMMYFUNCTION("""COMPUTED_VALUE"""),0.03983)</f>
        <v>0.03983</v>
      </c>
    </row>
    <row r="607">
      <c r="A607" s="12" t="s">
        <v>8497</v>
      </c>
      <c r="G607" s="19">
        <f>IFERROR(__xludf.DUMMYFUNCTION("SPLIT(A605, "" |"")"),603.0)</f>
        <v>603</v>
      </c>
      <c r="H607" s="19">
        <f>IFERROR(__xludf.DUMMYFUNCTION("""COMPUTED_VALUE"""),0.00214)</f>
        <v>0.00214</v>
      </c>
      <c r="I607" s="19" t="str">
        <f>IFERROR(__xludf.DUMMYFUNCTION("""COMPUTED_VALUE"""),"-")</f>
        <v>-</v>
      </c>
      <c r="J607" s="19">
        <f>IFERROR(__xludf.DUMMYFUNCTION("""COMPUTED_VALUE"""),0.00202)</f>
        <v>0.00202</v>
      </c>
      <c r="K607" s="19">
        <f>IFERROR(__xludf.DUMMYFUNCTION("""COMPUTED_VALUE"""),0.03976)</f>
        <v>0.03976</v>
      </c>
      <c r="L607" s="19" t="str">
        <f>IFERROR(__xludf.DUMMYFUNCTION("""COMPUTED_VALUE"""),"-")</f>
        <v>-</v>
      </c>
      <c r="M607" s="19">
        <f>IFERROR(__xludf.DUMMYFUNCTION("""COMPUTED_VALUE"""),0.04027)</f>
        <v>0.04027</v>
      </c>
    </row>
    <row r="608">
      <c r="A608" s="12" t="s">
        <v>8498</v>
      </c>
      <c r="G608" s="19">
        <f>IFERROR(__xludf.DUMMYFUNCTION("SPLIT(A606, "" |"")"),604.0)</f>
        <v>604</v>
      </c>
      <c r="H608" s="19">
        <f>IFERROR(__xludf.DUMMYFUNCTION("""COMPUTED_VALUE"""),0.00202)</f>
        <v>0.00202</v>
      </c>
      <c r="I608" s="19" t="str">
        <f>IFERROR(__xludf.DUMMYFUNCTION("""COMPUTED_VALUE"""),"-")</f>
        <v>-</v>
      </c>
      <c r="J608" s="19">
        <f>IFERROR(__xludf.DUMMYFUNCTION("""COMPUTED_VALUE"""),0.00191)</f>
        <v>0.00191</v>
      </c>
      <c r="K608" s="19">
        <f>IFERROR(__xludf.DUMMYFUNCTION("""COMPUTED_VALUE"""),0.03961)</f>
        <v>0.03961</v>
      </c>
      <c r="L608" s="19" t="str">
        <f>IFERROR(__xludf.DUMMYFUNCTION("""COMPUTED_VALUE"""),"-")</f>
        <v>-</v>
      </c>
      <c r="M608" s="19">
        <f>IFERROR(__xludf.DUMMYFUNCTION("""COMPUTED_VALUE"""),0.04048)</f>
        <v>0.04048</v>
      </c>
    </row>
    <row r="609">
      <c r="A609" s="12" t="s">
        <v>8499</v>
      </c>
      <c r="G609" s="19">
        <f>IFERROR(__xludf.DUMMYFUNCTION("SPLIT(A607, "" |"")"),605.0)</f>
        <v>605</v>
      </c>
      <c r="H609" s="19">
        <f>IFERROR(__xludf.DUMMYFUNCTION("""COMPUTED_VALUE"""),0.00217)</f>
        <v>0.00217</v>
      </c>
      <c r="I609" s="19" t="str">
        <f>IFERROR(__xludf.DUMMYFUNCTION("""COMPUTED_VALUE"""),"-")</f>
        <v>-</v>
      </c>
      <c r="J609" s="19">
        <f>IFERROR(__xludf.DUMMYFUNCTION("""COMPUTED_VALUE"""),0.00196)</f>
        <v>0.00196</v>
      </c>
      <c r="K609" s="19">
        <f>IFERROR(__xludf.DUMMYFUNCTION("""COMPUTED_VALUE"""),0.03958)</f>
        <v>0.03958</v>
      </c>
      <c r="L609" s="19" t="str">
        <f>IFERROR(__xludf.DUMMYFUNCTION("""COMPUTED_VALUE"""),"-")</f>
        <v>-</v>
      </c>
      <c r="M609" s="19">
        <f>IFERROR(__xludf.DUMMYFUNCTION("""COMPUTED_VALUE"""),0.03928)</f>
        <v>0.03928</v>
      </c>
    </row>
    <row r="610">
      <c r="A610" s="12" t="s">
        <v>8500</v>
      </c>
      <c r="G610" s="19">
        <f>IFERROR(__xludf.DUMMYFUNCTION("SPLIT(A608, "" |"")"),606.0)</f>
        <v>606</v>
      </c>
      <c r="H610" s="19">
        <f>IFERROR(__xludf.DUMMYFUNCTION("""COMPUTED_VALUE"""),0.00206)</f>
        <v>0.00206</v>
      </c>
      <c r="I610" s="19" t="str">
        <f>IFERROR(__xludf.DUMMYFUNCTION("""COMPUTED_VALUE"""),"-")</f>
        <v>-</v>
      </c>
      <c r="J610" s="19">
        <f>IFERROR(__xludf.DUMMYFUNCTION("""COMPUTED_VALUE"""),0.00191)</f>
        <v>0.00191</v>
      </c>
      <c r="K610" s="19">
        <f>IFERROR(__xludf.DUMMYFUNCTION("""COMPUTED_VALUE"""),0.03963)</f>
        <v>0.03963</v>
      </c>
      <c r="L610" s="19" t="str">
        <f>IFERROR(__xludf.DUMMYFUNCTION("""COMPUTED_VALUE"""),"-")</f>
        <v>-</v>
      </c>
      <c r="M610" s="19">
        <f>IFERROR(__xludf.DUMMYFUNCTION("""COMPUTED_VALUE"""),0.03999)</f>
        <v>0.03999</v>
      </c>
    </row>
    <row r="611">
      <c r="A611" s="12" t="s">
        <v>8501</v>
      </c>
      <c r="G611" s="19">
        <f>IFERROR(__xludf.DUMMYFUNCTION("SPLIT(A609, "" |"")"),607.0)</f>
        <v>607</v>
      </c>
      <c r="H611" s="19">
        <f>IFERROR(__xludf.DUMMYFUNCTION("""COMPUTED_VALUE"""),0.00219)</f>
        <v>0.00219</v>
      </c>
      <c r="I611" s="19" t="str">
        <f>IFERROR(__xludf.DUMMYFUNCTION("""COMPUTED_VALUE"""),"-")</f>
        <v>-</v>
      </c>
      <c r="J611" s="19">
        <f>IFERROR(__xludf.DUMMYFUNCTION("""COMPUTED_VALUE"""),0.00203)</f>
        <v>0.00203</v>
      </c>
      <c r="K611" s="19">
        <f>IFERROR(__xludf.DUMMYFUNCTION("""COMPUTED_VALUE"""),0.03973)</f>
        <v>0.03973</v>
      </c>
      <c r="L611" s="19" t="str">
        <f>IFERROR(__xludf.DUMMYFUNCTION("""COMPUTED_VALUE"""),"-")</f>
        <v>-</v>
      </c>
      <c r="M611" s="19">
        <f>IFERROR(__xludf.DUMMYFUNCTION("""COMPUTED_VALUE"""),0.04029)</f>
        <v>0.04029</v>
      </c>
    </row>
    <row r="612">
      <c r="A612" s="12" t="s">
        <v>8502</v>
      </c>
      <c r="G612" s="19">
        <f>IFERROR(__xludf.DUMMYFUNCTION("SPLIT(A610, "" |"")"),608.0)</f>
        <v>608</v>
      </c>
      <c r="H612" s="19">
        <f>IFERROR(__xludf.DUMMYFUNCTION("""COMPUTED_VALUE"""),0.00205)</f>
        <v>0.00205</v>
      </c>
      <c r="I612" s="19" t="str">
        <f>IFERROR(__xludf.DUMMYFUNCTION("""COMPUTED_VALUE"""),"-")</f>
        <v>-</v>
      </c>
      <c r="J612" s="19">
        <f>IFERROR(__xludf.DUMMYFUNCTION("""COMPUTED_VALUE"""),0.00198)</f>
        <v>0.00198</v>
      </c>
      <c r="K612" s="19">
        <f>IFERROR(__xludf.DUMMYFUNCTION("""COMPUTED_VALUE"""),0.03965)</f>
        <v>0.03965</v>
      </c>
      <c r="L612" s="19" t="str">
        <f>IFERROR(__xludf.DUMMYFUNCTION("""COMPUTED_VALUE"""),"-")</f>
        <v>-</v>
      </c>
      <c r="M612" s="19">
        <f>IFERROR(__xludf.DUMMYFUNCTION("""COMPUTED_VALUE"""),0.03989)</f>
        <v>0.03989</v>
      </c>
    </row>
    <row r="613">
      <c r="A613" s="12" t="s">
        <v>8503</v>
      </c>
      <c r="G613" s="19">
        <f>IFERROR(__xludf.DUMMYFUNCTION("SPLIT(A611, "" |"")"),609.0)</f>
        <v>609</v>
      </c>
      <c r="H613" s="19">
        <f>IFERROR(__xludf.DUMMYFUNCTION("""COMPUTED_VALUE"""),0.00206)</f>
        <v>0.00206</v>
      </c>
      <c r="I613" s="19" t="str">
        <f>IFERROR(__xludf.DUMMYFUNCTION("""COMPUTED_VALUE"""),"-")</f>
        <v>-</v>
      </c>
      <c r="J613" s="19">
        <f>IFERROR(__xludf.DUMMYFUNCTION("""COMPUTED_VALUE"""),0.00202)</f>
        <v>0.00202</v>
      </c>
      <c r="K613" s="19">
        <f>IFERROR(__xludf.DUMMYFUNCTION("""COMPUTED_VALUE"""),0.03862)</f>
        <v>0.03862</v>
      </c>
      <c r="L613" s="19" t="str">
        <f>IFERROR(__xludf.DUMMYFUNCTION("""COMPUTED_VALUE"""),"-")</f>
        <v>-</v>
      </c>
      <c r="M613" s="19">
        <f>IFERROR(__xludf.DUMMYFUNCTION("""COMPUTED_VALUE"""),0.04048)</f>
        <v>0.04048</v>
      </c>
    </row>
    <row r="614">
      <c r="A614" s="12" t="s">
        <v>8504</v>
      </c>
      <c r="G614" s="19">
        <f>IFERROR(__xludf.DUMMYFUNCTION("SPLIT(A612, "" |"")"),610.0)</f>
        <v>610</v>
      </c>
      <c r="H614" s="19">
        <f>IFERROR(__xludf.DUMMYFUNCTION("""COMPUTED_VALUE"""),0.00208)</f>
        <v>0.00208</v>
      </c>
      <c r="I614" s="19" t="str">
        <f>IFERROR(__xludf.DUMMYFUNCTION("""COMPUTED_VALUE"""),"-")</f>
        <v>-</v>
      </c>
      <c r="J614" s="19">
        <f>IFERROR(__xludf.DUMMYFUNCTION("""COMPUTED_VALUE"""),0.00196)</f>
        <v>0.00196</v>
      </c>
      <c r="K614" s="19">
        <f>IFERROR(__xludf.DUMMYFUNCTION("""COMPUTED_VALUE"""),0.03839)</f>
        <v>0.03839</v>
      </c>
      <c r="L614" s="19" t="str">
        <f>IFERROR(__xludf.DUMMYFUNCTION("""COMPUTED_VALUE"""),"-")</f>
        <v>-</v>
      </c>
      <c r="M614" s="19">
        <f>IFERROR(__xludf.DUMMYFUNCTION("""COMPUTED_VALUE"""),0.04024)</f>
        <v>0.04024</v>
      </c>
    </row>
    <row r="615">
      <c r="A615" s="12" t="s">
        <v>8505</v>
      </c>
      <c r="G615" s="19">
        <f>IFERROR(__xludf.DUMMYFUNCTION("SPLIT(A613, "" |"")"),611.0)</f>
        <v>611</v>
      </c>
      <c r="H615" s="19">
        <f>IFERROR(__xludf.DUMMYFUNCTION("""COMPUTED_VALUE"""),0.0022)</f>
        <v>0.0022</v>
      </c>
      <c r="I615" s="19" t="str">
        <f>IFERROR(__xludf.DUMMYFUNCTION("""COMPUTED_VALUE"""),"-")</f>
        <v>-</v>
      </c>
      <c r="J615" s="19">
        <f>IFERROR(__xludf.DUMMYFUNCTION("""COMPUTED_VALUE"""),0.00202)</f>
        <v>0.00202</v>
      </c>
      <c r="K615" s="19">
        <f>IFERROR(__xludf.DUMMYFUNCTION("""COMPUTED_VALUE"""),0.03957)</f>
        <v>0.03957</v>
      </c>
      <c r="L615" s="19" t="str">
        <f>IFERROR(__xludf.DUMMYFUNCTION("""COMPUTED_VALUE"""),"-")</f>
        <v>-</v>
      </c>
      <c r="M615" s="19">
        <f>IFERROR(__xludf.DUMMYFUNCTION("""COMPUTED_VALUE"""),0.03996)</f>
        <v>0.03996</v>
      </c>
    </row>
    <row r="616">
      <c r="A616" s="12" t="s">
        <v>8506</v>
      </c>
      <c r="G616" s="19">
        <f>IFERROR(__xludf.DUMMYFUNCTION("SPLIT(A614, "" |"")"),612.0)</f>
        <v>612</v>
      </c>
      <c r="H616" s="19">
        <f>IFERROR(__xludf.DUMMYFUNCTION("""COMPUTED_VALUE"""),0.00204)</f>
        <v>0.00204</v>
      </c>
      <c r="I616" s="19" t="str">
        <f>IFERROR(__xludf.DUMMYFUNCTION("""COMPUTED_VALUE"""),"-")</f>
        <v>-</v>
      </c>
      <c r="J616" s="19">
        <f>IFERROR(__xludf.DUMMYFUNCTION("""COMPUTED_VALUE"""),0.002)</f>
        <v>0.002</v>
      </c>
      <c r="K616" s="19">
        <f>IFERROR(__xludf.DUMMYFUNCTION("""COMPUTED_VALUE"""),0.03984)</f>
        <v>0.03984</v>
      </c>
      <c r="L616" s="19" t="str">
        <f>IFERROR(__xludf.DUMMYFUNCTION("""COMPUTED_VALUE"""),"-")</f>
        <v>-</v>
      </c>
      <c r="M616" s="19">
        <f>IFERROR(__xludf.DUMMYFUNCTION("""COMPUTED_VALUE"""),0.03996)</f>
        <v>0.03996</v>
      </c>
    </row>
    <row r="617">
      <c r="A617" s="12" t="s">
        <v>8507</v>
      </c>
      <c r="G617" s="19">
        <f>IFERROR(__xludf.DUMMYFUNCTION("SPLIT(A615, "" |"")"),613.0)</f>
        <v>613</v>
      </c>
      <c r="H617" s="19">
        <f>IFERROR(__xludf.DUMMYFUNCTION("""COMPUTED_VALUE"""),0.00213)</f>
        <v>0.00213</v>
      </c>
      <c r="I617" s="19" t="str">
        <f>IFERROR(__xludf.DUMMYFUNCTION("""COMPUTED_VALUE"""),"-")</f>
        <v>-</v>
      </c>
      <c r="J617" s="19">
        <f>IFERROR(__xludf.DUMMYFUNCTION("""COMPUTED_VALUE"""),0.00195)</f>
        <v>0.00195</v>
      </c>
      <c r="K617" s="19">
        <f>IFERROR(__xludf.DUMMYFUNCTION("""COMPUTED_VALUE"""),0.03961)</f>
        <v>0.03961</v>
      </c>
      <c r="L617" s="19" t="str">
        <f>IFERROR(__xludf.DUMMYFUNCTION("""COMPUTED_VALUE"""),"-")</f>
        <v>-</v>
      </c>
      <c r="M617" s="19">
        <f>IFERROR(__xludf.DUMMYFUNCTION("""COMPUTED_VALUE"""),0.03945)</f>
        <v>0.03945</v>
      </c>
    </row>
    <row r="618">
      <c r="A618" s="12" t="s">
        <v>8508</v>
      </c>
      <c r="G618" s="19">
        <f>IFERROR(__xludf.DUMMYFUNCTION("SPLIT(A616, "" |"")"),614.0)</f>
        <v>614</v>
      </c>
      <c r="H618" s="19">
        <f>IFERROR(__xludf.DUMMYFUNCTION("""COMPUTED_VALUE"""),0.0021)</f>
        <v>0.0021</v>
      </c>
      <c r="I618" s="19" t="str">
        <f>IFERROR(__xludf.DUMMYFUNCTION("""COMPUTED_VALUE"""),"-")</f>
        <v>-</v>
      </c>
      <c r="J618" s="19">
        <f>IFERROR(__xludf.DUMMYFUNCTION("""COMPUTED_VALUE"""),0.00186)</f>
        <v>0.00186</v>
      </c>
      <c r="K618" s="19">
        <f>IFERROR(__xludf.DUMMYFUNCTION("""COMPUTED_VALUE"""),0.0376)</f>
        <v>0.0376</v>
      </c>
      <c r="L618" s="19" t="str">
        <f>IFERROR(__xludf.DUMMYFUNCTION("""COMPUTED_VALUE"""),"-")</f>
        <v>-</v>
      </c>
      <c r="M618" s="19">
        <f>IFERROR(__xludf.DUMMYFUNCTION("""COMPUTED_VALUE"""),0.03996)</f>
        <v>0.03996</v>
      </c>
    </row>
    <row r="619">
      <c r="A619" s="12" t="s">
        <v>8509</v>
      </c>
      <c r="G619" s="19">
        <f>IFERROR(__xludf.DUMMYFUNCTION("SPLIT(A617, "" |"")"),615.0)</f>
        <v>615</v>
      </c>
      <c r="H619" s="19">
        <f>IFERROR(__xludf.DUMMYFUNCTION("""COMPUTED_VALUE"""),0.00218)</f>
        <v>0.00218</v>
      </c>
      <c r="I619" s="19" t="str">
        <f>IFERROR(__xludf.DUMMYFUNCTION("""COMPUTED_VALUE"""),"-")</f>
        <v>-</v>
      </c>
      <c r="J619" s="19">
        <f>IFERROR(__xludf.DUMMYFUNCTION("""COMPUTED_VALUE"""),0.00207)</f>
        <v>0.00207</v>
      </c>
      <c r="K619" s="19">
        <f>IFERROR(__xludf.DUMMYFUNCTION("""COMPUTED_VALUE"""),0.03847)</f>
        <v>0.03847</v>
      </c>
      <c r="L619" s="19" t="str">
        <f>IFERROR(__xludf.DUMMYFUNCTION("""COMPUTED_VALUE"""),"-")</f>
        <v>-</v>
      </c>
      <c r="M619" s="19">
        <f>IFERROR(__xludf.DUMMYFUNCTION("""COMPUTED_VALUE"""),0.04015)</f>
        <v>0.04015</v>
      </c>
    </row>
    <row r="620">
      <c r="A620" s="12" t="s">
        <v>8510</v>
      </c>
      <c r="G620" s="19">
        <f>IFERROR(__xludf.DUMMYFUNCTION("SPLIT(A618, "" |"")"),616.0)</f>
        <v>616</v>
      </c>
      <c r="H620" s="19">
        <f>IFERROR(__xludf.DUMMYFUNCTION("""COMPUTED_VALUE"""),0.00231)</f>
        <v>0.00231</v>
      </c>
      <c r="I620" s="19" t="str">
        <f>IFERROR(__xludf.DUMMYFUNCTION("""COMPUTED_VALUE"""),"-")</f>
        <v>-</v>
      </c>
      <c r="J620" s="19">
        <f>IFERROR(__xludf.DUMMYFUNCTION("""COMPUTED_VALUE"""),0.00218)</f>
        <v>0.00218</v>
      </c>
      <c r="K620" s="19">
        <f>IFERROR(__xludf.DUMMYFUNCTION("""COMPUTED_VALUE"""),0.03913)</f>
        <v>0.03913</v>
      </c>
      <c r="L620" s="19" t="str">
        <f>IFERROR(__xludf.DUMMYFUNCTION("""COMPUTED_VALUE"""),"-")</f>
        <v>-</v>
      </c>
      <c r="M620" s="19">
        <f>IFERROR(__xludf.DUMMYFUNCTION("""COMPUTED_VALUE"""),0.03945)</f>
        <v>0.03945</v>
      </c>
    </row>
    <row r="621">
      <c r="A621" s="12" t="s">
        <v>8511</v>
      </c>
      <c r="G621" s="19">
        <f>IFERROR(__xludf.DUMMYFUNCTION("SPLIT(A619, "" |"")"),617.0)</f>
        <v>617</v>
      </c>
      <c r="H621" s="19">
        <f>IFERROR(__xludf.DUMMYFUNCTION("""COMPUTED_VALUE"""),0.00212)</f>
        <v>0.00212</v>
      </c>
      <c r="I621" s="19" t="str">
        <f>IFERROR(__xludf.DUMMYFUNCTION("""COMPUTED_VALUE"""),"-")</f>
        <v>-</v>
      </c>
      <c r="J621" s="19">
        <f>IFERROR(__xludf.DUMMYFUNCTION("""COMPUTED_VALUE"""),0.00196)</f>
        <v>0.00196</v>
      </c>
      <c r="K621" s="19">
        <f>IFERROR(__xludf.DUMMYFUNCTION("""COMPUTED_VALUE"""),0.03972)</f>
        <v>0.03972</v>
      </c>
      <c r="L621" s="19" t="str">
        <f>IFERROR(__xludf.DUMMYFUNCTION("""COMPUTED_VALUE"""),"-")</f>
        <v>-</v>
      </c>
      <c r="M621" s="19">
        <f>IFERROR(__xludf.DUMMYFUNCTION("""COMPUTED_VALUE"""),0.03987)</f>
        <v>0.03987</v>
      </c>
    </row>
    <row r="622">
      <c r="A622" s="12" t="s">
        <v>8512</v>
      </c>
      <c r="G622" s="19">
        <f>IFERROR(__xludf.DUMMYFUNCTION("SPLIT(A620, "" |"")"),618.0)</f>
        <v>618</v>
      </c>
      <c r="H622" s="19">
        <f>IFERROR(__xludf.DUMMYFUNCTION("""COMPUTED_VALUE"""),0.00208)</f>
        <v>0.00208</v>
      </c>
      <c r="I622" s="19" t="str">
        <f>IFERROR(__xludf.DUMMYFUNCTION("""COMPUTED_VALUE"""),"-")</f>
        <v>-</v>
      </c>
      <c r="J622" s="19">
        <f>IFERROR(__xludf.DUMMYFUNCTION("""COMPUTED_VALUE"""),0.00192)</f>
        <v>0.00192</v>
      </c>
      <c r="K622" s="19">
        <f>IFERROR(__xludf.DUMMYFUNCTION("""COMPUTED_VALUE"""),0.03966)</f>
        <v>0.03966</v>
      </c>
      <c r="L622" s="19" t="str">
        <f>IFERROR(__xludf.DUMMYFUNCTION("""COMPUTED_VALUE"""),"-")</f>
        <v>-</v>
      </c>
      <c r="M622" s="19">
        <f>IFERROR(__xludf.DUMMYFUNCTION("""COMPUTED_VALUE"""),0.03977)</f>
        <v>0.03977</v>
      </c>
    </row>
    <row r="623">
      <c r="A623" s="12" t="s">
        <v>8513</v>
      </c>
      <c r="G623" s="19">
        <f>IFERROR(__xludf.DUMMYFUNCTION("SPLIT(A621, "" |"")"),619.0)</f>
        <v>619</v>
      </c>
      <c r="H623" s="19">
        <f>IFERROR(__xludf.DUMMYFUNCTION("""COMPUTED_VALUE"""),0.00209)</f>
        <v>0.00209</v>
      </c>
      <c r="I623" s="19" t="str">
        <f>IFERROR(__xludf.DUMMYFUNCTION("""COMPUTED_VALUE"""),"-")</f>
        <v>-</v>
      </c>
      <c r="J623" s="19">
        <f>IFERROR(__xludf.DUMMYFUNCTION("""COMPUTED_VALUE"""),0.00205)</f>
        <v>0.00205</v>
      </c>
      <c r="K623" s="19">
        <f>IFERROR(__xludf.DUMMYFUNCTION("""COMPUTED_VALUE"""),0.03783)</f>
        <v>0.03783</v>
      </c>
      <c r="L623" s="19" t="str">
        <f>IFERROR(__xludf.DUMMYFUNCTION("""COMPUTED_VALUE"""),"-")</f>
        <v>-</v>
      </c>
      <c r="M623" s="19">
        <f>IFERROR(__xludf.DUMMYFUNCTION("""COMPUTED_VALUE"""),0.04021)</f>
        <v>0.04021</v>
      </c>
    </row>
    <row r="624">
      <c r="A624" s="12" t="s">
        <v>8514</v>
      </c>
      <c r="G624" s="19">
        <f>IFERROR(__xludf.DUMMYFUNCTION("SPLIT(A622, "" |"")"),620.0)</f>
        <v>620</v>
      </c>
      <c r="H624" s="19">
        <f>IFERROR(__xludf.DUMMYFUNCTION("""COMPUTED_VALUE"""),0.0021)</f>
        <v>0.0021</v>
      </c>
      <c r="I624" s="19" t="str">
        <f>IFERROR(__xludf.DUMMYFUNCTION("""COMPUTED_VALUE"""),"-")</f>
        <v>-</v>
      </c>
      <c r="J624" s="19">
        <f>IFERROR(__xludf.DUMMYFUNCTION("""COMPUTED_VALUE"""),0.00188)</f>
        <v>0.00188</v>
      </c>
      <c r="K624" s="19">
        <f>IFERROR(__xludf.DUMMYFUNCTION("""COMPUTED_VALUE"""),0.03967)</f>
        <v>0.03967</v>
      </c>
      <c r="L624" s="19" t="str">
        <f>IFERROR(__xludf.DUMMYFUNCTION("""COMPUTED_VALUE"""),"-")</f>
        <v>-</v>
      </c>
      <c r="M624" s="19">
        <f>IFERROR(__xludf.DUMMYFUNCTION("""COMPUTED_VALUE"""),0.03982)</f>
        <v>0.03982</v>
      </c>
    </row>
    <row r="625">
      <c r="A625" s="12" t="s">
        <v>8515</v>
      </c>
      <c r="G625" s="19">
        <f>IFERROR(__xludf.DUMMYFUNCTION("SPLIT(A623, "" |"")"),621.0)</f>
        <v>621</v>
      </c>
      <c r="H625" s="19">
        <f>IFERROR(__xludf.DUMMYFUNCTION("""COMPUTED_VALUE"""),0.00212)</f>
        <v>0.00212</v>
      </c>
      <c r="I625" s="19" t="str">
        <f>IFERROR(__xludf.DUMMYFUNCTION("""COMPUTED_VALUE"""),"-")</f>
        <v>-</v>
      </c>
      <c r="J625" s="19">
        <f>IFERROR(__xludf.DUMMYFUNCTION("""COMPUTED_VALUE"""),0.00186)</f>
        <v>0.00186</v>
      </c>
      <c r="K625" s="19">
        <f>IFERROR(__xludf.DUMMYFUNCTION("""COMPUTED_VALUE"""),0.03972)</f>
        <v>0.03972</v>
      </c>
      <c r="L625" s="19" t="str">
        <f>IFERROR(__xludf.DUMMYFUNCTION("""COMPUTED_VALUE"""),"-")</f>
        <v>-</v>
      </c>
      <c r="M625" s="19">
        <f>IFERROR(__xludf.DUMMYFUNCTION("""COMPUTED_VALUE"""),0.03953)</f>
        <v>0.03953</v>
      </c>
    </row>
    <row r="626">
      <c r="A626" s="12" t="s">
        <v>8516</v>
      </c>
      <c r="G626" s="19">
        <f>IFERROR(__xludf.DUMMYFUNCTION("SPLIT(A624, "" |"")"),622.0)</f>
        <v>622</v>
      </c>
      <c r="H626" s="19">
        <f>IFERROR(__xludf.DUMMYFUNCTION("""COMPUTED_VALUE"""),0.00221)</f>
        <v>0.00221</v>
      </c>
      <c r="I626" s="19" t="str">
        <f>IFERROR(__xludf.DUMMYFUNCTION("""COMPUTED_VALUE"""),"-")</f>
        <v>-</v>
      </c>
      <c r="J626" s="19">
        <f>IFERROR(__xludf.DUMMYFUNCTION("""COMPUTED_VALUE"""),0.00199)</f>
        <v>0.00199</v>
      </c>
      <c r="K626" s="19">
        <f>IFERROR(__xludf.DUMMYFUNCTION("""COMPUTED_VALUE"""),0.03859)</f>
        <v>0.03859</v>
      </c>
      <c r="L626" s="19" t="str">
        <f>IFERROR(__xludf.DUMMYFUNCTION("""COMPUTED_VALUE"""),"-")</f>
        <v>-</v>
      </c>
      <c r="M626" s="19">
        <f>IFERROR(__xludf.DUMMYFUNCTION("""COMPUTED_VALUE"""),0.04009)</f>
        <v>0.04009</v>
      </c>
    </row>
    <row r="627">
      <c r="A627" s="12" t="s">
        <v>8517</v>
      </c>
      <c r="G627" s="19">
        <f>IFERROR(__xludf.DUMMYFUNCTION("SPLIT(A625, "" |"")"),623.0)</f>
        <v>623</v>
      </c>
      <c r="H627" s="19">
        <f>IFERROR(__xludf.DUMMYFUNCTION("""COMPUTED_VALUE"""),0.00224)</f>
        <v>0.00224</v>
      </c>
      <c r="I627" s="19" t="str">
        <f>IFERROR(__xludf.DUMMYFUNCTION("""COMPUTED_VALUE"""),"-")</f>
        <v>-</v>
      </c>
      <c r="J627" s="19">
        <f>IFERROR(__xludf.DUMMYFUNCTION("""COMPUTED_VALUE"""),0.002)</f>
        <v>0.002</v>
      </c>
      <c r="K627" s="19">
        <f>IFERROR(__xludf.DUMMYFUNCTION("""COMPUTED_VALUE"""),0.03967)</f>
        <v>0.03967</v>
      </c>
      <c r="L627" s="19" t="str">
        <f>IFERROR(__xludf.DUMMYFUNCTION("""COMPUTED_VALUE"""),"-")</f>
        <v>-</v>
      </c>
      <c r="M627" s="19">
        <f>IFERROR(__xludf.DUMMYFUNCTION("""COMPUTED_VALUE"""),0.03977)</f>
        <v>0.03977</v>
      </c>
    </row>
    <row r="628">
      <c r="A628" s="12" t="s">
        <v>8518</v>
      </c>
      <c r="G628" s="19">
        <f>IFERROR(__xludf.DUMMYFUNCTION("SPLIT(A626, "" |"")"),624.0)</f>
        <v>624</v>
      </c>
      <c r="H628" s="19">
        <f>IFERROR(__xludf.DUMMYFUNCTION("""COMPUTED_VALUE"""),0.00206)</f>
        <v>0.00206</v>
      </c>
      <c r="I628" s="19" t="str">
        <f>IFERROR(__xludf.DUMMYFUNCTION("""COMPUTED_VALUE"""),"-")</f>
        <v>-</v>
      </c>
      <c r="J628" s="19">
        <f>IFERROR(__xludf.DUMMYFUNCTION("""COMPUTED_VALUE"""),0.00196)</f>
        <v>0.00196</v>
      </c>
      <c r="K628" s="19">
        <f>IFERROR(__xludf.DUMMYFUNCTION("""COMPUTED_VALUE"""),0.0396)</f>
        <v>0.0396</v>
      </c>
      <c r="L628" s="19" t="str">
        <f>IFERROR(__xludf.DUMMYFUNCTION("""COMPUTED_VALUE"""),"-")</f>
        <v>-</v>
      </c>
      <c r="M628" s="19">
        <f>IFERROR(__xludf.DUMMYFUNCTION("""COMPUTED_VALUE"""),0.03943)</f>
        <v>0.03943</v>
      </c>
    </row>
    <row r="629">
      <c r="A629" s="12" t="s">
        <v>8519</v>
      </c>
      <c r="G629" s="19">
        <f>IFERROR(__xludf.DUMMYFUNCTION("SPLIT(A627, "" |"")"),625.0)</f>
        <v>625</v>
      </c>
      <c r="H629" s="19">
        <f>IFERROR(__xludf.DUMMYFUNCTION("""COMPUTED_VALUE"""),0.00221)</f>
        <v>0.00221</v>
      </c>
      <c r="I629" s="19" t="str">
        <f>IFERROR(__xludf.DUMMYFUNCTION("""COMPUTED_VALUE"""),"-")</f>
        <v>-</v>
      </c>
      <c r="J629" s="19">
        <f>IFERROR(__xludf.DUMMYFUNCTION("""COMPUTED_VALUE"""),0.00198)</f>
        <v>0.00198</v>
      </c>
      <c r="K629" s="19">
        <f>IFERROR(__xludf.DUMMYFUNCTION("""COMPUTED_VALUE"""),0.03832)</f>
        <v>0.03832</v>
      </c>
      <c r="L629" s="19" t="str">
        <f>IFERROR(__xludf.DUMMYFUNCTION("""COMPUTED_VALUE"""),"-")</f>
        <v>-</v>
      </c>
      <c r="M629" s="19">
        <f>IFERROR(__xludf.DUMMYFUNCTION("""COMPUTED_VALUE"""),0.04039)</f>
        <v>0.04039</v>
      </c>
    </row>
    <row r="630">
      <c r="A630" s="12" t="s">
        <v>8520</v>
      </c>
      <c r="G630" s="19">
        <f>IFERROR(__xludf.DUMMYFUNCTION("SPLIT(A628, "" |"")"),626.0)</f>
        <v>626</v>
      </c>
      <c r="H630" s="19">
        <f>IFERROR(__xludf.DUMMYFUNCTION("""COMPUTED_VALUE"""),0.00209)</f>
        <v>0.00209</v>
      </c>
      <c r="I630" s="19" t="str">
        <f>IFERROR(__xludf.DUMMYFUNCTION("""COMPUTED_VALUE"""),"-")</f>
        <v>-</v>
      </c>
      <c r="J630" s="19">
        <f>IFERROR(__xludf.DUMMYFUNCTION("""COMPUTED_VALUE"""),0.00195)</f>
        <v>0.00195</v>
      </c>
      <c r="K630" s="19">
        <f>IFERROR(__xludf.DUMMYFUNCTION("""COMPUTED_VALUE"""),0.03968)</f>
        <v>0.03968</v>
      </c>
      <c r="L630" s="19" t="str">
        <f>IFERROR(__xludf.DUMMYFUNCTION("""COMPUTED_VALUE"""),"-")</f>
        <v>-</v>
      </c>
      <c r="M630" s="19">
        <f>IFERROR(__xludf.DUMMYFUNCTION("""COMPUTED_VALUE"""),0.03985)</f>
        <v>0.03985</v>
      </c>
    </row>
    <row r="631">
      <c r="A631" s="12" t="s">
        <v>8521</v>
      </c>
      <c r="G631" s="19">
        <f>IFERROR(__xludf.DUMMYFUNCTION("SPLIT(A629, "" |"")"),627.0)</f>
        <v>627</v>
      </c>
      <c r="H631" s="19">
        <f>IFERROR(__xludf.DUMMYFUNCTION("""COMPUTED_VALUE"""),0.00208)</f>
        <v>0.00208</v>
      </c>
      <c r="I631" s="19" t="str">
        <f>IFERROR(__xludf.DUMMYFUNCTION("""COMPUTED_VALUE"""),"-")</f>
        <v>-</v>
      </c>
      <c r="J631" s="19">
        <f>IFERROR(__xludf.DUMMYFUNCTION("""COMPUTED_VALUE"""),0.00195)</f>
        <v>0.00195</v>
      </c>
      <c r="K631" s="19">
        <f>IFERROR(__xludf.DUMMYFUNCTION("""COMPUTED_VALUE"""),0.03973)</f>
        <v>0.03973</v>
      </c>
      <c r="L631" s="19" t="str">
        <f>IFERROR(__xludf.DUMMYFUNCTION("""COMPUTED_VALUE"""),"-")</f>
        <v>-</v>
      </c>
      <c r="M631" s="19">
        <f>IFERROR(__xludf.DUMMYFUNCTION("""COMPUTED_VALUE"""),0.0398)</f>
        <v>0.0398</v>
      </c>
    </row>
    <row r="632">
      <c r="A632" s="12" t="s">
        <v>8522</v>
      </c>
      <c r="G632" s="19">
        <f>IFERROR(__xludf.DUMMYFUNCTION("SPLIT(A630, "" |"")"),628.0)</f>
        <v>628</v>
      </c>
      <c r="H632" s="19">
        <f>IFERROR(__xludf.DUMMYFUNCTION("""COMPUTED_VALUE"""),0.0021)</f>
        <v>0.0021</v>
      </c>
      <c r="I632" s="19" t="str">
        <f>IFERROR(__xludf.DUMMYFUNCTION("""COMPUTED_VALUE"""),"-")</f>
        <v>-</v>
      </c>
      <c r="J632" s="19">
        <f>IFERROR(__xludf.DUMMYFUNCTION("""COMPUTED_VALUE"""),0.00194)</f>
        <v>0.00194</v>
      </c>
      <c r="K632" s="19">
        <f>IFERROR(__xludf.DUMMYFUNCTION("""COMPUTED_VALUE"""),0.03973)</f>
        <v>0.03973</v>
      </c>
      <c r="L632" s="19" t="str">
        <f>IFERROR(__xludf.DUMMYFUNCTION("""COMPUTED_VALUE"""),"-")</f>
        <v>-</v>
      </c>
      <c r="M632" s="19">
        <f>IFERROR(__xludf.DUMMYFUNCTION("""COMPUTED_VALUE"""),0.03982)</f>
        <v>0.03982</v>
      </c>
    </row>
    <row r="633">
      <c r="A633" s="12" t="s">
        <v>8523</v>
      </c>
      <c r="G633" s="19">
        <f>IFERROR(__xludf.DUMMYFUNCTION("SPLIT(A631, "" |"")"),629.0)</f>
        <v>629</v>
      </c>
      <c r="H633" s="19">
        <f>IFERROR(__xludf.DUMMYFUNCTION("""COMPUTED_VALUE"""),0.00207)</f>
        <v>0.00207</v>
      </c>
      <c r="I633" s="19" t="str">
        <f>IFERROR(__xludf.DUMMYFUNCTION("""COMPUTED_VALUE"""),"-")</f>
        <v>-</v>
      </c>
      <c r="J633" s="19">
        <f>IFERROR(__xludf.DUMMYFUNCTION("""COMPUTED_VALUE"""),0.00195)</f>
        <v>0.00195</v>
      </c>
      <c r="K633" s="19">
        <f>IFERROR(__xludf.DUMMYFUNCTION("""COMPUTED_VALUE"""),0.03966)</f>
        <v>0.03966</v>
      </c>
      <c r="L633" s="19" t="str">
        <f>IFERROR(__xludf.DUMMYFUNCTION("""COMPUTED_VALUE"""),"-")</f>
        <v>-</v>
      </c>
      <c r="M633" s="19">
        <f>IFERROR(__xludf.DUMMYFUNCTION("""COMPUTED_VALUE"""),0.03982)</f>
        <v>0.03982</v>
      </c>
    </row>
    <row r="634">
      <c r="A634" s="12" t="s">
        <v>8524</v>
      </c>
      <c r="G634" s="19">
        <f>IFERROR(__xludf.DUMMYFUNCTION("SPLIT(A632, "" |"")"),630.0)</f>
        <v>630</v>
      </c>
      <c r="H634" s="19">
        <f>IFERROR(__xludf.DUMMYFUNCTION("""COMPUTED_VALUE"""),0.00211)</f>
        <v>0.00211</v>
      </c>
      <c r="I634" s="19" t="str">
        <f>IFERROR(__xludf.DUMMYFUNCTION("""COMPUTED_VALUE"""),"-")</f>
        <v>-</v>
      </c>
      <c r="J634" s="19">
        <f>IFERROR(__xludf.DUMMYFUNCTION("""COMPUTED_VALUE"""),0.00195)</f>
        <v>0.00195</v>
      </c>
      <c r="K634" s="19">
        <f>IFERROR(__xludf.DUMMYFUNCTION("""COMPUTED_VALUE"""),0.03973)</f>
        <v>0.03973</v>
      </c>
      <c r="L634" s="19" t="str">
        <f>IFERROR(__xludf.DUMMYFUNCTION("""COMPUTED_VALUE"""),"-")</f>
        <v>-</v>
      </c>
      <c r="M634" s="19">
        <f>IFERROR(__xludf.DUMMYFUNCTION("""COMPUTED_VALUE"""),0.03993)</f>
        <v>0.03993</v>
      </c>
    </row>
    <row r="635">
      <c r="A635" s="12" t="s">
        <v>8525</v>
      </c>
      <c r="G635" s="19">
        <f>IFERROR(__xludf.DUMMYFUNCTION("SPLIT(A633, "" |"")"),631.0)</f>
        <v>631</v>
      </c>
      <c r="H635" s="19">
        <f>IFERROR(__xludf.DUMMYFUNCTION("""COMPUTED_VALUE"""),0.00222)</f>
        <v>0.00222</v>
      </c>
      <c r="I635" s="19" t="str">
        <f>IFERROR(__xludf.DUMMYFUNCTION("""COMPUTED_VALUE"""),"-")</f>
        <v>-</v>
      </c>
      <c r="J635" s="19">
        <f>IFERROR(__xludf.DUMMYFUNCTION("""COMPUTED_VALUE"""),0.00199)</f>
        <v>0.00199</v>
      </c>
      <c r="K635" s="19">
        <f>IFERROR(__xludf.DUMMYFUNCTION("""COMPUTED_VALUE"""),0.03968)</f>
        <v>0.03968</v>
      </c>
      <c r="L635" s="19" t="str">
        <f>IFERROR(__xludf.DUMMYFUNCTION("""COMPUTED_VALUE"""),"-")</f>
        <v>-</v>
      </c>
      <c r="M635" s="19">
        <f>IFERROR(__xludf.DUMMYFUNCTION("""COMPUTED_VALUE"""),0.03983)</f>
        <v>0.03983</v>
      </c>
    </row>
    <row r="636">
      <c r="A636" s="12" t="s">
        <v>8526</v>
      </c>
      <c r="G636" s="19">
        <f>IFERROR(__xludf.DUMMYFUNCTION("SPLIT(A634, "" |"")"),632.0)</f>
        <v>632</v>
      </c>
      <c r="H636" s="19">
        <f>IFERROR(__xludf.DUMMYFUNCTION("""COMPUTED_VALUE"""),0.00209)</f>
        <v>0.00209</v>
      </c>
      <c r="I636" s="19" t="str">
        <f>IFERROR(__xludf.DUMMYFUNCTION("""COMPUTED_VALUE"""),"-")</f>
        <v>-</v>
      </c>
      <c r="J636" s="19">
        <f>IFERROR(__xludf.DUMMYFUNCTION("""COMPUTED_VALUE"""),0.00195)</f>
        <v>0.00195</v>
      </c>
      <c r="K636" s="19">
        <f>IFERROR(__xludf.DUMMYFUNCTION("""COMPUTED_VALUE"""),0.03969)</f>
        <v>0.03969</v>
      </c>
      <c r="L636" s="19" t="str">
        <f>IFERROR(__xludf.DUMMYFUNCTION("""COMPUTED_VALUE"""),"-")</f>
        <v>-</v>
      </c>
      <c r="M636" s="19">
        <f>IFERROR(__xludf.DUMMYFUNCTION("""COMPUTED_VALUE"""),0.03982)</f>
        <v>0.03982</v>
      </c>
    </row>
    <row r="637">
      <c r="A637" s="12" t="s">
        <v>8527</v>
      </c>
      <c r="G637" s="19">
        <f>IFERROR(__xludf.DUMMYFUNCTION("SPLIT(A635, "" |"")"),633.0)</f>
        <v>633</v>
      </c>
      <c r="H637" s="19">
        <f>IFERROR(__xludf.DUMMYFUNCTION("""COMPUTED_VALUE"""),0.00211)</f>
        <v>0.00211</v>
      </c>
      <c r="I637" s="19" t="str">
        <f>IFERROR(__xludf.DUMMYFUNCTION("""COMPUTED_VALUE"""),"-")</f>
        <v>-</v>
      </c>
      <c r="J637" s="19">
        <f>IFERROR(__xludf.DUMMYFUNCTION("""COMPUTED_VALUE"""),0.00195)</f>
        <v>0.00195</v>
      </c>
      <c r="K637" s="19">
        <f>IFERROR(__xludf.DUMMYFUNCTION("""COMPUTED_VALUE"""),0.03968)</f>
        <v>0.03968</v>
      </c>
      <c r="L637" s="19" t="str">
        <f>IFERROR(__xludf.DUMMYFUNCTION("""COMPUTED_VALUE"""),"-")</f>
        <v>-</v>
      </c>
      <c r="M637" s="19">
        <f>IFERROR(__xludf.DUMMYFUNCTION("""COMPUTED_VALUE"""),0.03981)</f>
        <v>0.03981</v>
      </c>
    </row>
    <row r="638">
      <c r="A638" s="12" t="s">
        <v>8528</v>
      </c>
      <c r="G638" s="19">
        <f>IFERROR(__xludf.DUMMYFUNCTION("SPLIT(A636, "" |"")"),634.0)</f>
        <v>634</v>
      </c>
      <c r="H638" s="19">
        <f>IFERROR(__xludf.DUMMYFUNCTION("""COMPUTED_VALUE"""),0.00211)</f>
        <v>0.00211</v>
      </c>
      <c r="I638" s="19" t="str">
        <f>IFERROR(__xludf.DUMMYFUNCTION("""COMPUTED_VALUE"""),"-")</f>
        <v>-</v>
      </c>
      <c r="J638" s="19">
        <f>IFERROR(__xludf.DUMMYFUNCTION("""COMPUTED_VALUE"""),0.00184)</f>
        <v>0.00184</v>
      </c>
      <c r="K638" s="19">
        <f>IFERROR(__xludf.DUMMYFUNCTION("""COMPUTED_VALUE"""),0.03972)</f>
        <v>0.03972</v>
      </c>
      <c r="L638" s="19" t="str">
        <f>IFERROR(__xludf.DUMMYFUNCTION("""COMPUTED_VALUE"""),"-")</f>
        <v>-</v>
      </c>
      <c r="M638" s="19">
        <f>IFERROR(__xludf.DUMMYFUNCTION("""COMPUTED_VALUE"""),0.03988)</f>
        <v>0.03988</v>
      </c>
    </row>
    <row r="639">
      <c r="A639" s="12" t="s">
        <v>8529</v>
      </c>
      <c r="G639" s="19">
        <f>IFERROR(__xludf.DUMMYFUNCTION("SPLIT(A637, "" |"")"),635.0)</f>
        <v>635</v>
      </c>
      <c r="H639" s="19">
        <f>IFERROR(__xludf.DUMMYFUNCTION("""COMPUTED_VALUE"""),0.00214)</f>
        <v>0.00214</v>
      </c>
      <c r="I639" s="19" t="str">
        <f>IFERROR(__xludf.DUMMYFUNCTION("""COMPUTED_VALUE"""),"-")</f>
        <v>-</v>
      </c>
      <c r="J639" s="19">
        <f>IFERROR(__xludf.DUMMYFUNCTION("""COMPUTED_VALUE"""),0.00195)</f>
        <v>0.00195</v>
      </c>
      <c r="K639" s="19">
        <f>IFERROR(__xludf.DUMMYFUNCTION("""COMPUTED_VALUE"""),0.03974)</f>
        <v>0.03974</v>
      </c>
      <c r="L639" s="19" t="str">
        <f>IFERROR(__xludf.DUMMYFUNCTION("""COMPUTED_VALUE"""),"-")</f>
        <v>-</v>
      </c>
      <c r="M639" s="19">
        <f>IFERROR(__xludf.DUMMYFUNCTION("""COMPUTED_VALUE"""),0.03989)</f>
        <v>0.03989</v>
      </c>
    </row>
    <row r="640">
      <c r="A640" s="12" t="s">
        <v>8530</v>
      </c>
      <c r="G640" s="19">
        <f>IFERROR(__xludf.DUMMYFUNCTION("SPLIT(A638, "" |"")"),636.0)</f>
        <v>636</v>
      </c>
      <c r="H640" s="19">
        <f>IFERROR(__xludf.DUMMYFUNCTION("""COMPUTED_VALUE"""),0.00204)</f>
        <v>0.00204</v>
      </c>
      <c r="I640" s="19" t="str">
        <f>IFERROR(__xludf.DUMMYFUNCTION("""COMPUTED_VALUE"""),"-")</f>
        <v>-</v>
      </c>
      <c r="J640" s="19">
        <f>IFERROR(__xludf.DUMMYFUNCTION("""COMPUTED_VALUE"""),0.00198)</f>
        <v>0.00198</v>
      </c>
      <c r="K640" s="19">
        <f>IFERROR(__xludf.DUMMYFUNCTION("""COMPUTED_VALUE"""),0.03971)</f>
        <v>0.03971</v>
      </c>
      <c r="L640" s="19" t="str">
        <f>IFERROR(__xludf.DUMMYFUNCTION("""COMPUTED_VALUE"""),"-")</f>
        <v>-</v>
      </c>
      <c r="M640" s="19">
        <f>IFERROR(__xludf.DUMMYFUNCTION("""COMPUTED_VALUE"""),0.04007)</f>
        <v>0.04007</v>
      </c>
    </row>
    <row r="641">
      <c r="A641" s="12" t="s">
        <v>8531</v>
      </c>
      <c r="G641" s="19">
        <f>IFERROR(__xludf.DUMMYFUNCTION("SPLIT(A639, "" |"")"),637.0)</f>
        <v>637</v>
      </c>
      <c r="H641" s="19">
        <f>IFERROR(__xludf.DUMMYFUNCTION("""COMPUTED_VALUE"""),0.00226)</f>
        <v>0.00226</v>
      </c>
      <c r="I641" s="19" t="str">
        <f>IFERROR(__xludf.DUMMYFUNCTION("""COMPUTED_VALUE"""),"-")</f>
        <v>-</v>
      </c>
      <c r="J641" s="19">
        <f>IFERROR(__xludf.DUMMYFUNCTION("""COMPUTED_VALUE"""),0.002)</f>
        <v>0.002</v>
      </c>
      <c r="K641" s="19">
        <f>IFERROR(__xludf.DUMMYFUNCTION("""COMPUTED_VALUE"""),0.04024)</f>
        <v>0.04024</v>
      </c>
      <c r="L641" s="19" t="str">
        <f>IFERROR(__xludf.DUMMYFUNCTION("""COMPUTED_VALUE"""),"-")</f>
        <v>-</v>
      </c>
      <c r="M641" s="19">
        <f>IFERROR(__xludf.DUMMYFUNCTION("""COMPUTED_VALUE"""),0.04045)</f>
        <v>0.04045</v>
      </c>
    </row>
    <row r="642">
      <c r="A642" s="12" t="s">
        <v>8532</v>
      </c>
      <c r="G642" s="19">
        <f>IFERROR(__xludf.DUMMYFUNCTION("SPLIT(A640, "" |"")"),638.0)</f>
        <v>638</v>
      </c>
      <c r="H642" s="19">
        <f>IFERROR(__xludf.DUMMYFUNCTION("""COMPUTED_VALUE"""),0.00215)</f>
        <v>0.00215</v>
      </c>
      <c r="I642" s="19" t="str">
        <f>IFERROR(__xludf.DUMMYFUNCTION("""COMPUTED_VALUE"""),"-")</f>
        <v>-</v>
      </c>
      <c r="J642" s="19">
        <f>IFERROR(__xludf.DUMMYFUNCTION("""COMPUTED_VALUE"""),0.00202)</f>
        <v>0.00202</v>
      </c>
      <c r="K642" s="19">
        <f>IFERROR(__xludf.DUMMYFUNCTION("""COMPUTED_VALUE"""),0.03894)</f>
        <v>0.03894</v>
      </c>
      <c r="L642" s="19" t="str">
        <f>IFERROR(__xludf.DUMMYFUNCTION("""COMPUTED_VALUE"""),"-")</f>
        <v>-</v>
      </c>
      <c r="M642" s="19">
        <f>IFERROR(__xludf.DUMMYFUNCTION("""COMPUTED_VALUE"""),0.03984)</f>
        <v>0.03984</v>
      </c>
    </row>
    <row r="643">
      <c r="A643" s="12" t="s">
        <v>8533</v>
      </c>
      <c r="G643" s="19">
        <f>IFERROR(__xludf.DUMMYFUNCTION("SPLIT(A641, "" |"")"),639.0)</f>
        <v>639</v>
      </c>
      <c r="H643" s="19">
        <f>IFERROR(__xludf.DUMMYFUNCTION("""COMPUTED_VALUE"""),0.00216)</f>
        <v>0.00216</v>
      </c>
      <c r="I643" s="19" t="str">
        <f>IFERROR(__xludf.DUMMYFUNCTION("""COMPUTED_VALUE"""),"-")</f>
        <v>-</v>
      </c>
      <c r="J643" s="19">
        <f>IFERROR(__xludf.DUMMYFUNCTION("""COMPUTED_VALUE"""),0.00197)</f>
        <v>0.00197</v>
      </c>
      <c r="K643" s="19">
        <f>IFERROR(__xludf.DUMMYFUNCTION("""COMPUTED_VALUE"""),0.03782)</f>
        <v>0.03782</v>
      </c>
      <c r="L643" s="19" t="str">
        <f>IFERROR(__xludf.DUMMYFUNCTION("""COMPUTED_VALUE"""),"-")</f>
        <v>-</v>
      </c>
      <c r="M643" s="19">
        <f>IFERROR(__xludf.DUMMYFUNCTION("""COMPUTED_VALUE"""),0.03995)</f>
        <v>0.03995</v>
      </c>
    </row>
    <row r="644">
      <c r="A644" s="12" t="s">
        <v>8534</v>
      </c>
      <c r="G644" s="19">
        <f>IFERROR(__xludf.DUMMYFUNCTION("SPLIT(A642, "" |"")"),640.0)</f>
        <v>640</v>
      </c>
      <c r="H644" s="19">
        <f>IFERROR(__xludf.DUMMYFUNCTION("""COMPUTED_VALUE"""),0.00206)</f>
        <v>0.00206</v>
      </c>
      <c r="I644" s="19" t="str">
        <f>IFERROR(__xludf.DUMMYFUNCTION("""COMPUTED_VALUE"""),"-")</f>
        <v>-</v>
      </c>
      <c r="J644" s="19">
        <f>IFERROR(__xludf.DUMMYFUNCTION("""COMPUTED_VALUE"""),0.00195)</f>
        <v>0.00195</v>
      </c>
      <c r="K644" s="19">
        <f>IFERROR(__xludf.DUMMYFUNCTION("""COMPUTED_VALUE"""),0.03782)</f>
        <v>0.03782</v>
      </c>
      <c r="L644" s="19" t="str">
        <f>IFERROR(__xludf.DUMMYFUNCTION("""COMPUTED_VALUE"""),"-")</f>
        <v>-</v>
      </c>
      <c r="M644" s="19">
        <f>IFERROR(__xludf.DUMMYFUNCTION("""COMPUTED_VALUE"""),0.03993)</f>
        <v>0.03993</v>
      </c>
    </row>
    <row r="645">
      <c r="A645" s="12" t="s">
        <v>8535</v>
      </c>
      <c r="G645" s="19">
        <f>IFERROR(__xludf.DUMMYFUNCTION("SPLIT(A643, "" |"")"),641.0)</f>
        <v>641</v>
      </c>
      <c r="H645" s="19">
        <f>IFERROR(__xludf.DUMMYFUNCTION("""COMPUTED_VALUE"""),0.00206)</f>
        <v>0.00206</v>
      </c>
      <c r="I645" s="19" t="str">
        <f>IFERROR(__xludf.DUMMYFUNCTION("""COMPUTED_VALUE"""),"-")</f>
        <v>-</v>
      </c>
      <c r="J645" s="19">
        <f>IFERROR(__xludf.DUMMYFUNCTION("""COMPUTED_VALUE"""),0.00196)</f>
        <v>0.00196</v>
      </c>
      <c r="K645" s="19">
        <f>IFERROR(__xludf.DUMMYFUNCTION("""COMPUTED_VALUE"""),0.03796)</f>
        <v>0.03796</v>
      </c>
      <c r="L645" s="19" t="str">
        <f>IFERROR(__xludf.DUMMYFUNCTION("""COMPUTED_VALUE"""),"-")</f>
        <v>-</v>
      </c>
      <c r="M645" s="19">
        <f>IFERROR(__xludf.DUMMYFUNCTION("""COMPUTED_VALUE"""),0.03982)</f>
        <v>0.03982</v>
      </c>
    </row>
    <row r="646">
      <c r="A646" s="12" t="s">
        <v>8536</v>
      </c>
      <c r="G646" s="19">
        <f>IFERROR(__xludf.DUMMYFUNCTION("SPLIT(A644, "" |"")"),642.0)</f>
        <v>642</v>
      </c>
      <c r="H646" s="19">
        <f>IFERROR(__xludf.DUMMYFUNCTION("""COMPUTED_VALUE"""),0.0021)</f>
        <v>0.0021</v>
      </c>
      <c r="I646" s="19" t="str">
        <f>IFERROR(__xludf.DUMMYFUNCTION("""COMPUTED_VALUE"""),"-")</f>
        <v>-</v>
      </c>
      <c r="J646" s="19">
        <f>IFERROR(__xludf.DUMMYFUNCTION("""COMPUTED_VALUE"""),0.00186)</f>
        <v>0.00186</v>
      </c>
      <c r="K646" s="19">
        <f>IFERROR(__xludf.DUMMYFUNCTION("""COMPUTED_VALUE"""),0.03959)</f>
        <v>0.03959</v>
      </c>
      <c r="L646" s="19" t="str">
        <f>IFERROR(__xludf.DUMMYFUNCTION("""COMPUTED_VALUE"""),"-")</f>
        <v>-</v>
      </c>
      <c r="M646" s="19">
        <f>IFERROR(__xludf.DUMMYFUNCTION("""COMPUTED_VALUE"""),0.03977)</f>
        <v>0.03977</v>
      </c>
    </row>
    <row r="647">
      <c r="A647" s="12" t="s">
        <v>8537</v>
      </c>
      <c r="G647" s="19">
        <f>IFERROR(__xludf.DUMMYFUNCTION("SPLIT(A645, "" |"")"),643.0)</f>
        <v>643</v>
      </c>
      <c r="H647" s="19">
        <f>IFERROR(__xludf.DUMMYFUNCTION("""COMPUTED_VALUE"""),0.00205)</f>
        <v>0.00205</v>
      </c>
      <c r="I647" s="19" t="str">
        <f>IFERROR(__xludf.DUMMYFUNCTION("""COMPUTED_VALUE"""),"-")</f>
        <v>-</v>
      </c>
      <c r="J647" s="19">
        <f>IFERROR(__xludf.DUMMYFUNCTION("""COMPUTED_VALUE"""),0.00198)</f>
        <v>0.00198</v>
      </c>
      <c r="K647" s="19">
        <f>IFERROR(__xludf.DUMMYFUNCTION("""COMPUTED_VALUE"""),0.03957)</f>
        <v>0.03957</v>
      </c>
      <c r="L647" s="19" t="str">
        <f>IFERROR(__xludf.DUMMYFUNCTION("""COMPUTED_VALUE"""),"-")</f>
        <v>-</v>
      </c>
      <c r="M647" s="19">
        <f>IFERROR(__xludf.DUMMYFUNCTION("""COMPUTED_VALUE"""),0.03984)</f>
        <v>0.03984</v>
      </c>
    </row>
    <row r="648">
      <c r="A648" s="12" t="s">
        <v>8538</v>
      </c>
      <c r="G648" s="19">
        <f>IFERROR(__xludf.DUMMYFUNCTION("SPLIT(A646, "" |"")"),644.0)</f>
        <v>644</v>
      </c>
      <c r="H648" s="19">
        <f>IFERROR(__xludf.DUMMYFUNCTION("""COMPUTED_VALUE"""),0.00207)</f>
        <v>0.00207</v>
      </c>
      <c r="I648" s="19" t="str">
        <f>IFERROR(__xludf.DUMMYFUNCTION("""COMPUTED_VALUE"""),"-")</f>
        <v>-</v>
      </c>
      <c r="J648" s="19">
        <f>IFERROR(__xludf.DUMMYFUNCTION("""COMPUTED_VALUE"""),0.00193)</f>
        <v>0.00193</v>
      </c>
      <c r="K648" s="19">
        <f>IFERROR(__xludf.DUMMYFUNCTION("""COMPUTED_VALUE"""),0.03966)</f>
        <v>0.03966</v>
      </c>
      <c r="L648" s="19" t="str">
        <f>IFERROR(__xludf.DUMMYFUNCTION("""COMPUTED_VALUE"""),"-")</f>
        <v>-</v>
      </c>
      <c r="M648" s="19">
        <f>IFERROR(__xludf.DUMMYFUNCTION("""COMPUTED_VALUE"""),0.03985)</f>
        <v>0.03985</v>
      </c>
    </row>
    <row r="649">
      <c r="A649" s="12" t="s">
        <v>8539</v>
      </c>
      <c r="G649" s="19">
        <f>IFERROR(__xludf.DUMMYFUNCTION("SPLIT(A647, "" |"")"),645.0)</f>
        <v>645</v>
      </c>
      <c r="H649" s="19">
        <f>IFERROR(__xludf.DUMMYFUNCTION("""COMPUTED_VALUE"""),0.00208)</f>
        <v>0.00208</v>
      </c>
      <c r="I649" s="19" t="str">
        <f>IFERROR(__xludf.DUMMYFUNCTION("""COMPUTED_VALUE"""),"-")</f>
        <v>-</v>
      </c>
      <c r="J649" s="19">
        <f>IFERROR(__xludf.DUMMYFUNCTION("""COMPUTED_VALUE"""),0.00197)</f>
        <v>0.00197</v>
      </c>
      <c r="K649" s="19">
        <f>IFERROR(__xludf.DUMMYFUNCTION("""COMPUTED_VALUE"""),0.03967)</f>
        <v>0.03967</v>
      </c>
      <c r="L649" s="19" t="str">
        <f>IFERROR(__xludf.DUMMYFUNCTION("""COMPUTED_VALUE"""),"-")</f>
        <v>-</v>
      </c>
      <c r="M649" s="19">
        <f>IFERROR(__xludf.DUMMYFUNCTION("""COMPUTED_VALUE"""),0.03998)</f>
        <v>0.03998</v>
      </c>
    </row>
    <row r="650">
      <c r="A650" s="12" t="s">
        <v>8540</v>
      </c>
      <c r="G650" s="19">
        <f>IFERROR(__xludf.DUMMYFUNCTION("SPLIT(A648, "" |"")"),646.0)</f>
        <v>646</v>
      </c>
      <c r="H650" s="19">
        <f>IFERROR(__xludf.DUMMYFUNCTION("""COMPUTED_VALUE"""),0.00214)</f>
        <v>0.00214</v>
      </c>
      <c r="I650" s="19" t="str">
        <f>IFERROR(__xludf.DUMMYFUNCTION("""COMPUTED_VALUE"""),"-")</f>
        <v>-</v>
      </c>
      <c r="J650" s="19">
        <f>IFERROR(__xludf.DUMMYFUNCTION("""COMPUTED_VALUE"""),0.00196)</f>
        <v>0.00196</v>
      </c>
      <c r="K650" s="19">
        <f>IFERROR(__xludf.DUMMYFUNCTION("""COMPUTED_VALUE"""),0.03974)</f>
        <v>0.03974</v>
      </c>
      <c r="L650" s="19" t="str">
        <f>IFERROR(__xludf.DUMMYFUNCTION("""COMPUTED_VALUE"""),"-")</f>
        <v>-</v>
      </c>
      <c r="M650" s="19">
        <f>IFERROR(__xludf.DUMMYFUNCTION("""COMPUTED_VALUE"""),0.03986)</f>
        <v>0.03986</v>
      </c>
    </row>
    <row r="651">
      <c r="A651" s="12" t="s">
        <v>8541</v>
      </c>
      <c r="G651" s="19">
        <f>IFERROR(__xludf.DUMMYFUNCTION("SPLIT(A649, "" |"")"),647.0)</f>
        <v>647</v>
      </c>
      <c r="H651" s="19">
        <f>IFERROR(__xludf.DUMMYFUNCTION("""COMPUTED_VALUE"""),0.00204)</f>
        <v>0.00204</v>
      </c>
      <c r="I651" s="19" t="str">
        <f>IFERROR(__xludf.DUMMYFUNCTION("""COMPUTED_VALUE"""),"-")</f>
        <v>-</v>
      </c>
      <c r="J651" s="19">
        <f>IFERROR(__xludf.DUMMYFUNCTION("""COMPUTED_VALUE"""),0.00196)</f>
        <v>0.00196</v>
      </c>
      <c r="K651" s="19">
        <f>IFERROR(__xludf.DUMMYFUNCTION("""COMPUTED_VALUE"""),0.03975)</f>
        <v>0.03975</v>
      </c>
      <c r="L651" s="19" t="str">
        <f>IFERROR(__xludf.DUMMYFUNCTION("""COMPUTED_VALUE"""),"-")</f>
        <v>-</v>
      </c>
      <c r="M651" s="19">
        <f>IFERROR(__xludf.DUMMYFUNCTION("""COMPUTED_VALUE"""),0.0399)</f>
        <v>0.0399</v>
      </c>
    </row>
    <row r="652">
      <c r="A652" s="12" t="s">
        <v>8542</v>
      </c>
      <c r="G652" s="19">
        <f>IFERROR(__xludf.DUMMYFUNCTION("SPLIT(A650, "" |"")"),648.0)</f>
        <v>648</v>
      </c>
      <c r="H652" s="19">
        <f>IFERROR(__xludf.DUMMYFUNCTION("""COMPUTED_VALUE"""),0.00219)</f>
        <v>0.00219</v>
      </c>
      <c r="I652" s="19" t="str">
        <f>IFERROR(__xludf.DUMMYFUNCTION("""COMPUTED_VALUE"""),"-")</f>
        <v>-</v>
      </c>
      <c r="J652" s="19">
        <f>IFERROR(__xludf.DUMMYFUNCTION("""COMPUTED_VALUE"""),0.00195)</f>
        <v>0.00195</v>
      </c>
      <c r="K652" s="19">
        <f>IFERROR(__xludf.DUMMYFUNCTION("""COMPUTED_VALUE"""),0.0397)</f>
        <v>0.0397</v>
      </c>
      <c r="L652" s="19" t="str">
        <f>IFERROR(__xludf.DUMMYFUNCTION("""COMPUTED_VALUE"""),"-")</f>
        <v>-</v>
      </c>
      <c r="M652" s="19">
        <f>IFERROR(__xludf.DUMMYFUNCTION("""COMPUTED_VALUE"""),0.03994)</f>
        <v>0.03994</v>
      </c>
    </row>
    <row r="653">
      <c r="A653" s="12" t="s">
        <v>8543</v>
      </c>
      <c r="G653" s="19">
        <f>IFERROR(__xludf.DUMMYFUNCTION("SPLIT(A651, "" |"")"),649.0)</f>
        <v>649</v>
      </c>
      <c r="H653" s="19">
        <f>IFERROR(__xludf.DUMMYFUNCTION("""COMPUTED_VALUE"""),0.00209)</f>
        <v>0.00209</v>
      </c>
      <c r="I653" s="19" t="str">
        <f>IFERROR(__xludf.DUMMYFUNCTION("""COMPUTED_VALUE"""),"-")</f>
        <v>-</v>
      </c>
      <c r="J653" s="19">
        <f>IFERROR(__xludf.DUMMYFUNCTION("""COMPUTED_VALUE"""),0.00201)</f>
        <v>0.00201</v>
      </c>
      <c r="K653" s="19">
        <f>IFERROR(__xludf.DUMMYFUNCTION("""COMPUTED_VALUE"""),0.03955)</f>
        <v>0.03955</v>
      </c>
      <c r="L653" s="19" t="str">
        <f>IFERROR(__xludf.DUMMYFUNCTION("""COMPUTED_VALUE"""),"-")</f>
        <v>-</v>
      </c>
      <c r="M653" s="19">
        <f>IFERROR(__xludf.DUMMYFUNCTION("""COMPUTED_VALUE"""),0.03967)</f>
        <v>0.03967</v>
      </c>
    </row>
    <row r="654">
      <c r="A654" s="12" t="s">
        <v>8544</v>
      </c>
      <c r="G654" s="19">
        <f>IFERROR(__xludf.DUMMYFUNCTION("SPLIT(A652, "" |"")"),650.0)</f>
        <v>650</v>
      </c>
      <c r="H654" s="19">
        <f>IFERROR(__xludf.DUMMYFUNCTION("""COMPUTED_VALUE"""),0.00204)</f>
        <v>0.00204</v>
      </c>
      <c r="I654" s="19" t="str">
        <f>IFERROR(__xludf.DUMMYFUNCTION("""COMPUTED_VALUE"""),"-")</f>
        <v>-</v>
      </c>
      <c r="J654" s="19">
        <f>IFERROR(__xludf.DUMMYFUNCTION("""COMPUTED_VALUE"""),0.00196)</f>
        <v>0.00196</v>
      </c>
      <c r="K654" s="19">
        <f>IFERROR(__xludf.DUMMYFUNCTION("""COMPUTED_VALUE"""),0.03974)</f>
        <v>0.03974</v>
      </c>
      <c r="L654" s="19" t="str">
        <f>IFERROR(__xludf.DUMMYFUNCTION("""COMPUTED_VALUE"""),"-")</f>
        <v>-</v>
      </c>
      <c r="M654" s="19">
        <f>IFERROR(__xludf.DUMMYFUNCTION("""COMPUTED_VALUE"""),0.03988)</f>
        <v>0.03988</v>
      </c>
    </row>
    <row r="655">
      <c r="A655" s="12" t="s">
        <v>8545</v>
      </c>
      <c r="G655" s="19">
        <f>IFERROR(__xludf.DUMMYFUNCTION("SPLIT(A653, "" |"")"),651.0)</f>
        <v>651</v>
      </c>
      <c r="H655" s="19">
        <f>IFERROR(__xludf.DUMMYFUNCTION("""COMPUTED_VALUE"""),0.00193)</f>
        <v>0.00193</v>
      </c>
      <c r="I655" s="19" t="str">
        <f>IFERROR(__xludf.DUMMYFUNCTION("""COMPUTED_VALUE"""),"-")</f>
        <v>-</v>
      </c>
      <c r="J655" s="19">
        <f>IFERROR(__xludf.DUMMYFUNCTION("""COMPUTED_VALUE"""),0.00184)</f>
        <v>0.00184</v>
      </c>
      <c r="K655" s="19">
        <f>IFERROR(__xludf.DUMMYFUNCTION("""COMPUTED_VALUE"""),0.03971)</f>
        <v>0.03971</v>
      </c>
      <c r="L655" s="19" t="str">
        <f>IFERROR(__xludf.DUMMYFUNCTION("""COMPUTED_VALUE"""),"-")</f>
        <v>-</v>
      </c>
      <c r="M655" s="19">
        <f>IFERROR(__xludf.DUMMYFUNCTION("""COMPUTED_VALUE"""),0.04023)</f>
        <v>0.04023</v>
      </c>
    </row>
    <row r="656">
      <c r="A656" s="12" t="s">
        <v>8546</v>
      </c>
      <c r="G656" s="19">
        <f>IFERROR(__xludf.DUMMYFUNCTION("SPLIT(A654, "" |"")"),652.0)</f>
        <v>652</v>
      </c>
      <c r="H656" s="19">
        <f>IFERROR(__xludf.DUMMYFUNCTION("""COMPUTED_VALUE"""),0.00214)</f>
        <v>0.00214</v>
      </c>
      <c r="I656" s="19" t="str">
        <f>IFERROR(__xludf.DUMMYFUNCTION("""COMPUTED_VALUE"""),"-")</f>
        <v>-</v>
      </c>
      <c r="J656" s="19">
        <f>IFERROR(__xludf.DUMMYFUNCTION("""COMPUTED_VALUE"""),0.00196)</f>
        <v>0.00196</v>
      </c>
      <c r="K656" s="19">
        <f>IFERROR(__xludf.DUMMYFUNCTION("""COMPUTED_VALUE"""),0.03967)</f>
        <v>0.03967</v>
      </c>
      <c r="L656" s="19" t="str">
        <f>IFERROR(__xludf.DUMMYFUNCTION("""COMPUTED_VALUE"""),"-")</f>
        <v>-</v>
      </c>
      <c r="M656" s="19">
        <f>IFERROR(__xludf.DUMMYFUNCTION("""COMPUTED_VALUE"""),0.03853)</f>
        <v>0.03853</v>
      </c>
    </row>
    <row r="657">
      <c r="A657" s="12" t="s">
        <v>8547</v>
      </c>
      <c r="G657" s="19">
        <f>IFERROR(__xludf.DUMMYFUNCTION("SPLIT(A655, "" |"")"),653.0)</f>
        <v>653</v>
      </c>
      <c r="H657" s="19">
        <f>IFERROR(__xludf.DUMMYFUNCTION("""COMPUTED_VALUE"""),0.00206)</f>
        <v>0.00206</v>
      </c>
      <c r="I657" s="19" t="str">
        <f>IFERROR(__xludf.DUMMYFUNCTION("""COMPUTED_VALUE"""),"-")</f>
        <v>-</v>
      </c>
      <c r="J657" s="19">
        <f>IFERROR(__xludf.DUMMYFUNCTION("""COMPUTED_VALUE"""),0.00198)</f>
        <v>0.00198</v>
      </c>
      <c r="K657" s="19">
        <f>IFERROR(__xludf.DUMMYFUNCTION("""COMPUTED_VALUE"""),0.03966)</f>
        <v>0.03966</v>
      </c>
      <c r="L657" s="19" t="str">
        <f>IFERROR(__xludf.DUMMYFUNCTION("""COMPUTED_VALUE"""),"-")</f>
        <v>-</v>
      </c>
      <c r="M657" s="19">
        <f>IFERROR(__xludf.DUMMYFUNCTION("""COMPUTED_VALUE"""),0.03987)</f>
        <v>0.03987</v>
      </c>
    </row>
    <row r="658">
      <c r="A658" s="12" t="s">
        <v>8548</v>
      </c>
      <c r="G658" s="19">
        <f>IFERROR(__xludf.DUMMYFUNCTION("SPLIT(A656, "" |"")"),654.0)</f>
        <v>654</v>
      </c>
      <c r="H658" s="19">
        <f>IFERROR(__xludf.DUMMYFUNCTION("""COMPUTED_VALUE"""),0.00231)</f>
        <v>0.00231</v>
      </c>
      <c r="I658" s="19" t="str">
        <f>IFERROR(__xludf.DUMMYFUNCTION("""COMPUTED_VALUE"""),"-")</f>
        <v>-</v>
      </c>
      <c r="J658" s="19">
        <f>IFERROR(__xludf.DUMMYFUNCTION("""COMPUTED_VALUE"""),0.00206)</f>
        <v>0.00206</v>
      </c>
      <c r="K658" s="19">
        <f>IFERROR(__xludf.DUMMYFUNCTION("""COMPUTED_VALUE"""),0.03972)</f>
        <v>0.03972</v>
      </c>
      <c r="L658" s="19" t="str">
        <f>IFERROR(__xludf.DUMMYFUNCTION("""COMPUTED_VALUE"""),"-")</f>
        <v>-</v>
      </c>
      <c r="M658" s="19">
        <f>IFERROR(__xludf.DUMMYFUNCTION("""COMPUTED_VALUE"""),0.0399)</f>
        <v>0.0399</v>
      </c>
    </row>
    <row r="659">
      <c r="A659" s="12" t="s">
        <v>8549</v>
      </c>
      <c r="G659" s="19">
        <f>IFERROR(__xludf.DUMMYFUNCTION("SPLIT(A657, "" |"")"),655.0)</f>
        <v>655</v>
      </c>
      <c r="H659" s="19">
        <f>IFERROR(__xludf.DUMMYFUNCTION("""COMPUTED_VALUE"""),0.00214)</f>
        <v>0.00214</v>
      </c>
      <c r="I659" s="19" t="str">
        <f>IFERROR(__xludf.DUMMYFUNCTION("""COMPUTED_VALUE"""),"-")</f>
        <v>-</v>
      </c>
      <c r="J659" s="19">
        <f>IFERROR(__xludf.DUMMYFUNCTION("""COMPUTED_VALUE"""),0.00199)</f>
        <v>0.00199</v>
      </c>
      <c r="K659" s="19">
        <f>IFERROR(__xludf.DUMMYFUNCTION("""COMPUTED_VALUE"""),0.03973)</f>
        <v>0.03973</v>
      </c>
      <c r="L659" s="19" t="str">
        <f>IFERROR(__xludf.DUMMYFUNCTION("""COMPUTED_VALUE"""),"-")</f>
        <v>-</v>
      </c>
      <c r="M659" s="19">
        <f>IFERROR(__xludf.DUMMYFUNCTION("""COMPUTED_VALUE"""),0.03972)</f>
        <v>0.03972</v>
      </c>
    </row>
    <row r="660">
      <c r="A660" s="12" t="s">
        <v>8550</v>
      </c>
      <c r="G660" s="19">
        <f>IFERROR(__xludf.DUMMYFUNCTION("SPLIT(A658, "" |"")"),656.0)</f>
        <v>656</v>
      </c>
      <c r="H660" s="19">
        <f>IFERROR(__xludf.DUMMYFUNCTION("""COMPUTED_VALUE"""),0.002)</f>
        <v>0.002</v>
      </c>
      <c r="I660" s="19" t="str">
        <f>IFERROR(__xludf.DUMMYFUNCTION("""COMPUTED_VALUE"""),"-")</f>
        <v>-</v>
      </c>
      <c r="J660" s="19">
        <f>IFERROR(__xludf.DUMMYFUNCTION("""COMPUTED_VALUE"""),0.00184)</f>
        <v>0.00184</v>
      </c>
      <c r="K660" s="19">
        <f>IFERROR(__xludf.DUMMYFUNCTION("""COMPUTED_VALUE"""),0.03979)</f>
        <v>0.03979</v>
      </c>
      <c r="L660" s="19" t="str">
        <f>IFERROR(__xludf.DUMMYFUNCTION("""COMPUTED_VALUE"""),"-")</f>
        <v>-</v>
      </c>
      <c r="M660" s="19">
        <f>IFERROR(__xludf.DUMMYFUNCTION("""COMPUTED_VALUE"""),0.03981)</f>
        <v>0.03981</v>
      </c>
    </row>
    <row r="661">
      <c r="A661" s="12" t="s">
        <v>8551</v>
      </c>
      <c r="G661" s="19">
        <f>IFERROR(__xludf.DUMMYFUNCTION("SPLIT(A659, "" |"")"),657.0)</f>
        <v>657</v>
      </c>
      <c r="H661" s="19">
        <f>IFERROR(__xludf.DUMMYFUNCTION("""COMPUTED_VALUE"""),0.00209)</f>
        <v>0.00209</v>
      </c>
      <c r="I661" s="19" t="str">
        <f>IFERROR(__xludf.DUMMYFUNCTION("""COMPUTED_VALUE"""),"-")</f>
        <v>-</v>
      </c>
      <c r="J661" s="19">
        <f>IFERROR(__xludf.DUMMYFUNCTION("""COMPUTED_VALUE"""),0.00195)</f>
        <v>0.00195</v>
      </c>
      <c r="K661" s="19">
        <f>IFERROR(__xludf.DUMMYFUNCTION("""COMPUTED_VALUE"""),0.03975)</f>
        <v>0.03975</v>
      </c>
      <c r="L661" s="19" t="str">
        <f>IFERROR(__xludf.DUMMYFUNCTION("""COMPUTED_VALUE"""),"-")</f>
        <v>-</v>
      </c>
      <c r="M661" s="19">
        <f>IFERROR(__xludf.DUMMYFUNCTION("""COMPUTED_VALUE"""),0.03979)</f>
        <v>0.03979</v>
      </c>
    </row>
    <row r="662">
      <c r="A662" s="12" t="s">
        <v>8552</v>
      </c>
      <c r="G662" s="19">
        <f>IFERROR(__xludf.DUMMYFUNCTION("SPLIT(A660, "" |"")"),658.0)</f>
        <v>658</v>
      </c>
      <c r="H662" s="19">
        <f>IFERROR(__xludf.DUMMYFUNCTION("""COMPUTED_VALUE"""),0.00211)</f>
        <v>0.00211</v>
      </c>
      <c r="I662" s="19" t="str">
        <f>IFERROR(__xludf.DUMMYFUNCTION("""COMPUTED_VALUE"""),"-")</f>
        <v>-</v>
      </c>
      <c r="J662" s="19">
        <f>IFERROR(__xludf.DUMMYFUNCTION("""COMPUTED_VALUE"""),0.00191)</f>
        <v>0.00191</v>
      </c>
      <c r="K662" s="19">
        <f>IFERROR(__xludf.DUMMYFUNCTION("""COMPUTED_VALUE"""),0.03966)</f>
        <v>0.03966</v>
      </c>
      <c r="L662" s="19" t="str">
        <f>IFERROR(__xludf.DUMMYFUNCTION("""COMPUTED_VALUE"""),"-")</f>
        <v>-</v>
      </c>
      <c r="M662" s="19">
        <f>IFERROR(__xludf.DUMMYFUNCTION("""COMPUTED_VALUE"""),0.04051)</f>
        <v>0.04051</v>
      </c>
    </row>
    <row r="663">
      <c r="A663" s="12" t="s">
        <v>8553</v>
      </c>
      <c r="G663" s="19">
        <f>IFERROR(__xludf.DUMMYFUNCTION("SPLIT(A661, "" |"")"),659.0)</f>
        <v>659</v>
      </c>
      <c r="H663" s="19">
        <f>IFERROR(__xludf.DUMMYFUNCTION("""COMPUTED_VALUE"""),0.00213)</f>
        <v>0.00213</v>
      </c>
      <c r="I663" s="19" t="str">
        <f>IFERROR(__xludf.DUMMYFUNCTION("""COMPUTED_VALUE"""),"-")</f>
        <v>-</v>
      </c>
      <c r="J663" s="19">
        <f>IFERROR(__xludf.DUMMYFUNCTION("""COMPUTED_VALUE"""),0.00203)</f>
        <v>0.00203</v>
      </c>
      <c r="K663" s="19">
        <f>IFERROR(__xludf.DUMMYFUNCTION("""COMPUTED_VALUE"""),0.03975)</f>
        <v>0.03975</v>
      </c>
      <c r="L663" s="19" t="str">
        <f>IFERROR(__xludf.DUMMYFUNCTION("""COMPUTED_VALUE"""),"-")</f>
        <v>-</v>
      </c>
      <c r="M663" s="19">
        <f>IFERROR(__xludf.DUMMYFUNCTION("""COMPUTED_VALUE"""),0.03968)</f>
        <v>0.03968</v>
      </c>
    </row>
    <row r="664">
      <c r="A664" s="12" t="s">
        <v>8554</v>
      </c>
      <c r="G664" s="19">
        <f>IFERROR(__xludf.DUMMYFUNCTION("SPLIT(A662, "" |"")"),660.0)</f>
        <v>660</v>
      </c>
      <c r="H664" s="19">
        <f>IFERROR(__xludf.DUMMYFUNCTION("""COMPUTED_VALUE"""),0.00208)</f>
        <v>0.00208</v>
      </c>
      <c r="I664" s="19" t="str">
        <f>IFERROR(__xludf.DUMMYFUNCTION("""COMPUTED_VALUE"""),"-")</f>
        <v>-</v>
      </c>
      <c r="J664" s="19">
        <f>IFERROR(__xludf.DUMMYFUNCTION("""COMPUTED_VALUE"""),0.00199)</f>
        <v>0.00199</v>
      </c>
      <c r="K664" s="19">
        <f>IFERROR(__xludf.DUMMYFUNCTION("""COMPUTED_VALUE"""),0.03968)</f>
        <v>0.03968</v>
      </c>
      <c r="L664" s="19" t="str">
        <f>IFERROR(__xludf.DUMMYFUNCTION("""COMPUTED_VALUE"""),"-")</f>
        <v>-</v>
      </c>
      <c r="M664" s="19">
        <f>IFERROR(__xludf.DUMMYFUNCTION("""COMPUTED_VALUE"""),0.03986)</f>
        <v>0.03986</v>
      </c>
    </row>
    <row r="665">
      <c r="A665" s="12" t="s">
        <v>8555</v>
      </c>
      <c r="G665" s="19">
        <f>IFERROR(__xludf.DUMMYFUNCTION("SPLIT(A663, "" |"")"),661.0)</f>
        <v>661</v>
      </c>
      <c r="H665" s="19">
        <f>IFERROR(__xludf.DUMMYFUNCTION("""COMPUTED_VALUE"""),0.0022)</f>
        <v>0.0022</v>
      </c>
      <c r="I665" s="19" t="str">
        <f>IFERROR(__xludf.DUMMYFUNCTION("""COMPUTED_VALUE"""),"-")</f>
        <v>-</v>
      </c>
      <c r="J665" s="19">
        <f>IFERROR(__xludf.DUMMYFUNCTION("""COMPUTED_VALUE"""),0.00205)</f>
        <v>0.00205</v>
      </c>
      <c r="K665" s="19">
        <f>IFERROR(__xludf.DUMMYFUNCTION("""COMPUTED_VALUE"""),0.03724)</f>
        <v>0.03724</v>
      </c>
      <c r="L665" s="19" t="str">
        <f>IFERROR(__xludf.DUMMYFUNCTION("""COMPUTED_VALUE"""),"-")</f>
        <v>-</v>
      </c>
      <c r="M665" s="19">
        <f>IFERROR(__xludf.DUMMYFUNCTION("""COMPUTED_VALUE"""),0.03913)</f>
        <v>0.03913</v>
      </c>
    </row>
    <row r="666">
      <c r="A666" s="12" t="s">
        <v>8556</v>
      </c>
      <c r="G666" s="19">
        <f>IFERROR(__xludf.DUMMYFUNCTION("SPLIT(A664, "" |"")"),662.0)</f>
        <v>662</v>
      </c>
      <c r="H666" s="19">
        <f>IFERROR(__xludf.DUMMYFUNCTION("""COMPUTED_VALUE"""),0.00215)</f>
        <v>0.00215</v>
      </c>
      <c r="I666" s="19" t="str">
        <f>IFERROR(__xludf.DUMMYFUNCTION("""COMPUTED_VALUE"""),"-")</f>
        <v>-</v>
      </c>
      <c r="J666" s="19">
        <f>IFERROR(__xludf.DUMMYFUNCTION("""COMPUTED_VALUE"""),0.00198)</f>
        <v>0.00198</v>
      </c>
      <c r="K666" s="19">
        <f>IFERROR(__xludf.DUMMYFUNCTION("""COMPUTED_VALUE"""),0.03929)</f>
        <v>0.03929</v>
      </c>
      <c r="L666" s="19" t="str">
        <f>IFERROR(__xludf.DUMMYFUNCTION("""COMPUTED_VALUE"""),"-")</f>
        <v>-</v>
      </c>
      <c r="M666" s="19">
        <f>IFERROR(__xludf.DUMMYFUNCTION("""COMPUTED_VALUE"""),0.03989)</f>
        <v>0.03989</v>
      </c>
    </row>
    <row r="667">
      <c r="A667" s="12" t="s">
        <v>8557</v>
      </c>
      <c r="G667" s="19">
        <f>IFERROR(__xludf.DUMMYFUNCTION("SPLIT(A665, "" |"")"),663.0)</f>
        <v>663</v>
      </c>
      <c r="H667" s="19">
        <f>IFERROR(__xludf.DUMMYFUNCTION("""COMPUTED_VALUE"""),0.00212)</f>
        <v>0.00212</v>
      </c>
      <c r="I667" s="19" t="str">
        <f>IFERROR(__xludf.DUMMYFUNCTION("""COMPUTED_VALUE"""),"-")</f>
        <v>-</v>
      </c>
      <c r="J667" s="19">
        <f>IFERROR(__xludf.DUMMYFUNCTION("""COMPUTED_VALUE"""),0.00199)</f>
        <v>0.00199</v>
      </c>
      <c r="K667" s="19">
        <f>IFERROR(__xludf.DUMMYFUNCTION("""COMPUTED_VALUE"""),0.03955)</f>
        <v>0.03955</v>
      </c>
      <c r="L667" s="19" t="str">
        <f>IFERROR(__xludf.DUMMYFUNCTION("""COMPUTED_VALUE"""),"-")</f>
        <v>-</v>
      </c>
      <c r="M667" s="19">
        <f>IFERROR(__xludf.DUMMYFUNCTION("""COMPUTED_VALUE"""),0.03985)</f>
        <v>0.03985</v>
      </c>
    </row>
    <row r="668">
      <c r="A668" s="12" t="s">
        <v>8558</v>
      </c>
      <c r="G668" s="19">
        <f>IFERROR(__xludf.DUMMYFUNCTION("SPLIT(A666, "" |"")"),664.0)</f>
        <v>664</v>
      </c>
      <c r="H668" s="19">
        <f>IFERROR(__xludf.DUMMYFUNCTION("""COMPUTED_VALUE"""),0.00213)</f>
        <v>0.00213</v>
      </c>
      <c r="I668" s="19" t="str">
        <f>IFERROR(__xludf.DUMMYFUNCTION("""COMPUTED_VALUE"""),"-")</f>
        <v>-</v>
      </c>
      <c r="J668" s="19">
        <f>IFERROR(__xludf.DUMMYFUNCTION("""COMPUTED_VALUE"""),0.00204)</f>
        <v>0.00204</v>
      </c>
      <c r="K668" s="19">
        <f>IFERROR(__xludf.DUMMYFUNCTION("""COMPUTED_VALUE"""),0.03982)</f>
        <v>0.03982</v>
      </c>
      <c r="L668" s="19" t="str">
        <f>IFERROR(__xludf.DUMMYFUNCTION("""COMPUTED_VALUE"""),"-")</f>
        <v>-</v>
      </c>
      <c r="M668" s="19">
        <f>IFERROR(__xludf.DUMMYFUNCTION("""COMPUTED_VALUE"""),0.03987)</f>
        <v>0.03987</v>
      </c>
    </row>
    <row r="669">
      <c r="A669" s="12" t="s">
        <v>8559</v>
      </c>
      <c r="G669" s="19">
        <f>IFERROR(__xludf.DUMMYFUNCTION("SPLIT(A667, "" |"")"),665.0)</f>
        <v>665</v>
      </c>
      <c r="H669" s="19">
        <f>IFERROR(__xludf.DUMMYFUNCTION("""COMPUTED_VALUE"""),0.00218)</f>
        <v>0.00218</v>
      </c>
      <c r="I669" s="19" t="str">
        <f>IFERROR(__xludf.DUMMYFUNCTION("""COMPUTED_VALUE"""),"-")</f>
        <v>-</v>
      </c>
      <c r="J669" s="19">
        <f>IFERROR(__xludf.DUMMYFUNCTION("""COMPUTED_VALUE"""),0.002)</f>
        <v>0.002</v>
      </c>
      <c r="K669" s="19">
        <f>IFERROR(__xludf.DUMMYFUNCTION("""COMPUTED_VALUE"""),0.03974)</f>
        <v>0.03974</v>
      </c>
      <c r="L669" s="19" t="str">
        <f>IFERROR(__xludf.DUMMYFUNCTION("""COMPUTED_VALUE"""),"-")</f>
        <v>-</v>
      </c>
      <c r="M669" s="19">
        <f>IFERROR(__xludf.DUMMYFUNCTION("""COMPUTED_VALUE"""),0.03989)</f>
        <v>0.03989</v>
      </c>
    </row>
    <row r="670">
      <c r="A670" s="12" t="s">
        <v>8560</v>
      </c>
      <c r="G670" s="19">
        <f>IFERROR(__xludf.DUMMYFUNCTION("SPLIT(A668, "" |"")"),666.0)</f>
        <v>666</v>
      </c>
      <c r="H670" s="19">
        <f>IFERROR(__xludf.DUMMYFUNCTION("""COMPUTED_VALUE"""),0.00217)</f>
        <v>0.00217</v>
      </c>
      <c r="I670" s="19" t="str">
        <f>IFERROR(__xludf.DUMMYFUNCTION("""COMPUTED_VALUE"""),"-")</f>
        <v>-</v>
      </c>
      <c r="J670" s="19">
        <f>IFERROR(__xludf.DUMMYFUNCTION("""COMPUTED_VALUE"""),0.00198)</f>
        <v>0.00198</v>
      </c>
      <c r="K670" s="19">
        <f>IFERROR(__xludf.DUMMYFUNCTION("""COMPUTED_VALUE"""),0.03976)</f>
        <v>0.03976</v>
      </c>
      <c r="L670" s="19" t="str">
        <f>IFERROR(__xludf.DUMMYFUNCTION("""COMPUTED_VALUE"""),"-")</f>
        <v>-</v>
      </c>
      <c r="M670" s="19">
        <f>IFERROR(__xludf.DUMMYFUNCTION("""COMPUTED_VALUE"""),0.03982)</f>
        <v>0.03982</v>
      </c>
    </row>
    <row r="671">
      <c r="A671" s="12" t="s">
        <v>8561</v>
      </c>
      <c r="G671" s="19">
        <f>IFERROR(__xludf.DUMMYFUNCTION("SPLIT(A669, "" |"")"),667.0)</f>
        <v>667</v>
      </c>
      <c r="H671" s="19">
        <f>IFERROR(__xludf.DUMMYFUNCTION("""COMPUTED_VALUE"""),0.00209)</f>
        <v>0.00209</v>
      </c>
      <c r="I671" s="19" t="str">
        <f>IFERROR(__xludf.DUMMYFUNCTION("""COMPUTED_VALUE"""),"-")</f>
        <v>-</v>
      </c>
      <c r="J671" s="19">
        <f>IFERROR(__xludf.DUMMYFUNCTION("""COMPUTED_VALUE"""),0.00199)</f>
        <v>0.00199</v>
      </c>
      <c r="K671" s="19">
        <f>IFERROR(__xludf.DUMMYFUNCTION("""COMPUTED_VALUE"""),0.03973)</f>
        <v>0.03973</v>
      </c>
      <c r="L671" s="19" t="str">
        <f>IFERROR(__xludf.DUMMYFUNCTION("""COMPUTED_VALUE"""),"-")</f>
        <v>-</v>
      </c>
      <c r="M671" s="19">
        <f>IFERROR(__xludf.DUMMYFUNCTION("""COMPUTED_VALUE"""),0.03987)</f>
        <v>0.03987</v>
      </c>
    </row>
    <row r="672">
      <c r="A672" s="12" t="s">
        <v>8562</v>
      </c>
      <c r="G672" s="19">
        <f>IFERROR(__xludf.DUMMYFUNCTION("SPLIT(A670, "" |"")"),668.0)</f>
        <v>668</v>
      </c>
      <c r="H672" s="19">
        <f>IFERROR(__xludf.DUMMYFUNCTION("""COMPUTED_VALUE"""),0.00217)</f>
        <v>0.00217</v>
      </c>
      <c r="I672" s="19" t="str">
        <f>IFERROR(__xludf.DUMMYFUNCTION("""COMPUTED_VALUE"""),"-")</f>
        <v>-</v>
      </c>
      <c r="J672" s="19">
        <f>IFERROR(__xludf.DUMMYFUNCTION("""COMPUTED_VALUE"""),0.00196)</f>
        <v>0.00196</v>
      </c>
      <c r="K672" s="19">
        <f>IFERROR(__xludf.DUMMYFUNCTION("""COMPUTED_VALUE"""),0.03799)</f>
        <v>0.03799</v>
      </c>
      <c r="L672" s="19" t="str">
        <f>IFERROR(__xludf.DUMMYFUNCTION("""COMPUTED_VALUE"""),"-")</f>
        <v>-</v>
      </c>
      <c r="M672" s="19">
        <f>IFERROR(__xludf.DUMMYFUNCTION("""COMPUTED_VALUE"""),0.03624)</f>
        <v>0.03624</v>
      </c>
    </row>
    <row r="673">
      <c r="A673" s="12" t="s">
        <v>8563</v>
      </c>
      <c r="G673" s="19">
        <f>IFERROR(__xludf.DUMMYFUNCTION("SPLIT(A671, "" |"")"),669.0)</f>
        <v>669</v>
      </c>
      <c r="H673" s="19">
        <f>IFERROR(__xludf.DUMMYFUNCTION("""COMPUTED_VALUE"""),0.00219)</f>
        <v>0.00219</v>
      </c>
      <c r="I673" s="19" t="str">
        <f>IFERROR(__xludf.DUMMYFUNCTION("""COMPUTED_VALUE"""),"-")</f>
        <v>-</v>
      </c>
      <c r="J673" s="19">
        <f>IFERROR(__xludf.DUMMYFUNCTION("""COMPUTED_VALUE"""),0.00199)</f>
        <v>0.00199</v>
      </c>
      <c r="K673" s="19">
        <f>IFERROR(__xludf.DUMMYFUNCTION("""COMPUTED_VALUE"""),0.03975)</f>
        <v>0.03975</v>
      </c>
      <c r="L673" s="19" t="str">
        <f>IFERROR(__xludf.DUMMYFUNCTION("""COMPUTED_VALUE"""),"-")</f>
        <v>-</v>
      </c>
      <c r="M673" s="19">
        <f>IFERROR(__xludf.DUMMYFUNCTION("""COMPUTED_VALUE"""),0.0399)</f>
        <v>0.0399</v>
      </c>
    </row>
    <row r="674">
      <c r="A674" s="12" t="s">
        <v>8564</v>
      </c>
      <c r="G674" s="19">
        <f>IFERROR(__xludf.DUMMYFUNCTION("SPLIT(A672, "" |"")"),670.0)</f>
        <v>670</v>
      </c>
      <c r="H674" s="19">
        <f>IFERROR(__xludf.DUMMYFUNCTION("""COMPUTED_VALUE"""),0.00222)</f>
        <v>0.00222</v>
      </c>
      <c r="I674" s="19" t="str">
        <f>IFERROR(__xludf.DUMMYFUNCTION("""COMPUTED_VALUE"""),"-")</f>
        <v>-</v>
      </c>
      <c r="J674" s="19">
        <f>IFERROR(__xludf.DUMMYFUNCTION("""COMPUTED_VALUE"""),0.00199)</f>
        <v>0.00199</v>
      </c>
      <c r="K674" s="19">
        <f>IFERROR(__xludf.DUMMYFUNCTION("""COMPUTED_VALUE"""),0.03965)</f>
        <v>0.03965</v>
      </c>
      <c r="L674" s="19" t="str">
        <f>IFERROR(__xludf.DUMMYFUNCTION("""COMPUTED_VALUE"""),"-")</f>
        <v>-</v>
      </c>
      <c r="M674" s="19">
        <f>IFERROR(__xludf.DUMMYFUNCTION("""COMPUTED_VALUE"""),0.0399)</f>
        <v>0.0399</v>
      </c>
    </row>
    <row r="675">
      <c r="A675" s="12" t="s">
        <v>8565</v>
      </c>
      <c r="G675" s="19">
        <f>IFERROR(__xludf.DUMMYFUNCTION("SPLIT(A673, "" |"")"),671.0)</f>
        <v>671</v>
      </c>
      <c r="H675" s="19">
        <f>IFERROR(__xludf.DUMMYFUNCTION("""COMPUTED_VALUE"""),0.00222)</f>
        <v>0.00222</v>
      </c>
      <c r="I675" s="19" t="str">
        <f>IFERROR(__xludf.DUMMYFUNCTION("""COMPUTED_VALUE"""),"-")</f>
        <v>-</v>
      </c>
      <c r="J675" s="19">
        <f>IFERROR(__xludf.DUMMYFUNCTION("""COMPUTED_VALUE"""),0.00198)</f>
        <v>0.00198</v>
      </c>
      <c r="K675" s="19">
        <f>IFERROR(__xludf.DUMMYFUNCTION("""COMPUTED_VALUE"""),0.03856)</f>
        <v>0.03856</v>
      </c>
      <c r="L675" s="19" t="str">
        <f>IFERROR(__xludf.DUMMYFUNCTION("""COMPUTED_VALUE"""),"-")</f>
        <v>-</v>
      </c>
      <c r="M675" s="19">
        <f>IFERROR(__xludf.DUMMYFUNCTION("""COMPUTED_VALUE"""),0.03983)</f>
        <v>0.03983</v>
      </c>
    </row>
    <row r="676">
      <c r="A676" s="12" t="s">
        <v>8566</v>
      </c>
      <c r="G676" s="19">
        <f>IFERROR(__xludf.DUMMYFUNCTION("SPLIT(A674, "" |"")"),672.0)</f>
        <v>672</v>
      </c>
      <c r="H676" s="19">
        <f>IFERROR(__xludf.DUMMYFUNCTION("""COMPUTED_VALUE"""),0.00208)</f>
        <v>0.00208</v>
      </c>
      <c r="I676" s="19" t="str">
        <f>IFERROR(__xludf.DUMMYFUNCTION("""COMPUTED_VALUE"""),"-")</f>
        <v>-</v>
      </c>
      <c r="J676" s="19">
        <f>IFERROR(__xludf.DUMMYFUNCTION("""COMPUTED_VALUE"""),0.002)</f>
        <v>0.002</v>
      </c>
      <c r="K676" s="19">
        <f>IFERROR(__xludf.DUMMYFUNCTION("""COMPUTED_VALUE"""),0.03966)</f>
        <v>0.03966</v>
      </c>
      <c r="L676" s="19" t="str">
        <f>IFERROR(__xludf.DUMMYFUNCTION("""COMPUTED_VALUE"""),"-")</f>
        <v>-</v>
      </c>
      <c r="M676" s="19">
        <f>IFERROR(__xludf.DUMMYFUNCTION("""COMPUTED_VALUE"""),0.03986)</f>
        <v>0.03986</v>
      </c>
    </row>
    <row r="677">
      <c r="A677" s="12" t="s">
        <v>8567</v>
      </c>
      <c r="G677" s="19">
        <f>IFERROR(__xludf.DUMMYFUNCTION("SPLIT(A675, "" |"")"),673.0)</f>
        <v>673</v>
      </c>
      <c r="H677" s="19">
        <f>IFERROR(__xludf.DUMMYFUNCTION("""COMPUTED_VALUE"""),0.00224)</f>
        <v>0.00224</v>
      </c>
      <c r="I677" s="19" t="str">
        <f>IFERROR(__xludf.DUMMYFUNCTION("""COMPUTED_VALUE"""),"-")</f>
        <v>-</v>
      </c>
      <c r="J677" s="19">
        <f>IFERROR(__xludf.DUMMYFUNCTION("""COMPUTED_VALUE"""),0.00206)</f>
        <v>0.00206</v>
      </c>
      <c r="K677" s="19">
        <f>IFERROR(__xludf.DUMMYFUNCTION("""COMPUTED_VALUE"""),0.03587)</f>
        <v>0.03587</v>
      </c>
      <c r="L677" s="19" t="str">
        <f>IFERROR(__xludf.DUMMYFUNCTION("""COMPUTED_VALUE"""),"-")</f>
        <v>-</v>
      </c>
      <c r="M677" s="19">
        <f>IFERROR(__xludf.DUMMYFUNCTION("""COMPUTED_VALUE"""),0.04021)</f>
        <v>0.04021</v>
      </c>
    </row>
    <row r="678">
      <c r="A678" s="12" t="s">
        <v>8568</v>
      </c>
      <c r="G678" s="19">
        <f>IFERROR(__xludf.DUMMYFUNCTION("SPLIT(A676, "" |"")"),674.0)</f>
        <v>674</v>
      </c>
      <c r="H678" s="19">
        <f>IFERROR(__xludf.DUMMYFUNCTION("""COMPUTED_VALUE"""),0.00213)</f>
        <v>0.00213</v>
      </c>
      <c r="I678" s="19" t="str">
        <f>IFERROR(__xludf.DUMMYFUNCTION("""COMPUTED_VALUE"""),"-")</f>
        <v>-</v>
      </c>
      <c r="J678" s="19">
        <f>IFERROR(__xludf.DUMMYFUNCTION("""COMPUTED_VALUE"""),0.002)</f>
        <v>0.002</v>
      </c>
      <c r="K678" s="19">
        <f>IFERROR(__xludf.DUMMYFUNCTION("""COMPUTED_VALUE"""),0.03967)</f>
        <v>0.03967</v>
      </c>
      <c r="L678" s="19" t="str">
        <f>IFERROR(__xludf.DUMMYFUNCTION("""COMPUTED_VALUE"""),"-")</f>
        <v>-</v>
      </c>
      <c r="M678" s="19">
        <f>IFERROR(__xludf.DUMMYFUNCTION("""COMPUTED_VALUE"""),0.03854)</f>
        <v>0.03854</v>
      </c>
    </row>
    <row r="679">
      <c r="A679" s="12" t="s">
        <v>8569</v>
      </c>
      <c r="G679" s="19">
        <f>IFERROR(__xludf.DUMMYFUNCTION("SPLIT(A677, "" |"")"),675.0)</f>
        <v>675</v>
      </c>
      <c r="H679" s="19">
        <f>IFERROR(__xludf.DUMMYFUNCTION("""COMPUTED_VALUE"""),0.00227)</f>
        <v>0.00227</v>
      </c>
      <c r="I679" s="19" t="str">
        <f>IFERROR(__xludf.DUMMYFUNCTION("""COMPUTED_VALUE"""),"-")</f>
        <v>-</v>
      </c>
      <c r="J679" s="19">
        <f>IFERROR(__xludf.DUMMYFUNCTION("""COMPUTED_VALUE"""),0.00203)</f>
        <v>0.00203</v>
      </c>
      <c r="K679" s="19">
        <f>IFERROR(__xludf.DUMMYFUNCTION("""COMPUTED_VALUE"""),0.04015)</f>
        <v>0.04015</v>
      </c>
      <c r="L679" s="19" t="str">
        <f>IFERROR(__xludf.DUMMYFUNCTION("""COMPUTED_VALUE"""),"-")</f>
        <v>-</v>
      </c>
      <c r="M679" s="19">
        <f>IFERROR(__xludf.DUMMYFUNCTION("""COMPUTED_VALUE"""),0.0404)</f>
        <v>0.0404</v>
      </c>
    </row>
    <row r="680">
      <c r="A680" s="12" t="s">
        <v>8570</v>
      </c>
      <c r="G680" s="19">
        <f>IFERROR(__xludf.DUMMYFUNCTION("SPLIT(A678, "" |"")"),676.0)</f>
        <v>676</v>
      </c>
      <c r="H680" s="19">
        <f>IFERROR(__xludf.DUMMYFUNCTION("""COMPUTED_VALUE"""),0.00218)</f>
        <v>0.00218</v>
      </c>
      <c r="I680" s="19" t="str">
        <f>IFERROR(__xludf.DUMMYFUNCTION("""COMPUTED_VALUE"""),"-")</f>
        <v>-</v>
      </c>
      <c r="J680" s="19">
        <f>IFERROR(__xludf.DUMMYFUNCTION("""COMPUTED_VALUE"""),0.00202)</f>
        <v>0.00202</v>
      </c>
      <c r="K680" s="19">
        <f>IFERROR(__xludf.DUMMYFUNCTION("""COMPUTED_VALUE"""),0.03965)</f>
        <v>0.03965</v>
      </c>
      <c r="L680" s="19" t="str">
        <f>IFERROR(__xludf.DUMMYFUNCTION("""COMPUTED_VALUE"""),"-")</f>
        <v>-</v>
      </c>
      <c r="M680" s="19">
        <f>IFERROR(__xludf.DUMMYFUNCTION("""COMPUTED_VALUE"""),0.04041)</f>
        <v>0.04041</v>
      </c>
    </row>
    <row r="681">
      <c r="A681" s="12" t="s">
        <v>8571</v>
      </c>
      <c r="G681" s="19">
        <f>IFERROR(__xludf.DUMMYFUNCTION("SPLIT(A679, "" |"")"),677.0)</f>
        <v>677</v>
      </c>
      <c r="H681" s="19">
        <f>IFERROR(__xludf.DUMMYFUNCTION("""COMPUTED_VALUE"""),0.00211)</f>
        <v>0.00211</v>
      </c>
      <c r="I681" s="19" t="str">
        <f>IFERROR(__xludf.DUMMYFUNCTION("""COMPUTED_VALUE"""),"-")</f>
        <v>-</v>
      </c>
      <c r="J681" s="19">
        <f>IFERROR(__xludf.DUMMYFUNCTION("""COMPUTED_VALUE"""),0.00202)</f>
        <v>0.00202</v>
      </c>
      <c r="K681" s="19">
        <f>IFERROR(__xludf.DUMMYFUNCTION("""COMPUTED_VALUE"""),0.0397)</f>
        <v>0.0397</v>
      </c>
      <c r="L681" s="19" t="str">
        <f>IFERROR(__xludf.DUMMYFUNCTION("""COMPUTED_VALUE"""),"-")</f>
        <v>-</v>
      </c>
      <c r="M681" s="19">
        <f>IFERROR(__xludf.DUMMYFUNCTION("""COMPUTED_VALUE"""),0.03983)</f>
        <v>0.03983</v>
      </c>
    </row>
    <row r="682">
      <c r="A682" s="12" t="s">
        <v>8572</v>
      </c>
      <c r="G682" s="19">
        <f>IFERROR(__xludf.DUMMYFUNCTION("SPLIT(A680, "" |"")"),678.0)</f>
        <v>678</v>
      </c>
      <c r="H682" s="19">
        <f>IFERROR(__xludf.DUMMYFUNCTION("""COMPUTED_VALUE"""),0.00209)</f>
        <v>0.00209</v>
      </c>
      <c r="I682" s="19" t="str">
        <f>IFERROR(__xludf.DUMMYFUNCTION("""COMPUTED_VALUE"""),"-")</f>
        <v>-</v>
      </c>
      <c r="J682" s="19">
        <f>IFERROR(__xludf.DUMMYFUNCTION("""COMPUTED_VALUE"""),0.00199)</f>
        <v>0.00199</v>
      </c>
      <c r="K682" s="19">
        <f>IFERROR(__xludf.DUMMYFUNCTION("""COMPUTED_VALUE"""),0.03969)</f>
        <v>0.03969</v>
      </c>
      <c r="L682" s="19" t="str">
        <f>IFERROR(__xludf.DUMMYFUNCTION("""COMPUTED_VALUE"""),"-")</f>
        <v>-</v>
      </c>
      <c r="M682" s="19">
        <f>IFERROR(__xludf.DUMMYFUNCTION("""COMPUTED_VALUE"""),0.03984)</f>
        <v>0.03984</v>
      </c>
    </row>
    <row r="683">
      <c r="A683" s="12" t="s">
        <v>8573</v>
      </c>
      <c r="G683" s="19">
        <f>IFERROR(__xludf.DUMMYFUNCTION("SPLIT(A681, "" |"")"),679.0)</f>
        <v>679</v>
      </c>
      <c r="H683" s="19">
        <f>IFERROR(__xludf.DUMMYFUNCTION("""COMPUTED_VALUE"""),0.00212)</f>
        <v>0.00212</v>
      </c>
      <c r="I683" s="19" t="str">
        <f>IFERROR(__xludf.DUMMYFUNCTION("""COMPUTED_VALUE"""),"-")</f>
        <v>-</v>
      </c>
      <c r="J683" s="19">
        <f>IFERROR(__xludf.DUMMYFUNCTION("""COMPUTED_VALUE"""),0.00198)</f>
        <v>0.00198</v>
      </c>
      <c r="K683" s="19">
        <f>IFERROR(__xludf.DUMMYFUNCTION("""COMPUTED_VALUE"""),0.03967)</f>
        <v>0.03967</v>
      </c>
      <c r="L683" s="19" t="str">
        <f>IFERROR(__xludf.DUMMYFUNCTION("""COMPUTED_VALUE"""),"-")</f>
        <v>-</v>
      </c>
      <c r="M683" s="19">
        <f>IFERROR(__xludf.DUMMYFUNCTION("""COMPUTED_VALUE"""),0.03986)</f>
        <v>0.03986</v>
      </c>
    </row>
    <row r="684">
      <c r="A684" s="12" t="s">
        <v>8574</v>
      </c>
      <c r="G684" s="19">
        <f>IFERROR(__xludf.DUMMYFUNCTION("SPLIT(A682, "" |"")"),680.0)</f>
        <v>680</v>
      </c>
      <c r="H684" s="19">
        <f>IFERROR(__xludf.DUMMYFUNCTION("""COMPUTED_VALUE"""),0.00209)</f>
        <v>0.00209</v>
      </c>
      <c r="I684" s="19" t="str">
        <f>IFERROR(__xludf.DUMMYFUNCTION("""COMPUTED_VALUE"""),"-")</f>
        <v>-</v>
      </c>
      <c r="J684" s="19">
        <f>IFERROR(__xludf.DUMMYFUNCTION("""COMPUTED_VALUE"""),0.00202)</f>
        <v>0.00202</v>
      </c>
      <c r="K684" s="19">
        <f>IFERROR(__xludf.DUMMYFUNCTION("""COMPUTED_VALUE"""),0.03967)</f>
        <v>0.03967</v>
      </c>
      <c r="L684" s="19" t="str">
        <f>IFERROR(__xludf.DUMMYFUNCTION("""COMPUTED_VALUE"""),"-")</f>
        <v>-</v>
      </c>
      <c r="M684" s="19">
        <f>IFERROR(__xludf.DUMMYFUNCTION("""COMPUTED_VALUE"""),0.03669)</f>
        <v>0.03669</v>
      </c>
    </row>
    <row r="685">
      <c r="A685" s="12" t="s">
        <v>8575</v>
      </c>
      <c r="G685" s="19">
        <f>IFERROR(__xludf.DUMMYFUNCTION("SPLIT(A683, "" |"")"),681.0)</f>
        <v>681</v>
      </c>
      <c r="H685" s="19">
        <f>IFERROR(__xludf.DUMMYFUNCTION("""COMPUTED_VALUE"""),0.00214)</f>
        <v>0.00214</v>
      </c>
      <c r="I685" s="19" t="str">
        <f>IFERROR(__xludf.DUMMYFUNCTION("""COMPUTED_VALUE"""),"-")</f>
        <v>-</v>
      </c>
      <c r="J685" s="19">
        <f>IFERROR(__xludf.DUMMYFUNCTION("""COMPUTED_VALUE"""),0.002)</f>
        <v>0.002</v>
      </c>
      <c r="K685" s="19">
        <f>IFERROR(__xludf.DUMMYFUNCTION("""COMPUTED_VALUE"""),0.03964)</f>
        <v>0.03964</v>
      </c>
      <c r="L685" s="19" t="str">
        <f>IFERROR(__xludf.DUMMYFUNCTION("""COMPUTED_VALUE"""),"-")</f>
        <v>-</v>
      </c>
      <c r="M685" s="19">
        <f>IFERROR(__xludf.DUMMYFUNCTION("""COMPUTED_VALUE"""),0.03989)</f>
        <v>0.03989</v>
      </c>
    </row>
    <row r="686">
      <c r="A686" s="12" t="s">
        <v>8576</v>
      </c>
      <c r="G686" s="19">
        <f>IFERROR(__xludf.DUMMYFUNCTION("SPLIT(A684, "" |"")"),682.0)</f>
        <v>682</v>
      </c>
      <c r="H686" s="19">
        <f>IFERROR(__xludf.DUMMYFUNCTION("""COMPUTED_VALUE"""),0.00212)</f>
        <v>0.00212</v>
      </c>
      <c r="I686" s="19" t="str">
        <f>IFERROR(__xludf.DUMMYFUNCTION("""COMPUTED_VALUE"""),"-")</f>
        <v>-</v>
      </c>
      <c r="J686" s="19">
        <f>IFERROR(__xludf.DUMMYFUNCTION("""COMPUTED_VALUE"""),0.00199)</f>
        <v>0.00199</v>
      </c>
      <c r="K686" s="19">
        <f>IFERROR(__xludf.DUMMYFUNCTION("""COMPUTED_VALUE"""),0.0397)</f>
        <v>0.0397</v>
      </c>
      <c r="L686" s="19" t="str">
        <f>IFERROR(__xludf.DUMMYFUNCTION("""COMPUTED_VALUE"""),"-")</f>
        <v>-</v>
      </c>
      <c r="M686" s="19">
        <f>IFERROR(__xludf.DUMMYFUNCTION("""COMPUTED_VALUE"""),0.03897)</f>
        <v>0.03897</v>
      </c>
    </row>
    <row r="687">
      <c r="A687" s="12" t="s">
        <v>8577</v>
      </c>
      <c r="G687" s="19">
        <f>IFERROR(__xludf.DUMMYFUNCTION("SPLIT(A685, "" |"")"),683.0)</f>
        <v>683</v>
      </c>
      <c r="H687" s="19">
        <f>IFERROR(__xludf.DUMMYFUNCTION("""COMPUTED_VALUE"""),0.00219)</f>
        <v>0.00219</v>
      </c>
      <c r="I687" s="19" t="str">
        <f>IFERROR(__xludf.DUMMYFUNCTION("""COMPUTED_VALUE"""),"-")</f>
        <v>-</v>
      </c>
      <c r="J687" s="19">
        <f>IFERROR(__xludf.DUMMYFUNCTION("""COMPUTED_VALUE"""),0.00203)</f>
        <v>0.00203</v>
      </c>
      <c r="K687" s="19">
        <f>IFERROR(__xludf.DUMMYFUNCTION("""COMPUTED_VALUE"""),0.03972)</f>
        <v>0.03972</v>
      </c>
      <c r="L687" s="19" t="str">
        <f>IFERROR(__xludf.DUMMYFUNCTION("""COMPUTED_VALUE"""),"-")</f>
        <v>-</v>
      </c>
      <c r="M687" s="19">
        <f>IFERROR(__xludf.DUMMYFUNCTION("""COMPUTED_VALUE"""),0.03983)</f>
        <v>0.03983</v>
      </c>
    </row>
    <row r="688">
      <c r="A688" s="12" t="s">
        <v>8578</v>
      </c>
      <c r="G688" s="19">
        <f>IFERROR(__xludf.DUMMYFUNCTION("SPLIT(A686, "" |"")"),684.0)</f>
        <v>684</v>
      </c>
      <c r="H688" s="19">
        <f>IFERROR(__xludf.DUMMYFUNCTION("""COMPUTED_VALUE"""),0.00215)</f>
        <v>0.00215</v>
      </c>
      <c r="I688" s="19" t="str">
        <f>IFERROR(__xludf.DUMMYFUNCTION("""COMPUTED_VALUE"""),"-")</f>
        <v>-</v>
      </c>
      <c r="J688" s="19">
        <f>IFERROR(__xludf.DUMMYFUNCTION("""COMPUTED_VALUE"""),0.00198)</f>
        <v>0.00198</v>
      </c>
      <c r="K688" s="19">
        <f>IFERROR(__xludf.DUMMYFUNCTION("""COMPUTED_VALUE"""),0.03967)</f>
        <v>0.03967</v>
      </c>
      <c r="L688" s="19" t="str">
        <f>IFERROR(__xludf.DUMMYFUNCTION("""COMPUTED_VALUE"""),"-")</f>
        <v>-</v>
      </c>
      <c r="M688" s="19">
        <f>IFERROR(__xludf.DUMMYFUNCTION("""COMPUTED_VALUE"""),0.03968)</f>
        <v>0.03968</v>
      </c>
    </row>
    <row r="689">
      <c r="A689" s="12" t="s">
        <v>8579</v>
      </c>
      <c r="G689" s="19">
        <f>IFERROR(__xludf.DUMMYFUNCTION("SPLIT(A687, "" |"")"),685.0)</f>
        <v>685</v>
      </c>
      <c r="H689" s="19">
        <f>IFERROR(__xludf.DUMMYFUNCTION("""COMPUTED_VALUE"""),0.00213)</f>
        <v>0.00213</v>
      </c>
      <c r="I689" s="19" t="str">
        <f>IFERROR(__xludf.DUMMYFUNCTION("""COMPUTED_VALUE"""),"-")</f>
        <v>-</v>
      </c>
      <c r="J689" s="19">
        <f>IFERROR(__xludf.DUMMYFUNCTION("""COMPUTED_VALUE"""),0.00188)</f>
        <v>0.00188</v>
      </c>
      <c r="K689" s="19">
        <f>IFERROR(__xludf.DUMMYFUNCTION("""COMPUTED_VALUE"""),0.03967)</f>
        <v>0.03967</v>
      </c>
      <c r="L689" s="19" t="str">
        <f>IFERROR(__xludf.DUMMYFUNCTION("""COMPUTED_VALUE"""),"-")</f>
        <v>-</v>
      </c>
      <c r="M689" s="19">
        <f>IFERROR(__xludf.DUMMYFUNCTION("""COMPUTED_VALUE"""),0.03978)</f>
        <v>0.03978</v>
      </c>
    </row>
    <row r="690">
      <c r="A690" s="12" t="s">
        <v>8580</v>
      </c>
      <c r="G690" s="19">
        <f>IFERROR(__xludf.DUMMYFUNCTION("SPLIT(A688, "" |"")"),686.0)</f>
        <v>686</v>
      </c>
      <c r="H690" s="19">
        <f>IFERROR(__xludf.DUMMYFUNCTION("""COMPUTED_VALUE"""),0.00211)</f>
        <v>0.00211</v>
      </c>
      <c r="I690" s="19" t="str">
        <f>IFERROR(__xludf.DUMMYFUNCTION("""COMPUTED_VALUE"""),"-")</f>
        <v>-</v>
      </c>
      <c r="J690" s="19">
        <f>IFERROR(__xludf.DUMMYFUNCTION("""COMPUTED_VALUE"""),0.00203)</f>
        <v>0.00203</v>
      </c>
      <c r="K690" s="19">
        <f>IFERROR(__xludf.DUMMYFUNCTION("""COMPUTED_VALUE"""),0.03971)</f>
        <v>0.03971</v>
      </c>
      <c r="L690" s="19" t="str">
        <f>IFERROR(__xludf.DUMMYFUNCTION("""COMPUTED_VALUE"""),"-")</f>
        <v>-</v>
      </c>
      <c r="M690" s="19">
        <f>IFERROR(__xludf.DUMMYFUNCTION("""COMPUTED_VALUE"""),0.03984)</f>
        <v>0.03984</v>
      </c>
    </row>
    <row r="691">
      <c r="A691" s="12" t="s">
        <v>8581</v>
      </c>
      <c r="G691" s="19">
        <f>IFERROR(__xludf.DUMMYFUNCTION("SPLIT(A689, "" |"")"),687.0)</f>
        <v>687</v>
      </c>
      <c r="H691" s="19">
        <f>IFERROR(__xludf.DUMMYFUNCTION("""COMPUTED_VALUE"""),0.00214)</f>
        <v>0.00214</v>
      </c>
      <c r="I691" s="19" t="str">
        <f>IFERROR(__xludf.DUMMYFUNCTION("""COMPUTED_VALUE"""),"-")</f>
        <v>-</v>
      </c>
      <c r="J691" s="19">
        <f>IFERROR(__xludf.DUMMYFUNCTION("""COMPUTED_VALUE"""),0.00201)</f>
        <v>0.00201</v>
      </c>
      <c r="K691" s="19">
        <f>IFERROR(__xludf.DUMMYFUNCTION("""COMPUTED_VALUE"""),0.03589)</f>
        <v>0.03589</v>
      </c>
      <c r="L691" s="19" t="str">
        <f>IFERROR(__xludf.DUMMYFUNCTION("""COMPUTED_VALUE"""),"-")</f>
        <v>-</v>
      </c>
      <c r="M691" s="19">
        <f>IFERROR(__xludf.DUMMYFUNCTION("""COMPUTED_VALUE"""),0.03797)</f>
        <v>0.03797</v>
      </c>
    </row>
    <row r="692">
      <c r="A692" s="12" t="s">
        <v>8582</v>
      </c>
      <c r="G692" s="19">
        <f>IFERROR(__xludf.DUMMYFUNCTION("SPLIT(A690, "" |"")"),688.0)</f>
        <v>688</v>
      </c>
      <c r="H692" s="19">
        <f>IFERROR(__xludf.DUMMYFUNCTION("""COMPUTED_VALUE"""),0.00218)</f>
        <v>0.00218</v>
      </c>
      <c r="I692" s="19" t="str">
        <f>IFERROR(__xludf.DUMMYFUNCTION("""COMPUTED_VALUE"""),"-")</f>
        <v>-</v>
      </c>
      <c r="J692" s="19">
        <f>IFERROR(__xludf.DUMMYFUNCTION("""COMPUTED_VALUE"""),0.00207)</f>
        <v>0.00207</v>
      </c>
      <c r="K692" s="19">
        <f>IFERROR(__xludf.DUMMYFUNCTION("""COMPUTED_VALUE"""),0.03931)</f>
        <v>0.03931</v>
      </c>
      <c r="L692" s="19" t="str">
        <f>IFERROR(__xludf.DUMMYFUNCTION("""COMPUTED_VALUE"""),"-")</f>
        <v>-</v>
      </c>
      <c r="M692" s="19">
        <f>IFERROR(__xludf.DUMMYFUNCTION("""COMPUTED_VALUE"""),0.04022)</f>
        <v>0.04022</v>
      </c>
    </row>
    <row r="693">
      <c r="A693" s="12" t="s">
        <v>8583</v>
      </c>
      <c r="G693" s="19">
        <f>IFERROR(__xludf.DUMMYFUNCTION("SPLIT(A691, "" |"")"),689.0)</f>
        <v>689</v>
      </c>
      <c r="H693" s="19">
        <f>IFERROR(__xludf.DUMMYFUNCTION("""COMPUTED_VALUE"""),0.00214)</f>
        <v>0.00214</v>
      </c>
      <c r="I693" s="19" t="str">
        <f>IFERROR(__xludf.DUMMYFUNCTION("""COMPUTED_VALUE"""),"-")</f>
        <v>-</v>
      </c>
      <c r="J693" s="19">
        <f>IFERROR(__xludf.DUMMYFUNCTION("""COMPUTED_VALUE"""),0.00192)</f>
        <v>0.00192</v>
      </c>
      <c r="K693" s="19">
        <f>IFERROR(__xludf.DUMMYFUNCTION("""COMPUTED_VALUE"""),0.03945)</f>
        <v>0.03945</v>
      </c>
      <c r="L693" s="19" t="str">
        <f>IFERROR(__xludf.DUMMYFUNCTION("""COMPUTED_VALUE"""),"-")</f>
        <v>-</v>
      </c>
      <c r="M693" s="19">
        <f>IFERROR(__xludf.DUMMYFUNCTION("""COMPUTED_VALUE"""),0.03845)</f>
        <v>0.03845</v>
      </c>
    </row>
    <row r="694">
      <c r="A694" s="12" t="s">
        <v>8584</v>
      </c>
      <c r="G694" s="19">
        <f>IFERROR(__xludf.DUMMYFUNCTION("SPLIT(A692, "" |"")"),690.0)</f>
        <v>690</v>
      </c>
      <c r="H694" s="19">
        <f>IFERROR(__xludf.DUMMYFUNCTION("""COMPUTED_VALUE"""),0.00212)</f>
        <v>0.00212</v>
      </c>
      <c r="I694" s="19" t="str">
        <f>IFERROR(__xludf.DUMMYFUNCTION("""COMPUTED_VALUE"""),"-")</f>
        <v>-</v>
      </c>
      <c r="J694" s="19">
        <f>IFERROR(__xludf.DUMMYFUNCTION("""COMPUTED_VALUE"""),0.00199)</f>
        <v>0.00199</v>
      </c>
      <c r="K694" s="19">
        <f>IFERROR(__xludf.DUMMYFUNCTION("""COMPUTED_VALUE"""),0.03967)</f>
        <v>0.03967</v>
      </c>
      <c r="L694" s="19" t="str">
        <f>IFERROR(__xludf.DUMMYFUNCTION("""COMPUTED_VALUE"""),"-")</f>
        <v>-</v>
      </c>
      <c r="M694" s="19">
        <f>IFERROR(__xludf.DUMMYFUNCTION("""COMPUTED_VALUE"""),0.04017)</f>
        <v>0.04017</v>
      </c>
    </row>
    <row r="695">
      <c r="A695" s="12" t="s">
        <v>8585</v>
      </c>
      <c r="G695" s="19">
        <f>IFERROR(__xludf.DUMMYFUNCTION("SPLIT(A693, "" |"")"),691.0)</f>
        <v>691</v>
      </c>
      <c r="H695" s="19">
        <f>IFERROR(__xludf.DUMMYFUNCTION("""COMPUTED_VALUE"""),0.00205)</f>
        <v>0.00205</v>
      </c>
      <c r="I695" s="19" t="str">
        <f>IFERROR(__xludf.DUMMYFUNCTION("""COMPUTED_VALUE"""),"-")</f>
        <v>-</v>
      </c>
      <c r="J695" s="19">
        <f>IFERROR(__xludf.DUMMYFUNCTION("""COMPUTED_VALUE"""),0.00195)</f>
        <v>0.00195</v>
      </c>
      <c r="K695" s="19">
        <f>IFERROR(__xludf.DUMMYFUNCTION("""COMPUTED_VALUE"""),0.03951)</f>
        <v>0.03951</v>
      </c>
      <c r="L695" s="19" t="str">
        <f>IFERROR(__xludf.DUMMYFUNCTION("""COMPUTED_VALUE"""),"-")</f>
        <v>-</v>
      </c>
      <c r="M695" s="19">
        <f>IFERROR(__xludf.DUMMYFUNCTION("""COMPUTED_VALUE"""),0.03804)</f>
        <v>0.03804</v>
      </c>
    </row>
    <row r="696">
      <c r="A696" s="12" t="s">
        <v>8586</v>
      </c>
      <c r="G696" s="19">
        <f>IFERROR(__xludf.DUMMYFUNCTION("SPLIT(A694, "" |"")"),692.0)</f>
        <v>692</v>
      </c>
      <c r="H696" s="19">
        <f>IFERROR(__xludf.DUMMYFUNCTION("""COMPUTED_VALUE"""),0.00217)</f>
        <v>0.00217</v>
      </c>
      <c r="I696" s="19" t="str">
        <f>IFERROR(__xludf.DUMMYFUNCTION("""COMPUTED_VALUE"""),"-")</f>
        <v>-</v>
      </c>
      <c r="J696" s="19">
        <f>IFERROR(__xludf.DUMMYFUNCTION("""COMPUTED_VALUE"""),0.002)</f>
        <v>0.002</v>
      </c>
      <c r="K696" s="19">
        <f>IFERROR(__xludf.DUMMYFUNCTION("""COMPUTED_VALUE"""),0.03863)</f>
        <v>0.03863</v>
      </c>
      <c r="L696" s="19" t="str">
        <f>IFERROR(__xludf.DUMMYFUNCTION("""COMPUTED_VALUE"""),"-")</f>
        <v>-</v>
      </c>
      <c r="M696" s="19">
        <f>IFERROR(__xludf.DUMMYFUNCTION("""COMPUTED_VALUE"""),0.04031)</f>
        <v>0.04031</v>
      </c>
    </row>
    <row r="697">
      <c r="A697" s="12" t="s">
        <v>8587</v>
      </c>
      <c r="G697" s="19">
        <f>IFERROR(__xludf.DUMMYFUNCTION("SPLIT(A695, "" |"")"),693.0)</f>
        <v>693</v>
      </c>
      <c r="H697" s="19">
        <f>IFERROR(__xludf.DUMMYFUNCTION("""COMPUTED_VALUE"""),0.00215)</f>
        <v>0.00215</v>
      </c>
      <c r="I697" s="19" t="str">
        <f>IFERROR(__xludf.DUMMYFUNCTION("""COMPUTED_VALUE"""),"-")</f>
        <v>-</v>
      </c>
      <c r="J697" s="19">
        <f>IFERROR(__xludf.DUMMYFUNCTION("""COMPUTED_VALUE"""),0.00204)</f>
        <v>0.00204</v>
      </c>
      <c r="K697" s="19">
        <f>IFERROR(__xludf.DUMMYFUNCTION("""COMPUTED_VALUE"""),0.03975)</f>
        <v>0.03975</v>
      </c>
      <c r="L697" s="19" t="str">
        <f>IFERROR(__xludf.DUMMYFUNCTION("""COMPUTED_VALUE"""),"-")</f>
        <v>-</v>
      </c>
      <c r="M697" s="19">
        <f>IFERROR(__xludf.DUMMYFUNCTION("""COMPUTED_VALUE"""),0.04027)</f>
        <v>0.04027</v>
      </c>
    </row>
    <row r="698">
      <c r="A698" s="12" t="s">
        <v>8588</v>
      </c>
      <c r="G698" s="19">
        <f>IFERROR(__xludf.DUMMYFUNCTION("SPLIT(A696, "" |"")"),694.0)</f>
        <v>694</v>
      </c>
      <c r="H698" s="19">
        <f>IFERROR(__xludf.DUMMYFUNCTION("""COMPUTED_VALUE"""),0.0021)</f>
        <v>0.0021</v>
      </c>
      <c r="I698" s="19" t="str">
        <f>IFERROR(__xludf.DUMMYFUNCTION("""COMPUTED_VALUE"""),"-")</f>
        <v>-</v>
      </c>
      <c r="J698" s="19">
        <f>IFERROR(__xludf.DUMMYFUNCTION("""COMPUTED_VALUE"""),0.00199)</f>
        <v>0.00199</v>
      </c>
      <c r="K698" s="19">
        <f>IFERROR(__xludf.DUMMYFUNCTION("""COMPUTED_VALUE"""),0.03978)</f>
        <v>0.03978</v>
      </c>
      <c r="L698" s="19" t="str">
        <f>IFERROR(__xludf.DUMMYFUNCTION("""COMPUTED_VALUE"""),"-")</f>
        <v>-</v>
      </c>
      <c r="M698" s="19">
        <f>IFERROR(__xludf.DUMMYFUNCTION("""COMPUTED_VALUE"""),0.03984)</f>
        <v>0.03984</v>
      </c>
    </row>
    <row r="699">
      <c r="A699" s="12" t="s">
        <v>8589</v>
      </c>
      <c r="G699" s="19">
        <f>IFERROR(__xludf.DUMMYFUNCTION("SPLIT(A697, "" |"")"),695.0)</f>
        <v>695</v>
      </c>
      <c r="H699" s="19">
        <f>IFERROR(__xludf.DUMMYFUNCTION("""COMPUTED_VALUE"""),0.0021)</f>
        <v>0.0021</v>
      </c>
      <c r="I699" s="19" t="str">
        <f>IFERROR(__xludf.DUMMYFUNCTION("""COMPUTED_VALUE"""),"-")</f>
        <v>-</v>
      </c>
      <c r="J699" s="19">
        <f>IFERROR(__xludf.DUMMYFUNCTION("""COMPUTED_VALUE"""),0.00199)</f>
        <v>0.00199</v>
      </c>
      <c r="K699" s="19">
        <f>IFERROR(__xludf.DUMMYFUNCTION("""COMPUTED_VALUE"""),0.0385)</f>
        <v>0.0385</v>
      </c>
      <c r="L699" s="19" t="str">
        <f>IFERROR(__xludf.DUMMYFUNCTION("""COMPUTED_VALUE"""),"-")</f>
        <v>-</v>
      </c>
      <c r="M699" s="19">
        <f>IFERROR(__xludf.DUMMYFUNCTION("""COMPUTED_VALUE"""),0.0398)</f>
        <v>0.0398</v>
      </c>
    </row>
    <row r="700">
      <c r="A700" s="12" t="s">
        <v>8590</v>
      </c>
      <c r="G700" s="19">
        <f>IFERROR(__xludf.DUMMYFUNCTION("SPLIT(A698, "" |"")"),696.0)</f>
        <v>696</v>
      </c>
      <c r="H700" s="19">
        <f>IFERROR(__xludf.DUMMYFUNCTION("""COMPUTED_VALUE"""),0.00207)</f>
        <v>0.00207</v>
      </c>
      <c r="I700" s="19" t="str">
        <f>IFERROR(__xludf.DUMMYFUNCTION("""COMPUTED_VALUE"""),"-")</f>
        <v>-</v>
      </c>
      <c r="J700" s="19">
        <f>IFERROR(__xludf.DUMMYFUNCTION("""COMPUTED_VALUE"""),0.00196)</f>
        <v>0.00196</v>
      </c>
      <c r="K700" s="19">
        <f>IFERROR(__xludf.DUMMYFUNCTION("""COMPUTED_VALUE"""),0.03958)</f>
        <v>0.03958</v>
      </c>
      <c r="L700" s="19" t="str">
        <f>IFERROR(__xludf.DUMMYFUNCTION("""COMPUTED_VALUE"""),"-")</f>
        <v>-</v>
      </c>
      <c r="M700" s="19">
        <f>IFERROR(__xludf.DUMMYFUNCTION("""COMPUTED_VALUE"""),0.03986)</f>
        <v>0.03986</v>
      </c>
    </row>
    <row r="701">
      <c r="A701" s="12" t="s">
        <v>8591</v>
      </c>
      <c r="G701" s="19">
        <f>IFERROR(__xludf.DUMMYFUNCTION("SPLIT(A699, "" |"")"),697.0)</f>
        <v>697</v>
      </c>
      <c r="H701" s="19">
        <f>IFERROR(__xludf.DUMMYFUNCTION("""COMPUTED_VALUE"""),0.00209)</f>
        <v>0.00209</v>
      </c>
      <c r="I701" s="19" t="str">
        <f>IFERROR(__xludf.DUMMYFUNCTION("""COMPUTED_VALUE"""),"-")</f>
        <v>-</v>
      </c>
      <c r="J701" s="19">
        <f>IFERROR(__xludf.DUMMYFUNCTION("""COMPUTED_VALUE"""),0.00184)</f>
        <v>0.00184</v>
      </c>
      <c r="K701" s="19">
        <f>IFERROR(__xludf.DUMMYFUNCTION("""COMPUTED_VALUE"""),0.03761)</f>
        <v>0.03761</v>
      </c>
      <c r="L701" s="19" t="str">
        <f>IFERROR(__xludf.DUMMYFUNCTION("""COMPUTED_VALUE"""),"-")</f>
        <v>-</v>
      </c>
      <c r="M701" s="19">
        <f>IFERROR(__xludf.DUMMYFUNCTION("""COMPUTED_VALUE"""),0.0399)</f>
        <v>0.0399</v>
      </c>
    </row>
    <row r="702">
      <c r="A702" s="12" t="s">
        <v>8592</v>
      </c>
      <c r="G702" s="19">
        <f>IFERROR(__xludf.DUMMYFUNCTION("SPLIT(A700, "" |"")"),698.0)</f>
        <v>698</v>
      </c>
      <c r="H702" s="19">
        <f>IFERROR(__xludf.DUMMYFUNCTION("""COMPUTED_VALUE"""),0.00211)</f>
        <v>0.00211</v>
      </c>
      <c r="I702" s="19" t="str">
        <f>IFERROR(__xludf.DUMMYFUNCTION("""COMPUTED_VALUE"""),"-")</f>
        <v>-</v>
      </c>
      <c r="J702" s="19">
        <f>IFERROR(__xludf.DUMMYFUNCTION("""COMPUTED_VALUE"""),0.00202)</f>
        <v>0.00202</v>
      </c>
      <c r="K702" s="19">
        <f>IFERROR(__xludf.DUMMYFUNCTION("""COMPUTED_VALUE"""),0.03973)</f>
        <v>0.03973</v>
      </c>
      <c r="L702" s="19" t="str">
        <f>IFERROR(__xludf.DUMMYFUNCTION("""COMPUTED_VALUE"""),"-")</f>
        <v>-</v>
      </c>
      <c r="M702" s="19">
        <f>IFERROR(__xludf.DUMMYFUNCTION("""COMPUTED_VALUE"""),0.04023)</f>
        <v>0.04023</v>
      </c>
    </row>
    <row r="703">
      <c r="A703" s="12" t="s">
        <v>8593</v>
      </c>
      <c r="G703" s="19">
        <f>IFERROR(__xludf.DUMMYFUNCTION("SPLIT(A701, "" |"")"),699.0)</f>
        <v>699</v>
      </c>
      <c r="H703" s="19">
        <f>IFERROR(__xludf.DUMMYFUNCTION("""COMPUTED_VALUE"""),0.00207)</f>
        <v>0.00207</v>
      </c>
      <c r="I703" s="19" t="str">
        <f>IFERROR(__xludf.DUMMYFUNCTION("""COMPUTED_VALUE"""),"-")</f>
        <v>-</v>
      </c>
      <c r="J703" s="19">
        <f>IFERROR(__xludf.DUMMYFUNCTION("""COMPUTED_VALUE"""),0.00197)</f>
        <v>0.00197</v>
      </c>
      <c r="K703" s="19">
        <f>IFERROR(__xludf.DUMMYFUNCTION("""COMPUTED_VALUE"""),0.03967)</f>
        <v>0.03967</v>
      </c>
      <c r="L703" s="19" t="str">
        <f>IFERROR(__xludf.DUMMYFUNCTION("""COMPUTED_VALUE"""),"-")</f>
        <v>-</v>
      </c>
      <c r="M703" s="19">
        <f>IFERROR(__xludf.DUMMYFUNCTION("""COMPUTED_VALUE"""),0.03977)</f>
        <v>0.03977</v>
      </c>
    </row>
    <row r="704">
      <c r="A704" s="12" t="s">
        <v>8594</v>
      </c>
      <c r="G704" s="19">
        <f>IFERROR(__xludf.DUMMYFUNCTION("SPLIT(A702, "" |"")"),700.0)</f>
        <v>700</v>
      </c>
      <c r="H704" s="19">
        <f>IFERROR(__xludf.DUMMYFUNCTION("""COMPUTED_VALUE"""),0.00212)</f>
        <v>0.00212</v>
      </c>
      <c r="I704" s="19" t="str">
        <f>IFERROR(__xludf.DUMMYFUNCTION("""COMPUTED_VALUE"""),"-")</f>
        <v>-</v>
      </c>
      <c r="J704" s="19">
        <f>IFERROR(__xludf.DUMMYFUNCTION("""COMPUTED_VALUE"""),0.00193)</f>
        <v>0.00193</v>
      </c>
      <c r="K704" s="19">
        <f>IFERROR(__xludf.DUMMYFUNCTION("""COMPUTED_VALUE"""),0.03965)</f>
        <v>0.03965</v>
      </c>
      <c r="L704" s="19" t="str">
        <f>IFERROR(__xludf.DUMMYFUNCTION("""COMPUTED_VALUE"""),"-")</f>
        <v>-</v>
      </c>
      <c r="M704" s="19">
        <f>IFERROR(__xludf.DUMMYFUNCTION("""COMPUTED_VALUE"""),0.03978)</f>
        <v>0.03978</v>
      </c>
    </row>
    <row r="705">
      <c r="A705" s="12" t="s">
        <v>8595</v>
      </c>
      <c r="G705" s="19">
        <f>IFERROR(__xludf.DUMMYFUNCTION("SPLIT(A703, "" |"")"),701.0)</f>
        <v>701</v>
      </c>
      <c r="H705" s="19">
        <f>IFERROR(__xludf.DUMMYFUNCTION("""COMPUTED_VALUE"""),0.00207)</f>
        <v>0.00207</v>
      </c>
      <c r="I705" s="19" t="str">
        <f>IFERROR(__xludf.DUMMYFUNCTION("""COMPUTED_VALUE"""),"-")</f>
        <v>-</v>
      </c>
      <c r="J705" s="19">
        <f>IFERROR(__xludf.DUMMYFUNCTION("""COMPUTED_VALUE"""),0.00197)</f>
        <v>0.00197</v>
      </c>
      <c r="K705" s="19">
        <f>IFERROR(__xludf.DUMMYFUNCTION("""COMPUTED_VALUE"""),0.03967)</f>
        <v>0.03967</v>
      </c>
      <c r="L705" s="19" t="str">
        <f>IFERROR(__xludf.DUMMYFUNCTION("""COMPUTED_VALUE"""),"-")</f>
        <v>-</v>
      </c>
      <c r="M705" s="19">
        <f>IFERROR(__xludf.DUMMYFUNCTION("""COMPUTED_VALUE"""),0.03981)</f>
        <v>0.03981</v>
      </c>
    </row>
    <row r="706">
      <c r="A706" s="12" t="s">
        <v>8596</v>
      </c>
      <c r="G706" s="19">
        <f>IFERROR(__xludf.DUMMYFUNCTION("SPLIT(A704, "" |"")"),702.0)</f>
        <v>702</v>
      </c>
      <c r="H706" s="19">
        <f>IFERROR(__xludf.DUMMYFUNCTION("""COMPUTED_VALUE"""),0.00212)</f>
        <v>0.00212</v>
      </c>
      <c r="I706" s="19" t="str">
        <f>IFERROR(__xludf.DUMMYFUNCTION("""COMPUTED_VALUE"""),"-")</f>
        <v>-</v>
      </c>
      <c r="J706" s="19">
        <f>IFERROR(__xludf.DUMMYFUNCTION("""COMPUTED_VALUE"""),0.00198)</f>
        <v>0.00198</v>
      </c>
      <c r="K706" s="19">
        <f>IFERROR(__xludf.DUMMYFUNCTION("""COMPUTED_VALUE"""),0.03948)</f>
        <v>0.03948</v>
      </c>
      <c r="L706" s="19" t="str">
        <f>IFERROR(__xludf.DUMMYFUNCTION("""COMPUTED_VALUE"""),"-")</f>
        <v>-</v>
      </c>
      <c r="M706" s="19">
        <f>IFERROR(__xludf.DUMMYFUNCTION("""COMPUTED_VALUE"""),0.03974)</f>
        <v>0.03974</v>
      </c>
    </row>
    <row r="707">
      <c r="A707" s="12" t="s">
        <v>8597</v>
      </c>
      <c r="G707" s="19">
        <f>IFERROR(__xludf.DUMMYFUNCTION("SPLIT(A705, "" |"")"),703.0)</f>
        <v>703</v>
      </c>
      <c r="H707" s="19">
        <f>IFERROR(__xludf.DUMMYFUNCTION("""COMPUTED_VALUE"""),0.00211)</f>
        <v>0.00211</v>
      </c>
      <c r="I707" s="19" t="str">
        <f>IFERROR(__xludf.DUMMYFUNCTION("""COMPUTED_VALUE"""),"-")</f>
        <v>-</v>
      </c>
      <c r="J707" s="19">
        <f>IFERROR(__xludf.DUMMYFUNCTION("""COMPUTED_VALUE"""),0.00201)</f>
        <v>0.00201</v>
      </c>
      <c r="K707" s="19">
        <f>IFERROR(__xludf.DUMMYFUNCTION("""COMPUTED_VALUE"""),0.03975)</f>
        <v>0.03975</v>
      </c>
      <c r="L707" s="19" t="str">
        <f>IFERROR(__xludf.DUMMYFUNCTION("""COMPUTED_VALUE"""),"-")</f>
        <v>-</v>
      </c>
      <c r="M707" s="19">
        <f>IFERROR(__xludf.DUMMYFUNCTION("""COMPUTED_VALUE"""),0.03986)</f>
        <v>0.03986</v>
      </c>
    </row>
    <row r="708">
      <c r="A708" s="12" t="s">
        <v>8598</v>
      </c>
      <c r="G708" s="19">
        <f>IFERROR(__xludf.DUMMYFUNCTION("SPLIT(A706, "" |"")"),704.0)</f>
        <v>704</v>
      </c>
      <c r="H708" s="19">
        <f>IFERROR(__xludf.DUMMYFUNCTION("""COMPUTED_VALUE"""),0.00219)</f>
        <v>0.00219</v>
      </c>
      <c r="I708" s="19" t="str">
        <f>IFERROR(__xludf.DUMMYFUNCTION("""COMPUTED_VALUE"""),"-")</f>
        <v>-</v>
      </c>
      <c r="J708" s="19">
        <f>IFERROR(__xludf.DUMMYFUNCTION("""COMPUTED_VALUE"""),0.002)</f>
        <v>0.002</v>
      </c>
      <c r="K708" s="19">
        <f>IFERROR(__xludf.DUMMYFUNCTION("""COMPUTED_VALUE"""),0.03972)</f>
        <v>0.03972</v>
      </c>
      <c r="L708" s="19" t="str">
        <f>IFERROR(__xludf.DUMMYFUNCTION("""COMPUTED_VALUE"""),"-")</f>
        <v>-</v>
      </c>
      <c r="M708" s="19">
        <f>IFERROR(__xludf.DUMMYFUNCTION("""COMPUTED_VALUE"""),0.03978)</f>
        <v>0.03978</v>
      </c>
    </row>
    <row r="709">
      <c r="A709" s="12" t="s">
        <v>8599</v>
      </c>
      <c r="G709" s="19">
        <f>IFERROR(__xludf.DUMMYFUNCTION("SPLIT(A707, "" |"")"),705.0)</f>
        <v>705</v>
      </c>
      <c r="H709" s="19">
        <f>IFERROR(__xludf.DUMMYFUNCTION("""COMPUTED_VALUE"""),0.00207)</f>
        <v>0.00207</v>
      </c>
      <c r="I709" s="19" t="str">
        <f>IFERROR(__xludf.DUMMYFUNCTION("""COMPUTED_VALUE"""),"-")</f>
        <v>-</v>
      </c>
      <c r="J709" s="19">
        <f>IFERROR(__xludf.DUMMYFUNCTION("""COMPUTED_VALUE"""),0.00202)</f>
        <v>0.00202</v>
      </c>
      <c r="K709" s="19">
        <f>IFERROR(__xludf.DUMMYFUNCTION("""COMPUTED_VALUE"""),0.03977)</f>
        <v>0.03977</v>
      </c>
      <c r="L709" s="19" t="str">
        <f>IFERROR(__xludf.DUMMYFUNCTION("""COMPUTED_VALUE"""),"-")</f>
        <v>-</v>
      </c>
      <c r="M709" s="19">
        <f>IFERROR(__xludf.DUMMYFUNCTION("""COMPUTED_VALUE"""),0.0398)</f>
        <v>0.0398</v>
      </c>
    </row>
    <row r="710">
      <c r="A710" s="12" t="s">
        <v>8600</v>
      </c>
      <c r="G710" s="19">
        <f>IFERROR(__xludf.DUMMYFUNCTION("SPLIT(A708, "" |"")"),706.0)</f>
        <v>706</v>
      </c>
      <c r="H710" s="19">
        <f>IFERROR(__xludf.DUMMYFUNCTION("""COMPUTED_VALUE"""),0.0021)</f>
        <v>0.0021</v>
      </c>
      <c r="I710" s="19" t="str">
        <f>IFERROR(__xludf.DUMMYFUNCTION("""COMPUTED_VALUE"""),"-")</f>
        <v>-</v>
      </c>
      <c r="J710" s="19">
        <f>IFERROR(__xludf.DUMMYFUNCTION("""COMPUTED_VALUE"""),0.00196)</f>
        <v>0.00196</v>
      </c>
      <c r="K710" s="19">
        <f>IFERROR(__xludf.DUMMYFUNCTION("""COMPUTED_VALUE"""),0.03974)</f>
        <v>0.03974</v>
      </c>
      <c r="L710" s="19" t="str">
        <f>IFERROR(__xludf.DUMMYFUNCTION("""COMPUTED_VALUE"""),"-")</f>
        <v>-</v>
      </c>
      <c r="M710" s="19">
        <f>IFERROR(__xludf.DUMMYFUNCTION("""COMPUTED_VALUE"""),0.03978)</f>
        <v>0.03978</v>
      </c>
    </row>
    <row r="711">
      <c r="A711" s="12" t="s">
        <v>8601</v>
      </c>
      <c r="G711" s="19">
        <f>IFERROR(__xludf.DUMMYFUNCTION("SPLIT(A709, "" |"")"),707.0)</f>
        <v>707</v>
      </c>
      <c r="H711" s="19">
        <f>IFERROR(__xludf.DUMMYFUNCTION("""COMPUTED_VALUE"""),0.00198)</f>
        <v>0.00198</v>
      </c>
      <c r="I711" s="19" t="str">
        <f>IFERROR(__xludf.DUMMYFUNCTION("""COMPUTED_VALUE"""),"-")</f>
        <v>-</v>
      </c>
      <c r="J711" s="19">
        <f>IFERROR(__xludf.DUMMYFUNCTION("""COMPUTED_VALUE"""),0.00184)</f>
        <v>0.00184</v>
      </c>
      <c r="K711" s="19">
        <f>IFERROR(__xludf.DUMMYFUNCTION("""COMPUTED_VALUE"""),0.03954)</f>
        <v>0.03954</v>
      </c>
      <c r="L711" s="19" t="str">
        <f>IFERROR(__xludf.DUMMYFUNCTION("""COMPUTED_VALUE"""),"-")</f>
        <v>-</v>
      </c>
      <c r="M711" s="19">
        <f>IFERROR(__xludf.DUMMYFUNCTION("""COMPUTED_VALUE"""),0.03968)</f>
        <v>0.03968</v>
      </c>
    </row>
    <row r="712">
      <c r="A712" s="12" t="s">
        <v>8602</v>
      </c>
      <c r="G712" s="19">
        <f>IFERROR(__xludf.DUMMYFUNCTION("SPLIT(A710, "" |"")"),708.0)</f>
        <v>708</v>
      </c>
      <c r="H712" s="19">
        <f>IFERROR(__xludf.DUMMYFUNCTION("""COMPUTED_VALUE"""),0.00216)</f>
        <v>0.00216</v>
      </c>
      <c r="I712" s="19" t="str">
        <f>IFERROR(__xludf.DUMMYFUNCTION("""COMPUTED_VALUE"""),"-")</f>
        <v>-</v>
      </c>
      <c r="J712" s="19">
        <f>IFERROR(__xludf.DUMMYFUNCTION("""COMPUTED_VALUE"""),0.00201)</f>
        <v>0.00201</v>
      </c>
      <c r="K712" s="19">
        <f>IFERROR(__xludf.DUMMYFUNCTION("""COMPUTED_VALUE"""),0.03971)</f>
        <v>0.03971</v>
      </c>
      <c r="L712" s="19" t="str">
        <f>IFERROR(__xludf.DUMMYFUNCTION("""COMPUTED_VALUE"""),"-")</f>
        <v>-</v>
      </c>
      <c r="M712" s="19">
        <f>IFERROR(__xludf.DUMMYFUNCTION("""COMPUTED_VALUE"""),0.03976)</f>
        <v>0.03976</v>
      </c>
    </row>
    <row r="713">
      <c r="A713" s="12" t="s">
        <v>8603</v>
      </c>
      <c r="G713" s="19">
        <f>IFERROR(__xludf.DUMMYFUNCTION("SPLIT(A711, "" |"")"),709.0)</f>
        <v>709</v>
      </c>
      <c r="H713" s="19">
        <f>IFERROR(__xludf.DUMMYFUNCTION("""COMPUTED_VALUE"""),0.00203)</f>
        <v>0.00203</v>
      </c>
      <c r="I713" s="19" t="str">
        <f>IFERROR(__xludf.DUMMYFUNCTION("""COMPUTED_VALUE"""),"-")</f>
        <v>-</v>
      </c>
      <c r="J713" s="19">
        <f>IFERROR(__xludf.DUMMYFUNCTION("""COMPUTED_VALUE"""),0.00193)</f>
        <v>0.00193</v>
      </c>
      <c r="K713" s="19">
        <f>IFERROR(__xludf.DUMMYFUNCTION("""COMPUTED_VALUE"""),0.03964)</f>
        <v>0.03964</v>
      </c>
      <c r="L713" s="19" t="str">
        <f>IFERROR(__xludf.DUMMYFUNCTION("""COMPUTED_VALUE"""),"-")</f>
        <v>-</v>
      </c>
      <c r="M713" s="19">
        <f>IFERROR(__xludf.DUMMYFUNCTION("""COMPUTED_VALUE"""),0.03801)</f>
        <v>0.03801</v>
      </c>
    </row>
    <row r="714">
      <c r="A714" s="12" t="s">
        <v>8604</v>
      </c>
      <c r="G714" s="19">
        <f>IFERROR(__xludf.DUMMYFUNCTION("SPLIT(A712, "" |"")"),710.0)</f>
        <v>710</v>
      </c>
      <c r="H714" s="19">
        <f>IFERROR(__xludf.DUMMYFUNCTION("""COMPUTED_VALUE"""),0.00213)</f>
        <v>0.00213</v>
      </c>
      <c r="I714" s="19" t="str">
        <f>IFERROR(__xludf.DUMMYFUNCTION("""COMPUTED_VALUE"""),"-")</f>
        <v>-</v>
      </c>
      <c r="J714" s="19">
        <f>IFERROR(__xludf.DUMMYFUNCTION("""COMPUTED_VALUE"""),0.00186)</f>
        <v>0.00186</v>
      </c>
      <c r="K714" s="19">
        <f>IFERROR(__xludf.DUMMYFUNCTION("""COMPUTED_VALUE"""),0.03966)</f>
        <v>0.03966</v>
      </c>
      <c r="L714" s="19" t="str">
        <f>IFERROR(__xludf.DUMMYFUNCTION("""COMPUTED_VALUE"""),"-")</f>
        <v>-</v>
      </c>
      <c r="M714" s="19">
        <f>IFERROR(__xludf.DUMMYFUNCTION("""COMPUTED_VALUE"""),0.03984)</f>
        <v>0.03984</v>
      </c>
    </row>
    <row r="715">
      <c r="A715" s="12" t="s">
        <v>8605</v>
      </c>
      <c r="G715" s="19">
        <f>IFERROR(__xludf.DUMMYFUNCTION("SPLIT(A713, "" |"")"),711.0)</f>
        <v>711</v>
      </c>
      <c r="H715" s="19">
        <f>IFERROR(__xludf.DUMMYFUNCTION("""COMPUTED_VALUE"""),0.00211)</f>
        <v>0.00211</v>
      </c>
      <c r="I715" s="19" t="str">
        <f>IFERROR(__xludf.DUMMYFUNCTION("""COMPUTED_VALUE"""),"-")</f>
        <v>-</v>
      </c>
      <c r="J715" s="19">
        <f>IFERROR(__xludf.DUMMYFUNCTION("""COMPUTED_VALUE"""),0.00204)</f>
        <v>0.00204</v>
      </c>
      <c r="K715" s="19">
        <f>IFERROR(__xludf.DUMMYFUNCTION("""COMPUTED_VALUE"""),0.03975)</f>
        <v>0.03975</v>
      </c>
      <c r="L715" s="19" t="str">
        <f>IFERROR(__xludf.DUMMYFUNCTION("""COMPUTED_VALUE"""),"-")</f>
        <v>-</v>
      </c>
      <c r="M715" s="19">
        <f>IFERROR(__xludf.DUMMYFUNCTION("""COMPUTED_VALUE"""),0.03985)</f>
        <v>0.03985</v>
      </c>
    </row>
    <row r="716">
      <c r="A716" s="12" t="s">
        <v>8606</v>
      </c>
      <c r="G716" s="19">
        <f>IFERROR(__xludf.DUMMYFUNCTION("SPLIT(A714, "" |"")"),712.0)</f>
        <v>712</v>
      </c>
      <c r="H716" s="19">
        <f>IFERROR(__xludf.DUMMYFUNCTION("""COMPUTED_VALUE"""),0.00208)</f>
        <v>0.00208</v>
      </c>
      <c r="I716" s="19" t="str">
        <f>IFERROR(__xludf.DUMMYFUNCTION("""COMPUTED_VALUE"""),"-")</f>
        <v>-</v>
      </c>
      <c r="J716" s="19">
        <f>IFERROR(__xludf.DUMMYFUNCTION("""COMPUTED_VALUE"""),0.00199)</f>
        <v>0.00199</v>
      </c>
      <c r="K716" s="19">
        <f>IFERROR(__xludf.DUMMYFUNCTION("""COMPUTED_VALUE"""),0.03974)</f>
        <v>0.03974</v>
      </c>
      <c r="L716" s="19" t="str">
        <f>IFERROR(__xludf.DUMMYFUNCTION("""COMPUTED_VALUE"""),"-")</f>
        <v>-</v>
      </c>
      <c r="M716" s="19">
        <f>IFERROR(__xludf.DUMMYFUNCTION("""COMPUTED_VALUE"""),0.03988)</f>
        <v>0.03988</v>
      </c>
    </row>
    <row r="717">
      <c r="A717" s="12" t="s">
        <v>8607</v>
      </c>
      <c r="G717" s="19">
        <f>IFERROR(__xludf.DUMMYFUNCTION("SPLIT(A715, "" |"")"),713.0)</f>
        <v>713</v>
      </c>
      <c r="H717" s="19">
        <f>IFERROR(__xludf.DUMMYFUNCTION("""COMPUTED_VALUE"""),0.00214)</f>
        <v>0.00214</v>
      </c>
      <c r="I717" s="19" t="str">
        <f>IFERROR(__xludf.DUMMYFUNCTION("""COMPUTED_VALUE"""),"-")</f>
        <v>-</v>
      </c>
      <c r="J717" s="19">
        <f>IFERROR(__xludf.DUMMYFUNCTION("""COMPUTED_VALUE"""),0.00198)</f>
        <v>0.00198</v>
      </c>
      <c r="K717" s="19">
        <f>IFERROR(__xludf.DUMMYFUNCTION("""COMPUTED_VALUE"""),0.03968)</f>
        <v>0.03968</v>
      </c>
      <c r="L717" s="19" t="str">
        <f>IFERROR(__xludf.DUMMYFUNCTION("""COMPUTED_VALUE"""),"-")</f>
        <v>-</v>
      </c>
      <c r="M717" s="19">
        <f>IFERROR(__xludf.DUMMYFUNCTION("""COMPUTED_VALUE"""),0.03959)</f>
        <v>0.03959</v>
      </c>
    </row>
    <row r="718">
      <c r="A718" s="12" t="s">
        <v>8608</v>
      </c>
      <c r="G718" s="19">
        <f>IFERROR(__xludf.DUMMYFUNCTION("SPLIT(A716, "" |"")"),714.0)</f>
        <v>714</v>
      </c>
      <c r="H718" s="19">
        <f>IFERROR(__xludf.DUMMYFUNCTION("""COMPUTED_VALUE"""),0.00211)</f>
        <v>0.00211</v>
      </c>
      <c r="I718" s="19" t="str">
        <f>IFERROR(__xludf.DUMMYFUNCTION("""COMPUTED_VALUE"""),"-")</f>
        <v>-</v>
      </c>
      <c r="J718" s="19">
        <f>IFERROR(__xludf.DUMMYFUNCTION("""COMPUTED_VALUE"""),0.00197)</f>
        <v>0.00197</v>
      </c>
      <c r="K718" s="19">
        <f>IFERROR(__xludf.DUMMYFUNCTION("""COMPUTED_VALUE"""),0.03972)</f>
        <v>0.03972</v>
      </c>
      <c r="L718" s="19" t="str">
        <f>IFERROR(__xludf.DUMMYFUNCTION("""COMPUTED_VALUE"""),"-")</f>
        <v>-</v>
      </c>
      <c r="M718" s="19">
        <f>IFERROR(__xludf.DUMMYFUNCTION("""COMPUTED_VALUE"""),0.03982)</f>
        <v>0.03982</v>
      </c>
    </row>
    <row r="719">
      <c r="A719" s="12" t="s">
        <v>8609</v>
      </c>
      <c r="G719" s="19">
        <f>IFERROR(__xludf.DUMMYFUNCTION("SPLIT(A717, "" |"")"),715.0)</f>
        <v>715</v>
      </c>
      <c r="H719" s="19">
        <f>IFERROR(__xludf.DUMMYFUNCTION("""COMPUTED_VALUE"""),0.00206)</f>
        <v>0.00206</v>
      </c>
      <c r="I719" s="19" t="str">
        <f>IFERROR(__xludf.DUMMYFUNCTION("""COMPUTED_VALUE"""),"-")</f>
        <v>-</v>
      </c>
      <c r="J719" s="19">
        <f>IFERROR(__xludf.DUMMYFUNCTION("""COMPUTED_VALUE"""),0.00197)</f>
        <v>0.00197</v>
      </c>
      <c r="K719" s="19">
        <f>IFERROR(__xludf.DUMMYFUNCTION("""COMPUTED_VALUE"""),0.03975)</f>
        <v>0.03975</v>
      </c>
      <c r="L719" s="19" t="str">
        <f>IFERROR(__xludf.DUMMYFUNCTION("""COMPUTED_VALUE"""),"-")</f>
        <v>-</v>
      </c>
      <c r="M719" s="19">
        <f>IFERROR(__xludf.DUMMYFUNCTION("""COMPUTED_VALUE"""),0.03984)</f>
        <v>0.03984</v>
      </c>
    </row>
    <row r="720">
      <c r="A720" s="12" t="s">
        <v>8610</v>
      </c>
      <c r="G720" s="19">
        <f>IFERROR(__xludf.DUMMYFUNCTION("SPLIT(A718, "" |"")"),716.0)</f>
        <v>716</v>
      </c>
      <c r="H720" s="19">
        <f>IFERROR(__xludf.DUMMYFUNCTION("""COMPUTED_VALUE"""),0.00196)</f>
        <v>0.00196</v>
      </c>
      <c r="I720" s="19" t="str">
        <f>IFERROR(__xludf.DUMMYFUNCTION("""COMPUTED_VALUE"""),"-")</f>
        <v>-</v>
      </c>
      <c r="J720" s="19">
        <f>IFERROR(__xludf.DUMMYFUNCTION("""COMPUTED_VALUE"""),0.00183)</f>
        <v>0.00183</v>
      </c>
      <c r="K720" s="19">
        <f>IFERROR(__xludf.DUMMYFUNCTION("""COMPUTED_VALUE"""),0.03957)</f>
        <v>0.03957</v>
      </c>
      <c r="L720" s="19" t="str">
        <f>IFERROR(__xludf.DUMMYFUNCTION("""COMPUTED_VALUE"""),"-")</f>
        <v>-</v>
      </c>
      <c r="M720" s="19">
        <f>IFERROR(__xludf.DUMMYFUNCTION("""COMPUTED_VALUE"""),0.03983)</f>
        <v>0.03983</v>
      </c>
    </row>
    <row r="721">
      <c r="A721" s="12" t="s">
        <v>8611</v>
      </c>
      <c r="G721" s="19">
        <f>IFERROR(__xludf.DUMMYFUNCTION("SPLIT(A719, "" |"")"),717.0)</f>
        <v>717</v>
      </c>
      <c r="H721" s="19">
        <f>IFERROR(__xludf.DUMMYFUNCTION("""COMPUTED_VALUE"""),0.0021)</f>
        <v>0.0021</v>
      </c>
      <c r="I721" s="19" t="str">
        <f>IFERROR(__xludf.DUMMYFUNCTION("""COMPUTED_VALUE"""),"-")</f>
        <v>-</v>
      </c>
      <c r="J721" s="19">
        <f>IFERROR(__xludf.DUMMYFUNCTION("""COMPUTED_VALUE"""),0.00193)</f>
        <v>0.00193</v>
      </c>
      <c r="K721" s="19">
        <f>IFERROR(__xludf.DUMMYFUNCTION("""COMPUTED_VALUE"""),0.03968)</f>
        <v>0.03968</v>
      </c>
      <c r="L721" s="19" t="str">
        <f>IFERROR(__xludf.DUMMYFUNCTION("""COMPUTED_VALUE"""),"-")</f>
        <v>-</v>
      </c>
      <c r="M721" s="19">
        <f>IFERROR(__xludf.DUMMYFUNCTION("""COMPUTED_VALUE"""),0.0398)</f>
        <v>0.0398</v>
      </c>
    </row>
    <row r="722">
      <c r="A722" s="12" t="s">
        <v>8612</v>
      </c>
      <c r="G722" s="19">
        <f>IFERROR(__xludf.DUMMYFUNCTION("SPLIT(A720, "" |"")"),718.0)</f>
        <v>718</v>
      </c>
      <c r="H722" s="19">
        <f>IFERROR(__xludf.DUMMYFUNCTION("""COMPUTED_VALUE"""),0.00213)</f>
        <v>0.00213</v>
      </c>
      <c r="I722" s="19" t="str">
        <f>IFERROR(__xludf.DUMMYFUNCTION("""COMPUTED_VALUE"""),"-")</f>
        <v>-</v>
      </c>
      <c r="J722" s="19">
        <f>IFERROR(__xludf.DUMMYFUNCTION("""COMPUTED_VALUE"""),0.00198)</f>
        <v>0.00198</v>
      </c>
      <c r="K722" s="19">
        <f>IFERROR(__xludf.DUMMYFUNCTION("""COMPUTED_VALUE"""),0.03636)</f>
        <v>0.03636</v>
      </c>
      <c r="L722" s="19" t="str">
        <f>IFERROR(__xludf.DUMMYFUNCTION("""COMPUTED_VALUE"""),"-")</f>
        <v>-</v>
      </c>
      <c r="M722" s="19">
        <f>IFERROR(__xludf.DUMMYFUNCTION("""COMPUTED_VALUE"""),0.03972)</f>
        <v>0.03972</v>
      </c>
    </row>
    <row r="723">
      <c r="A723" s="12" t="s">
        <v>8613</v>
      </c>
      <c r="G723" s="19">
        <f>IFERROR(__xludf.DUMMYFUNCTION("SPLIT(A721, "" |"")"),719.0)</f>
        <v>719</v>
      </c>
      <c r="H723" s="19">
        <f>IFERROR(__xludf.DUMMYFUNCTION("""COMPUTED_VALUE"""),0.00197)</f>
        <v>0.00197</v>
      </c>
      <c r="I723" s="19" t="str">
        <f>IFERROR(__xludf.DUMMYFUNCTION("""COMPUTED_VALUE"""),"-")</f>
        <v>-</v>
      </c>
      <c r="J723" s="19">
        <f>IFERROR(__xludf.DUMMYFUNCTION("""COMPUTED_VALUE"""),0.00197)</f>
        <v>0.00197</v>
      </c>
      <c r="K723" s="19">
        <f>IFERROR(__xludf.DUMMYFUNCTION("""COMPUTED_VALUE"""),0.03957)</f>
        <v>0.03957</v>
      </c>
      <c r="L723" s="19" t="str">
        <f>IFERROR(__xludf.DUMMYFUNCTION("""COMPUTED_VALUE"""),"-")</f>
        <v>-</v>
      </c>
      <c r="M723" s="19">
        <f>IFERROR(__xludf.DUMMYFUNCTION("""COMPUTED_VALUE"""),0.03968)</f>
        <v>0.03968</v>
      </c>
    </row>
    <row r="724">
      <c r="A724" s="12" t="s">
        <v>8614</v>
      </c>
      <c r="G724" s="19">
        <f>IFERROR(__xludf.DUMMYFUNCTION("SPLIT(A722, "" |"")"),720.0)</f>
        <v>720</v>
      </c>
      <c r="H724" s="19">
        <f>IFERROR(__xludf.DUMMYFUNCTION("""COMPUTED_VALUE"""),0.00207)</f>
        <v>0.00207</v>
      </c>
      <c r="I724" s="19" t="str">
        <f>IFERROR(__xludf.DUMMYFUNCTION("""COMPUTED_VALUE"""),"-")</f>
        <v>-</v>
      </c>
      <c r="J724" s="19">
        <f>IFERROR(__xludf.DUMMYFUNCTION("""COMPUTED_VALUE"""),0.00196)</f>
        <v>0.00196</v>
      </c>
      <c r="K724" s="19">
        <f>IFERROR(__xludf.DUMMYFUNCTION("""COMPUTED_VALUE"""),0.03966)</f>
        <v>0.03966</v>
      </c>
      <c r="L724" s="19" t="str">
        <f>IFERROR(__xludf.DUMMYFUNCTION("""COMPUTED_VALUE"""),"-")</f>
        <v>-</v>
      </c>
      <c r="M724" s="19">
        <f>IFERROR(__xludf.DUMMYFUNCTION("""COMPUTED_VALUE"""),0.0394)</f>
        <v>0.0394</v>
      </c>
    </row>
    <row r="725">
      <c r="A725" s="12" t="s">
        <v>8615</v>
      </c>
      <c r="G725" s="19">
        <f>IFERROR(__xludf.DUMMYFUNCTION("SPLIT(A723, "" |"")"),721.0)</f>
        <v>721</v>
      </c>
      <c r="H725" s="19">
        <f>IFERROR(__xludf.DUMMYFUNCTION("""COMPUTED_VALUE"""),0.00209)</f>
        <v>0.00209</v>
      </c>
      <c r="I725" s="19" t="str">
        <f>IFERROR(__xludf.DUMMYFUNCTION("""COMPUTED_VALUE"""),"-")</f>
        <v>-</v>
      </c>
      <c r="J725" s="19">
        <f>IFERROR(__xludf.DUMMYFUNCTION("""COMPUTED_VALUE"""),0.00202)</f>
        <v>0.00202</v>
      </c>
      <c r="K725" s="19">
        <f>IFERROR(__xludf.DUMMYFUNCTION("""COMPUTED_VALUE"""),0.0401)</f>
        <v>0.0401</v>
      </c>
      <c r="L725" s="19" t="str">
        <f>IFERROR(__xludf.DUMMYFUNCTION("""COMPUTED_VALUE"""),"-")</f>
        <v>-</v>
      </c>
      <c r="M725" s="19">
        <f>IFERROR(__xludf.DUMMYFUNCTION("""COMPUTED_VALUE"""),0.03909)</f>
        <v>0.03909</v>
      </c>
    </row>
    <row r="726">
      <c r="A726" s="12" t="s">
        <v>8616</v>
      </c>
      <c r="G726" s="19">
        <f>IFERROR(__xludf.DUMMYFUNCTION("SPLIT(A724, "" |"")"),722.0)</f>
        <v>722</v>
      </c>
      <c r="H726" s="19">
        <f>IFERROR(__xludf.DUMMYFUNCTION("""COMPUTED_VALUE"""),0.00194)</f>
        <v>0.00194</v>
      </c>
      <c r="I726" s="19" t="str">
        <f>IFERROR(__xludf.DUMMYFUNCTION("""COMPUTED_VALUE"""),"-")</f>
        <v>-</v>
      </c>
      <c r="J726" s="19">
        <f>IFERROR(__xludf.DUMMYFUNCTION("""COMPUTED_VALUE"""),0.00186)</f>
        <v>0.00186</v>
      </c>
      <c r="K726" s="19">
        <f>IFERROR(__xludf.DUMMYFUNCTION("""COMPUTED_VALUE"""),0.03965)</f>
        <v>0.03965</v>
      </c>
      <c r="L726" s="19" t="str">
        <f>IFERROR(__xludf.DUMMYFUNCTION("""COMPUTED_VALUE"""),"-")</f>
        <v>-</v>
      </c>
      <c r="M726" s="19">
        <f>IFERROR(__xludf.DUMMYFUNCTION("""COMPUTED_VALUE"""),0.03863)</f>
        <v>0.03863</v>
      </c>
    </row>
    <row r="727">
      <c r="A727" s="12" t="s">
        <v>8617</v>
      </c>
      <c r="G727" s="19">
        <f>IFERROR(__xludf.DUMMYFUNCTION("SPLIT(A725, "" |"")"),723.0)</f>
        <v>723</v>
      </c>
      <c r="H727" s="19">
        <f>IFERROR(__xludf.DUMMYFUNCTION("""COMPUTED_VALUE"""),0.00234)</f>
        <v>0.00234</v>
      </c>
      <c r="I727" s="19" t="str">
        <f>IFERROR(__xludf.DUMMYFUNCTION("""COMPUTED_VALUE"""),"-")</f>
        <v>-</v>
      </c>
      <c r="J727" s="19">
        <f>IFERROR(__xludf.DUMMYFUNCTION("""COMPUTED_VALUE"""),0.00251)</f>
        <v>0.00251</v>
      </c>
      <c r="K727" s="19">
        <f>IFERROR(__xludf.DUMMYFUNCTION("""COMPUTED_VALUE"""),0.04)</f>
        <v>0.04</v>
      </c>
      <c r="L727" s="19" t="str">
        <f>IFERROR(__xludf.DUMMYFUNCTION("""COMPUTED_VALUE"""),"-")</f>
        <v>-</v>
      </c>
      <c r="M727" s="19">
        <f>IFERROR(__xludf.DUMMYFUNCTION("""COMPUTED_VALUE"""),0.04027)</f>
        <v>0.04027</v>
      </c>
    </row>
    <row r="728">
      <c r="A728" s="12" t="s">
        <v>8618</v>
      </c>
      <c r="G728" s="19">
        <f>IFERROR(__xludf.DUMMYFUNCTION("SPLIT(A726, "" |"")"),724.0)</f>
        <v>724</v>
      </c>
      <c r="H728" s="19">
        <f>IFERROR(__xludf.DUMMYFUNCTION("""COMPUTED_VALUE"""),0.00247)</f>
        <v>0.00247</v>
      </c>
      <c r="I728" s="19" t="str">
        <f>IFERROR(__xludf.DUMMYFUNCTION("""COMPUTED_VALUE"""),"-")</f>
        <v>-</v>
      </c>
      <c r="J728" s="19">
        <f>IFERROR(__xludf.DUMMYFUNCTION("""COMPUTED_VALUE"""),0.00236)</f>
        <v>0.00236</v>
      </c>
      <c r="K728" s="19">
        <f>IFERROR(__xludf.DUMMYFUNCTION("""COMPUTED_VALUE"""),0.03698)</f>
        <v>0.03698</v>
      </c>
      <c r="L728" s="19" t="str">
        <f>IFERROR(__xludf.DUMMYFUNCTION("""COMPUTED_VALUE"""),"-")</f>
        <v>-</v>
      </c>
      <c r="M728" s="19">
        <f>IFERROR(__xludf.DUMMYFUNCTION("""COMPUTED_VALUE"""),0.0721)</f>
        <v>0.0721</v>
      </c>
    </row>
    <row r="729">
      <c r="A729" s="12" t="s">
        <v>8619</v>
      </c>
      <c r="G729" s="19">
        <f>IFERROR(__xludf.DUMMYFUNCTION("SPLIT(A727, "" |"")"),725.0)</f>
        <v>725</v>
      </c>
      <c r="H729" s="19">
        <f>IFERROR(__xludf.DUMMYFUNCTION("""COMPUTED_VALUE"""),0.00232)</f>
        <v>0.00232</v>
      </c>
      <c r="I729" s="19" t="str">
        <f>IFERROR(__xludf.DUMMYFUNCTION("""COMPUTED_VALUE"""),"-")</f>
        <v>-</v>
      </c>
      <c r="J729" s="19">
        <f>IFERROR(__xludf.DUMMYFUNCTION("""COMPUTED_VALUE"""),0.0021)</f>
        <v>0.0021</v>
      </c>
      <c r="K729" s="19">
        <f>IFERROR(__xludf.DUMMYFUNCTION("""COMPUTED_VALUE"""),0.03988)</f>
        <v>0.03988</v>
      </c>
      <c r="L729" s="19" t="str">
        <f>IFERROR(__xludf.DUMMYFUNCTION("""COMPUTED_VALUE"""),"-")</f>
        <v>-</v>
      </c>
      <c r="M729" s="19">
        <f>IFERROR(__xludf.DUMMYFUNCTION("""COMPUTED_VALUE"""),0.03693)</f>
        <v>0.03693</v>
      </c>
    </row>
    <row r="730">
      <c r="A730" s="12" t="s">
        <v>8620</v>
      </c>
      <c r="G730" s="19">
        <f>IFERROR(__xludf.DUMMYFUNCTION("SPLIT(A728, "" |"")"),726.0)</f>
        <v>726</v>
      </c>
      <c r="H730" s="19">
        <f>IFERROR(__xludf.DUMMYFUNCTION("""COMPUTED_VALUE"""),0.00281)</f>
        <v>0.00281</v>
      </c>
      <c r="I730" s="19" t="str">
        <f>IFERROR(__xludf.DUMMYFUNCTION("""COMPUTED_VALUE"""),"-")</f>
        <v>-</v>
      </c>
      <c r="J730" s="19">
        <f>IFERROR(__xludf.DUMMYFUNCTION("""COMPUTED_VALUE"""),0.00222)</f>
        <v>0.00222</v>
      </c>
      <c r="K730" s="19">
        <f>IFERROR(__xludf.DUMMYFUNCTION("""COMPUTED_VALUE"""),0.04008)</f>
        <v>0.04008</v>
      </c>
      <c r="L730" s="19" t="str">
        <f>IFERROR(__xludf.DUMMYFUNCTION("""COMPUTED_VALUE"""),"-")</f>
        <v>-</v>
      </c>
      <c r="M730" s="19">
        <f>IFERROR(__xludf.DUMMYFUNCTION("""COMPUTED_VALUE"""),0.03581)</f>
        <v>0.03581</v>
      </c>
    </row>
    <row r="731">
      <c r="A731" s="12" t="s">
        <v>8621</v>
      </c>
      <c r="G731" s="19">
        <f>IFERROR(__xludf.DUMMYFUNCTION("SPLIT(A729, "" |"")"),727.0)</f>
        <v>727</v>
      </c>
      <c r="H731" s="19">
        <f>IFERROR(__xludf.DUMMYFUNCTION("""COMPUTED_VALUE"""),0.00275)</f>
        <v>0.00275</v>
      </c>
      <c r="I731" s="19" t="str">
        <f>IFERROR(__xludf.DUMMYFUNCTION("""COMPUTED_VALUE"""),"-")</f>
        <v>-</v>
      </c>
      <c r="J731" s="19">
        <f>IFERROR(__xludf.DUMMYFUNCTION("""COMPUTED_VALUE"""),0.00202)</f>
        <v>0.00202</v>
      </c>
      <c r="K731" s="19">
        <f>IFERROR(__xludf.DUMMYFUNCTION("""COMPUTED_VALUE"""),0.03989)</f>
        <v>0.03989</v>
      </c>
      <c r="L731" s="19" t="str">
        <f>IFERROR(__xludf.DUMMYFUNCTION("""COMPUTED_VALUE"""),"-")</f>
        <v>-</v>
      </c>
      <c r="M731" s="19">
        <f>IFERROR(__xludf.DUMMYFUNCTION("""COMPUTED_VALUE"""),0.03888)</f>
        <v>0.03888</v>
      </c>
    </row>
    <row r="732">
      <c r="A732" s="12" t="s">
        <v>8622</v>
      </c>
      <c r="G732" s="19">
        <f>IFERROR(__xludf.DUMMYFUNCTION("SPLIT(A730, "" |"")"),728.0)</f>
        <v>728</v>
      </c>
      <c r="H732" s="19">
        <f>IFERROR(__xludf.DUMMYFUNCTION("""COMPUTED_VALUE"""),0.00244)</f>
        <v>0.00244</v>
      </c>
      <c r="I732" s="19" t="str">
        <f>IFERROR(__xludf.DUMMYFUNCTION("""COMPUTED_VALUE"""),"-")</f>
        <v>-</v>
      </c>
      <c r="J732" s="19">
        <f>IFERROR(__xludf.DUMMYFUNCTION("""COMPUTED_VALUE"""),0.00214)</f>
        <v>0.00214</v>
      </c>
      <c r="K732" s="19">
        <f>IFERROR(__xludf.DUMMYFUNCTION("""COMPUTED_VALUE"""),0.03647)</f>
        <v>0.03647</v>
      </c>
      <c r="L732" s="19" t="str">
        <f>IFERROR(__xludf.DUMMYFUNCTION("""COMPUTED_VALUE"""),"-")</f>
        <v>-</v>
      </c>
      <c r="M732" s="19">
        <f>IFERROR(__xludf.DUMMYFUNCTION("""COMPUTED_VALUE"""),0.03996)</f>
        <v>0.03996</v>
      </c>
    </row>
    <row r="733">
      <c r="A733" s="12" t="s">
        <v>8623</v>
      </c>
      <c r="G733" s="19">
        <f>IFERROR(__xludf.DUMMYFUNCTION("SPLIT(A731, "" |"")"),729.0)</f>
        <v>729</v>
      </c>
      <c r="H733" s="19">
        <f>IFERROR(__xludf.DUMMYFUNCTION("""COMPUTED_VALUE"""),0.00236)</f>
        <v>0.00236</v>
      </c>
      <c r="I733" s="19" t="str">
        <f>IFERROR(__xludf.DUMMYFUNCTION("""COMPUTED_VALUE"""),"-")</f>
        <v>-</v>
      </c>
      <c r="J733" s="19">
        <f>IFERROR(__xludf.DUMMYFUNCTION("""COMPUTED_VALUE"""),0.00254)</f>
        <v>0.00254</v>
      </c>
      <c r="K733" s="19">
        <f>IFERROR(__xludf.DUMMYFUNCTION("""COMPUTED_VALUE"""),0.0388)</f>
        <v>0.0388</v>
      </c>
      <c r="L733" s="19" t="str">
        <f>IFERROR(__xludf.DUMMYFUNCTION("""COMPUTED_VALUE"""),"-")</f>
        <v>-</v>
      </c>
      <c r="M733" s="19">
        <f>IFERROR(__xludf.DUMMYFUNCTION("""COMPUTED_VALUE"""),0.04018)</f>
        <v>0.04018</v>
      </c>
    </row>
    <row r="734">
      <c r="A734" s="12" t="s">
        <v>8624</v>
      </c>
      <c r="G734" s="19">
        <f>IFERROR(__xludf.DUMMYFUNCTION("SPLIT(A732, "" |"")"),730.0)</f>
        <v>730</v>
      </c>
      <c r="H734" s="19">
        <f>IFERROR(__xludf.DUMMYFUNCTION("""COMPUTED_VALUE"""),0.00239)</f>
        <v>0.00239</v>
      </c>
      <c r="I734" s="19" t="str">
        <f>IFERROR(__xludf.DUMMYFUNCTION("""COMPUTED_VALUE"""),"-")</f>
        <v>-</v>
      </c>
      <c r="J734" s="19">
        <f>IFERROR(__xludf.DUMMYFUNCTION("""COMPUTED_VALUE"""),0.00257)</f>
        <v>0.00257</v>
      </c>
      <c r="K734" s="19">
        <f>IFERROR(__xludf.DUMMYFUNCTION("""COMPUTED_VALUE"""),0.03927)</f>
        <v>0.03927</v>
      </c>
      <c r="L734" s="19" t="str">
        <f>IFERROR(__xludf.DUMMYFUNCTION("""COMPUTED_VALUE"""),"-")</f>
        <v>-</v>
      </c>
      <c r="M734" s="19">
        <f>IFERROR(__xludf.DUMMYFUNCTION("""COMPUTED_VALUE"""),0.03865)</f>
        <v>0.03865</v>
      </c>
    </row>
    <row r="735">
      <c r="A735" s="12" t="s">
        <v>8625</v>
      </c>
      <c r="G735" s="19">
        <f>IFERROR(__xludf.DUMMYFUNCTION("SPLIT(A733, "" |"")"),731.0)</f>
        <v>731</v>
      </c>
      <c r="H735" s="19">
        <f>IFERROR(__xludf.DUMMYFUNCTION("""COMPUTED_VALUE"""),0.00235)</f>
        <v>0.00235</v>
      </c>
      <c r="I735" s="19" t="str">
        <f>IFERROR(__xludf.DUMMYFUNCTION("""COMPUTED_VALUE"""),"-")</f>
        <v>-</v>
      </c>
      <c r="J735" s="19">
        <f>IFERROR(__xludf.DUMMYFUNCTION("""COMPUTED_VALUE"""),0.00215)</f>
        <v>0.00215</v>
      </c>
      <c r="K735" s="19">
        <f>IFERROR(__xludf.DUMMYFUNCTION("""COMPUTED_VALUE"""),0.04035)</f>
        <v>0.04035</v>
      </c>
      <c r="L735" s="19" t="str">
        <f>IFERROR(__xludf.DUMMYFUNCTION("""COMPUTED_VALUE"""),"-")</f>
        <v>-</v>
      </c>
      <c r="M735" s="19">
        <f>IFERROR(__xludf.DUMMYFUNCTION("""COMPUTED_VALUE"""),0.04025)</f>
        <v>0.04025</v>
      </c>
    </row>
    <row r="736">
      <c r="A736" s="12" t="s">
        <v>8626</v>
      </c>
      <c r="G736" s="19">
        <f>IFERROR(__xludf.DUMMYFUNCTION("SPLIT(A734, "" |"")"),732.0)</f>
        <v>732</v>
      </c>
      <c r="H736" s="19">
        <f>IFERROR(__xludf.DUMMYFUNCTION("""COMPUTED_VALUE"""),0.00254)</f>
        <v>0.00254</v>
      </c>
      <c r="I736" s="19" t="str">
        <f>IFERROR(__xludf.DUMMYFUNCTION("""COMPUTED_VALUE"""),"-")</f>
        <v>-</v>
      </c>
      <c r="J736" s="19">
        <f>IFERROR(__xludf.DUMMYFUNCTION("""COMPUTED_VALUE"""),0.00225)</f>
        <v>0.00225</v>
      </c>
      <c r="K736" s="19">
        <f>IFERROR(__xludf.DUMMYFUNCTION("""COMPUTED_VALUE"""),0.03652)</f>
        <v>0.03652</v>
      </c>
      <c r="L736" s="19" t="str">
        <f>IFERROR(__xludf.DUMMYFUNCTION("""COMPUTED_VALUE"""),"-")</f>
        <v>-</v>
      </c>
      <c r="M736" s="19">
        <f>IFERROR(__xludf.DUMMYFUNCTION("""COMPUTED_VALUE"""),0.03515)</f>
        <v>0.03515</v>
      </c>
    </row>
    <row r="737">
      <c r="A737" s="12" t="s">
        <v>8627</v>
      </c>
      <c r="G737" s="19">
        <f>IFERROR(__xludf.DUMMYFUNCTION("SPLIT(A735, "" |"")"),733.0)</f>
        <v>733</v>
      </c>
      <c r="H737" s="19">
        <f>IFERROR(__xludf.DUMMYFUNCTION("""COMPUTED_VALUE"""),0.00223)</f>
        <v>0.00223</v>
      </c>
      <c r="I737" s="19" t="str">
        <f>IFERROR(__xludf.DUMMYFUNCTION("""COMPUTED_VALUE"""),"-")</f>
        <v>-</v>
      </c>
      <c r="J737" s="19">
        <f>IFERROR(__xludf.DUMMYFUNCTION("""COMPUTED_VALUE"""),0.00205)</f>
        <v>0.00205</v>
      </c>
      <c r="K737" s="19">
        <f>IFERROR(__xludf.DUMMYFUNCTION("""COMPUTED_VALUE"""),0.03668)</f>
        <v>0.03668</v>
      </c>
      <c r="L737" s="19" t="str">
        <f>IFERROR(__xludf.DUMMYFUNCTION("""COMPUTED_VALUE"""),"-")</f>
        <v>-</v>
      </c>
      <c r="M737" s="19">
        <f>IFERROR(__xludf.DUMMYFUNCTION("""COMPUTED_VALUE"""),0.04562)</f>
        <v>0.04562</v>
      </c>
    </row>
    <row r="738">
      <c r="A738" s="12" t="s">
        <v>8628</v>
      </c>
      <c r="G738" s="19">
        <f>IFERROR(__xludf.DUMMYFUNCTION("SPLIT(A736, "" |"")"),734.0)</f>
        <v>734</v>
      </c>
      <c r="H738" s="19">
        <f>IFERROR(__xludf.DUMMYFUNCTION("""COMPUTED_VALUE"""),0.00567)</f>
        <v>0.00567</v>
      </c>
      <c r="I738" s="19" t="str">
        <f>IFERROR(__xludf.DUMMYFUNCTION("""COMPUTED_VALUE"""),"-")</f>
        <v>-</v>
      </c>
      <c r="J738" s="19">
        <f>IFERROR(__xludf.DUMMYFUNCTION("""COMPUTED_VALUE"""),0.00235)</f>
        <v>0.00235</v>
      </c>
      <c r="K738" s="19">
        <f>IFERROR(__xludf.DUMMYFUNCTION("""COMPUTED_VALUE"""),0.09362)</f>
        <v>0.09362</v>
      </c>
      <c r="L738" s="19" t="str">
        <f>IFERROR(__xludf.DUMMYFUNCTION("""COMPUTED_VALUE"""),"-")</f>
        <v>-</v>
      </c>
      <c r="M738" s="19">
        <f>IFERROR(__xludf.DUMMYFUNCTION("""COMPUTED_VALUE"""),0.0403)</f>
        <v>0.0403</v>
      </c>
    </row>
    <row r="739">
      <c r="A739" s="12" t="s">
        <v>8629</v>
      </c>
      <c r="G739" s="19">
        <f>IFERROR(__xludf.DUMMYFUNCTION("SPLIT(A737, "" |"")"),735.0)</f>
        <v>735</v>
      </c>
      <c r="H739" s="19">
        <f>IFERROR(__xludf.DUMMYFUNCTION("""COMPUTED_VALUE"""),0.00237)</f>
        <v>0.00237</v>
      </c>
      <c r="I739" s="19" t="str">
        <f>IFERROR(__xludf.DUMMYFUNCTION("""COMPUTED_VALUE"""),"-")</f>
        <v>-</v>
      </c>
      <c r="J739" s="19">
        <f>IFERROR(__xludf.DUMMYFUNCTION("""COMPUTED_VALUE"""),0.00209)</f>
        <v>0.00209</v>
      </c>
      <c r="K739" s="19">
        <f>IFERROR(__xludf.DUMMYFUNCTION("""COMPUTED_VALUE"""),0.0379)</f>
        <v>0.0379</v>
      </c>
      <c r="L739" s="19" t="str">
        <f>IFERROR(__xludf.DUMMYFUNCTION("""COMPUTED_VALUE"""),"-")</f>
        <v>-</v>
      </c>
      <c r="M739" s="19">
        <f>IFERROR(__xludf.DUMMYFUNCTION("""COMPUTED_VALUE"""),0.04052)</f>
        <v>0.04052</v>
      </c>
    </row>
    <row r="740">
      <c r="A740" s="12" t="s">
        <v>8630</v>
      </c>
      <c r="G740" s="19">
        <f>IFERROR(__xludf.DUMMYFUNCTION("SPLIT(A738, "" |"")"),736.0)</f>
        <v>736</v>
      </c>
      <c r="H740" s="19">
        <f>IFERROR(__xludf.DUMMYFUNCTION("""COMPUTED_VALUE"""),0.00227)</f>
        <v>0.00227</v>
      </c>
      <c r="I740" s="19" t="str">
        <f>IFERROR(__xludf.DUMMYFUNCTION("""COMPUTED_VALUE"""),"-")</f>
        <v>-</v>
      </c>
      <c r="J740" s="19">
        <f>IFERROR(__xludf.DUMMYFUNCTION("""COMPUTED_VALUE"""),0.00193)</f>
        <v>0.00193</v>
      </c>
      <c r="K740" s="19">
        <f>IFERROR(__xludf.DUMMYFUNCTION("""COMPUTED_VALUE"""),0.03944)</f>
        <v>0.03944</v>
      </c>
      <c r="L740" s="19" t="str">
        <f>IFERROR(__xludf.DUMMYFUNCTION("""COMPUTED_VALUE"""),"-")</f>
        <v>-</v>
      </c>
      <c r="M740" s="19">
        <f>IFERROR(__xludf.DUMMYFUNCTION("""COMPUTED_VALUE"""),0.04015)</f>
        <v>0.04015</v>
      </c>
    </row>
    <row r="741">
      <c r="A741" s="12" t="s">
        <v>8631</v>
      </c>
      <c r="G741" s="19">
        <f>IFERROR(__xludf.DUMMYFUNCTION("SPLIT(A739, "" |"")"),737.0)</f>
        <v>737</v>
      </c>
      <c r="H741" s="19">
        <f>IFERROR(__xludf.DUMMYFUNCTION("""COMPUTED_VALUE"""),0.00224)</f>
        <v>0.00224</v>
      </c>
      <c r="I741" s="19" t="str">
        <f>IFERROR(__xludf.DUMMYFUNCTION("""COMPUTED_VALUE"""),"-")</f>
        <v>-</v>
      </c>
      <c r="J741" s="19">
        <f>IFERROR(__xludf.DUMMYFUNCTION("""COMPUTED_VALUE"""),0.00209)</f>
        <v>0.00209</v>
      </c>
      <c r="K741" s="19">
        <f>IFERROR(__xludf.DUMMYFUNCTION("""COMPUTED_VALUE"""),0.03963)</f>
        <v>0.03963</v>
      </c>
      <c r="L741" s="19" t="str">
        <f>IFERROR(__xludf.DUMMYFUNCTION("""COMPUTED_VALUE"""),"-")</f>
        <v>-</v>
      </c>
      <c r="M741" s="19">
        <f>IFERROR(__xludf.DUMMYFUNCTION("""COMPUTED_VALUE"""),0.03838)</f>
        <v>0.03838</v>
      </c>
    </row>
    <row r="742">
      <c r="A742" s="12" t="s">
        <v>8632</v>
      </c>
      <c r="G742" s="19">
        <f>IFERROR(__xludf.DUMMYFUNCTION("SPLIT(A740, "" |"")"),738.0)</f>
        <v>738</v>
      </c>
      <c r="H742" s="19">
        <f>IFERROR(__xludf.DUMMYFUNCTION("""COMPUTED_VALUE"""),0.00238)</f>
        <v>0.00238</v>
      </c>
      <c r="I742" s="19" t="str">
        <f>IFERROR(__xludf.DUMMYFUNCTION("""COMPUTED_VALUE"""),"-")</f>
        <v>-</v>
      </c>
      <c r="J742" s="19">
        <f>IFERROR(__xludf.DUMMYFUNCTION("""COMPUTED_VALUE"""),0.00203)</f>
        <v>0.00203</v>
      </c>
      <c r="K742" s="19">
        <f>IFERROR(__xludf.DUMMYFUNCTION("""COMPUTED_VALUE"""),0.03965)</f>
        <v>0.03965</v>
      </c>
      <c r="L742" s="19" t="str">
        <f>IFERROR(__xludf.DUMMYFUNCTION("""COMPUTED_VALUE"""),"-")</f>
        <v>-</v>
      </c>
      <c r="M742" s="19">
        <f>IFERROR(__xludf.DUMMYFUNCTION("""COMPUTED_VALUE"""),0.03916)</f>
        <v>0.03916</v>
      </c>
    </row>
    <row r="743">
      <c r="A743" s="12" t="s">
        <v>8633</v>
      </c>
      <c r="G743" s="19">
        <f>IFERROR(__xludf.DUMMYFUNCTION("SPLIT(A741, "" |"")"),739.0)</f>
        <v>739</v>
      </c>
      <c r="H743" s="19">
        <f>IFERROR(__xludf.DUMMYFUNCTION("""COMPUTED_VALUE"""),0.00227)</f>
        <v>0.00227</v>
      </c>
      <c r="I743" s="19" t="str">
        <f>IFERROR(__xludf.DUMMYFUNCTION("""COMPUTED_VALUE"""),"-")</f>
        <v>-</v>
      </c>
      <c r="J743" s="19">
        <f>IFERROR(__xludf.DUMMYFUNCTION("""COMPUTED_VALUE"""),0.00206)</f>
        <v>0.00206</v>
      </c>
      <c r="K743" s="19">
        <f>IFERROR(__xludf.DUMMYFUNCTION("""COMPUTED_VALUE"""),0.03869)</f>
        <v>0.03869</v>
      </c>
      <c r="L743" s="19" t="str">
        <f>IFERROR(__xludf.DUMMYFUNCTION("""COMPUTED_VALUE"""),"-")</f>
        <v>-</v>
      </c>
      <c r="M743" s="19">
        <f>IFERROR(__xludf.DUMMYFUNCTION("""COMPUTED_VALUE"""),0.03993)</f>
        <v>0.03993</v>
      </c>
    </row>
    <row r="744">
      <c r="A744" s="12" t="s">
        <v>8634</v>
      </c>
      <c r="G744" s="19">
        <f>IFERROR(__xludf.DUMMYFUNCTION("SPLIT(A742, "" |"")"),740.0)</f>
        <v>740</v>
      </c>
      <c r="H744" s="19">
        <f>IFERROR(__xludf.DUMMYFUNCTION("""COMPUTED_VALUE"""),0.0022)</f>
        <v>0.0022</v>
      </c>
      <c r="I744" s="19" t="str">
        <f>IFERROR(__xludf.DUMMYFUNCTION("""COMPUTED_VALUE"""),"-")</f>
        <v>-</v>
      </c>
      <c r="J744" s="19">
        <f>IFERROR(__xludf.DUMMYFUNCTION("""COMPUTED_VALUE"""),0.00204)</f>
        <v>0.00204</v>
      </c>
      <c r="K744" s="19">
        <f>IFERROR(__xludf.DUMMYFUNCTION("""COMPUTED_VALUE"""),0.0402)</f>
        <v>0.0402</v>
      </c>
      <c r="L744" s="19" t="str">
        <f>IFERROR(__xludf.DUMMYFUNCTION("""COMPUTED_VALUE"""),"-")</f>
        <v>-</v>
      </c>
      <c r="M744" s="19">
        <f>IFERROR(__xludf.DUMMYFUNCTION("""COMPUTED_VALUE"""),0.03872)</f>
        <v>0.03872</v>
      </c>
    </row>
    <row r="745">
      <c r="A745" s="12" t="s">
        <v>8635</v>
      </c>
      <c r="G745" s="19">
        <f>IFERROR(__xludf.DUMMYFUNCTION("SPLIT(A743, "" |"")"),741.0)</f>
        <v>741</v>
      </c>
      <c r="H745" s="19">
        <f>IFERROR(__xludf.DUMMYFUNCTION("""COMPUTED_VALUE"""),0.00229)</f>
        <v>0.00229</v>
      </c>
      <c r="I745" s="19" t="str">
        <f>IFERROR(__xludf.DUMMYFUNCTION("""COMPUTED_VALUE"""),"-")</f>
        <v>-</v>
      </c>
      <c r="J745" s="19">
        <f>IFERROR(__xludf.DUMMYFUNCTION("""COMPUTED_VALUE"""),0.00203)</f>
        <v>0.00203</v>
      </c>
      <c r="K745" s="19">
        <f>IFERROR(__xludf.DUMMYFUNCTION("""COMPUTED_VALUE"""),0.03966)</f>
        <v>0.03966</v>
      </c>
      <c r="L745" s="19" t="str">
        <f>IFERROR(__xludf.DUMMYFUNCTION("""COMPUTED_VALUE"""),"-")</f>
        <v>-</v>
      </c>
      <c r="M745" s="19">
        <f>IFERROR(__xludf.DUMMYFUNCTION("""COMPUTED_VALUE"""),0.0399)</f>
        <v>0.0399</v>
      </c>
    </row>
    <row r="746">
      <c r="A746" s="12" t="s">
        <v>8636</v>
      </c>
      <c r="G746" s="19">
        <f>IFERROR(__xludf.DUMMYFUNCTION("SPLIT(A744, "" |"")"),742.0)</f>
        <v>742</v>
      </c>
      <c r="H746" s="19">
        <f>IFERROR(__xludf.DUMMYFUNCTION("""COMPUTED_VALUE"""),0.00224)</f>
        <v>0.00224</v>
      </c>
      <c r="I746" s="19" t="str">
        <f>IFERROR(__xludf.DUMMYFUNCTION("""COMPUTED_VALUE"""),"-")</f>
        <v>-</v>
      </c>
      <c r="J746" s="19">
        <f>IFERROR(__xludf.DUMMYFUNCTION("""COMPUTED_VALUE"""),0.00207)</f>
        <v>0.00207</v>
      </c>
      <c r="K746" s="19">
        <f>IFERROR(__xludf.DUMMYFUNCTION("""COMPUTED_VALUE"""),0.03953)</f>
        <v>0.03953</v>
      </c>
      <c r="L746" s="19" t="str">
        <f>IFERROR(__xludf.DUMMYFUNCTION("""COMPUTED_VALUE"""),"-")</f>
        <v>-</v>
      </c>
      <c r="M746" s="19">
        <f>IFERROR(__xludf.DUMMYFUNCTION("""COMPUTED_VALUE"""),0.03995)</f>
        <v>0.03995</v>
      </c>
    </row>
    <row r="747">
      <c r="A747" s="12" t="s">
        <v>8637</v>
      </c>
      <c r="G747" s="19">
        <f>IFERROR(__xludf.DUMMYFUNCTION("SPLIT(A745, "" |"")"),743.0)</f>
        <v>743</v>
      </c>
      <c r="H747" s="19">
        <f>IFERROR(__xludf.DUMMYFUNCTION("""COMPUTED_VALUE"""),0.00218)</f>
        <v>0.00218</v>
      </c>
      <c r="I747" s="19" t="str">
        <f>IFERROR(__xludf.DUMMYFUNCTION("""COMPUTED_VALUE"""),"-")</f>
        <v>-</v>
      </c>
      <c r="J747" s="19">
        <f>IFERROR(__xludf.DUMMYFUNCTION("""COMPUTED_VALUE"""),0.00213)</f>
        <v>0.00213</v>
      </c>
      <c r="K747" s="19">
        <f>IFERROR(__xludf.DUMMYFUNCTION("""COMPUTED_VALUE"""),0.03918)</f>
        <v>0.03918</v>
      </c>
      <c r="L747" s="19" t="str">
        <f>IFERROR(__xludf.DUMMYFUNCTION("""COMPUTED_VALUE"""),"-")</f>
        <v>-</v>
      </c>
      <c r="M747" s="19">
        <f>IFERROR(__xludf.DUMMYFUNCTION("""COMPUTED_VALUE"""),0.03831)</f>
        <v>0.03831</v>
      </c>
    </row>
    <row r="748">
      <c r="A748" s="12" t="s">
        <v>8638</v>
      </c>
      <c r="G748" s="19">
        <f>IFERROR(__xludf.DUMMYFUNCTION("SPLIT(A746, "" |"")"),744.0)</f>
        <v>744</v>
      </c>
      <c r="H748" s="19">
        <f>IFERROR(__xludf.DUMMYFUNCTION("""COMPUTED_VALUE"""),0.00233)</f>
        <v>0.00233</v>
      </c>
      <c r="I748" s="19" t="str">
        <f>IFERROR(__xludf.DUMMYFUNCTION("""COMPUTED_VALUE"""),"-")</f>
        <v>-</v>
      </c>
      <c r="J748" s="19">
        <f>IFERROR(__xludf.DUMMYFUNCTION("""COMPUTED_VALUE"""),0.00196)</f>
        <v>0.00196</v>
      </c>
      <c r="K748" s="19">
        <f>IFERROR(__xludf.DUMMYFUNCTION("""COMPUTED_VALUE"""),0.04005)</f>
        <v>0.04005</v>
      </c>
      <c r="L748" s="19" t="str">
        <f>IFERROR(__xludf.DUMMYFUNCTION("""COMPUTED_VALUE"""),"-")</f>
        <v>-</v>
      </c>
      <c r="M748" s="19">
        <f>IFERROR(__xludf.DUMMYFUNCTION("""COMPUTED_VALUE"""),0.04043)</f>
        <v>0.04043</v>
      </c>
    </row>
    <row r="749">
      <c r="A749" s="12" t="s">
        <v>8639</v>
      </c>
      <c r="G749" s="19">
        <f>IFERROR(__xludf.DUMMYFUNCTION("SPLIT(A747, "" |"")"),745.0)</f>
        <v>745</v>
      </c>
      <c r="H749" s="19">
        <f>IFERROR(__xludf.DUMMYFUNCTION("""COMPUTED_VALUE"""),0.0021)</f>
        <v>0.0021</v>
      </c>
      <c r="I749" s="19" t="str">
        <f>IFERROR(__xludf.DUMMYFUNCTION("""COMPUTED_VALUE"""),"-")</f>
        <v>-</v>
      </c>
      <c r="J749" s="19">
        <f>IFERROR(__xludf.DUMMYFUNCTION("""COMPUTED_VALUE"""),0.002)</f>
        <v>0.002</v>
      </c>
      <c r="K749" s="19">
        <f>IFERROR(__xludf.DUMMYFUNCTION("""COMPUTED_VALUE"""),0.04011)</f>
        <v>0.04011</v>
      </c>
      <c r="L749" s="19" t="str">
        <f>IFERROR(__xludf.DUMMYFUNCTION("""COMPUTED_VALUE"""),"-")</f>
        <v>-</v>
      </c>
      <c r="M749" s="19">
        <f>IFERROR(__xludf.DUMMYFUNCTION("""COMPUTED_VALUE"""),0.04048)</f>
        <v>0.04048</v>
      </c>
    </row>
    <row r="750">
      <c r="A750" s="12" t="s">
        <v>8640</v>
      </c>
      <c r="G750" s="19">
        <f>IFERROR(__xludf.DUMMYFUNCTION("SPLIT(A748, "" |"")"),746.0)</f>
        <v>746</v>
      </c>
      <c r="H750" s="19">
        <f>IFERROR(__xludf.DUMMYFUNCTION("""COMPUTED_VALUE"""),0.00218)</f>
        <v>0.00218</v>
      </c>
      <c r="I750" s="19" t="str">
        <f>IFERROR(__xludf.DUMMYFUNCTION("""COMPUTED_VALUE"""),"-")</f>
        <v>-</v>
      </c>
      <c r="J750" s="19">
        <f>IFERROR(__xludf.DUMMYFUNCTION("""COMPUTED_VALUE"""),0.00195)</f>
        <v>0.00195</v>
      </c>
      <c r="K750" s="19">
        <f>IFERROR(__xludf.DUMMYFUNCTION("""COMPUTED_VALUE"""),0.03968)</f>
        <v>0.03968</v>
      </c>
      <c r="L750" s="19" t="str">
        <f>IFERROR(__xludf.DUMMYFUNCTION("""COMPUTED_VALUE"""),"-")</f>
        <v>-</v>
      </c>
      <c r="M750" s="19">
        <f>IFERROR(__xludf.DUMMYFUNCTION("""COMPUTED_VALUE"""),0.03984)</f>
        <v>0.03984</v>
      </c>
    </row>
    <row r="751">
      <c r="A751" s="12" t="s">
        <v>8641</v>
      </c>
      <c r="G751" s="19">
        <f>IFERROR(__xludf.DUMMYFUNCTION("SPLIT(A749, "" |"")"),747.0)</f>
        <v>747</v>
      </c>
      <c r="H751" s="19">
        <f>IFERROR(__xludf.DUMMYFUNCTION("""COMPUTED_VALUE"""),0.00222)</f>
        <v>0.00222</v>
      </c>
      <c r="I751" s="19" t="str">
        <f>IFERROR(__xludf.DUMMYFUNCTION("""COMPUTED_VALUE"""),"-")</f>
        <v>-</v>
      </c>
      <c r="J751" s="19">
        <f>IFERROR(__xludf.DUMMYFUNCTION("""COMPUTED_VALUE"""),0.00197)</f>
        <v>0.00197</v>
      </c>
      <c r="K751" s="19">
        <f>IFERROR(__xludf.DUMMYFUNCTION("""COMPUTED_VALUE"""),0.04005)</f>
        <v>0.04005</v>
      </c>
      <c r="L751" s="19" t="str">
        <f>IFERROR(__xludf.DUMMYFUNCTION("""COMPUTED_VALUE"""),"-")</f>
        <v>-</v>
      </c>
      <c r="M751" s="19">
        <f>IFERROR(__xludf.DUMMYFUNCTION("""COMPUTED_VALUE"""),0.03813)</f>
        <v>0.03813</v>
      </c>
    </row>
    <row r="752">
      <c r="A752" s="12" t="s">
        <v>8642</v>
      </c>
      <c r="G752" s="19">
        <f>IFERROR(__xludf.DUMMYFUNCTION("SPLIT(A750, "" |"")"),748.0)</f>
        <v>748</v>
      </c>
      <c r="H752" s="19">
        <f>IFERROR(__xludf.DUMMYFUNCTION("""COMPUTED_VALUE"""),0.00428)</f>
        <v>0.00428</v>
      </c>
      <c r="I752" s="19" t="str">
        <f>IFERROR(__xludf.DUMMYFUNCTION("""COMPUTED_VALUE"""),"-")</f>
        <v>-</v>
      </c>
      <c r="J752" s="19">
        <f>IFERROR(__xludf.DUMMYFUNCTION("""COMPUTED_VALUE"""),0.00352)</f>
        <v>0.00352</v>
      </c>
      <c r="K752" s="19">
        <f>IFERROR(__xludf.DUMMYFUNCTION("""COMPUTED_VALUE"""),0.0566)</f>
        <v>0.0566</v>
      </c>
      <c r="L752" s="19" t="str">
        <f>IFERROR(__xludf.DUMMYFUNCTION("""COMPUTED_VALUE"""),"-")</f>
        <v>-</v>
      </c>
      <c r="M752" s="19">
        <f>IFERROR(__xludf.DUMMYFUNCTION("""COMPUTED_VALUE"""),0.04231)</f>
        <v>0.04231</v>
      </c>
    </row>
    <row r="753">
      <c r="A753" s="12" t="s">
        <v>8643</v>
      </c>
      <c r="G753" s="19">
        <f>IFERROR(__xludf.DUMMYFUNCTION("SPLIT(A751, "" |"")"),749.0)</f>
        <v>749</v>
      </c>
      <c r="H753" s="19">
        <f>IFERROR(__xludf.DUMMYFUNCTION("""COMPUTED_VALUE"""),0.00231)</f>
        <v>0.00231</v>
      </c>
      <c r="I753" s="19" t="str">
        <f>IFERROR(__xludf.DUMMYFUNCTION("""COMPUTED_VALUE"""),"-")</f>
        <v>-</v>
      </c>
      <c r="J753" s="19">
        <f>IFERROR(__xludf.DUMMYFUNCTION("""COMPUTED_VALUE"""),0.00205)</f>
        <v>0.00205</v>
      </c>
      <c r="K753" s="19">
        <f>IFERROR(__xludf.DUMMYFUNCTION("""COMPUTED_VALUE"""),0.03974)</f>
        <v>0.03974</v>
      </c>
      <c r="L753" s="19" t="str">
        <f>IFERROR(__xludf.DUMMYFUNCTION("""COMPUTED_VALUE"""),"-")</f>
        <v>-</v>
      </c>
      <c r="M753" s="19">
        <f>IFERROR(__xludf.DUMMYFUNCTION("""COMPUTED_VALUE"""),0.03904)</f>
        <v>0.03904</v>
      </c>
    </row>
    <row r="754">
      <c r="A754" s="12" t="s">
        <v>8644</v>
      </c>
      <c r="G754" s="19">
        <f>IFERROR(__xludf.DUMMYFUNCTION("SPLIT(A752, "" |"")"),750.0)</f>
        <v>750</v>
      </c>
      <c r="H754" s="19">
        <f>IFERROR(__xludf.DUMMYFUNCTION("""COMPUTED_VALUE"""),0.00234)</f>
        <v>0.00234</v>
      </c>
      <c r="I754" s="19" t="str">
        <f>IFERROR(__xludf.DUMMYFUNCTION("""COMPUTED_VALUE"""),"-")</f>
        <v>-</v>
      </c>
      <c r="J754" s="19">
        <f>IFERROR(__xludf.DUMMYFUNCTION("""COMPUTED_VALUE"""),0.00206)</f>
        <v>0.00206</v>
      </c>
      <c r="K754" s="19">
        <f>IFERROR(__xludf.DUMMYFUNCTION("""COMPUTED_VALUE"""),0.03719)</f>
        <v>0.03719</v>
      </c>
      <c r="L754" s="19" t="str">
        <f>IFERROR(__xludf.DUMMYFUNCTION("""COMPUTED_VALUE"""),"-")</f>
        <v>-</v>
      </c>
      <c r="M754" s="19">
        <f>IFERROR(__xludf.DUMMYFUNCTION("""COMPUTED_VALUE"""),0.04022)</f>
        <v>0.04022</v>
      </c>
    </row>
    <row r="755">
      <c r="A755" s="12" t="s">
        <v>8645</v>
      </c>
      <c r="G755" s="19">
        <f>IFERROR(__xludf.DUMMYFUNCTION("SPLIT(A753, "" |"")"),751.0)</f>
        <v>751</v>
      </c>
      <c r="H755" s="19">
        <f>IFERROR(__xludf.DUMMYFUNCTION("""COMPUTED_VALUE"""),0.0024)</f>
        <v>0.0024</v>
      </c>
      <c r="I755" s="19" t="str">
        <f>IFERROR(__xludf.DUMMYFUNCTION("""COMPUTED_VALUE"""),"-")</f>
        <v>-</v>
      </c>
      <c r="J755" s="19">
        <f>IFERROR(__xludf.DUMMYFUNCTION("""COMPUTED_VALUE"""),0.00216)</f>
        <v>0.00216</v>
      </c>
      <c r="K755" s="19">
        <f>IFERROR(__xludf.DUMMYFUNCTION("""COMPUTED_VALUE"""),0.03954)</f>
        <v>0.03954</v>
      </c>
      <c r="L755" s="19" t="str">
        <f>IFERROR(__xludf.DUMMYFUNCTION("""COMPUTED_VALUE"""),"-")</f>
        <v>-</v>
      </c>
      <c r="M755" s="19">
        <f>IFERROR(__xludf.DUMMYFUNCTION("""COMPUTED_VALUE"""),0.03834)</f>
        <v>0.03834</v>
      </c>
    </row>
    <row r="756">
      <c r="A756" s="12" t="s">
        <v>8646</v>
      </c>
      <c r="G756" s="19">
        <f>IFERROR(__xludf.DUMMYFUNCTION("SPLIT(A754, "" |"")"),752.0)</f>
        <v>752</v>
      </c>
      <c r="H756" s="19">
        <f>IFERROR(__xludf.DUMMYFUNCTION("""COMPUTED_VALUE"""),0.00228)</f>
        <v>0.00228</v>
      </c>
      <c r="I756" s="19" t="str">
        <f>IFERROR(__xludf.DUMMYFUNCTION("""COMPUTED_VALUE"""),"-")</f>
        <v>-</v>
      </c>
      <c r="J756" s="19">
        <f>IFERROR(__xludf.DUMMYFUNCTION("""COMPUTED_VALUE"""),0.00206)</f>
        <v>0.00206</v>
      </c>
      <c r="K756" s="19">
        <f>IFERROR(__xludf.DUMMYFUNCTION("""COMPUTED_VALUE"""),0.03977)</f>
        <v>0.03977</v>
      </c>
      <c r="L756" s="19" t="str">
        <f>IFERROR(__xludf.DUMMYFUNCTION("""COMPUTED_VALUE"""),"-")</f>
        <v>-</v>
      </c>
      <c r="M756" s="19">
        <f>IFERROR(__xludf.DUMMYFUNCTION("""COMPUTED_VALUE"""),0.039)</f>
        <v>0.039</v>
      </c>
    </row>
    <row r="757">
      <c r="A757" s="12" t="s">
        <v>8647</v>
      </c>
      <c r="G757" s="19">
        <f>IFERROR(__xludf.DUMMYFUNCTION("SPLIT(A755, "" |"")"),753.0)</f>
        <v>753</v>
      </c>
      <c r="H757" s="19">
        <f>IFERROR(__xludf.DUMMYFUNCTION("""COMPUTED_VALUE"""),0.00194)</f>
        <v>0.00194</v>
      </c>
      <c r="I757" s="19" t="str">
        <f>IFERROR(__xludf.DUMMYFUNCTION("""COMPUTED_VALUE"""),"-")</f>
        <v>-</v>
      </c>
      <c r="J757" s="19">
        <f>IFERROR(__xludf.DUMMYFUNCTION("""COMPUTED_VALUE"""),0.0019)</f>
        <v>0.0019</v>
      </c>
      <c r="K757" s="19">
        <f>IFERROR(__xludf.DUMMYFUNCTION("""COMPUTED_VALUE"""),0.03896)</f>
        <v>0.03896</v>
      </c>
      <c r="L757" s="19" t="str">
        <f>IFERROR(__xludf.DUMMYFUNCTION("""COMPUTED_VALUE"""),"-")</f>
        <v>-</v>
      </c>
      <c r="M757" s="19">
        <f>IFERROR(__xludf.DUMMYFUNCTION("""COMPUTED_VALUE"""),0.04067)</f>
        <v>0.04067</v>
      </c>
    </row>
    <row r="758">
      <c r="A758" s="12" t="s">
        <v>8648</v>
      </c>
      <c r="G758" s="19">
        <f>IFERROR(__xludf.DUMMYFUNCTION("SPLIT(A756, "" |"")"),754.0)</f>
        <v>754</v>
      </c>
      <c r="H758" s="19">
        <f>IFERROR(__xludf.DUMMYFUNCTION("""COMPUTED_VALUE"""),0.0022)</f>
        <v>0.0022</v>
      </c>
      <c r="I758" s="19" t="str">
        <f>IFERROR(__xludf.DUMMYFUNCTION("""COMPUTED_VALUE"""),"-")</f>
        <v>-</v>
      </c>
      <c r="J758" s="19">
        <f>IFERROR(__xludf.DUMMYFUNCTION("""COMPUTED_VALUE"""),0.00202)</f>
        <v>0.00202</v>
      </c>
      <c r="K758" s="19">
        <f>IFERROR(__xludf.DUMMYFUNCTION("""COMPUTED_VALUE"""),0.03691)</f>
        <v>0.03691</v>
      </c>
      <c r="L758" s="19" t="str">
        <f>IFERROR(__xludf.DUMMYFUNCTION("""COMPUTED_VALUE"""),"-")</f>
        <v>-</v>
      </c>
      <c r="M758" s="19">
        <f>IFERROR(__xludf.DUMMYFUNCTION("""COMPUTED_VALUE"""),0.03996)</f>
        <v>0.03996</v>
      </c>
    </row>
    <row r="759">
      <c r="A759" s="12" t="s">
        <v>8649</v>
      </c>
      <c r="G759" s="19">
        <f>IFERROR(__xludf.DUMMYFUNCTION("SPLIT(A757, "" |"")"),755.0)</f>
        <v>755</v>
      </c>
      <c r="H759" s="19">
        <f>IFERROR(__xludf.DUMMYFUNCTION("""COMPUTED_VALUE"""),0.00219)</f>
        <v>0.00219</v>
      </c>
      <c r="I759" s="19" t="str">
        <f>IFERROR(__xludf.DUMMYFUNCTION("""COMPUTED_VALUE"""),"-")</f>
        <v>-</v>
      </c>
      <c r="J759" s="19">
        <f>IFERROR(__xludf.DUMMYFUNCTION("""COMPUTED_VALUE"""),0.00192)</f>
        <v>0.00192</v>
      </c>
      <c r="K759" s="19">
        <f>IFERROR(__xludf.DUMMYFUNCTION("""COMPUTED_VALUE"""),0.03923)</f>
        <v>0.03923</v>
      </c>
      <c r="L759" s="19" t="str">
        <f>IFERROR(__xludf.DUMMYFUNCTION("""COMPUTED_VALUE"""),"-")</f>
        <v>-</v>
      </c>
      <c r="M759" s="19">
        <f>IFERROR(__xludf.DUMMYFUNCTION("""COMPUTED_VALUE"""),0.03751)</f>
        <v>0.03751</v>
      </c>
    </row>
    <row r="760">
      <c r="A760" s="12" t="s">
        <v>8650</v>
      </c>
      <c r="G760" s="19">
        <f>IFERROR(__xludf.DUMMYFUNCTION("SPLIT(A758, "" |"")"),756.0)</f>
        <v>756</v>
      </c>
      <c r="H760" s="19">
        <f>IFERROR(__xludf.DUMMYFUNCTION("""COMPUTED_VALUE"""),0.00223)</f>
        <v>0.00223</v>
      </c>
      <c r="I760" s="19" t="str">
        <f>IFERROR(__xludf.DUMMYFUNCTION("""COMPUTED_VALUE"""),"-")</f>
        <v>-</v>
      </c>
      <c r="J760" s="19">
        <f>IFERROR(__xludf.DUMMYFUNCTION("""COMPUTED_VALUE"""),0.00204)</f>
        <v>0.00204</v>
      </c>
      <c r="K760" s="19">
        <f>IFERROR(__xludf.DUMMYFUNCTION("""COMPUTED_VALUE"""),0.03505)</f>
        <v>0.03505</v>
      </c>
      <c r="L760" s="19" t="str">
        <f>IFERROR(__xludf.DUMMYFUNCTION("""COMPUTED_VALUE"""),"-")</f>
        <v>-</v>
      </c>
      <c r="M760" s="19">
        <f>IFERROR(__xludf.DUMMYFUNCTION("""COMPUTED_VALUE"""),0.03811)</f>
        <v>0.03811</v>
      </c>
    </row>
    <row r="761">
      <c r="A761" s="12" t="s">
        <v>8651</v>
      </c>
      <c r="G761" s="19">
        <f>IFERROR(__xludf.DUMMYFUNCTION("SPLIT(A759, "" |"")"),757.0)</f>
        <v>757</v>
      </c>
      <c r="H761" s="19">
        <f>IFERROR(__xludf.DUMMYFUNCTION("""COMPUTED_VALUE"""),0.00219)</f>
        <v>0.00219</v>
      </c>
      <c r="I761" s="19" t="str">
        <f>IFERROR(__xludf.DUMMYFUNCTION("""COMPUTED_VALUE"""),"-")</f>
        <v>-</v>
      </c>
      <c r="J761" s="19">
        <f>IFERROR(__xludf.DUMMYFUNCTION("""COMPUTED_VALUE"""),0.00203)</f>
        <v>0.00203</v>
      </c>
      <c r="K761" s="19">
        <f>IFERROR(__xludf.DUMMYFUNCTION("""COMPUTED_VALUE"""),0.03876)</f>
        <v>0.03876</v>
      </c>
      <c r="L761" s="19" t="str">
        <f>IFERROR(__xludf.DUMMYFUNCTION("""COMPUTED_VALUE"""),"-")</f>
        <v>-</v>
      </c>
      <c r="M761" s="19">
        <f>IFERROR(__xludf.DUMMYFUNCTION("""COMPUTED_VALUE"""),0.03994)</f>
        <v>0.03994</v>
      </c>
    </row>
    <row r="762">
      <c r="A762" s="12" t="s">
        <v>8652</v>
      </c>
      <c r="G762" s="19">
        <f>IFERROR(__xludf.DUMMYFUNCTION("SPLIT(A760, "" |"")"),758.0)</f>
        <v>758</v>
      </c>
      <c r="H762" s="19">
        <f>IFERROR(__xludf.DUMMYFUNCTION("""COMPUTED_VALUE"""),0.00208)</f>
        <v>0.00208</v>
      </c>
      <c r="I762" s="19" t="str">
        <f>IFERROR(__xludf.DUMMYFUNCTION("""COMPUTED_VALUE"""),"-")</f>
        <v>-</v>
      </c>
      <c r="J762" s="19">
        <f>IFERROR(__xludf.DUMMYFUNCTION("""COMPUTED_VALUE"""),0.00187)</f>
        <v>0.00187</v>
      </c>
      <c r="K762" s="19">
        <f>IFERROR(__xludf.DUMMYFUNCTION("""COMPUTED_VALUE"""),0.03953)</f>
        <v>0.03953</v>
      </c>
      <c r="L762" s="19" t="str">
        <f>IFERROR(__xludf.DUMMYFUNCTION("""COMPUTED_VALUE"""),"-")</f>
        <v>-</v>
      </c>
      <c r="M762" s="19">
        <f>IFERROR(__xludf.DUMMYFUNCTION("""COMPUTED_VALUE"""),0.03977)</f>
        <v>0.03977</v>
      </c>
    </row>
    <row r="763">
      <c r="A763" s="12" t="s">
        <v>8653</v>
      </c>
      <c r="G763" s="19">
        <f>IFERROR(__xludf.DUMMYFUNCTION("SPLIT(A761, "" |"")"),759.0)</f>
        <v>759</v>
      </c>
      <c r="H763" s="19">
        <f>IFERROR(__xludf.DUMMYFUNCTION("""COMPUTED_VALUE"""),0.00227)</f>
        <v>0.00227</v>
      </c>
      <c r="I763" s="19" t="str">
        <f>IFERROR(__xludf.DUMMYFUNCTION("""COMPUTED_VALUE"""),"-")</f>
        <v>-</v>
      </c>
      <c r="J763" s="19">
        <f>IFERROR(__xludf.DUMMYFUNCTION("""COMPUTED_VALUE"""),0.00201)</f>
        <v>0.00201</v>
      </c>
      <c r="K763" s="19">
        <f>IFERROR(__xludf.DUMMYFUNCTION("""COMPUTED_VALUE"""),0.03487)</f>
        <v>0.03487</v>
      </c>
      <c r="L763" s="19" t="str">
        <f>IFERROR(__xludf.DUMMYFUNCTION("""COMPUTED_VALUE"""),"-")</f>
        <v>-</v>
      </c>
      <c r="M763" s="19">
        <f>IFERROR(__xludf.DUMMYFUNCTION("""COMPUTED_VALUE"""),0.03889)</f>
        <v>0.03889</v>
      </c>
    </row>
    <row r="764">
      <c r="A764" s="12" t="s">
        <v>8654</v>
      </c>
      <c r="G764" s="19">
        <f>IFERROR(__xludf.DUMMYFUNCTION("SPLIT(A762, "" |"")"),760.0)</f>
        <v>760</v>
      </c>
      <c r="H764" s="19">
        <f>IFERROR(__xludf.DUMMYFUNCTION("""COMPUTED_VALUE"""),0.00245)</f>
        <v>0.00245</v>
      </c>
      <c r="I764" s="19" t="str">
        <f>IFERROR(__xludf.DUMMYFUNCTION("""COMPUTED_VALUE"""),"-")</f>
        <v>-</v>
      </c>
      <c r="J764" s="19">
        <f>IFERROR(__xludf.DUMMYFUNCTION("""COMPUTED_VALUE"""),0.00217)</f>
        <v>0.00217</v>
      </c>
      <c r="K764" s="19">
        <f>IFERROR(__xludf.DUMMYFUNCTION("""COMPUTED_VALUE"""),0.03816)</f>
        <v>0.03816</v>
      </c>
      <c r="L764" s="19" t="str">
        <f>IFERROR(__xludf.DUMMYFUNCTION("""COMPUTED_VALUE"""),"-")</f>
        <v>-</v>
      </c>
      <c r="M764" s="19">
        <f>IFERROR(__xludf.DUMMYFUNCTION("""COMPUTED_VALUE"""),0.03809)</f>
        <v>0.03809</v>
      </c>
    </row>
    <row r="765">
      <c r="A765" s="12" t="s">
        <v>8655</v>
      </c>
      <c r="G765" s="19">
        <f>IFERROR(__xludf.DUMMYFUNCTION("SPLIT(A763, "" |"")"),761.0)</f>
        <v>761</v>
      </c>
      <c r="H765" s="19">
        <f>IFERROR(__xludf.DUMMYFUNCTION("""COMPUTED_VALUE"""),0.00221)</f>
        <v>0.00221</v>
      </c>
      <c r="I765" s="19" t="str">
        <f>IFERROR(__xludf.DUMMYFUNCTION("""COMPUTED_VALUE"""),"-")</f>
        <v>-</v>
      </c>
      <c r="J765" s="19">
        <f>IFERROR(__xludf.DUMMYFUNCTION("""COMPUTED_VALUE"""),0.0022)</f>
        <v>0.0022</v>
      </c>
      <c r="K765" s="19">
        <f>IFERROR(__xludf.DUMMYFUNCTION("""COMPUTED_VALUE"""),0.04008)</f>
        <v>0.04008</v>
      </c>
      <c r="L765" s="19" t="str">
        <f>IFERROR(__xludf.DUMMYFUNCTION("""COMPUTED_VALUE"""),"-")</f>
        <v>-</v>
      </c>
      <c r="M765" s="19">
        <f>IFERROR(__xludf.DUMMYFUNCTION("""COMPUTED_VALUE"""),0.03931)</f>
        <v>0.03931</v>
      </c>
    </row>
    <row r="766">
      <c r="A766" s="12" t="s">
        <v>8656</v>
      </c>
      <c r="G766" s="19">
        <f>IFERROR(__xludf.DUMMYFUNCTION("SPLIT(A764, "" |"")"),762.0)</f>
        <v>762</v>
      </c>
      <c r="H766" s="19">
        <f>IFERROR(__xludf.DUMMYFUNCTION("""COMPUTED_VALUE"""),0.00222)</f>
        <v>0.00222</v>
      </c>
      <c r="I766" s="19" t="str">
        <f>IFERROR(__xludf.DUMMYFUNCTION("""COMPUTED_VALUE"""),"-")</f>
        <v>-</v>
      </c>
      <c r="J766" s="19">
        <f>IFERROR(__xludf.DUMMYFUNCTION("""COMPUTED_VALUE"""),0.00193)</f>
        <v>0.00193</v>
      </c>
      <c r="K766" s="19">
        <f>IFERROR(__xludf.DUMMYFUNCTION("""COMPUTED_VALUE"""),0.03972)</f>
        <v>0.03972</v>
      </c>
      <c r="L766" s="19" t="str">
        <f>IFERROR(__xludf.DUMMYFUNCTION("""COMPUTED_VALUE"""),"-")</f>
        <v>-</v>
      </c>
      <c r="M766" s="19">
        <f>IFERROR(__xludf.DUMMYFUNCTION("""COMPUTED_VALUE"""),0.03674)</f>
        <v>0.03674</v>
      </c>
    </row>
    <row r="767">
      <c r="A767" s="12" t="s">
        <v>8657</v>
      </c>
      <c r="G767" s="19">
        <f>IFERROR(__xludf.DUMMYFUNCTION("SPLIT(A765, "" |"")"),763.0)</f>
        <v>763</v>
      </c>
      <c r="H767" s="19">
        <f>IFERROR(__xludf.DUMMYFUNCTION("""COMPUTED_VALUE"""),0.00217)</f>
        <v>0.00217</v>
      </c>
      <c r="I767" s="19" t="str">
        <f>IFERROR(__xludf.DUMMYFUNCTION("""COMPUTED_VALUE"""),"-")</f>
        <v>-</v>
      </c>
      <c r="J767" s="19">
        <f>IFERROR(__xludf.DUMMYFUNCTION("""COMPUTED_VALUE"""),0.00186)</f>
        <v>0.00186</v>
      </c>
      <c r="K767" s="19">
        <f>IFERROR(__xludf.DUMMYFUNCTION("""COMPUTED_VALUE"""),0.03661)</f>
        <v>0.03661</v>
      </c>
      <c r="L767" s="19" t="str">
        <f>IFERROR(__xludf.DUMMYFUNCTION("""COMPUTED_VALUE"""),"-")</f>
        <v>-</v>
      </c>
      <c r="M767" s="19">
        <f>IFERROR(__xludf.DUMMYFUNCTION("""COMPUTED_VALUE"""),0.03904)</f>
        <v>0.03904</v>
      </c>
    </row>
    <row r="768">
      <c r="A768" s="12" t="s">
        <v>8658</v>
      </c>
      <c r="G768" s="19">
        <f>IFERROR(__xludf.DUMMYFUNCTION("SPLIT(A766, "" |"")"),764.0)</f>
        <v>764</v>
      </c>
      <c r="H768" s="19">
        <f>IFERROR(__xludf.DUMMYFUNCTION("""COMPUTED_VALUE"""),0.00272)</f>
        <v>0.00272</v>
      </c>
      <c r="I768" s="19" t="str">
        <f>IFERROR(__xludf.DUMMYFUNCTION("""COMPUTED_VALUE"""),"-")</f>
        <v>-</v>
      </c>
      <c r="J768" s="19">
        <f>IFERROR(__xludf.DUMMYFUNCTION("""COMPUTED_VALUE"""),0.00225)</f>
        <v>0.00225</v>
      </c>
      <c r="K768" s="19">
        <f>IFERROR(__xludf.DUMMYFUNCTION("""COMPUTED_VALUE"""),0.03713)</f>
        <v>0.03713</v>
      </c>
      <c r="L768" s="19" t="str">
        <f>IFERROR(__xludf.DUMMYFUNCTION("""COMPUTED_VALUE"""),"-")</f>
        <v>-</v>
      </c>
      <c r="M768" s="19">
        <f>IFERROR(__xludf.DUMMYFUNCTION("""COMPUTED_VALUE"""),0.0404)</f>
        <v>0.0404</v>
      </c>
    </row>
    <row r="769">
      <c r="A769" s="12" t="s">
        <v>8659</v>
      </c>
      <c r="G769" s="19">
        <f>IFERROR(__xludf.DUMMYFUNCTION("SPLIT(A767, "" |"")"),765.0)</f>
        <v>765</v>
      </c>
      <c r="H769" s="19">
        <f>IFERROR(__xludf.DUMMYFUNCTION("""COMPUTED_VALUE"""),0.00231)</f>
        <v>0.00231</v>
      </c>
      <c r="I769" s="19" t="str">
        <f>IFERROR(__xludf.DUMMYFUNCTION("""COMPUTED_VALUE"""),"-")</f>
        <v>-</v>
      </c>
      <c r="J769" s="19">
        <f>IFERROR(__xludf.DUMMYFUNCTION("""COMPUTED_VALUE"""),0.00218)</f>
        <v>0.00218</v>
      </c>
      <c r="K769" s="19">
        <f>IFERROR(__xludf.DUMMYFUNCTION("""COMPUTED_VALUE"""),0.0381)</f>
        <v>0.0381</v>
      </c>
      <c r="L769" s="19" t="str">
        <f>IFERROR(__xludf.DUMMYFUNCTION("""COMPUTED_VALUE"""),"-")</f>
        <v>-</v>
      </c>
      <c r="M769" s="19">
        <f>IFERROR(__xludf.DUMMYFUNCTION("""COMPUTED_VALUE"""),0.04016)</f>
        <v>0.04016</v>
      </c>
    </row>
    <row r="770">
      <c r="A770" s="12" t="s">
        <v>8660</v>
      </c>
      <c r="G770" s="19">
        <f>IFERROR(__xludf.DUMMYFUNCTION("SPLIT(A768, "" |"")"),766.0)</f>
        <v>766</v>
      </c>
      <c r="H770" s="19">
        <f>IFERROR(__xludf.DUMMYFUNCTION("""COMPUTED_VALUE"""),0.00235)</f>
        <v>0.00235</v>
      </c>
      <c r="I770" s="19" t="str">
        <f>IFERROR(__xludf.DUMMYFUNCTION("""COMPUTED_VALUE"""),"-")</f>
        <v>-</v>
      </c>
      <c r="J770" s="19">
        <f>IFERROR(__xludf.DUMMYFUNCTION("""COMPUTED_VALUE"""),0.0023)</f>
        <v>0.0023</v>
      </c>
      <c r="K770" s="19">
        <f>IFERROR(__xludf.DUMMYFUNCTION("""COMPUTED_VALUE"""),0.03986)</f>
        <v>0.03986</v>
      </c>
      <c r="L770" s="19" t="str">
        <f>IFERROR(__xludf.DUMMYFUNCTION("""COMPUTED_VALUE"""),"-")</f>
        <v>-</v>
      </c>
      <c r="M770" s="19">
        <f>IFERROR(__xludf.DUMMYFUNCTION("""COMPUTED_VALUE"""),0.03995)</f>
        <v>0.03995</v>
      </c>
    </row>
    <row r="771">
      <c r="A771" s="12" t="s">
        <v>8661</v>
      </c>
      <c r="G771" s="19">
        <f>IFERROR(__xludf.DUMMYFUNCTION("SPLIT(A769, "" |"")"),767.0)</f>
        <v>767</v>
      </c>
      <c r="H771" s="19">
        <f>IFERROR(__xludf.DUMMYFUNCTION("""COMPUTED_VALUE"""),0.00227)</f>
        <v>0.00227</v>
      </c>
      <c r="I771" s="19" t="str">
        <f>IFERROR(__xludf.DUMMYFUNCTION("""COMPUTED_VALUE"""),"-")</f>
        <v>-</v>
      </c>
      <c r="J771" s="19">
        <f>IFERROR(__xludf.DUMMYFUNCTION("""COMPUTED_VALUE"""),0.00219)</f>
        <v>0.00219</v>
      </c>
      <c r="K771" s="19">
        <f>IFERROR(__xludf.DUMMYFUNCTION("""COMPUTED_VALUE"""),0.03974)</f>
        <v>0.03974</v>
      </c>
      <c r="L771" s="19" t="str">
        <f>IFERROR(__xludf.DUMMYFUNCTION("""COMPUTED_VALUE"""),"-")</f>
        <v>-</v>
      </c>
      <c r="M771" s="19">
        <f>IFERROR(__xludf.DUMMYFUNCTION("""COMPUTED_VALUE"""),0.03853)</f>
        <v>0.03853</v>
      </c>
    </row>
    <row r="772">
      <c r="A772" s="12" t="s">
        <v>8662</v>
      </c>
      <c r="G772" s="19">
        <f>IFERROR(__xludf.DUMMYFUNCTION("SPLIT(A770, "" |"")"),768.0)</f>
        <v>768</v>
      </c>
      <c r="H772" s="19">
        <f>IFERROR(__xludf.DUMMYFUNCTION("""COMPUTED_VALUE"""),0.0022)</f>
        <v>0.0022</v>
      </c>
      <c r="I772" s="19" t="str">
        <f>IFERROR(__xludf.DUMMYFUNCTION("""COMPUTED_VALUE"""),"-")</f>
        <v>-</v>
      </c>
      <c r="J772" s="19">
        <f>IFERROR(__xludf.DUMMYFUNCTION("""COMPUTED_VALUE"""),0.00206)</f>
        <v>0.00206</v>
      </c>
      <c r="K772" s="19">
        <f>IFERROR(__xludf.DUMMYFUNCTION("""COMPUTED_VALUE"""),0.03977)</f>
        <v>0.03977</v>
      </c>
      <c r="L772" s="19" t="str">
        <f>IFERROR(__xludf.DUMMYFUNCTION("""COMPUTED_VALUE"""),"-")</f>
        <v>-</v>
      </c>
      <c r="M772" s="19">
        <f>IFERROR(__xludf.DUMMYFUNCTION("""COMPUTED_VALUE"""),0.04005)</f>
        <v>0.04005</v>
      </c>
    </row>
    <row r="773">
      <c r="A773" s="12" t="s">
        <v>8663</v>
      </c>
      <c r="G773" s="19">
        <f>IFERROR(__xludf.DUMMYFUNCTION("SPLIT(A771, "" |"")"),769.0)</f>
        <v>769</v>
      </c>
      <c r="H773" s="19">
        <f>IFERROR(__xludf.DUMMYFUNCTION("""COMPUTED_VALUE"""),0.00231)</f>
        <v>0.00231</v>
      </c>
      <c r="I773" s="19" t="str">
        <f>IFERROR(__xludf.DUMMYFUNCTION("""COMPUTED_VALUE"""),"-")</f>
        <v>-</v>
      </c>
      <c r="J773" s="19">
        <f>IFERROR(__xludf.DUMMYFUNCTION("""COMPUTED_VALUE"""),0.00205)</f>
        <v>0.00205</v>
      </c>
      <c r="K773" s="19">
        <f>IFERROR(__xludf.DUMMYFUNCTION("""COMPUTED_VALUE"""),0.03981)</f>
        <v>0.03981</v>
      </c>
      <c r="L773" s="19" t="str">
        <f>IFERROR(__xludf.DUMMYFUNCTION("""COMPUTED_VALUE"""),"-")</f>
        <v>-</v>
      </c>
      <c r="M773" s="19">
        <f>IFERROR(__xludf.DUMMYFUNCTION("""COMPUTED_VALUE"""),0.03973)</f>
        <v>0.03973</v>
      </c>
    </row>
    <row r="774">
      <c r="A774" s="12" t="s">
        <v>8664</v>
      </c>
      <c r="G774" s="19">
        <f>IFERROR(__xludf.DUMMYFUNCTION("SPLIT(A772, "" |"")"),770.0)</f>
        <v>770</v>
      </c>
      <c r="H774" s="19">
        <f>IFERROR(__xludf.DUMMYFUNCTION("""COMPUTED_VALUE"""),0.00207)</f>
        <v>0.00207</v>
      </c>
      <c r="I774" s="19" t="str">
        <f>IFERROR(__xludf.DUMMYFUNCTION("""COMPUTED_VALUE"""),"-")</f>
        <v>-</v>
      </c>
      <c r="J774" s="19">
        <f>IFERROR(__xludf.DUMMYFUNCTION("""COMPUTED_VALUE"""),0.00197)</f>
        <v>0.00197</v>
      </c>
      <c r="K774" s="19">
        <f>IFERROR(__xludf.DUMMYFUNCTION("""COMPUTED_VALUE"""),0.03967)</f>
        <v>0.03967</v>
      </c>
      <c r="L774" s="19" t="str">
        <f>IFERROR(__xludf.DUMMYFUNCTION("""COMPUTED_VALUE"""),"-")</f>
        <v>-</v>
      </c>
      <c r="M774" s="19">
        <f>IFERROR(__xludf.DUMMYFUNCTION("""COMPUTED_VALUE"""),0.03991)</f>
        <v>0.03991</v>
      </c>
    </row>
    <row r="775">
      <c r="A775" s="12" t="s">
        <v>8665</v>
      </c>
      <c r="G775" s="19">
        <f>IFERROR(__xludf.DUMMYFUNCTION("SPLIT(A773, "" |"")"),771.0)</f>
        <v>771</v>
      </c>
      <c r="H775" s="19">
        <f>IFERROR(__xludf.DUMMYFUNCTION("""COMPUTED_VALUE"""),0.00216)</f>
        <v>0.00216</v>
      </c>
      <c r="I775" s="19" t="str">
        <f>IFERROR(__xludf.DUMMYFUNCTION("""COMPUTED_VALUE"""),"-")</f>
        <v>-</v>
      </c>
      <c r="J775" s="19">
        <f>IFERROR(__xludf.DUMMYFUNCTION("""COMPUTED_VALUE"""),0.00199)</f>
        <v>0.00199</v>
      </c>
      <c r="K775" s="19">
        <f>IFERROR(__xludf.DUMMYFUNCTION("""COMPUTED_VALUE"""),0.03951)</f>
        <v>0.03951</v>
      </c>
      <c r="L775" s="19" t="str">
        <f>IFERROR(__xludf.DUMMYFUNCTION("""COMPUTED_VALUE"""),"-")</f>
        <v>-</v>
      </c>
      <c r="M775" s="19">
        <f>IFERROR(__xludf.DUMMYFUNCTION("""COMPUTED_VALUE"""),0.03967)</f>
        <v>0.03967</v>
      </c>
    </row>
    <row r="776">
      <c r="A776" s="12" t="s">
        <v>8666</v>
      </c>
      <c r="G776" s="19">
        <f>IFERROR(__xludf.DUMMYFUNCTION("SPLIT(A774, "" |"")"),772.0)</f>
        <v>772</v>
      </c>
      <c r="H776" s="19">
        <f>IFERROR(__xludf.DUMMYFUNCTION("""COMPUTED_VALUE"""),0.00201)</f>
        <v>0.00201</v>
      </c>
      <c r="I776" s="19" t="str">
        <f>IFERROR(__xludf.DUMMYFUNCTION("""COMPUTED_VALUE"""),"-")</f>
        <v>-</v>
      </c>
      <c r="J776" s="19">
        <f>IFERROR(__xludf.DUMMYFUNCTION("""COMPUTED_VALUE"""),0.00186)</f>
        <v>0.00186</v>
      </c>
      <c r="K776" s="19">
        <f>IFERROR(__xludf.DUMMYFUNCTION("""COMPUTED_VALUE"""),0.03953)</f>
        <v>0.03953</v>
      </c>
      <c r="L776" s="19" t="str">
        <f>IFERROR(__xludf.DUMMYFUNCTION("""COMPUTED_VALUE"""),"-")</f>
        <v>-</v>
      </c>
      <c r="M776" s="19">
        <f>IFERROR(__xludf.DUMMYFUNCTION("""COMPUTED_VALUE"""),0.03981)</f>
        <v>0.03981</v>
      </c>
    </row>
    <row r="777">
      <c r="A777" s="12" t="s">
        <v>8667</v>
      </c>
      <c r="G777" s="19">
        <f>IFERROR(__xludf.DUMMYFUNCTION("SPLIT(A775, "" |"")"),773.0)</f>
        <v>773</v>
      </c>
      <c r="H777" s="19">
        <f>IFERROR(__xludf.DUMMYFUNCTION("""COMPUTED_VALUE"""),0.00215)</f>
        <v>0.00215</v>
      </c>
      <c r="I777" s="19" t="str">
        <f>IFERROR(__xludf.DUMMYFUNCTION("""COMPUTED_VALUE"""),"-")</f>
        <v>-</v>
      </c>
      <c r="J777" s="19">
        <f>IFERROR(__xludf.DUMMYFUNCTION("""COMPUTED_VALUE"""),0.002)</f>
        <v>0.002</v>
      </c>
      <c r="K777" s="19">
        <f>IFERROR(__xludf.DUMMYFUNCTION("""COMPUTED_VALUE"""),0.0393)</f>
        <v>0.0393</v>
      </c>
      <c r="L777" s="19" t="str">
        <f>IFERROR(__xludf.DUMMYFUNCTION("""COMPUTED_VALUE"""),"-")</f>
        <v>-</v>
      </c>
      <c r="M777" s="19">
        <f>IFERROR(__xludf.DUMMYFUNCTION("""COMPUTED_VALUE"""),0.04032)</f>
        <v>0.04032</v>
      </c>
    </row>
    <row r="778">
      <c r="A778" s="12" t="s">
        <v>8668</v>
      </c>
      <c r="G778" s="19">
        <f>IFERROR(__xludf.DUMMYFUNCTION("SPLIT(A776, "" |"")"),774.0)</f>
        <v>774</v>
      </c>
      <c r="H778" s="19">
        <f>IFERROR(__xludf.DUMMYFUNCTION("""COMPUTED_VALUE"""),0.00211)</f>
        <v>0.00211</v>
      </c>
      <c r="I778" s="19" t="str">
        <f>IFERROR(__xludf.DUMMYFUNCTION("""COMPUTED_VALUE"""),"-")</f>
        <v>-</v>
      </c>
      <c r="J778" s="19">
        <f>IFERROR(__xludf.DUMMYFUNCTION("""COMPUTED_VALUE"""),0.00186)</f>
        <v>0.00186</v>
      </c>
      <c r="K778" s="19">
        <f>IFERROR(__xludf.DUMMYFUNCTION("""COMPUTED_VALUE"""),0.03645)</f>
        <v>0.03645</v>
      </c>
      <c r="L778" s="19" t="str">
        <f>IFERROR(__xludf.DUMMYFUNCTION("""COMPUTED_VALUE"""),"-")</f>
        <v>-</v>
      </c>
      <c r="M778" s="19">
        <f>IFERROR(__xludf.DUMMYFUNCTION("""COMPUTED_VALUE"""),0.03926)</f>
        <v>0.03926</v>
      </c>
    </row>
    <row r="779">
      <c r="A779" s="12" t="s">
        <v>8669</v>
      </c>
      <c r="G779" s="19">
        <f>IFERROR(__xludf.DUMMYFUNCTION("SPLIT(A777, "" |"")"),775.0)</f>
        <v>775</v>
      </c>
      <c r="H779" s="19">
        <f>IFERROR(__xludf.DUMMYFUNCTION("""COMPUTED_VALUE"""),0.00235)</f>
        <v>0.00235</v>
      </c>
      <c r="I779" s="19" t="str">
        <f>IFERROR(__xludf.DUMMYFUNCTION("""COMPUTED_VALUE"""),"-")</f>
        <v>-</v>
      </c>
      <c r="J779" s="19">
        <f>IFERROR(__xludf.DUMMYFUNCTION("""COMPUTED_VALUE"""),0.00216)</f>
        <v>0.00216</v>
      </c>
      <c r="K779" s="19">
        <f>IFERROR(__xludf.DUMMYFUNCTION("""COMPUTED_VALUE"""),0.03742)</f>
        <v>0.03742</v>
      </c>
      <c r="L779" s="19" t="str">
        <f>IFERROR(__xludf.DUMMYFUNCTION("""COMPUTED_VALUE"""),"-")</f>
        <v>-</v>
      </c>
      <c r="M779" s="19">
        <f>IFERROR(__xludf.DUMMYFUNCTION("""COMPUTED_VALUE"""),0.04019)</f>
        <v>0.04019</v>
      </c>
    </row>
    <row r="780">
      <c r="A780" s="12" t="s">
        <v>8670</v>
      </c>
      <c r="G780" s="19">
        <f>IFERROR(__xludf.DUMMYFUNCTION("SPLIT(A778, "" |"")"),776.0)</f>
        <v>776</v>
      </c>
      <c r="H780" s="19">
        <f>IFERROR(__xludf.DUMMYFUNCTION("""COMPUTED_VALUE"""),0.0022)</f>
        <v>0.0022</v>
      </c>
      <c r="I780" s="19" t="str">
        <f>IFERROR(__xludf.DUMMYFUNCTION("""COMPUTED_VALUE"""),"-")</f>
        <v>-</v>
      </c>
      <c r="J780" s="19">
        <f>IFERROR(__xludf.DUMMYFUNCTION("""COMPUTED_VALUE"""),0.00191)</f>
        <v>0.00191</v>
      </c>
      <c r="K780" s="19">
        <f>IFERROR(__xludf.DUMMYFUNCTION("""COMPUTED_VALUE"""),0.04059)</f>
        <v>0.04059</v>
      </c>
      <c r="L780" s="19" t="str">
        <f>IFERROR(__xludf.DUMMYFUNCTION("""COMPUTED_VALUE"""),"-")</f>
        <v>-</v>
      </c>
      <c r="M780" s="19">
        <f>IFERROR(__xludf.DUMMYFUNCTION("""COMPUTED_VALUE"""),0.03986)</f>
        <v>0.03986</v>
      </c>
    </row>
    <row r="781">
      <c r="A781" s="12" t="s">
        <v>8671</v>
      </c>
      <c r="G781" s="19">
        <f>IFERROR(__xludf.DUMMYFUNCTION("SPLIT(A779, "" |"")"),777.0)</f>
        <v>777</v>
      </c>
      <c r="H781" s="19">
        <f>IFERROR(__xludf.DUMMYFUNCTION("""COMPUTED_VALUE"""),0.00208)</f>
        <v>0.00208</v>
      </c>
      <c r="I781" s="19" t="str">
        <f>IFERROR(__xludf.DUMMYFUNCTION("""COMPUTED_VALUE"""),"-")</f>
        <v>-</v>
      </c>
      <c r="J781" s="19">
        <f>IFERROR(__xludf.DUMMYFUNCTION("""COMPUTED_VALUE"""),0.0019)</f>
        <v>0.0019</v>
      </c>
      <c r="K781" s="19">
        <f>IFERROR(__xludf.DUMMYFUNCTION("""COMPUTED_VALUE"""),0.03829)</f>
        <v>0.03829</v>
      </c>
      <c r="L781" s="19" t="str">
        <f>IFERROR(__xludf.DUMMYFUNCTION("""COMPUTED_VALUE"""),"-")</f>
        <v>-</v>
      </c>
      <c r="M781" s="19">
        <f>IFERROR(__xludf.DUMMYFUNCTION("""COMPUTED_VALUE"""),0.03985)</f>
        <v>0.03985</v>
      </c>
    </row>
    <row r="782">
      <c r="A782" s="12" t="s">
        <v>8672</v>
      </c>
      <c r="G782" s="19">
        <f>IFERROR(__xludf.DUMMYFUNCTION("SPLIT(A780, "" |"")"),778.0)</f>
        <v>778</v>
      </c>
      <c r="H782" s="19">
        <f>IFERROR(__xludf.DUMMYFUNCTION("""COMPUTED_VALUE"""),0.0022)</f>
        <v>0.0022</v>
      </c>
      <c r="I782" s="19" t="str">
        <f>IFERROR(__xludf.DUMMYFUNCTION("""COMPUTED_VALUE"""),"-")</f>
        <v>-</v>
      </c>
      <c r="J782" s="19">
        <f>IFERROR(__xludf.DUMMYFUNCTION("""COMPUTED_VALUE"""),0.00185)</f>
        <v>0.00185</v>
      </c>
      <c r="K782" s="19">
        <f>IFERROR(__xludf.DUMMYFUNCTION("""COMPUTED_VALUE"""),0.03819)</f>
        <v>0.03819</v>
      </c>
      <c r="L782" s="19" t="str">
        <f>IFERROR(__xludf.DUMMYFUNCTION("""COMPUTED_VALUE"""),"-")</f>
        <v>-</v>
      </c>
      <c r="M782" s="19">
        <f>IFERROR(__xludf.DUMMYFUNCTION("""COMPUTED_VALUE"""),0.04033)</f>
        <v>0.04033</v>
      </c>
    </row>
    <row r="783">
      <c r="A783" s="12" t="s">
        <v>8673</v>
      </c>
      <c r="G783" s="19">
        <f>IFERROR(__xludf.DUMMYFUNCTION("SPLIT(A781, "" |"")"),779.0)</f>
        <v>779</v>
      </c>
      <c r="H783" s="19">
        <f>IFERROR(__xludf.DUMMYFUNCTION("""COMPUTED_VALUE"""),0.00261)</f>
        <v>0.00261</v>
      </c>
      <c r="I783" s="19" t="str">
        <f>IFERROR(__xludf.DUMMYFUNCTION("""COMPUTED_VALUE"""),"-")</f>
        <v>-</v>
      </c>
      <c r="J783" s="19">
        <f>IFERROR(__xludf.DUMMYFUNCTION("""COMPUTED_VALUE"""),0.00201)</f>
        <v>0.00201</v>
      </c>
      <c r="K783" s="19">
        <f>IFERROR(__xludf.DUMMYFUNCTION("""COMPUTED_VALUE"""),0.03977)</f>
        <v>0.03977</v>
      </c>
      <c r="L783" s="19" t="str">
        <f>IFERROR(__xludf.DUMMYFUNCTION("""COMPUTED_VALUE"""),"-")</f>
        <v>-</v>
      </c>
      <c r="M783" s="19">
        <f>IFERROR(__xludf.DUMMYFUNCTION("""COMPUTED_VALUE"""),0.04034)</f>
        <v>0.04034</v>
      </c>
    </row>
    <row r="784">
      <c r="A784" s="12" t="s">
        <v>8674</v>
      </c>
      <c r="G784" s="19">
        <f>IFERROR(__xludf.DUMMYFUNCTION("SPLIT(A782, "" |"")"),780.0)</f>
        <v>780</v>
      </c>
      <c r="H784" s="19">
        <f>IFERROR(__xludf.DUMMYFUNCTION("""COMPUTED_VALUE"""),0.00211)</f>
        <v>0.00211</v>
      </c>
      <c r="I784" s="19" t="str">
        <f>IFERROR(__xludf.DUMMYFUNCTION("""COMPUTED_VALUE"""),"-")</f>
        <v>-</v>
      </c>
      <c r="J784" s="19">
        <f>IFERROR(__xludf.DUMMYFUNCTION("""COMPUTED_VALUE"""),0.00189)</f>
        <v>0.00189</v>
      </c>
      <c r="K784" s="19">
        <f>IFERROR(__xludf.DUMMYFUNCTION("""COMPUTED_VALUE"""),0.03971)</f>
        <v>0.03971</v>
      </c>
      <c r="L784" s="19" t="str">
        <f>IFERROR(__xludf.DUMMYFUNCTION("""COMPUTED_VALUE"""),"-")</f>
        <v>-</v>
      </c>
      <c r="M784" s="19">
        <f>IFERROR(__xludf.DUMMYFUNCTION("""COMPUTED_VALUE"""),0.04034)</f>
        <v>0.04034</v>
      </c>
    </row>
    <row r="785">
      <c r="A785" s="12" t="s">
        <v>8675</v>
      </c>
      <c r="G785" s="19">
        <f>IFERROR(__xludf.DUMMYFUNCTION("SPLIT(A783, "" |"")"),781.0)</f>
        <v>781</v>
      </c>
      <c r="H785" s="19">
        <f>IFERROR(__xludf.DUMMYFUNCTION("""COMPUTED_VALUE"""),0.00208)</f>
        <v>0.00208</v>
      </c>
      <c r="I785" s="19" t="str">
        <f>IFERROR(__xludf.DUMMYFUNCTION("""COMPUTED_VALUE"""),"-")</f>
        <v>-</v>
      </c>
      <c r="J785" s="19">
        <f>IFERROR(__xludf.DUMMYFUNCTION("""COMPUTED_VALUE"""),0.00193)</f>
        <v>0.00193</v>
      </c>
      <c r="K785" s="19">
        <f>IFERROR(__xludf.DUMMYFUNCTION("""COMPUTED_VALUE"""),0.03973)</f>
        <v>0.03973</v>
      </c>
      <c r="L785" s="19" t="str">
        <f>IFERROR(__xludf.DUMMYFUNCTION("""COMPUTED_VALUE"""),"-")</f>
        <v>-</v>
      </c>
      <c r="M785" s="19">
        <f>IFERROR(__xludf.DUMMYFUNCTION("""COMPUTED_VALUE"""),0.03987)</f>
        <v>0.03987</v>
      </c>
    </row>
    <row r="786">
      <c r="A786" s="12" t="s">
        <v>8676</v>
      </c>
      <c r="G786" s="19">
        <f>IFERROR(__xludf.DUMMYFUNCTION("SPLIT(A784, "" |"")"),782.0)</f>
        <v>782</v>
      </c>
      <c r="H786" s="19">
        <f>IFERROR(__xludf.DUMMYFUNCTION("""COMPUTED_VALUE"""),0.00204)</f>
        <v>0.00204</v>
      </c>
      <c r="I786" s="19" t="str">
        <f>IFERROR(__xludf.DUMMYFUNCTION("""COMPUTED_VALUE"""),"-")</f>
        <v>-</v>
      </c>
      <c r="J786" s="19">
        <f>IFERROR(__xludf.DUMMYFUNCTION("""COMPUTED_VALUE"""),0.00183)</f>
        <v>0.00183</v>
      </c>
      <c r="K786" s="19">
        <f>IFERROR(__xludf.DUMMYFUNCTION("""COMPUTED_VALUE"""),0.03957)</f>
        <v>0.03957</v>
      </c>
      <c r="L786" s="19" t="str">
        <f>IFERROR(__xludf.DUMMYFUNCTION("""COMPUTED_VALUE"""),"-")</f>
        <v>-</v>
      </c>
      <c r="M786" s="19">
        <f>IFERROR(__xludf.DUMMYFUNCTION("""COMPUTED_VALUE"""),0.0399)</f>
        <v>0.0399</v>
      </c>
    </row>
    <row r="787">
      <c r="A787" s="12" t="s">
        <v>8677</v>
      </c>
      <c r="G787" s="19">
        <f>IFERROR(__xludf.DUMMYFUNCTION("SPLIT(A785, "" |"")"),783.0)</f>
        <v>783</v>
      </c>
      <c r="H787" s="19">
        <f>IFERROR(__xludf.DUMMYFUNCTION("""COMPUTED_VALUE"""),0.00212)</f>
        <v>0.00212</v>
      </c>
      <c r="I787" s="19" t="str">
        <f>IFERROR(__xludf.DUMMYFUNCTION("""COMPUTED_VALUE"""),"-")</f>
        <v>-</v>
      </c>
      <c r="J787" s="19">
        <f>IFERROR(__xludf.DUMMYFUNCTION("""COMPUTED_VALUE"""),0.00186)</f>
        <v>0.00186</v>
      </c>
      <c r="K787" s="19">
        <f>IFERROR(__xludf.DUMMYFUNCTION("""COMPUTED_VALUE"""),0.03953)</f>
        <v>0.03953</v>
      </c>
      <c r="L787" s="19" t="str">
        <f>IFERROR(__xludf.DUMMYFUNCTION("""COMPUTED_VALUE"""),"-")</f>
        <v>-</v>
      </c>
      <c r="M787" s="19">
        <f>IFERROR(__xludf.DUMMYFUNCTION("""COMPUTED_VALUE"""),0.04026)</f>
        <v>0.04026</v>
      </c>
    </row>
    <row r="788">
      <c r="A788" s="12" t="s">
        <v>8678</v>
      </c>
      <c r="G788" s="19">
        <f>IFERROR(__xludf.DUMMYFUNCTION("SPLIT(A786, "" |"")"),784.0)</f>
        <v>784</v>
      </c>
      <c r="H788" s="19">
        <f>IFERROR(__xludf.DUMMYFUNCTION("""COMPUTED_VALUE"""),0.00213)</f>
        <v>0.00213</v>
      </c>
      <c r="I788" s="19" t="str">
        <f>IFERROR(__xludf.DUMMYFUNCTION("""COMPUTED_VALUE"""),"-")</f>
        <v>-</v>
      </c>
      <c r="J788" s="19">
        <f>IFERROR(__xludf.DUMMYFUNCTION("""COMPUTED_VALUE"""),0.00199)</f>
        <v>0.00199</v>
      </c>
      <c r="K788" s="19">
        <f>IFERROR(__xludf.DUMMYFUNCTION("""COMPUTED_VALUE"""),0.03971)</f>
        <v>0.03971</v>
      </c>
      <c r="L788" s="19" t="str">
        <f>IFERROR(__xludf.DUMMYFUNCTION("""COMPUTED_VALUE"""),"-")</f>
        <v>-</v>
      </c>
      <c r="M788" s="19">
        <f>IFERROR(__xludf.DUMMYFUNCTION("""COMPUTED_VALUE"""),0.03982)</f>
        <v>0.03982</v>
      </c>
    </row>
    <row r="789">
      <c r="A789" s="12" t="s">
        <v>8679</v>
      </c>
      <c r="G789" s="19">
        <f>IFERROR(__xludf.DUMMYFUNCTION("SPLIT(A787, "" |"")"),785.0)</f>
        <v>785</v>
      </c>
      <c r="H789" s="19">
        <f>IFERROR(__xludf.DUMMYFUNCTION("""COMPUTED_VALUE"""),0.00212)</f>
        <v>0.00212</v>
      </c>
      <c r="I789" s="19" t="str">
        <f>IFERROR(__xludf.DUMMYFUNCTION("""COMPUTED_VALUE"""),"-")</f>
        <v>-</v>
      </c>
      <c r="J789" s="19">
        <f>IFERROR(__xludf.DUMMYFUNCTION("""COMPUTED_VALUE"""),0.00195)</f>
        <v>0.00195</v>
      </c>
      <c r="K789" s="19">
        <f>IFERROR(__xludf.DUMMYFUNCTION("""COMPUTED_VALUE"""),0.03965)</f>
        <v>0.03965</v>
      </c>
      <c r="L789" s="19" t="str">
        <f>IFERROR(__xludf.DUMMYFUNCTION("""COMPUTED_VALUE"""),"-")</f>
        <v>-</v>
      </c>
      <c r="M789" s="19">
        <f>IFERROR(__xludf.DUMMYFUNCTION("""COMPUTED_VALUE"""),0.04027)</f>
        <v>0.04027</v>
      </c>
    </row>
    <row r="790">
      <c r="A790" s="12" t="s">
        <v>8680</v>
      </c>
      <c r="G790" s="19">
        <f>IFERROR(__xludf.DUMMYFUNCTION("SPLIT(A788, "" |"")"),786.0)</f>
        <v>786</v>
      </c>
      <c r="H790" s="19">
        <f>IFERROR(__xludf.DUMMYFUNCTION("""COMPUTED_VALUE"""),0.00197)</f>
        <v>0.00197</v>
      </c>
      <c r="I790" s="19" t="str">
        <f>IFERROR(__xludf.DUMMYFUNCTION("""COMPUTED_VALUE"""),"-")</f>
        <v>-</v>
      </c>
      <c r="J790" s="19">
        <f>IFERROR(__xludf.DUMMYFUNCTION("""COMPUTED_VALUE"""),0.00182)</f>
        <v>0.00182</v>
      </c>
      <c r="K790" s="19">
        <f>IFERROR(__xludf.DUMMYFUNCTION("""COMPUTED_VALUE"""),0.03881)</f>
        <v>0.03881</v>
      </c>
      <c r="L790" s="19" t="str">
        <f>IFERROR(__xludf.DUMMYFUNCTION("""COMPUTED_VALUE"""),"-")</f>
        <v>-</v>
      </c>
      <c r="M790" s="19">
        <f>IFERROR(__xludf.DUMMYFUNCTION("""COMPUTED_VALUE"""),0.03993)</f>
        <v>0.03993</v>
      </c>
    </row>
    <row r="791">
      <c r="A791" s="12" t="s">
        <v>8681</v>
      </c>
      <c r="G791" s="19">
        <f>IFERROR(__xludf.DUMMYFUNCTION("SPLIT(A789, "" |"")"),787.0)</f>
        <v>787</v>
      </c>
      <c r="H791" s="19">
        <f>IFERROR(__xludf.DUMMYFUNCTION("""COMPUTED_VALUE"""),0.00222)</f>
        <v>0.00222</v>
      </c>
      <c r="I791" s="19" t="str">
        <f>IFERROR(__xludf.DUMMYFUNCTION("""COMPUTED_VALUE"""),"-")</f>
        <v>-</v>
      </c>
      <c r="J791" s="19">
        <f>IFERROR(__xludf.DUMMYFUNCTION("""COMPUTED_VALUE"""),0.00199)</f>
        <v>0.00199</v>
      </c>
      <c r="K791" s="19">
        <f>IFERROR(__xludf.DUMMYFUNCTION("""COMPUTED_VALUE"""),0.03971)</f>
        <v>0.03971</v>
      </c>
      <c r="L791" s="19" t="str">
        <f>IFERROR(__xludf.DUMMYFUNCTION("""COMPUTED_VALUE"""),"-")</f>
        <v>-</v>
      </c>
      <c r="M791" s="19">
        <f>IFERROR(__xludf.DUMMYFUNCTION("""COMPUTED_VALUE"""),0.03988)</f>
        <v>0.03988</v>
      </c>
    </row>
    <row r="792">
      <c r="A792" s="12" t="s">
        <v>8682</v>
      </c>
      <c r="G792" s="19">
        <f>IFERROR(__xludf.DUMMYFUNCTION("SPLIT(A790, "" |"")"),788.0)</f>
        <v>788</v>
      </c>
      <c r="H792" s="19">
        <f>IFERROR(__xludf.DUMMYFUNCTION("""COMPUTED_VALUE"""),0.00208)</f>
        <v>0.00208</v>
      </c>
      <c r="I792" s="19" t="str">
        <f>IFERROR(__xludf.DUMMYFUNCTION("""COMPUTED_VALUE"""),"-")</f>
        <v>-</v>
      </c>
      <c r="J792" s="19">
        <f>IFERROR(__xludf.DUMMYFUNCTION("""COMPUTED_VALUE"""),0.00203)</f>
        <v>0.00203</v>
      </c>
      <c r="K792" s="19">
        <f>IFERROR(__xludf.DUMMYFUNCTION("""COMPUTED_VALUE"""),0.03975)</f>
        <v>0.03975</v>
      </c>
      <c r="L792" s="19" t="str">
        <f>IFERROR(__xludf.DUMMYFUNCTION("""COMPUTED_VALUE"""),"-")</f>
        <v>-</v>
      </c>
      <c r="M792" s="19">
        <f>IFERROR(__xludf.DUMMYFUNCTION("""COMPUTED_VALUE"""),0.03981)</f>
        <v>0.03981</v>
      </c>
    </row>
    <row r="793">
      <c r="A793" s="12" t="s">
        <v>8683</v>
      </c>
      <c r="G793" s="19">
        <f>IFERROR(__xludf.DUMMYFUNCTION("SPLIT(A791, "" |"")"),789.0)</f>
        <v>789</v>
      </c>
      <c r="H793" s="19">
        <f>IFERROR(__xludf.DUMMYFUNCTION("""COMPUTED_VALUE"""),0.00207)</f>
        <v>0.00207</v>
      </c>
      <c r="I793" s="19" t="str">
        <f>IFERROR(__xludf.DUMMYFUNCTION("""COMPUTED_VALUE"""),"-")</f>
        <v>-</v>
      </c>
      <c r="J793" s="19">
        <f>IFERROR(__xludf.DUMMYFUNCTION("""COMPUTED_VALUE"""),0.00187)</f>
        <v>0.00187</v>
      </c>
      <c r="K793" s="19">
        <f>IFERROR(__xludf.DUMMYFUNCTION("""COMPUTED_VALUE"""),0.03973)</f>
        <v>0.03973</v>
      </c>
      <c r="L793" s="19" t="str">
        <f>IFERROR(__xludf.DUMMYFUNCTION("""COMPUTED_VALUE"""),"-")</f>
        <v>-</v>
      </c>
      <c r="M793" s="19">
        <f>IFERROR(__xludf.DUMMYFUNCTION("""COMPUTED_VALUE"""),0.03991)</f>
        <v>0.03991</v>
      </c>
    </row>
    <row r="794">
      <c r="A794" s="12" t="s">
        <v>8684</v>
      </c>
      <c r="G794" s="19">
        <f>IFERROR(__xludf.DUMMYFUNCTION("SPLIT(A792, "" |"")"),790.0)</f>
        <v>790</v>
      </c>
      <c r="H794" s="19">
        <f>IFERROR(__xludf.DUMMYFUNCTION("""COMPUTED_VALUE"""),0.00215)</f>
        <v>0.00215</v>
      </c>
      <c r="I794" s="19" t="str">
        <f>IFERROR(__xludf.DUMMYFUNCTION("""COMPUTED_VALUE"""),"-")</f>
        <v>-</v>
      </c>
      <c r="J794" s="19">
        <f>IFERROR(__xludf.DUMMYFUNCTION("""COMPUTED_VALUE"""),0.00196)</f>
        <v>0.00196</v>
      </c>
      <c r="K794" s="19">
        <f>IFERROR(__xludf.DUMMYFUNCTION("""COMPUTED_VALUE"""),0.03967)</f>
        <v>0.03967</v>
      </c>
      <c r="L794" s="19" t="str">
        <f>IFERROR(__xludf.DUMMYFUNCTION("""COMPUTED_VALUE"""),"-")</f>
        <v>-</v>
      </c>
      <c r="M794" s="19">
        <f>IFERROR(__xludf.DUMMYFUNCTION("""COMPUTED_VALUE"""),0.03975)</f>
        <v>0.03975</v>
      </c>
    </row>
    <row r="795">
      <c r="A795" s="12" t="s">
        <v>8685</v>
      </c>
      <c r="G795" s="19">
        <f>IFERROR(__xludf.DUMMYFUNCTION("SPLIT(A793, "" |"")"),791.0)</f>
        <v>791</v>
      </c>
      <c r="H795" s="19">
        <f>IFERROR(__xludf.DUMMYFUNCTION("""COMPUTED_VALUE"""),0.00195)</f>
        <v>0.00195</v>
      </c>
      <c r="I795" s="19" t="str">
        <f>IFERROR(__xludf.DUMMYFUNCTION("""COMPUTED_VALUE"""),"-")</f>
        <v>-</v>
      </c>
      <c r="J795" s="19">
        <f>IFERROR(__xludf.DUMMYFUNCTION("""COMPUTED_VALUE"""),0.00198)</f>
        <v>0.00198</v>
      </c>
      <c r="K795" s="19">
        <f>IFERROR(__xludf.DUMMYFUNCTION("""COMPUTED_VALUE"""),0.03967)</f>
        <v>0.03967</v>
      </c>
      <c r="L795" s="19" t="str">
        <f>IFERROR(__xludf.DUMMYFUNCTION("""COMPUTED_VALUE"""),"-")</f>
        <v>-</v>
      </c>
      <c r="M795" s="19">
        <f>IFERROR(__xludf.DUMMYFUNCTION("""COMPUTED_VALUE"""),0.03984)</f>
        <v>0.03984</v>
      </c>
    </row>
    <row r="796">
      <c r="A796" s="12" t="s">
        <v>8686</v>
      </c>
      <c r="G796" s="19">
        <f>IFERROR(__xludf.DUMMYFUNCTION("SPLIT(A794, "" |"")"),792.0)</f>
        <v>792</v>
      </c>
      <c r="H796" s="19">
        <f>IFERROR(__xludf.DUMMYFUNCTION("""COMPUTED_VALUE"""),0.00206)</f>
        <v>0.00206</v>
      </c>
      <c r="I796" s="19" t="str">
        <f>IFERROR(__xludf.DUMMYFUNCTION("""COMPUTED_VALUE"""),"-")</f>
        <v>-</v>
      </c>
      <c r="J796" s="19">
        <f>IFERROR(__xludf.DUMMYFUNCTION("""COMPUTED_VALUE"""),0.00189)</f>
        <v>0.00189</v>
      </c>
      <c r="K796" s="19">
        <f>IFERROR(__xludf.DUMMYFUNCTION("""COMPUTED_VALUE"""),0.03985)</f>
        <v>0.03985</v>
      </c>
      <c r="L796" s="19" t="str">
        <f>IFERROR(__xludf.DUMMYFUNCTION("""COMPUTED_VALUE"""),"-")</f>
        <v>-</v>
      </c>
      <c r="M796" s="19">
        <f>IFERROR(__xludf.DUMMYFUNCTION("""COMPUTED_VALUE"""),0.04)</f>
        <v>0.04</v>
      </c>
    </row>
    <row r="797">
      <c r="A797" s="12" t="s">
        <v>8687</v>
      </c>
      <c r="G797" s="19">
        <f>IFERROR(__xludf.DUMMYFUNCTION("SPLIT(A795, "" |"")"),793.0)</f>
        <v>793</v>
      </c>
      <c r="H797" s="19">
        <f>IFERROR(__xludf.DUMMYFUNCTION("""COMPUTED_VALUE"""),0.00209)</f>
        <v>0.00209</v>
      </c>
      <c r="I797" s="19" t="str">
        <f>IFERROR(__xludf.DUMMYFUNCTION("""COMPUTED_VALUE"""),"-")</f>
        <v>-</v>
      </c>
      <c r="J797" s="19">
        <f>IFERROR(__xludf.DUMMYFUNCTION("""COMPUTED_VALUE"""),0.00198)</f>
        <v>0.00198</v>
      </c>
      <c r="K797" s="19">
        <f>IFERROR(__xludf.DUMMYFUNCTION("""COMPUTED_VALUE"""),0.03968)</f>
        <v>0.03968</v>
      </c>
      <c r="L797" s="19" t="str">
        <f>IFERROR(__xludf.DUMMYFUNCTION("""COMPUTED_VALUE"""),"-")</f>
        <v>-</v>
      </c>
      <c r="M797" s="19">
        <f>IFERROR(__xludf.DUMMYFUNCTION("""COMPUTED_VALUE"""),0.03984)</f>
        <v>0.03984</v>
      </c>
    </row>
    <row r="798">
      <c r="A798" s="12" t="s">
        <v>8688</v>
      </c>
      <c r="G798" s="19">
        <f>IFERROR(__xludf.DUMMYFUNCTION("SPLIT(A796, "" |"")"),794.0)</f>
        <v>794</v>
      </c>
      <c r="H798" s="19">
        <f>IFERROR(__xludf.DUMMYFUNCTION("""COMPUTED_VALUE"""),0.00214)</f>
        <v>0.00214</v>
      </c>
      <c r="I798" s="19" t="str">
        <f>IFERROR(__xludf.DUMMYFUNCTION("""COMPUTED_VALUE"""),"-")</f>
        <v>-</v>
      </c>
      <c r="J798" s="19">
        <f>IFERROR(__xludf.DUMMYFUNCTION("""COMPUTED_VALUE"""),0.00189)</f>
        <v>0.00189</v>
      </c>
      <c r="K798" s="19">
        <f>IFERROR(__xludf.DUMMYFUNCTION("""COMPUTED_VALUE"""),0.04033)</f>
        <v>0.04033</v>
      </c>
      <c r="L798" s="19" t="str">
        <f>IFERROR(__xludf.DUMMYFUNCTION("""COMPUTED_VALUE"""),"-")</f>
        <v>-</v>
      </c>
      <c r="M798" s="19">
        <f>IFERROR(__xludf.DUMMYFUNCTION("""COMPUTED_VALUE"""),0.03982)</f>
        <v>0.03982</v>
      </c>
    </row>
    <row r="799">
      <c r="A799" s="12" t="s">
        <v>8689</v>
      </c>
      <c r="G799" s="19">
        <f>IFERROR(__xludf.DUMMYFUNCTION("SPLIT(A797, "" |"")"),795.0)</f>
        <v>795</v>
      </c>
      <c r="H799" s="19">
        <f>IFERROR(__xludf.DUMMYFUNCTION("""COMPUTED_VALUE"""),0.0021)</f>
        <v>0.0021</v>
      </c>
      <c r="I799" s="19" t="str">
        <f>IFERROR(__xludf.DUMMYFUNCTION("""COMPUTED_VALUE"""),"-")</f>
        <v>-</v>
      </c>
      <c r="J799" s="19">
        <f>IFERROR(__xludf.DUMMYFUNCTION("""COMPUTED_VALUE"""),0.00197)</f>
        <v>0.00197</v>
      </c>
      <c r="K799" s="19">
        <f>IFERROR(__xludf.DUMMYFUNCTION("""COMPUTED_VALUE"""),0.03928)</f>
        <v>0.03928</v>
      </c>
      <c r="L799" s="19" t="str">
        <f>IFERROR(__xludf.DUMMYFUNCTION("""COMPUTED_VALUE"""),"-")</f>
        <v>-</v>
      </c>
      <c r="M799" s="19">
        <f>IFERROR(__xludf.DUMMYFUNCTION("""COMPUTED_VALUE"""),0.03954)</f>
        <v>0.03954</v>
      </c>
    </row>
    <row r="800">
      <c r="A800" s="12" t="s">
        <v>8690</v>
      </c>
      <c r="G800" s="19">
        <f>IFERROR(__xludf.DUMMYFUNCTION("SPLIT(A798, "" |"")"),796.0)</f>
        <v>796</v>
      </c>
      <c r="H800" s="19">
        <f>IFERROR(__xludf.DUMMYFUNCTION("""COMPUTED_VALUE"""),0.00207)</f>
        <v>0.00207</v>
      </c>
      <c r="I800" s="19" t="str">
        <f>IFERROR(__xludf.DUMMYFUNCTION("""COMPUTED_VALUE"""),"-")</f>
        <v>-</v>
      </c>
      <c r="J800" s="19">
        <f>IFERROR(__xludf.DUMMYFUNCTION("""COMPUTED_VALUE"""),0.002)</f>
        <v>0.002</v>
      </c>
      <c r="K800" s="19">
        <f>IFERROR(__xludf.DUMMYFUNCTION("""COMPUTED_VALUE"""),0.0397)</f>
        <v>0.0397</v>
      </c>
      <c r="L800" s="19" t="str">
        <f>IFERROR(__xludf.DUMMYFUNCTION("""COMPUTED_VALUE"""),"-")</f>
        <v>-</v>
      </c>
      <c r="M800" s="19">
        <f>IFERROR(__xludf.DUMMYFUNCTION("""COMPUTED_VALUE"""),0.03977)</f>
        <v>0.03977</v>
      </c>
    </row>
    <row r="801">
      <c r="A801" s="12" t="s">
        <v>8691</v>
      </c>
      <c r="G801" s="19">
        <f>IFERROR(__xludf.DUMMYFUNCTION("SPLIT(A799, "" |"")"),797.0)</f>
        <v>797</v>
      </c>
      <c r="H801" s="19">
        <f>IFERROR(__xludf.DUMMYFUNCTION("""COMPUTED_VALUE"""),0.00208)</f>
        <v>0.00208</v>
      </c>
      <c r="I801" s="19" t="str">
        <f>IFERROR(__xludf.DUMMYFUNCTION("""COMPUTED_VALUE"""),"-")</f>
        <v>-</v>
      </c>
      <c r="J801" s="19">
        <f>IFERROR(__xludf.DUMMYFUNCTION("""COMPUTED_VALUE"""),0.00197)</f>
        <v>0.00197</v>
      </c>
      <c r="K801" s="19">
        <f>IFERROR(__xludf.DUMMYFUNCTION("""COMPUTED_VALUE"""),0.03972)</f>
        <v>0.03972</v>
      </c>
      <c r="L801" s="19" t="str">
        <f>IFERROR(__xludf.DUMMYFUNCTION("""COMPUTED_VALUE"""),"-")</f>
        <v>-</v>
      </c>
      <c r="M801" s="19">
        <f>IFERROR(__xludf.DUMMYFUNCTION("""COMPUTED_VALUE"""),0.03984)</f>
        <v>0.03984</v>
      </c>
    </row>
    <row r="802">
      <c r="A802" s="12" t="s">
        <v>8692</v>
      </c>
      <c r="G802" s="19">
        <f>IFERROR(__xludf.DUMMYFUNCTION("SPLIT(A800, "" |"")"),798.0)</f>
        <v>798</v>
      </c>
      <c r="H802" s="19">
        <f>IFERROR(__xludf.DUMMYFUNCTION("""COMPUTED_VALUE"""),0.00211)</f>
        <v>0.00211</v>
      </c>
      <c r="I802" s="19" t="str">
        <f>IFERROR(__xludf.DUMMYFUNCTION("""COMPUTED_VALUE"""),"-")</f>
        <v>-</v>
      </c>
      <c r="J802" s="19">
        <f>IFERROR(__xludf.DUMMYFUNCTION("""COMPUTED_VALUE"""),0.00194)</f>
        <v>0.00194</v>
      </c>
      <c r="K802" s="19">
        <f>IFERROR(__xludf.DUMMYFUNCTION("""COMPUTED_VALUE"""),0.03948)</f>
        <v>0.03948</v>
      </c>
      <c r="L802" s="19" t="str">
        <f>IFERROR(__xludf.DUMMYFUNCTION("""COMPUTED_VALUE"""),"-")</f>
        <v>-</v>
      </c>
      <c r="M802" s="19">
        <f>IFERROR(__xludf.DUMMYFUNCTION("""COMPUTED_VALUE"""),0.03978)</f>
        <v>0.03978</v>
      </c>
    </row>
    <row r="803">
      <c r="A803" s="12" t="s">
        <v>8693</v>
      </c>
      <c r="G803" s="19">
        <f>IFERROR(__xludf.DUMMYFUNCTION("SPLIT(A801, "" |"")"),799.0)</f>
        <v>799</v>
      </c>
      <c r="H803" s="19">
        <f>IFERROR(__xludf.DUMMYFUNCTION("""COMPUTED_VALUE"""),0.00209)</f>
        <v>0.00209</v>
      </c>
      <c r="I803" s="19" t="str">
        <f>IFERROR(__xludf.DUMMYFUNCTION("""COMPUTED_VALUE"""),"-")</f>
        <v>-</v>
      </c>
      <c r="J803" s="19">
        <f>IFERROR(__xludf.DUMMYFUNCTION("""COMPUTED_VALUE"""),0.00196)</f>
        <v>0.00196</v>
      </c>
      <c r="K803" s="19">
        <f>IFERROR(__xludf.DUMMYFUNCTION("""COMPUTED_VALUE"""),0.03772)</f>
        <v>0.03772</v>
      </c>
      <c r="L803" s="19" t="str">
        <f>IFERROR(__xludf.DUMMYFUNCTION("""COMPUTED_VALUE"""),"-")</f>
        <v>-</v>
      </c>
      <c r="M803" s="19">
        <f>IFERROR(__xludf.DUMMYFUNCTION("""COMPUTED_VALUE"""),0.03984)</f>
        <v>0.03984</v>
      </c>
    </row>
    <row r="804">
      <c r="A804" s="12" t="s">
        <v>8694</v>
      </c>
      <c r="G804" s="19">
        <f>IFERROR(__xludf.DUMMYFUNCTION("SPLIT(A802, "" |"")"),800.0)</f>
        <v>800</v>
      </c>
      <c r="H804" s="19">
        <f>IFERROR(__xludf.DUMMYFUNCTION("""COMPUTED_VALUE"""),0.00208)</f>
        <v>0.00208</v>
      </c>
      <c r="I804" s="19" t="str">
        <f>IFERROR(__xludf.DUMMYFUNCTION("""COMPUTED_VALUE"""),"-")</f>
        <v>-</v>
      </c>
      <c r="J804" s="19">
        <f>IFERROR(__xludf.DUMMYFUNCTION("""COMPUTED_VALUE"""),0.00199)</f>
        <v>0.00199</v>
      </c>
      <c r="K804" s="19">
        <f>IFERROR(__xludf.DUMMYFUNCTION("""COMPUTED_VALUE"""),0.03961)</f>
        <v>0.03961</v>
      </c>
      <c r="L804" s="19" t="str">
        <f>IFERROR(__xludf.DUMMYFUNCTION("""COMPUTED_VALUE"""),"-")</f>
        <v>-</v>
      </c>
      <c r="M804" s="19">
        <f>IFERROR(__xludf.DUMMYFUNCTION("""COMPUTED_VALUE"""),0.03969)</f>
        <v>0.03969</v>
      </c>
    </row>
    <row r="805">
      <c r="A805" s="12" t="s">
        <v>8695</v>
      </c>
      <c r="G805" s="19">
        <f>IFERROR(__xludf.DUMMYFUNCTION("SPLIT(A803, "" |"")"),801.0)</f>
        <v>801</v>
      </c>
      <c r="H805" s="19">
        <f>IFERROR(__xludf.DUMMYFUNCTION("""COMPUTED_VALUE"""),0.00213)</f>
        <v>0.00213</v>
      </c>
      <c r="I805" s="19" t="str">
        <f>IFERROR(__xludf.DUMMYFUNCTION("""COMPUTED_VALUE"""),"-")</f>
        <v>-</v>
      </c>
      <c r="J805" s="19">
        <f>IFERROR(__xludf.DUMMYFUNCTION("""COMPUTED_VALUE"""),0.00196)</f>
        <v>0.00196</v>
      </c>
      <c r="K805" s="19">
        <f>IFERROR(__xludf.DUMMYFUNCTION("""COMPUTED_VALUE"""),0.0397)</f>
        <v>0.0397</v>
      </c>
      <c r="L805" s="19" t="str">
        <f>IFERROR(__xludf.DUMMYFUNCTION("""COMPUTED_VALUE"""),"-")</f>
        <v>-</v>
      </c>
      <c r="M805" s="19">
        <f>IFERROR(__xludf.DUMMYFUNCTION("""COMPUTED_VALUE"""),0.03853)</f>
        <v>0.03853</v>
      </c>
    </row>
    <row r="806">
      <c r="A806" s="12" t="s">
        <v>8696</v>
      </c>
      <c r="G806" s="19">
        <f>IFERROR(__xludf.DUMMYFUNCTION("SPLIT(A804, "" |"")"),802.0)</f>
        <v>802</v>
      </c>
      <c r="H806" s="19">
        <f>IFERROR(__xludf.DUMMYFUNCTION("""COMPUTED_VALUE"""),0.00212)</f>
        <v>0.00212</v>
      </c>
      <c r="I806" s="19" t="str">
        <f>IFERROR(__xludf.DUMMYFUNCTION("""COMPUTED_VALUE"""),"-")</f>
        <v>-</v>
      </c>
      <c r="J806" s="19">
        <f>IFERROR(__xludf.DUMMYFUNCTION("""COMPUTED_VALUE"""),0.00199)</f>
        <v>0.00199</v>
      </c>
      <c r="K806" s="19">
        <f>IFERROR(__xludf.DUMMYFUNCTION("""COMPUTED_VALUE"""),0.03789)</f>
        <v>0.03789</v>
      </c>
      <c r="L806" s="19" t="str">
        <f>IFERROR(__xludf.DUMMYFUNCTION("""COMPUTED_VALUE"""),"-")</f>
        <v>-</v>
      </c>
      <c r="M806" s="19">
        <f>IFERROR(__xludf.DUMMYFUNCTION("""COMPUTED_VALUE"""),0.03976)</f>
        <v>0.03976</v>
      </c>
    </row>
    <row r="807">
      <c r="A807" s="12" t="s">
        <v>8697</v>
      </c>
      <c r="G807" s="19">
        <f>IFERROR(__xludf.DUMMYFUNCTION("SPLIT(A805, "" |"")"),803.0)</f>
        <v>803</v>
      </c>
      <c r="H807" s="19">
        <f>IFERROR(__xludf.DUMMYFUNCTION("""COMPUTED_VALUE"""),0.00206)</f>
        <v>0.00206</v>
      </c>
      <c r="I807" s="19" t="str">
        <f>IFERROR(__xludf.DUMMYFUNCTION("""COMPUTED_VALUE"""),"-")</f>
        <v>-</v>
      </c>
      <c r="J807" s="19">
        <f>IFERROR(__xludf.DUMMYFUNCTION("""COMPUTED_VALUE"""),0.00194)</f>
        <v>0.00194</v>
      </c>
      <c r="K807" s="19">
        <f>IFERROR(__xludf.DUMMYFUNCTION("""COMPUTED_VALUE"""),0.03966)</f>
        <v>0.03966</v>
      </c>
      <c r="L807" s="19" t="str">
        <f>IFERROR(__xludf.DUMMYFUNCTION("""COMPUTED_VALUE"""),"-")</f>
        <v>-</v>
      </c>
      <c r="M807" s="19">
        <f>IFERROR(__xludf.DUMMYFUNCTION("""COMPUTED_VALUE"""),0.03968)</f>
        <v>0.03968</v>
      </c>
    </row>
    <row r="808">
      <c r="A808" s="12" t="s">
        <v>8698</v>
      </c>
      <c r="G808" s="19">
        <f>IFERROR(__xludf.DUMMYFUNCTION("SPLIT(A806, "" |"")"),804.0)</f>
        <v>804</v>
      </c>
      <c r="H808" s="19">
        <f>IFERROR(__xludf.DUMMYFUNCTION("""COMPUTED_VALUE"""),0.00235)</f>
        <v>0.00235</v>
      </c>
      <c r="I808" s="19" t="str">
        <f>IFERROR(__xludf.DUMMYFUNCTION("""COMPUTED_VALUE"""),"-")</f>
        <v>-</v>
      </c>
      <c r="J808" s="19">
        <f>IFERROR(__xludf.DUMMYFUNCTION("""COMPUTED_VALUE"""),0.00199)</f>
        <v>0.00199</v>
      </c>
      <c r="K808" s="19">
        <f>IFERROR(__xludf.DUMMYFUNCTION("""COMPUTED_VALUE"""),0.03751)</f>
        <v>0.03751</v>
      </c>
      <c r="L808" s="19" t="str">
        <f>IFERROR(__xludf.DUMMYFUNCTION("""COMPUTED_VALUE"""),"-")</f>
        <v>-</v>
      </c>
      <c r="M808" s="19">
        <f>IFERROR(__xludf.DUMMYFUNCTION("""COMPUTED_VALUE"""),0.03737)</f>
        <v>0.03737</v>
      </c>
    </row>
    <row r="809">
      <c r="A809" s="12" t="s">
        <v>8699</v>
      </c>
      <c r="G809" s="19">
        <f>IFERROR(__xludf.DUMMYFUNCTION("SPLIT(A807, "" |"")"),805.0)</f>
        <v>805</v>
      </c>
      <c r="H809" s="19">
        <f>IFERROR(__xludf.DUMMYFUNCTION("""COMPUTED_VALUE"""),0.00208)</f>
        <v>0.00208</v>
      </c>
      <c r="I809" s="19" t="str">
        <f>IFERROR(__xludf.DUMMYFUNCTION("""COMPUTED_VALUE"""),"-")</f>
        <v>-</v>
      </c>
      <c r="J809" s="19">
        <f>IFERROR(__xludf.DUMMYFUNCTION("""COMPUTED_VALUE"""),0.00197)</f>
        <v>0.00197</v>
      </c>
      <c r="K809" s="19">
        <f>IFERROR(__xludf.DUMMYFUNCTION("""COMPUTED_VALUE"""),0.03841)</f>
        <v>0.03841</v>
      </c>
      <c r="L809" s="19" t="str">
        <f>IFERROR(__xludf.DUMMYFUNCTION("""COMPUTED_VALUE"""),"-")</f>
        <v>-</v>
      </c>
      <c r="M809" s="19">
        <f>IFERROR(__xludf.DUMMYFUNCTION("""COMPUTED_VALUE"""),0.04023)</f>
        <v>0.04023</v>
      </c>
    </row>
    <row r="810">
      <c r="A810" s="12" t="s">
        <v>8700</v>
      </c>
      <c r="G810" s="19">
        <f>IFERROR(__xludf.DUMMYFUNCTION("SPLIT(A808, "" |"")"),806.0)</f>
        <v>806</v>
      </c>
      <c r="H810" s="19">
        <f>IFERROR(__xludf.DUMMYFUNCTION("""COMPUTED_VALUE"""),0.00211)</f>
        <v>0.00211</v>
      </c>
      <c r="I810" s="19" t="str">
        <f>IFERROR(__xludf.DUMMYFUNCTION("""COMPUTED_VALUE"""),"-")</f>
        <v>-</v>
      </c>
      <c r="J810" s="19">
        <f>IFERROR(__xludf.DUMMYFUNCTION("""COMPUTED_VALUE"""),0.00198)</f>
        <v>0.00198</v>
      </c>
      <c r="K810" s="19">
        <f>IFERROR(__xludf.DUMMYFUNCTION("""COMPUTED_VALUE"""),0.03883)</f>
        <v>0.03883</v>
      </c>
      <c r="L810" s="19" t="str">
        <f>IFERROR(__xludf.DUMMYFUNCTION("""COMPUTED_VALUE"""),"-")</f>
        <v>-</v>
      </c>
      <c r="M810" s="19">
        <f>IFERROR(__xludf.DUMMYFUNCTION("""COMPUTED_VALUE"""),0.04031)</f>
        <v>0.04031</v>
      </c>
    </row>
    <row r="811">
      <c r="A811" s="12" t="s">
        <v>8701</v>
      </c>
      <c r="G811" s="19">
        <f>IFERROR(__xludf.DUMMYFUNCTION("SPLIT(A809, "" |"")"),807.0)</f>
        <v>807</v>
      </c>
      <c r="H811" s="19">
        <f>IFERROR(__xludf.DUMMYFUNCTION("""COMPUTED_VALUE"""),0.00207)</f>
        <v>0.00207</v>
      </c>
      <c r="I811" s="19" t="str">
        <f>IFERROR(__xludf.DUMMYFUNCTION("""COMPUTED_VALUE"""),"-")</f>
        <v>-</v>
      </c>
      <c r="J811" s="19">
        <f>IFERROR(__xludf.DUMMYFUNCTION("""COMPUTED_VALUE"""),0.00198)</f>
        <v>0.00198</v>
      </c>
      <c r="K811" s="19">
        <f>IFERROR(__xludf.DUMMYFUNCTION("""COMPUTED_VALUE"""),0.03818)</f>
        <v>0.03818</v>
      </c>
      <c r="L811" s="19" t="str">
        <f>IFERROR(__xludf.DUMMYFUNCTION("""COMPUTED_VALUE"""),"-")</f>
        <v>-</v>
      </c>
      <c r="M811" s="19">
        <f>IFERROR(__xludf.DUMMYFUNCTION("""COMPUTED_VALUE"""),0.03815)</f>
        <v>0.03815</v>
      </c>
    </row>
    <row r="812">
      <c r="A812" s="12" t="s">
        <v>8702</v>
      </c>
      <c r="G812" s="19">
        <f>IFERROR(__xludf.DUMMYFUNCTION("SPLIT(A810, "" |"")"),808.0)</f>
        <v>808</v>
      </c>
      <c r="H812" s="19">
        <f>IFERROR(__xludf.DUMMYFUNCTION("""COMPUTED_VALUE"""),0.00213)</f>
        <v>0.00213</v>
      </c>
      <c r="I812" s="19" t="str">
        <f>IFERROR(__xludf.DUMMYFUNCTION("""COMPUTED_VALUE"""),"-")</f>
        <v>-</v>
      </c>
      <c r="J812" s="19">
        <f>IFERROR(__xludf.DUMMYFUNCTION("""COMPUTED_VALUE"""),0.00193)</f>
        <v>0.00193</v>
      </c>
      <c r="K812" s="19">
        <f>IFERROR(__xludf.DUMMYFUNCTION("""COMPUTED_VALUE"""),0.03968)</f>
        <v>0.03968</v>
      </c>
      <c r="L812" s="19" t="str">
        <f>IFERROR(__xludf.DUMMYFUNCTION("""COMPUTED_VALUE"""),"-")</f>
        <v>-</v>
      </c>
      <c r="M812" s="19">
        <f>IFERROR(__xludf.DUMMYFUNCTION("""COMPUTED_VALUE"""),0.03978)</f>
        <v>0.03978</v>
      </c>
    </row>
    <row r="813">
      <c r="A813" s="12" t="s">
        <v>8703</v>
      </c>
      <c r="G813" s="19">
        <f>IFERROR(__xludf.DUMMYFUNCTION("SPLIT(A811, "" |"")"),809.0)</f>
        <v>809</v>
      </c>
      <c r="H813" s="19">
        <f>IFERROR(__xludf.DUMMYFUNCTION("""COMPUTED_VALUE"""),0.00211)</f>
        <v>0.00211</v>
      </c>
      <c r="I813" s="19" t="str">
        <f>IFERROR(__xludf.DUMMYFUNCTION("""COMPUTED_VALUE"""),"-")</f>
        <v>-</v>
      </c>
      <c r="J813" s="19">
        <f>IFERROR(__xludf.DUMMYFUNCTION("""COMPUTED_VALUE"""),0.002)</f>
        <v>0.002</v>
      </c>
      <c r="K813" s="19">
        <f>IFERROR(__xludf.DUMMYFUNCTION("""COMPUTED_VALUE"""),0.03971)</f>
        <v>0.03971</v>
      </c>
      <c r="L813" s="19" t="str">
        <f>IFERROR(__xludf.DUMMYFUNCTION("""COMPUTED_VALUE"""),"-")</f>
        <v>-</v>
      </c>
      <c r="M813" s="19">
        <f>IFERROR(__xludf.DUMMYFUNCTION("""COMPUTED_VALUE"""),0.03981)</f>
        <v>0.03981</v>
      </c>
    </row>
    <row r="814">
      <c r="A814" s="12" t="s">
        <v>8704</v>
      </c>
      <c r="G814" s="19">
        <f>IFERROR(__xludf.DUMMYFUNCTION("SPLIT(A812, "" |"")"),810.0)</f>
        <v>810</v>
      </c>
      <c r="H814" s="19">
        <f>IFERROR(__xludf.DUMMYFUNCTION("""COMPUTED_VALUE"""),0.0021)</f>
        <v>0.0021</v>
      </c>
      <c r="I814" s="19" t="str">
        <f>IFERROR(__xludf.DUMMYFUNCTION("""COMPUTED_VALUE"""),"-")</f>
        <v>-</v>
      </c>
      <c r="J814" s="19">
        <f>IFERROR(__xludf.DUMMYFUNCTION("""COMPUTED_VALUE"""),0.00198)</f>
        <v>0.00198</v>
      </c>
      <c r="K814" s="19">
        <f>IFERROR(__xludf.DUMMYFUNCTION("""COMPUTED_VALUE"""),0.03973)</f>
        <v>0.03973</v>
      </c>
      <c r="L814" s="19" t="str">
        <f>IFERROR(__xludf.DUMMYFUNCTION("""COMPUTED_VALUE"""),"-")</f>
        <v>-</v>
      </c>
      <c r="M814" s="19">
        <f>IFERROR(__xludf.DUMMYFUNCTION("""COMPUTED_VALUE"""),0.03988)</f>
        <v>0.03988</v>
      </c>
    </row>
    <row r="815">
      <c r="A815" s="12" t="s">
        <v>8705</v>
      </c>
      <c r="G815" s="19">
        <f>IFERROR(__xludf.DUMMYFUNCTION("SPLIT(A813, "" |"")"),811.0)</f>
        <v>811</v>
      </c>
      <c r="H815" s="19">
        <f>IFERROR(__xludf.DUMMYFUNCTION("""COMPUTED_VALUE"""),0.00219)</f>
        <v>0.00219</v>
      </c>
      <c r="I815" s="19" t="str">
        <f>IFERROR(__xludf.DUMMYFUNCTION("""COMPUTED_VALUE"""),"-")</f>
        <v>-</v>
      </c>
      <c r="J815" s="19">
        <f>IFERROR(__xludf.DUMMYFUNCTION("""COMPUTED_VALUE"""),0.002)</f>
        <v>0.002</v>
      </c>
      <c r="K815" s="19">
        <f>IFERROR(__xludf.DUMMYFUNCTION("""COMPUTED_VALUE"""),0.03974)</f>
        <v>0.03974</v>
      </c>
      <c r="L815" s="19" t="str">
        <f>IFERROR(__xludf.DUMMYFUNCTION("""COMPUTED_VALUE"""),"-")</f>
        <v>-</v>
      </c>
      <c r="M815" s="19">
        <f>IFERROR(__xludf.DUMMYFUNCTION("""COMPUTED_VALUE"""),0.03977)</f>
        <v>0.03977</v>
      </c>
    </row>
    <row r="816">
      <c r="A816" s="12" t="s">
        <v>8706</v>
      </c>
      <c r="G816" s="19">
        <f>IFERROR(__xludf.DUMMYFUNCTION("SPLIT(A814, "" |"")"),812.0)</f>
        <v>812</v>
      </c>
      <c r="H816" s="19">
        <f>IFERROR(__xludf.DUMMYFUNCTION("""COMPUTED_VALUE"""),0.00207)</f>
        <v>0.00207</v>
      </c>
      <c r="I816" s="19" t="str">
        <f>IFERROR(__xludf.DUMMYFUNCTION("""COMPUTED_VALUE"""),"-")</f>
        <v>-</v>
      </c>
      <c r="J816" s="19">
        <f>IFERROR(__xludf.DUMMYFUNCTION("""COMPUTED_VALUE"""),0.00187)</f>
        <v>0.00187</v>
      </c>
      <c r="K816" s="19">
        <f>IFERROR(__xludf.DUMMYFUNCTION("""COMPUTED_VALUE"""),0.0375)</f>
        <v>0.0375</v>
      </c>
      <c r="L816" s="19" t="str">
        <f>IFERROR(__xludf.DUMMYFUNCTION("""COMPUTED_VALUE"""),"-")</f>
        <v>-</v>
      </c>
      <c r="M816" s="19">
        <f>IFERROR(__xludf.DUMMYFUNCTION("""COMPUTED_VALUE"""),0.03969)</f>
        <v>0.03969</v>
      </c>
    </row>
    <row r="817">
      <c r="A817" s="12" t="s">
        <v>8707</v>
      </c>
      <c r="G817" s="19">
        <f>IFERROR(__xludf.DUMMYFUNCTION("SPLIT(A815, "" |"")"),813.0)</f>
        <v>813</v>
      </c>
      <c r="H817" s="19">
        <f>IFERROR(__xludf.DUMMYFUNCTION("""COMPUTED_VALUE"""),0.00217)</f>
        <v>0.00217</v>
      </c>
      <c r="I817" s="19" t="str">
        <f>IFERROR(__xludf.DUMMYFUNCTION("""COMPUTED_VALUE"""),"-")</f>
        <v>-</v>
      </c>
      <c r="J817" s="19">
        <f>IFERROR(__xludf.DUMMYFUNCTION("""COMPUTED_VALUE"""),0.00199)</f>
        <v>0.00199</v>
      </c>
      <c r="K817" s="19">
        <f>IFERROR(__xludf.DUMMYFUNCTION("""COMPUTED_VALUE"""),0.03974)</f>
        <v>0.03974</v>
      </c>
      <c r="L817" s="19" t="str">
        <f>IFERROR(__xludf.DUMMYFUNCTION("""COMPUTED_VALUE"""),"-")</f>
        <v>-</v>
      </c>
      <c r="M817" s="19">
        <f>IFERROR(__xludf.DUMMYFUNCTION("""COMPUTED_VALUE"""),0.03983)</f>
        <v>0.03983</v>
      </c>
    </row>
    <row r="818">
      <c r="A818" s="12" t="s">
        <v>8708</v>
      </c>
      <c r="G818" s="19">
        <f>IFERROR(__xludf.DUMMYFUNCTION("SPLIT(A816, "" |"")"),814.0)</f>
        <v>814</v>
      </c>
      <c r="H818" s="19">
        <f>IFERROR(__xludf.DUMMYFUNCTION("""COMPUTED_VALUE"""),0.00218)</f>
        <v>0.00218</v>
      </c>
      <c r="I818" s="19" t="str">
        <f>IFERROR(__xludf.DUMMYFUNCTION("""COMPUTED_VALUE"""),"-")</f>
        <v>-</v>
      </c>
      <c r="J818" s="19">
        <f>IFERROR(__xludf.DUMMYFUNCTION("""COMPUTED_VALUE"""),0.00199)</f>
        <v>0.00199</v>
      </c>
      <c r="K818" s="19">
        <f>IFERROR(__xludf.DUMMYFUNCTION("""COMPUTED_VALUE"""),0.03947)</f>
        <v>0.03947</v>
      </c>
      <c r="L818" s="19" t="str">
        <f>IFERROR(__xludf.DUMMYFUNCTION("""COMPUTED_VALUE"""),"-")</f>
        <v>-</v>
      </c>
      <c r="M818" s="19">
        <f>IFERROR(__xludf.DUMMYFUNCTION("""COMPUTED_VALUE"""),0.0398)</f>
        <v>0.0398</v>
      </c>
    </row>
    <row r="819">
      <c r="A819" s="12" t="s">
        <v>8709</v>
      </c>
      <c r="G819" s="19">
        <f>IFERROR(__xludf.DUMMYFUNCTION("SPLIT(A817, "" |"")"),815.0)</f>
        <v>815</v>
      </c>
      <c r="H819" s="19">
        <f>IFERROR(__xludf.DUMMYFUNCTION("""COMPUTED_VALUE"""),0.00214)</f>
        <v>0.00214</v>
      </c>
      <c r="I819" s="19" t="str">
        <f>IFERROR(__xludf.DUMMYFUNCTION("""COMPUTED_VALUE"""),"-")</f>
        <v>-</v>
      </c>
      <c r="J819" s="19">
        <f>IFERROR(__xludf.DUMMYFUNCTION("""COMPUTED_VALUE"""),0.00196)</f>
        <v>0.00196</v>
      </c>
      <c r="K819" s="19">
        <f>IFERROR(__xludf.DUMMYFUNCTION("""COMPUTED_VALUE"""),0.03971)</f>
        <v>0.03971</v>
      </c>
      <c r="L819" s="19" t="str">
        <f>IFERROR(__xludf.DUMMYFUNCTION("""COMPUTED_VALUE"""),"-")</f>
        <v>-</v>
      </c>
      <c r="M819" s="19">
        <f>IFERROR(__xludf.DUMMYFUNCTION("""COMPUTED_VALUE"""),0.03996)</f>
        <v>0.03996</v>
      </c>
    </row>
    <row r="820">
      <c r="A820" s="12" t="s">
        <v>8710</v>
      </c>
      <c r="G820" s="19">
        <f>IFERROR(__xludf.DUMMYFUNCTION("SPLIT(A818, "" |"")"),816.0)</f>
        <v>816</v>
      </c>
      <c r="H820" s="19">
        <f>IFERROR(__xludf.DUMMYFUNCTION("""COMPUTED_VALUE"""),0.00214)</f>
        <v>0.00214</v>
      </c>
      <c r="I820" s="19" t="str">
        <f>IFERROR(__xludf.DUMMYFUNCTION("""COMPUTED_VALUE"""),"-")</f>
        <v>-</v>
      </c>
      <c r="J820" s="19">
        <f>IFERROR(__xludf.DUMMYFUNCTION("""COMPUTED_VALUE"""),0.002)</f>
        <v>0.002</v>
      </c>
      <c r="K820" s="19">
        <f>IFERROR(__xludf.DUMMYFUNCTION("""COMPUTED_VALUE"""),0.03967)</f>
        <v>0.03967</v>
      </c>
      <c r="L820" s="19" t="str">
        <f>IFERROR(__xludf.DUMMYFUNCTION("""COMPUTED_VALUE"""),"-")</f>
        <v>-</v>
      </c>
      <c r="M820" s="19">
        <f>IFERROR(__xludf.DUMMYFUNCTION("""COMPUTED_VALUE"""),0.03752)</f>
        <v>0.03752</v>
      </c>
    </row>
    <row r="821">
      <c r="A821" s="12" t="s">
        <v>8711</v>
      </c>
      <c r="G821" s="19">
        <f>IFERROR(__xludf.DUMMYFUNCTION("SPLIT(A819, "" |"")"),817.0)</f>
        <v>817</v>
      </c>
      <c r="H821" s="19">
        <f>IFERROR(__xludf.DUMMYFUNCTION("""COMPUTED_VALUE"""),0.0022)</f>
        <v>0.0022</v>
      </c>
      <c r="I821" s="19" t="str">
        <f>IFERROR(__xludf.DUMMYFUNCTION("""COMPUTED_VALUE"""),"-")</f>
        <v>-</v>
      </c>
      <c r="J821" s="19">
        <f>IFERROR(__xludf.DUMMYFUNCTION("""COMPUTED_VALUE"""),0.00177)</f>
        <v>0.00177</v>
      </c>
      <c r="K821" s="19">
        <f>IFERROR(__xludf.DUMMYFUNCTION("""COMPUTED_VALUE"""),0.03927)</f>
        <v>0.03927</v>
      </c>
      <c r="L821" s="19" t="str">
        <f>IFERROR(__xludf.DUMMYFUNCTION("""COMPUTED_VALUE"""),"-")</f>
        <v>-</v>
      </c>
      <c r="M821" s="19">
        <f>IFERROR(__xludf.DUMMYFUNCTION("""COMPUTED_VALUE"""),0.03992)</f>
        <v>0.03992</v>
      </c>
    </row>
    <row r="822">
      <c r="A822" s="12" t="s">
        <v>8712</v>
      </c>
      <c r="G822" s="19">
        <f>IFERROR(__xludf.DUMMYFUNCTION("SPLIT(A820, "" |"")"),818.0)</f>
        <v>818</v>
      </c>
      <c r="H822" s="19">
        <f>IFERROR(__xludf.DUMMYFUNCTION("""COMPUTED_VALUE"""),0.00214)</f>
        <v>0.00214</v>
      </c>
      <c r="I822" s="19" t="str">
        <f>IFERROR(__xludf.DUMMYFUNCTION("""COMPUTED_VALUE"""),"-")</f>
        <v>-</v>
      </c>
      <c r="J822" s="19">
        <f>IFERROR(__xludf.DUMMYFUNCTION("""COMPUTED_VALUE"""),0.00201)</f>
        <v>0.00201</v>
      </c>
      <c r="K822" s="19">
        <f>IFERROR(__xludf.DUMMYFUNCTION("""COMPUTED_VALUE"""),0.03967)</f>
        <v>0.03967</v>
      </c>
      <c r="L822" s="19" t="str">
        <f>IFERROR(__xludf.DUMMYFUNCTION("""COMPUTED_VALUE"""),"-")</f>
        <v>-</v>
      </c>
      <c r="M822" s="19">
        <f>IFERROR(__xludf.DUMMYFUNCTION("""COMPUTED_VALUE"""),0.03971)</f>
        <v>0.03971</v>
      </c>
    </row>
    <row r="823">
      <c r="A823" s="12" t="s">
        <v>8713</v>
      </c>
      <c r="G823" s="19">
        <f>IFERROR(__xludf.DUMMYFUNCTION("SPLIT(A821, "" |"")"),819.0)</f>
        <v>819</v>
      </c>
      <c r="H823" s="19">
        <f>IFERROR(__xludf.DUMMYFUNCTION("""COMPUTED_VALUE"""),0.00207)</f>
        <v>0.00207</v>
      </c>
      <c r="I823" s="19" t="str">
        <f>IFERROR(__xludf.DUMMYFUNCTION("""COMPUTED_VALUE"""),"-")</f>
        <v>-</v>
      </c>
      <c r="J823" s="19">
        <f>IFERROR(__xludf.DUMMYFUNCTION("""COMPUTED_VALUE"""),0.00195)</f>
        <v>0.00195</v>
      </c>
      <c r="K823" s="19">
        <f>IFERROR(__xludf.DUMMYFUNCTION("""COMPUTED_VALUE"""),0.03973)</f>
        <v>0.03973</v>
      </c>
      <c r="L823" s="19" t="str">
        <f>IFERROR(__xludf.DUMMYFUNCTION("""COMPUTED_VALUE"""),"-")</f>
        <v>-</v>
      </c>
      <c r="M823" s="19">
        <f>IFERROR(__xludf.DUMMYFUNCTION("""COMPUTED_VALUE"""),0.03985)</f>
        <v>0.03985</v>
      </c>
    </row>
    <row r="824">
      <c r="A824" s="12" t="s">
        <v>8714</v>
      </c>
      <c r="G824" s="19">
        <f>IFERROR(__xludf.DUMMYFUNCTION("SPLIT(A822, "" |"")"),820.0)</f>
        <v>820</v>
      </c>
      <c r="H824" s="19">
        <f>IFERROR(__xludf.DUMMYFUNCTION("""COMPUTED_VALUE"""),0.00206)</f>
        <v>0.00206</v>
      </c>
      <c r="I824" s="19" t="str">
        <f>IFERROR(__xludf.DUMMYFUNCTION("""COMPUTED_VALUE"""),"-")</f>
        <v>-</v>
      </c>
      <c r="J824" s="19">
        <f>IFERROR(__xludf.DUMMYFUNCTION("""COMPUTED_VALUE"""),0.00199)</f>
        <v>0.00199</v>
      </c>
      <c r="K824" s="19">
        <f>IFERROR(__xludf.DUMMYFUNCTION("""COMPUTED_VALUE"""),0.03964)</f>
        <v>0.03964</v>
      </c>
      <c r="L824" s="19" t="str">
        <f>IFERROR(__xludf.DUMMYFUNCTION("""COMPUTED_VALUE"""),"-")</f>
        <v>-</v>
      </c>
      <c r="M824" s="19">
        <f>IFERROR(__xludf.DUMMYFUNCTION("""COMPUTED_VALUE"""),0.0403)</f>
        <v>0.0403</v>
      </c>
    </row>
    <row r="825">
      <c r="A825" s="12" t="s">
        <v>8715</v>
      </c>
      <c r="G825" s="19">
        <f>IFERROR(__xludf.DUMMYFUNCTION("SPLIT(A823, "" |"")"),821.0)</f>
        <v>821</v>
      </c>
      <c r="H825" s="19">
        <f>IFERROR(__xludf.DUMMYFUNCTION("""COMPUTED_VALUE"""),0.00208)</f>
        <v>0.00208</v>
      </c>
      <c r="I825" s="19" t="str">
        <f>IFERROR(__xludf.DUMMYFUNCTION("""COMPUTED_VALUE"""),"-")</f>
        <v>-</v>
      </c>
      <c r="J825" s="19">
        <f>IFERROR(__xludf.DUMMYFUNCTION("""COMPUTED_VALUE"""),0.002)</f>
        <v>0.002</v>
      </c>
      <c r="K825" s="19">
        <f>IFERROR(__xludf.DUMMYFUNCTION("""COMPUTED_VALUE"""),0.0397)</f>
        <v>0.0397</v>
      </c>
      <c r="L825" s="19" t="str">
        <f>IFERROR(__xludf.DUMMYFUNCTION("""COMPUTED_VALUE"""),"-")</f>
        <v>-</v>
      </c>
      <c r="M825" s="19">
        <f>IFERROR(__xludf.DUMMYFUNCTION("""COMPUTED_VALUE"""),0.03984)</f>
        <v>0.03984</v>
      </c>
    </row>
    <row r="826">
      <c r="A826" s="12" t="s">
        <v>8716</v>
      </c>
      <c r="G826" s="19">
        <f>IFERROR(__xludf.DUMMYFUNCTION("SPLIT(A824, "" |"")"),822.0)</f>
        <v>822</v>
      </c>
      <c r="H826" s="19">
        <f>IFERROR(__xludf.DUMMYFUNCTION("""COMPUTED_VALUE"""),0.00208)</f>
        <v>0.00208</v>
      </c>
      <c r="I826" s="19" t="str">
        <f>IFERROR(__xludf.DUMMYFUNCTION("""COMPUTED_VALUE"""),"-")</f>
        <v>-</v>
      </c>
      <c r="J826" s="19">
        <f>IFERROR(__xludf.DUMMYFUNCTION("""COMPUTED_VALUE"""),0.00199)</f>
        <v>0.00199</v>
      </c>
      <c r="K826" s="19">
        <f>IFERROR(__xludf.DUMMYFUNCTION("""COMPUTED_VALUE"""),0.03978)</f>
        <v>0.03978</v>
      </c>
      <c r="L826" s="19" t="str">
        <f>IFERROR(__xludf.DUMMYFUNCTION("""COMPUTED_VALUE"""),"-")</f>
        <v>-</v>
      </c>
      <c r="M826" s="19">
        <f>IFERROR(__xludf.DUMMYFUNCTION("""COMPUTED_VALUE"""),0.03934)</f>
        <v>0.03934</v>
      </c>
    </row>
    <row r="827">
      <c r="A827" s="12" t="s">
        <v>8717</v>
      </c>
      <c r="G827" s="19">
        <f>IFERROR(__xludf.DUMMYFUNCTION("SPLIT(A825, "" |"")"),823.0)</f>
        <v>823</v>
      </c>
      <c r="H827" s="19">
        <f>IFERROR(__xludf.DUMMYFUNCTION("""COMPUTED_VALUE"""),0.00208)</f>
        <v>0.00208</v>
      </c>
      <c r="I827" s="19" t="str">
        <f>IFERROR(__xludf.DUMMYFUNCTION("""COMPUTED_VALUE"""),"-")</f>
        <v>-</v>
      </c>
      <c r="J827" s="19">
        <f>IFERROR(__xludf.DUMMYFUNCTION("""COMPUTED_VALUE"""),0.00185)</f>
        <v>0.00185</v>
      </c>
      <c r="K827" s="19">
        <f>IFERROR(__xludf.DUMMYFUNCTION("""COMPUTED_VALUE"""),0.03965)</f>
        <v>0.03965</v>
      </c>
      <c r="L827" s="19" t="str">
        <f>IFERROR(__xludf.DUMMYFUNCTION("""COMPUTED_VALUE"""),"-")</f>
        <v>-</v>
      </c>
      <c r="M827" s="19">
        <f>IFERROR(__xludf.DUMMYFUNCTION("""COMPUTED_VALUE"""),0.03985)</f>
        <v>0.03985</v>
      </c>
    </row>
    <row r="828">
      <c r="A828" s="12" t="s">
        <v>8718</v>
      </c>
      <c r="G828" s="19">
        <f>IFERROR(__xludf.DUMMYFUNCTION("SPLIT(A826, "" |"")"),824.0)</f>
        <v>824</v>
      </c>
      <c r="H828" s="19">
        <f>IFERROR(__xludf.DUMMYFUNCTION("""COMPUTED_VALUE"""),0.0022)</f>
        <v>0.0022</v>
      </c>
      <c r="I828" s="19" t="str">
        <f>IFERROR(__xludf.DUMMYFUNCTION("""COMPUTED_VALUE"""),"-")</f>
        <v>-</v>
      </c>
      <c r="J828" s="19">
        <f>IFERROR(__xludf.DUMMYFUNCTION("""COMPUTED_VALUE"""),0.002)</f>
        <v>0.002</v>
      </c>
      <c r="K828" s="19">
        <f>IFERROR(__xludf.DUMMYFUNCTION("""COMPUTED_VALUE"""),0.03951)</f>
        <v>0.03951</v>
      </c>
      <c r="L828" s="19" t="str">
        <f>IFERROR(__xludf.DUMMYFUNCTION("""COMPUTED_VALUE"""),"-")</f>
        <v>-</v>
      </c>
      <c r="M828" s="19">
        <f>IFERROR(__xludf.DUMMYFUNCTION("""COMPUTED_VALUE"""),0.03826)</f>
        <v>0.03826</v>
      </c>
    </row>
    <row r="829">
      <c r="A829" s="12" t="s">
        <v>8719</v>
      </c>
      <c r="G829" s="19">
        <f>IFERROR(__xludf.DUMMYFUNCTION("SPLIT(A827, "" |"")"),825.0)</f>
        <v>825</v>
      </c>
      <c r="H829" s="19">
        <f>IFERROR(__xludf.DUMMYFUNCTION("""COMPUTED_VALUE"""),0.00214)</f>
        <v>0.00214</v>
      </c>
      <c r="I829" s="19" t="str">
        <f>IFERROR(__xludf.DUMMYFUNCTION("""COMPUTED_VALUE"""),"-")</f>
        <v>-</v>
      </c>
      <c r="J829" s="19">
        <f>IFERROR(__xludf.DUMMYFUNCTION("""COMPUTED_VALUE"""),0.00195)</f>
        <v>0.00195</v>
      </c>
      <c r="K829" s="19">
        <f>IFERROR(__xludf.DUMMYFUNCTION("""COMPUTED_VALUE"""),0.0397)</f>
        <v>0.0397</v>
      </c>
      <c r="L829" s="19" t="str">
        <f>IFERROR(__xludf.DUMMYFUNCTION("""COMPUTED_VALUE"""),"-")</f>
        <v>-</v>
      </c>
      <c r="M829" s="19">
        <f>IFERROR(__xludf.DUMMYFUNCTION("""COMPUTED_VALUE"""),0.03974)</f>
        <v>0.03974</v>
      </c>
    </row>
    <row r="830">
      <c r="A830" s="12" t="s">
        <v>8720</v>
      </c>
      <c r="G830" s="19">
        <f>IFERROR(__xludf.DUMMYFUNCTION("SPLIT(A828, "" |"")"),826.0)</f>
        <v>826</v>
      </c>
      <c r="H830" s="19">
        <f>IFERROR(__xludf.DUMMYFUNCTION("""COMPUTED_VALUE"""),0.00207)</f>
        <v>0.00207</v>
      </c>
      <c r="I830" s="19" t="str">
        <f>IFERROR(__xludf.DUMMYFUNCTION("""COMPUTED_VALUE"""),"-")</f>
        <v>-</v>
      </c>
      <c r="J830" s="19">
        <f>IFERROR(__xludf.DUMMYFUNCTION("""COMPUTED_VALUE"""),0.00199)</f>
        <v>0.00199</v>
      </c>
      <c r="K830" s="19">
        <f>IFERROR(__xludf.DUMMYFUNCTION("""COMPUTED_VALUE"""),0.03973)</f>
        <v>0.03973</v>
      </c>
      <c r="L830" s="19" t="str">
        <f>IFERROR(__xludf.DUMMYFUNCTION("""COMPUTED_VALUE"""),"-")</f>
        <v>-</v>
      </c>
      <c r="M830" s="19">
        <f>IFERROR(__xludf.DUMMYFUNCTION("""COMPUTED_VALUE"""),0.0399)</f>
        <v>0.0399</v>
      </c>
    </row>
    <row r="831">
      <c r="A831" s="12" t="s">
        <v>8721</v>
      </c>
      <c r="G831" s="19">
        <f>IFERROR(__xludf.DUMMYFUNCTION("SPLIT(A829, "" |"")"),827.0)</f>
        <v>827</v>
      </c>
      <c r="H831" s="19">
        <f>IFERROR(__xludf.DUMMYFUNCTION("""COMPUTED_VALUE"""),0.00211)</f>
        <v>0.00211</v>
      </c>
      <c r="I831" s="19" t="str">
        <f>IFERROR(__xludf.DUMMYFUNCTION("""COMPUTED_VALUE"""),"-")</f>
        <v>-</v>
      </c>
      <c r="J831" s="19">
        <f>IFERROR(__xludf.DUMMYFUNCTION("""COMPUTED_VALUE"""),0.00194)</f>
        <v>0.00194</v>
      </c>
      <c r="K831" s="19">
        <f>IFERROR(__xludf.DUMMYFUNCTION("""COMPUTED_VALUE"""),0.03966)</f>
        <v>0.03966</v>
      </c>
      <c r="L831" s="19" t="str">
        <f>IFERROR(__xludf.DUMMYFUNCTION("""COMPUTED_VALUE"""),"-")</f>
        <v>-</v>
      </c>
      <c r="M831" s="19">
        <f>IFERROR(__xludf.DUMMYFUNCTION("""COMPUTED_VALUE"""),0.03985)</f>
        <v>0.03985</v>
      </c>
    </row>
    <row r="832">
      <c r="A832" s="12" t="s">
        <v>8722</v>
      </c>
      <c r="G832" s="19">
        <f>IFERROR(__xludf.DUMMYFUNCTION("SPLIT(A830, "" |"")"),828.0)</f>
        <v>828</v>
      </c>
      <c r="H832" s="19">
        <f>IFERROR(__xludf.DUMMYFUNCTION("""COMPUTED_VALUE"""),0.00207)</f>
        <v>0.00207</v>
      </c>
      <c r="I832" s="19" t="str">
        <f>IFERROR(__xludf.DUMMYFUNCTION("""COMPUTED_VALUE"""),"-")</f>
        <v>-</v>
      </c>
      <c r="J832" s="19">
        <f>IFERROR(__xludf.DUMMYFUNCTION("""COMPUTED_VALUE"""),0.00198)</f>
        <v>0.00198</v>
      </c>
      <c r="K832" s="19">
        <f>IFERROR(__xludf.DUMMYFUNCTION("""COMPUTED_VALUE"""),0.03967)</f>
        <v>0.03967</v>
      </c>
      <c r="L832" s="19" t="str">
        <f>IFERROR(__xludf.DUMMYFUNCTION("""COMPUTED_VALUE"""),"-")</f>
        <v>-</v>
      </c>
      <c r="M832" s="19">
        <f>IFERROR(__xludf.DUMMYFUNCTION("""COMPUTED_VALUE"""),0.03993)</f>
        <v>0.03993</v>
      </c>
    </row>
    <row r="833">
      <c r="A833" s="12" t="s">
        <v>8723</v>
      </c>
      <c r="G833" s="19">
        <f>IFERROR(__xludf.DUMMYFUNCTION("SPLIT(A831, "" |"")"),829.0)</f>
        <v>829</v>
      </c>
      <c r="H833" s="19">
        <f>IFERROR(__xludf.DUMMYFUNCTION("""COMPUTED_VALUE"""),0.00222)</f>
        <v>0.00222</v>
      </c>
      <c r="I833" s="19" t="str">
        <f>IFERROR(__xludf.DUMMYFUNCTION("""COMPUTED_VALUE"""),"-")</f>
        <v>-</v>
      </c>
      <c r="J833" s="19">
        <f>IFERROR(__xludf.DUMMYFUNCTION("""COMPUTED_VALUE"""),0.00202)</f>
        <v>0.00202</v>
      </c>
      <c r="K833" s="19">
        <f>IFERROR(__xludf.DUMMYFUNCTION("""COMPUTED_VALUE"""),0.03972)</f>
        <v>0.03972</v>
      </c>
      <c r="L833" s="19" t="str">
        <f>IFERROR(__xludf.DUMMYFUNCTION("""COMPUTED_VALUE"""),"-")</f>
        <v>-</v>
      </c>
      <c r="M833" s="19">
        <f>IFERROR(__xludf.DUMMYFUNCTION("""COMPUTED_VALUE"""),0.03992)</f>
        <v>0.03992</v>
      </c>
    </row>
    <row r="834">
      <c r="A834" s="12" t="s">
        <v>8724</v>
      </c>
      <c r="G834" s="19">
        <f>IFERROR(__xludf.DUMMYFUNCTION("SPLIT(A832, "" |"")"),830.0)</f>
        <v>830</v>
      </c>
      <c r="H834" s="19">
        <f>IFERROR(__xludf.DUMMYFUNCTION("""COMPUTED_VALUE"""),0.00209)</f>
        <v>0.00209</v>
      </c>
      <c r="I834" s="19" t="str">
        <f>IFERROR(__xludf.DUMMYFUNCTION("""COMPUTED_VALUE"""),"-")</f>
        <v>-</v>
      </c>
      <c r="J834" s="19">
        <f>IFERROR(__xludf.DUMMYFUNCTION("""COMPUTED_VALUE"""),0.00202)</f>
        <v>0.00202</v>
      </c>
      <c r="K834" s="19">
        <f>IFERROR(__xludf.DUMMYFUNCTION("""COMPUTED_VALUE"""),0.03969)</f>
        <v>0.03969</v>
      </c>
      <c r="L834" s="19" t="str">
        <f>IFERROR(__xludf.DUMMYFUNCTION("""COMPUTED_VALUE"""),"-")</f>
        <v>-</v>
      </c>
      <c r="M834" s="19">
        <f>IFERROR(__xludf.DUMMYFUNCTION("""COMPUTED_VALUE"""),0.03976)</f>
        <v>0.03976</v>
      </c>
    </row>
    <row r="835">
      <c r="A835" s="12" t="s">
        <v>8725</v>
      </c>
      <c r="G835" s="19">
        <f>IFERROR(__xludf.DUMMYFUNCTION("SPLIT(A833, "" |"")"),831.0)</f>
        <v>831</v>
      </c>
      <c r="H835" s="19">
        <f>IFERROR(__xludf.DUMMYFUNCTION("""COMPUTED_VALUE"""),0.00212)</f>
        <v>0.00212</v>
      </c>
      <c r="I835" s="19" t="str">
        <f>IFERROR(__xludf.DUMMYFUNCTION("""COMPUTED_VALUE"""),"-")</f>
        <v>-</v>
      </c>
      <c r="J835" s="19">
        <f>IFERROR(__xludf.DUMMYFUNCTION("""COMPUTED_VALUE"""),0.002)</f>
        <v>0.002</v>
      </c>
      <c r="K835" s="19">
        <f>IFERROR(__xludf.DUMMYFUNCTION("""COMPUTED_VALUE"""),0.03973)</f>
        <v>0.03973</v>
      </c>
      <c r="L835" s="19" t="str">
        <f>IFERROR(__xludf.DUMMYFUNCTION("""COMPUTED_VALUE"""),"-")</f>
        <v>-</v>
      </c>
      <c r="M835" s="19">
        <f>IFERROR(__xludf.DUMMYFUNCTION("""COMPUTED_VALUE"""),0.03989)</f>
        <v>0.03989</v>
      </c>
    </row>
    <row r="836">
      <c r="A836" s="12" t="s">
        <v>8726</v>
      </c>
      <c r="G836" s="19">
        <f>IFERROR(__xludf.DUMMYFUNCTION("SPLIT(A834, "" |"")"),832.0)</f>
        <v>832</v>
      </c>
      <c r="H836" s="19">
        <f>IFERROR(__xludf.DUMMYFUNCTION("""COMPUTED_VALUE"""),0.00218)</f>
        <v>0.00218</v>
      </c>
      <c r="I836" s="19" t="str">
        <f>IFERROR(__xludf.DUMMYFUNCTION("""COMPUTED_VALUE"""),"-")</f>
        <v>-</v>
      </c>
      <c r="J836" s="19">
        <f>IFERROR(__xludf.DUMMYFUNCTION("""COMPUTED_VALUE"""),0.00202)</f>
        <v>0.00202</v>
      </c>
      <c r="K836" s="19">
        <f>IFERROR(__xludf.DUMMYFUNCTION("""COMPUTED_VALUE"""),0.03976)</f>
        <v>0.03976</v>
      </c>
      <c r="L836" s="19" t="str">
        <f>IFERROR(__xludf.DUMMYFUNCTION("""COMPUTED_VALUE"""),"-")</f>
        <v>-</v>
      </c>
      <c r="M836" s="19">
        <f>IFERROR(__xludf.DUMMYFUNCTION("""COMPUTED_VALUE"""),0.03986)</f>
        <v>0.03986</v>
      </c>
    </row>
    <row r="837">
      <c r="A837" s="12" t="s">
        <v>8727</v>
      </c>
      <c r="G837" s="19">
        <f>IFERROR(__xludf.DUMMYFUNCTION("SPLIT(A835, "" |"")"),833.0)</f>
        <v>833</v>
      </c>
      <c r="H837" s="19">
        <f>IFERROR(__xludf.DUMMYFUNCTION("""COMPUTED_VALUE"""),0.0021)</f>
        <v>0.0021</v>
      </c>
      <c r="I837" s="19" t="str">
        <f>IFERROR(__xludf.DUMMYFUNCTION("""COMPUTED_VALUE"""),"-")</f>
        <v>-</v>
      </c>
      <c r="J837" s="19">
        <f>IFERROR(__xludf.DUMMYFUNCTION("""COMPUTED_VALUE"""),0.00195)</f>
        <v>0.00195</v>
      </c>
      <c r="K837" s="19">
        <f>IFERROR(__xludf.DUMMYFUNCTION("""COMPUTED_VALUE"""),0.03958)</f>
        <v>0.03958</v>
      </c>
      <c r="L837" s="19" t="str">
        <f>IFERROR(__xludf.DUMMYFUNCTION("""COMPUTED_VALUE"""),"-")</f>
        <v>-</v>
      </c>
      <c r="M837" s="19">
        <f>IFERROR(__xludf.DUMMYFUNCTION("""COMPUTED_VALUE"""),0.03972)</f>
        <v>0.03972</v>
      </c>
    </row>
    <row r="838">
      <c r="A838" s="12" t="s">
        <v>8728</v>
      </c>
      <c r="G838" s="19">
        <f>IFERROR(__xludf.DUMMYFUNCTION("SPLIT(A836, "" |"")"),834.0)</f>
        <v>834</v>
      </c>
      <c r="H838" s="19">
        <f>IFERROR(__xludf.DUMMYFUNCTION("""COMPUTED_VALUE"""),0.00212)</f>
        <v>0.00212</v>
      </c>
      <c r="I838" s="19" t="str">
        <f>IFERROR(__xludf.DUMMYFUNCTION("""COMPUTED_VALUE"""),"-")</f>
        <v>-</v>
      </c>
      <c r="J838" s="19">
        <f>IFERROR(__xludf.DUMMYFUNCTION("""COMPUTED_VALUE"""),0.00194)</f>
        <v>0.00194</v>
      </c>
      <c r="K838" s="19">
        <f>IFERROR(__xludf.DUMMYFUNCTION("""COMPUTED_VALUE"""),0.03736)</f>
        <v>0.03736</v>
      </c>
      <c r="L838" s="19" t="str">
        <f>IFERROR(__xludf.DUMMYFUNCTION("""COMPUTED_VALUE"""),"-")</f>
        <v>-</v>
      </c>
      <c r="M838" s="19">
        <f>IFERROR(__xludf.DUMMYFUNCTION("""COMPUTED_VALUE"""),0.03988)</f>
        <v>0.03988</v>
      </c>
    </row>
    <row r="839">
      <c r="A839" s="12" t="s">
        <v>8729</v>
      </c>
      <c r="G839" s="19">
        <f>IFERROR(__xludf.DUMMYFUNCTION("SPLIT(A837, "" |"")"),835.0)</f>
        <v>835</v>
      </c>
      <c r="H839" s="19">
        <f>IFERROR(__xludf.DUMMYFUNCTION("""COMPUTED_VALUE"""),0.00199)</f>
        <v>0.00199</v>
      </c>
      <c r="I839" s="19" t="str">
        <f>IFERROR(__xludf.DUMMYFUNCTION("""COMPUTED_VALUE"""),"-")</f>
        <v>-</v>
      </c>
      <c r="J839" s="19">
        <f>IFERROR(__xludf.DUMMYFUNCTION("""COMPUTED_VALUE"""),0.00185)</f>
        <v>0.00185</v>
      </c>
      <c r="K839" s="19">
        <f>IFERROR(__xludf.DUMMYFUNCTION("""COMPUTED_VALUE"""),0.03959)</f>
        <v>0.03959</v>
      </c>
      <c r="L839" s="19" t="str">
        <f>IFERROR(__xludf.DUMMYFUNCTION("""COMPUTED_VALUE"""),"-")</f>
        <v>-</v>
      </c>
      <c r="M839" s="19">
        <f>IFERROR(__xludf.DUMMYFUNCTION("""COMPUTED_VALUE"""),0.03987)</f>
        <v>0.03987</v>
      </c>
    </row>
    <row r="840">
      <c r="A840" s="12" t="s">
        <v>8730</v>
      </c>
      <c r="G840" s="19">
        <f>IFERROR(__xludf.DUMMYFUNCTION("SPLIT(A838, "" |"")"),836.0)</f>
        <v>836</v>
      </c>
      <c r="H840" s="19">
        <f>IFERROR(__xludf.DUMMYFUNCTION("""COMPUTED_VALUE"""),0.00217)</f>
        <v>0.00217</v>
      </c>
      <c r="I840" s="19" t="str">
        <f>IFERROR(__xludf.DUMMYFUNCTION("""COMPUTED_VALUE"""),"-")</f>
        <v>-</v>
      </c>
      <c r="J840" s="19">
        <f>IFERROR(__xludf.DUMMYFUNCTION("""COMPUTED_VALUE"""),0.00199)</f>
        <v>0.00199</v>
      </c>
      <c r="K840" s="19">
        <f>IFERROR(__xludf.DUMMYFUNCTION("""COMPUTED_VALUE"""),0.03855)</f>
        <v>0.03855</v>
      </c>
      <c r="L840" s="19" t="str">
        <f>IFERROR(__xludf.DUMMYFUNCTION("""COMPUTED_VALUE"""),"-")</f>
        <v>-</v>
      </c>
      <c r="M840" s="19">
        <f>IFERROR(__xludf.DUMMYFUNCTION("""COMPUTED_VALUE"""),0.03986)</f>
        <v>0.03986</v>
      </c>
    </row>
    <row r="841">
      <c r="A841" s="12" t="s">
        <v>8731</v>
      </c>
      <c r="G841" s="19">
        <f>IFERROR(__xludf.DUMMYFUNCTION("SPLIT(A839, "" |"")"),837.0)</f>
        <v>837</v>
      </c>
      <c r="H841" s="19">
        <f>IFERROR(__xludf.DUMMYFUNCTION("""COMPUTED_VALUE"""),0.00212)</f>
        <v>0.00212</v>
      </c>
      <c r="I841" s="19" t="str">
        <f>IFERROR(__xludf.DUMMYFUNCTION("""COMPUTED_VALUE"""),"-")</f>
        <v>-</v>
      </c>
      <c r="J841" s="19">
        <f>IFERROR(__xludf.DUMMYFUNCTION("""COMPUTED_VALUE"""),0.00196)</f>
        <v>0.00196</v>
      </c>
      <c r="K841" s="19">
        <f>IFERROR(__xludf.DUMMYFUNCTION("""COMPUTED_VALUE"""),0.03964)</f>
        <v>0.03964</v>
      </c>
      <c r="L841" s="19" t="str">
        <f>IFERROR(__xludf.DUMMYFUNCTION("""COMPUTED_VALUE"""),"-")</f>
        <v>-</v>
      </c>
      <c r="M841" s="19">
        <f>IFERROR(__xludf.DUMMYFUNCTION("""COMPUTED_VALUE"""),0.03967)</f>
        <v>0.03967</v>
      </c>
    </row>
    <row r="842">
      <c r="A842" s="12" t="s">
        <v>8732</v>
      </c>
      <c r="G842" s="19">
        <f>IFERROR(__xludf.DUMMYFUNCTION("SPLIT(A840, "" |"")"),838.0)</f>
        <v>838</v>
      </c>
      <c r="H842" s="19">
        <f>IFERROR(__xludf.DUMMYFUNCTION("""COMPUTED_VALUE"""),0.00199)</f>
        <v>0.00199</v>
      </c>
      <c r="I842" s="19" t="str">
        <f>IFERROR(__xludf.DUMMYFUNCTION("""COMPUTED_VALUE"""),"-")</f>
        <v>-</v>
      </c>
      <c r="J842" s="19">
        <f>IFERROR(__xludf.DUMMYFUNCTION("""COMPUTED_VALUE"""),0.00186)</f>
        <v>0.00186</v>
      </c>
      <c r="K842" s="19">
        <f>IFERROR(__xludf.DUMMYFUNCTION("""COMPUTED_VALUE"""),0.03957)</f>
        <v>0.03957</v>
      </c>
      <c r="L842" s="19" t="str">
        <f>IFERROR(__xludf.DUMMYFUNCTION("""COMPUTED_VALUE"""),"-")</f>
        <v>-</v>
      </c>
      <c r="M842" s="19">
        <f>IFERROR(__xludf.DUMMYFUNCTION("""COMPUTED_VALUE"""),0.03972)</f>
        <v>0.03972</v>
      </c>
    </row>
    <row r="843">
      <c r="A843" s="12" t="s">
        <v>8733</v>
      </c>
      <c r="G843" s="19">
        <f>IFERROR(__xludf.DUMMYFUNCTION("SPLIT(A841, "" |"")"),839.0)</f>
        <v>839</v>
      </c>
      <c r="H843" s="19">
        <f>IFERROR(__xludf.DUMMYFUNCTION("""COMPUTED_VALUE"""),0.00213)</f>
        <v>0.00213</v>
      </c>
      <c r="I843" s="19" t="str">
        <f>IFERROR(__xludf.DUMMYFUNCTION("""COMPUTED_VALUE"""),"-")</f>
        <v>-</v>
      </c>
      <c r="J843" s="19">
        <f>IFERROR(__xludf.DUMMYFUNCTION("""COMPUTED_VALUE"""),0.00196)</f>
        <v>0.00196</v>
      </c>
      <c r="K843" s="19">
        <f>IFERROR(__xludf.DUMMYFUNCTION("""COMPUTED_VALUE"""),0.03972)</f>
        <v>0.03972</v>
      </c>
      <c r="L843" s="19" t="str">
        <f>IFERROR(__xludf.DUMMYFUNCTION("""COMPUTED_VALUE"""),"-")</f>
        <v>-</v>
      </c>
      <c r="M843" s="19">
        <f>IFERROR(__xludf.DUMMYFUNCTION("""COMPUTED_VALUE"""),0.03768)</f>
        <v>0.03768</v>
      </c>
    </row>
    <row r="844">
      <c r="A844" s="12" t="s">
        <v>8734</v>
      </c>
      <c r="G844" s="19">
        <f>IFERROR(__xludf.DUMMYFUNCTION("SPLIT(A842, "" |"")"),840.0)</f>
        <v>840</v>
      </c>
      <c r="H844" s="19">
        <f>IFERROR(__xludf.DUMMYFUNCTION("""COMPUTED_VALUE"""),0.00208)</f>
        <v>0.00208</v>
      </c>
      <c r="I844" s="19" t="str">
        <f>IFERROR(__xludf.DUMMYFUNCTION("""COMPUTED_VALUE"""),"-")</f>
        <v>-</v>
      </c>
      <c r="J844" s="19">
        <f>IFERROR(__xludf.DUMMYFUNCTION("""COMPUTED_VALUE"""),0.00188)</f>
        <v>0.00188</v>
      </c>
      <c r="K844" s="19">
        <f>IFERROR(__xludf.DUMMYFUNCTION("""COMPUTED_VALUE"""),0.0396)</f>
        <v>0.0396</v>
      </c>
      <c r="L844" s="19" t="str">
        <f>IFERROR(__xludf.DUMMYFUNCTION("""COMPUTED_VALUE"""),"-")</f>
        <v>-</v>
      </c>
      <c r="M844" s="19">
        <f>IFERROR(__xludf.DUMMYFUNCTION("""COMPUTED_VALUE"""),0.03985)</f>
        <v>0.03985</v>
      </c>
    </row>
    <row r="845">
      <c r="A845" s="12" t="s">
        <v>8735</v>
      </c>
      <c r="G845" s="19">
        <f>IFERROR(__xludf.DUMMYFUNCTION("SPLIT(A843, "" |"")"),841.0)</f>
        <v>841</v>
      </c>
      <c r="H845" s="19">
        <f>IFERROR(__xludf.DUMMYFUNCTION("""COMPUTED_VALUE"""),0.00218)</f>
        <v>0.00218</v>
      </c>
      <c r="I845" s="19" t="str">
        <f>IFERROR(__xludf.DUMMYFUNCTION("""COMPUTED_VALUE"""),"-")</f>
        <v>-</v>
      </c>
      <c r="J845" s="19">
        <f>IFERROR(__xludf.DUMMYFUNCTION("""COMPUTED_VALUE"""),0.00197)</f>
        <v>0.00197</v>
      </c>
      <c r="K845" s="19">
        <f>IFERROR(__xludf.DUMMYFUNCTION("""COMPUTED_VALUE"""),0.03974)</f>
        <v>0.03974</v>
      </c>
      <c r="L845" s="19" t="str">
        <f>IFERROR(__xludf.DUMMYFUNCTION("""COMPUTED_VALUE"""),"-")</f>
        <v>-</v>
      </c>
      <c r="M845" s="19">
        <f>IFERROR(__xludf.DUMMYFUNCTION("""COMPUTED_VALUE"""),0.03962)</f>
        <v>0.03962</v>
      </c>
    </row>
    <row r="846">
      <c r="A846" s="12" t="s">
        <v>8736</v>
      </c>
      <c r="G846" s="19">
        <f>IFERROR(__xludf.DUMMYFUNCTION("SPLIT(A844, "" |"")"),842.0)</f>
        <v>842</v>
      </c>
      <c r="H846" s="19">
        <f>IFERROR(__xludf.DUMMYFUNCTION("""COMPUTED_VALUE"""),0.0022)</f>
        <v>0.0022</v>
      </c>
      <c r="I846" s="19" t="str">
        <f>IFERROR(__xludf.DUMMYFUNCTION("""COMPUTED_VALUE"""),"-")</f>
        <v>-</v>
      </c>
      <c r="J846" s="19">
        <f>IFERROR(__xludf.DUMMYFUNCTION("""COMPUTED_VALUE"""),0.00201)</f>
        <v>0.00201</v>
      </c>
      <c r="K846" s="19">
        <f>IFERROR(__xludf.DUMMYFUNCTION("""COMPUTED_VALUE"""),0.03987)</f>
        <v>0.03987</v>
      </c>
      <c r="L846" s="19" t="str">
        <f>IFERROR(__xludf.DUMMYFUNCTION("""COMPUTED_VALUE"""),"-")</f>
        <v>-</v>
      </c>
      <c r="M846" s="19">
        <f>IFERROR(__xludf.DUMMYFUNCTION("""COMPUTED_VALUE"""),0.0396)</f>
        <v>0.0396</v>
      </c>
    </row>
    <row r="847">
      <c r="A847" s="12" t="s">
        <v>8737</v>
      </c>
      <c r="G847" s="19">
        <f>IFERROR(__xludf.DUMMYFUNCTION("SPLIT(A845, "" |"")"),843.0)</f>
        <v>843</v>
      </c>
      <c r="H847" s="19">
        <f>IFERROR(__xludf.DUMMYFUNCTION("""COMPUTED_VALUE"""),0.00208)</f>
        <v>0.00208</v>
      </c>
      <c r="I847" s="19" t="str">
        <f>IFERROR(__xludf.DUMMYFUNCTION("""COMPUTED_VALUE"""),"-")</f>
        <v>-</v>
      </c>
      <c r="J847" s="19">
        <f>IFERROR(__xludf.DUMMYFUNCTION("""COMPUTED_VALUE"""),0.00201)</f>
        <v>0.00201</v>
      </c>
      <c r="K847" s="19">
        <f>IFERROR(__xludf.DUMMYFUNCTION("""COMPUTED_VALUE"""),0.03966)</f>
        <v>0.03966</v>
      </c>
      <c r="L847" s="19" t="str">
        <f>IFERROR(__xludf.DUMMYFUNCTION("""COMPUTED_VALUE"""),"-")</f>
        <v>-</v>
      </c>
      <c r="M847" s="19">
        <f>IFERROR(__xludf.DUMMYFUNCTION("""COMPUTED_VALUE"""),0.03979)</f>
        <v>0.03979</v>
      </c>
    </row>
    <row r="848">
      <c r="A848" s="12" t="s">
        <v>8738</v>
      </c>
      <c r="G848" s="19">
        <f>IFERROR(__xludf.DUMMYFUNCTION("SPLIT(A846, "" |"")"),844.0)</f>
        <v>844</v>
      </c>
      <c r="H848" s="19">
        <f>IFERROR(__xludf.DUMMYFUNCTION("""COMPUTED_VALUE"""),0.0021)</f>
        <v>0.0021</v>
      </c>
      <c r="I848" s="19" t="str">
        <f>IFERROR(__xludf.DUMMYFUNCTION("""COMPUTED_VALUE"""),"-")</f>
        <v>-</v>
      </c>
      <c r="J848" s="19">
        <f>IFERROR(__xludf.DUMMYFUNCTION("""COMPUTED_VALUE"""),0.002)</f>
        <v>0.002</v>
      </c>
      <c r="K848" s="19">
        <f>IFERROR(__xludf.DUMMYFUNCTION("""COMPUTED_VALUE"""),0.03964)</f>
        <v>0.03964</v>
      </c>
      <c r="L848" s="19" t="str">
        <f>IFERROR(__xludf.DUMMYFUNCTION("""COMPUTED_VALUE"""),"-")</f>
        <v>-</v>
      </c>
      <c r="M848" s="19">
        <f>IFERROR(__xludf.DUMMYFUNCTION("""COMPUTED_VALUE"""),0.03975)</f>
        <v>0.03975</v>
      </c>
    </row>
    <row r="849">
      <c r="A849" s="12" t="s">
        <v>8739</v>
      </c>
      <c r="G849" s="19">
        <f>IFERROR(__xludf.DUMMYFUNCTION("SPLIT(A847, "" |"")"),845.0)</f>
        <v>845</v>
      </c>
      <c r="H849" s="19">
        <f>IFERROR(__xludf.DUMMYFUNCTION("""COMPUTED_VALUE"""),0.00207)</f>
        <v>0.00207</v>
      </c>
      <c r="I849" s="19" t="str">
        <f>IFERROR(__xludf.DUMMYFUNCTION("""COMPUTED_VALUE"""),"-")</f>
        <v>-</v>
      </c>
      <c r="J849" s="19">
        <f>IFERROR(__xludf.DUMMYFUNCTION("""COMPUTED_VALUE"""),0.00198)</f>
        <v>0.00198</v>
      </c>
      <c r="K849" s="19">
        <f>IFERROR(__xludf.DUMMYFUNCTION("""COMPUTED_VALUE"""),0.03969)</f>
        <v>0.03969</v>
      </c>
      <c r="L849" s="19" t="str">
        <f>IFERROR(__xludf.DUMMYFUNCTION("""COMPUTED_VALUE"""),"-")</f>
        <v>-</v>
      </c>
      <c r="M849" s="19">
        <f>IFERROR(__xludf.DUMMYFUNCTION("""COMPUTED_VALUE"""),0.03982)</f>
        <v>0.03982</v>
      </c>
    </row>
    <row r="850">
      <c r="A850" s="12" t="s">
        <v>8740</v>
      </c>
      <c r="G850" s="19">
        <f>IFERROR(__xludf.DUMMYFUNCTION("SPLIT(A848, "" |"")"),846.0)</f>
        <v>846</v>
      </c>
      <c r="H850" s="19">
        <f>IFERROR(__xludf.DUMMYFUNCTION("""COMPUTED_VALUE"""),0.00207)</f>
        <v>0.00207</v>
      </c>
      <c r="I850" s="19" t="str">
        <f>IFERROR(__xludf.DUMMYFUNCTION("""COMPUTED_VALUE"""),"-")</f>
        <v>-</v>
      </c>
      <c r="J850" s="19">
        <f>IFERROR(__xludf.DUMMYFUNCTION("""COMPUTED_VALUE"""),0.00198)</f>
        <v>0.00198</v>
      </c>
      <c r="K850" s="19">
        <f>IFERROR(__xludf.DUMMYFUNCTION("""COMPUTED_VALUE"""),0.03974)</f>
        <v>0.03974</v>
      </c>
      <c r="L850" s="19" t="str">
        <f>IFERROR(__xludf.DUMMYFUNCTION("""COMPUTED_VALUE"""),"-")</f>
        <v>-</v>
      </c>
      <c r="M850" s="19">
        <f>IFERROR(__xludf.DUMMYFUNCTION("""COMPUTED_VALUE"""),0.03983)</f>
        <v>0.03983</v>
      </c>
    </row>
    <row r="851">
      <c r="A851" s="12" t="s">
        <v>8741</v>
      </c>
      <c r="G851" s="19">
        <f>IFERROR(__xludf.DUMMYFUNCTION("SPLIT(A849, "" |"")"),847.0)</f>
        <v>847</v>
      </c>
      <c r="H851" s="19">
        <f>IFERROR(__xludf.DUMMYFUNCTION("""COMPUTED_VALUE"""),0.00215)</f>
        <v>0.00215</v>
      </c>
      <c r="I851" s="19" t="str">
        <f>IFERROR(__xludf.DUMMYFUNCTION("""COMPUTED_VALUE"""),"-")</f>
        <v>-</v>
      </c>
      <c r="J851" s="19">
        <f>IFERROR(__xludf.DUMMYFUNCTION("""COMPUTED_VALUE"""),0.00193)</f>
        <v>0.00193</v>
      </c>
      <c r="K851" s="19">
        <f>IFERROR(__xludf.DUMMYFUNCTION("""COMPUTED_VALUE"""),0.03826)</f>
        <v>0.03826</v>
      </c>
      <c r="L851" s="19" t="str">
        <f>IFERROR(__xludf.DUMMYFUNCTION("""COMPUTED_VALUE"""),"-")</f>
        <v>-</v>
      </c>
      <c r="M851" s="19">
        <f>IFERROR(__xludf.DUMMYFUNCTION("""COMPUTED_VALUE"""),0.03988)</f>
        <v>0.03988</v>
      </c>
    </row>
    <row r="852">
      <c r="A852" s="12" t="s">
        <v>8742</v>
      </c>
      <c r="G852" s="19">
        <f>IFERROR(__xludf.DUMMYFUNCTION("SPLIT(A850, "" |"")"),848.0)</f>
        <v>848</v>
      </c>
      <c r="H852" s="19">
        <f>IFERROR(__xludf.DUMMYFUNCTION("""COMPUTED_VALUE"""),0.00205)</f>
        <v>0.00205</v>
      </c>
      <c r="I852" s="19" t="str">
        <f>IFERROR(__xludf.DUMMYFUNCTION("""COMPUTED_VALUE"""),"-")</f>
        <v>-</v>
      </c>
      <c r="J852" s="19">
        <f>IFERROR(__xludf.DUMMYFUNCTION("""COMPUTED_VALUE"""),0.00189)</f>
        <v>0.00189</v>
      </c>
      <c r="K852" s="19">
        <f>IFERROR(__xludf.DUMMYFUNCTION("""COMPUTED_VALUE"""),0.03966)</f>
        <v>0.03966</v>
      </c>
      <c r="L852" s="19" t="str">
        <f>IFERROR(__xludf.DUMMYFUNCTION("""COMPUTED_VALUE"""),"-")</f>
        <v>-</v>
      </c>
      <c r="M852" s="19">
        <f>IFERROR(__xludf.DUMMYFUNCTION("""COMPUTED_VALUE"""),0.03587)</f>
        <v>0.03587</v>
      </c>
    </row>
    <row r="853">
      <c r="A853" s="12" t="s">
        <v>8743</v>
      </c>
      <c r="G853" s="19">
        <f>IFERROR(__xludf.DUMMYFUNCTION("SPLIT(A851, "" |"")"),849.0)</f>
        <v>849</v>
      </c>
      <c r="H853" s="19">
        <f>IFERROR(__xludf.DUMMYFUNCTION("""COMPUTED_VALUE"""),0.00212)</f>
        <v>0.00212</v>
      </c>
      <c r="I853" s="19" t="str">
        <f>IFERROR(__xludf.DUMMYFUNCTION("""COMPUTED_VALUE"""),"-")</f>
        <v>-</v>
      </c>
      <c r="J853" s="19">
        <f>IFERROR(__xludf.DUMMYFUNCTION("""COMPUTED_VALUE"""),0.00197)</f>
        <v>0.00197</v>
      </c>
      <c r="K853" s="19">
        <f>IFERROR(__xludf.DUMMYFUNCTION("""COMPUTED_VALUE"""),0.03967)</f>
        <v>0.03967</v>
      </c>
      <c r="L853" s="19" t="str">
        <f>IFERROR(__xludf.DUMMYFUNCTION("""COMPUTED_VALUE"""),"-")</f>
        <v>-</v>
      </c>
      <c r="M853" s="19">
        <f>IFERROR(__xludf.DUMMYFUNCTION("""COMPUTED_VALUE"""),0.04013)</f>
        <v>0.04013</v>
      </c>
    </row>
    <row r="854">
      <c r="A854" s="12" t="s">
        <v>8744</v>
      </c>
      <c r="G854" s="19">
        <f>IFERROR(__xludf.DUMMYFUNCTION("SPLIT(A852, "" |"")"),850.0)</f>
        <v>850</v>
      </c>
      <c r="H854" s="19">
        <f>IFERROR(__xludf.DUMMYFUNCTION("""COMPUTED_VALUE"""),0.00205)</f>
        <v>0.00205</v>
      </c>
      <c r="I854" s="19" t="str">
        <f>IFERROR(__xludf.DUMMYFUNCTION("""COMPUTED_VALUE"""),"-")</f>
        <v>-</v>
      </c>
      <c r="J854" s="19">
        <f>IFERROR(__xludf.DUMMYFUNCTION("""COMPUTED_VALUE"""),0.00191)</f>
        <v>0.00191</v>
      </c>
      <c r="K854" s="19">
        <f>IFERROR(__xludf.DUMMYFUNCTION("""COMPUTED_VALUE"""),0.03974)</f>
        <v>0.03974</v>
      </c>
      <c r="L854" s="19" t="str">
        <f>IFERROR(__xludf.DUMMYFUNCTION("""COMPUTED_VALUE"""),"-")</f>
        <v>-</v>
      </c>
      <c r="M854" s="19">
        <f>IFERROR(__xludf.DUMMYFUNCTION("""COMPUTED_VALUE"""),0.03987)</f>
        <v>0.03987</v>
      </c>
    </row>
    <row r="855">
      <c r="A855" s="12" t="s">
        <v>8745</v>
      </c>
      <c r="G855" s="19">
        <f>IFERROR(__xludf.DUMMYFUNCTION("SPLIT(A853, "" |"")"),851.0)</f>
        <v>851</v>
      </c>
      <c r="H855" s="19">
        <f>IFERROR(__xludf.DUMMYFUNCTION("""COMPUTED_VALUE"""),0.00212)</f>
        <v>0.00212</v>
      </c>
      <c r="I855" s="19" t="str">
        <f>IFERROR(__xludf.DUMMYFUNCTION("""COMPUTED_VALUE"""),"-")</f>
        <v>-</v>
      </c>
      <c r="J855" s="19">
        <f>IFERROR(__xludf.DUMMYFUNCTION("""COMPUTED_VALUE"""),0.00198)</f>
        <v>0.00198</v>
      </c>
      <c r="K855" s="19">
        <f>IFERROR(__xludf.DUMMYFUNCTION("""COMPUTED_VALUE"""),0.03966)</f>
        <v>0.03966</v>
      </c>
      <c r="L855" s="19" t="str">
        <f>IFERROR(__xludf.DUMMYFUNCTION("""COMPUTED_VALUE"""),"-")</f>
        <v>-</v>
      </c>
      <c r="M855" s="19">
        <f>IFERROR(__xludf.DUMMYFUNCTION("""COMPUTED_VALUE"""),0.0398)</f>
        <v>0.0398</v>
      </c>
    </row>
    <row r="856">
      <c r="A856" s="12" t="s">
        <v>8746</v>
      </c>
      <c r="G856" s="19">
        <f>IFERROR(__xludf.DUMMYFUNCTION("SPLIT(A854, "" |"")"),852.0)</f>
        <v>852</v>
      </c>
      <c r="H856" s="19">
        <f>IFERROR(__xludf.DUMMYFUNCTION("""COMPUTED_VALUE"""),0.00206)</f>
        <v>0.00206</v>
      </c>
      <c r="I856" s="19" t="str">
        <f>IFERROR(__xludf.DUMMYFUNCTION("""COMPUTED_VALUE"""),"-")</f>
        <v>-</v>
      </c>
      <c r="J856" s="19">
        <f>IFERROR(__xludf.DUMMYFUNCTION("""COMPUTED_VALUE"""),0.00197)</f>
        <v>0.00197</v>
      </c>
      <c r="K856" s="19">
        <f>IFERROR(__xludf.DUMMYFUNCTION("""COMPUTED_VALUE"""),0.03959)</f>
        <v>0.03959</v>
      </c>
      <c r="L856" s="19" t="str">
        <f>IFERROR(__xludf.DUMMYFUNCTION("""COMPUTED_VALUE"""),"-")</f>
        <v>-</v>
      </c>
      <c r="M856" s="19">
        <f>IFERROR(__xludf.DUMMYFUNCTION("""COMPUTED_VALUE"""),0.0398)</f>
        <v>0.0398</v>
      </c>
    </row>
    <row r="857">
      <c r="A857" s="12" t="s">
        <v>8747</v>
      </c>
      <c r="G857" s="19">
        <f>IFERROR(__xludf.DUMMYFUNCTION("SPLIT(A855, "" |"")"),853.0)</f>
        <v>853</v>
      </c>
      <c r="H857" s="19">
        <f>IFERROR(__xludf.DUMMYFUNCTION("""COMPUTED_VALUE"""),0.00234)</f>
        <v>0.00234</v>
      </c>
      <c r="I857" s="19" t="str">
        <f>IFERROR(__xludf.DUMMYFUNCTION("""COMPUTED_VALUE"""),"-")</f>
        <v>-</v>
      </c>
      <c r="J857" s="19">
        <f>IFERROR(__xludf.DUMMYFUNCTION("""COMPUTED_VALUE"""),0.00198)</f>
        <v>0.00198</v>
      </c>
      <c r="K857" s="19">
        <f>IFERROR(__xludf.DUMMYFUNCTION("""COMPUTED_VALUE"""),0.03974)</f>
        <v>0.03974</v>
      </c>
      <c r="L857" s="19" t="str">
        <f>IFERROR(__xludf.DUMMYFUNCTION("""COMPUTED_VALUE"""),"-")</f>
        <v>-</v>
      </c>
      <c r="M857" s="19">
        <f>IFERROR(__xludf.DUMMYFUNCTION("""COMPUTED_VALUE"""),0.0399)</f>
        <v>0.0399</v>
      </c>
    </row>
    <row r="858">
      <c r="A858" s="12" t="s">
        <v>8748</v>
      </c>
      <c r="G858" s="19">
        <f>IFERROR(__xludf.DUMMYFUNCTION("SPLIT(A856, "" |"")"),854.0)</f>
        <v>854</v>
      </c>
      <c r="H858" s="19">
        <f>IFERROR(__xludf.DUMMYFUNCTION("""COMPUTED_VALUE"""),0.0021)</f>
        <v>0.0021</v>
      </c>
      <c r="I858" s="19" t="str">
        <f>IFERROR(__xludf.DUMMYFUNCTION("""COMPUTED_VALUE"""),"-")</f>
        <v>-</v>
      </c>
      <c r="J858" s="19">
        <f>IFERROR(__xludf.DUMMYFUNCTION("""COMPUTED_VALUE"""),0.00196)</f>
        <v>0.00196</v>
      </c>
      <c r="K858" s="19">
        <f>IFERROR(__xludf.DUMMYFUNCTION("""COMPUTED_VALUE"""),0.03971)</f>
        <v>0.03971</v>
      </c>
      <c r="L858" s="19" t="str">
        <f>IFERROR(__xludf.DUMMYFUNCTION("""COMPUTED_VALUE"""),"-")</f>
        <v>-</v>
      </c>
      <c r="M858" s="19">
        <f>IFERROR(__xludf.DUMMYFUNCTION("""COMPUTED_VALUE"""),0.0397)</f>
        <v>0.0397</v>
      </c>
    </row>
    <row r="859">
      <c r="A859" s="12" t="s">
        <v>8749</v>
      </c>
      <c r="G859" s="19">
        <f>IFERROR(__xludf.DUMMYFUNCTION("SPLIT(A857, "" |"")"),855.0)</f>
        <v>855</v>
      </c>
      <c r="H859" s="19">
        <f>IFERROR(__xludf.DUMMYFUNCTION("""COMPUTED_VALUE"""),0.00193)</f>
        <v>0.00193</v>
      </c>
      <c r="I859" s="19" t="str">
        <f>IFERROR(__xludf.DUMMYFUNCTION("""COMPUTED_VALUE"""),"-")</f>
        <v>-</v>
      </c>
      <c r="J859" s="19">
        <f>IFERROR(__xludf.DUMMYFUNCTION("""COMPUTED_VALUE"""),0.00181)</f>
        <v>0.00181</v>
      </c>
      <c r="K859" s="19">
        <f>IFERROR(__xludf.DUMMYFUNCTION("""COMPUTED_VALUE"""),0.08353)</f>
        <v>0.08353</v>
      </c>
      <c r="L859" s="19" t="str">
        <f>IFERROR(__xludf.DUMMYFUNCTION("""COMPUTED_VALUE"""),"-")</f>
        <v>-</v>
      </c>
      <c r="M859" s="19">
        <f>IFERROR(__xludf.DUMMYFUNCTION("""COMPUTED_VALUE"""),0.04016)</f>
        <v>0.04016</v>
      </c>
    </row>
    <row r="860">
      <c r="A860" s="12" t="s">
        <v>8750</v>
      </c>
      <c r="G860" s="19">
        <f>IFERROR(__xludf.DUMMYFUNCTION("SPLIT(A858, "" |"")"),856.0)</f>
        <v>856</v>
      </c>
      <c r="H860" s="19">
        <f>IFERROR(__xludf.DUMMYFUNCTION("""COMPUTED_VALUE"""),0.00223)</f>
        <v>0.00223</v>
      </c>
      <c r="I860" s="19" t="str">
        <f>IFERROR(__xludf.DUMMYFUNCTION("""COMPUTED_VALUE"""),"-")</f>
        <v>-</v>
      </c>
      <c r="J860" s="19">
        <f>IFERROR(__xludf.DUMMYFUNCTION("""COMPUTED_VALUE"""),0.00193)</f>
        <v>0.00193</v>
      </c>
      <c r="K860" s="19">
        <f>IFERROR(__xludf.DUMMYFUNCTION("""COMPUTED_VALUE"""),0.03985)</f>
        <v>0.03985</v>
      </c>
      <c r="L860" s="19" t="str">
        <f>IFERROR(__xludf.DUMMYFUNCTION("""COMPUTED_VALUE"""),"-")</f>
        <v>-</v>
      </c>
      <c r="M860" s="19">
        <f>IFERROR(__xludf.DUMMYFUNCTION("""COMPUTED_VALUE"""),0.0399)</f>
        <v>0.0399</v>
      </c>
    </row>
    <row r="861">
      <c r="A861" s="12" t="s">
        <v>8751</v>
      </c>
      <c r="G861" s="19">
        <f>IFERROR(__xludf.DUMMYFUNCTION("SPLIT(A859, "" |"")"),857.0)</f>
        <v>857</v>
      </c>
      <c r="H861" s="19">
        <f>IFERROR(__xludf.DUMMYFUNCTION("""COMPUTED_VALUE"""),0.00205)</f>
        <v>0.00205</v>
      </c>
      <c r="I861" s="19" t="str">
        <f>IFERROR(__xludf.DUMMYFUNCTION("""COMPUTED_VALUE"""),"-")</f>
        <v>-</v>
      </c>
      <c r="J861" s="19">
        <f>IFERROR(__xludf.DUMMYFUNCTION("""COMPUTED_VALUE"""),0.00194)</f>
        <v>0.00194</v>
      </c>
      <c r="K861" s="19">
        <f>IFERROR(__xludf.DUMMYFUNCTION("""COMPUTED_VALUE"""),0.03741)</f>
        <v>0.03741</v>
      </c>
      <c r="L861" s="19" t="str">
        <f>IFERROR(__xludf.DUMMYFUNCTION("""COMPUTED_VALUE"""),"-")</f>
        <v>-</v>
      </c>
      <c r="M861" s="19">
        <f>IFERROR(__xludf.DUMMYFUNCTION("""COMPUTED_VALUE"""),0.04098)</f>
        <v>0.04098</v>
      </c>
    </row>
    <row r="862">
      <c r="A862" s="12" t="s">
        <v>8752</v>
      </c>
      <c r="G862" s="19">
        <f>IFERROR(__xludf.DUMMYFUNCTION("SPLIT(A860, "" |"")"),858.0)</f>
        <v>858</v>
      </c>
      <c r="H862" s="19">
        <f>IFERROR(__xludf.DUMMYFUNCTION("""COMPUTED_VALUE"""),0.00211)</f>
        <v>0.00211</v>
      </c>
      <c r="I862" s="19" t="str">
        <f>IFERROR(__xludf.DUMMYFUNCTION("""COMPUTED_VALUE"""),"-")</f>
        <v>-</v>
      </c>
      <c r="J862" s="19">
        <f>IFERROR(__xludf.DUMMYFUNCTION("""COMPUTED_VALUE"""),0.00197)</f>
        <v>0.00197</v>
      </c>
      <c r="K862" s="19">
        <f>IFERROR(__xludf.DUMMYFUNCTION("""COMPUTED_VALUE"""),0.0399)</f>
        <v>0.0399</v>
      </c>
      <c r="L862" s="19" t="str">
        <f>IFERROR(__xludf.DUMMYFUNCTION("""COMPUTED_VALUE"""),"-")</f>
        <v>-</v>
      </c>
      <c r="M862" s="19">
        <f>IFERROR(__xludf.DUMMYFUNCTION("""COMPUTED_VALUE"""),0.03505)</f>
        <v>0.03505</v>
      </c>
    </row>
    <row r="863">
      <c r="A863" s="12" t="s">
        <v>8753</v>
      </c>
      <c r="G863" s="19">
        <f>IFERROR(__xludf.DUMMYFUNCTION("SPLIT(A861, "" |"")"),859.0)</f>
        <v>859</v>
      </c>
      <c r="H863" s="19">
        <f>IFERROR(__xludf.DUMMYFUNCTION("""COMPUTED_VALUE"""),0.00228)</f>
        <v>0.00228</v>
      </c>
      <c r="I863" s="19" t="str">
        <f>IFERROR(__xludf.DUMMYFUNCTION("""COMPUTED_VALUE"""),"-")</f>
        <v>-</v>
      </c>
      <c r="J863" s="19">
        <f>IFERROR(__xludf.DUMMYFUNCTION("""COMPUTED_VALUE"""),0.0018)</f>
        <v>0.0018</v>
      </c>
      <c r="K863" s="19">
        <f>IFERROR(__xludf.DUMMYFUNCTION("""COMPUTED_VALUE"""),0.04039)</f>
        <v>0.04039</v>
      </c>
      <c r="L863" s="19" t="str">
        <f>IFERROR(__xludf.DUMMYFUNCTION("""COMPUTED_VALUE"""),"-")</f>
        <v>-</v>
      </c>
      <c r="M863" s="19">
        <f>IFERROR(__xludf.DUMMYFUNCTION("""COMPUTED_VALUE"""),0.03998)</f>
        <v>0.03998</v>
      </c>
    </row>
    <row r="864">
      <c r="A864" s="12" t="s">
        <v>8754</v>
      </c>
      <c r="G864" s="19">
        <f>IFERROR(__xludf.DUMMYFUNCTION("SPLIT(A862, "" |"")"),860.0)</f>
        <v>860</v>
      </c>
      <c r="H864" s="19">
        <f>IFERROR(__xludf.DUMMYFUNCTION("""COMPUTED_VALUE"""),0.00211)</f>
        <v>0.00211</v>
      </c>
      <c r="I864" s="19" t="str">
        <f>IFERROR(__xludf.DUMMYFUNCTION("""COMPUTED_VALUE"""),"-")</f>
        <v>-</v>
      </c>
      <c r="J864" s="19">
        <f>IFERROR(__xludf.DUMMYFUNCTION("""COMPUTED_VALUE"""),0.00198)</f>
        <v>0.00198</v>
      </c>
      <c r="K864" s="19">
        <f>IFERROR(__xludf.DUMMYFUNCTION("""COMPUTED_VALUE"""),0.0397)</f>
        <v>0.0397</v>
      </c>
      <c r="L864" s="19" t="str">
        <f>IFERROR(__xludf.DUMMYFUNCTION("""COMPUTED_VALUE"""),"-")</f>
        <v>-</v>
      </c>
      <c r="M864" s="19">
        <f>IFERROR(__xludf.DUMMYFUNCTION("""COMPUTED_VALUE"""),0.03983)</f>
        <v>0.03983</v>
      </c>
    </row>
    <row r="865">
      <c r="A865" s="12" t="s">
        <v>8755</v>
      </c>
      <c r="G865" s="19">
        <f>IFERROR(__xludf.DUMMYFUNCTION("SPLIT(A863, "" |"")"),861.0)</f>
        <v>861</v>
      </c>
      <c r="H865" s="19">
        <f>IFERROR(__xludf.DUMMYFUNCTION("""COMPUTED_VALUE"""),0.00203)</f>
        <v>0.00203</v>
      </c>
      <c r="I865" s="19" t="str">
        <f>IFERROR(__xludf.DUMMYFUNCTION("""COMPUTED_VALUE"""),"-")</f>
        <v>-</v>
      </c>
      <c r="J865" s="19">
        <f>IFERROR(__xludf.DUMMYFUNCTION("""COMPUTED_VALUE"""),0.00203)</f>
        <v>0.00203</v>
      </c>
      <c r="K865" s="19">
        <f>IFERROR(__xludf.DUMMYFUNCTION("""COMPUTED_VALUE"""),0.03925)</f>
        <v>0.03925</v>
      </c>
      <c r="L865" s="19" t="str">
        <f>IFERROR(__xludf.DUMMYFUNCTION("""COMPUTED_VALUE"""),"-")</f>
        <v>-</v>
      </c>
      <c r="M865" s="19">
        <f>IFERROR(__xludf.DUMMYFUNCTION("""COMPUTED_VALUE"""),0.03997)</f>
        <v>0.03997</v>
      </c>
    </row>
    <row r="866">
      <c r="A866" s="12" t="s">
        <v>8756</v>
      </c>
      <c r="G866" s="19">
        <f>IFERROR(__xludf.DUMMYFUNCTION("SPLIT(A864, "" |"")"),862.0)</f>
        <v>862</v>
      </c>
      <c r="H866" s="19">
        <f>IFERROR(__xludf.DUMMYFUNCTION("""COMPUTED_VALUE"""),0.00204)</f>
        <v>0.00204</v>
      </c>
      <c r="I866" s="19" t="str">
        <f>IFERROR(__xludf.DUMMYFUNCTION("""COMPUTED_VALUE"""),"-")</f>
        <v>-</v>
      </c>
      <c r="J866" s="19">
        <f>IFERROR(__xludf.DUMMYFUNCTION("""COMPUTED_VALUE"""),0.00309)</f>
        <v>0.00309</v>
      </c>
      <c r="K866" s="19">
        <f>IFERROR(__xludf.DUMMYFUNCTION("""COMPUTED_VALUE"""),0.03471)</f>
        <v>0.03471</v>
      </c>
      <c r="L866" s="19" t="str">
        <f>IFERROR(__xludf.DUMMYFUNCTION("""COMPUTED_VALUE"""),"-")</f>
        <v>-</v>
      </c>
      <c r="M866" s="19">
        <f>IFERROR(__xludf.DUMMYFUNCTION("""COMPUTED_VALUE"""),0.03744)</f>
        <v>0.03744</v>
      </c>
    </row>
    <row r="867">
      <c r="A867" s="12" t="s">
        <v>8757</v>
      </c>
      <c r="G867" s="19">
        <f>IFERROR(__xludf.DUMMYFUNCTION("SPLIT(A865, "" |"")"),863.0)</f>
        <v>863</v>
      </c>
      <c r="H867" s="19">
        <f>IFERROR(__xludf.DUMMYFUNCTION("""COMPUTED_VALUE"""),0.00221)</f>
        <v>0.00221</v>
      </c>
      <c r="I867" s="19" t="str">
        <f>IFERROR(__xludf.DUMMYFUNCTION("""COMPUTED_VALUE"""),"-")</f>
        <v>-</v>
      </c>
      <c r="J867" s="19">
        <f>IFERROR(__xludf.DUMMYFUNCTION("""COMPUTED_VALUE"""),0.00201)</f>
        <v>0.00201</v>
      </c>
      <c r="K867" s="19">
        <f>IFERROR(__xludf.DUMMYFUNCTION("""COMPUTED_VALUE"""),0.03865)</f>
        <v>0.03865</v>
      </c>
      <c r="L867" s="19" t="str">
        <f>IFERROR(__xludf.DUMMYFUNCTION("""COMPUTED_VALUE"""),"-")</f>
        <v>-</v>
      </c>
      <c r="M867" s="19">
        <f>IFERROR(__xludf.DUMMYFUNCTION("""COMPUTED_VALUE"""),0.04)</f>
        <v>0.04</v>
      </c>
    </row>
    <row r="868">
      <c r="A868" s="12" t="s">
        <v>8758</v>
      </c>
      <c r="G868" s="19">
        <f>IFERROR(__xludf.DUMMYFUNCTION("SPLIT(A866, "" |"")"),864.0)</f>
        <v>864</v>
      </c>
      <c r="H868" s="19">
        <f>IFERROR(__xludf.DUMMYFUNCTION("""COMPUTED_VALUE"""),0.00217)</f>
        <v>0.00217</v>
      </c>
      <c r="I868" s="19" t="str">
        <f>IFERROR(__xludf.DUMMYFUNCTION("""COMPUTED_VALUE"""),"-")</f>
        <v>-</v>
      </c>
      <c r="J868" s="19">
        <f>IFERROR(__xludf.DUMMYFUNCTION("""COMPUTED_VALUE"""),0.00193)</f>
        <v>0.00193</v>
      </c>
      <c r="K868" s="19">
        <f>IFERROR(__xludf.DUMMYFUNCTION("""COMPUTED_VALUE"""),0.03962)</f>
        <v>0.03962</v>
      </c>
      <c r="L868" s="19" t="str">
        <f>IFERROR(__xludf.DUMMYFUNCTION("""COMPUTED_VALUE"""),"-")</f>
        <v>-</v>
      </c>
      <c r="M868" s="19">
        <f>IFERROR(__xludf.DUMMYFUNCTION("""COMPUTED_VALUE"""),0.04007)</f>
        <v>0.04007</v>
      </c>
    </row>
    <row r="869">
      <c r="A869" s="12" t="s">
        <v>8759</v>
      </c>
      <c r="G869" s="19">
        <f>IFERROR(__xludf.DUMMYFUNCTION("SPLIT(A867, "" |"")"),865.0)</f>
        <v>865</v>
      </c>
      <c r="H869" s="19">
        <f>IFERROR(__xludf.DUMMYFUNCTION("""COMPUTED_VALUE"""),0.00228)</f>
        <v>0.00228</v>
      </c>
      <c r="I869" s="19" t="str">
        <f>IFERROR(__xludf.DUMMYFUNCTION("""COMPUTED_VALUE"""),"-")</f>
        <v>-</v>
      </c>
      <c r="J869" s="19">
        <f>IFERROR(__xludf.DUMMYFUNCTION("""COMPUTED_VALUE"""),0.00205)</f>
        <v>0.00205</v>
      </c>
      <c r="K869" s="19">
        <f>IFERROR(__xludf.DUMMYFUNCTION("""COMPUTED_VALUE"""),0.03977)</f>
        <v>0.03977</v>
      </c>
      <c r="L869" s="19" t="str">
        <f>IFERROR(__xludf.DUMMYFUNCTION("""COMPUTED_VALUE"""),"-")</f>
        <v>-</v>
      </c>
      <c r="M869" s="19">
        <f>IFERROR(__xludf.DUMMYFUNCTION("""COMPUTED_VALUE"""),0.04003)</f>
        <v>0.04003</v>
      </c>
    </row>
    <row r="870">
      <c r="A870" s="12" t="s">
        <v>8760</v>
      </c>
      <c r="G870" s="19">
        <f>IFERROR(__xludf.DUMMYFUNCTION("SPLIT(A868, "" |"")"),866.0)</f>
        <v>866</v>
      </c>
      <c r="H870" s="19">
        <f>IFERROR(__xludf.DUMMYFUNCTION("""COMPUTED_VALUE"""),0.00227)</f>
        <v>0.00227</v>
      </c>
      <c r="I870" s="19" t="str">
        <f>IFERROR(__xludf.DUMMYFUNCTION("""COMPUTED_VALUE"""),"-")</f>
        <v>-</v>
      </c>
      <c r="J870" s="19">
        <f>IFERROR(__xludf.DUMMYFUNCTION("""COMPUTED_VALUE"""),0.00198)</f>
        <v>0.00198</v>
      </c>
      <c r="K870" s="19">
        <f>IFERROR(__xludf.DUMMYFUNCTION("""COMPUTED_VALUE"""),0.0392)</f>
        <v>0.0392</v>
      </c>
      <c r="L870" s="19" t="str">
        <f>IFERROR(__xludf.DUMMYFUNCTION("""COMPUTED_VALUE"""),"-")</f>
        <v>-</v>
      </c>
      <c r="M870" s="19">
        <f>IFERROR(__xludf.DUMMYFUNCTION("""COMPUTED_VALUE"""),0.04003)</f>
        <v>0.04003</v>
      </c>
    </row>
    <row r="871">
      <c r="A871" s="12" t="s">
        <v>8761</v>
      </c>
      <c r="G871" s="19">
        <f>IFERROR(__xludf.DUMMYFUNCTION("SPLIT(A869, "" |"")"),867.0)</f>
        <v>867</v>
      </c>
      <c r="H871" s="19">
        <f>IFERROR(__xludf.DUMMYFUNCTION("""COMPUTED_VALUE"""),0.00215)</f>
        <v>0.00215</v>
      </c>
      <c r="I871" s="19" t="str">
        <f>IFERROR(__xludf.DUMMYFUNCTION("""COMPUTED_VALUE"""),"-")</f>
        <v>-</v>
      </c>
      <c r="J871" s="19">
        <f>IFERROR(__xludf.DUMMYFUNCTION("""COMPUTED_VALUE"""),0.00192)</f>
        <v>0.00192</v>
      </c>
      <c r="K871" s="19">
        <f>IFERROR(__xludf.DUMMYFUNCTION("""COMPUTED_VALUE"""),0.03992)</f>
        <v>0.03992</v>
      </c>
      <c r="L871" s="19" t="str">
        <f>IFERROR(__xludf.DUMMYFUNCTION("""COMPUTED_VALUE"""),"-")</f>
        <v>-</v>
      </c>
      <c r="M871" s="19">
        <f>IFERROR(__xludf.DUMMYFUNCTION("""COMPUTED_VALUE"""),0.04125)</f>
        <v>0.04125</v>
      </c>
    </row>
    <row r="872">
      <c r="A872" s="12" t="s">
        <v>8762</v>
      </c>
      <c r="G872" s="19">
        <f>IFERROR(__xludf.DUMMYFUNCTION("SPLIT(A870, "" |"")"),868.0)</f>
        <v>868</v>
      </c>
      <c r="H872" s="19">
        <f>IFERROR(__xludf.DUMMYFUNCTION("""COMPUTED_VALUE"""),0.00233)</f>
        <v>0.00233</v>
      </c>
      <c r="I872" s="19" t="str">
        <f>IFERROR(__xludf.DUMMYFUNCTION("""COMPUTED_VALUE"""),"-")</f>
        <v>-</v>
      </c>
      <c r="J872" s="19">
        <f>IFERROR(__xludf.DUMMYFUNCTION("""COMPUTED_VALUE"""),0.00208)</f>
        <v>0.00208</v>
      </c>
      <c r="K872" s="19">
        <f>IFERROR(__xludf.DUMMYFUNCTION("""COMPUTED_VALUE"""),0.03772)</f>
        <v>0.03772</v>
      </c>
      <c r="L872" s="19" t="str">
        <f>IFERROR(__xludf.DUMMYFUNCTION("""COMPUTED_VALUE"""),"-")</f>
        <v>-</v>
      </c>
      <c r="M872" s="19">
        <f>IFERROR(__xludf.DUMMYFUNCTION("""COMPUTED_VALUE"""),0.03783)</f>
        <v>0.03783</v>
      </c>
    </row>
    <row r="873">
      <c r="A873" s="12" t="s">
        <v>8763</v>
      </c>
      <c r="G873" s="19">
        <f>IFERROR(__xludf.DUMMYFUNCTION("SPLIT(A871, "" |"")"),869.0)</f>
        <v>869</v>
      </c>
      <c r="H873" s="19">
        <f>IFERROR(__xludf.DUMMYFUNCTION("""COMPUTED_VALUE"""),0.00225)</f>
        <v>0.00225</v>
      </c>
      <c r="I873" s="19" t="str">
        <f>IFERROR(__xludf.DUMMYFUNCTION("""COMPUTED_VALUE"""),"-")</f>
        <v>-</v>
      </c>
      <c r="J873" s="19">
        <f>IFERROR(__xludf.DUMMYFUNCTION("""COMPUTED_VALUE"""),0.00199)</f>
        <v>0.00199</v>
      </c>
      <c r="K873" s="19">
        <f>IFERROR(__xludf.DUMMYFUNCTION("""COMPUTED_VALUE"""),0.03974)</f>
        <v>0.03974</v>
      </c>
      <c r="L873" s="19" t="str">
        <f>IFERROR(__xludf.DUMMYFUNCTION("""COMPUTED_VALUE"""),"-")</f>
        <v>-</v>
      </c>
      <c r="M873" s="19">
        <f>IFERROR(__xludf.DUMMYFUNCTION("""COMPUTED_VALUE"""),0.03884)</f>
        <v>0.03884</v>
      </c>
    </row>
    <row r="874">
      <c r="A874" s="12" t="s">
        <v>8764</v>
      </c>
      <c r="G874" s="19">
        <f>IFERROR(__xludf.DUMMYFUNCTION("SPLIT(A872, "" |"")"),870.0)</f>
        <v>870</v>
      </c>
      <c r="H874" s="19">
        <f>IFERROR(__xludf.DUMMYFUNCTION("""COMPUTED_VALUE"""),0.00218)</f>
        <v>0.00218</v>
      </c>
      <c r="I874" s="19" t="str">
        <f>IFERROR(__xludf.DUMMYFUNCTION("""COMPUTED_VALUE"""),"-")</f>
        <v>-</v>
      </c>
      <c r="J874" s="19">
        <f>IFERROR(__xludf.DUMMYFUNCTION("""COMPUTED_VALUE"""),0.00177)</f>
        <v>0.00177</v>
      </c>
      <c r="K874" s="19">
        <f>IFERROR(__xludf.DUMMYFUNCTION("""COMPUTED_VALUE"""),0.03758)</f>
        <v>0.03758</v>
      </c>
      <c r="L874" s="19" t="str">
        <f>IFERROR(__xludf.DUMMYFUNCTION("""COMPUTED_VALUE"""),"-")</f>
        <v>-</v>
      </c>
      <c r="M874" s="19">
        <f>IFERROR(__xludf.DUMMYFUNCTION("""COMPUTED_VALUE"""),0.0383)</f>
        <v>0.0383</v>
      </c>
    </row>
    <row r="875">
      <c r="A875" s="12" t="s">
        <v>8765</v>
      </c>
      <c r="G875" s="19">
        <f>IFERROR(__xludf.DUMMYFUNCTION("SPLIT(A873, "" |"")"),871.0)</f>
        <v>871</v>
      </c>
      <c r="H875" s="19">
        <f>IFERROR(__xludf.DUMMYFUNCTION("""COMPUTED_VALUE"""),0.00217)</f>
        <v>0.00217</v>
      </c>
      <c r="I875" s="19" t="str">
        <f>IFERROR(__xludf.DUMMYFUNCTION("""COMPUTED_VALUE"""),"-")</f>
        <v>-</v>
      </c>
      <c r="J875" s="19">
        <f>IFERROR(__xludf.DUMMYFUNCTION("""COMPUTED_VALUE"""),0.00217)</f>
        <v>0.00217</v>
      </c>
      <c r="K875" s="19">
        <f>IFERROR(__xludf.DUMMYFUNCTION("""COMPUTED_VALUE"""),0.04033)</f>
        <v>0.04033</v>
      </c>
      <c r="L875" s="19" t="str">
        <f>IFERROR(__xludf.DUMMYFUNCTION("""COMPUTED_VALUE"""),"-")</f>
        <v>-</v>
      </c>
      <c r="M875" s="19">
        <f>IFERROR(__xludf.DUMMYFUNCTION("""COMPUTED_VALUE"""),0.04036)</f>
        <v>0.04036</v>
      </c>
    </row>
    <row r="876">
      <c r="A876" s="12" t="s">
        <v>8766</v>
      </c>
      <c r="G876" s="19">
        <f>IFERROR(__xludf.DUMMYFUNCTION("SPLIT(A874, "" |"")"),872.0)</f>
        <v>872</v>
      </c>
      <c r="H876" s="19">
        <f>IFERROR(__xludf.DUMMYFUNCTION("""COMPUTED_VALUE"""),0.00224)</f>
        <v>0.00224</v>
      </c>
      <c r="I876" s="19" t="str">
        <f>IFERROR(__xludf.DUMMYFUNCTION("""COMPUTED_VALUE"""),"-")</f>
        <v>-</v>
      </c>
      <c r="J876" s="19">
        <f>IFERROR(__xludf.DUMMYFUNCTION("""COMPUTED_VALUE"""),0.00189)</f>
        <v>0.00189</v>
      </c>
      <c r="K876" s="19">
        <f>IFERROR(__xludf.DUMMYFUNCTION("""COMPUTED_VALUE"""),0.03993)</f>
        <v>0.03993</v>
      </c>
      <c r="L876" s="19" t="str">
        <f>IFERROR(__xludf.DUMMYFUNCTION("""COMPUTED_VALUE"""),"-")</f>
        <v>-</v>
      </c>
      <c r="M876" s="19">
        <f>IFERROR(__xludf.DUMMYFUNCTION("""COMPUTED_VALUE"""),0.03985)</f>
        <v>0.03985</v>
      </c>
    </row>
    <row r="877">
      <c r="A877" s="12" t="s">
        <v>8767</v>
      </c>
      <c r="G877" s="19">
        <f>IFERROR(__xludf.DUMMYFUNCTION("SPLIT(A875, "" |"")"),873.0)</f>
        <v>873</v>
      </c>
      <c r="H877" s="19">
        <f>IFERROR(__xludf.DUMMYFUNCTION("""COMPUTED_VALUE"""),0.00201)</f>
        <v>0.00201</v>
      </c>
      <c r="I877" s="19" t="str">
        <f>IFERROR(__xludf.DUMMYFUNCTION("""COMPUTED_VALUE"""),"-")</f>
        <v>-</v>
      </c>
      <c r="J877" s="19">
        <f>IFERROR(__xludf.DUMMYFUNCTION("""COMPUTED_VALUE"""),0.00201)</f>
        <v>0.00201</v>
      </c>
      <c r="K877" s="19">
        <f>IFERROR(__xludf.DUMMYFUNCTION("""COMPUTED_VALUE"""),0.03611)</f>
        <v>0.03611</v>
      </c>
      <c r="L877" s="19" t="str">
        <f>IFERROR(__xludf.DUMMYFUNCTION("""COMPUTED_VALUE"""),"-")</f>
        <v>-</v>
      </c>
      <c r="M877" s="19">
        <f>IFERROR(__xludf.DUMMYFUNCTION("""COMPUTED_VALUE"""),0.04018)</f>
        <v>0.04018</v>
      </c>
    </row>
    <row r="878">
      <c r="A878" s="12" t="s">
        <v>8768</v>
      </c>
      <c r="G878" s="19">
        <f>IFERROR(__xludf.DUMMYFUNCTION("SPLIT(A876, "" |"")"),874.0)</f>
        <v>874</v>
      </c>
      <c r="H878" s="19">
        <f>IFERROR(__xludf.DUMMYFUNCTION("""COMPUTED_VALUE"""),0.00198)</f>
        <v>0.00198</v>
      </c>
      <c r="I878" s="19" t="str">
        <f>IFERROR(__xludf.DUMMYFUNCTION("""COMPUTED_VALUE"""),"-")</f>
        <v>-</v>
      </c>
      <c r="J878" s="19">
        <f>IFERROR(__xludf.DUMMYFUNCTION("""COMPUTED_VALUE"""),0.00193)</f>
        <v>0.00193</v>
      </c>
      <c r="K878" s="19">
        <f>IFERROR(__xludf.DUMMYFUNCTION("""COMPUTED_VALUE"""),0.0397)</f>
        <v>0.0397</v>
      </c>
      <c r="L878" s="19" t="str">
        <f>IFERROR(__xludf.DUMMYFUNCTION("""COMPUTED_VALUE"""),"-")</f>
        <v>-</v>
      </c>
      <c r="M878" s="19">
        <f>IFERROR(__xludf.DUMMYFUNCTION("""COMPUTED_VALUE"""),0.04006)</f>
        <v>0.04006</v>
      </c>
    </row>
    <row r="879">
      <c r="A879" s="12" t="s">
        <v>8769</v>
      </c>
      <c r="G879" s="19">
        <f>IFERROR(__xludf.DUMMYFUNCTION("SPLIT(A877, "" |"")"),875.0)</f>
        <v>875</v>
      </c>
      <c r="H879" s="19">
        <f>IFERROR(__xludf.DUMMYFUNCTION("""COMPUTED_VALUE"""),0.00225)</f>
        <v>0.00225</v>
      </c>
      <c r="I879" s="19" t="str">
        <f>IFERROR(__xludf.DUMMYFUNCTION("""COMPUTED_VALUE"""),"-")</f>
        <v>-</v>
      </c>
      <c r="J879" s="19">
        <f>IFERROR(__xludf.DUMMYFUNCTION("""COMPUTED_VALUE"""),0.00199)</f>
        <v>0.00199</v>
      </c>
      <c r="K879" s="19">
        <f>IFERROR(__xludf.DUMMYFUNCTION("""COMPUTED_VALUE"""),0.03978)</f>
        <v>0.03978</v>
      </c>
      <c r="L879" s="19" t="str">
        <f>IFERROR(__xludf.DUMMYFUNCTION("""COMPUTED_VALUE"""),"-")</f>
        <v>-</v>
      </c>
      <c r="M879" s="19">
        <f>IFERROR(__xludf.DUMMYFUNCTION("""COMPUTED_VALUE"""),0.03988)</f>
        <v>0.03988</v>
      </c>
    </row>
    <row r="880">
      <c r="A880" s="12" t="s">
        <v>8770</v>
      </c>
      <c r="G880" s="19">
        <f>IFERROR(__xludf.DUMMYFUNCTION("SPLIT(A878, "" |"")"),876.0)</f>
        <v>876</v>
      </c>
      <c r="H880" s="19">
        <f>IFERROR(__xludf.DUMMYFUNCTION("""COMPUTED_VALUE"""),0.00217)</f>
        <v>0.00217</v>
      </c>
      <c r="I880" s="19" t="str">
        <f>IFERROR(__xludf.DUMMYFUNCTION("""COMPUTED_VALUE"""),"-")</f>
        <v>-</v>
      </c>
      <c r="J880" s="19">
        <f>IFERROR(__xludf.DUMMYFUNCTION("""COMPUTED_VALUE"""),0.00202)</f>
        <v>0.00202</v>
      </c>
      <c r="K880" s="19">
        <f>IFERROR(__xludf.DUMMYFUNCTION("""COMPUTED_VALUE"""),0.0396)</f>
        <v>0.0396</v>
      </c>
      <c r="L880" s="19" t="str">
        <f>IFERROR(__xludf.DUMMYFUNCTION("""COMPUTED_VALUE"""),"-")</f>
        <v>-</v>
      </c>
      <c r="M880" s="19">
        <f>IFERROR(__xludf.DUMMYFUNCTION("""COMPUTED_VALUE"""),0.04046)</f>
        <v>0.04046</v>
      </c>
    </row>
    <row r="881">
      <c r="A881" s="12" t="s">
        <v>8771</v>
      </c>
      <c r="G881" s="19">
        <f>IFERROR(__xludf.DUMMYFUNCTION("SPLIT(A879, "" |"")"),877.0)</f>
        <v>877</v>
      </c>
      <c r="H881" s="19">
        <f>IFERROR(__xludf.DUMMYFUNCTION("""COMPUTED_VALUE"""),0.00218)</f>
        <v>0.00218</v>
      </c>
      <c r="I881" s="19" t="str">
        <f>IFERROR(__xludf.DUMMYFUNCTION("""COMPUTED_VALUE"""),"-")</f>
        <v>-</v>
      </c>
      <c r="J881" s="19">
        <f>IFERROR(__xludf.DUMMYFUNCTION("""COMPUTED_VALUE"""),0.00206)</f>
        <v>0.00206</v>
      </c>
      <c r="K881" s="19">
        <f>IFERROR(__xludf.DUMMYFUNCTION("""COMPUTED_VALUE"""),0.03965)</f>
        <v>0.03965</v>
      </c>
      <c r="L881" s="19" t="str">
        <f>IFERROR(__xludf.DUMMYFUNCTION("""COMPUTED_VALUE"""),"-")</f>
        <v>-</v>
      </c>
      <c r="M881" s="19">
        <f>IFERROR(__xludf.DUMMYFUNCTION("""COMPUTED_VALUE"""),0.03974)</f>
        <v>0.03974</v>
      </c>
    </row>
    <row r="882">
      <c r="A882" s="12" t="s">
        <v>8772</v>
      </c>
      <c r="G882" s="19">
        <f>IFERROR(__xludf.DUMMYFUNCTION("SPLIT(A880, "" |"")"),878.0)</f>
        <v>878</v>
      </c>
      <c r="H882" s="19">
        <f>IFERROR(__xludf.DUMMYFUNCTION("""COMPUTED_VALUE"""),0.00205)</f>
        <v>0.00205</v>
      </c>
      <c r="I882" s="19" t="str">
        <f>IFERROR(__xludf.DUMMYFUNCTION("""COMPUTED_VALUE"""),"-")</f>
        <v>-</v>
      </c>
      <c r="J882" s="19">
        <f>IFERROR(__xludf.DUMMYFUNCTION("""COMPUTED_VALUE"""),0.00186)</f>
        <v>0.00186</v>
      </c>
      <c r="K882" s="19">
        <f>IFERROR(__xludf.DUMMYFUNCTION("""COMPUTED_VALUE"""),0.039)</f>
        <v>0.039</v>
      </c>
      <c r="L882" s="19" t="str">
        <f>IFERROR(__xludf.DUMMYFUNCTION("""COMPUTED_VALUE"""),"-")</f>
        <v>-</v>
      </c>
      <c r="M882" s="19">
        <f>IFERROR(__xludf.DUMMYFUNCTION("""COMPUTED_VALUE"""),0.04071)</f>
        <v>0.04071</v>
      </c>
    </row>
    <row r="883">
      <c r="A883" s="12" t="s">
        <v>8773</v>
      </c>
      <c r="G883" s="19">
        <f>IFERROR(__xludf.DUMMYFUNCTION("SPLIT(A881, "" |"")"),879.0)</f>
        <v>879</v>
      </c>
      <c r="H883" s="19">
        <f>IFERROR(__xludf.DUMMYFUNCTION("""COMPUTED_VALUE"""),0.00231)</f>
        <v>0.00231</v>
      </c>
      <c r="I883" s="19" t="str">
        <f>IFERROR(__xludf.DUMMYFUNCTION("""COMPUTED_VALUE"""),"-")</f>
        <v>-</v>
      </c>
      <c r="J883" s="19">
        <f>IFERROR(__xludf.DUMMYFUNCTION("""COMPUTED_VALUE"""),0.00233)</f>
        <v>0.00233</v>
      </c>
      <c r="K883" s="19">
        <f>IFERROR(__xludf.DUMMYFUNCTION("""COMPUTED_VALUE"""),0.03969)</f>
        <v>0.03969</v>
      </c>
      <c r="L883" s="19" t="str">
        <f>IFERROR(__xludf.DUMMYFUNCTION("""COMPUTED_VALUE"""),"-")</f>
        <v>-</v>
      </c>
      <c r="M883" s="19">
        <f>IFERROR(__xludf.DUMMYFUNCTION("""COMPUTED_VALUE"""),0.03996)</f>
        <v>0.03996</v>
      </c>
    </row>
    <row r="884">
      <c r="A884" s="12" t="s">
        <v>8774</v>
      </c>
      <c r="G884" s="19">
        <f>IFERROR(__xludf.DUMMYFUNCTION("SPLIT(A882, "" |"")"),880.0)</f>
        <v>880</v>
      </c>
      <c r="H884" s="19">
        <f>IFERROR(__xludf.DUMMYFUNCTION("""COMPUTED_VALUE"""),0.00217)</f>
        <v>0.00217</v>
      </c>
      <c r="I884" s="19" t="str">
        <f>IFERROR(__xludf.DUMMYFUNCTION("""COMPUTED_VALUE"""),"-")</f>
        <v>-</v>
      </c>
      <c r="J884" s="19">
        <f>IFERROR(__xludf.DUMMYFUNCTION("""COMPUTED_VALUE"""),0.00201)</f>
        <v>0.00201</v>
      </c>
      <c r="K884" s="19">
        <f>IFERROR(__xludf.DUMMYFUNCTION("""COMPUTED_VALUE"""),0.03988)</f>
        <v>0.03988</v>
      </c>
      <c r="L884" s="19" t="str">
        <f>IFERROR(__xludf.DUMMYFUNCTION("""COMPUTED_VALUE"""),"-")</f>
        <v>-</v>
      </c>
      <c r="M884" s="19">
        <f>IFERROR(__xludf.DUMMYFUNCTION("""COMPUTED_VALUE"""),0.03978)</f>
        <v>0.03978</v>
      </c>
    </row>
    <row r="885">
      <c r="A885" s="12" t="s">
        <v>8775</v>
      </c>
      <c r="G885" s="19">
        <f>IFERROR(__xludf.DUMMYFUNCTION("SPLIT(A883, "" |"")"),881.0)</f>
        <v>881</v>
      </c>
      <c r="H885" s="19">
        <f>IFERROR(__xludf.DUMMYFUNCTION("""COMPUTED_VALUE"""),0.0021)</f>
        <v>0.0021</v>
      </c>
      <c r="I885" s="19" t="str">
        <f>IFERROR(__xludf.DUMMYFUNCTION("""COMPUTED_VALUE"""),"-")</f>
        <v>-</v>
      </c>
      <c r="J885" s="19">
        <f>IFERROR(__xludf.DUMMYFUNCTION("""COMPUTED_VALUE"""),0.00194)</f>
        <v>0.00194</v>
      </c>
      <c r="K885" s="19">
        <f>IFERROR(__xludf.DUMMYFUNCTION("""COMPUTED_VALUE"""),0.04006)</f>
        <v>0.04006</v>
      </c>
      <c r="L885" s="19" t="str">
        <f>IFERROR(__xludf.DUMMYFUNCTION("""COMPUTED_VALUE"""),"-")</f>
        <v>-</v>
      </c>
      <c r="M885" s="19">
        <f>IFERROR(__xludf.DUMMYFUNCTION("""COMPUTED_VALUE"""),0.0399)</f>
        <v>0.0399</v>
      </c>
    </row>
    <row r="886">
      <c r="A886" s="12" t="s">
        <v>8776</v>
      </c>
      <c r="G886" s="19">
        <f>IFERROR(__xludf.DUMMYFUNCTION("SPLIT(A884, "" |"")"),882.0)</f>
        <v>882</v>
      </c>
      <c r="H886" s="19">
        <f>IFERROR(__xludf.DUMMYFUNCTION("""COMPUTED_VALUE"""),0.00208)</f>
        <v>0.00208</v>
      </c>
      <c r="I886" s="19" t="str">
        <f>IFERROR(__xludf.DUMMYFUNCTION("""COMPUTED_VALUE"""),"-")</f>
        <v>-</v>
      </c>
      <c r="J886" s="19">
        <f>IFERROR(__xludf.DUMMYFUNCTION("""COMPUTED_VALUE"""),0.00199)</f>
        <v>0.00199</v>
      </c>
      <c r="K886" s="19">
        <f>IFERROR(__xludf.DUMMYFUNCTION("""COMPUTED_VALUE"""),0.03966)</f>
        <v>0.03966</v>
      </c>
      <c r="L886" s="19" t="str">
        <f>IFERROR(__xludf.DUMMYFUNCTION("""COMPUTED_VALUE"""),"-")</f>
        <v>-</v>
      </c>
      <c r="M886" s="19">
        <f>IFERROR(__xludf.DUMMYFUNCTION("""COMPUTED_VALUE"""),0.03763)</f>
        <v>0.03763</v>
      </c>
    </row>
    <row r="887">
      <c r="A887" s="12" t="s">
        <v>8777</v>
      </c>
      <c r="G887" s="19">
        <f>IFERROR(__xludf.DUMMYFUNCTION("SPLIT(A885, "" |"")"),883.0)</f>
        <v>883</v>
      </c>
      <c r="H887" s="19">
        <f>IFERROR(__xludf.DUMMYFUNCTION("""COMPUTED_VALUE"""),0.00201)</f>
        <v>0.00201</v>
      </c>
      <c r="I887" s="19" t="str">
        <f>IFERROR(__xludf.DUMMYFUNCTION("""COMPUTED_VALUE"""),"-")</f>
        <v>-</v>
      </c>
      <c r="J887" s="19">
        <f>IFERROR(__xludf.DUMMYFUNCTION("""COMPUTED_VALUE"""),0.00188)</f>
        <v>0.00188</v>
      </c>
      <c r="K887" s="19">
        <f>IFERROR(__xludf.DUMMYFUNCTION("""COMPUTED_VALUE"""),0.03818)</f>
        <v>0.03818</v>
      </c>
      <c r="L887" s="19" t="str">
        <f>IFERROR(__xludf.DUMMYFUNCTION("""COMPUTED_VALUE"""),"-")</f>
        <v>-</v>
      </c>
      <c r="M887" s="19">
        <f>IFERROR(__xludf.DUMMYFUNCTION("""COMPUTED_VALUE"""),0.0397)</f>
        <v>0.0397</v>
      </c>
    </row>
    <row r="888">
      <c r="A888" s="12" t="s">
        <v>8778</v>
      </c>
      <c r="G888" s="19">
        <f>IFERROR(__xludf.DUMMYFUNCTION("SPLIT(A886, "" |"")"),884.0)</f>
        <v>884</v>
      </c>
      <c r="H888" s="19">
        <f>IFERROR(__xludf.DUMMYFUNCTION("""COMPUTED_VALUE"""),0.00207)</f>
        <v>0.00207</v>
      </c>
      <c r="I888" s="19" t="str">
        <f>IFERROR(__xludf.DUMMYFUNCTION("""COMPUTED_VALUE"""),"-")</f>
        <v>-</v>
      </c>
      <c r="J888" s="19">
        <f>IFERROR(__xludf.DUMMYFUNCTION("""COMPUTED_VALUE"""),0.00188)</f>
        <v>0.00188</v>
      </c>
      <c r="K888" s="19">
        <f>IFERROR(__xludf.DUMMYFUNCTION("""COMPUTED_VALUE"""),0.03965)</f>
        <v>0.03965</v>
      </c>
      <c r="L888" s="19" t="str">
        <f>IFERROR(__xludf.DUMMYFUNCTION("""COMPUTED_VALUE"""),"-")</f>
        <v>-</v>
      </c>
      <c r="M888" s="19">
        <f>IFERROR(__xludf.DUMMYFUNCTION("""COMPUTED_VALUE"""),0.04002)</f>
        <v>0.04002</v>
      </c>
    </row>
    <row r="889">
      <c r="A889" s="12" t="s">
        <v>8779</v>
      </c>
      <c r="G889" s="19">
        <f>IFERROR(__xludf.DUMMYFUNCTION("SPLIT(A887, "" |"")"),885.0)</f>
        <v>885</v>
      </c>
      <c r="H889" s="19">
        <f>IFERROR(__xludf.DUMMYFUNCTION("""COMPUTED_VALUE"""),0.00245)</f>
        <v>0.00245</v>
      </c>
      <c r="I889" s="19" t="str">
        <f>IFERROR(__xludf.DUMMYFUNCTION("""COMPUTED_VALUE"""),"-")</f>
        <v>-</v>
      </c>
      <c r="J889" s="19">
        <f>IFERROR(__xludf.DUMMYFUNCTION("""COMPUTED_VALUE"""),0.00216)</f>
        <v>0.00216</v>
      </c>
      <c r="K889" s="19">
        <f>IFERROR(__xludf.DUMMYFUNCTION("""COMPUTED_VALUE"""),0.04012)</f>
        <v>0.04012</v>
      </c>
      <c r="L889" s="19" t="str">
        <f>IFERROR(__xludf.DUMMYFUNCTION("""COMPUTED_VALUE"""),"-")</f>
        <v>-</v>
      </c>
      <c r="M889" s="19">
        <f>IFERROR(__xludf.DUMMYFUNCTION("""COMPUTED_VALUE"""),0.03488)</f>
        <v>0.03488</v>
      </c>
    </row>
    <row r="890">
      <c r="A890" s="12" t="s">
        <v>8780</v>
      </c>
      <c r="G890" s="19">
        <f>IFERROR(__xludf.DUMMYFUNCTION("SPLIT(A888, "" |"")"),886.0)</f>
        <v>886</v>
      </c>
      <c r="H890" s="19">
        <f>IFERROR(__xludf.DUMMYFUNCTION("""COMPUTED_VALUE"""),0.0024)</f>
        <v>0.0024</v>
      </c>
      <c r="I890" s="19" t="str">
        <f>IFERROR(__xludf.DUMMYFUNCTION("""COMPUTED_VALUE"""),"-")</f>
        <v>-</v>
      </c>
      <c r="J890" s="19">
        <f>IFERROR(__xludf.DUMMYFUNCTION("""COMPUTED_VALUE"""),0.00198)</f>
        <v>0.00198</v>
      </c>
      <c r="K890" s="19">
        <f>IFERROR(__xludf.DUMMYFUNCTION("""COMPUTED_VALUE"""),0.03711)</f>
        <v>0.03711</v>
      </c>
      <c r="L890" s="19" t="str">
        <f>IFERROR(__xludf.DUMMYFUNCTION("""COMPUTED_VALUE"""),"-")</f>
        <v>-</v>
      </c>
      <c r="M890" s="19">
        <f>IFERROR(__xludf.DUMMYFUNCTION("""COMPUTED_VALUE"""),0.03957)</f>
        <v>0.03957</v>
      </c>
    </row>
    <row r="891">
      <c r="A891" s="12" t="s">
        <v>8781</v>
      </c>
      <c r="G891" s="19">
        <f>IFERROR(__xludf.DUMMYFUNCTION("SPLIT(A889, "" |"")"),887.0)</f>
        <v>887</v>
      </c>
      <c r="H891" s="19">
        <f>IFERROR(__xludf.DUMMYFUNCTION("""COMPUTED_VALUE"""),0.00216)</f>
        <v>0.00216</v>
      </c>
      <c r="I891" s="19" t="str">
        <f>IFERROR(__xludf.DUMMYFUNCTION("""COMPUTED_VALUE"""),"-")</f>
        <v>-</v>
      </c>
      <c r="J891" s="19">
        <f>IFERROR(__xludf.DUMMYFUNCTION("""COMPUTED_VALUE"""),0.00207)</f>
        <v>0.00207</v>
      </c>
      <c r="K891" s="19">
        <f>IFERROR(__xludf.DUMMYFUNCTION("""COMPUTED_VALUE"""),0.03906)</f>
        <v>0.03906</v>
      </c>
      <c r="L891" s="19" t="str">
        <f>IFERROR(__xludf.DUMMYFUNCTION("""COMPUTED_VALUE"""),"-")</f>
        <v>-</v>
      </c>
      <c r="M891" s="19">
        <f>IFERROR(__xludf.DUMMYFUNCTION("""COMPUTED_VALUE"""),0.04001)</f>
        <v>0.04001</v>
      </c>
    </row>
    <row r="892">
      <c r="A892" s="12" t="s">
        <v>8782</v>
      </c>
      <c r="G892" s="19">
        <f>IFERROR(__xludf.DUMMYFUNCTION("SPLIT(A890, "" |"")"),888.0)</f>
        <v>888</v>
      </c>
      <c r="H892" s="19">
        <f>IFERROR(__xludf.DUMMYFUNCTION("""COMPUTED_VALUE"""),0.00219)</f>
        <v>0.00219</v>
      </c>
      <c r="I892" s="19" t="str">
        <f>IFERROR(__xludf.DUMMYFUNCTION("""COMPUTED_VALUE"""),"-")</f>
        <v>-</v>
      </c>
      <c r="J892" s="19">
        <f>IFERROR(__xludf.DUMMYFUNCTION("""COMPUTED_VALUE"""),0.00208)</f>
        <v>0.00208</v>
      </c>
      <c r="K892" s="19">
        <f>IFERROR(__xludf.DUMMYFUNCTION("""COMPUTED_VALUE"""),0.03547)</f>
        <v>0.03547</v>
      </c>
      <c r="L892" s="19" t="str">
        <f>IFERROR(__xludf.DUMMYFUNCTION("""COMPUTED_VALUE"""),"-")</f>
        <v>-</v>
      </c>
      <c r="M892" s="19">
        <f>IFERROR(__xludf.DUMMYFUNCTION("""COMPUTED_VALUE"""),0.03699)</f>
        <v>0.03699</v>
      </c>
    </row>
    <row r="893">
      <c r="A893" s="12" t="s">
        <v>8783</v>
      </c>
      <c r="G893" s="19">
        <f>IFERROR(__xludf.DUMMYFUNCTION("SPLIT(A891, "" |"")"),889.0)</f>
        <v>889</v>
      </c>
      <c r="H893" s="19">
        <f>IFERROR(__xludf.DUMMYFUNCTION("""COMPUTED_VALUE"""),0.00241)</f>
        <v>0.00241</v>
      </c>
      <c r="I893" s="19" t="str">
        <f>IFERROR(__xludf.DUMMYFUNCTION("""COMPUTED_VALUE"""),"-")</f>
        <v>-</v>
      </c>
      <c r="J893" s="19">
        <f>IFERROR(__xludf.DUMMYFUNCTION("""COMPUTED_VALUE"""),0.00192)</f>
        <v>0.00192</v>
      </c>
      <c r="K893" s="19">
        <f>IFERROR(__xludf.DUMMYFUNCTION("""COMPUTED_VALUE"""),0.03713)</f>
        <v>0.03713</v>
      </c>
      <c r="L893" s="19" t="str">
        <f>IFERROR(__xludf.DUMMYFUNCTION("""COMPUTED_VALUE"""),"-")</f>
        <v>-</v>
      </c>
      <c r="M893" s="19">
        <f>IFERROR(__xludf.DUMMYFUNCTION("""COMPUTED_VALUE"""),0.04017)</f>
        <v>0.04017</v>
      </c>
    </row>
    <row r="894">
      <c r="A894" s="12" t="s">
        <v>8784</v>
      </c>
      <c r="G894" s="19">
        <f>IFERROR(__xludf.DUMMYFUNCTION("SPLIT(A892, "" |"")"),890.0)</f>
        <v>890</v>
      </c>
      <c r="H894" s="19">
        <f>IFERROR(__xludf.DUMMYFUNCTION("""COMPUTED_VALUE"""),0.00229)</f>
        <v>0.00229</v>
      </c>
      <c r="I894" s="19" t="str">
        <f>IFERROR(__xludf.DUMMYFUNCTION("""COMPUTED_VALUE"""),"-")</f>
        <v>-</v>
      </c>
      <c r="J894" s="19">
        <f>IFERROR(__xludf.DUMMYFUNCTION("""COMPUTED_VALUE"""),0.00207)</f>
        <v>0.00207</v>
      </c>
      <c r="K894" s="19">
        <f>IFERROR(__xludf.DUMMYFUNCTION("""COMPUTED_VALUE"""),0.03869)</f>
        <v>0.03869</v>
      </c>
      <c r="L894" s="19" t="str">
        <f>IFERROR(__xludf.DUMMYFUNCTION("""COMPUTED_VALUE"""),"-")</f>
        <v>-</v>
      </c>
      <c r="M894" s="19">
        <f>IFERROR(__xludf.DUMMYFUNCTION("""COMPUTED_VALUE"""),0.03967)</f>
        <v>0.03967</v>
      </c>
    </row>
    <row r="895">
      <c r="A895" s="12" t="s">
        <v>8785</v>
      </c>
      <c r="G895" s="19">
        <f>IFERROR(__xludf.DUMMYFUNCTION("SPLIT(A893, "" |"")"),891.0)</f>
        <v>891</v>
      </c>
      <c r="H895" s="19">
        <f>IFERROR(__xludf.DUMMYFUNCTION("""COMPUTED_VALUE"""),0.00231)</f>
        <v>0.00231</v>
      </c>
      <c r="I895" s="19" t="str">
        <f>IFERROR(__xludf.DUMMYFUNCTION("""COMPUTED_VALUE"""),"-")</f>
        <v>-</v>
      </c>
      <c r="J895" s="19">
        <f>IFERROR(__xludf.DUMMYFUNCTION("""COMPUTED_VALUE"""),0.00188)</f>
        <v>0.00188</v>
      </c>
      <c r="K895" s="19">
        <f>IFERROR(__xludf.DUMMYFUNCTION("""COMPUTED_VALUE"""),0.03966)</f>
        <v>0.03966</v>
      </c>
      <c r="L895" s="19" t="str">
        <f>IFERROR(__xludf.DUMMYFUNCTION("""COMPUTED_VALUE"""),"-")</f>
        <v>-</v>
      </c>
      <c r="M895" s="19">
        <f>IFERROR(__xludf.DUMMYFUNCTION("""COMPUTED_VALUE"""),0.03986)</f>
        <v>0.03986</v>
      </c>
    </row>
    <row r="896">
      <c r="A896" s="12" t="s">
        <v>8786</v>
      </c>
      <c r="G896" s="19">
        <f>IFERROR(__xludf.DUMMYFUNCTION("SPLIT(A894, "" |"")"),892.0)</f>
        <v>892</v>
      </c>
      <c r="H896" s="19">
        <f>IFERROR(__xludf.DUMMYFUNCTION("""COMPUTED_VALUE"""),0.00223)</f>
        <v>0.00223</v>
      </c>
      <c r="I896" s="19" t="str">
        <f>IFERROR(__xludf.DUMMYFUNCTION("""COMPUTED_VALUE"""),"-")</f>
        <v>-</v>
      </c>
      <c r="J896" s="19">
        <f>IFERROR(__xludf.DUMMYFUNCTION("""COMPUTED_VALUE"""),0.00206)</f>
        <v>0.00206</v>
      </c>
      <c r="K896" s="19">
        <f>IFERROR(__xludf.DUMMYFUNCTION("""COMPUTED_VALUE"""),0.03987)</f>
        <v>0.03987</v>
      </c>
      <c r="L896" s="19" t="str">
        <f>IFERROR(__xludf.DUMMYFUNCTION("""COMPUTED_VALUE"""),"-")</f>
        <v>-</v>
      </c>
      <c r="M896" s="19">
        <f>IFERROR(__xludf.DUMMYFUNCTION("""COMPUTED_VALUE"""),0.04)</f>
        <v>0.04</v>
      </c>
    </row>
    <row r="897">
      <c r="A897" s="12" t="s">
        <v>8787</v>
      </c>
      <c r="G897" s="19">
        <f>IFERROR(__xludf.DUMMYFUNCTION("SPLIT(A895, "" |"")"),893.0)</f>
        <v>893</v>
      </c>
      <c r="H897" s="19">
        <f>IFERROR(__xludf.DUMMYFUNCTION("""COMPUTED_VALUE"""),0.00215)</f>
        <v>0.00215</v>
      </c>
      <c r="I897" s="19" t="str">
        <f>IFERROR(__xludf.DUMMYFUNCTION("""COMPUTED_VALUE"""),"-")</f>
        <v>-</v>
      </c>
      <c r="J897" s="19">
        <f>IFERROR(__xludf.DUMMYFUNCTION("""COMPUTED_VALUE"""),0.00196)</f>
        <v>0.00196</v>
      </c>
      <c r="K897" s="19">
        <f>IFERROR(__xludf.DUMMYFUNCTION("""COMPUTED_VALUE"""),0.03784)</f>
        <v>0.03784</v>
      </c>
      <c r="L897" s="19" t="str">
        <f>IFERROR(__xludf.DUMMYFUNCTION("""COMPUTED_VALUE"""),"-")</f>
        <v>-</v>
      </c>
      <c r="M897" s="19">
        <f>IFERROR(__xludf.DUMMYFUNCTION("""COMPUTED_VALUE"""),0.03962)</f>
        <v>0.03962</v>
      </c>
    </row>
    <row r="898">
      <c r="A898" s="12" t="s">
        <v>8788</v>
      </c>
      <c r="G898" s="19">
        <f>IFERROR(__xludf.DUMMYFUNCTION("SPLIT(A896, "" |"")"),894.0)</f>
        <v>894</v>
      </c>
      <c r="H898" s="19">
        <f>IFERROR(__xludf.DUMMYFUNCTION("""COMPUTED_VALUE"""),0.0022)</f>
        <v>0.0022</v>
      </c>
      <c r="I898" s="19" t="str">
        <f>IFERROR(__xludf.DUMMYFUNCTION("""COMPUTED_VALUE"""),"-")</f>
        <v>-</v>
      </c>
      <c r="J898" s="19">
        <f>IFERROR(__xludf.DUMMYFUNCTION("""COMPUTED_VALUE"""),0.00193)</f>
        <v>0.00193</v>
      </c>
      <c r="K898" s="19">
        <f>IFERROR(__xludf.DUMMYFUNCTION("""COMPUTED_VALUE"""),0.03976)</f>
        <v>0.03976</v>
      </c>
      <c r="L898" s="19" t="str">
        <f>IFERROR(__xludf.DUMMYFUNCTION("""COMPUTED_VALUE"""),"-")</f>
        <v>-</v>
      </c>
      <c r="M898" s="19">
        <f>IFERROR(__xludf.DUMMYFUNCTION("""COMPUTED_VALUE"""),0.04035)</f>
        <v>0.04035</v>
      </c>
    </row>
    <row r="899">
      <c r="A899" s="12" t="s">
        <v>8789</v>
      </c>
      <c r="G899" s="19">
        <f>IFERROR(__xludf.DUMMYFUNCTION("SPLIT(A897, "" |"")"),895.0)</f>
        <v>895</v>
      </c>
      <c r="H899" s="19">
        <f>IFERROR(__xludf.DUMMYFUNCTION("""COMPUTED_VALUE"""),0.00246)</f>
        <v>0.00246</v>
      </c>
      <c r="I899" s="19" t="str">
        <f>IFERROR(__xludf.DUMMYFUNCTION("""COMPUTED_VALUE"""),"-")</f>
        <v>-</v>
      </c>
      <c r="J899" s="19">
        <f>IFERROR(__xludf.DUMMYFUNCTION("""COMPUTED_VALUE"""),0.0026)</f>
        <v>0.0026</v>
      </c>
      <c r="K899" s="19">
        <f>IFERROR(__xludf.DUMMYFUNCTION("""COMPUTED_VALUE"""),0.04019)</f>
        <v>0.04019</v>
      </c>
      <c r="L899" s="19" t="str">
        <f>IFERROR(__xludf.DUMMYFUNCTION("""COMPUTED_VALUE"""),"-")</f>
        <v>-</v>
      </c>
      <c r="M899" s="19">
        <f>IFERROR(__xludf.DUMMYFUNCTION("""COMPUTED_VALUE"""),0.03983)</f>
        <v>0.03983</v>
      </c>
    </row>
    <row r="900">
      <c r="A900" s="12" t="s">
        <v>8790</v>
      </c>
      <c r="G900" s="19">
        <f>IFERROR(__xludf.DUMMYFUNCTION("SPLIT(A898, "" |"")"),896.0)</f>
        <v>896</v>
      </c>
      <c r="H900" s="19">
        <f>IFERROR(__xludf.DUMMYFUNCTION("""COMPUTED_VALUE"""),0.00211)</f>
        <v>0.00211</v>
      </c>
      <c r="I900" s="19" t="str">
        <f>IFERROR(__xludf.DUMMYFUNCTION("""COMPUTED_VALUE"""),"-")</f>
        <v>-</v>
      </c>
      <c r="J900" s="19">
        <f>IFERROR(__xludf.DUMMYFUNCTION("""COMPUTED_VALUE"""),0.00191)</f>
        <v>0.00191</v>
      </c>
      <c r="K900" s="19">
        <f>IFERROR(__xludf.DUMMYFUNCTION("""COMPUTED_VALUE"""),0.04039)</f>
        <v>0.04039</v>
      </c>
      <c r="L900" s="19" t="str">
        <f>IFERROR(__xludf.DUMMYFUNCTION("""COMPUTED_VALUE"""),"-")</f>
        <v>-</v>
      </c>
      <c r="M900" s="19">
        <f>IFERROR(__xludf.DUMMYFUNCTION("""COMPUTED_VALUE"""),0.04002)</f>
        <v>0.04002</v>
      </c>
    </row>
    <row r="901">
      <c r="A901" s="12" t="s">
        <v>8791</v>
      </c>
      <c r="G901" s="19">
        <f>IFERROR(__xludf.DUMMYFUNCTION("SPLIT(A899, "" |"")"),897.0)</f>
        <v>897</v>
      </c>
      <c r="H901" s="19">
        <f>IFERROR(__xludf.DUMMYFUNCTION("""COMPUTED_VALUE"""),0.00227)</f>
        <v>0.00227</v>
      </c>
      <c r="I901" s="19" t="str">
        <f>IFERROR(__xludf.DUMMYFUNCTION("""COMPUTED_VALUE"""),"-")</f>
        <v>-</v>
      </c>
      <c r="J901" s="19">
        <f>IFERROR(__xludf.DUMMYFUNCTION("""COMPUTED_VALUE"""),0.00226)</f>
        <v>0.00226</v>
      </c>
      <c r="K901" s="19">
        <f>IFERROR(__xludf.DUMMYFUNCTION("""COMPUTED_VALUE"""),0.03985)</f>
        <v>0.03985</v>
      </c>
      <c r="L901" s="19" t="str">
        <f>IFERROR(__xludf.DUMMYFUNCTION("""COMPUTED_VALUE"""),"-")</f>
        <v>-</v>
      </c>
      <c r="M901" s="19">
        <f>IFERROR(__xludf.DUMMYFUNCTION("""COMPUTED_VALUE"""),0.03995)</f>
        <v>0.03995</v>
      </c>
    </row>
    <row r="902">
      <c r="A902" s="12" t="s">
        <v>8792</v>
      </c>
      <c r="G902" s="19">
        <f>IFERROR(__xludf.DUMMYFUNCTION("SPLIT(A900, "" |"")"),898.0)</f>
        <v>898</v>
      </c>
      <c r="H902" s="19">
        <f>IFERROR(__xludf.DUMMYFUNCTION("""COMPUTED_VALUE"""),0.00218)</f>
        <v>0.00218</v>
      </c>
      <c r="I902" s="19" t="str">
        <f>IFERROR(__xludf.DUMMYFUNCTION("""COMPUTED_VALUE"""),"-")</f>
        <v>-</v>
      </c>
      <c r="J902" s="19">
        <f>IFERROR(__xludf.DUMMYFUNCTION("""COMPUTED_VALUE"""),0.00222)</f>
        <v>0.00222</v>
      </c>
      <c r="K902" s="19">
        <f>IFERROR(__xludf.DUMMYFUNCTION("""COMPUTED_VALUE"""),0.04029)</f>
        <v>0.04029</v>
      </c>
      <c r="L902" s="19" t="str">
        <f>IFERROR(__xludf.DUMMYFUNCTION("""COMPUTED_VALUE"""),"-")</f>
        <v>-</v>
      </c>
      <c r="M902" s="19">
        <f>IFERROR(__xludf.DUMMYFUNCTION("""COMPUTED_VALUE"""),0.04004)</f>
        <v>0.04004</v>
      </c>
    </row>
    <row r="903">
      <c r="G903" s="19">
        <f>IFERROR(__xludf.DUMMYFUNCTION("SPLIT(A901, "" |"")"),899.0)</f>
        <v>899</v>
      </c>
      <c r="H903" s="19">
        <f>IFERROR(__xludf.DUMMYFUNCTION("""COMPUTED_VALUE"""),0.00238)</f>
        <v>0.00238</v>
      </c>
      <c r="I903" s="19" t="str">
        <f>IFERROR(__xludf.DUMMYFUNCTION("""COMPUTED_VALUE"""),"-")</f>
        <v>-</v>
      </c>
      <c r="J903" s="19">
        <f>IFERROR(__xludf.DUMMYFUNCTION("""COMPUTED_VALUE"""),0.00202)</f>
        <v>0.00202</v>
      </c>
      <c r="K903" s="19">
        <f>IFERROR(__xludf.DUMMYFUNCTION("""COMPUTED_VALUE"""),0.03986)</f>
        <v>0.03986</v>
      </c>
      <c r="L903" s="19" t="str">
        <f>IFERROR(__xludf.DUMMYFUNCTION("""COMPUTED_VALUE"""),"-")</f>
        <v>-</v>
      </c>
      <c r="M903" s="19">
        <f>IFERROR(__xludf.DUMMYFUNCTION("""COMPUTED_VALUE"""),0.03998)</f>
        <v>0.03998</v>
      </c>
    </row>
    <row r="904">
      <c r="G904" s="19">
        <f>IFERROR(__xludf.DUMMYFUNCTION("SPLIT(A902, "" |"")"),900.0)</f>
        <v>900</v>
      </c>
      <c r="H904" s="19">
        <f>IFERROR(__xludf.DUMMYFUNCTION("""COMPUTED_VALUE"""),0.00216)</f>
        <v>0.00216</v>
      </c>
      <c r="I904" s="19" t="str">
        <f>IFERROR(__xludf.DUMMYFUNCTION("""COMPUTED_VALUE"""),"-")</f>
        <v>-</v>
      </c>
      <c r="J904" s="19">
        <f>IFERROR(__xludf.DUMMYFUNCTION("""COMPUTED_VALUE"""),0.00202)</f>
        <v>0.00202</v>
      </c>
      <c r="K904" s="19">
        <f>IFERROR(__xludf.DUMMYFUNCTION("""COMPUTED_VALUE"""),0.03842)</f>
        <v>0.03842</v>
      </c>
      <c r="L904" s="19" t="str">
        <f>IFERROR(__xludf.DUMMYFUNCTION("""COMPUTED_VALUE"""),"-")</f>
        <v>-</v>
      </c>
      <c r="M904" s="19">
        <f>IFERROR(__xludf.DUMMYFUNCTION("""COMPUTED_VALUE"""),0.04019)</f>
        <v>0.04019</v>
      </c>
    </row>
  </sheetData>
  <mergeCells count="2">
    <mergeCell ref="H2:J2"/>
    <mergeCell ref="K2:M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6091</v>
      </c>
    </row>
    <row r="2">
      <c r="A2" s="12" t="s">
        <v>6092</v>
      </c>
      <c r="H2" s="16" t="s">
        <v>24</v>
      </c>
      <c r="K2" s="17" t="s">
        <v>25</v>
      </c>
    </row>
    <row r="3">
      <c r="A3" s="12" t="s">
        <v>8793</v>
      </c>
      <c r="H3" s="18" t="s">
        <v>26</v>
      </c>
      <c r="I3" s="18" t="s">
        <v>27</v>
      </c>
      <c r="J3" s="18" t="s">
        <v>28</v>
      </c>
      <c r="K3" s="18" t="s">
        <v>29</v>
      </c>
      <c r="L3" s="18" t="s">
        <v>30</v>
      </c>
      <c r="M3" s="18" t="s">
        <v>28</v>
      </c>
    </row>
    <row r="4">
      <c r="A4" s="12" t="s">
        <v>8794</v>
      </c>
    </row>
    <row r="5">
      <c r="A5" s="12" t="s">
        <v>8795</v>
      </c>
      <c r="G5" s="19">
        <f>IFERROR(__xludf.DUMMYFUNCTION("SPLIT(A3, "" |"")"),1.0)</f>
        <v>1</v>
      </c>
      <c r="H5" s="19">
        <f>IFERROR(__xludf.DUMMYFUNCTION("""COMPUTED_VALUE"""),0.00245)</f>
        <v>0.00245</v>
      </c>
      <c r="I5" s="19">
        <f>IFERROR(__xludf.DUMMYFUNCTION("""COMPUTED_VALUE"""),0.00209)</f>
        <v>0.00209</v>
      </c>
      <c r="J5" s="19">
        <f>IFERROR(__xludf.DUMMYFUNCTION("""COMPUTED_VALUE"""),0.00202)</f>
        <v>0.00202</v>
      </c>
      <c r="K5" s="19">
        <f>IFERROR(__xludf.DUMMYFUNCTION("""COMPUTED_VALUE"""),0.03996)</f>
        <v>0.03996</v>
      </c>
      <c r="L5" s="19">
        <f>IFERROR(__xludf.DUMMYFUNCTION("""COMPUTED_VALUE"""),0.04002)</f>
        <v>0.04002</v>
      </c>
      <c r="M5" s="19">
        <f>IFERROR(__xludf.DUMMYFUNCTION("""COMPUTED_VALUE"""),0.03993)</f>
        <v>0.03993</v>
      </c>
    </row>
    <row r="6">
      <c r="A6" s="12" t="s">
        <v>8796</v>
      </c>
      <c r="G6" s="19">
        <f>IFERROR(__xludf.DUMMYFUNCTION("SPLIT(A4, "" |"")"),501.0)</f>
        <v>501</v>
      </c>
      <c r="H6" s="19">
        <f>IFERROR(__xludf.DUMMYFUNCTION("""COMPUTED_VALUE"""),0.00212)</f>
        <v>0.00212</v>
      </c>
      <c r="I6" s="19" t="str">
        <f>IFERROR(__xludf.DUMMYFUNCTION("""COMPUTED_VALUE"""),"-")</f>
        <v>-</v>
      </c>
      <c r="J6" s="19">
        <f>IFERROR(__xludf.DUMMYFUNCTION("""COMPUTED_VALUE"""),0.00318)</f>
        <v>0.00318</v>
      </c>
      <c r="K6" s="19">
        <f>IFERROR(__xludf.DUMMYFUNCTION("""COMPUTED_VALUE"""),0.03821)</f>
        <v>0.03821</v>
      </c>
      <c r="L6" s="19" t="str">
        <f>IFERROR(__xludf.DUMMYFUNCTION("""COMPUTED_VALUE"""),"-")</f>
        <v>-</v>
      </c>
      <c r="M6" s="19">
        <f>IFERROR(__xludf.DUMMYFUNCTION("""COMPUTED_VALUE"""),0.04003)</f>
        <v>0.04003</v>
      </c>
    </row>
    <row r="7">
      <c r="A7" s="12" t="s">
        <v>8797</v>
      </c>
      <c r="G7" s="19">
        <f>IFERROR(__xludf.DUMMYFUNCTION("SPLIT(A5, "" |"")"),1001.0)</f>
        <v>1001</v>
      </c>
      <c r="H7" s="19">
        <f>IFERROR(__xludf.DUMMYFUNCTION("""COMPUTED_VALUE"""),0.00208)</f>
        <v>0.00208</v>
      </c>
      <c r="I7" s="19" t="str">
        <f>IFERROR(__xludf.DUMMYFUNCTION("""COMPUTED_VALUE"""),"-")</f>
        <v>-</v>
      </c>
      <c r="J7" s="19">
        <f>IFERROR(__xludf.DUMMYFUNCTION("""COMPUTED_VALUE"""),0.00206)</f>
        <v>0.00206</v>
      </c>
      <c r="K7" s="19">
        <f>IFERROR(__xludf.DUMMYFUNCTION("""COMPUTED_VALUE"""),0.04017)</f>
        <v>0.04017</v>
      </c>
      <c r="L7" s="19" t="str">
        <f>IFERROR(__xludf.DUMMYFUNCTION("""COMPUTED_VALUE"""),"-")</f>
        <v>-</v>
      </c>
      <c r="M7" s="19" t="str">
        <f>IFERROR(__xludf.DUMMYFUNCTION("""COMPUTED_VALUE"""),"-")</f>
        <v>-</v>
      </c>
    </row>
    <row r="8">
      <c r="A8" s="12" t="s">
        <v>8798</v>
      </c>
      <c r="G8" s="19">
        <f>IFERROR(__xludf.DUMMYFUNCTION("SPLIT(A6, "" |"")"),1501.0)</f>
        <v>1501</v>
      </c>
      <c r="H8" s="19">
        <f>IFERROR(__xludf.DUMMYFUNCTION("""COMPUTED_VALUE"""),0.00408)</f>
        <v>0.00408</v>
      </c>
      <c r="I8" s="19" t="str">
        <f>IFERROR(__xludf.DUMMYFUNCTION("""COMPUTED_VALUE"""),"-")</f>
        <v>-</v>
      </c>
      <c r="J8" s="19">
        <f>IFERROR(__xludf.DUMMYFUNCTION("""COMPUTED_VALUE"""),0.00212)</f>
        <v>0.00212</v>
      </c>
      <c r="K8" s="19">
        <f>IFERROR(__xludf.DUMMYFUNCTION("""COMPUTED_VALUE"""),0.0768)</f>
        <v>0.0768</v>
      </c>
      <c r="L8" s="19" t="str">
        <f>IFERROR(__xludf.DUMMYFUNCTION("""COMPUTED_VALUE"""),"-")</f>
        <v>-</v>
      </c>
      <c r="M8" s="19" t="str">
        <f>IFERROR(__xludf.DUMMYFUNCTION("""COMPUTED_VALUE"""),"-")</f>
        <v>-</v>
      </c>
    </row>
    <row r="9">
      <c r="A9" s="12" t="s">
        <v>8799</v>
      </c>
      <c r="G9" s="19">
        <f>IFERROR(__xludf.DUMMYFUNCTION("SPLIT(A7, "" |"")"),2001.0)</f>
        <v>2001</v>
      </c>
      <c r="H9" s="19">
        <f>IFERROR(__xludf.DUMMYFUNCTION("""COMPUTED_VALUE"""),0.00245)</f>
        <v>0.00245</v>
      </c>
      <c r="I9" s="19" t="str">
        <f>IFERROR(__xludf.DUMMYFUNCTION("""COMPUTED_VALUE"""),"-")</f>
        <v>-</v>
      </c>
      <c r="J9" s="19">
        <f>IFERROR(__xludf.DUMMYFUNCTION("""COMPUTED_VALUE"""),0.00184)</f>
        <v>0.00184</v>
      </c>
      <c r="K9" s="19">
        <f>IFERROR(__xludf.DUMMYFUNCTION("""COMPUTED_VALUE"""),0.03952)</f>
        <v>0.03952</v>
      </c>
      <c r="L9" s="19" t="str">
        <f>IFERROR(__xludf.DUMMYFUNCTION("""COMPUTED_VALUE"""),"-")</f>
        <v>-</v>
      </c>
      <c r="M9" s="19" t="str">
        <f>IFERROR(__xludf.DUMMYFUNCTION("""COMPUTED_VALUE"""),"-")</f>
        <v>-</v>
      </c>
    </row>
    <row r="10">
      <c r="A10" s="12" t="s">
        <v>8800</v>
      </c>
      <c r="G10" s="19">
        <f>IFERROR(__xludf.DUMMYFUNCTION("SPLIT(A8, "" |"")"),2501.0)</f>
        <v>2501</v>
      </c>
      <c r="H10" s="19">
        <f>IFERROR(__xludf.DUMMYFUNCTION("""COMPUTED_VALUE"""),0.00209)</f>
        <v>0.00209</v>
      </c>
      <c r="I10" s="19" t="str">
        <f>IFERROR(__xludf.DUMMYFUNCTION("""COMPUTED_VALUE"""),"-")</f>
        <v>-</v>
      </c>
      <c r="J10" s="19">
        <f>IFERROR(__xludf.DUMMYFUNCTION("""COMPUTED_VALUE"""),0.00186)</f>
        <v>0.00186</v>
      </c>
      <c r="K10" s="19">
        <f>IFERROR(__xludf.DUMMYFUNCTION("""COMPUTED_VALUE"""),0.03954)</f>
        <v>0.03954</v>
      </c>
      <c r="L10" s="19" t="str">
        <f>IFERROR(__xludf.DUMMYFUNCTION("""COMPUTED_VALUE"""),"-")</f>
        <v>-</v>
      </c>
      <c r="M10" s="19" t="str">
        <f>IFERROR(__xludf.DUMMYFUNCTION("""COMPUTED_VALUE"""),"-")</f>
        <v>-</v>
      </c>
    </row>
    <row r="11">
      <c r="A11" s="12" t="s">
        <v>8801</v>
      </c>
      <c r="G11" s="19">
        <f>IFERROR(__xludf.DUMMYFUNCTION("SPLIT(A9, "" |"")"),3001.0)</f>
        <v>3001</v>
      </c>
      <c r="H11" s="19">
        <f>IFERROR(__xludf.DUMMYFUNCTION("""COMPUTED_VALUE"""),0.0022)</f>
        <v>0.0022</v>
      </c>
      <c r="I11" s="19" t="str">
        <f>IFERROR(__xludf.DUMMYFUNCTION("""COMPUTED_VALUE"""),"-")</f>
        <v>-</v>
      </c>
      <c r="J11" s="19">
        <f>IFERROR(__xludf.DUMMYFUNCTION("""COMPUTED_VALUE"""),0.0019)</f>
        <v>0.0019</v>
      </c>
      <c r="K11" s="19">
        <f>IFERROR(__xludf.DUMMYFUNCTION("""COMPUTED_VALUE"""),0.03924)</f>
        <v>0.03924</v>
      </c>
      <c r="L11" s="19" t="str">
        <f>IFERROR(__xludf.DUMMYFUNCTION("""COMPUTED_VALUE"""),"-")</f>
        <v>-</v>
      </c>
      <c r="M11" s="19" t="str">
        <f>IFERROR(__xludf.DUMMYFUNCTION("""COMPUTED_VALUE"""),"-")</f>
        <v>-</v>
      </c>
    </row>
    <row r="12">
      <c r="A12" s="12" t="s">
        <v>8802</v>
      </c>
      <c r="G12" s="19">
        <f>IFERROR(__xludf.DUMMYFUNCTION("SPLIT(A10, "" |"")"),3501.0)</f>
        <v>3501</v>
      </c>
      <c r="H12" s="19">
        <f>IFERROR(__xludf.DUMMYFUNCTION("""COMPUTED_VALUE"""),0.00245)</f>
        <v>0.00245</v>
      </c>
      <c r="I12" s="19" t="str">
        <f>IFERROR(__xludf.DUMMYFUNCTION("""COMPUTED_VALUE"""),"-")</f>
        <v>-</v>
      </c>
      <c r="J12" s="19">
        <f>IFERROR(__xludf.DUMMYFUNCTION("""COMPUTED_VALUE"""),0.00187)</f>
        <v>0.00187</v>
      </c>
      <c r="K12" s="19">
        <f>IFERROR(__xludf.DUMMYFUNCTION("""COMPUTED_VALUE"""),0.0395)</f>
        <v>0.0395</v>
      </c>
      <c r="L12" s="19" t="str">
        <f>IFERROR(__xludf.DUMMYFUNCTION("""COMPUTED_VALUE"""),"-")</f>
        <v>-</v>
      </c>
      <c r="M12" s="19" t="str">
        <f>IFERROR(__xludf.DUMMYFUNCTION("""COMPUTED_VALUE"""),"-")</f>
        <v>-</v>
      </c>
    </row>
    <row r="13">
      <c r="A13" s="12" t="s">
        <v>8803</v>
      </c>
      <c r="G13" s="19">
        <f>IFERROR(__xludf.DUMMYFUNCTION("SPLIT(A11, "" |"")"),4001.0)</f>
        <v>4001</v>
      </c>
      <c r="H13" s="19">
        <f>IFERROR(__xludf.DUMMYFUNCTION("""COMPUTED_VALUE"""),0.00206)</f>
        <v>0.00206</v>
      </c>
      <c r="I13" s="19" t="str">
        <f>IFERROR(__xludf.DUMMYFUNCTION("""COMPUTED_VALUE"""),"-")</f>
        <v>-</v>
      </c>
      <c r="J13" s="19">
        <f>IFERROR(__xludf.DUMMYFUNCTION("""COMPUTED_VALUE"""),0.00188)</f>
        <v>0.00188</v>
      </c>
      <c r="K13" s="19">
        <f>IFERROR(__xludf.DUMMYFUNCTION("""COMPUTED_VALUE"""),0.03935)</f>
        <v>0.03935</v>
      </c>
      <c r="L13" s="19" t="str">
        <f>IFERROR(__xludf.DUMMYFUNCTION("""COMPUTED_VALUE"""),"-")</f>
        <v>-</v>
      </c>
      <c r="M13" s="19" t="str">
        <f>IFERROR(__xludf.DUMMYFUNCTION("""COMPUTED_VALUE"""),"-")</f>
        <v>-</v>
      </c>
    </row>
    <row r="14">
      <c r="A14" s="12" t="s">
        <v>8804</v>
      </c>
      <c r="G14" s="19">
        <f>IFERROR(__xludf.DUMMYFUNCTION("SPLIT(A12, "" |"")"),4501.0)</f>
        <v>4501</v>
      </c>
      <c r="H14" s="19">
        <f>IFERROR(__xludf.DUMMYFUNCTION("""COMPUTED_VALUE"""),0.00203)</f>
        <v>0.00203</v>
      </c>
      <c r="I14" s="19" t="str">
        <f>IFERROR(__xludf.DUMMYFUNCTION("""COMPUTED_VALUE"""),"-")</f>
        <v>-</v>
      </c>
      <c r="J14" s="19">
        <f>IFERROR(__xludf.DUMMYFUNCTION("""COMPUTED_VALUE"""),0.0019)</f>
        <v>0.0019</v>
      </c>
      <c r="K14" s="19">
        <f>IFERROR(__xludf.DUMMYFUNCTION("""COMPUTED_VALUE"""),0.0395)</f>
        <v>0.0395</v>
      </c>
      <c r="L14" s="19" t="str">
        <f>IFERROR(__xludf.DUMMYFUNCTION("""COMPUTED_VALUE"""),"-")</f>
        <v>-</v>
      </c>
      <c r="M14" s="19" t="str">
        <f>IFERROR(__xludf.DUMMYFUNCTION("""COMPUTED_VALUE"""),"-")</f>
        <v>-</v>
      </c>
    </row>
    <row r="15">
      <c r="A15" s="12" t="s">
        <v>8805</v>
      </c>
      <c r="G15" s="19">
        <f>IFERROR(__xludf.DUMMYFUNCTION("SPLIT(A13, "" |"")"),5001.0)</f>
        <v>5001</v>
      </c>
      <c r="H15" s="19">
        <f>IFERROR(__xludf.DUMMYFUNCTION("""COMPUTED_VALUE"""),0.0021)</f>
        <v>0.0021</v>
      </c>
      <c r="I15" s="19" t="str">
        <f>IFERROR(__xludf.DUMMYFUNCTION("""COMPUTED_VALUE"""),"-")</f>
        <v>-</v>
      </c>
      <c r="J15" s="19">
        <f>IFERROR(__xludf.DUMMYFUNCTION("""COMPUTED_VALUE"""),0.00189)</f>
        <v>0.00189</v>
      </c>
      <c r="K15" s="19">
        <f>IFERROR(__xludf.DUMMYFUNCTION("""COMPUTED_VALUE"""),0.03967)</f>
        <v>0.03967</v>
      </c>
      <c r="L15" s="19" t="str">
        <f>IFERROR(__xludf.DUMMYFUNCTION("""COMPUTED_VALUE"""),"-")</f>
        <v>-</v>
      </c>
      <c r="M15" s="19" t="str">
        <f>IFERROR(__xludf.DUMMYFUNCTION("""COMPUTED_VALUE"""),"-")</f>
        <v>-</v>
      </c>
    </row>
    <row r="16">
      <c r="A16" s="12" t="s">
        <v>8806</v>
      </c>
      <c r="G16" s="19">
        <f>IFERROR(__xludf.DUMMYFUNCTION("SPLIT(A14, "" |"")"),5501.0)</f>
        <v>5501</v>
      </c>
      <c r="H16" s="19">
        <f>IFERROR(__xludf.DUMMYFUNCTION("""COMPUTED_VALUE"""),0.00203)</f>
        <v>0.00203</v>
      </c>
      <c r="I16" s="19" t="str">
        <f>IFERROR(__xludf.DUMMYFUNCTION("""COMPUTED_VALUE"""),"-")</f>
        <v>-</v>
      </c>
      <c r="J16" s="19">
        <f>IFERROR(__xludf.DUMMYFUNCTION("""COMPUTED_VALUE"""),0.00185)</f>
        <v>0.00185</v>
      </c>
      <c r="K16" s="19">
        <f>IFERROR(__xludf.DUMMYFUNCTION("""COMPUTED_VALUE"""),0.03763)</f>
        <v>0.03763</v>
      </c>
      <c r="L16" s="19" t="str">
        <f>IFERROR(__xludf.DUMMYFUNCTION("""COMPUTED_VALUE"""),"-")</f>
        <v>-</v>
      </c>
      <c r="M16" s="19" t="str">
        <f>IFERROR(__xludf.DUMMYFUNCTION("""COMPUTED_VALUE"""),"-")</f>
        <v>-</v>
      </c>
    </row>
    <row r="17">
      <c r="A17" s="12" t="s">
        <v>8807</v>
      </c>
      <c r="G17" s="19">
        <f>IFERROR(__xludf.DUMMYFUNCTION("SPLIT(A15, "" |"")"),6001.0)</f>
        <v>6001</v>
      </c>
      <c r="H17" s="19">
        <f>IFERROR(__xludf.DUMMYFUNCTION("""COMPUTED_VALUE"""),0.00199)</f>
        <v>0.00199</v>
      </c>
      <c r="I17" s="19" t="str">
        <f>IFERROR(__xludf.DUMMYFUNCTION("""COMPUTED_VALUE"""),"-")</f>
        <v>-</v>
      </c>
      <c r="J17" s="19">
        <f>IFERROR(__xludf.DUMMYFUNCTION("""COMPUTED_VALUE"""),0.00185)</f>
        <v>0.00185</v>
      </c>
      <c r="K17" s="19">
        <f>IFERROR(__xludf.DUMMYFUNCTION("""COMPUTED_VALUE"""),0.03607)</f>
        <v>0.03607</v>
      </c>
      <c r="L17" s="19" t="str">
        <f>IFERROR(__xludf.DUMMYFUNCTION("""COMPUTED_VALUE"""),"-")</f>
        <v>-</v>
      </c>
      <c r="M17" s="19" t="str">
        <f>IFERROR(__xludf.DUMMYFUNCTION("""COMPUTED_VALUE"""),"-")</f>
        <v>-</v>
      </c>
    </row>
    <row r="18">
      <c r="A18" s="12" t="s">
        <v>8808</v>
      </c>
      <c r="G18" s="19">
        <f>IFERROR(__xludf.DUMMYFUNCTION("SPLIT(A16, "" |"")"),6501.0)</f>
        <v>6501</v>
      </c>
      <c r="H18" s="19">
        <f>IFERROR(__xludf.DUMMYFUNCTION("""COMPUTED_VALUE"""),0.00212)</f>
        <v>0.00212</v>
      </c>
      <c r="I18" s="19" t="str">
        <f>IFERROR(__xludf.DUMMYFUNCTION("""COMPUTED_VALUE"""),"-")</f>
        <v>-</v>
      </c>
      <c r="J18" s="19">
        <f>IFERROR(__xludf.DUMMYFUNCTION("""COMPUTED_VALUE"""),0.00187)</f>
        <v>0.00187</v>
      </c>
      <c r="K18" s="19">
        <f>IFERROR(__xludf.DUMMYFUNCTION("""COMPUTED_VALUE"""),0.0396)</f>
        <v>0.0396</v>
      </c>
      <c r="L18" s="19" t="str">
        <f>IFERROR(__xludf.DUMMYFUNCTION("""COMPUTED_VALUE"""),"-")</f>
        <v>-</v>
      </c>
      <c r="M18" s="19" t="str">
        <f>IFERROR(__xludf.DUMMYFUNCTION("""COMPUTED_VALUE"""),"-")</f>
        <v>-</v>
      </c>
    </row>
    <row r="19">
      <c r="A19" s="12" t="s">
        <v>8809</v>
      </c>
      <c r="G19" s="19">
        <f>IFERROR(__xludf.DUMMYFUNCTION("SPLIT(A17, "" |"")"),7001.0)</f>
        <v>7001</v>
      </c>
      <c r="H19" s="19">
        <f>IFERROR(__xludf.DUMMYFUNCTION("""COMPUTED_VALUE"""),0.00302)</f>
        <v>0.00302</v>
      </c>
      <c r="I19" s="19" t="str">
        <f>IFERROR(__xludf.DUMMYFUNCTION("""COMPUTED_VALUE"""),"-")</f>
        <v>-</v>
      </c>
      <c r="J19" s="19">
        <f>IFERROR(__xludf.DUMMYFUNCTION("""COMPUTED_VALUE"""),0.00186)</f>
        <v>0.00186</v>
      </c>
      <c r="K19" s="19">
        <f>IFERROR(__xludf.DUMMYFUNCTION("""COMPUTED_VALUE"""),0.03958)</f>
        <v>0.03958</v>
      </c>
      <c r="L19" s="19" t="str">
        <f>IFERROR(__xludf.DUMMYFUNCTION("""COMPUTED_VALUE"""),"-")</f>
        <v>-</v>
      </c>
      <c r="M19" s="19" t="str">
        <f>IFERROR(__xludf.DUMMYFUNCTION("""COMPUTED_VALUE"""),"-")</f>
        <v>-</v>
      </c>
    </row>
    <row r="20">
      <c r="A20" s="12" t="s">
        <v>8810</v>
      </c>
      <c r="G20" s="19">
        <f>IFERROR(__xludf.DUMMYFUNCTION("SPLIT(A18, "" |"")"),7501.0)</f>
        <v>7501</v>
      </c>
      <c r="H20" s="19">
        <f>IFERROR(__xludf.DUMMYFUNCTION("""COMPUTED_VALUE"""),0.00207)</f>
        <v>0.00207</v>
      </c>
      <c r="I20" s="19" t="str">
        <f>IFERROR(__xludf.DUMMYFUNCTION("""COMPUTED_VALUE"""),"-")</f>
        <v>-</v>
      </c>
      <c r="J20" s="19">
        <f>IFERROR(__xludf.DUMMYFUNCTION("""COMPUTED_VALUE"""),0.00189)</f>
        <v>0.00189</v>
      </c>
      <c r="K20" s="19">
        <f>IFERROR(__xludf.DUMMYFUNCTION("""COMPUTED_VALUE"""),0.03903)</f>
        <v>0.03903</v>
      </c>
      <c r="L20" s="19" t="str">
        <f>IFERROR(__xludf.DUMMYFUNCTION("""COMPUTED_VALUE"""),"-")</f>
        <v>-</v>
      </c>
      <c r="M20" s="19" t="str">
        <f>IFERROR(__xludf.DUMMYFUNCTION("""COMPUTED_VALUE"""),"-")</f>
        <v>-</v>
      </c>
    </row>
    <row r="21">
      <c r="A21" s="12" t="s">
        <v>8811</v>
      </c>
      <c r="G21" s="19">
        <f>IFERROR(__xludf.DUMMYFUNCTION("SPLIT(A19, "" |"")"),8001.0)</f>
        <v>8001</v>
      </c>
      <c r="H21" s="19">
        <f>IFERROR(__xludf.DUMMYFUNCTION("""COMPUTED_VALUE"""),0.00227)</f>
        <v>0.00227</v>
      </c>
      <c r="I21" s="19" t="str">
        <f>IFERROR(__xludf.DUMMYFUNCTION("""COMPUTED_VALUE"""),"-")</f>
        <v>-</v>
      </c>
      <c r="J21" s="19">
        <f>IFERROR(__xludf.DUMMYFUNCTION("""COMPUTED_VALUE"""),0.00188)</f>
        <v>0.00188</v>
      </c>
      <c r="K21" s="19">
        <f>IFERROR(__xludf.DUMMYFUNCTION("""COMPUTED_VALUE"""),0.03956)</f>
        <v>0.03956</v>
      </c>
      <c r="L21" s="19" t="str">
        <f>IFERROR(__xludf.DUMMYFUNCTION("""COMPUTED_VALUE"""),"-")</f>
        <v>-</v>
      </c>
      <c r="M21" s="19" t="str">
        <f>IFERROR(__xludf.DUMMYFUNCTION("""COMPUTED_VALUE"""),"-")</f>
        <v>-</v>
      </c>
    </row>
    <row r="22">
      <c r="A22" s="12" t="s">
        <v>8812</v>
      </c>
      <c r="G22" s="19">
        <f>IFERROR(__xludf.DUMMYFUNCTION("SPLIT(A20, "" |"")"),8501.0)</f>
        <v>8501</v>
      </c>
      <c r="H22" s="19">
        <f>IFERROR(__xludf.DUMMYFUNCTION("""COMPUTED_VALUE"""),0.0021)</f>
        <v>0.0021</v>
      </c>
      <c r="I22" s="19" t="str">
        <f>IFERROR(__xludf.DUMMYFUNCTION("""COMPUTED_VALUE"""),"-")</f>
        <v>-</v>
      </c>
      <c r="J22" s="19">
        <f>IFERROR(__xludf.DUMMYFUNCTION("""COMPUTED_VALUE"""),0.00185)</f>
        <v>0.00185</v>
      </c>
      <c r="K22" s="19">
        <f>IFERROR(__xludf.DUMMYFUNCTION("""COMPUTED_VALUE"""),0.03997)</f>
        <v>0.03997</v>
      </c>
      <c r="L22" s="19" t="str">
        <f>IFERROR(__xludf.DUMMYFUNCTION("""COMPUTED_VALUE"""),"-")</f>
        <v>-</v>
      </c>
      <c r="M22" s="19" t="str">
        <f>IFERROR(__xludf.DUMMYFUNCTION("""COMPUTED_VALUE"""),"-")</f>
        <v>-</v>
      </c>
    </row>
    <row r="23">
      <c r="A23" s="12" t="s">
        <v>8813</v>
      </c>
      <c r="G23" s="19">
        <f>IFERROR(__xludf.DUMMYFUNCTION("SPLIT(A21, "" |"")"),9001.0)</f>
        <v>9001</v>
      </c>
      <c r="H23" s="19">
        <f>IFERROR(__xludf.DUMMYFUNCTION("""COMPUTED_VALUE"""),0.00209)</f>
        <v>0.00209</v>
      </c>
      <c r="I23" s="19" t="str">
        <f>IFERROR(__xludf.DUMMYFUNCTION("""COMPUTED_VALUE"""),"-")</f>
        <v>-</v>
      </c>
      <c r="J23" s="19">
        <f>IFERROR(__xludf.DUMMYFUNCTION("""COMPUTED_VALUE"""),0.00163)</f>
        <v>0.00163</v>
      </c>
      <c r="K23" s="19">
        <f>IFERROR(__xludf.DUMMYFUNCTION("""COMPUTED_VALUE"""),0.03948)</f>
        <v>0.03948</v>
      </c>
      <c r="L23" s="19" t="str">
        <f>IFERROR(__xludf.DUMMYFUNCTION("""COMPUTED_VALUE"""),"-")</f>
        <v>-</v>
      </c>
      <c r="M23" s="19" t="str">
        <f>IFERROR(__xludf.DUMMYFUNCTION("""COMPUTED_VALUE"""),"-")</f>
        <v>-</v>
      </c>
    </row>
    <row r="24">
      <c r="A24" s="12" t="s">
        <v>8814</v>
      </c>
      <c r="G24" s="19">
        <f>IFERROR(__xludf.DUMMYFUNCTION("SPLIT(A22, "" |"")"),9501.0)</f>
        <v>9501</v>
      </c>
      <c r="H24" s="19">
        <f>IFERROR(__xludf.DUMMYFUNCTION("""COMPUTED_VALUE"""),0.00197)</f>
        <v>0.00197</v>
      </c>
      <c r="I24" s="19" t="str">
        <f>IFERROR(__xludf.DUMMYFUNCTION("""COMPUTED_VALUE"""),"-")</f>
        <v>-</v>
      </c>
      <c r="J24" s="19">
        <f>IFERROR(__xludf.DUMMYFUNCTION("""COMPUTED_VALUE"""),0.00184)</f>
        <v>0.00184</v>
      </c>
      <c r="K24" s="19">
        <f>IFERROR(__xludf.DUMMYFUNCTION("""COMPUTED_VALUE"""),0.03883)</f>
        <v>0.03883</v>
      </c>
      <c r="L24" s="19" t="str">
        <f>IFERROR(__xludf.DUMMYFUNCTION("""COMPUTED_VALUE"""),"-")</f>
        <v>-</v>
      </c>
      <c r="M24" s="19" t="str">
        <f>IFERROR(__xludf.DUMMYFUNCTION("""COMPUTED_VALUE"""),"-")</f>
        <v>-</v>
      </c>
    </row>
    <row r="25">
      <c r="A25" s="12" t="s">
        <v>8815</v>
      </c>
      <c r="G25" s="19">
        <f>IFERROR(__xludf.DUMMYFUNCTION("SPLIT(A23, "" |"")"),10001.0)</f>
        <v>10001</v>
      </c>
      <c r="H25" s="19">
        <f>IFERROR(__xludf.DUMMYFUNCTION("""COMPUTED_VALUE"""),0.00202)</f>
        <v>0.00202</v>
      </c>
      <c r="I25" s="19" t="str">
        <f>IFERROR(__xludf.DUMMYFUNCTION("""COMPUTED_VALUE"""),"-")</f>
        <v>-</v>
      </c>
      <c r="J25" s="19">
        <f>IFERROR(__xludf.DUMMYFUNCTION("""COMPUTED_VALUE"""),0.00196)</f>
        <v>0.00196</v>
      </c>
      <c r="K25" s="19">
        <f>IFERROR(__xludf.DUMMYFUNCTION("""COMPUTED_VALUE"""),0.037)</f>
        <v>0.037</v>
      </c>
      <c r="L25" s="19" t="str">
        <f>IFERROR(__xludf.DUMMYFUNCTION("""COMPUTED_VALUE"""),"-")</f>
        <v>-</v>
      </c>
      <c r="M25" s="19" t="str">
        <f>IFERROR(__xludf.DUMMYFUNCTION("""COMPUTED_VALUE"""),"-")</f>
        <v>-</v>
      </c>
    </row>
    <row r="26">
      <c r="A26" s="12" t="s">
        <v>8816</v>
      </c>
      <c r="G26" s="19">
        <f>IFERROR(__xludf.DUMMYFUNCTION("SPLIT(A24, "" |"")"),10501.0)</f>
        <v>10501</v>
      </c>
      <c r="H26" s="19">
        <f>IFERROR(__xludf.DUMMYFUNCTION("""COMPUTED_VALUE"""),0.0021)</f>
        <v>0.0021</v>
      </c>
      <c r="I26" s="19" t="str">
        <f>IFERROR(__xludf.DUMMYFUNCTION("""COMPUTED_VALUE"""),"-")</f>
        <v>-</v>
      </c>
      <c r="J26" s="19">
        <f>IFERROR(__xludf.DUMMYFUNCTION("""COMPUTED_VALUE"""),0.00185)</f>
        <v>0.00185</v>
      </c>
      <c r="K26" s="19">
        <f>IFERROR(__xludf.DUMMYFUNCTION("""COMPUTED_VALUE"""),0.03953)</f>
        <v>0.03953</v>
      </c>
      <c r="L26" s="19" t="str">
        <f>IFERROR(__xludf.DUMMYFUNCTION("""COMPUTED_VALUE"""),"-")</f>
        <v>-</v>
      </c>
      <c r="M26" s="19" t="str">
        <f>IFERROR(__xludf.DUMMYFUNCTION("""COMPUTED_VALUE"""),"-")</f>
        <v>-</v>
      </c>
    </row>
    <row r="27">
      <c r="A27" s="12" t="s">
        <v>8817</v>
      </c>
      <c r="G27" s="19">
        <f>IFERROR(__xludf.DUMMYFUNCTION("SPLIT(A25, "" |"")"),11001.0)</f>
        <v>11001</v>
      </c>
      <c r="H27" s="19">
        <f>IFERROR(__xludf.DUMMYFUNCTION("""COMPUTED_VALUE"""),0.00208)</f>
        <v>0.00208</v>
      </c>
      <c r="I27" s="19" t="str">
        <f>IFERROR(__xludf.DUMMYFUNCTION("""COMPUTED_VALUE"""),"-")</f>
        <v>-</v>
      </c>
      <c r="J27" s="19">
        <f>IFERROR(__xludf.DUMMYFUNCTION("""COMPUTED_VALUE"""),0.00185)</f>
        <v>0.00185</v>
      </c>
      <c r="K27" s="19">
        <f>IFERROR(__xludf.DUMMYFUNCTION("""COMPUTED_VALUE"""),0.03562)</f>
        <v>0.03562</v>
      </c>
      <c r="L27" s="19" t="str">
        <f>IFERROR(__xludf.DUMMYFUNCTION("""COMPUTED_VALUE"""),"-")</f>
        <v>-</v>
      </c>
      <c r="M27" s="19" t="str">
        <f>IFERROR(__xludf.DUMMYFUNCTION("""COMPUTED_VALUE"""),"-")</f>
        <v>-</v>
      </c>
    </row>
    <row r="28">
      <c r="A28" s="12" t="s">
        <v>8818</v>
      </c>
      <c r="G28" s="19">
        <f>IFERROR(__xludf.DUMMYFUNCTION("SPLIT(A26, "" |"")"),11501.0)</f>
        <v>11501</v>
      </c>
      <c r="H28" s="19">
        <f>IFERROR(__xludf.DUMMYFUNCTION("""COMPUTED_VALUE"""),0.00209)</f>
        <v>0.00209</v>
      </c>
      <c r="I28" s="19" t="str">
        <f>IFERROR(__xludf.DUMMYFUNCTION("""COMPUTED_VALUE"""),"-")</f>
        <v>-</v>
      </c>
      <c r="J28" s="19">
        <f>IFERROR(__xludf.DUMMYFUNCTION("""COMPUTED_VALUE"""),0.00188)</f>
        <v>0.00188</v>
      </c>
      <c r="K28" s="19">
        <f>IFERROR(__xludf.DUMMYFUNCTION("""COMPUTED_VALUE"""),0.04007)</f>
        <v>0.04007</v>
      </c>
      <c r="L28" s="19" t="str">
        <f>IFERROR(__xludf.DUMMYFUNCTION("""COMPUTED_VALUE"""),"-")</f>
        <v>-</v>
      </c>
      <c r="M28" s="19" t="str">
        <f>IFERROR(__xludf.DUMMYFUNCTION("""COMPUTED_VALUE"""),"-")</f>
        <v>-</v>
      </c>
    </row>
    <row r="29">
      <c r="A29" s="12" t="s">
        <v>8819</v>
      </c>
      <c r="G29" s="19">
        <f>IFERROR(__xludf.DUMMYFUNCTION("SPLIT(A27, "" |"")"),12001.0)</f>
        <v>12001</v>
      </c>
      <c r="H29" s="19">
        <f>IFERROR(__xludf.DUMMYFUNCTION("""COMPUTED_VALUE"""),0.00213)</f>
        <v>0.00213</v>
      </c>
      <c r="I29" s="19" t="str">
        <f>IFERROR(__xludf.DUMMYFUNCTION("""COMPUTED_VALUE"""),"-")</f>
        <v>-</v>
      </c>
      <c r="J29" s="19">
        <f>IFERROR(__xludf.DUMMYFUNCTION("""COMPUTED_VALUE"""),0.00193)</f>
        <v>0.00193</v>
      </c>
      <c r="K29" s="19">
        <f>IFERROR(__xludf.DUMMYFUNCTION("""COMPUTED_VALUE"""),0.03951)</f>
        <v>0.03951</v>
      </c>
      <c r="L29" s="19" t="str">
        <f>IFERROR(__xludf.DUMMYFUNCTION("""COMPUTED_VALUE"""),"-")</f>
        <v>-</v>
      </c>
      <c r="M29" s="19" t="str">
        <f>IFERROR(__xludf.DUMMYFUNCTION("""COMPUTED_VALUE"""),"-")</f>
        <v>-</v>
      </c>
    </row>
    <row r="30">
      <c r="A30" s="12" t="s">
        <v>8820</v>
      </c>
      <c r="G30" s="19">
        <f>IFERROR(__xludf.DUMMYFUNCTION("SPLIT(A28, "" |"")"),12501.0)</f>
        <v>12501</v>
      </c>
      <c r="H30" s="19">
        <f>IFERROR(__xludf.DUMMYFUNCTION("""COMPUTED_VALUE"""),0.00204)</f>
        <v>0.00204</v>
      </c>
      <c r="I30" s="19" t="str">
        <f>IFERROR(__xludf.DUMMYFUNCTION("""COMPUTED_VALUE"""),"-")</f>
        <v>-</v>
      </c>
      <c r="J30" s="19">
        <f>IFERROR(__xludf.DUMMYFUNCTION("""COMPUTED_VALUE"""),0.00185)</f>
        <v>0.00185</v>
      </c>
      <c r="K30" s="19">
        <f>IFERROR(__xludf.DUMMYFUNCTION("""COMPUTED_VALUE"""),0.03833)</f>
        <v>0.03833</v>
      </c>
      <c r="L30" s="19" t="str">
        <f>IFERROR(__xludf.DUMMYFUNCTION("""COMPUTED_VALUE"""),"-")</f>
        <v>-</v>
      </c>
      <c r="M30" s="19" t="str">
        <f>IFERROR(__xludf.DUMMYFUNCTION("""COMPUTED_VALUE"""),"-")</f>
        <v>-</v>
      </c>
    </row>
    <row r="31">
      <c r="A31" s="12" t="s">
        <v>8821</v>
      </c>
      <c r="G31" s="19">
        <f>IFERROR(__xludf.DUMMYFUNCTION("SPLIT(A29, "" |"")"),13001.0)</f>
        <v>13001</v>
      </c>
      <c r="H31" s="19">
        <f>IFERROR(__xludf.DUMMYFUNCTION("""COMPUTED_VALUE"""),0.00221)</f>
        <v>0.00221</v>
      </c>
      <c r="I31" s="19" t="str">
        <f>IFERROR(__xludf.DUMMYFUNCTION("""COMPUTED_VALUE"""),"-")</f>
        <v>-</v>
      </c>
      <c r="J31" s="19">
        <f>IFERROR(__xludf.DUMMYFUNCTION("""COMPUTED_VALUE"""),0.00204)</f>
        <v>0.00204</v>
      </c>
      <c r="K31" s="19">
        <f>IFERROR(__xludf.DUMMYFUNCTION("""COMPUTED_VALUE"""),0.03957)</f>
        <v>0.03957</v>
      </c>
      <c r="L31" s="19" t="str">
        <f>IFERROR(__xludf.DUMMYFUNCTION("""COMPUTED_VALUE"""),"-")</f>
        <v>-</v>
      </c>
      <c r="M31" s="19" t="str">
        <f>IFERROR(__xludf.DUMMYFUNCTION("""COMPUTED_VALUE"""),"-")</f>
        <v>-</v>
      </c>
    </row>
    <row r="32">
      <c r="A32" s="12" t="s">
        <v>8822</v>
      </c>
      <c r="G32" s="19">
        <f>IFERROR(__xludf.DUMMYFUNCTION("SPLIT(A30, "" |"")"),13501.0)</f>
        <v>13501</v>
      </c>
      <c r="H32" s="19">
        <f>IFERROR(__xludf.DUMMYFUNCTION("""COMPUTED_VALUE"""),0.00205)</f>
        <v>0.00205</v>
      </c>
      <c r="I32" s="19" t="str">
        <f>IFERROR(__xludf.DUMMYFUNCTION("""COMPUTED_VALUE"""),"-")</f>
        <v>-</v>
      </c>
      <c r="J32" s="19">
        <f>IFERROR(__xludf.DUMMYFUNCTION("""COMPUTED_VALUE"""),0.00186)</f>
        <v>0.00186</v>
      </c>
      <c r="K32" s="19">
        <f>IFERROR(__xludf.DUMMYFUNCTION("""COMPUTED_VALUE"""),0.03957)</f>
        <v>0.03957</v>
      </c>
      <c r="L32" s="19" t="str">
        <f>IFERROR(__xludf.DUMMYFUNCTION("""COMPUTED_VALUE"""),"-")</f>
        <v>-</v>
      </c>
      <c r="M32" s="19" t="str">
        <f>IFERROR(__xludf.DUMMYFUNCTION("""COMPUTED_VALUE"""),"-")</f>
        <v>-</v>
      </c>
    </row>
    <row r="33">
      <c r="A33" s="12" t="s">
        <v>8823</v>
      </c>
      <c r="G33" s="19">
        <f>IFERROR(__xludf.DUMMYFUNCTION("SPLIT(A31, "" |"")"),14001.0)</f>
        <v>14001</v>
      </c>
      <c r="H33" s="19">
        <f>IFERROR(__xludf.DUMMYFUNCTION("""COMPUTED_VALUE"""),0.00202)</f>
        <v>0.00202</v>
      </c>
      <c r="I33" s="19" t="str">
        <f>IFERROR(__xludf.DUMMYFUNCTION("""COMPUTED_VALUE"""),"-")</f>
        <v>-</v>
      </c>
      <c r="J33" s="19">
        <f>IFERROR(__xludf.DUMMYFUNCTION("""COMPUTED_VALUE"""),0.00186)</f>
        <v>0.00186</v>
      </c>
      <c r="K33" s="19">
        <f>IFERROR(__xludf.DUMMYFUNCTION("""COMPUTED_VALUE"""),0.03957)</f>
        <v>0.03957</v>
      </c>
      <c r="L33" s="19" t="str">
        <f>IFERROR(__xludf.DUMMYFUNCTION("""COMPUTED_VALUE"""),"-")</f>
        <v>-</v>
      </c>
      <c r="M33" s="19" t="str">
        <f>IFERROR(__xludf.DUMMYFUNCTION("""COMPUTED_VALUE"""),"-")</f>
        <v>-</v>
      </c>
    </row>
    <row r="34">
      <c r="A34" s="12" t="s">
        <v>8824</v>
      </c>
      <c r="G34" s="19">
        <f>IFERROR(__xludf.DUMMYFUNCTION("SPLIT(A32, "" |"")"),14501.0)</f>
        <v>14501</v>
      </c>
      <c r="H34" s="19">
        <f>IFERROR(__xludf.DUMMYFUNCTION("""COMPUTED_VALUE"""),0.00206)</f>
        <v>0.00206</v>
      </c>
      <c r="I34" s="19" t="str">
        <f>IFERROR(__xludf.DUMMYFUNCTION("""COMPUTED_VALUE"""),"-")</f>
        <v>-</v>
      </c>
      <c r="J34" s="19">
        <f>IFERROR(__xludf.DUMMYFUNCTION("""COMPUTED_VALUE"""),0.00184)</f>
        <v>0.00184</v>
      </c>
      <c r="K34" s="19">
        <f>IFERROR(__xludf.DUMMYFUNCTION("""COMPUTED_VALUE"""),0.03953)</f>
        <v>0.03953</v>
      </c>
      <c r="L34" s="19" t="str">
        <f>IFERROR(__xludf.DUMMYFUNCTION("""COMPUTED_VALUE"""),"-")</f>
        <v>-</v>
      </c>
      <c r="M34" s="19" t="str">
        <f>IFERROR(__xludf.DUMMYFUNCTION("""COMPUTED_VALUE"""),"-")</f>
        <v>-</v>
      </c>
    </row>
    <row r="35">
      <c r="A35" s="12" t="s">
        <v>8825</v>
      </c>
      <c r="G35" s="19">
        <f>IFERROR(__xludf.DUMMYFUNCTION("SPLIT(A33, "" |"")"),15001.0)</f>
        <v>15001</v>
      </c>
      <c r="H35" s="19">
        <f>IFERROR(__xludf.DUMMYFUNCTION("""COMPUTED_VALUE"""),0.00202)</f>
        <v>0.00202</v>
      </c>
      <c r="I35" s="19" t="str">
        <f>IFERROR(__xludf.DUMMYFUNCTION("""COMPUTED_VALUE"""),"-")</f>
        <v>-</v>
      </c>
      <c r="J35" s="19">
        <f>IFERROR(__xludf.DUMMYFUNCTION("""COMPUTED_VALUE"""),0.00192)</f>
        <v>0.00192</v>
      </c>
      <c r="K35" s="19">
        <f>IFERROR(__xludf.DUMMYFUNCTION("""COMPUTED_VALUE"""),0.03985)</f>
        <v>0.03985</v>
      </c>
      <c r="L35" s="19" t="str">
        <f>IFERROR(__xludf.DUMMYFUNCTION("""COMPUTED_VALUE"""),"-")</f>
        <v>-</v>
      </c>
      <c r="M35" s="19" t="str">
        <f>IFERROR(__xludf.DUMMYFUNCTION("""COMPUTED_VALUE"""),"-")</f>
        <v>-</v>
      </c>
    </row>
    <row r="36">
      <c r="A36" s="12" t="s">
        <v>8826</v>
      </c>
      <c r="G36" s="19">
        <f>IFERROR(__xludf.DUMMYFUNCTION("SPLIT(A34, "" |"")"),15501.0)</f>
        <v>15501</v>
      </c>
      <c r="H36" s="19">
        <f>IFERROR(__xludf.DUMMYFUNCTION("""COMPUTED_VALUE"""),0.00209)</f>
        <v>0.00209</v>
      </c>
      <c r="I36" s="19" t="str">
        <f>IFERROR(__xludf.DUMMYFUNCTION("""COMPUTED_VALUE"""),"-")</f>
        <v>-</v>
      </c>
      <c r="J36" s="19">
        <f>IFERROR(__xludf.DUMMYFUNCTION("""COMPUTED_VALUE"""),0.00223)</f>
        <v>0.00223</v>
      </c>
      <c r="K36" s="19">
        <f>IFERROR(__xludf.DUMMYFUNCTION("""COMPUTED_VALUE"""),0.03965)</f>
        <v>0.03965</v>
      </c>
      <c r="L36" s="19" t="str">
        <f>IFERROR(__xludf.DUMMYFUNCTION("""COMPUTED_VALUE"""),"-")</f>
        <v>-</v>
      </c>
      <c r="M36" s="19" t="str">
        <f>IFERROR(__xludf.DUMMYFUNCTION("""COMPUTED_VALUE"""),"-")</f>
        <v>-</v>
      </c>
    </row>
    <row r="37">
      <c r="A37" s="12" t="s">
        <v>8827</v>
      </c>
      <c r="G37" s="19">
        <f>IFERROR(__xludf.DUMMYFUNCTION("SPLIT(A35, "" |"")"),16001.0)</f>
        <v>16001</v>
      </c>
      <c r="H37" s="19">
        <f>IFERROR(__xludf.DUMMYFUNCTION("""COMPUTED_VALUE"""),0.00221)</f>
        <v>0.00221</v>
      </c>
      <c r="I37" s="19" t="str">
        <f>IFERROR(__xludf.DUMMYFUNCTION("""COMPUTED_VALUE"""),"-")</f>
        <v>-</v>
      </c>
      <c r="J37" s="19">
        <f>IFERROR(__xludf.DUMMYFUNCTION("""COMPUTED_VALUE"""),0.00225)</f>
        <v>0.00225</v>
      </c>
      <c r="K37" s="19">
        <f>IFERROR(__xludf.DUMMYFUNCTION("""COMPUTED_VALUE"""),0.03968)</f>
        <v>0.03968</v>
      </c>
      <c r="L37" s="19" t="str">
        <f>IFERROR(__xludf.DUMMYFUNCTION("""COMPUTED_VALUE"""),"-")</f>
        <v>-</v>
      </c>
      <c r="M37" s="19" t="str">
        <f>IFERROR(__xludf.DUMMYFUNCTION("""COMPUTED_VALUE"""),"-")</f>
        <v>-</v>
      </c>
    </row>
    <row r="38">
      <c r="A38" s="12" t="s">
        <v>8828</v>
      </c>
      <c r="G38" s="19">
        <f>IFERROR(__xludf.DUMMYFUNCTION("SPLIT(A36, "" |"")"),16501.0)</f>
        <v>16501</v>
      </c>
      <c r="H38" s="19">
        <f>IFERROR(__xludf.DUMMYFUNCTION("""COMPUTED_VALUE"""),0.00212)</f>
        <v>0.00212</v>
      </c>
      <c r="I38" s="19" t="str">
        <f>IFERROR(__xludf.DUMMYFUNCTION("""COMPUTED_VALUE"""),"-")</f>
        <v>-</v>
      </c>
      <c r="J38" s="19">
        <f>IFERROR(__xludf.DUMMYFUNCTION("""COMPUTED_VALUE"""),0.0019)</f>
        <v>0.0019</v>
      </c>
      <c r="K38" s="19">
        <f>IFERROR(__xludf.DUMMYFUNCTION("""COMPUTED_VALUE"""),0.04013)</f>
        <v>0.04013</v>
      </c>
      <c r="L38" s="19" t="str">
        <f>IFERROR(__xludf.DUMMYFUNCTION("""COMPUTED_VALUE"""),"-")</f>
        <v>-</v>
      </c>
      <c r="M38" s="19" t="str">
        <f>IFERROR(__xludf.DUMMYFUNCTION("""COMPUTED_VALUE"""),"-")</f>
        <v>-</v>
      </c>
    </row>
    <row r="39">
      <c r="A39" s="12" t="s">
        <v>8829</v>
      </c>
      <c r="G39" s="19">
        <f>IFERROR(__xludf.DUMMYFUNCTION("SPLIT(A37, "" |"")"),17001.0)</f>
        <v>17001</v>
      </c>
      <c r="H39" s="19">
        <f>IFERROR(__xludf.DUMMYFUNCTION("""COMPUTED_VALUE"""),0.00209)</f>
        <v>0.00209</v>
      </c>
      <c r="I39" s="19" t="str">
        <f>IFERROR(__xludf.DUMMYFUNCTION("""COMPUTED_VALUE"""),"-")</f>
        <v>-</v>
      </c>
      <c r="J39" s="19">
        <f>IFERROR(__xludf.DUMMYFUNCTION("""COMPUTED_VALUE"""),0.0019)</f>
        <v>0.0019</v>
      </c>
      <c r="K39" s="19">
        <f>IFERROR(__xludf.DUMMYFUNCTION("""COMPUTED_VALUE"""),0.04019)</f>
        <v>0.04019</v>
      </c>
      <c r="L39" s="19" t="str">
        <f>IFERROR(__xludf.DUMMYFUNCTION("""COMPUTED_VALUE"""),"-")</f>
        <v>-</v>
      </c>
      <c r="M39" s="19" t="str">
        <f>IFERROR(__xludf.DUMMYFUNCTION("""COMPUTED_VALUE"""),"-")</f>
        <v>-</v>
      </c>
    </row>
    <row r="40">
      <c r="A40" s="12" t="s">
        <v>8830</v>
      </c>
      <c r="G40" s="19">
        <f>IFERROR(__xludf.DUMMYFUNCTION("SPLIT(A38, "" |"")"),17501.0)</f>
        <v>17501</v>
      </c>
      <c r="H40" s="19">
        <f>IFERROR(__xludf.DUMMYFUNCTION("""COMPUTED_VALUE"""),0.00207)</f>
        <v>0.00207</v>
      </c>
      <c r="I40" s="19" t="str">
        <f>IFERROR(__xludf.DUMMYFUNCTION("""COMPUTED_VALUE"""),"-")</f>
        <v>-</v>
      </c>
      <c r="J40" s="19">
        <f>IFERROR(__xludf.DUMMYFUNCTION("""COMPUTED_VALUE"""),0.00185)</f>
        <v>0.00185</v>
      </c>
      <c r="K40" s="19">
        <f>IFERROR(__xludf.DUMMYFUNCTION("""COMPUTED_VALUE"""),0.03962)</f>
        <v>0.03962</v>
      </c>
      <c r="L40" s="19" t="str">
        <f>IFERROR(__xludf.DUMMYFUNCTION("""COMPUTED_VALUE"""),"-")</f>
        <v>-</v>
      </c>
      <c r="M40" s="19" t="str">
        <f>IFERROR(__xludf.DUMMYFUNCTION("""COMPUTED_VALUE"""),"-")</f>
        <v>-</v>
      </c>
    </row>
    <row r="41">
      <c r="A41" s="12" t="s">
        <v>8831</v>
      </c>
      <c r="G41" s="19">
        <f>IFERROR(__xludf.DUMMYFUNCTION("SPLIT(A39, "" |"")"),18001.0)</f>
        <v>18001</v>
      </c>
      <c r="H41" s="19">
        <f>IFERROR(__xludf.DUMMYFUNCTION("""COMPUTED_VALUE"""),0.00213)</f>
        <v>0.00213</v>
      </c>
      <c r="I41" s="19" t="str">
        <f>IFERROR(__xludf.DUMMYFUNCTION("""COMPUTED_VALUE"""),"-")</f>
        <v>-</v>
      </c>
      <c r="J41" s="19">
        <f>IFERROR(__xludf.DUMMYFUNCTION("""COMPUTED_VALUE"""),0.002)</f>
        <v>0.002</v>
      </c>
      <c r="K41" s="29">
        <f>IFERROR(__xludf.DUMMYFUNCTION("""COMPUTED_VALUE"""),0.07682)</f>
        <v>0.07682</v>
      </c>
      <c r="L41" s="19" t="str">
        <f>IFERROR(__xludf.DUMMYFUNCTION("""COMPUTED_VALUE"""),"-")</f>
        <v>-</v>
      </c>
      <c r="M41" s="19" t="str">
        <f>IFERROR(__xludf.DUMMYFUNCTION("""COMPUTED_VALUE"""),"-")</f>
        <v>-</v>
      </c>
    </row>
    <row r="42">
      <c r="A42" s="12" t="s">
        <v>8832</v>
      </c>
      <c r="G42" s="19">
        <f>IFERROR(__xludf.DUMMYFUNCTION("SPLIT(A40, "" |"")"),18501.0)</f>
        <v>18501</v>
      </c>
      <c r="H42" s="19">
        <f>IFERROR(__xludf.DUMMYFUNCTION("""COMPUTED_VALUE"""),0.0023)</f>
        <v>0.0023</v>
      </c>
      <c r="I42" s="19" t="str">
        <f>IFERROR(__xludf.DUMMYFUNCTION("""COMPUTED_VALUE"""),"-")</f>
        <v>-</v>
      </c>
      <c r="J42" s="19">
        <f>IFERROR(__xludf.DUMMYFUNCTION("""COMPUTED_VALUE"""),0.00391)</f>
        <v>0.00391</v>
      </c>
      <c r="K42" s="19">
        <f>IFERROR(__xludf.DUMMYFUNCTION("""COMPUTED_VALUE"""),0.07309)</f>
        <v>0.07309</v>
      </c>
      <c r="L42" s="19" t="str">
        <f>IFERROR(__xludf.DUMMYFUNCTION("""COMPUTED_VALUE"""),"-")</f>
        <v>-</v>
      </c>
      <c r="M42" s="19" t="str">
        <f>IFERROR(__xludf.DUMMYFUNCTION("""COMPUTED_VALUE"""),"-")</f>
        <v>-</v>
      </c>
    </row>
    <row r="43">
      <c r="A43" s="12" t="s">
        <v>8833</v>
      </c>
      <c r="G43" s="19">
        <f>IFERROR(__xludf.DUMMYFUNCTION("SPLIT(A41, "" |"")"),19001.0)</f>
        <v>19001</v>
      </c>
      <c r="H43" s="19">
        <f>IFERROR(__xludf.DUMMYFUNCTION("""COMPUTED_VALUE"""),0.00211)</f>
        <v>0.00211</v>
      </c>
      <c r="I43" s="19" t="str">
        <f>IFERROR(__xludf.DUMMYFUNCTION("""COMPUTED_VALUE"""),"-")</f>
        <v>-</v>
      </c>
      <c r="J43" s="19">
        <f>IFERROR(__xludf.DUMMYFUNCTION("""COMPUTED_VALUE"""),0.00194)</f>
        <v>0.00194</v>
      </c>
      <c r="K43" s="19">
        <f>IFERROR(__xludf.DUMMYFUNCTION("""COMPUTED_VALUE"""),0.07577)</f>
        <v>0.07577</v>
      </c>
      <c r="L43" s="19" t="str">
        <f>IFERROR(__xludf.DUMMYFUNCTION("""COMPUTED_VALUE"""),"-")</f>
        <v>-</v>
      </c>
      <c r="M43" s="19" t="str">
        <f>IFERROR(__xludf.DUMMYFUNCTION("""COMPUTED_VALUE"""),"-")</f>
        <v>-</v>
      </c>
    </row>
    <row r="44">
      <c r="A44" s="12" t="s">
        <v>8834</v>
      </c>
      <c r="G44" s="19">
        <f>IFERROR(__xludf.DUMMYFUNCTION("SPLIT(A42, "" |"")"),19501.0)</f>
        <v>19501</v>
      </c>
      <c r="H44" s="19">
        <f>IFERROR(__xludf.DUMMYFUNCTION("""COMPUTED_VALUE"""),0.0025)</f>
        <v>0.0025</v>
      </c>
      <c r="I44" s="19" t="str">
        <f>IFERROR(__xludf.DUMMYFUNCTION("""COMPUTED_VALUE"""),"-")</f>
        <v>-</v>
      </c>
      <c r="J44" s="19">
        <f>IFERROR(__xludf.DUMMYFUNCTION("""COMPUTED_VALUE"""),0.00487)</f>
        <v>0.00487</v>
      </c>
      <c r="K44" s="19">
        <f>IFERROR(__xludf.DUMMYFUNCTION("""COMPUTED_VALUE"""),0.03972)</f>
        <v>0.03972</v>
      </c>
      <c r="L44" s="19" t="str">
        <f>IFERROR(__xludf.DUMMYFUNCTION("""COMPUTED_VALUE"""),"-")</f>
        <v>-</v>
      </c>
      <c r="M44" s="19" t="str">
        <f>IFERROR(__xludf.DUMMYFUNCTION("""COMPUTED_VALUE"""),"-")</f>
        <v>-</v>
      </c>
    </row>
    <row r="45">
      <c r="A45" s="12" t="s">
        <v>8835</v>
      </c>
      <c r="G45" s="19">
        <f>IFERROR(__xludf.DUMMYFUNCTION("SPLIT(A43, "" |"")"),20001.0)</f>
        <v>20001</v>
      </c>
      <c r="H45" s="19">
        <f>IFERROR(__xludf.DUMMYFUNCTION("""COMPUTED_VALUE"""),0.00217)</f>
        <v>0.00217</v>
      </c>
      <c r="I45" s="19" t="str">
        <f>IFERROR(__xludf.DUMMYFUNCTION("""COMPUTED_VALUE"""),"-")</f>
        <v>-</v>
      </c>
      <c r="J45" s="19">
        <f>IFERROR(__xludf.DUMMYFUNCTION("""COMPUTED_VALUE"""),0.00189)</f>
        <v>0.00189</v>
      </c>
      <c r="K45" s="19">
        <f>IFERROR(__xludf.DUMMYFUNCTION("""COMPUTED_VALUE"""),0.07497)</f>
        <v>0.07497</v>
      </c>
      <c r="L45" s="19" t="str">
        <f>IFERROR(__xludf.DUMMYFUNCTION("""COMPUTED_VALUE"""),"-")</f>
        <v>-</v>
      </c>
      <c r="M45" s="19" t="str">
        <f>IFERROR(__xludf.DUMMYFUNCTION("""COMPUTED_VALUE"""),"-")</f>
        <v>-</v>
      </c>
    </row>
    <row r="46">
      <c r="A46" s="12" t="s">
        <v>8836</v>
      </c>
      <c r="G46" s="19">
        <f>IFERROR(__xludf.DUMMYFUNCTION("SPLIT(A44, "" |"")"),20501.0)</f>
        <v>20501</v>
      </c>
      <c r="H46" s="19">
        <f>IFERROR(__xludf.DUMMYFUNCTION("""COMPUTED_VALUE"""),0.00208)</f>
        <v>0.00208</v>
      </c>
      <c r="I46" s="19" t="str">
        <f>IFERROR(__xludf.DUMMYFUNCTION("""COMPUTED_VALUE"""),"-")</f>
        <v>-</v>
      </c>
      <c r="J46" s="19">
        <f>IFERROR(__xludf.DUMMYFUNCTION("""COMPUTED_VALUE"""),0.00192)</f>
        <v>0.00192</v>
      </c>
      <c r="K46" s="19">
        <f>IFERROR(__xludf.DUMMYFUNCTION("""COMPUTED_VALUE"""),0.07669)</f>
        <v>0.07669</v>
      </c>
      <c r="L46" s="19" t="str">
        <f>IFERROR(__xludf.DUMMYFUNCTION("""COMPUTED_VALUE"""),"-")</f>
        <v>-</v>
      </c>
      <c r="M46" s="19" t="str">
        <f>IFERROR(__xludf.DUMMYFUNCTION("""COMPUTED_VALUE"""),"-")</f>
        <v>-</v>
      </c>
    </row>
    <row r="47">
      <c r="A47" s="12" t="s">
        <v>8837</v>
      </c>
      <c r="G47" s="19">
        <f>IFERROR(__xludf.DUMMYFUNCTION("SPLIT(A45, "" |"")"),21001.0)</f>
        <v>21001</v>
      </c>
      <c r="H47" s="19">
        <f>IFERROR(__xludf.DUMMYFUNCTION("""COMPUTED_VALUE"""),0.00209)</f>
        <v>0.00209</v>
      </c>
      <c r="I47" s="19" t="str">
        <f>IFERROR(__xludf.DUMMYFUNCTION("""COMPUTED_VALUE"""),"-")</f>
        <v>-</v>
      </c>
      <c r="J47" s="19">
        <f>IFERROR(__xludf.DUMMYFUNCTION("""COMPUTED_VALUE"""),0.00188)</f>
        <v>0.00188</v>
      </c>
      <c r="K47" s="19">
        <f>IFERROR(__xludf.DUMMYFUNCTION("""COMPUTED_VALUE"""),0.07651)</f>
        <v>0.07651</v>
      </c>
      <c r="L47" s="19" t="str">
        <f>IFERROR(__xludf.DUMMYFUNCTION("""COMPUTED_VALUE"""),"-")</f>
        <v>-</v>
      </c>
      <c r="M47" s="19" t="str">
        <f>IFERROR(__xludf.DUMMYFUNCTION("""COMPUTED_VALUE"""),"-")</f>
        <v>-</v>
      </c>
    </row>
    <row r="48">
      <c r="A48" s="12" t="s">
        <v>8838</v>
      </c>
      <c r="G48" s="19">
        <f>IFERROR(__xludf.DUMMYFUNCTION("SPLIT(A46, "" |"")"),21501.0)</f>
        <v>21501</v>
      </c>
      <c r="H48" s="19">
        <f>IFERROR(__xludf.DUMMYFUNCTION("""COMPUTED_VALUE"""),0.00208)</f>
        <v>0.00208</v>
      </c>
      <c r="I48" s="19" t="str">
        <f>IFERROR(__xludf.DUMMYFUNCTION("""COMPUTED_VALUE"""),"-")</f>
        <v>-</v>
      </c>
      <c r="J48" s="19">
        <f>IFERROR(__xludf.DUMMYFUNCTION("""COMPUTED_VALUE"""),0.00187)</f>
        <v>0.00187</v>
      </c>
      <c r="K48" s="19">
        <f>IFERROR(__xludf.DUMMYFUNCTION("""COMPUTED_VALUE"""),0.07662)</f>
        <v>0.07662</v>
      </c>
      <c r="L48" s="19" t="str">
        <f>IFERROR(__xludf.DUMMYFUNCTION("""COMPUTED_VALUE"""),"-")</f>
        <v>-</v>
      </c>
      <c r="M48" s="19" t="str">
        <f>IFERROR(__xludf.DUMMYFUNCTION("""COMPUTED_VALUE"""),"-")</f>
        <v>-</v>
      </c>
    </row>
    <row r="49">
      <c r="A49" s="12" t="s">
        <v>8839</v>
      </c>
      <c r="G49" s="19">
        <f>IFERROR(__xludf.DUMMYFUNCTION("SPLIT(A47, "" |"")"),22001.0)</f>
        <v>22001</v>
      </c>
      <c r="H49" s="19">
        <f>IFERROR(__xludf.DUMMYFUNCTION("""COMPUTED_VALUE"""),0.0021)</f>
        <v>0.0021</v>
      </c>
      <c r="I49" s="19" t="str">
        <f>IFERROR(__xludf.DUMMYFUNCTION("""COMPUTED_VALUE"""),"-")</f>
        <v>-</v>
      </c>
      <c r="J49" s="19">
        <f>IFERROR(__xludf.DUMMYFUNCTION("""COMPUTED_VALUE"""),0.0019)</f>
        <v>0.0019</v>
      </c>
      <c r="K49" s="19">
        <f>IFERROR(__xludf.DUMMYFUNCTION("""COMPUTED_VALUE"""),0.07665)</f>
        <v>0.07665</v>
      </c>
      <c r="L49" s="19" t="str">
        <f>IFERROR(__xludf.DUMMYFUNCTION("""COMPUTED_VALUE"""),"-")</f>
        <v>-</v>
      </c>
      <c r="M49" s="19" t="str">
        <f>IFERROR(__xludf.DUMMYFUNCTION("""COMPUTED_VALUE"""),"-")</f>
        <v>-</v>
      </c>
    </row>
    <row r="50">
      <c r="A50" s="12" t="s">
        <v>8840</v>
      </c>
      <c r="G50" s="19">
        <f>IFERROR(__xludf.DUMMYFUNCTION("SPLIT(A48, "" |"")"),22501.0)</f>
        <v>22501</v>
      </c>
      <c r="H50" s="19">
        <f>IFERROR(__xludf.DUMMYFUNCTION("""COMPUTED_VALUE"""),0.00211)</f>
        <v>0.00211</v>
      </c>
      <c r="I50" s="19" t="str">
        <f>IFERROR(__xludf.DUMMYFUNCTION("""COMPUTED_VALUE"""),"-")</f>
        <v>-</v>
      </c>
      <c r="J50" s="19">
        <f>IFERROR(__xludf.DUMMYFUNCTION("""COMPUTED_VALUE"""),0.00188)</f>
        <v>0.00188</v>
      </c>
      <c r="K50" s="19">
        <f>IFERROR(__xludf.DUMMYFUNCTION("""COMPUTED_VALUE"""),0.0766)</f>
        <v>0.0766</v>
      </c>
      <c r="L50" s="19" t="str">
        <f>IFERROR(__xludf.DUMMYFUNCTION("""COMPUTED_VALUE"""),"-")</f>
        <v>-</v>
      </c>
      <c r="M50" s="19" t="str">
        <f>IFERROR(__xludf.DUMMYFUNCTION("""COMPUTED_VALUE"""),"-")</f>
        <v>-</v>
      </c>
    </row>
    <row r="51">
      <c r="A51" s="12" t="s">
        <v>8841</v>
      </c>
      <c r="G51" s="19">
        <f>IFERROR(__xludf.DUMMYFUNCTION("SPLIT(A49, "" |"")"),23001.0)</f>
        <v>23001</v>
      </c>
      <c r="H51" s="19">
        <f>IFERROR(__xludf.DUMMYFUNCTION("""COMPUTED_VALUE"""),0.00209)</f>
        <v>0.00209</v>
      </c>
      <c r="I51" s="19" t="str">
        <f>IFERROR(__xludf.DUMMYFUNCTION("""COMPUTED_VALUE"""),"-")</f>
        <v>-</v>
      </c>
      <c r="J51" s="19">
        <f>IFERROR(__xludf.DUMMYFUNCTION("""COMPUTED_VALUE"""),0.0019)</f>
        <v>0.0019</v>
      </c>
      <c r="K51" s="19">
        <f>IFERROR(__xludf.DUMMYFUNCTION("""COMPUTED_VALUE"""),0.07675)</f>
        <v>0.07675</v>
      </c>
      <c r="L51" s="19" t="str">
        <f>IFERROR(__xludf.DUMMYFUNCTION("""COMPUTED_VALUE"""),"-")</f>
        <v>-</v>
      </c>
      <c r="M51" s="19" t="str">
        <f>IFERROR(__xludf.DUMMYFUNCTION("""COMPUTED_VALUE"""),"-")</f>
        <v>-</v>
      </c>
    </row>
    <row r="52">
      <c r="A52" s="12" t="s">
        <v>8842</v>
      </c>
      <c r="G52" s="19">
        <f>IFERROR(__xludf.DUMMYFUNCTION("SPLIT(A50, "" |"")"),23501.0)</f>
        <v>23501</v>
      </c>
      <c r="H52" s="19">
        <f>IFERROR(__xludf.DUMMYFUNCTION("""COMPUTED_VALUE"""),0.00219)</f>
        <v>0.00219</v>
      </c>
      <c r="I52" s="19" t="str">
        <f>IFERROR(__xludf.DUMMYFUNCTION("""COMPUTED_VALUE"""),"-")</f>
        <v>-</v>
      </c>
      <c r="J52" s="19">
        <f>IFERROR(__xludf.DUMMYFUNCTION("""COMPUTED_VALUE"""),0.0019)</f>
        <v>0.0019</v>
      </c>
      <c r="K52" s="19">
        <f>IFERROR(__xludf.DUMMYFUNCTION("""COMPUTED_VALUE"""),0.07661)</f>
        <v>0.07661</v>
      </c>
      <c r="L52" s="19" t="str">
        <f>IFERROR(__xludf.DUMMYFUNCTION("""COMPUTED_VALUE"""),"-")</f>
        <v>-</v>
      </c>
      <c r="M52" s="19" t="str">
        <f>IFERROR(__xludf.DUMMYFUNCTION("""COMPUTED_VALUE"""),"-")</f>
        <v>-</v>
      </c>
    </row>
    <row r="53">
      <c r="A53" s="12" t="s">
        <v>8843</v>
      </c>
      <c r="G53" s="19">
        <f>IFERROR(__xludf.DUMMYFUNCTION("SPLIT(A51, "" |"")"),24001.0)</f>
        <v>24001</v>
      </c>
      <c r="H53" s="19">
        <f>IFERROR(__xludf.DUMMYFUNCTION("""COMPUTED_VALUE"""),0.00216)</f>
        <v>0.00216</v>
      </c>
      <c r="I53" s="19" t="str">
        <f>IFERROR(__xludf.DUMMYFUNCTION("""COMPUTED_VALUE"""),"-")</f>
        <v>-</v>
      </c>
      <c r="J53" s="19">
        <f>IFERROR(__xludf.DUMMYFUNCTION("""COMPUTED_VALUE"""),0.00191)</f>
        <v>0.00191</v>
      </c>
      <c r="K53" s="19">
        <f>IFERROR(__xludf.DUMMYFUNCTION("""COMPUTED_VALUE"""),0.07655)</f>
        <v>0.07655</v>
      </c>
      <c r="L53" s="19" t="str">
        <f>IFERROR(__xludf.DUMMYFUNCTION("""COMPUTED_VALUE"""),"-")</f>
        <v>-</v>
      </c>
      <c r="M53" s="19" t="str">
        <f>IFERROR(__xludf.DUMMYFUNCTION("""COMPUTED_VALUE"""),"-")</f>
        <v>-</v>
      </c>
    </row>
    <row r="54">
      <c r="A54" s="12" t="s">
        <v>8844</v>
      </c>
      <c r="G54" s="19">
        <f>IFERROR(__xludf.DUMMYFUNCTION("SPLIT(A52, "" |"")"),24501.0)</f>
        <v>24501</v>
      </c>
      <c r="H54" s="19">
        <f>IFERROR(__xludf.DUMMYFUNCTION("""COMPUTED_VALUE"""),0.00221)</f>
        <v>0.00221</v>
      </c>
      <c r="I54" s="19" t="str">
        <f>IFERROR(__xludf.DUMMYFUNCTION("""COMPUTED_VALUE"""),"-")</f>
        <v>-</v>
      </c>
      <c r="J54" s="19">
        <f>IFERROR(__xludf.DUMMYFUNCTION("""COMPUTED_VALUE"""),0.0022)</f>
        <v>0.0022</v>
      </c>
      <c r="K54" s="19">
        <f>IFERROR(__xludf.DUMMYFUNCTION("""COMPUTED_VALUE"""),0.07525)</f>
        <v>0.07525</v>
      </c>
      <c r="L54" s="19" t="str">
        <f>IFERROR(__xludf.DUMMYFUNCTION("""COMPUTED_VALUE"""),"-")</f>
        <v>-</v>
      </c>
      <c r="M54" s="19" t="str">
        <f>IFERROR(__xludf.DUMMYFUNCTION("""COMPUTED_VALUE"""),"-")</f>
        <v>-</v>
      </c>
    </row>
    <row r="55">
      <c r="A55" s="12" t="s">
        <v>8845</v>
      </c>
      <c r="G55" s="19">
        <f>IFERROR(__xludf.DUMMYFUNCTION("SPLIT(A53, "" |"")"),25001.0)</f>
        <v>25001</v>
      </c>
      <c r="H55" s="19">
        <f>IFERROR(__xludf.DUMMYFUNCTION("""COMPUTED_VALUE"""),0.00213)</f>
        <v>0.00213</v>
      </c>
      <c r="I55" s="19" t="str">
        <f>IFERROR(__xludf.DUMMYFUNCTION("""COMPUTED_VALUE"""),"-")</f>
        <v>-</v>
      </c>
      <c r="J55" s="19">
        <f>IFERROR(__xludf.DUMMYFUNCTION("""COMPUTED_VALUE"""),0.00188)</f>
        <v>0.00188</v>
      </c>
      <c r="K55" s="19">
        <f>IFERROR(__xludf.DUMMYFUNCTION("""COMPUTED_VALUE"""),0.07639)</f>
        <v>0.07639</v>
      </c>
      <c r="L55" s="19" t="str">
        <f>IFERROR(__xludf.DUMMYFUNCTION("""COMPUTED_VALUE"""),"-")</f>
        <v>-</v>
      </c>
      <c r="M55" s="19" t="str">
        <f>IFERROR(__xludf.DUMMYFUNCTION("""COMPUTED_VALUE"""),"-")</f>
        <v>-</v>
      </c>
    </row>
    <row r="56">
      <c r="A56" s="12" t="s">
        <v>8846</v>
      </c>
      <c r="G56" s="19">
        <f>IFERROR(__xludf.DUMMYFUNCTION("SPLIT(A54, "" |"")"),25501.0)</f>
        <v>25501</v>
      </c>
      <c r="H56" s="19">
        <f>IFERROR(__xludf.DUMMYFUNCTION("""COMPUTED_VALUE"""),0.00211)</f>
        <v>0.00211</v>
      </c>
      <c r="I56" s="19" t="str">
        <f>IFERROR(__xludf.DUMMYFUNCTION("""COMPUTED_VALUE"""),"-")</f>
        <v>-</v>
      </c>
      <c r="J56" s="19">
        <f>IFERROR(__xludf.DUMMYFUNCTION("""COMPUTED_VALUE"""),0.00189)</f>
        <v>0.00189</v>
      </c>
      <c r="K56" s="19">
        <f>IFERROR(__xludf.DUMMYFUNCTION("""COMPUTED_VALUE"""),0.07661)</f>
        <v>0.07661</v>
      </c>
      <c r="L56" s="19" t="str">
        <f>IFERROR(__xludf.DUMMYFUNCTION("""COMPUTED_VALUE"""),"-")</f>
        <v>-</v>
      </c>
      <c r="M56" s="19" t="str">
        <f>IFERROR(__xludf.DUMMYFUNCTION("""COMPUTED_VALUE"""),"-")</f>
        <v>-</v>
      </c>
    </row>
    <row r="57">
      <c r="A57" s="12" t="s">
        <v>8847</v>
      </c>
      <c r="G57" s="19">
        <f>IFERROR(__xludf.DUMMYFUNCTION("SPLIT(A55, "" |"")"),26001.0)</f>
        <v>26001</v>
      </c>
      <c r="H57" s="19">
        <f>IFERROR(__xludf.DUMMYFUNCTION("""COMPUTED_VALUE"""),0.00209)</f>
        <v>0.00209</v>
      </c>
      <c r="I57" s="19" t="str">
        <f>IFERROR(__xludf.DUMMYFUNCTION("""COMPUTED_VALUE"""),"-")</f>
        <v>-</v>
      </c>
      <c r="J57" s="19">
        <f>IFERROR(__xludf.DUMMYFUNCTION("""COMPUTED_VALUE"""),0.00189)</f>
        <v>0.00189</v>
      </c>
      <c r="K57" s="19">
        <f>IFERROR(__xludf.DUMMYFUNCTION("""COMPUTED_VALUE"""),0.07673)</f>
        <v>0.07673</v>
      </c>
      <c r="L57" s="19" t="str">
        <f>IFERROR(__xludf.DUMMYFUNCTION("""COMPUTED_VALUE"""),"-")</f>
        <v>-</v>
      </c>
      <c r="M57" s="19" t="str">
        <f>IFERROR(__xludf.DUMMYFUNCTION("""COMPUTED_VALUE"""),"-")</f>
        <v>-</v>
      </c>
    </row>
    <row r="58">
      <c r="A58" s="12" t="s">
        <v>8848</v>
      </c>
      <c r="G58" s="19">
        <f>IFERROR(__xludf.DUMMYFUNCTION("SPLIT(A56, "" |"")"),26501.0)</f>
        <v>26501</v>
      </c>
      <c r="H58" s="19">
        <f>IFERROR(__xludf.DUMMYFUNCTION("""COMPUTED_VALUE"""),0.00225)</f>
        <v>0.00225</v>
      </c>
      <c r="I58" s="19" t="str">
        <f>IFERROR(__xludf.DUMMYFUNCTION("""COMPUTED_VALUE"""),"-")</f>
        <v>-</v>
      </c>
      <c r="J58" s="19">
        <f>IFERROR(__xludf.DUMMYFUNCTION("""COMPUTED_VALUE"""),0.00207)</f>
        <v>0.00207</v>
      </c>
      <c r="K58" s="19">
        <f>IFERROR(__xludf.DUMMYFUNCTION("""COMPUTED_VALUE"""),0.07603)</f>
        <v>0.07603</v>
      </c>
      <c r="L58" s="19" t="str">
        <f>IFERROR(__xludf.DUMMYFUNCTION("""COMPUTED_VALUE"""),"-")</f>
        <v>-</v>
      </c>
      <c r="M58" s="19" t="str">
        <f>IFERROR(__xludf.DUMMYFUNCTION("""COMPUTED_VALUE"""),"-")</f>
        <v>-</v>
      </c>
    </row>
    <row r="59">
      <c r="A59" s="12" t="s">
        <v>8849</v>
      </c>
      <c r="G59" s="19">
        <f>IFERROR(__xludf.DUMMYFUNCTION("SPLIT(A57, "" |"")"),27001.0)</f>
        <v>27001</v>
      </c>
      <c r="H59" s="19">
        <f>IFERROR(__xludf.DUMMYFUNCTION("""COMPUTED_VALUE"""),0.00224)</f>
        <v>0.00224</v>
      </c>
      <c r="I59" s="19" t="str">
        <f>IFERROR(__xludf.DUMMYFUNCTION("""COMPUTED_VALUE"""),"-")</f>
        <v>-</v>
      </c>
      <c r="J59" s="19">
        <f>IFERROR(__xludf.DUMMYFUNCTION("""COMPUTED_VALUE"""),0.00201)</f>
        <v>0.00201</v>
      </c>
      <c r="K59" s="19">
        <f>IFERROR(__xludf.DUMMYFUNCTION("""COMPUTED_VALUE"""),0.07026)</f>
        <v>0.07026</v>
      </c>
      <c r="L59" s="19" t="str">
        <f>IFERROR(__xludf.DUMMYFUNCTION("""COMPUTED_VALUE"""),"-")</f>
        <v>-</v>
      </c>
      <c r="M59" s="19" t="str">
        <f>IFERROR(__xludf.DUMMYFUNCTION("""COMPUTED_VALUE"""),"-")</f>
        <v>-</v>
      </c>
    </row>
    <row r="60">
      <c r="A60" s="12" t="s">
        <v>8850</v>
      </c>
      <c r="G60" s="19">
        <f>IFERROR(__xludf.DUMMYFUNCTION("SPLIT(A58, "" |"")"),27501.0)</f>
        <v>27501</v>
      </c>
      <c r="H60" s="19">
        <f>IFERROR(__xludf.DUMMYFUNCTION("""COMPUTED_VALUE"""),0.00211)</f>
        <v>0.00211</v>
      </c>
      <c r="I60" s="19" t="str">
        <f>IFERROR(__xludf.DUMMYFUNCTION("""COMPUTED_VALUE"""),"-")</f>
        <v>-</v>
      </c>
      <c r="J60" s="19">
        <f>IFERROR(__xludf.DUMMYFUNCTION("""COMPUTED_VALUE"""),0.00195)</f>
        <v>0.00195</v>
      </c>
      <c r="K60" s="19">
        <f>IFERROR(__xludf.DUMMYFUNCTION("""COMPUTED_VALUE"""),0.07075)</f>
        <v>0.07075</v>
      </c>
      <c r="L60" s="19" t="str">
        <f>IFERROR(__xludf.DUMMYFUNCTION("""COMPUTED_VALUE"""),"-")</f>
        <v>-</v>
      </c>
      <c r="M60" s="19" t="str">
        <f>IFERROR(__xludf.DUMMYFUNCTION("""COMPUTED_VALUE"""),"-")</f>
        <v>-</v>
      </c>
    </row>
    <row r="61">
      <c r="A61" s="12" t="s">
        <v>8851</v>
      </c>
      <c r="G61" s="19">
        <f>IFERROR(__xludf.DUMMYFUNCTION("SPLIT(A59, "" |"")"),28001.0)</f>
        <v>28001</v>
      </c>
      <c r="H61" s="19">
        <f>IFERROR(__xludf.DUMMYFUNCTION("""COMPUTED_VALUE"""),0.0023)</f>
        <v>0.0023</v>
      </c>
      <c r="I61" s="19" t="str">
        <f>IFERROR(__xludf.DUMMYFUNCTION("""COMPUTED_VALUE"""),"-")</f>
        <v>-</v>
      </c>
      <c r="J61" s="19">
        <f>IFERROR(__xludf.DUMMYFUNCTION("""COMPUTED_VALUE"""),0.00193)</f>
        <v>0.00193</v>
      </c>
      <c r="K61" s="19">
        <f>IFERROR(__xludf.DUMMYFUNCTION("""COMPUTED_VALUE"""),0.07692)</f>
        <v>0.07692</v>
      </c>
      <c r="L61" s="19" t="str">
        <f>IFERROR(__xludf.DUMMYFUNCTION("""COMPUTED_VALUE"""),"-")</f>
        <v>-</v>
      </c>
      <c r="M61" s="19" t="str">
        <f>IFERROR(__xludf.DUMMYFUNCTION("""COMPUTED_VALUE"""),"-")</f>
        <v>-</v>
      </c>
    </row>
    <row r="62">
      <c r="A62" s="12" t="s">
        <v>8852</v>
      </c>
      <c r="G62" s="19">
        <f>IFERROR(__xludf.DUMMYFUNCTION("SPLIT(A60, "" |"")"),28501.0)</f>
        <v>28501</v>
      </c>
      <c r="H62" s="19">
        <f>IFERROR(__xludf.DUMMYFUNCTION("""COMPUTED_VALUE"""),0.00219)</f>
        <v>0.00219</v>
      </c>
      <c r="I62" s="19" t="str">
        <f>IFERROR(__xludf.DUMMYFUNCTION("""COMPUTED_VALUE"""),"-")</f>
        <v>-</v>
      </c>
      <c r="J62" s="19">
        <f>IFERROR(__xludf.DUMMYFUNCTION("""COMPUTED_VALUE"""),0.0019)</f>
        <v>0.0019</v>
      </c>
      <c r="K62" s="19">
        <f>IFERROR(__xludf.DUMMYFUNCTION("""COMPUTED_VALUE"""),0.07557)</f>
        <v>0.07557</v>
      </c>
      <c r="L62" s="19" t="str">
        <f>IFERROR(__xludf.DUMMYFUNCTION("""COMPUTED_VALUE"""),"-")</f>
        <v>-</v>
      </c>
      <c r="M62" s="19" t="str">
        <f>IFERROR(__xludf.DUMMYFUNCTION("""COMPUTED_VALUE"""),"-")</f>
        <v>-</v>
      </c>
    </row>
    <row r="63">
      <c r="A63" s="12" t="s">
        <v>8853</v>
      </c>
      <c r="G63" s="19">
        <f>IFERROR(__xludf.DUMMYFUNCTION("SPLIT(A61, "" |"")"),29001.0)</f>
        <v>29001</v>
      </c>
      <c r="H63" s="19">
        <f>IFERROR(__xludf.DUMMYFUNCTION("""COMPUTED_VALUE"""),0.00222)</f>
        <v>0.00222</v>
      </c>
      <c r="I63" s="19" t="str">
        <f>IFERROR(__xludf.DUMMYFUNCTION("""COMPUTED_VALUE"""),"-")</f>
        <v>-</v>
      </c>
      <c r="J63" s="19">
        <f>IFERROR(__xludf.DUMMYFUNCTION("""COMPUTED_VALUE"""),0.00202)</f>
        <v>0.00202</v>
      </c>
      <c r="K63" s="19">
        <f>IFERROR(__xludf.DUMMYFUNCTION("""COMPUTED_VALUE"""),0.07167)</f>
        <v>0.07167</v>
      </c>
      <c r="L63" s="19" t="str">
        <f>IFERROR(__xludf.DUMMYFUNCTION("""COMPUTED_VALUE"""),"-")</f>
        <v>-</v>
      </c>
      <c r="M63" s="19" t="str">
        <f>IFERROR(__xludf.DUMMYFUNCTION("""COMPUTED_VALUE"""),"-")</f>
        <v>-</v>
      </c>
    </row>
    <row r="64">
      <c r="A64" s="12" t="s">
        <v>8854</v>
      </c>
      <c r="G64" s="19">
        <f>IFERROR(__xludf.DUMMYFUNCTION("SPLIT(A62, "" |"")"),29501.0)</f>
        <v>29501</v>
      </c>
      <c r="H64" s="19">
        <f>IFERROR(__xludf.DUMMYFUNCTION("""COMPUTED_VALUE"""),0.00227)</f>
        <v>0.00227</v>
      </c>
      <c r="I64" s="19" t="str">
        <f>IFERROR(__xludf.DUMMYFUNCTION("""COMPUTED_VALUE"""),"-")</f>
        <v>-</v>
      </c>
      <c r="J64" s="19">
        <f>IFERROR(__xludf.DUMMYFUNCTION("""COMPUTED_VALUE"""),0.00203)</f>
        <v>0.00203</v>
      </c>
      <c r="K64" s="19">
        <f>IFERROR(__xludf.DUMMYFUNCTION("""COMPUTED_VALUE"""),0.07678)</f>
        <v>0.07678</v>
      </c>
      <c r="L64" s="19" t="str">
        <f>IFERROR(__xludf.DUMMYFUNCTION("""COMPUTED_VALUE"""),"-")</f>
        <v>-</v>
      </c>
      <c r="M64" s="19" t="str">
        <f>IFERROR(__xludf.DUMMYFUNCTION("""COMPUTED_VALUE"""),"-")</f>
        <v>-</v>
      </c>
    </row>
    <row r="65">
      <c r="A65" s="12" t="s">
        <v>8855</v>
      </c>
      <c r="G65" s="19">
        <f>IFERROR(__xludf.DUMMYFUNCTION("SPLIT(A63, "" |"")"),30001.0)</f>
        <v>30001</v>
      </c>
      <c r="H65" s="19">
        <f>IFERROR(__xludf.DUMMYFUNCTION("""COMPUTED_VALUE"""),0.00232)</f>
        <v>0.00232</v>
      </c>
      <c r="I65" s="19" t="str">
        <f>IFERROR(__xludf.DUMMYFUNCTION("""COMPUTED_VALUE"""),"-")</f>
        <v>-</v>
      </c>
      <c r="J65" s="19">
        <f>IFERROR(__xludf.DUMMYFUNCTION("""COMPUTED_VALUE"""),0.00197)</f>
        <v>0.00197</v>
      </c>
      <c r="K65" s="19">
        <f>IFERROR(__xludf.DUMMYFUNCTION("""COMPUTED_VALUE"""),0.0768)</f>
        <v>0.0768</v>
      </c>
      <c r="L65" s="19" t="str">
        <f>IFERROR(__xludf.DUMMYFUNCTION("""COMPUTED_VALUE"""),"-")</f>
        <v>-</v>
      </c>
      <c r="M65" s="19" t="str">
        <f>IFERROR(__xludf.DUMMYFUNCTION("""COMPUTED_VALUE"""),"-")</f>
        <v>-</v>
      </c>
    </row>
    <row r="66">
      <c r="A66" s="12" t="s">
        <v>8856</v>
      </c>
      <c r="G66" s="19">
        <f>IFERROR(__xludf.DUMMYFUNCTION("SPLIT(A64, "" |"")"),30501.0)</f>
        <v>30501</v>
      </c>
      <c r="H66" s="19">
        <f>IFERROR(__xludf.DUMMYFUNCTION("""COMPUTED_VALUE"""),0.00219)</f>
        <v>0.00219</v>
      </c>
      <c r="I66" s="19" t="str">
        <f>IFERROR(__xludf.DUMMYFUNCTION("""COMPUTED_VALUE"""),"-")</f>
        <v>-</v>
      </c>
      <c r="J66" s="19">
        <f>IFERROR(__xludf.DUMMYFUNCTION("""COMPUTED_VALUE"""),0.00201)</f>
        <v>0.00201</v>
      </c>
      <c r="K66" s="19">
        <f>IFERROR(__xludf.DUMMYFUNCTION("""COMPUTED_VALUE"""),0.07628)</f>
        <v>0.07628</v>
      </c>
      <c r="L66" s="19" t="str">
        <f>IFERROR(__xludf.DUMMYFUNCTION("""COMPUTED_VALUE"""),"-")</f>
        <v>-</v>
      </c>
      <c r="M66" s="19" t="str">
        <f>IFERROR(__xludf.DUMMYFUNCTION("""COMPUTED_VALUE"""),"-")</f>
        <v>-</v>
      </c>
    </row>
    <row r="67">
      <c r="A67" s="12" t="s">
        <v>8857</v>
      </c>
      <c r="G67" s="19">
        <f>IFERROR(__xludf.DUMMYFUNCTION("SPLIT(A65, "" |"")"),31001.0)</f>
        <v>31001</v>
      </c>
      <c r="H67" s="19">
        <f>IFERROR(__xludf.DUMMYFUNCTION("""COMPUTED_VALUE"""),0.00215)</f>
        <v>0.00215</v>
      </c>
      <c r="I67" s="19" t="str">
        <f>IFERROR(__xludf.DUMMYFUNCTION("""COMPUTED_VALUE"""),"-")</f>
        <v>-</v>
      </c>
      <c r="J67" s="19">
        <f>IFERROR(__xludf.DUMMYFUNCTION("""COMPUTED_VALUE"""),0.00186)</f>
        <v>0.00186</v>
      </c>
      <c r="K67" s="19">
        <f>IFERROR(__xludf.DUMMYFUNCTION("""COMPUTED_VALUE"""),0.0721)</f>
        <v>0.0721</v>
      </c>
      <c r="L67" s="19" t="str">
        <f>IFERROR(__xludf.DUMMYFUNCTION("""COMPUTED_VALUE"""),"-")</f>
        <v>-</v>
      </c>
      <c r="M67" s="19" t="str">
        <f>IFERROR(__xludf.DUMMYFUNCTION("""COMPUTED_VALUE"""),"-")</f>
        <v>-</v>
      </c>
    </row>
    <row r="68">
      <c r="A68" s="12" t="s">
        <v>8858</v>
      </c>
      <c r="G68" s="19">
        <f>IFERROR(__xludf.DUMMYFUNCTION("SPLIT(A66, "" |"")"),31501.0)</f>
        <v>31501</v>
      </c>
      <c r="H68" s="19">
        <f>IFERROR(__xludf.DUMMYFUNCTION("""COMPUTED_VALUE"""),0.00221)</f>
        <v>0.00221</v>
      </c>
      <c r="I68" s="19" t="str">
        <f>IFERROR(__xludf.DUMMYFUNCTION("""COMPUTED_VALUE"""),"-")</f>
        <v>-</v>
      </c>
      <c r="J68" s="19">
        <f>IFERROR(__xludf.DUMMYFUNCTION("""COMPUTED_VALUE"""),0.00203)</f>
        <v>0.00203</v>
      </c>
      <c r="K68" s="19">
        <f>IFERROR(__xludf.DUMMYFUNCTION("""COMPUTED_VALUE"""),0.07216)</f>
        <v>0.07216</v>
      </c>
      <c r="L68" s="19" t="str">
        <f>IFERROR(__xludf.DUMMYFUNCTION("""COMPUTED_VALUE"""),"-")</f>
        <v>-</v>
      </c>
      <c r="M68" s="19" t="str">
        <f>IFERROR(__xludf.DUMMYFUNCTION("""COMPUTED_VALUE"""),"-")</f>
        <v>-</v>
      </c>
    </row>
    <row r="69">
      <c r="A69" s="12" t="s">
        <v>8859</v>
      </c>
      <c r="G69" s="19">
        <f>IFERROR(__xludf.DUMMYFUNCTION("SPLIT(A67, "" |"")"),32001.0)</f>
        <v>32001</v>
      </c>
      <c r="H69" s="19">
        <f>IFERROR(__xludf.DUMMYFUNCTION("""COMPUTED_VALUE"""),0.00227)</f>
        <v>0.00227</v>
      </c>
      <c r="I69" s="19" t="str">
        <f>IFERROR(__xludf.DUMMYFUNCTION("""COMPUTED_VALUE"""),"-")</f>
        <v>-</v>
      </c>
      <c r="J69" s="19">
        <f>IFERROR(__xludf.DUMMYFUNCTION("""COMPUTED_VALUE"""),0.00191)</f>
        <v>0.00191</v>
      </c>
      <c r="K69" s="19">
        <f>IFERROR(__xludf.DUMMYFUNCTION("""COMPUTED_VALUE"""),0.0748)</f>
        <v>0.0748</v>
      </c>
      <c r="L69" s="19" t="str">
        <f>IFERROR(__xludf.DUMMYFUNCTION("""COMPUTED_VALUE"""),"-")</f>
        <v>-</v>
      </c>
      <c r="M69" s="19" t="str">
        <f>IFERROR(__xludf.DUMMYFUNCTION("""COMPUTED_VALUE"""),"-")</f>
        <v>-</v>
      </c>
    </row>
    <row r="70">
      <c r="A70" s="12" t="s">
        <v>8860</v>
      </c>
      <c r="G70" s="19">
        <f>IFERROR(__xludf.DUMMYFUNCTION("SPLIT(A68, "" |"")"),32501.0)</f>
        <v>32501</v>
      </c>
      <c r="H70" s="19">
        <f>IFERROR(__xludf.DUMMYFUNCTION("""COMPUTED_VALUE"""),0.0022)</f>
        <v>0.0022</v>
      </c>
      <c r="I70" s="19" t="str">
        <f>IFERROR(__xludf.DUMMYFUNCTION("""COMPUTED_VALUE"""),"-")</f>
        <v>-</v>
      </c>
      <c r="J70" s="19">
        <f>IFERROR(__xludf.DUMMYFUNCTION("""COMPUTED_VALUE"""),0.00201)</f>
        <v>0.00201</v>
      </c>
      <c r="K70" s="19">
        <f>IFERROR(__xludf.DUMMYFUNCTION("""COMPUTED_VALUE"""),0.07628)</f>
        <v>0.07628</v>
      </c>
      <c r="L70" s="19" t="str">
        <f>IFERROR(__xludf.DUMMYFUNCTION("""COMPUTED_VALUE"""),"-")</f>
        <v>-</v>
      </c>
      <c r="M70" s="19" t="str">
        <f>IFERROR(__xludf.DUMMYFUNCTION("""COMPUTED_VALUE"""),"-")</f>
        <v>-</v>
      </c>
    </row>
    <row r="71">
      <c r="A71" s="12" t="s">
        <v>8861</v>
      </c>
      <c r="G71" s="19">
        <f>IFERROR(__xludf.DUMMYFUNCTION("SPLIT(A69, "" |"")"),33001.0)</f>
        <v>33001</v>
      </c>
      <c r="H71" s="19">
        <f>IFERROR(__xludf.DUMMYFUNCTION("""COMPUTED_VALUE"""),0.00216)</f>
        <v>0.00216</v>
      </c>
      <c r="I71" s="19" t="str">
        <f>IFERROR(__xludf.DUMMYFUNCTION("""COMPUTED_VALUE"""),"-")</f>
        <v>-</v>
      </c>
      <c r="J71" s="19">
        <f>IFERROR(__xludf.DUMMYFUNCTION("""COMPUTED_VALUE"""),0.00204)</f>
        <v>0.00204</v>
      </c>
      <c r="K71" s="19">
        <f>IFERROR(__xludf.DUMMYFUNCTION("""COMPUTED_VALUE"""),0.07682)</f>
        <v>0.07682</v>
      </c>
      <c r="L71" s="19" t="str">
        <f>IFERROR(__xludf.DUMMYFUNCTION("""COMPUTED_VALUE"""),"-")</f>
        <v>-</v>
      </c>
      <c r="M71" s="19" t="str">
        <f>IFERROR(__xludf.DUMMYFUNCTION("""COMPUTED_VALUE"""),"-")</f>
        <v>-</v>
      </c>
    </row>
    <row r="72">
      <c r="A72" s="12" t="s">
        <v>8862</v>
      </c>
      <c r="G72" s="19">
        <f>IFERROR(__xludf.DUMMYFUNCTION("SPLIT(A70, "" |"")"),33501.0)</f>
        <v>33501</v>
      </c>
      <c r="H72" s="19">
        <f>IFERROR(__xludf.DUMMYFUNCTION("""COMPUTED_VALUE"""),0.00218)</f>
        <v>0.00218</v>
      </c>
      <c r="I72" s="19" t="str">
        <f>IFERROR(__xludf.DUMMYFUNCTION("""COMPUTED_VALUE"""),"-")</f>
        <v>-</v>
      </c>
      <c r="J72" s="19">
        <f>IFERROR(__xludf.DUMMYFUNCTION("""COMPUTED_VALUE"""),0.00207)</f>
        <v>0.00207</v>
      </c>
      <c r="K72" s="19">
        <f>IFERROR(__xludf.DUMMYFUNCTION("""COMPUTED_VALUE"""),0.07667)</f>
        <v>0.07667</v>
      </c>
      <c r="L72" s="19" t="str">
        <f>IFERROR(__xludf.DUMMYFUNCTION("""COMPUTED_VALUE"""),"-")</f>
        <v>-</v>
      </c>
      <c r="M72" s="19" t="str">
        <f>IFERROR(__xludf.DUMMYFUNCTION("""COMPUTED_VALUE"""),"-")</f>
        <v>-</v>
      </c>
    </row>
    <row r="73">
      <c r="A73" s="12" t="s">
        <v>8863</v>
      </c>
      <c r="G73" s="19">
        <f>IFERROR(__xludf.DUMMYFUNCTION("SPLIT(A71, "" |"")"),34001.0)</f>
        <v>34001</v>
      </c>
      <c r="H73" s="19">
        <f>IFERROR(__xludf.DUMMYFUNCTION("""COMPUTED_VALUE"""),0.00227)</f>
        <v>0.00227</v>
      </c>
      <c r="I73" s="19" t="str">
        <f>IFERROR(__xludf.DUMMYFUNCTION("""COMPUTED_VALUE"""),"-")</f>
        <v>-</v>
      </c>
      <c r="J73" s="19">
        <f>IFERROR(__xludf.DUMMYFUNCTION("""COMPUTED_VALUE"""),0.00198)</f>
        <v>0.00198</v>
      </c>
      <c r="K73" s="19">
        <f>IFERROR(__xludf.DUMMYFUNCTION("""COMPUTED_VALUE"""),0.06988)</f>
        <v>0.06988</v>
      </c>
      <c r="L73" s="19" t="str">
        <f>IFERROR(__xludf.DUMMYFUNCTION("""COMPUTED_VALUE"""),"-")</f>
        <v>-</v>
      </c>
      <c r="M73" s="19" t="str">
        <f>IFERROR(__xludf.DUMMYFUNCTION("""COMPUTED_VALUE"""),"-")</f>
        <v>-</v>
      </c>
    </row>
    <row r="74">
      <c r="A74" s="12" t="s">
        <v>8864</v>
      </c>
      <c r="G74" s="19">
        <f>IFERROR(__xludf.DUMMYFUNCTION("SPLIT(A72, "" |"")"),34501.0)</f>
        <v>34501</v>
      </c>
      <c r="H74" s="19">
        <f>IFERROR(__xludf.DUMMYFUNCTION("""COMPUTED_VALUE"""),0.00218)</f>
        <v>0.00218</v>
      </c>
      <c r="I74" s="19" t="str">
        <f>IFERROR(__xludf.DUMMYFUNCTION("""COMPUTED_VALUE"""),"-")</f>
        <v>-</v>
      </c>
      <c r="J74" s="19">
        <f>IFERROR(__xludf.DUMMYFUNCTION("""COMPUTED_VALUE"""),0.00209)</f>
        <v>0.00209</v>
      </c>
      <c r="K74" s="19">
        <f>IFERROR(__xludf.DUMMYFUNCTION("""COMPUTED_VALUE"""),0.07676)</f>
        <v>0.07676</v>
      </c>
      <c r="L74" s="19" t="str">
        <f>IFERROR(__xludf.DUMMYFUNCTION("""COMPUTED_VALUE"""),"-")</f>
        <v>-</v>
      </c>
      <c r="M74" s="19" t="str">
        <f>IFERROR(__xludf.DUMMYFUNCTION("""COMPUTED_VALUE"""),"-")</f>
        <v>-</v>
      </c>
    </row>
    <row r="75">
      <c r="A75" s="12" t="s">
        <v>8865</v>
      </c>
      <c r="G75" s="19">
        <f>IFERROR(__xludf.DUMMYFUNCTION("SPLIT(A73, "" |"")"),35001.0)</f>
        <v>35001</v>
      </c>
      <c r="H75" s="19">
        <f>IFERROR(__xludf.DUMMYFUNCTION("""COMPUTED_VALUE"""),0.00225)</f>
        <v>0.00225</v>
      </c>
      <c r="I75" s="19" t="str">
        <f>IFERROR(__xludf.DUMMYFUNCTION("""COMPUTED_VALUE"""),"-")</f>
        <v>-</v>
      </c>
      <c r="J75" s="19">
        <f>IFERROR(__xludf.DUMMYFUNCTION("""COMPUTED_VALUE"""),0.00204)</f>
        <v>0.00204</v>
      </c>
      <c r="K75" s="19">
        <f>IFERROR(__xludf.DUMMYFUNCTION("""COMPUTED_VALUE"""),0.07676)</f>
        <v>0.07676</v>
      </c>
      <c r="L75" s="19" t="str">
        <f>IFERROR(__xludf.DUMMYFUNCTION("""COMPUTED_VALUE"""),"-")</f>
        <v>-</v>
      </c>
      <c r="M75" s="19" t="str">
        <f>IFERROR(__xludf.DUMMYFUNCTION("""COMPUTED_VALUE"""),"-")</f>
        <v>-</v>
      </c>
    </row>
    <row r="76">
      <c r="A76" s="12" t="s">
        <v>8866</v>
      </c>
      <c r="G76" s="19">
        <f>IFERROR(__xludf.DUMMYFUNCTION("SPLIT(A74, "" |"")"),35501.0)</f>
        <v>35501</v>
      </c>
      <c r="H76" s="19">
        <f>IFERROR(__xludf.DUMMYFUNCTION("""COMPUTED_VALUE"""),0.00211)</f>
        <v>0.00211</v>
      </c>
      <c r="I76" s="19" t="str">
        <f>IFERROR(__xludf.DUMMYFUNCTION("""COMPUTED_VALUE"""),"-")</f>
        <v>-</v>
      </c>
      <c r="J76" s="19">
        <f>IFERROR(__xludf.DUMMYFUNCTION("""COMPUTED_VALUE"""),0.00203)</f>
        <v>0.00203</v>
      </c>
      <c r="K76" s="19">
        <f>IFERROR(__xludf.DUMMYFUNCTION("""COMPUTED_VALUE"""),0.07503)</f>
        <v>0.07503</v>
      </c>
      <c r="L76" s="19" t="str">
        <f>IFERROR(__xludf.DUMMYFUNCTION("""COMPUTED_VALUE"""),"-")</f>
        <v>-</v>
      </c>
      <c r="M76" s="19" t="str">
        <f>IFERROR(__xludf.DUMMYFUNCTION("""COMPUTED_VALUE"""),"-")</f>
        <v>-</v>
      </c>
    </row>
    <row r="77">
      <c r="A77" s="12" t="s">
        <v>8867</v>
      </c>
      <c r="G77" s="19">
        <f>IFERROR(__xludf.DUMMYFUNCTION("SPLIT(A75, "" |"")"),36001.0)</f>
        <v>36001</v>
      </c>
      <c r="H77" s="19">
        <f>IFERROR(__xludf.DUMMYFUNCTION("""COMPUTED_VALUE"""),0.00215)</f>
        <v>0.00215</v>
      </c>
      <c r="I77" s="19" t="str">
        <f>IFERROR(__xludf.DUMMYFUNCTION("""COMPUTED_VALUE"""),"-")</f>
        <v>-</v>
      </c>
      <c r="J77" s="19">
        <f>IFERROR(__xludf.DUMMYFUNCTION("""COMPUTED_VALUE"""),0.00296)</f>
        <v>0.00296</v>
      </c>
      <c r="K77" s="19">
        <f>IFERROR(__xludf.DUMMYFUNCTION("""COMPUTED_VALUE"""),0.07506)</f>
        <v>0.07506</v>
      </c>
      <c r="L77" s="19" t="str">
        <f>IFERROR(__xludf.DUMMYFUNCTION("""COMPUTED_VALUE"""),"-")</f>
        <v>-</v>
      </c>
      <c r="M77" s="19" t="str">
        <f>IFERROR(__xludf.DUMMYFUNCTION("""COMPUTED_VALUE"""),"-")</f>
        <v>-</v>
      </c>
    </row>
    <row r="78">
      <c r="A78" s="12" t="s">
        <v>8868</v>
      </c>
      <c r="G78" s="19">
        <f>IFERROR(__xludf.DUMMYFUNCTION("SPLIT(A76, "" |"")"),36501.0)</f>
        <v>36501</v>
      </c>
      <c r="H78" s="19">
        <f>IFERROR(__xludf.DUMMYFUNCTION("""COMPUTED_VALUE"""),0.00227)</f>
        <v>0.00227</v>
      </c>
      <c r="I78" s="19" t="str">
        <f>IFERROR(__xludf.DUMMYFUNCTION("""COMPUTED_VALUE"""),"-")</f>
        <v>-</v>
      </c>
      <c r="J78" s="19">
        <f>IFERROR(__xludf.DUMMYFUNCTION("""COMPUTED_VALUE"""),0.00208)</f>
        <v>0.00208</v>
      </c>
      <c r="K78" s="19">
        <f>IFERROR(__xludf.DUMMYFUNCTION("""COMPUTED_VALUE"""),0.07673)</f>
        <v>0.07673</v>
      </c>
      <c r="L78" s="19" t="str">
        <f>IFERROR(__xludf.DUMMYFUNCTION("""COMPUTED_VALUE"""),"-")</f>
        <v>-</v>
      </c>
      <c r="M78" s="19" t="str">
        <f>IFERROR(__xludf.DUMMYFUNCTION("""COMPUTED_VALUE"""),"-")</f>
        <v>-</v>
      </c>
    </row>
    <row r="79">
      <c r="A79" s="12" t="s">
        <v>8869</v>
      </c>
      <c r="G79" s="19">
        <f>IFERROR(__xludf.DUMMYFUNCTION("SPLIT(A77, "" |"")"),37001.0)</f>
        <v>37001</v>
      </c>
      <c r="H79" s="19">
        <f>IFERROR(__xludf.DUMMYFUNCTION("""COMPUTED_VALUE"""),0.00226)</f>
        <v>0.00226</v>
      </c>
      <c r="I79" s="19" t="str">
        <f>IFERROR(__xludf.DUMMYFUNCTION("""COMPUTED_VALUE"""),"-")</f>
        <v>-</v>
      </c>
      <c r="J79" s="19">
        <f>IFERROR(__xludf.DUMMYFUNCTION("""COMPUTED_VALUE"""),0.00206)</f>
        <v>0.00206</v>
      </c>
      <c r="K79" s="19">
        <f>IFERROR(__xludf.DUMMYFUNCTION("""COMPUTED_VALUE"""),0.07685)</f>
        <v>0.07685</v>
      </c>
      <c r="L79" s="19" t="str">
        <f>IFERROR(__xludf.DUMMYFUNCTION("""COMPUTED_VALUE"""),"-")</f>
        <v>-</v>
      </c>
      <c r="M79" s="19" t="str">
        <f>IFERROR(__xludf.DUMMYFUNCTION("""COMPUTED_VALUE"""),"-")</f>
        <v>-</v>
      </c>
    </row>
    <row r="80">
      <c r="A80" s="12" t="s">
        <v>8870</v>
      </c>
      <c r="G80" s="19">
        <f>IFERROR(__xludf.DUMMYFUNCTION("SPLIT(A78, "" |"")"),37501.0)</f>
        <v>37501</v>
      </c>
      <c r="H80" s="19">
        <f>IFERROR(__xludf.DUMMYFUNCTION("""COMPUTED_VALUE"""),0.0021)</f>
        <v>0.0021</v>
      </c>
      <c r="I80" s="19" t="str">
        <f>IFERROR(__xludf.DUMMYFUNCTION("""COMPUTED_VALUE"""),"-")</f>
        <v>-</v>
      </c>
      <c r="J80" s="19">
        <f>IFERROR(__xludf.DUMMYFUNCTION("""COMPUTED_VALUE"""),0.00201)</f>
        <v>0.00201</v>
      </c>
      <c r="K80" s="19">
        <f>IFERROR(__xludf.DUMMYFUNCTION("""COMPUTED_VALUE"""),0.07683)</f>
        <v>0.07683</v>
      </c>
      <c r="L80" s="19" t="str">
        <f>IFERROR(__xludf.DUMMYFUNCTION("""COMPUTED_VALUE"""),"-")</f>
        <v>-</v>
      </c>
      <c r="M80" s="19" t="str">
        <f>IFERROR(__xludf.DUMMYFUNCTION("""COMPUTED_VALUE"""),"-")</f>
        <v>-</v>
      </c>
    </row>
    <row r="81">
      <c r="A81" s="12" t="s">
        <v>8871</v>
      </c>
      <c r="G81" s="19">
        <f>IFERROR(__xludf.DUMMYFUNCTION("SPLIT(A79, "" |"")"),38001.0)</f>
        <v>38001</v>
      </c>
      <c r="H81" s="19">
        <f>IFERROR(__xludf.DUMMYFUNCTION("""COMPUTED_VALUE"""),0.00224)</f>
        <v>0.00224</v>
      </c>
      <c r="I81" s="19" t="str">
        <f>IFERROR(__xludf.DUMMYFUNCTION("""COMPUTED_VALUE"""),"-")</f>
        <v>-</v>
      </c>
      <c r="J81" s="19">
        <f>IFERROR(__xludf.DUMMYFUNCTION("""COMPUTED_VALUE"""),0.002)</f>
        <v>0.002</v>
      </c>
      <c r="K81" s="19">
        <f>IFERROR(__xludf.DUMMYFUNCTION("""COMPUTED_VALUE"""),0.07589)</f>
        <v>0.07589</v>
      </c>
      <c r="L81" s="19" t="str">
        <f>IFERROR(__xludf.DUMMYFUNCTION("""COMPUTED_VALUE"""),"-")</f>
        <v>-</v>
      </c>
      <c r="M81" s="19" t="str">
        <f>IFERROR(__xludf.DUMMYFUNCTION("""COMPUTED_VALUE"""),"-")</f>
        <v>-</v>
      </c>
    </row>
    <row r="82">
      <c r="A82" s="12" t="s">
        <v>8872</v>
      </c>
      <c r="G82" s="19">
        <f>IFERROR(__xludf.DUMMYFUNCTION("SPLIT(A80, "" |"")"),38501.0)</f>
        <v>38501</v>
      </c>
      <c r="H82" s="19">
        <f>IFERROR(__xludf.DUMMYFUNCTION("""COMPUTED_VALUE"""),0.00221)</f>
        <v>0.00221</v>
      </c>
      <c r="I82" s="19" t="str">
        <f>IFERROR(__xludf.DUMMYFUNCTION("""COMPUTED_VALUE"""),"-")</f>
        <v>-</v>
      </c>
      <c r="J82" s="19">
        <f>IFERROR(__xludf.DUMMYFUNCTION("""COMPUTED_VALUE"""),0.00166)</f>
        <v>0.00166</v>
      </c>
      <c r="K82" s="19">
        <f>IFERROR(__xludf.DUMMYFUNCTION("""COMPUTED_VALUE"""),0.07465)</f>
        <v>0.07465</v>
      </c>
      <c r="L82" s="19" t="str">
        <f>IFERROR(__xludf.DUMMYFUNCTION("""COMPUTED_VALUE"""),"-")</f>
        <v>-</v>
      </c>
      <c r="M82" s="19" t="str">
        <f>IFERROR(__xludf.DUMMYFUNCTION("""COMPUTED_VALUE"""),"-")</f>
        <v>-</v>
      </c>
    </row>
    <row r="83">
      <c r="A83" s="12" t="s">
        <v>8873</v>
      </c>
      <c r="G83" s="19">
        <f>IFERROR(__xludf.DUMMYFUNCTION("SPLIT(A81, "" |"")"),39001.0)</f>
        <v>39001</v>
      </c>
      <c r="H83" s="19">
        <f>IFERROR(__xludf.DUMMYFUNCTION("""COMPUTED_VALUE"""),0.00228)</f>
        <v>0.00228</v>
      </c>
      <c r="I83" s="19" t="str">
        <f>IFERROR(__xludf.DUMMYFUNCTION("""COMPUTED_VALUE"""),"-")</f>
        <v>-</v>
      </c>
      <c r="J83" s="19">
        <f>IFERROR(__xludf.DUMMYFUNCTION("""COMPUTED_VALUE"""),0.00205)</f>
        <v>0.00205</v>
      </c>
      <c r="K83" s="19">
        <f>IFERROR(__xludf.DUMMYFUNCTION("""COMPUTED_VALUE"""),0.07271)</f>
        <v>0.07271</v>
      </c>
      <c r="L83" s="19" t="str">
        <f>IFERROR(__xludf.DUMMYFUNCTION("""COMPUTED_VALUE"""),"-")</f>
        <v>-</v>
      </c>
      <c r="M83" s="19" t="str">
        <f>IFERROR(__xludf.DUMMYFUNCTION("""COMPUTED_VALUE"""),"-")</f>
        <v>-</v>
      </c>
    </row>
    <row r="84">
      <c r="A84" s="12" t="s">
        <v>8874</v>
      </c>
      <c r="G84" s="19">
        <f>IFERROR(__xludf.DUMMYFUNCTION("SPLIT(A82, "" |"")"),39501.0)</f>
        <v>39501</v>
      </c>
      <c r="H84" s="19">
        <f>IFERROR(__xludf.DUMMYFUNCTION("""COMPUTED_VALUE"""),0.00219)</f>
        <v>0.00219</v>
      </c>
      <c r="I84" s="19" t="str">
        <f>IFERROR(__xludf.DUMMYFUNCTION("""COMPUTED_VALUE"""),"-")</f>
        <v>-</v>
      </c>
      <c r="J84" s="19">
        <f>IFERROR(__xludf.DUMMYFUNCTION("""COMPUTED_VALUE"""),0.00196)</f>
        <v>0.00196</v>
      </c>
      <c r="K84" s="19">
        <f>IFERROR(__xludf.DUMMYFUNCTION("""COMPUTED_VALUE"""),0.07081)</f>
        <v>0.07081</v>
      </c>
      <c r="L84" s="19" t="str">
        <f>IFERROR(__xludf.DUMMYFUNCTION("""COMPUTED_VALUE"""),"-")</f>
        <v>-</v>
      </c>
      <c r="M84" s="19" t="str">
        <f>IFERROR(__xludf.DUMMYFUNCTION("""COMPUTED_VALUE"""),"-")</f>
        <v>-</v>
      </c>
    </row>
    <row r="85">
      <c r="A85" s="12" t="s">
        <v>8875</v>
      </c>
      <c r="G85" s="19">
        <f>IFERROR(__xludf.DUMMYFUNCTION("SPLIT(A83, "" |"")"),40001.0)</f>
        <v>40001</v>
      </c>
      <c r="H85" s="19">
        <f>IFERROR(__xludf.DUMMYFUNCTION("""COMPUTED_VALUE"""),0.00229)</f>
        <v>0.00229</v>
      </c>
      <c r="I85" s="19" t="str">
        <f>IFERROR(__xludf.DUMMYFUNCTION("""COMPUTED_VALUE"""),"-")</f>
        <v>-</v>
      </c>
      <c r="J85" s="19">
        <f>IFERROR(__xludf.DUMMYFUNCTION("""COMPUTED_VALUE"""),0.00197)</f>
        <v>0.00197</v>
      </c>
      <c r="K85" s="19">
        <f>IFERROR(__xludf.DUMMYFUNCTION("""COMPUTED_VALUE"""),0.07402)</f>
        <v>0.07402</v>
      </c>
      <c r="L85" s="19" t="str">
        <f>IFERROR(__xludf.DUMMYFUNCTION("""COMPUTED_VALUE"""),"-")</f>
        <v>-</v>
      </c>
      <c r="M85" s="19" t="str">
        <f>IFERROR(__xludf.DUMMYFUNCTION("""COMPUTED_VALUE"""),"-")</f>
        <v>-</v>
      </c>
    </row>
    <row r="86">
      <c r="A86" s="12" t="s">
        <v>8876</v>
      </c>
      <c r="G86" s="19">
        <f>IFERROR(__xludf.DUMMYFUNCTION("SPLIT(A84, "" |"")"),40501.0)</f>
        <v>40501</v>
      </c>
      <c r="H86" s="19">
        <f>IFERROR(__xludf.DUMMYFUNCTION("""COMPUTED_VALUE"""),0.00223)</f>
        <v>0.00223</v>
      </c>
      <c r="I86" s="19" t="str">
        <f>IFERROR(__xludf.DUMMYFUNCTION("""COMPUTED_VALUE"""),"-")</f>
        <v>-</v>
      </c>
      <c r="J86" s="19">
        <f>IFERROR(__xludf.DUMMYFUNCTION("""COMPUTED_VALUE"""),0.00202)</f>
        <v>0.00202</v>
      </c>
      <c r="K86" s="19">
        <f>IFERROR(__xludf.DUMMYFUNCTION("""COMPUTED_VALUE"""),0.07457)</f>
        <v>0.07457</v>
      </c>
      <c r="L86" s="19" t="str">
        <f>IFERROR(__xludf.DUMMYFUNCTION("""COMPUTED_VALUE"""),"-")</f>
        <v>-</v>
      </c>
      <c r="M86" s="19" t="str">
        <f>IFERROR(__xludf.DUMMYFUNCTION("""COMPUTED_VALUE"""),"-")</f>
        <v>-</v>
      </c>
    </row>
    <row r="87">
      <c r="A87" s="12" t="s">
        <v>8877</v>
      </c>
      <c r="G87" s="19">
        <f>IFERROR(__xludf.DUMMYFUNCTION("SPLIT(A85, "" |"")"),41001.0)</f>
        <v>41001</v>
      </c>
      <c r="H87" s="19">
        <f>IFERROR(__xludf.DUMMYFUNCTION("""COMPUTED_VALUE"""),0.00232)</f>
        <v>0.00232</v>
      </c>
      <c r="I87" s="19" t="str">
        <f>IFERROR(__xludf.DUMMYFUNCTION("""COMPUTED_VALUE"""),"-")</f>
        <v>-</v>
      </c>
      <c r="J87" s="19">
        <f>IFERROR(__xludf.DUMMYFUNCTION("""COMPUTED_VALUE"""),0.00191)</f>
        <v>0.00191</v>
      </c>
      <c r="K87" s="19">
        <f>IFERROR(__xludf.DUMMYFUNCTION("""COMPUTED_VALUE"""),0.07662)</f>
        <v>0.07662</v>
      </c>
      <c r="L87" s="19" t="str">
        <f>IFERROR(__xludf.DUMMYFUNCTION("""COMPUTED_VALUE"""),"-")</f>
        <v>-</v>
      </c>
      <c r="M87" s="19" t="str">
        <f>IFERROR(__xludf.DUMMYFUNCTION("""COMPUTED_VALUE"""),"-")</f>
        <v>-</v>
      </c>
    </row>
    <row r="88">
      <c r="A88" s="12" t="s">
        <v>8878</v>
      </c>
      <c r="G88" s="19">
        <f>IFERROR(__xludf.DUMMYFUNCTION("SPLIT(A86, "" |"")"),41501.0)</f>
        <v>41501</v>
      </c>
      <c r="H88" s="19">
        <f>IFERROR(__xludf.DUMMYFUNCTION("""COMPUTED_VALUE"""),0.00217)</f>
        <v>0.00217</v>
      </c>
      <c r="I88" s="19" t="str">
        <f>IFERROR(__xludf.DUMMYFUNCTION("""COMPUTED_VALUE"""),"-")</f>
        <v>-</v>
      </c>
      <c r="J88" s="19">
        <f>IFERROR(__xludf.DUMMYFUNCTION("""COMPUTED_VALUE"""),0.00191)</f>
        <v>0.00191</v>
      </c>
      <c r="K88" s="19">
        <f>IFERROR(__xludf.DUMMYFUNCTION("""COMPUTED_VALUE"""),0.07669)</f>
        <v>0.07669</v>
      </c>
      <c r="L88" s="19" t="str">
        <f>IFERROR(__xludf.DUMMYFUNCTION("""COMPUTED_VALUE"""),"-")</f>
        <v>-</v>
      </c>
      <c r="M88" s="19" t="str">
        <f>IFERROR(__xludf.DUMMYFUNCTION("""COMPUTED_VALUE"""),"-")</f>
        <v>-</v>
      </c>
    </row>
    <row r="89">
      <c r="A89" s="12" t="s">
        <v>8879</v>
      </c>
      <c r="G89" s="19">
        <f>IFERROR(__xludf.DUMMYFUNCTION("SPLIT(A87, "" |"")"),42001.0)</f>
        <v>42001</v>
      </c>
      <c r="H89" s="19">
        <f>IFERROR(__xludf.DUMMYFUNCTION("""COMPUTED_VALUE"""),0.00225)</f>
        <v>0.00225</v>
      </c>
      <c r="I89" s="19" t="str">
        <f>IFERROR(__xludf.DUMMYFUNCTION("""COMPUTED_VALUE"""),"-")</f>
        <v>-</v>
      </c>
      <c r="J89" s="19">
        <f>IFERROR(__xludf.DUMMYFUNCTION("""COMPUTED_VALUE"""),0.00203)</f>
        <v>0.00203</v>
      </c>
      <c r="K89" s="19">
        <f>IFERROR(__xludf.DUMMYFUNCTION("""COMPUTED_VALUE"""),0.0766)</f>
        <v>0.0766</v>
      </c>
      <c r="L89" s="19" t="str">
        <f>IFERROR(__xludf.DUMMYFUNCTION("""COMPUTED_VALUE"""),"-")</f>
        <v>-</v>
      </c>
      <c r="M89" s="19" t="str">
        <f>IFERROR(__xludf.DUMMYFUNCTION("""COMPUTED_VALUE"""),"-")</f>
        <v>-</v>
      </c>
    </row>
    <row r="90">
      <c r="A90" s="12" t="s">
        <v>8880</v>
      </c>
      <c r="G90" s="19">
        <f>IFERROR(__xludf.DUMMYFUNCTION("SPLIT(A88, "" |"")"),42501.0)</f>
        <v>42501</v>
      </c>
      <c r="H90" s="19">
        <f>IFERROR(__xludf.DUMMYFUNCTION("""COMPUTED_VALUE"""),0.00209)</f>
        <v>0.00209</v>
      </c>
      <c r="I90" s="19" t="str">
        <f>IFERROR(__xludf.DUMMYFUNCTION("""COMPUTED_VALUE"""),"-")</f>
        <v>-</v>
      </c>
      <c r="J90" s="19">
        <f>IFERROR(__xludf.DUMMYFUNCTION("""COMPUTED_VALUE"""),0.00189)</f>
        <v>0.00189</v>
      </c>
      <c r="K90" s="19">
        <f>IFERROR(__xludf.DUMMYFUNCTION("""COMPUTED_VALUE"""),0.0768)</f>
        <v>0.0768</v>
      </c>
      <c r="L90" s="19" t="str">
        <f>IFERROR(__xludf.DUMMYFUNCTION("""COMPUTED_VALUE"""),"-")</f>
        <v>-</v>
      </c>
      <c r="M90" s="19" t="str">
        <f>IFERROR(__xludf.DUMMYFUNCTION("""COMPUTED_VALUE"""),"-")</f>
        <v>-</v>
      </c>
    </row>
    <row r="91">
      <c r="A91" s="12" t="s">
        <v>8881</v>
      </c>
      <c r="G91" s="19">
        <f>IFERROR(__xludf.DUMMYFUNCTION("SPLIT(A89, "" |"")"),43001.0)</f>
        <v>43001</v>
      </c>
      <c r="H91" s="19">
        <f>IFERROR(__xludf.DUMMYFUNCTION("""COMPUTED_VALUE"""),0.00223)</f>
        <v>0.00223</v>
      </c>
      <c r="I91" s="19" t="str">
        <f>IFERROR(__xludf.DUMMYFUNCTION("""COMPUTED_VALUE"""),"-")</f>
        <v>-</v>
      </c>
      <c r="J91" s="19">
        <f>IFERROR(__xludf.DUMMYFUNCTION("""COMPUTED_VALUE"""),0.00189)</f>
        <v>0.00189</v>
      </c>
      <c r="K91" s="19">
        <f>IFERROR(__xludf.DUMMYFUNCTION("""COMPUTED_VALUE"""),0.07679)</f>
        <v>0.07679</v>
      </c>
      <c r="L91" s="19" t="str">
        <f>IFERROR(__xludf.DUMMYFUNCTION("""COMPUTED_VALUE"""),"-")</f>
        <v>-</v>
      </c>
      <c r="M91" s="19" t="str">
        <f>IFERROR(__xludf.DUMMYFUNCTION("""COMPUTED_VALUE"""),"-")</f>
        <v>-</v>
      </c>
    </row>
    <row r="92">
      <c r="A92" s="12" t="s">
        <v>8882</v>
      </c>
      <c r="G92" s="19">
        <f>IFERROR(__xludf.DUMMYFUNCTION("SPLIT(A90, "" |"")"),43501.0)</f>
        <v>43501</v>
      </c>
      <c r="H92" s="19">
        <f>IFERROR(__xludf.DUMMYFUNCTION("""COMPUTED_VALUE"""),0.00217)</f>
        <v>0.00217</v>
      </c>
      <c r="I92" s="19" t="str">
        <f>IFERROR(__xludf.DUMMYFUNCTION("""COMPUTED_VALUE"""),"-")</f>
        <v>-</v>
      </c>
      <c r="J92" s="19">
        <f>IFERROR(__xludf.DUMMYFUNCTION("""COMPUTED_VALUE"""),0.00202)</f>
        <v>0.00202</v>
      </c>
      <c r="K92" s="19">
        <f>IFERROR(__xludf.DUMMYFUNCTION("""COMPUTED_VALUE"""),0.07372)</f>
        <v>0.07372</v>
      </c>
      <c r="L92" s="19" t="str">
        <f>IFERROR(__xludf.DUMMYFUNCTION("""COMPUTED_VALUE"""),"-")</f>
        <v>-</v>
      </c>
      <c r="M92" s="19" t="str">
        <f>IFERROR(__xludf.DUMMYFUNCTION("""COMPUTED_VALUE"""),"-")</f>
        <v>-</v>
      </c>
    </row>
    <row r="93">
      <c r="A93" s="12" t="s">
        <v>8883</v>
      </c>
      <c r="G93" s="19">
        <f>IFERROR(__xludf.DUMMYFUNCTION("SPLIT(A91, "" |"")"),44001.0)</f>
        <v>44001</v>
      </c>
      <c r="H93" s="19">
        <f>IFERROR(__xludf.DUMMYFUNCTION("""COMPUTED_VALUE"""),0.00217)</f>
        <v>0.00217</v>
      </c>
      <c r="I93" s="19" t="str">
        <f>IFERROR(__xludf.DUMMYFUNCTION("""COMPUTED_VALUE"""),"-")</f>
        <v>-</v>
      </c>
      <c r="J93" s="19">
        <f>IFERROR(__xludf.DUMMYFUNCTION("""COMPUTED_VALUE"""),0.00203)</f>
        <v>0.00203</v>
      </c>
      <c r="K93" s="19">
        <f>IFERROR(__xludf.DUMMYFUNCTION("""COMPUTED_VALUE"""),0.07723)</f>
        <v>0.07723</v>
      </c>
      <c r="L93" s="19" t="str">
        <f>IFERROR(__xludf.DUMMYFUNCTION("""COMPUTED_VALUE"""),"-")</f>
        <v>-</v>
      </c>
      <c r="M93" s="19" t="str">
        <f>IFERROR(__xludf.DUMMYFUNCTION("""COMPUTED_VALUE"""),"-")</f>
        <v>-</v>
      </c>
    </row>
    <row r="94">
      <c r="A94" s="12" t="s">
        <v>8884</v>
      </c>
      <c r="G94" s="19">
        <f>IFERROR(__xludf.DUMMYFUNCTION("SPLIT(A92, "" |"")"),44501.0)</f>
        <v>44501</v>
      </c>
      <c r="H94" s="19">
        <f>IFERROR(__xludf.DUMMYFUNCTION("""COMPUTED_VALUE"""),0.00222)</f>
        <v>0.00222</v>
      </c>
      <c r="I94" s="19" t="str">
        <f>IFERROR(__xludf.DUMMYFUNCTION("""COMPUTED_VALUE"""),"-")</f>
        <v>-</v>
      </c>
      <c r="J94" s="19">
        <f>IFERROR(__xludf.DUMMYFUNCTION("""COMPUTED_VALUE"""),0.00189)</f>
        <v>0.00189</v>
      </c>
      <c r="K94" s="19">
        <f>IFERROR(__xludf.DUMMYFUNCTION("""COMPUTED_VALUE"""),0.07611)</f>
        <v>0.07611</v>
      </c>
      <c r="L94" s="19" t="str">
        <f>IFERROR(__xludf.DUMMYFUNCTION("""COMPUTED_VALUE"""),"-")</f>
        <v>-</v>
      </c>
      <c r="M94" s="19" t="str">
        <f>IFERROR(__xludf.DUMMYFUNCTION("""COMPUTED_VALUE"""),"-")</f>
        <v>-</v>
      </c>
    </row>
    <row r="95">
      <c r="A95" s="12" t="s">
        <v>8885</v>
      </c>
      <c r="G95" s="19">
        <f>IFERROR(__xludf.DUMMYFUNCTION("SPLIT(A93, "" |"")"),45001.0)</f>
        <v>45001</v>
      </c>
      <c r="H95" s="19">
        <f>IFERROR(__xludf.DUMMYFUNCTION("""COMPUTED_VALUE"""),0.00223)</f>
        <v>0.00223</v>
      </c>
      <c r="I95" s="19" t="str">
        <f>IFERROR(__xludf.DUMMYFUNCTION("""COMPUTED_VALUE"""),"-")</f>
        <v>-</v>
      </c>
      <c r="J95" s="19">
        <f>IFERROR(__xludf.DUMMYFUNCTION("""COMPUTED_VALUE"""),0.00206)</f>
        <v>0.00206</v>
      </c>
      <c r="K95" s="19">
        <f>IFERROR(__xludf.DUMMYFUNCTION("""COMPUTED_VALUE"""),0.07668)</f>
        <v>0.07668</v>
      </c>
      <c r="L95" s="19" t="str">
        <f>IFERROR(__xludf.DUMMYFUNCTION("""COMPUTED_VALUE"""),"-")</f>
        <v>-</v>
      </c>
      <c r="M95" s="19" t="str">
        <f>IFERROR(__xludf.DUMMYFUNCTION("""COMPUTED_VALUE"""),"-")</f>
        <v>-</v>
      </c>
    </row>
    <row r="96">
      <c r="A96" s="12" t="s">
        <v>8886</v>
      </c>
      <c r="G96" s="19">
        <f>IFERROR(__xludf.DUMMYFUNCTION("SPLIT(A94, "" |"")"),45501.0)</f>
        <v>45501</v>
      </c>
      <c r="H96" s="19">
        <f>IFERROR(__xludf.DUMMYFUNCTION("""COMPUTED_VALUE"""),0.00229)</f>
        <v>0.00229</v>
      </c>
      <c r="I96" s="19" t="str">
        <f>IFERROR(__xludf.DUMMYFUNCTION("""COMPUTED_VALUE"""),"-")</f>
        <v>-</v>
      </c>
      <c r="J96" s="19">
        <f>IFERROR(__xludf.DUMMYFUNCTION("""COMPUTED_VALUE"""),0.00206)</f>
        <v>0.00206</v>
      </c>
      <c r="K96" s="19">
        <f>IFERROR(__xludf.DUMMYFUNCTION("""COMPUTED_VALUE"""),0.07672)</f>
        <v>0.07672</v>
      </c>
      <c r="L96" s="19" t="str">
        <f>IFERROR(__xludf.DUMMYFUNCTION("""COMPUTED_VALUE"""),"-")</f>
        <v>-</v>
      </c>
      <c r="M96" s="19" t="str">
        <f>IFERROR(__xludf.DUMMYFUNCTION("""COMPUTED_VALUE"""),"-")</f>
        <v>-</v>
      </c>
    </row>
    <row r="97">
      <c r="A97" s="12" t="s">
        <v>8887</v>
      </c>
      <c r="G97" s="19">
        <f>IFERROR(__xludf.DUMMYFUNCTION("SPLIT(A95, "" |"")"),46001.0)</f>
        <v>46001</v>
      </c>
      <c r="H97" s="19">
        <f>IFERROR(__xludf.DUMMYFUNCTION("""COMPUTED_VALUE"""),0.00228)</f>
        <v>0.00228</v>
      </c>
      <c r="I97" s="19" t="str">
        <f>IFERROR(__xludf.DUMMYFUNCTION("""COMPUTED_VALUE"""),"-")</f>
        <v>-</v>
      </c>
      <c r="J97" s="19">
        <f>IFERROR(__xludf.DUMMYFUNCTION("""COMPUTED_VALUE"""),0.00203)</f>
        <v>0.00203</v>
      </c>
      <c r="K97" s="29">
        <f>IFERROR(__xludf.DUMMYFUNCTION("""COMPUTED_VALUE"""),0.12935)</f>
        <v>0.12935</v>
      </c>
      <c r="L97" s="19" t="str">
        <f>IFERROR(__xludf.DUMMYFUNCTION("""COMPUTED_VALUE"""),"-")</f>
        <v>-</v>
      </c>
      <c r="M97" s="19" t="str">
        <f>IFERROR(__xludf.DUMMYFUNCTION("""COMPUTED_VALUE"""),"-")</f>
        <v>-</v>
      </c>
    </row>
    <row r="98">
      <c r="A98" s="12" t="s">
        <v>8888</v>
      </c>
      <c r="G98" s="19">
        <f>IFERROR(__xludf.DUMMYFUNCTION("SPLIT(A96, "" |"")"),46501.0)</f>
        <v>46501</v>
      </c>
      <c r="H98" s="19">
        <f>IFERROR(__xludf.DUMMYFUNCTION("""COMPUTED_VALUE"""),0.00228)</f>
        <v>0.00228</v>
      </c>
      <c r="I98" s="19" t="str">
        <f>IFERROR(__xludf.DUMMYFUNCTION("""COMPUTED_VALUE"""),"-")</f>
        <v>-</v>
      </c>
      <c r="J98" s="19">
        <f>IFERROR(__xludf.DUMMYFUNCTION("""COMPUTED_VALUE"""),0.00201)</f>
        <v>0.00201</v>
      </c>
      <c r="K98" s="19">
        <f>IFERROR(__xludf.DUMMYFUNCTION("""COMPUTED_VALUE"""),0.12855)</f>
        <v>0.12855</v>
      </c>
      <c r="L98" s="19" t="str">
        <f>IFERROR(__xludf.DUMMYFUNCTION("""COMPUTED_VALUE"""),"-")</f>
        <v>-</v>
      </c>
      <c r="M98" s="19" t="str">
        <f>IFERROR(__xludf.DUMMYFUNCTION("""COMPUTED_VALUE"""),"-")</f>
        <v>-</v>
      </c>
    </row>
    <row r="99">
      <c r="A99" s="12" t="s">
        <v>8889</v>
      </c>
      <c r="G99" s="19">
        <f>IFERROR(__xludf.DUMMYFUNCTION("SPLIT(A97, "" |"")"),47001.0)</f>
        <v>47001</v>
      </c>
      <c r="H99" s="19">
        <f>IFERROR(__xludf.DUMMYFUNCTION("""COMPUTED_VALUE"""),0.00228)</f>
        <v>0.00228</v>
      </c>
      <c r="I99" s="19" t="str">
        <f>IFERROR(__xludf.DUMMYFUNCTION("""COMPUTED_VALUE"""),"-")</f>
        <v>-</v>
      </c>
      <c r="J99" s="19">
        <f>IFERROR(__xludf.DUMMYFUNCTION("""COMPUTED_VALUE"""),0.00201)</f>
        <v>0.00201</v>
      </c>
      <c r="K99" s="19">
        <f>IFERROR(__xludf.DUMMYFUNCTION("""COMPUTED_VALUE"""),0.12968)</f>
        <v>0.12968</v>
      </c>
      <c r="L99" s="19" t="str">
        <f>IFERROR(__xludf.DUMMYFUNCTION("""COMPUTED_VALUE"""),"-")</f>
        <v>-</v>
      </c>
      <c r="M99" s="19" t="str">
        <f>IFERROR(__xludf.DUMMYFUNCTION("""COMPUTED_VALUE"""),"-")</f>
        <v>-</v>
      </c>
    </row>
    <row r="100">
      <c r="A100" s="12" t="s">
        <v>8890</v>
      </c>
      <c r="G100" s="19">
        <f>IFERROR(__xludf.DUMMYFUNCTION("SPLIT(A98, "" |"")"),47501.0)</f>
        <v>47501</v>
      </c>
      <c r="H100" s="19">
        <f>IFERROR(__xludf.DUMMYFUNCTION("""COMPUTED_VALUE"""),0.00225)</f>
        <v>0.00225</v>
      </c>
      <c r="I100" s="19" t="str">
        <f>IFERROR(__xludf.DUMMYFUNCTION("""COMPUTED_VALUE"""),"-")</f>
        <v>-</v>
      </c>
      <c r="J100" s="19">
        <f>IFERROR(__xludf.DUMMYFUNCTION("""COMPUTED_VALUE"""),0.00203)</f>
        <v>0.00203</v>
      </c>
      <c r="K100" s="19">
        <f>IFERROR(__xludf.DUMMYFUNCTION("""COMPUTED_VALUE"""),0.12633)</f>
        <v>0.12633</v>
      </c>
      <c r="L100" s="19" t="str">
        <f>IFERROR(__xludf.DUMMYFUNCTION("""COMPUTED_VALUE"""),"-")</f>
        <v>-</v>
      </c>
      <c r="M100" s="19" t="str">
        <f>IFERROR(__xludf.DUMMYFUNCTION("""COMPUTED_VALUE"""),"-")</f>
        <v>-</v>
      </c>
    </row>
    <row r="101">
      <c r="A101" s="12" t="s">
        <v>8891</v>
      </c>
      <c r="G101" s="19">
        <f>IFERROR(__xludf.DUMMYFUNCTION("SPLIT(A99, "" |"")"),48001.0)</f>
        <v>48001</v>
      </c>
      <c r="H101" s="19">
        <f>IFERROR(__xludf.DUMMYFUNCTION("""COMPUTED_VALUE"""),0.00231)</f>
        <v>0.00231</v>
      </c>
      <c r="I101" s="19" t="str">
        <f>IFERROR(__xludf.DUMMYFUNCTION("""COMPUTED_VALUE"""),"-")</f>
        <v>-</v>
      </c>
      <c r="J101" s="19">
        <f>IFERROR(__xludf.DUMMYFUNCTION("""COMPUTED_VALUE"""),0.00196)</f>
        <v>0.00196</v>
      </c>
      <c r="K101" s="19">
        <f>IFERROR(__xludf.DUMMYFUNCTION("""COMPUTED_VALUE"""),0.13126)</f>
        <v>0.13126</v>
      </c>
      <c r="L101" s="19" t="str">
        <f>IFERROR(__xludf.DUMMYFUNCTION("""COMPUTED_VALUE"""),"-")</f>
        <v>-</v>
      </c>
      <c r="M101" s="19" t="str">
        <f>IFERROR(__xludf.DUMMYFUNCTION("""COMPUTED_VALUE"""),"-")</f>
        <v>-</v>
      </c>
    </row>
    <row r="102">
      <c r="A102" s="12" t="s">
        <v>8892</v>
      </c>
      <c r="G102" s="19">
        <f>IFERROR(__xludf.DUMMYFUNCTION("SPLIT(A100, "" |"")"),48501.0)</f>
        <v>48501</v>
      </c>
      <c r="H102" s="19">
        <f>IFERROR(__xludf.DUMMYFUNCTION("""COMPUTED_VALUE"""),0.00247)</f>
        <v>0.00247</v>
      </c>
      <c r="I102" s="19" t="str">
        <f>IFERROR(__xludf.DUMMYFUNCTION("""COMPUTED_VALUE"""),"-")</f>
        <v>-</v>
      </c>
      <c r="J102" s="19">
        <f>IFERROR(__xludf.DUMMYFUNCTION("""COMPUTED_VALUE"""),0.00224)</f>
        <v>0.00224</v>
      </c>
      <c r="K102" s="19">
        <f>IFERROR(__xludf.DUMMYFUNCTION("""COMPUTED_VALUE"""),0.13204)</f>
        <v>0.13204</v>
      </c>
      <c r="L102" s="19" t="str">
        <f>IFERROR(__xludf.DUMMYFUNCTION("""COMPUTED_VALUE"""),"-")</f>
        <v>-</v>
      </c>
      <c r="M102" s="19" t="str">
        <f>IFERROR(__xludf.DUMMYFUNCTION("""COMPUTED_VALUE"""),"-")</f>
        <v>-</v>
      </c>
    </row>
    <row r="103">
      <c r="A103" s="12" t="s">
        <v>8893</v>
      </c>
      <c r="G103" s="19">
        <f>IFERROR(__xludf.DUMMYFUNCTION("SPLIT(A101, "" |"")"),49001.0)</f>
        <v>49001</v>
      </c>
      <c r="H103" s="19">
        <f>IFERROR(__xludf.DUMMYFUNCTION("""COMPUTED_VALUE"""),0.00232)</f>
        <v>0.00232</v>
      </c>
      <c r="I103" s="19" t="str">
        <f>IFERROR(__xludf.DUMMYFUNCTION("""COMPUTED_VALUE"""),"-")</f>
        <v>-</v>
      </c>
      <c r="J103" s="19">
        <f>IFERROR(__xludf.DUMMYFUNCTION("""COMPUTED_VALUE"""),0.0021)</f>
        <v>0.0021</v>
      </c>
      <c r="K103" s="19">
        <f>IFERROR(__xludf.DUMMYFUNCTION("""COMPUTED_VALUE"""),0.12511)</f>
        <v>0.12511</v>
      </c>
      <c r="L103" s="19" t="str">
        <f>IFERROR(__xludf.DUMMYFUNCTION("""COMPUTED_VALUE"""),"-")</f>
        <v>-</v>
      </c>
      <c r="M103" s="19" t="str">
        <f>IFERROR(__xludf.DUMMYFUNCTION("""COMPUTED_VALUE"""),"-")</f>
        <v>-</v>
      </c>
    </row>
    <row r="104">
      <c r="A104" s="12" t="s">
        <v>8894</v>
      </c>
      <c r="G104" s="19">
        <f>IFERROR(__xludf.DUMMYFUNCTION("SPLIT(A102, "" |"")"),49501.0)</f>
        <v>49501</v>
      </c>
      <c r="H104" s="19">
        <f>IFERROR(__xludf.DUMMYFUNCTION("""COMPUTED_VALUE"""),0.00246)</f>
        <v>0.00246</v>
      </c>
      <c r="I104" s="19" t="str">
        <f>IFERROR(__xludf.DUMMYFUNCTION("""COMPUTED_VALUE"""),"-")</f>
        <v>-</v>
      </c>
      <c r="J104" s="19">
        <f>IFERROR(__xludf.DUMMYFUNCTION("""COMPUTED_VALUE"""),0.00215)</f>
        <v>0.00215</v>
      </c>
      <c r="K104" s="19">
        <f>IFERROR(__xludf.DUMMYFUNCTION("""COMPUTED_VALUE"""),0.1237)</f>
        <v>0.1237</v>
      </c>
      <c r="L104" s="19" t="str">
        <f>IFERROR(__xludf.DUMMYFUNCTION("""COMPUTED_VALUE"""),"-")</f>
        <v>-</v>
      </c>
      <c r="M104" s="19" t="str">
        <f>IFERROR(__xludf.DUMMYFUNCTION("""COMPUTED_VALUE"""),"-")</f>
        <v>-</v>
      </c>
    </row>
    <row r="105">
      <c r="A105" s="12" t="s">
        <v>8895</v>
      </c>
      <c r="G105" s="19">
        <f>IFERROR(__xludf.DUMMYFUNCTION("SPLIT(A103, "" |"")"),50001.0)</f>
        <v>50001</v>
      </c>
      <c r="H105" s="19">
        <f>IFERROR(__xludf.DUMMYFUNCTION("""COMPUTED_VALUE"""),0.0023)</f>
        <v>0.0023</v>
      </c>
      <c r="I105" s="19" t="str">
        <f>IFERROR(__xludf.DUMMYFUNCTION("""COMPUTED_VALUE"""),"-")</f>
        <v>-</v>
      </c>
      <c r="J105" s="19">
        <f>IFERROR(__xludf.DUMMYFUNCTION("""COMPUTED_VALUE"""),0.00198)</f>
        <v>0.00198</v>
      </c>
      <c r="K105" s="19">
        <f>IFERROR(__xludf.DUMMYFUNCTION("""COMPUTED_VALUE"""),0.12892)</f>
        <v>0.12892</v>
      </c>
      <c r="L105" s="19" t="str">
        <f>IFERROR(__xludf.DUMMYFUNCTION("""COMPUTED_VALUE"""),"-")</f>
        <v>-</v>
      </c>
      <c r="M105" s="19" t="str">
        <f>IFERROR(__xludf.DUMMYFUNCTION("""COMPUTED_VALUE"""),"-")</f>
        <v>-</v>
      </c>
    </row>
    <row r="106">
      <c r="A106" s="12" t="s">
        <v>8896</v>
      </c>
      <c r="G106" s="19">
        <f>IFERROR(__xludf.DUMMYFUNCTION("SPLIT(A104, "" |"")"),50501.0)</f>
        <v>50501</v>
      </c>
      <c r="H106" s="19">
        <f>IFERROR(__xludf.DUMMYFUNCTION("""COMPUTED_VALUE"""),0.00215)</f>
        <v>0.00215</v>
      </c>
      <c r="I106" s="19" t="str">
        <f>IFERROR(__xludf.DUMMYFUNCTION("""COMPUTED_VALUE"""),"-")</f>
        <v>-</v>
      </c>
      <c r="J106" s="19">
        <f>IFERROR(__xludf.DUMMYFUNCTION("""COMPUTED_VALUE"""),0.00186)</f>
        <v>0.00186</v>
      </c>
      <c r="K106" s="19">
        <f>IFERROR(__xludf.DUMMYFUNCTION("""COMPUTED_VALUE"""),0.12965)</f>
        <v>0.12965</v>
      </c>
      <c r="L106" s="19" t="str">
        <f>IFERROR(__xludf.DUMMYFUNCTION("""COMPUTED_VALUE"""),"-")</f>
        <v>-</v>
      </c>
      <c r="M106" s="19" t="str">
        <f>IFERROR(__xludf.DUMMYFUNCTION("""COMPUTED_VALUE"""),"-")</f>
        <v>-</v>
      </c>
    </row>
    <row r="107">
      <c r="A107" s="12" t="s">
        <v>8897</v>
      </c>
      <c r="G107" s="19">
        <f>IFERROR(__xludf.DUMMYFUNCTION("SPLIT(A105, "" |"")"),51001.0)</f>
        <v>51001</v>
      </c>
      <c r="H107" s="19">
        <f>IFERROR(__xludf.DUMMYFUNCTION("""COMPUTED_VALUE"""),0.0024)</f>
        <v>0.0024</v>
      </c>
      <c r="I107" s="19" t="str">
        <f>IFERROR(__xludf.DUMMYFUNCTION("""COMPUTED_VALUE"""),"-")</f>
        <v>-</v>
      </c>
      <c r="J107" s="19">
        <f>IFERROR(__xludf.DUMMYFUNCTION("""COMPUTED_VALUE"""),0.00215)</f>
        <v>0.00215</v>
      </c>
      <c r="K107" s="19">
        <f>IFERROR(__xludf.DUMMYFUNCTION("""COMPUTED_VALUE"""),0.13082)</f>
        <v>0.13082</v>
      </c>
      <c r="L107" s="19" t="str">
        <f>IFERROR(__xludf.DUMMYFUNCTION("""COMPUTED_VALUE"""),"-")</f>
        <v>-</v>
      </c>
      <c r="M107" s="19" t="str">
        <f>IFERROR(__xludf.DUMMYFUNCTION("""COMPUTED_VALUE"""),"-")</f>
        <v>-</v>
      </c>
    </row>
    <row r="108">
      <c r="A108" s="12" t="s">
        <v>8898</v>
      </c>
      <c r="G108" s="19">
        <f>IFERROR(__xludf.DUMMYFUNCTION("SPLIT(A106, "" |"")"),51501.0)</f>
        <v>51501</v>
      </c>
      <c r="H108" s="19">
        <f>IFERROR(__xludf.DUMMYFUNCTION("""COMPUTED_VALUE"""),0.00228)</f>
        <v>0.00228</v>
      </c>
      <c r="I108" s="19" t="str">
        <f>IFERROR(__xludf.DUMMYFUNCTION("""COMPUTED_VALUE"""),"-")</f>
        <v>-</v>
      </c>
      <c r="J108" s="29">
        <f>IFERROR(__xludf.DUMMYFUNCTION("""COMPUTED_VALUE"""),0.07577)</f>
        <v>0.07577</v>
      </c>
      <c r="K108" s="19">
        <f>IFERROR(__xludf.DUMMYFUNCTION("""COMPUTED_VALUE"""),0.13146)</f>
        <v>0.13146</v>
      </c>
      <c r="L108" s="19" t="str">
        <f>IFERROR(__xludf.DUMMYFUNCTION("""COMPUTED_VALUE"""),"-")</f>
        <v>-</v>
      </c>
      <c r="M108" s="19" t="str">
        <f>IFERROR(__xludf.DUMMYFUNCTION("""COMPUTED_VALUE"""),"-")</f>
        <v>-</v>
      </c>
    </row>
    <row r="109">
      <c r="A109" s="12" t="s">
        <v>8899</v>
      </c>
      <c r="G109" s="19">
        <f>IFERROR(__xludf.DUMMYFUNCTION("SPLIT(A107, "" |"")"),52001.0)</f>
        <v>52001</v>
      </c>
      <c r="H109" s="19">
        <f>IFERROR(__xludf.DUMMYFUNCTION("""COMPUTED_VALUE"""),0.00217)</f>
        <v>0.00217</v>
      </c>
      <c r="I109" s="19" t="str">
        <f>IFERROR(__xludf.DUMMYFUNCTION("""COMPUTED_VALUE"""),"-")</f>
        <v>-</v>
      </c>
      <c r="J109" s="19">
        <f>IFERROR(__xludf.DUMMYFUNCTION("""COMPUTED_VALUE"""),0.01955)</f>
        <v>0.01955</v>
      </c>
      <c r="K109" s="19">
        <f>IFERROR(__xludf.DUMMYFUNCTION("""COMPUTED_VALUE"""),0.12402)</f>
        <v>0.12402</v>
      </c>
      <c r="L109" s="19" t="str">
        <f>IFERROR(__xludf.DUMMYFUNCTION("""COMPUTED_VALUE"""),"-")</f>
        <v>-</v>
      </c>
      <c r="M109" s="19" t="str">
        <f>IFERROR(__xludf.DUMMYFUNCTION("""COMPUTED_VALUE"""),"-")</f>
        <v>-</v>
      </c>
    </row>
    <row r="110">
      <c r="A110" s="12" t="s">
        <v>8900</v>
      </c>
      <c r="G110" s="19">
        <f>IFERROR(__xludf.DUMMYFUNCTION("SPLIT(A108, "" |"")"),52501.0)</f>
        <v>52501</v>
      </c>
      <c r="H110" s="19">
        <f>IFERROR(__xludf.DUMMYFUNCTION("""COMPUTED_VALUE"""),0.00233)</f>
        <v>0.00233</v>
      </c>
      <c r="I110" s="19" t="str">
        <f>IFERROR(__xludf.DUMMYFUNCTION("""COMPUTED_VALUE"""),"-")</f>
        <v>-</v>
      </c>
      <c r="J110" s="19">
        <f>IFERROR(__xludf.DUMMYFUNCTION("""COMPUTED_VALUE"""),0.01967)</f>
        <v>0.01967</v>
      </c>
      <c r="K110" s="19">
        <f>IFERROR(__xludf.DUMMYFUNCTION("""COMPUTED_VALUE"""),0.1273)</f>
        <v>0.1273</v>
      </c>
      <c r="L110" s="19" t="str">
        <f>IFERROR(__xludf.DUMMYFUNCTION("""COMPUTED_VALUE"""),"-")</f>
        <v>-</v>
      </c>
      <c r="M110" s="19" t="str">
        <f>IFERROR(__xludf.DUMMYFUNCTION("""COMPUTED_VALUE"""),"-")</f>
        <v>-</v>
      </c>
    </row>
    <row r="111">
      <c r="A111" s="12" t="s">
        <v>8901</v>
      </c>
      <c r="G111" s="19">
        <f>IFERROR(__xludf.DUMMYFUNCTION("SPLIT(A109, "" |"")"),53001.0)</f>
        <v>53001</v>
      </c>
      <c r="H111" s="19">
        <f>IFERROR(__xludf.DUMMYFUNCTION("""COMPUTED_VALUE"""),0.00226)</f>
        <v>0.00226</v>
      </c>
      <c r="I111" s="19" t="str">
        <f>IFERROR(__xludf.DUMMYFUNCTION("""COMPUTED_VALUE"""),"-")</f>
        <v>-</v>
      </c>
      <c r="J111" s="19">
        <f>IFERROR(__xludf.DUMMYFUNCTION("""COMPUTED_VALUE"""),0.01908)</f>
        <v>0.01908</v>
      </c>
      <c r="K111" s="19">
        <f>IFERROR(__xludf.DUMMYFUNCTION("""COMPUTED_VALUE"""),0.12583)</f>
        <v>0.12583</v>
      </c>
      <c r="L111" s="19" t="str">
        <f>IFERROR(__xludf.DUMMYFUNCTION("""COMPUTED_VALUE"""),"-")</f>
        <v>-</v>
      </c>
      <c r="M111" s="19" t="str">
        <f>IFERROR(__xludf.DUMMYFUNCTION("""COMPUTED_VALUE"""),"-")</f>
        <v>-</v>
      </c>
    </row>
    <row r="112">
      <c r="A112" s="12" t="s">
        <v>8902</v>
      </c>
      <c r="G112" s="19">
        <f>IFERROR(__xludf.DUMMYFUNCTION("SPLIT(A110, "" |"")"),53501.0)</f>
        <v>53501</v>
      </c>
      <c r="H112" s="19">
        <f>IFERROR(__xludf.DUMMYFUNCTION("""COMPUTED_VALUE"""),0.00246)</f>
        <v>0.00246</v>
      </c>
      <c r="I112" s="19" t="str">
        <f>IFERROR(__xludf.DUMMYFUNCTION("""COMPUTED_VALUE"""),"-")</f>
        <v>-</v>
      </c>
      <c r="J112" s="19">
        <f>IFERROR(__xludf.DUMMYFUNCTION("""COMPUTED_VALUE"""),0.01964)</f>
        <v>0.01964</v>
      </c>
      <c r="K112" s="19">
        <f>IFERROR(__xludf.DUMMYFUNCTION("""COMPUTED_VALUE"""),0.12342)</f>
        <v>0.12342</v>
      </c>
      <c r="L112" s="19" t="str">
        <f>IFERROR(__xludf.DUMMYFUNCTION("""COMPUTED_VALUE"""),"-")</f>
        <v>-</v>
      </c>
      <c r="M112" s="19" t="str">
        <f>IFERROR(__xludf.DUMMYFUNCTION("""COMPUTED_VALUE"""),"-")</f>
        <v>-</v>
      </c>
    </row>
    <row r="113">
      <c r="A113" s="12" t="s">
        <v>8903</v>
      </c>
      <c r="G113" s="19">
        <f>IFERROR(__xludf.DUMMYFUNCTION("SPLIT(A111, "" |"")"),54001.0)</f>
        <v>54001</v>
      </c>
      <c r="H113" s="19">
        <f>IFERROR(__xludf.DUMMYFUNCTION("""COMPUTED_VALUE"""),0.00221)</f>
        <v>0.00221</v>
      </c>
      <c r="I113" s="19" t="str">
        <f>IFERROR(__xludf.DUMMYFUNCTION("""COMPUTED_VALUE"""),"-")</f>
        <v>-</v>
      </c>
      <c r="J113" s="19">
        <f>IFERROR(__xludf.DUMMYFUNCTION("""COMPUTED_VALUE"""),0.01756)</f>
        <v>0.01756</v>
      </c>
      <c r="K113" s="19">
        <f>IFERROR(__xludf.DUMMYFUNCTION("""COMPUTED_VALUE"""),0.12974)</f>
        <v>0.12974</v>
      </c>
      <c r="L113" s="19" t="str">
        <f>IFERROR(__xludf.DUMMYFUNCTION("""COMPUTED_VALUE"""),"-")</f>
        <v>-</v>
      </c>
      <c r="M113" s="19" t="str">
        <f>IFERROR(__xludf.DUMMYFUNCTION("""COMPUTED_VALUE"""),"-")</f>
        <v>-</v>
      </c>
    </row>
    <row r="114">
      <c r="A114" s="12" t="s">
        <v>8904</v>
      </c>
      <c r="G114" s="19">
        <f>IFERROR(__xludf.DUMMYFUNCTION("SPLIT(A112, "" |"")"),54501.0)</f>
        <v>54501</v>
      </c>
      <c r="H114" s="19">
        <f>IFERROR(__xludf.DUMMYFUNCTION("""COMPUTED_VALUE"""),0.00239)</f>
        <v>0.00239</v>
      </c>
      <c r="I114" s="19" t="str">
        <f>IFERROR(__xludf.DUMMYFUNCTION("""COMPUTED_VALUE"""),"-")</f>
        <v>-</v>
      </c>
      <c r="J114" s="19">
        <f>IFERROR(__xludf.DUMMYFUNCTION("""COMPUTED_VALUE"""),0.01966)</f>
        <v>0.01966</v>
      </c>
      <c r="K114" s="19">
        <f>IFERROR(__xludf.DUMMYFUNCTION("""COMPUTED_VALUE"""),0.12648)</f>
        <v>0.12648</v>
      </c>
      <c r="L114" s="19" t="str">
        <f>IFERROR(__xludf.DUMMYFUNCTION("""COMPUTED_VALUE"""),"-")</f>
        <v>-</v>
      </c>
      <c r="M114" s="19" t="str">
        <f>IFERROR(__xludf.DUMMYFUNCTION("""COMPUTED_VALUE"""),"-")</f>
        <v>-</v>
      </c>
    </row>
    <row r="115">
      <c r="A115" s="12" t="s">
        <v>8905</v>
      </c>
      <c r="G115" s="19">
        <f>IFERROR(__xludf.DUMMYFUNCTION("SPLIT(A113, "" |"")"),55001.0)</f>
        <v>55001</v>
      </c>
      <c r="H115" s="19">
        <f>IFERROR(__xludf.DUMMYFUNCTION("""COMPUTED_VALUE"""),0.00232)</f>
        <v>0.00232</v>
      </c>
      <c r="I115" s="19" t="str">
        <f>IFERROR(__xludf.DUMMYFUNCTION("""COMPUTED_VALUE"""),"-")</f>
        <v>-</v>
      </c>
      <c r="J115" s="19">
        <f>IFERROR(__xludf.DUMMYFUNCTION("""COMPUTED_VALUE"""),0.01966)</f>
        <v>0.01966</v>
      </c>
      <c r="K115" s="19">
        <f>IFERROR(__xludf.DUMMYFUNCTION("""COMPUTED_VALUE"""),0.12767)</f>
        <v>0.12767</v>
      </c>
      <c r="L115" s="19" t="str">
        <f>IFERROR(__xludf.DUMMYFUNCTION("""COMPUTED_VALUE"""),"-")</f>
        <v>-</v>
      </c>
      <c r="M115" s="19" t="str">
        <f>IFERROR(__xludf.DUMMYFUNCTION("""COMPUTED_VALUE"""),"-")</f>
        <v>-</v>
      </c>
    </row>
    <row r="116">
      <c r="A116" s="12" t="s">
        <v>8906</v>
      </c>
      <c r="G116" s="19">
        <f>IFERROR(__xludf.DUMMYFUNCTION("SPLIT(A114, "" |"")"),55501.0)</f>
        <v>55501</v>
      </c>
      <c r="H116" s="19">
        <f>IFERROR(__xludf.DUMMYFUNCTION("""COMPUTED_VALUE"""),0.00229)</f>
        <v>0.00229</v>
      </c>
      <c r="I116" s="19" t="str">
        <f>IFERROR(__xludf.DUMMYFUNCTION("""COMPUTED_VALUE"""),"-")</f>
        <v>-</v>
      </c>
      <c r="J116" s="19">
        <f>IFERROR(__xludf.DUMMYFUNCTION("""COMPUTED_VALUE"""),0.01963)</f>
        <v>0.01963</v>
      </c>
      <c r="K116" s="19">
        <f>IFERROR(__xludf.DUMMYFUNCTION("""COMPUTED_VALUE"""),0.1254)</f>
        <v>0.1254</v>
      </c>
      <c r="L116" s="19" t="str">
        <f>IFERROR(__xludf.DUMMYFUNCTION("""COMPUTED_VALUE"""),"-")</f>
        <v>-</v>
      </c>
      <c r="M116" s="19" t="str">
        <f>IFERROR(__xludf.DUMMYFUNCTION("""COMPUTED_VALUE"""),"-")</f>
        <v>-</v>
      </c>
    </row>
    <row r="117">
      <c r="A117" s="12" t="s">
        <v>8907</v>
      </c>
      <c r="G117" s="19">
        <f>IFERROR(__xludf.DUMMYFUNCTION("SPLIT(A115, "" |"")"),56001.0)</f>
        <v>56001</v>
      </c>
      <c r="H117" s="19">
        <f>IFERROR(__xludf.DUMMYFUNCTION("""COMPUTED_VALUE"""),0.00219)</f>
        <v>0.00219</v>
      </c>
      <c r="I117" s="19" t="str">
        <f>IFERROR(__xludf.DUMMYFUNCTION("""COMPUTED_VALUE"""),"-")</f>
        <v>-</v>
      </c>
      <c r="J117" s="19">
        <f>IFERROR(__xludf.DUMMYFUNCTION("""COMPUTED_VALUE"""),0.01956)</f>
        <v>0.01956</v>
      </c>
      <c r="K117" s="19">
        <f>IFERROR(__xludf.DUMMYFUNCTION("""COMPUTED_VALUE"""),0.11994)</f>
        <v>0.11994</v>
      </c>
      <c r="L117" s="19" t="str">
        <f>IFERROR(__xludf.DUMMYFUNCTION("""COMPUTED_VALUE"""),"-")</f>
        <v>-</v>
      </c>
      <c r="M117" s="19" t="str">
        <f>IFERROR(__xludf.DUMMYFUNCTION("""COMPUTED_VALUE"""),"-")</f>
        <v>-</v>
      </c>
    </row>
    <row r="118">
      <c r="A118" s="12" t="s">
        <v>8908</v>
      </c>
      <c r="G118" s="19">
        <f>IFERROR(__xludf.DUMMYFUNCTION("SPLIT(A116, "" |"")"),56501.0)</f>
        <v>56501</v>
      </c>
      <c r="H118" s="19">
        <f>IFERROR(__xludf.DUMMYFUNCTION("""COMPUTED_VALUE"""),0.00224)</f>
        <v>0.00224</v>
      </c>
      <c r="I118" s="19" t="str">
        <f>IFERROR(__xludf.DUMMYFUNCTION("""COMPUTED_VALUE"""),"-")</f>
        <v>-</v>
      </c>
      <c r="J118" s="19">
        <f>IFERROR(__xludf.DUMMYFUNCTION("""COMPUTED_VALUE"""),0.01955)</f>
        <v>0.01955</v>
      </c>
      <c r="K118" s="19">
        <f>IFERROR(__xludf.DUMMYFUNCTION("""COMPUTED_VALUE"""),0.12823)</f>
        <v>0.12823</v>
      </c>
      <c r="L118" s="19" t="str">
        <f>IFERROR(__xludf.DUMMYFUNCTION("""COMPUTED_VALUE"""),"-")</f>
        <v>-</v>
      </c>
      <c r="M118" s="19" t="str">
        <f>IFERROR(__xludf.DUMMYFUNCTION("""COMPUTED_VALUE"""),"-")</f>
        <v>-</v>
      </c>
    </row>
    <row r="119">
      <c r="A119" s="12" t="s">
        <v>8909</v>
      </c>
      <c r="G119" s="19">
        <f>IFERROR(__xludf.DUMMYFUNCTION("SPLIT(A117, "" |"")"),57001.0)</f>
        <v>57001</v>
      </c>
      <c r="H119" s="19">
        <f>IFERROR(__xludf.DUMMYFUNCTION("""COMPUTED_VALUE"""),0.00221)</f>
        <v>0.00221</v>
      </c>
      <c r="I119" s="19" t="str">
        <f>IFERROR(__xludf.DUMMYFUNCTION("""COMPUTED_VALUE"""),"-")</f>
        <v>-</v>
      </c>
      <c r="J119" s="19">
        <f>IFERROR(__xludf.DUMMYFUNCTION("""COMPUTED_VALUE"""),0.01961)</f>
        <v>0.01961</v>
      </c>
      <c r="K119" s="19">
        <f>IFERROR(__xludf.DUMMYFUNCTION("""COMPUTED_VALUE"""),0.12462)</f>
        <v>0.12462</v>
      </c>
      <c r="L119" s="19" t="str">
        <f>IFERROR(__xludf.DUMMYFUNCTION("""COMPUTED_VALUE"""),"-")</f>
        <v>-</v>
      </c>
      <c r="M119" s="19" t="str">
        <f>IFERROR(__xludf.DUMMYFUNCTION("""COMPUTED_VALUE"""),"-")</f>
        <v>-</v>
      </c>
    </row>
    <row r="120">
      <c r="A120" s="12" t="s">
        <v>8910</v>
      </c>
      <c r="G120" s="19">
        <f>IFERROR(__xludf.DUMMYFUNCTION("SPLIT(A118, "" |"")"),57501.0)</f>
        <v>57501</v>
      </c>
      <c r="H120" s="19">
        <f>IFERROR(__xludf.DUMMYFUNCTION("""COMPUTED_VALUE"""),0.0022)</f>
        <v>0.0022</v>
      </c>
      <c r="I120" s="19" t="str">
        <f>IFERROR(__xludf.DUMMYFUNCTION("""COMPUTED_VALUE"""),"-")</f>
        <v>-</v>
      </c>
      <c r="J120" s="19">
        <f>IFERROR(__xludf.DUMMYFUNCTION("""COMPUTED_VALUE"""),0.01756)</f>
        <v>0.01756</v>
      </c>
      <c r="K120" s="19">
        <f>IFERROR(__xludf.DUMMYFUNCTION("""COMPUTED_VALUE"""),0.13133)</f>
        <v>0.13133</v>
      </c>
      <c r="L120" s="19" t="str">
        <f>IFERROR(__xludf.DUMMYFUNCTION("""COMPUTED_VALUE"""),"-")</f>
        <v>-</v>
      </c>
      <c r="M120" s="19" t="str">
        <f>IFERROR(__xludf.DUMMYFUNCTION("""COMPUTED_VALUE"""),"-")</f>
        <v>-</v>
      </c>
    </row>
    <row r="121">
      <c r="A121" s="12" t="s">
        <v>8911</v>
      </c>
      <c r="G121" s="19">
        <f>IFERROR(__xludf.DUMMYFUNCTION("SPLIT(A119, "" |"")"),58001.0)</f>
        <v>58001</v>
      </c>
      <c r="H121" s="19">
        <f>IFERROR(__xludf.DUMMYFUNCTION("""COMPUTED_VALUE"""),0.00235)</f>
        <v>0.00235</v>
      </c>
      <c r="I121" s="19" t="str">
        <f>IFERROR(__xludf.DUMMYFUNCTION("""COMPUTED_VALUE"""),"-")</f>
        <v>-</v>
      </c>
      <c r="J121" s="19">
        <f>IFERROR(__xludf.DUMMYFUNCTION("""COMPUTED_VALUE"""),0.01962)</f>
        <v>0.01962</v>
      </c>
      <c r="K121" s="19">
        <f>IFERROR(__xludf.DUMMYFUNCTION("""COMPUTED_VALUE"""),0.12897)</f>
        <v>0.12897</v>
      </c>
      <c r="L121" s="19" t="str">
        <f>IFERROR(__xludf.DUMMYFUNCTION("""COMPUTED_VALUE"""),"-")</f>
        <v>-</v>
      </c>
      <c r="M121" s="19" t="str">
        <f>IFERROR(__xludf.DUMMYFUNCTION("""COMPUTED_VALUE"""),"-")</f>
        <v>-</v>
      </c>
    </row>
    <row r="122">
      <c r="A122" s="12" t="s">
        <v>8912</v>
      </c>
      <c r="G122" s="19">
        <f>IFERROR(__xludf.DUMMYFUNCTION("SPLIT(A120, "" |"")"),58501.0)</f>
        <v>58501</v>
      </c>
      <c r="H122" s="19">
        <f>IFERROR(__xludf.DUMMYFUNCTION("""COMPUTED_VALUE"""),0.00222)</f>
        <v>0.00222</v>
      </c>
      <c r="I122" s="19" t="str">
        <f>IFERROR(__xludf.DUMMYFUNCTION("""COMPUTED_VALUE"""),"-")</f>
        <v>-</v>
      </c>
      <c r="J122" s="19">
        <f>IFERROR(__xludf.DUMMYFUNCTION("""COMPUTED_VALUE"""),0.01983)</f>
        <v>0.01983</v>
      </c>
      <c r="K122" s="19">
        <f>IFERROR(__xludf.DUMMYFUNCTION("""COMPUTED_VALUE"""),0.12896)</f>
        <v>0.12896</v>
      </c>
      <c r="L122" s="19" t="str">
        <f>IFERROR(__xludf.DUMMYFUNCTION("""COMPUTED_VALUE"""),"-")</f>
        <v>-</v>
      </c>
      <c r="M122" s="19" t="str">
        <f>IFERROR(__xludf.DUMMYFUNCTION("""COMPUTED_VALUE"""),"-")</f>
        <v>-</v>
      </c>
    </row>
    <row r="123">
      <c r="A123" s="12" t="s">
        <v>8913</v>
      </c>
      <c r="G123" s="19">
        <f>IFERROR(__xludf.DUMMYFUNCTION("SPLIT(A121, "" |"")"),59001.0)</f>
        <v>59001</v>
      </c>
      <c r="H123" s="19">
        <f>IFERROR(__xludf.DUMMYFUNCTION("""COMPUTED_VALUE"""),0.00222)</f>
        <v>0.00222</v>
      </c>
      <c r="I123" s="19" t="str">
        <f>IFERROR(__xludf.DUMMYFUNCTION("""COMPUTED_VALUE"""),"-")</f>
        <v>-</v>
      </c>
      <c r="J123" s="19">
        <f>IFERROR(__xludf.DUMMYFUNCTION("""COMPUTED_VALUE"""),0.0195)</f>
        <v>0.0195</v>
      </c>
      <c r="K123" s="19">
        <f>IFERROR(__xludf.DUMMYFUNCTION("""COMPUTED_VALUE"""),0.1313)</f>
        <v>0.1313</v>
      </c>
      <c r="L123" s="19" t="str">
        <f>IFERROR(__xludf.DUMMYFUNCTION("""COMPUTED_VALUE"""),"-")</f>
        <v>-</v>
      </c>
      <c r="M123" s="19" t="str">
        <f>IFERROR(__xludf.DUMMYFUNCTION("""COMPUTED_VALUE"""),"-")</f>
        <v>-</v>
      </c>
    </row>
    <row r="124">
      <c r="A124" s="12" t="s">
        <v>8914</v>
      </c>
      <c r="G124" s="19">
        <f>IFERROR(__xludf.DUMMYFUNCTION("SPLIT(A122, "" |"")"),59501.0)</f>
        <v>59501</v>
      </c>
      <c r="H124" s="19">
        <f>IFERROR(__xludf.DUMMYFUNCTION("""COMPUTED_VALUE"""),0.0022)</f>
        <v>0.0022</v>
      </c>
      <c r="I124" s="19" t="str">
        <f>IFERROR(__xludf.DUMMYFUNCTION("""COMPUTED_VALUE"""),"-")</f>
        <v>-</v>
      </c>
      <c r="J124" s="19">
        <f>IFERROR(__xludf.DUMMYFUNCTION("""COMPUTED_VALUE"""),0.01946)</f>
        <v>0.01946</v>
      </c>
      <c r="K124" s="19">
        <f>IFERROR(__xludf.DUMMYFUNCTION("""COMPUTED_VALUE"""),0.13066)</f>
        <v>0.13066</v>
      </c>
      <c r="L124" s="19" t="str">
        <f>IFERROR(__xludf.DUMMYFUNCTION("""COMPUTED_VALUE"""),"-")</f>
        <v>-</v>
      </c>
      <c r="M124" s="19" t="str">
        <f>IFERROR(__xludf.DUMMYFUNCTION("""COMPUTED_VALUE"""),"-")</f>
        <v>-</v>
      </c>
    </row>
    <row r="125">
      <c r="A125" s="12" t="s">
        <v>8915</v>
      </c>
      <c r="G125" s="19">
        <f>IFERROR(__xludf.DUMMYFUNCTION("SPLIT(A123, "" |"")"),60001.0)</f>
        <v>60001</v>
      </c>
      <c r="H125" s="19">
        <f>IFERROR(__xludf.DUMMYFUNCTION("""COMPUTED_VALUE"""),0.00227)</f>
        <v>0.00227</v>
      </c>
      <c r="I125" s="19" t="str">
        <f>IFERROR(__xludf.DUMMYFUNCTION("""COMPUTED_VALUE"""),"-")</f>
        <v>-</v>
      </c>
      <c r="J125" s="19">
        <f>IFERROR(__xludf.DUMMYFUNCTION("""COMPUTED_VALUE"""),0.01951)</f>
        <v>0.01951</v>
      </c>
      <c r="K125" s="19">
        <f>IFERROR(__xludf.DUMMYFUNCTION("""COMPUTED_VALUE"""),0.13026)</f>
        <v>0.13026</v>
      </c>
      <c r="L125" s="19" t="str">
        <f>IFERROR(__xludf.DUMMYFUNCTION("""COMPUTED_VALUE"""),"-")</f>
        <v>-</v>
      </c>
      <c r="M125" s="19" t="str">
        <f>IFERROR(__xludf.DUMMYFUNCTION("""COMPUTED_VALUE"""),"-")</f>
        <v>-</v>
      </c>
    </row>
    <row r="126">
      <c r="A126" s="12" t="s">
        <v>8916</v>
      </c>
      <c r="G126" s="19">
        <f>IFERROR(__xludf.DUMMYFUNCTION("SPLIT(A124, "" |"")"),60501.0)</f>
        <v>60501</v>
      </c>
      <c r="H126" s="19">
        <f>IFERROR(__xludf.DUMMYFUNCTION("""COMPUTED_VALUE"""),0.00225)</f>
        <v>0.00225</v>
      </c>
      <c r="I126" s="19" t="str">
        <f>IFERROR(__xludf.DUMMYFUNCTION("""COMPUTED_VALUE"""),"-")</f>
        <v>-</v>
      </c>
      <c r="J126" s="19">
        <f>IFERROR(__xludf.DUMMYFUNCTION("""COMPUTED_VALUE"""),0.01778)</f>
        <v>0.01778</v>
      </c>
      <c r="K126" s="19">
        <f>IFERROR(__xludf.DUMMYFUNCTION("""COMPUTED_VALUE"""),0.12226)</f>
        <v>0.12226</v>
      </c>
      <c r="L126" s="19" t="str">
        <f>IFERROR(__xludf.DUMMYFUNCTION("""COMPUTED_VALUE"""),"-")</f>
        <v>-</v>
      </c>
      <c r="M126" s="19" t="str">
        <f>IFERROR(__xludf.DUMMYFUNCTION("""COMPUTED_VALUE"""),"-")</f>
        <v>-</v>
      </c>
    </row>
    <row r="127">
      <c r="A127" s="12" t="s">
        <v>8917</v>
      </c>
      <c r="G127" s="19">
        <f>IFERROR(__xludf.DUMMYFUNCTION("SPLIT(A125, "" |"")"),61001.0)</f>
        <v>61001</v>
      </c>
      <c r="H127" s="19">
        <f>IFERROR(__xludf.DUMMYFUNCTION("""COMPUTED_VALUE"""),0.00242)</f>
        <v>0.00242</v>
      </c>
      <c r="I127" s="19" t="str">
        <f>IFERROR(__xludf.DUMMYFUNCTION("""COMPUTED_VALUE"""),"-")</f>
        <v>-</v>
      </c>
      <c r="J127" s="19">
        <f>IFERROR(__xludf.DUMMYFUNCTION("""COMPUTED_VALUE"""),0.01979)</f>
        <v>0.01979</v>
      </c>
      <c r="K127" s="19">
        <f>IFERROR(__xludf.DUMMYFUNCTION("""COMPUTED_VALUE"""),0.13128)</f>
        <v>0.13128</v>
      </c>
      <c r="L127" s="19" t="str">
        <f>IFERROR(__xludf.DUMMYFUNCTION("""COMPUTED_VALUE"""),"-")</f>
        <v>-</v>
      </c>
      <c r="M127" s="19" t="str">
        <f>IFERROR(__xludf.DUMMYFUNCTION("""COMPUTED_VALUE"""),"-")</f>
        <v>-</v>
      </c>
    </row>
    <row r="128">
      <c r="A128" s="12" t="s">
        <v>8918</v>
      </c>
      <c r="G128" s="19">
        <f>IFERROR(__xludf.DUMMYFUNCTION("SPLIT(A126, "" |"")"),61501.0)</f>
        <v>61501</v>
      </c>
      <c r="H128" s="19">
        <f>IFERROR(__xludf.DUMMYFUNCTION("""COMPUTED_VALUE"""),0.00233)</f>
        <v>0.00233</v>
      </c>
      <c r="I128" s="19" t="str">
        <f>IFERROR(__xludf.DUMMYFUNCTION("""COMPUTED_VALUE"""),"-")</f>
        <v>-</v>
      </c>
      <c r="J128" s="19">
        <f>IFERROR(__xludf.DUMMYFUNCTION("""COMPUTED_VALUE"""),0.01844)</f>
        <v>0.01844</v>
      </c>
      <c r="K128" s="19">
        <f>IFERROR(__xludf.DUMMYFUNCTION("""COMPUTED_VALUE"""),0.12669)</f>
        <v>0.12669</v>
      </c>
      <c r="L128" s="19" t="str">
        <f>IFERROR(__xludf.DUMMYFUNCTION("""COMPUTED_VALUE"""),"-")</f>
        <v>-</v>
      </c>
      <c r="M128" s="19" t="str">
        <f>IFERROR(__xludf.DUMMYFUNCTION("""COMPUTED_VALUE"""),"-")</f>
        <v>-</v>
      </c>
    </row>
    <row r="129">
      <c r="A129" s="12" t="s">
        <v>8919</v>
      </c>
      <c r="G129" s="19">
        <f>IFERROR(__xludf.DUMMYFUNCTION("SPLIT(A127, "" |"")"),62001.0)</f>
        <v>62001</v>
      </c>
      <c r="H129" s="19">
        <f>IFERROR(__xludf.DUMMYFUNCTION("""COMPUTED_VALUE"""),0.0023)</f>
        <v>0.0023</v>
      </c>
      <c r="I129" s="19" t="str">
        <f>IFERROR(__xludf.DUMMYFUNCTION("""COMPUTED_VALUE"""),"-")</f>
        <v>-</v>
      </c>
      <c r="J129" s="19">
        <f>IFERROR(__xludf.DUMMYFUNCTION("""COMPUTED_VALUE"""),0.01956)</f>
        <v>0.01956</v>
      </c>
      <c r="K129" s="19">
        <f>IFERROR(__xludf.DUMMYFUNCTION("""COMPUTED_VALUE"""),0.12115)</f>
        <v>0.12115</v>
      </c>
      <c r="L129" s="19" t="str">
        <f>IFERROR(__xludf.DUMMYFUNCTION("""COMPUTED_VALUE"""),"-")</f>
        <v>-</v>
      </c>
      <c r="M129" s="19" t="str">
        <f>IFERROR(__xludf.DUMMYFUNCTION("""COMPUTED_VALUE"""),"-")</f>
        <v>-</v>
      </c>
    </row>
    <row r="130">
      <c r="A130" s="12" t="s">
        <v>8920</v>
      </c>
      <c r="G130" s="19">
        <f>IFERROR(__xludf.DUMMYFUNCTION("SPLIT(A128, "" |"")"),62501.0)</f>
        <v>62501</v>
      </c>
      <c r="H130" s="19">
        <f>IFERROR(__xludf.DUMMYFUNCTION("""COMPUTED_VALUE"""),0.00226)</f>
        <v>0.00226</v>
      </c>
      <c r="I130" s="19" t="str">
        <f>IFERROR(__xludf.DUMMYFUNCTION("""COMPUTED_VALUE"""),"-")</f>
        <v>-</v>
      </c>
      <c r="J130" s="19">
        <f>IFERROR(__xludf.DUMMYFUNCTION("""COMPUTED_VALUE"""),0.0183)</f>
        <v>0.0183</v>
      </c>
      <c r="K130" s="19">
        <f>IFERROR(__xludf.DUMMYFUNCTION("""COMPUTED_VALUE"""),0.12505)</f>
        <v>0.12505</v>
      </c>
      <c r="L130" s="19" t="str">
        <f>IFERROR(__xludf.DUMMYFUNCTION("""COMPUTED_VALUE"""),"-")</f>
        <v>-</v>
      </c>
      <c r="M130" s="19" t="str">
        <f>IFERROR(__xludf.DUMMYFUNCTION("""COMPUTED_VALUE"""),"-")</f>
        <v>-</v>
      </c>
    </row>
    <row r="131">
      <c r="A131" s="12" t="s">
        <v>8921</v>
      </c>
      <c r="G131" s="19">
        <f>IFERROR(__xludf.DUMMYFUNCTION("SPLIT(A129, "" |"")"),63001.0)</f>
        <v>63001</v>
      </c>
      <c r="H131" s="19">
        <f>IFERROR(__xludf.DUMMYFUNCTION("""COMPUTED_VALUE"""),0.0022)</f>
        <v>0.0022</v>
      </c>
      <c r="I131" s="19" t="str">
        <f>IFERROR(__xludf.DUMMYFUNCTION("""COMPUTED_VALUE"""),"-")</f>
        <v>-</v>
      </c>
      <c r="J131" s="19">
        <f>IFERROR(__xludf.DUMMYFUNCTION("""COMPUTED_VALUE"""),0.01936)</f>
        <v>0.01936</v>
      </c>
      <c r="K131" s="19">
        <f>IFERROR(__xludf.DUMMYFUNCTION("""COMPUTED_VALUE"""),0.12904)</f>
        <v>0.12904</v>
      </c>
      <c r="L131" s="19" t="str">
        <f>IFERROR(__xludf.DUMMYFUNCTION("""COMPUTED_VALUE"""),"-")</f>
        <v>-</v>
      </c>
      <c r="M131" s="19" t="str">
        <f>IFERROR(__xludf.DUMMYFUNCTION("""COMPUTED_VALUE"""),"-")</f>
        <v>-</v>
      </c>
    </row>
    <row r="132">
      <c r="A132" s="12" t="s">
        <v>8922</v>
      </c>
      <c r="G132" s="19">
        <f>IFERROR(__xludf.DUMMYFUNCTION("SPLIT(A130, "" |"")"),63501.0)</f>
        <v>63501</v>
      </c>
      <c r="H132" s="19">
        <f>IFERROR(__xludf.DUMMYFUNCTION("""COMPUTED_VALUE"""),0.00235)</f>
        <v>0.00235</v>
      </c>
      <c r="I132" s="19" t="str">
        <f>IFERROR(__xludf.DUMMYFUNCTION("""COMPUTED_VALUE"""),"-")</f>
        <v>-</v>
      </c>
      <c r="J132" s="19">
        <f>IFERROR(__xludf.DUMMYFUNCTION("""COMPUTED_VALUE"""),0.01962)</f>
        <v>0.01962</v>
      </c>
      <c r="K132" s="19">
        <f>IFERROR(__xludf.DUMMYFUNCTION("""COMPUTED_VALUE"""),0.12898)</f>
        <v>0.12898</v>
      </c>
      <c r="L132" s="19" t="str">
        <f>IFERROR(__xludf.DUMMYFUNCTION("""COMPUTED_VALUE"""),"-")</f>
        <v>-</v>
      </c>
      <c r="M132" s="19" t="str">
        <f>IFERROR(__xludf.DUMMYFUNCTION("""COMPUTED_VALUE"""),"-")</f>
        <v>-</v>
      </c>
    </row>
    <row r="133">
      <c r="A133" s="12" t="s">
        <v>8923</v>
      </c>
      <c r="G133" s="19">
        <f>IFERROR(__xludf.DUMMYFUNCTION("SPLIT(A131, "" |"")"),64001.0)</f>
        <v>64001</v>
      </c>
      <c r="H133" s="19">
        <f>IFERROR(__xludf.DUMMYFUNCTION("""COMPUTED_VALUE"""),0.0024)</f>
        <v>0.0024</v>
      </c>
      <c r="I133" s="19" t="str">
        <f>IFERROR(__xludf.DUMMYFUNCTION("""COMPUTED_VALUE"""),"-")</f>
        <v>-</v>
      </c>
      <c r="J133" s="19">
        <f>IFERROR(__xludf.DUMMYFUNCTION("""COMPUTED_VALUE"""),0.01976)</f>
        <v>0.01976</v>
      </c>
      <c r="K133" s="19">
        <f>IFERROR(__xludf.DUMMYFUNCTION("""COMPUTED_VALUE"""),0.13141)</f>
        <v>0.13141</v>
      </c>
      <c r="L133" s="19" t="str">
        <f>IFERROR(__xludf.DUMMYFUNCTION("""COMPUTED_VALUE"""),"-")</f>
        <v>-</v>
      </c>
      <c r="M133" s="19" t="str">
        <f>IFERROR(__xludf.DUMMYFUNCTION("""COMPUTED_VALUE"""),"-")</f>
        <v>-</v>
      </c>
    </row>
    <row r="134">
      <c r="A134" s="12" t="s">
        <v>8924</v>
      </c>
      <c r="G134" s="19">
        <f>IFERROR(__xludf.DUMMYFUNCTION("SPLIT(A132, "" |"")"),64501.0)</f>
        <v>64501</v>
      </c>
      <c r="H134" s="19">
        <f>IFERROR(__xludf.DUMMYFUNCTION("""COMPUTED_VALUE"""),0.0023)</f>
        <v>0.0023</v>
      </c>
      <c r="I134" s="19" t="str">
        <f>IFERROR(__xludf.DUMMYFUNCTION("""COMPUTED_VALUE"""),"-")</f>
        <v>-</v>
      </c>
      <c r="J134" s="19">
        <f>IFERROR(__xludf.DUMMYFUNCTION("""COMPUTED_VALUE"""),0.01954)</f>
        <v>0.01954</v>
      </c>
      <c r="K134" s="19">
        <f>IFERROR(__xludf.DUMMYFUNCTION("""COMPUTED_VALUE"""),0.13208)</f>
        <v>0.13208</v>
      </c>
      <c r="L134" s="19" t="str">
        <f>IFERROR(__xludf.DUMMYFUNCTION("""COMPUTED_VALUE"""),"-")</f>
        <v>-</v>
      </c>
      <c r="M134" s="19" t="str">
        <f>IFERROR(__xludf.DUMMYFUNCTION("""COMPUTED_VALUE"""),"-")</f>
        <v>-</v>
      </c>
    </row>
    <row r="135">
      <c r="A135" s="12" t="s">
        <v>8925</v>
      </c>
      <c r="G135" s="19">
        <f>IFERROR(__xludf.DUMMYFUNCTION("SPLIT(A133, "" |"")"),65001.0)</f>
        <v>65001</v>
      </c>
      <c r="H135" s="19">
        <f>IFERROR(__xludf.DUMMYFUNCTION("""COMPUTED_VALUE"""),0.00226)</f>
        <v>0.00226</v>
      </c>
      <c r="I135" s="19" t="str">
        <f>IFERROR(__xludf.DUMMYFUNCTION("""COMPUTED_VALUE"""),"-")</f>
        <v>-</v>
      </c>
      <c r="J135" s="19">
        <f>IFERROR(__xludf.DUMMYFUNCTION("""COMPUTED_VALUE"""),0.01875)</f>
        <v>0.01875</v>
      </c>
      <c r="K135" s="19">
        <f>IFERROR(__xludf.DUMMYFUNCTION("""COMPUTED_VALUE"""),0.12756)</f>
        <v>0.12756</v>
      </c>
      <c r="L135" s="19" t="str">
        <f>IFERROR(__xludf.DUMMYFUNCTION("""COMPUTED_VALUE"""),"-")</f>
        <v>-</v>
      </c>
      <c r="M135" s="19" t="str">
        <f>IFERROR(__xludf.DUMMYFUNCTION("""COMPUTED_VALUE"""),"-")</f>
        <v>-</v>
      </c>
    </row>
    <row r="136">
      <c r="A136" s="12" t="s">
        <v>8926</v>
      </c>
      <c r="G136" s="19">
        <f>IFERROR(__xludf.DUMMYFUNCTION("SPLIT(A134, "" |"")"),65501.0)</f>
        <v>65501</v>
      </c>
      <c r="H136" s="19">
        <f>IFERROR(__xludf.DUMMYFUNCTION("""COMPUTED_VALUE"""),0.00259)</f>
        <v>0.00259</v>
      </c>
      <c r="I136" s="19" t="str">
        <f>IFERROR(__xludf.DUMMYFUNCTION("""COMPUTED_VALUE"""),"-")</f>
        <v>-</v>
      </c>
      <c r="J136" s="19">
        <f>IFERROR(__xludf.DUMMYFUNCTION("""COMPUTED_VALUE"""),0.01803)</f>
        <v>0.01803</v>
      </c>
      <c r="K136" s="19">
        <f>IFERROR(__xludf.DUMMYFUNCTION("""COMPUTED_VALUE"""),0.12952)</f>
        <v>0.12952</v>
      </c>
      <c r="L136" s="19" t="str">
        <f>IFERROR(__xludf.DUMMYFUNCTION("""COMPUTED_VALUE"""),"-")</f>
        <v>-</v>
      </c>
      <c r="M136" s="19" t="str">
        <f>IFERROR(__xludf.DUMMYFUNCTION("""COMPUTED_VALUE"""),"-")</f>
        <v>-</v>
      </c>
    </row>
    <row r="137">
      <c r="A137" s="12" t="s">
        <v>8927</v>
      </c>
      <c r="G137" s="19">
        <f>IFERROR(__xludf.DUMMYFUNCTION("SPLIT(A135, "" |"")"),66001.0)</f>
        <v>66001</v>
      </c>
      <c r="H137" s="19">
        <f>IFERROR(__xludf.DUMMYFUNCTION("""COMPUTED_VALUE"""),0.00222)</f>
        <v>0.00222</v>
      </c>
      <c r="I137" s="19" t="str">
        <f>IFERROR(__xludf.DUMMYFUNCTION("""COMPUTED_VALUE"""),"-")</f>
        <v>-</v>
      </c>
      <c r="J137" s="19">
        <f>IFERROR(__xludf.DUMMYFUNCTION("""COMPUTED_VALUE"""),0.01955)</f>
        <v>0.01955</v>
      </c>
      <c r="K137" s="19">
        <f>IFERROR(__xludf.DUMMYFUNCTION("""COMPUTED_VALUE"""),0.1283)</f>
        <v>0.1283</v>
      </c>
      <c r="L137" s="19" t="str">
        <f>IFERROR(__xludf.DUMMYFUNCTION("""COMPUTED_VALUE"""),"-")</f>
        <v>-</v>
      </c>
      <c r="M137" s="19" t="str">
        <f>IFERROR(__xludf.DUMMYFUNCTION("""COMPUTED_VALUE"""),"-")</f>
        <v>-</v>
      </c>
    </row>
    <row r="138">
      <c r="A138" s="12" t="s">
        <v>8928</v>
      </c>
      <c r="G138" s="19">
        <f>IFERROR(__xludf.DUMMYFUNCTION("SPLIT(A136, "" |"")"),66501.0)</f>
        <v>66501</v>
      </c>
      <c r="H138" s="19">
        <f>IFERROR(__xludf.DUMMYFUNCTION("""COMPUTED_VALUE"""),0.00249)</f>
        <v>0.00249</v>
      </c>
      <c r="I138" s="19" t="str">
        <f>IFERROR(__xludf.DUMMYFUNCTION("""COMPUTED_VALUE"""),"-")</f>
        <v>-</v>
      </c>
      <c r="J138" s="19">
        <f>IFERROR(__xludf.DUMMYFUNCTION("""COMPUTED_VALUE"""),0.01968)</f>
        <v>0.01968</v>
      </c>
      <c r="K138" s="19">
        <f>IFERROR(__xludf.DUMMYFUNCTION("""COMPUTED_VALUE"""),0.12811)</f>
        <v>0.12811</v>
      </c>
      <c r="L138" s="19" t="str">
        <f>IFERROR(__xludf.DUMMYFUNCTION("""COMPUTED_VALUE"""),"-")</f>
        <v>-</v>
      </c>
      <c r="M138" s="19" t="str">
        <f>IFERROR(__xludf.DUMMYFUNCTION("""COMPUTED_VALUE"""),"-")</f>
        <v>-</v>
      </c>
    </row>
    <row r="139">
      <c r="A139" s="12" t="s">
        <v>8929</v>
      </c>
      <c r="G139" s="19">
        <f>IFERROR(__xludf.DUMMYFUNCTION("SPLIT(A137, "" |"")"),67001.0)</f>
        <v>67001</v>
      </c>
      <c r="H139" s="19">
        <f>IFERROR(__xludf.DUMMYFUNCTION("""COMPUTED_VALUE"""),0.00231)</f>
        <v>0.00231</v>
      </c>
      <c r="I139" s="19" t="str">
        <f>IFERROR(__xludf.DUMMYFUNCTION("""COMPUTED_VALUE"""),"-")</f>
        <v>-</v>
      </c>
      <c r="J139" s="19">
        <f>IFERROR(__xludf.DUMMYFUNCTION("""COMPUTED_VALUE"""),0.01963)</f>
        <v>0.01963</v>
      </c>
      <c r="K139" s="19">
        <f>IFERROR(__xludf.DUMMYFUNCTION("""COMPUTED_VALUE"""),0.12794)</f>
        <v>0.12794</v>
      </c>
      <c r="L139" s="19" t="str">
        <f>IFERROR(__xludf.DUMMYFUNCTION("""COMPUTED_VALUE"""),"-")</f>
        <v>-</v>
      </c>
      <c r="M139" s="19" t="str">
        <f>IFERROR(__xludf.DUMMYFUNCTION("""COMPUTED_VALUE"""),"-")</f>
        <v>-</v>
      </c>
    </row>
    <row r="140">
      <c r="A140" s="12" t="s">
        <v>8930</v>
      </c>
      <c r="G140" s="19">
        <f>IFERROR(__xludf.DUMMYFUNCTION("SPLIT(A138, "" |"")"),67501.0)</f>
        <v>67501</v>
      </c>
      <c r="H140" s="19">
        <f>IFERROR(__xludf.DUMMYFUNCTION("""COMPUTED_VALUE"""),0.00248)</f>
        <v>0.00248</v>
      </c>
      <c r="I140" s="19" t="str">
        <f>IFERROR(__xludf.DUMMYFUNCTION("""COMPUTED_VALUE"""),"-")</f>
        <v>-</v>
      </c>
      <c r="J140" s="19">
        <f>IFERROR(__xludf.DUMMYFUNCTION("""COMPUTED_VALUE"""),0.01703)</f>
        <v>0.01703</v>
      </c>
      <c r="K140" s="19">
        <f>IFERROR(__xludf.DUMMYFUNCTION("""COMPUTED_VALUE"""),0.12731)</f>
        <v>0.12731</v>
      </c>
      <c r="L140" s="19" t="str">
        <f>IFERROR(__xludf.DUMMYFUNCTION("""COMPUTED_VALUE"""),"-")</f>
        <v>-</v>
      </c>
      <c r="M140" s="19" t="str">
        <f>IFERROR(__xludf.DUMMYFUNCTION("""COMPUTED_VALUE"""),"-")</f>
        <v>-</v>
      </c>
    </row>
    <row r="141">
      <c r="A141" s="12" t="s">
        <v>8931</v>
      </c>
      <c r="G141" s="19">
        <f>IFERROR(__xludf.DUMMYFUNCTION("SPLIT(A139, "" |"")"),68001.0)</f>
        <v>68001</v>
      </c>
      <c r="H141" s="19">
        <f>IFERROR(__xludf.DUMMYFUNCTION("""COMPUTED_VALUE"""),0.00238)</f>
        <v>0.00238</v>
      </c>
      <c r="I141" s="19" t="str">
        <f>IFERROR(__xludf.DUMMYFUNCTION("""COMPUTED_VALUE"""),"-")</f>
        <v>-</v>
      </c>
      <c r="J141" s="19">
        <f>IFERROR(__xludf.DUMMYFUNCTION("""COMPUTED_VALUE"""),0.01961)</f>
        <v>0.01961</v>
      </c>
      <c r="K141" s="19">
        <f>IFERROR(__xludf.DUMMYFUNCTION("""COMPUTED_VALUE"""),0.12381)</f>
        <v>0.12381</v>
      </c>
      <c r="L141" s="19" t="str">
        <f>IFERROR(__xludf.DUMMYFUNCTION("""COMPUTED_VALUE"""),"-")</f>
        <v>-</v>
      </c>
      <c r="M141" s="19" t="str">
        <f>IFERROR(__xludf.DUMMYFUNCTION("""COMPUTED_VALUE"""),"-")</f>
        <v>-</v>
      </c>
    </row>
    <row r="142">
      <c r="A142" s="12" t="s">
        <v>8932</v>
      </c>
      <c r="G142" s="19">
        <f>IFERROR(__xludf.DUMMYFUNCTION("SPLIT(A140, "" |"")"),68501.0)</f>
        <v>68501</v>
      </c>
      <c r="H142" s="19">
        <f>IFERROR(__xludf.DUMMYFUNCTION("""COMPUTED_VALUE"""),0.0028)</f>
        <v>0.0028</v>
      </c>
      <c r="I142" s="19" t="str">
        <f>IFERROR(__xludf.DUMMYFUNCTION("""COMPUTED_VALUE"""),"-")</f>
        <v>-</v>
      </c>
      <c r="J142" s="19">
        <f>IFERROR(__xludf.DUMMYFUNCTION("""COMPUTED_VALUE"""),0.01981)</f>
        <v>0.01981</v>
      </c>
      <c r="K142" s="19">
        <f>IFERROR(__xludf.DUMMYFUNCTION("""COMPUTED_VALUE"""),0.13137)</f>
        <v>0.13137</v>
      </c>
      <c r="L142" s="19" t="str">
        <f>IFERROR(__xludf.DUMMYFUNCTION("""COMPUTED_VALUE"""),"-")</f>
        <v>-</v>
      </c>
      <c r="M142" s="19" t="str">
        <f>IFERROR(__xludf.DUMMYFUNCTION("""COMPUTED_VALUE"""),"-")</f>
        <v>-</v>
      </c>
    </row>
    <row r="143">
      <c r="A143" s="12" t="s">
        <v>8933</v>
      </c>
      <c r="G143" s="19">
        <f>IFERROR(__xludf.DUMMYFUNCTION("SPLIT(A141, "" |"")"),69001.0)</f>
        <v>69001</v>
      </c>
      <c r="H143" s="19">
        <f>IFERROR(__xludf.DUMMYFUNCTION("""COMPUTED_VALUE"""),0.00333)</f>
        <v>0.00333</v>
      </c>
      <c r="I143" s="19" t="str">
        <f>IFERROR(__xludf.DUMMYFUNCTION("""COMPUTED_VALUE"""),"-")</f>
        <v>-</v>
      </c>
      <c r="J143" s="19">
        <f>IFERROR(__xludf.DUMMYFUNCTION("""COMPUTED_VALUE"""),0.03587)</f>
        <v>0.03587</v>
      </c>
      <c r="K143" s="19">
        <f>IFERROR(__xludf.DUMMYFUNCTION("""COMPUTED_VALUE"""),0.1323)</f>
        <v>0.1323</v>
      </c>
      <c r="L143" s="19" t="str">
        <f>IFERROR(__xludf.DUMMYFUNCTION("""COMPUTED_VALUE"""),"-")</f>
        <v>-</v>
      </c>
      <c r="M143" s="19" t="str">
        <f>IFERROR(__xludf.DUMMYFUNCTION("""COMPUTED_VALUE"""),"-")</f>
        <v>-</v>
      </c>
    </row>
    <row r="144">
      <c r="A144" s="12" t="s">
        <v>8934</v>
      </c>
      <c r="G144" s="19">
        <f>IFERROR(__xludf.DUMMYFUNCTION("SPLIT(A142, "" |"")"),69501.0)</f>
        <v>69501</v>
      </c>
      <c r="H144" s="19">
        <f>IFERROR(__xludf.DUMMYFUNCTION("""COMPUTED_VALUE"""),0.00233)</f>
        <v>0.00233</v>
      </c>
      <c r="I144" s="19" t="str">
        <f>IFERROR(__xludf.DUMMYFUNCTION("""COMPUTED_VALUE"""),"-")</f>
        <v>-</v>
      </c>
      <c r="J144" s="19">
        <f>IFERROR(__xludf.DUMMYFUNCTION("""COMPUTED_VALUE"""),0.0196)</f>
        <v>0.0196</v>
      </c>
      <c r="K144" s="19">
        <f>IFERROR(__xludf.DUMMYFUNCTION("""COMPUTED_VALUE"""),0.13208)</f>
        <v>0.13208</v>
      </c>
      <c r="L144" s="19" t="str">
        <f>IFERROR(__xludf.DUMMYFUNCTION("""COMPUTED_VALUE"""),"-")</f>
        <v>-</v>
      </c>
      <c r="M144" s="19" t="str">
        <f>IFERROR(__xludf.DUMMYFUNCTION("""COMPUTED_VALUE"""),"-")</f>
        <v>-</v>
      </c>
    </row>
    <row r="145">
      <c r="A145" s="12" t="s">
        <v>8935</v>
      </c>
      <c r="G145" s="19">
        <f>IFERROR(__xludf.DUMMYFUNCTION("SPLIT(A143, "" |"")"),70001.0)</f>
        <v>70001</v>
      </c>
      <c r="H145" s="19">
        <f>IFERROR(__xludf.DUMMYFUNCTION("""COMPUTED_VALUE"""),0.00214)</f>
        <v>0.00214</v>
      </c>
      <c r="I145" s="19" t="str">
        <f>IFERROR(__xludf.DUMMYFUNCTION("""COMPUTED_VALUE"""),"-")</f>
        <v>-</v>
      </c>
      <c r="J145" s="19">
        <f>IFERROR(__xludf.DUMMYFUNCTION("""COMPUTED_VALUE"""),0.01959)</f>
        <v>0.01959</v>
      </c>
      <c r="K145" s="19">
        <f>IFERROR(__xludf.DUMMYFUNCTION("""COMPUTED_VALUE"""),0.13248)</f>
        <v>0.13248</v>
      </c>
      <c r="L145" s="19" t="str">
        <f>IFERROR(__xludf.DUMMYFUNCTION("""COMPUTED_VALUE"""),"-")</f>
        <v>-</v>
      </c>
      <c r="M145" s="19" t="str">
        <f>IFERROR(__xludf.DUMMYFUNCTION("""COMPUTED_VALUE"""),"-")</f>
        <v>-</v>
      </c>
    </row>
    <row r="146">
      <c r="A146" s="12" t="s">
        <v>8936</v>
      </c>
      <c r="G146" s="19">
        <f>IFERROR(__xludf.DUMMYFUNCTION("SPLIT(A144, "" |"")"),70501.0)</f>
        <v>70501</v>
      </c>
      <c r="H146" s="19">
        <f>IFERROR(__xludf.DUMMYFUNCTION("""COMPUTED_VALUE"""),0.00222)</f>
        <v>0.00222</v>
      </c>
      <c r="I146" s="19" t="str">
        <f>IFERROR(__xludf.DUMMYFUNCTION("""COMPUTED_VALUE"""),"-")</f>
        <v>-</v>
      </c>
      <c r="J146" s="19">
        <f>IFERROR(__xludf.DUMMYFUNCTION("""COMPUTED_VALUE"""),0.01951)</f>
        <v>0.01951</v>
      </c>
      <c r="K146" s="19">
        <f>IFERROR(__xludf.DUMMYFUNCTION("""COMPUTED_VALUE"""),0.13225)</f>
        <v>0.13225</v>
      </c>
      <c r="L146" s="19" t="str">
        <f>IFERROR(__xludf.DUMMYFUNCTION("""COMPUTED_VALUE"""),"-")</f>
        <v>-</v>
      </c>
      <c r="M146" s="19" t="str">
        <f>IFERROR(__xludf.DUMMYFUNCTION("""COMPUTED_VALUE"""),"-")</f>
        <v>-</v>
      </c>
    </row>
    <row r="147">
      <c r="A147" s="12" t="s">
        <v>8937</v>
      </c>
      <c r="G147" s="19">
        <f>IFERROR(__xludf.DUMMYFUNCTION("SPLIT(A145, "" |"")"),71001.0)</f>
        <v>71001</v>
      </c>
      <c r="H147" s="19">
        <f>IFERROR(__xludf.DUMMYFUNCTION("""COMPUTED_VALUE"""),0.00232)</f>
        <v>0.00232</v>
      </c>
      <c r="I147" s="19" t="str">
        <f>IFERROR(__xludf.DUMMYFUNCTION("""COMPUTED_VALUE"""),"-")</f>
        <v>-</v>
      </c>
      <c r="J147" s="19">
        <f>IFERROR(__xludf.DUMMYFUNCTION("""COMPUTED_VALUE"""),0.01969)</f>
        <v>0.01969</v>
      </c>
      <c r="K147" s="19">
        <f>IFERROR(__xludf.DUMMYFUNCTION("""COMPUTED_VALUE"""),0.13068)</f>
        <v>0.13068</v>
      </c>
      <c r="L147" s="19" t="str">
        <f>IFERROR(__xludf.DUMMYFUNCTION("""COMPUTED_VALUE"""),"-")</f>
        <v>-</v>
      </c>
      <c r="M147" s="19" t="str">
        <f>IFERROR(__xludf.DUMMYFUNCTION("""COMPUTED_VALUE"""),"-")</f>
        <v>-</v>
      </c>
    </row>
    <row r="148">
      <c r="A148" s="12" t="s">
        <v>8938</v>
      </c>
      <c r="G148" s="19">
        <f>IFERROR(__xludf.DUMMYFUNCTION("SPLIT(A146, "" |"")"),71501.0)</f>
        <v>71501</v>
      </c>
      <c r="H148" s="19">
        <f>IFERROR(__xludf.DUMMYFUNCTION("""COMPUTED_VALUE"""),0.00228)</f>
        <v>0.00228</v>
      </c>
      <c r="I148" s="19" t="str">
        <f>IFERROR(__xludf.DUMMYFUNCTION("""COMPUTED_VALUE"""),"-")</f>
        <v>-</v>
      </c>
      <c r="J148" s="19">
        <f>IFERROR(__xludf.DUMMYFUNCTION("""COMPUTED_VALUE"""),0.01972)</f>
        <v>0.01972</v>
      </c>
      <c r="K148" s="19">
        <f>IFERROR(__xludf.DUMMYFUNCTION("""COMPUTED_VALUE"""),0.13229)</f>
        <v>0.13229</v>
      </c>
      <c r="L148" s="19" t="str">
        <f>IFERROR(__xludf.DUMMYFUNCTION("""COMPUTED_VALUE"""),"-")</f>
        <v>-</v>
      </c>
      <c r="M148" s="19" t="str">
        <f>IFERROR(__xludf.DUMMYFUNCTION("""COMPUTED_VALUE"""),"-")</f>
        <v>-</v>
      </c>
    </row>
    <row r="149">
      <c r="A149" s="12" t="s">
        <v>8939</v>
      </c>
      <c r="G149" s="19">
        <f>IFERROR(__xludf.DUMMYFUNCTION("SPLIT(A147, "" |"")"),72001.0)</f>
        <v>72001</v>
      </c>
      <c r="H149" s="19">
        <f>IFERROR(__xludf.DUMMYFUNCTION("""COMPUTED_VALUE"""),0.00239)</f>
        <v>0.00239</v>
      </c>
      <c r="I149" s="19" t="str">
        <f>IFERROR(__xludf.DUMMYFUNCTION("""COMPUTED_VALUE"""),"-")</f>
        <v>-</v>
      </c>
      <c r="J149" s="19">
        <f>IFERROR(__xludf.DUMMYFUNCTION("""COMPUTED_VALUE"""),0.0197)</f>
        <v>0.0197</v>
      </c>
      <c r="K149" s="19">
        <f>IFERROR(__xludf.DUMMYFUNCTION("""COMPUTED_VALUE"""),0.12757)</f>
        <v>0.12757</v>
      </c>
      <c r="L149" s="19" t="str">
        <f>IFERROR(__xludf.DUMMYFUNCTION("""COMPUTED_VALUE"""),"-")</f>
        <v>-</v>
      </c>
      <c r="M149" s="19" t="str">
        <f>IFERROR(__xludf.DUMMYFUNCTION("""COMPUTED_VALUE"""),"-")</f>
        <v>-</v>
      </c>
    </row>
    <row r="150">
      <c r="A150" s="12" t="s">
        <v>8940</v>
      </c>
      <c r="G150" s="19">
        <f>IFERROR(__xludf.DUMMYFUNCTION("SPLIT(A148, "" |"")"),72501.0)</f>
        <v>72501</v>
      </c>
      <c r="H150" s="19">
        <f>IFERROR(__xludf.DUMMYFUNCTION("""COMPUTED_VALUE"""),0.00245)</f>
        <v>0.00245</v>
      </c>
      <c r="I150" s="19" t="str">
        <f>IFERROR(__xludf.DUMMYFUNCTION("""COMPUTED_VALUE"""),"-")</f>
        <v>-</v>
      </c>
      <c r="J150" s="19">
        <f>IFERROR(__xludf.DUMMYFUNCTION("""COMPUTED_VALUE"""),0.01963)</f>
        <v>0.01963</v>
      </c>
      <c r="K150" s="19">
        <f>IFERROR(__xludf.DUMMYFUNCTION("""COMPUTED_VALUE"""),0.13221)</f>
        <v>0.13221</v>
      </c>
      <c r="L150" s="19" t="str">
        <f>IFERROR(__xludf.DUMMYFUNCTION("""COMPUTED_VALUE"""),"-")</f>
        <v>-</v>
      </c>
      <c r="M150" s="19" t="str">
        <f>IFERROR(__xludf.DUMMYFUNCTION("""COMPUTED_VALUE"""),"-")</f>
        <v>-</v>
      </c>
    </row>
    <row r="151">
      <c r="A151" s="12" t="s">
        <v>8941</v>
      </c>
      <c r="G151" s="19">
        <f>IFERROR(__xludf.DUMMYFUNCTION("SPLIT(A149, "" |"")"),73001.0)</f>
        <v>73001</v>
      </c>
      <c r="H151" s="19">
        <f>IFERROR(__xludf.DUMMYFUNCTION("""COMPUTED_VALUE"""),0.00229)</f>
        <v>0.00229</v>
      </c>
      <c r="I151" s="19" t="str">
        <f>IFERROR(__xludf.DUMMYFUNCTION("""COMPUTED_VALUE"""),"-")</f>
        <v>-</v>
      </c>
      <c r="J151" s="19">
        <f>IFERROR(__xludf.DUMMYFUNCTION("""COMPUTED_VALUE"""),0.01961)</f>
        <v>0.01961</v>
      </c>
      <c r="K151" s="19">
        <f>IFERROR(__xludf.DUMMYFUNCTION("""COMPUTED_VALUE"""),0.132)</f>
        <v>0.132</v>
      </c>
      <c r="L151" s="19" t="str">
        <f>IFERROR(__xludf.DUMMYFUNCTION("""COMPUTED_VALUE"""),"-")</f>
        <v>-</v>
      </c>
      <c r="M151" s="19" t="str">
        <f>IFERROR(__xludf.DUMMYFUNCTION("""COMPUTED_VALUE"""),"-")</f>
        <v>-</v>
      </c>
    </row>
    <row r="152">
      <c r="A152" s="12" t="s">
        <v>8942</v>
      </c>
      <c r="G152" s="19">
        <f>IFERROR(__xludf.DUMMYFUNCTION("SPLIT(A150, "" |"")"),73501.0)</f>
        <v>73501</v>
      </c>
      <c r="H152" s="19">
        <f>IFERROR(__xludf.DUMMYFUNCTION("""COMPUTED_VALUE"""),0.00226)</f>
        <v>0.00226</v>
      </c>
      <c r="I152" s="19" t="str">
        <f>IFERROR(__xludf.DUMMYFUNCTION("""COMPUTED_VALUE"""),"-")</f>
        <v>-</v>
      </c>
      <c r="J152" s="19">
        <f>IFERROR(__xludf.DUMMYFUNCTION("""COMPUTED_VALUE"""),0.01803)</f>
        <v>0.01803</v>
      </c>
      <c r="K152" s="19">
        <f>IFERROR(__xludf.DUMMYFUNCTION("""COMPUTED_VALUE"""),0.12807)</f>
        <v>0.12807</v>
      </c>
      <c r="L152" s="19" t="str">
        <f>IFERROR(__xludf.DUMMYFUNCTION("""COMPUTED_VALUE"""),"-")</f>
        <v>-</v>
      </c>
      <c r="M152" s="19" t="str">
        <f>IFERROR(__xludf.DUMMYFUNCTION("""COMPUTED_VALUE"""),"-")</f>
        <v>-</v>
      </c>
    </row>
    <row r="153">
      <c r="A153" s="12" t="s">
        <v>8943</v>
      </c>
      <c r="G153" s="19">
        <f>IFERROR(__xludf.DUMMYFUNCTION("SPLIT(A151, "" |"")"),74001.0)</f>
        <v>74001</v>
      </c>
      <c r="H153" s="19">
        <f>IFERROR(__xludf.DUMMYFUNCTION("""COMPUTED_VALUE"""),0.00234)</f>
        <v>0.00234</v>
      </c>
      <c r="I153" s="19" t="str">
        <f>IFERROR(__xludf.DUMMYFUNCTION("""COMPUTED_VALUE"""),"-")</f>
        <v>-</v>
      </c>
      <c r="J153" s="19">
        <f>IFERROR(__xludf.DUMMYFUNCTION("""COMPUTED_VALUE"""),0.01968)</f>
        <v>0.01968</v>
      </c>
      <c r="K153" s="19">
        <f>IFERROR(__xludf.DUMMYFUNCTION("""COMPUTED_VALUE"""),0.1315)</f>
        <v>0.1315</v>
      </c>
      <c r="L153" s="19" t="str">
        <f>IFERROR(__xludf.DUMMYFUNCTION("""COMPUTED_VALUE"""),"-")</f>
        <v>-</v>
      </c>
      <c r="M153" s="19" t="str">
        <f>IFERROR(__xludf.DUMMYFUNCTION("""COMPUTED_VALUE"""),"-")</f>
        <v>-</v>
      </c>
    </row>
    <row r="154">
      <c r="A154" s="12" t="s">
        <v>8944</v>
      </c>
      <c r="G154" s="19">
        <f>IFERROR(__xludf.DUMMYFUNCTION("SPLIT(A152, "" |"")"),74501.0)</f>
        <v>74501</v>
      </c>
      <c r="H154" s="19">
        <f>IFERROR(__xludf.DUMMYFUNCTION("""COMPUTED_VALUE"""),0.00249)</f>
        <v>0.00249</v>
      </c>
      <c r="I154" s="19" t="str">
        <f>IFERROR(__xludf.DUMMYFUNCTION("""COMPUTED_VALUE"""),"-")</f>
        <v>-</v>
      </c>
      <c r="J154" s="19">
        <f>IFERROR(__xludf.DUMMYFUNCTION("""COMPUTED_VALUE"""),0.01965)</f>
        <v>0.01965</v>
      </c>
      <c r="K154" s="19">
        <f>IFERROR(__xludf.DUMMYFUNCTION("""COMPUTED_VALUE"""),0.12319)</f>
        <v>0.12319</v>
      </c>
      <c r="L154" s="19" t="str">
        <f>IFERROR(__xludf.DUMMYFUNCTION("""COMPUTED_VALUE"""),"-")</f>
        <v>-</v>
      </c>
      <c r="M154" s="19" t="str">
        <f>IFERROR(__xludf.DUMMYFUNCTION("""COMPUTED_VALUE"""),"-")</f>
        <v>-</v>
      </c>
    </row>
    <row r="155">
      <c r="A155" s="12" t="s">
        <v>8945</v>
      </c>
      <c r="G155" s="19">
        <f>IFERROR(__xludf.DUMMYFUNCTION("SPLIT(A153, "" |"")"),75001.0)</f>
        <v>75001</v>
      </c>
      <c r="H155" s="19">
        <f>IFERROR(__xludf.DUMMYFUNCTION("""COMPUTED_VALUE"""),0.00233)</f>
        <v>0.00233</v>
      </c>
      <c r="I155" s="19" t="str">
        <f>IFERROR(__xludf.DUMMYFUNCTION("""COMPUTED_VALUE"""),"-")</f>
        <v>-</v>
      </c>
      <c r="J155" s="19">
        <f>IFERROR(__xludf.DUMMYFUNCTION("""COMPUTED_VALUE"""),0.01819)</f>
        <v>0.01819</v>
      </c>
      <c r="K155" s="19">
        <f>IFERROR(__xludf.DUMMYFUNCTION("""COMPUTED_VALUE"""),0.12861)</f>
        <v>0.12861</v>
      </c>
      <c r="L155" s="19" t="str">
        <f>IFERROR(__xludf.DUMMYFUNCTION("""COMPUTED_VALUE"""),"-")</f>
        <v>-</v>
      </c>
      <c r="M155" s="19" t="str">
        <f>IFERROR(__xludf.DUMMYFUNCTION("""COMPUTED_VALUE"""),"-")</f>
        <v>-</v>
      </c>
    </row>
    <row r="156">
      <c r="A156" s="12" t="s">
        <v>8946</v>
      </c>
      <c r="G156" s="19">
        <f>IFERROR(__xludf.DUMMYFUNCTION("SPLIT(A154, "" |"")"),75501.0)</f>
        <v>75501</v>
      </c>
      <c r="H156" s="19">
        <f>IFERROR(__xludf.DUMMYFUNCTION("""COMPUTED_VALUE"""),0.00241)</f>
        <v>0.00241</v>
      </c>
      <c r="I156" s="19" t="str">
        <f>IFERROR(__xludf.DUMMYFUNCTION("""COMPUTED_VALUE"""),"-")</f>
        <v>-</v>
      </c>
      <c r="J156" s="19">
        <f>IFERROR(__xludf.DUMMYFUNCTION("""COMPUTED_VALUE"""),0.01986)</f>
        <v>0.01986</v>
      </c>
      <c r="K156" s="19">
        <f>IFERROR(__xludf.DUMMYFUNCTION("""COMPUTED_VALUE"""),0.1257)</f>
        <v>0.1257</v>
      </c>
      <c r="L156" s="19" t="str">
        <f>IFERROR(__xludf.DUMMYFUNCTION("""COMPUTED_VALUE"""),"-")</f>
        <v>-</v>
      </c>
      <c r="M156" s="19" t="str">
        <f>IFERROR(__xludf.DUMMYFUNCTION("""COMPUTED_VALUE"""),"-")</f>
        <v>-</v>
      </c>
    </row>
    <row r="157">
      <c r="A157" s="12" t="s">
        <v>8947</v>
      </c>
      <c r="G157" s="19">
        <f>IFERROR(__xludf.DUMMYFUNCTION("SPLIT(A155, "" |"")"),76001.0)</f>
        <v>76001</v>
      </c>
      <c r="H157" s="19">
        <f>IFERROR(__xludf.DUMMYFUNCTION("""COMPUTED_VALUE"""),0.00259)</f>
        <v>0.00259</v>
      </c>
      <c r="I157" s="19" t="str">
        <f>IFERROR(__xludf.DUMMYFUNCTION("""COMPUTED_VALUE"""),"-")</f>
        <v>-</v>
      </c>
      <c r="J157" s="19">
        <f>IFERROR(__xludf.DUMMYFUNCTION("""COMPUTED_VALUE"""),0.01983)</f>
        <v>0.01983</v>
      </c>
      <c r="K157" s="19">
        <f>IFERROR(__xludf.DUMMYFUNCTION("""COMPUTED_VALUE"""),0.13204)</f>
        <v>0.13204</v>
      </c>
      <c r="L157" s="19" t="str">
        <f>IFERROR(__xludf.DUMMYFUNCTION("""COMPUTED_VALUE"""),"-")</f>
        <v>-</v>
      </c>
      <c r="M157" s="19" t="str">
        <f>IFERROR(__xludf.DUMMYFUNCTION("""COMPUTED_VALUE"""),"-")</f>
        <v>-</v>
      </c>
    </row>
    <row r="158">
      <c r="A158" s="12" t="s">
        <v>8948</v>
      </c>
      <c r="G158" s="19">
        <f>IFERROR(__xludf.DUMMYFUNCTION("SPLIT(A156, "" |"")"),76501.0)</f>
        <v>76501</v>
      </c>
      <c r="H158" s="19">
        <f>IFERROR(__xludf.DUMMYFUNCTION("""COMPUTED_VALUE"""),0.00223)</f>
        <v>0.00223</v>
      </c>
      <c r="I158" s="19" t="str">
        <f>IFERROR(__xludf.DUMMYFUNCTION("""COMPUTED_VALUE"""),"-")</f>
        <v>-</v>
      </c>
      <c r="J158" s="19">
        <f>IFERROR(__xludf.DUMMYFUNCTION("""COMPUTED_VALUE"""),0.01963)</f>
        <v>0.01963</v>
      </c>
      <c r="K158" s="19">
        <f>IFERROR(__xludf.DUMMYFUNCTION("""COMPUTED_VALUE"""),0.12641)</f>
        <v>0.12641</v>
      </c>
      <c r="L158" s="19" t="str">
        <f>IFERROR(__xludf.DUMMYFUNCTION("""COMPUTED_VALUE"""),"-")</f>
        <v>-</v>
      </c>
      <c r="M158" s="19" t="str">
        <f>IFERROR(__xludf.DUMMYFUNCTION("""COMPUTED_VALUE"""),"-")</f>
        <v>-</v>
      </c>
    </row>
    <row r="159">
      <c r="A159" s="12" t="s">
        <v>8949</v>
      </c>
      <c r="G159" s="19">
        <f>IFERROR(__xludf.DUMMYFUNCTION("SPLIT(A157, "" |"")"),77001.0)</f>
        <v>77001</v>
      </c>
      <c r="H159" s="19">
        <f>IFERROR(__xludf.DUMMYFUNCTION("""COMPUTED_VALUE"""),0.00222)</f>
        <v>0.00222</v>
      </c>
      <c r="I159" s="19" t="str">
        <f>IFERROR(__xludf.DUMMYFUNCTION("""COMPUTED_VALUE"""),"-")</f>
        <v>-</v>
      </c>
      <c r="J159" s="19">
        <f>IFERROR(__xludf.DUMMYFUNCTION("""COMPUTED_VALUE"""),0.01955)</f>
        <v>0.01955</v>
      </c>
      <c r="K159" s="19">
        <f>IFERROR(__xludf.DUMMYFUNCTION("""COMPUTED_VALUE"""),0.13194)</f>
        <v>0.13194</v>
      </c>
      <c r="L159" s="19" t="str">
        <f>IFERROR(__xludf.DUMMYFUNCTION("""COMPUTED_VALUE"""),"-")</f>
        <v>-</v>
      </c>
      <c r="M159" s="19" t="str">
        <f>IFERROR(__xludf.DUMMYFUNCTION("""COMPUTED_VALUE"""),"-")</f>
        <v>-</v>
      </c>
    </row>
    <row r="160">
      <c r="A160" s="12" t="s">
        <v>8950</v>
      </c>
      <c r="G160" s="19">
        <f>IFERROR(__xludf.DUMMYFUNCTION("SPLIT(A158, "" |"")"),77501.0)</f>
        <v>77501</v>
      </c>
      <c r="H160" s="19">
        <f>IFERROR(__xludf.DUMMYFUNCTION("""COMPUTED_VALUE"""),0.00213)</f>
        <v>0.00213</v>
      </c>
      <c r="I160" s="19" t="str">
        <f>IFERROR(__xludf.DUMMYFUNCTION("""COMPUTED_VALUE"""),"-")</f>
        <v>-</v>
      </c>
      <c r="J160" s="19">
        <f>IFERROR(__xludf.DUMMYFUNCTION("""COMPUTED_VALUE"""),0.01956)</f>
        <v>0.01956</v>
      </c>
      <c r="K160" s="19">
        <f>IFERROR(__xludf.DUMMYFUNCTION("""COMPUTED_VALUE"""),0.132)</f>
        <v>0.132</v>
      </c>
      <c r="L160" s="19" t="str">
        <f>IFERROR(__xludf.DUMMYFUNCTION("""COMPUTED_VALUE"""),"-")</f>
        <v>-</v>
      </c>
      <c r="M160" s="19" t="str">
        <f>IFERROR(__xludf.DUMMYFUNCTION("""COMPUTED_VALUE"""),"-")</f>
        <v>-</v>
      </c>
    </row>
    <row r="161">
      <c r="A161" s="12" t="s">
        <v>8951</v>
      </c>
      <c r="G161" s="19">
        <f>IFERROR(__xludf.DUMMYFUNCTION("SPLIT(A159, "" |"")"),78001.0)</f>
        <v>78001</v>
      </c>
      <c r="H161" s="19">
        <f>IFERROR(__xludf.DUMMYFUNCTION("""COMPUTED_VALUE"""),0.00233)</f>
        <v>0.00233</v>
      </c>
      <c r="I161" s="19" t="str">
        <f>IFERROR(__xludf.DUMMYFUNCTION("""COMPUTED_VALUE"""),"-")</f>
        <v>-</v>
      </c>
      <c r="J161" s="19">
        <f>IFERROR(__xludf.DUMMYFUNCTION("""COMPUTED_VALUE"""),0.01959)</f>
        <v>0.01959</v>
      </c>
      <c r="K161" s="19">
        <f>IFERROR(__xludf.DUMMYFUNCTION("""COMPUTED_VALUE"""),0.13199)</f>
        <v>0.13199</v>
      </c>
      <c r="L161" s="19" t="str">
        <f>IFERROR(__xludf.DUMMYFUNCTION("""COMPUTED_VALUE"""),"-")</f>
        <v>-</v>
      </c>
      <c r="M161" s="19" t="str">
        <f>IFERROR(__xludf.DUMMYFUNCTION("""COMPUTED_VALUE"""),"-")</f>
        <v>-</v>
      </c>
    </row>
    <row r="162">
      <c r="A162" s="12" t="s">
        <v>8952</v>
      </c>
      <c r="G162" s="19">
        <f>IFERROR(__xludf.DUMMYFUNCTION("SPLIT(A160, "" |"")"),78501.0)</f>
        <v>78501</v>
      </c>
      <c r="H162" s="19">
        <f>IFERROR(__xludf.DUMMYFUNCTION("""COMPUTED_VALUE"""),0.00233)</f>
        <v>0.00233</v>
      </c>
      <c r="I162" s="19" t="str">
        <f>IFERROR(__xludf.DUMMYFUNCTION("""COMPUTED_VALUE"""),"-")</f>
        <v>-</v>
      </c>
      <c r="J162" s="19">
        <f>IFERROR(__xludf.DUMMYFUNCTION("""COMPUTED_VALUE"""),0.01953)</f>
        <v>0.01953</v>
      </c>
      <c r="K162" s="19">
        <f>IFERROR(__xludf.DUMMYFUNCTION("""COMPUTED_VALUE"""),0.12877)</f>
        <v>0.12877</v>
      </c>
      <c r="L162" s="19" t="str">
        <f>IFERROR(__xludf.DUMMYFUNCTION("""COMPUTED_VALUE"""),"-")</f>
        <v>-</v>
      </c>
      <c r="M162" s="19" t="str">
        <f>IFERROR(__xludf.DUMMYFUNCTION("""COMPUTED_VALUE"""),"-")</f>
        <v>-</v>
      </c>
    </row>
    <row r="163">
      <c r="A163" s="12" t="s">
        <v>8953</v>
      </c>
      <c r="G163" s="19">
        <f>IFERROR(__xludf.DUMMYFUNCTION("SPLIT(A161, "" |"")"),79001.0)</f>
        <v>79001</v>
      </c>
      <c r="H163" s="19">
        <f>IFERROR(__xludf.DUMMYFUNCTION("""COMPUTED_VALUE"""),0.00225)</f>
        <v>0.00225</v>
      </c>
      <c r="I163" s="19" t="str">
        <f>IFERROR(__xludf.DUMMYFUNCTION("""COMPUTED_VALUE"""),"-")</f>
        <v>-</v>
      </c>
      <c r="J163" s="19">
        <f>IFERROR(__xludf.DUMMYFUNCTION("""COMPUTED_VALUE"""),0.01919)</f>
        <v>0.01919</v>
      </c>
      <c r="K163" s="19">
        <f>IFERROR(__xludf.DUMMYFUNCTION("""COMPUTED_VALUE"""),0.12427)</f>
        <v>0.12427</v>
      </c>
      <c r="L163" s="19" t="str">
        <f>IFERROR(__xludf.DUMMYFUNCTION("""COMPUTED_VALUE"""),"-")</f>
        <v>-</v>
      </c>
      <c r="M163" s="19" t="str">
        <f>IFERROR(__xludf.DUMMYFUNCTION("""COMPUTED_VALUE"""),"-")</f>
        <v>-</v>
      </c>
    </row>
    <row r="164">
      <c r="A164" s="12" t="s">
        <v>8954</v>
      </c>
      <c r="G164" s="19">
        <f>IFERROR(__xludf.DUMMYFUNCTION("SPLIT(A162, "" |"")"),79501.0)</f>
        <v>79501</v>
      </c>
      <c r="H164" s="19">
        <f>IFERROR(__xludf.DUMMYFUNCTION("""COMPUTED_VALUE"""),0.00226)</f>
        <v>0.00226</v>
      </c>
      <c r="I164" s="19" t="str">
        <f>IFERROR(__xludf.DUMMYFUNCTION("""COMPUTED_VALUE"""),"-")</f>
        <v>-</v>
      </c>
      <c r="J164" s="19">
        <f>IFERROR(__xludf.DUMMYFUNCTION("""COMPUTED_VALUE"""),0.0195)</f>
        <v>0.0195</v>
      </c>
      <c r="K164" s="19">
        <f>IFERROR(__xludf.DUMMYFUNCTION("""COMPUTED_VALUE"""),0.12904)</f>
        <v>0.12904</v>
      </c>
      <c r="L164" s="19" t="str">
        <f>IFERROR(__xludf.DUMMYFUNCTION("""COMPUTED_VALUE"""),"-")</f>
        <v>-</v>
      </c>
      <c r="M164" s="19" t="str">
        <f>IFERROR(__xludf.DUMMYFUNCTION("""COMPUTED_VALUE"""),"-")</f>
        <v>-</v>
      </c>
    </row>
    <row r="165">
      <c r="A165" s="12" t="s">
        <v>8955</v>
      </c>
      <c r="G165" s="19">
        <f>IFERROR(__xludf.DUMMYFUNCTION("SPLIT(A163, "" |"")"),80001.0)</f>
        <v>80001</v>
      </c>
      <c r="H165" s="19">
        <f>IFERROR(__xludf.DUMMYFUNCTION("""COMPUTED_VALUE"""),0.00227)</f>
        <v>0.00227</v>
      </c>
      <c r="I165" s="19" t="str">
        <f>IFERROR(__xludf.DUMMYFUNCTION("""COMPUTED_VALUE"""),"-")</f>
        <v>-</v>
      </c>
      <c r="J165" s="19">
        <f>IFERROR(__xludf.DUMMYFUNCTION("""COMPUTED_VALUE"""),0.01949)</f>
        <v>0.01949</v>
      </c>
      <c r="K165" s="19">
        <f>IFERROR(__xludf.DUMMYFUNCTION("""COMPUTED_VALUE"""),0.13169)</f>
        <v>0.13169</v>
      </c>
      <c r="L165" s="19" t="str">
        <f>IFERROR(__xludf.DUMMYFUNCTION("""COMPUTED_VALUE"""),"-")</f>
        <v>-</v>
      </c>
      <c r="M165" s="19" t="str">
        <f>IFERROR(__xludf.DUMMYFUNCTION("""COMPUTED_VALUE"""),"-")</f>
        <v>-</v>
      </c>
    </row>
    <row r="166">
      <c r="A166" s="12" t="s">
        <v>8956</v>
      </c>
      <c r="G166" s="19">
        <f>IFERROR(__xludf.DUMMYFUNCTION("SPLIT(A164, "" |"")"),80501.0)</f>
        <v>80501</v>
      </c>
      <c r="H166" s="19">
        <f>IFERROR(__xludf.DUMMYFUNCTION("""COMPUTED_VALUE"""),0.00232)</f>
        <v>0.00232</v>
      </c>
      <c r="I166" s="19" t="str">
        <f>IFERROR(__xludf.DUMMYFUNCTION("""COMPUTED_VALUE"""),"-")</f>
        <v>-</v>
      </c>
      <c r="J166" s="19">
        <f>IFERROR(__xludf.DUMMYFUNCTION("""COMPUTED_VALUE"""),0.01968)</f>
        <v>0.01968</v>
      </c>
      <c r="K166" s="19">
        <f>IFERROR(__xludf.DUMMYFUNCTION("""COMPUTED_VALUE"""),0.13145)</f>
        <v>0.13145</v>
      </c>
      <c r="L166" s="19" t="str">
        <f>IFERROR(__xludf.DUMMYFUNCTION("""COMPUTED_VALUE"""),"-")</f>
        <v>-</v>
      </c>
      <c r="M166" s="19" t="str">
        <f>IFERROR(__xludf.DUMMYFUNCTION("""COMPUTED_VALUE"""),"-")</f>
        <v>-</v>
      </c>
    </row>
    <row r="167">
      <c r="A167" s="12" t="s">
        <v>8957</v>
      </c>
      <c r="G167" s="19">
        <f>IFERROR(__xludf.DUMMYFUNCTION("SPLIT(A165, "" |"")"),81001.0)</f>
        <v>81001</v>
      </c>
      <c r="H167" s="19">
        <f>IFERROR(__xludf.DUMMYFUNCTION("""COMPUTED_VALUE"""),0.00229)</f>
        <v>0.00229</v>
      </c>
      <c r="I167" s="19" t="str">
        <f>IFERROR(__xludf.DUMMYFUNCTION("""COMPUTED_VALUE"""),"-")</f>
        <v>-</v>
      </c>
      <c r="J167" s="19">
        <f>IFERROR(__xludf.DUMMYFUNCTION("""COMPUTED_VALUE"""),0.01951)</f>
        <v>0.01951</v>
      </c>
      <c r="K167" s="19">
        <f>IFERROR(__xludf.DUMMYFUNCTION("""COMPUTED_VALUE"""),0.12126)</f>
        <v>0.12126</v>
      </c>
      <c r="L167" s="19" t="str">
        <f>IFERROR(__xludf.DUMMYFUNCTION("""COMPUTED_VALUE"""),"-")</f>
        <v>-</v>
      </c>
      <c r="M167" s="19" t="str">
        <f>IFERROR(__xludf.DUMMYFUNCTION("""COMPUTED_VALUE"""),"-")</f>
        <v>-</v>
      </c>
    </row>
    <row r="168">
      <c r="A168" s="12" t="s">
        <v>8958</v>
      </c>
      <c r="G168" s="19">
        <f>IFERROR(__xludf.DUMMYFUNCTION("SPLIT(A166, "" |"")"),81501.0)</f>
        <v>81501</v>
      </c>
      <c r="H168" s="19">
        <f>IFERROR(__xludf.DUMMYFUNCTION("""COMPUTED_VALUE"""),0.00236)</f>
        <v>0.00236</v>
      </c>
      <c r="I168" s="19" t="str">
        <f>IFERROR(__xludf.DUMMYFUNCTION("""COMPUTED_VALUE"""),"-")</f>
        <v>-</v>
      </c>
      <c r="J168" s="19">
        <f>IFERROR(__xludf.DUMMYFUNCTION("""COMPUTED_VALUE"""),0.01956)</f>
        <v>0.01956</v>
      </c>
      <c r="K168" s="19">
        <f>IFERROR(__xludf.DUMMYFUNCTION("""COMPUTED_VALUE"""),0.13163)</f>
        <v>0.13163</v>
      </c>
      <c r="L168" s="19" t="str">
        <f>IFERROR(__xludf.DUMMYFUNCTION("""COMPUTED_VALUE"""),"-")</f>
        <v>-</v>
      </c>
      <c r="M168" s="19" t="str">
        <f>IFERROR(__xludf.DUMMYFUNCTION("""COMPUTED_VALUE"""),"-")</f>
        <v>-</v>
      </c>
    </row>
    <row r="169">
      <c r="A169" s="12" t="s">
        <v>8959</v>
      </c>
      <c r="G169" s="19">
        <f>IFERROR(__xludf.DUMMYFUNCTION("SPLIT(A167, "" |"")"),82001.0)</f>
        <v>82001</v>
      </c>
      <c r="H169" s="19">
        <f>IFERROR(__xludf.DUMMYFUNCTION("""COMPUTED_VALUE"""),0.00209)</f>
        <v>0.00209</v>
      </c>
      <c r="I169" s="19" t="str">
        <f>IFERROR(__xludf.DUMMYFUNCTION("""COMPUTED_VALUE"""),"-")</f>
        <v>-</v>
      </c>
      <c r="J169" s="19">
        <f>IFERROR(__xludf.DUMMYFUNCTION("""COMPUTED_VALUE"""),0.01959)</f>
        <v>0.01959</v>
      </c>
      <c r="K169" s="19">
        <f>IFERROR(__xludf.DUMMYFUNCTION("""COMPUTED_VALUE"""),0.13163)</f>
        <v>0.13163</v>
      </c>
      <c r="L169" s="19" t="str">
        <f>IFERROR(__xludf.DUMMYFUNCTION("""COMPUTED_VALUE"""),"-")</f>
        <v>-</v>
      </c>
      <c r="M169" s="19" t="str">
        <f>IFERROR(__xludf.DUMMYFUNCTION("""COMPUTED_VALUE"""),"-")</f>
        <v>-</v>
      </c>
    </row>
    <row r="170">
      <c r="A170" s="12" t="s">
        <v>8960</v>
      </c>
      <c r="G170" s="19">
        <f>IFERROR(__xludf.DUMMYFUNCTION("SPLIT(A168, "" |"")"),82501.0)</f>
        <v>82501</v>
      </c>
      <c r="H170" s="19">
        <f>IFERROR(__xludf.DUMMYFUNCTION("""COMPUTED_VALUE"""),0.00231)</f>
        <v>0.00231</v>
      </c>
      <c r="I170" s="19" t="str">
        <f>IFERROR(__xludf.DUMMYFUNCTION("""COMPUTED_VALUE"""),"-")</f>
        <v>-</v>
      </c>
      <c r="J170" s="19">
        <f>IFERROR(__xludf.DUMMYFUNCTION("""COMPUTED_VALUE"""),0.01953)</f>
        <v>0.01953</v>
      </c>
      <c r="K170" s="19">
        <f>IFERROR(__xludf.DUMMYFUNCTION("""COMPUTED_VALUE"""),0.12757)</f>
        <v>0.12757</v>
      </c>
      <c r="L170" s="19" t="str">
        <f>IFERROR(__xludf.DUMMYFUNCTION("""COMPUTED_VALUE"""),"-")</f>
        <v>-</v>
      </c>
      <c r="M170" s="19" t="str">
        <f>IFERROR(__xludf.DUMMYFUNCTION("""COMPUTED_VALUE"""),"-")</f>
        <v>-</v>
      </c>
    </row>
    <row r="171">
      <c r="A171" s="12" t="s">
        <v>8961</v>
      </c>
      <c r="G171" s="19">
        <f>IFERROR(__xludf.DUMMYFUNCTION("SPLIT(A169, "" |"")"),83001.0)</f>
        <v>83001</v>
      </c>
      <c r="H171" s="19">
        <f>IFERROR(__xludf.DUMMYFUNCTION("""COMPUTED_VALUE"""),0.00227)</f>
        <v>0.00227</v>
      </c>
      <c r="I171" s="19" t="str">
        <f>IFERROR(__xludf.DUMMYFUNCTION("""COMPUTED_VALUE"""),"-")</f>
        <v>-</v>
      </c>
      <c r="J171" s="19">
        <f>IFERROR(__xludf.DUMMYFUNCTION("""COMPUTED_VALUE"""),0.0195)</f>
        <v>0.0195</v>
      </c>
      <c r="K171" s="19">
        <f>IFERROR(__xludf.DUMMYFUNCTION("""COMPUTED_VALUE"""),0.13185)</f>
        <v>0.13185</v>
      </c>
      <c r="L171" s="19" t="str">
        <f>IFERROR(__xludf.DUMMYFUNCTION("""COMPUTED_VALUE"""),"-")</f>
        <v>-</v>
      </c>
      <c r="M171" s="19" t="str">
        <f>IFERROR(__xludf.DUMMYFUNCTION("""COMPUTED_VALUE"""),"-")</f>
        <v>-</v>
      </c>
    </row>
    <row r="172">
      <c r="A172" s="12" t="s">
        <v>8962</v>
      </c>
      <c r="G172" s="19">
        <f>IFERROR(__xludf.DUMMYFUNCTION("SPLIT(A170, "" |"")"),83501.0)</f>
        <v>83501</v>
      </c>
      <c r="H172" s="19">
        <f>IFERROR(__xludf.DUMMYFUNCTION("""COMPUTED_VALUE"""),0.00225)</f>
        <v>0.00225</v>
      </c>
      <c r="I172" s="19" t="str">
        <f>IFERROR(__xludf.DUMMYFUNCTION("""COMPUTED_VALUE"""),"-")</f>
        <v>-</v>
      </c>
      <c r="J172" s="19">
        <f>IFERROR(__xludf.DUMMYFUNCTION("""COMPUTED_VALUE"""),0.01954)</f>
        <v>0.01954</v>
      </c>
      <c r="K172" s="19">
        <f>IFERROR(__xludf.DUMMYFUNCTION("""COMPUTED_VALUE"""),0.12829)</f>
        <v>0.12829</v>
      </c>
      <c r="L172" s="19" t="str">
        <f>IFERROR(__xludf.DUMMYFUNCTION("""COMPUTED_VALUE"""),"-")</f>
        <v>-</v>
      </c>
      <c r="M172" s="19" t="str">
        <f>IFERROR(__xludf.DUMMYFUNCTION("""COMPUTED_VALUE"""),"-")</f>
        <v>-</v>
      </c>
    </row>
    <row r="173">
      <c r="A173" s="12" t="s">
        <v>8963</v>
      </c>
      <c r="G173" s="19">
        <f>IFERROR(__xludf.DUMMYFUNCTION("SPLIT(A171, "" |"")"),84001.0)</f>
        <v>84001</v>
      </c>
      <c r="H173" s="19">
        <f>IFERROR(__xludf.DUMMYFUNCTION("""COMPUTED_VALUE"""),0.00235)</f>
        <v>0.00235</v>
      </c>
      <c r="I173" s="19" t="str">
        <f>IFERROR(__xludf.DUMMYFUNCTION("""COMPUTED_VALUE"""),"-")</f>
        <v>-</v>
      </c>
      <c r="J173" s="19">
        <f>IFERROR(__xludf.DUMMYFUNCTION("""COMPUTED_VALUE"""),0.01942)</f>
        <v>0.01942</v>
      </c>
      <c r="K173" s="19">
        <f>IFERROR(__xludf.DUMMYFUNCTION("""COMPUTED_VALUE"""),0.13165)</f>
        <v>0.13165</v>
      </c>
      <c r="L173" s="19" t="str">
        <f>IFERROR(__xludf.DUMMYFUNCTION("""COMPUTED_VALUE"""),"-")</f>
        <v>-</v>
      </c>
      <c r="M173" s="19" t="str">
        <f>IFERROR(__xludf.DUMMYFUNCTION("""COMPUTED_VALUE"""),"-")</f>
        <v>-</v>
      </c>
    </row>
    <row r="174">
      <c r="A174" s="12" t="s">
        <v>8964</v>
      </c>
      <c r="G174" s="19">
        <f>IFERROR(__xludf.DUMMYFUNCTION("SPLIT(A172, "" |"")"),84501.0)</f>
        <v>84501</v>
      </c>
      <c r="H174" s="19">
        <f>IFERROR(__xludf.DUMMYFUNCTION("""COMPUTED_VALUE"""),0.00241)</f>
        <v>0.00241</v>
      </c>
      <c r="I174" s="19" t="str">
        <f>IFERROR(__xludf.DUMMYFUNCTION("""COMPUTED_VALUE"""),"-")</f>
        <v>-</v>
      </c>
      <c r="J174" s="19">
        <f>IFERROR(__xludf.DUMMYFUNCTION("""COMPUTED_VALUE"""),0.01947)</f>
        <v>0.01947</v>
      </c>
      <c r="K174" s="19">
        <f>IFERROR(__xludf.DUMMYFUNCTION("""COMPUTED_VALUE"""),0.13164)</f>
        <v>0.13164</v>
      </c>
      <c r="L174" s="19" t="str">
        <f>IFERROR(__xludf.DUMMYFUNCTION("""COMPUTED_VALUE"""),"-")</f>
        <v>-</v>
      </c>
      <c r="M174" s="19" t="str">
        <f>IFERROR(__xludf.DUMMYFUNCTION("""COMPUTED_VALUE"""),"-")</f>
        <v>-</v>
      </c>
    </row>
    <row r="175">
      <c r="A175" s="12" t="s">
        <v>8965</v>
      </c>
      <c r="G175" s="19">
        <f>IFERROR(__xludf.DUMMYFUNCTION("SPLIT(A173, "" |"")"),85001.0)</f>
        <v>85001</v>
      </c>
      <c r="H175" s="19">
        <f>IFERROR(__xludf.DUMMYFUNCTION("""COMPUTED_VALUE"""),0.00211)</f>
        <v>0.00211</v>
      </c>
      <c r="I175" s="19" t="str">
        <f>IFERROR(__xludf.DUMMYFUNCTION("""COMPUTED_VALUE"""),"-")</f>
        <v>-</v>
      </c>
      <c r="J175" s="19">
        <f>IFERROR(__xludf.DUMMYFUNCTION("""COMPUTED_VALUE"""),0.07643)</f>
        <v>0.07643</v>
      </c>
      <c r="K175" s="19">
        <f>IFERROR(__xludf.DUMMYFUNCTION("""COMPUTED_VALUE"""),0.12718)</f>
        <v>0.12718</v>
      </c>
      <c r="L175" s="19" t="str">
        <f>IFERROR(__xludf.DUMMYFUNCTION("""COMPUTED_VALUE"""),"-")</f>
        <v>-</v>
      </c>
      <c r="M175" s="19" t="str">
        <f>IFERROR(__xludf.DUMMYFUNCTION("""COMPUTED_VALUE"""),"-")</f>
        <v>-</v>
      </c>
    </row>
    <row r="176">
      <c r="A176" s="12" t="s">
        <v>8966</v>
      </c>
      <c r="G176" s="19">
        <f>IFERROR(__xludf.DUMMYFUNCTION("SPLIT(A174, "" |"")"),85501.0)</f>
        <v>85501</v>
      </c>
      <c r="H176" s="19">
        <f>IFERROR(__xludf.DUMMYFUNCTION("""COMPUTED_VALUE"""),0.00236)</f>
        <v>0.00236</v>
      </c>
      <c r="I176" s="19" t="str">
        <f>IFERROR(__xludf.DUMMYFUNCTION("""COMPUTED_VALUE"""),"-")</f>
        <v>-</v>
      </c>
      <c r="J176" s="19">
        <f>IFERROR(__xludf.DUMMYFUNCTION("""COMPUTED_VALUE"""),0.02018)</f>
        <v>0.02018</v>
      </c>
      <c r="K176" s="19">
        <f>IFERROR(__xludf.DUMMYFUNCTION("""COMPUTED_VALUE"""),0.12877)</f>
        <v>0.12877</v>
      </c>
      <c r="L176" s="19" t="str">
        <f>IFERROR(__xludf.DUMMYFUNCTION("""COMPUTED_VALUE"""),"-")</f>
        <v>-</v>
      </c>
      <c r="M176" s="19" t="str">
        <f>IFERROR(__xludf.DUMMYFUNCTION("""COMPUTED_VALUE"""),"-")</f>
        <v>-</v>
      </c>
    </row>
    <row r="177">
      <c r="A177" s="12" t="s">
        <v>8967</v>
      </c>
      <c r="G177" s="19">
        <f>IFERROR(__xludf.DUMMYFUNCTION("SPLIT(A175, "" |"")"),86001.0)</f>
        <v>86001</v>
      </c>
      <c r="H177" s="19">
        <f>IFERROR(__xludf.DUMMYFUNCTION("""COMPUTED_VALUE"""),0.00218)</f>
        <v>0.00218</v>
      </c>
      <c r="I177" s="19" t="str">
        <f>IFERROR(__xludf.DUMMYFUNCTION("""COMPUTED_VALUE"""),"-")</f>
        <v>-</v>
      </c>
      <c r="J177" s="19">
        <f>IFERROR(__xludf.DUMMYFUNCTION("""COMPUTED_VALUE"""),0.01959)</f>
        <v>0.01959</v>
      </c>
      <c r="K177" s="19">
        <f>IFERROR(__xludf.DUMMYFUNCTION("""COMPUTED_VALUE"""),0.12104)</f>
        <v>0.12104</v>
      </c>
      <c r="L177" s="19" t="str">
        <f>IFERROR(__xludf.DUMMYFUNCTION("""COMPUTED_VALUE"""),"-")</f>
        <v>-</v>
      </c>
      <c r="M177" s="19" t="str">
        <f>IFERROR(__xludf.DUMMYFUNCTION("""COMPUTED_VALUE"""),"-")</f>
        <v>-</v>
      </c>
    </row>
    <row r="178">
      <c r="A178" s="12" t="s">
        <v>8968</v>
      </c>
      <c r="G178" s="19">
        <f>IFERROR(__xludf.DUMMYFUNCTION("SPLIT(A176, "" |"")"),86501.0)</f>
        <v>86501</v>
      </c>
      <c r="H178" s="19">
        <f>IFERROR(__xludf.DUMMYFUNCTION("""COMPUTED_VALUE"""),0.00243)</f>
        <v>0.00243</v>
      </c>
      <c r="I178" s="19" t="str">
        <f>IFERROR(__xludf.DUMMYFUNCTION("""COMPUTED_VALUE"""),"-")</f>
        <v>-</v>
      </c>
      <c r="J178" s="19">
        <f>IFERROR(__xludf.DUMMYFUNCTION("""COMPUTED_VALUE"""),0.01812)</f>
        <v>0.01812</v>
      </c>
      <c r="K178" s="19">
        <f>IFERROR(__xludf.DUMMYFUNCTION("""COMPUTED_VALUE"""),0.1318)</f>
        <v>0.1318</v>
      </c>
      <c r="L178" s="19" t="str">
        <f>IFERROR(__xludf.DUMMYFUNCTION("""COMPUTED_VALUE"""),"-")</f>
        <v>-</v>
      </c>
      <c r="M178" s="19" t="str">
        <f>IFERROR(__xludf.DUMMYFUNCTION("""COMPUTED_VALUE"""),"-")</f>
        <v>-</v>
      </c>
    </row>
    <row r="179">
      <c r="A179" s="12" t="s">
        <v>8969</v>
      </c>
      <c r="G179" s="19">
        <f>IFERROR(__xludf.DUMMYFUNCTION("SPLIT(A177, "" |"")"),87001.0)</f>
        <v>87001</v>
      </c>
      <c r="H179" s="19">
        <f>IFERROR(__xludf.DUMMYFUNCTION("""COMPUTED_VALUE"""),0.00227)</f>
        <v>0.00227</v>
      </c>
      <c r="I179" s="19" t="str">
        <f>IFERROR(__xludf.DUMMYFUNCTION("""COMPUTED_VALUE"""),"-")</f>
        <v>-</v>
      </c>
      <c r="J179" s="19">
        <f>IFERROR(__xludf.DUMMYFUNCTION("""COMPUTED_VALUE"""),0.01954)</f>
        <v>0.01954</v>
      </c>
      <c r="K179" s="19">
        <f>IFERROR(__xludf.DUMMYFUNCTION("""COMPUTED_VALUE"""),0.13186)</f>
        <v>0.13186</v>
      </c>
      <c r="L179" s="19" t="str">
        <f>IFERROR(__xludf.DUMMYFUNCTION("""COMPUTED_VALUE"""),"-")</f>
        <v>-</v>
      </c>
      <c r="M179" s="19" t="str">
        <f>IFERROR(__xludf.DUMMYFUNCTION("""COMPUTED_VALUE"""),"-")</f>
        <v>-</v>
      </c>
    </row>
    <row r="180">
      <c r="A180" s="12" t="s">
        <v>8970</v>
      </c>
      <c r="G180" s="19">
        <f>IFERROR(__xludf.DUMMYFUNCTION("SPLIT(A178, "" |"")"),87501.0)</f>
        <v>87501</v>
      </c>
      <c r="H180" s="19">
        <f>IFERROR(__xludf.DUMMYFUNCTION("""COMPUTED_VALUE"""),0.00223)</f>
        <v>0.00223</v>
      </c>
      <c r="I180" s="19" t="str">
        <f>IFERROR(__xludf.DUMMYFUNCTION("""COMPUTED_VALUE"""),"-")</f>
        <v>-</v>
      </c>
      <c r="J180" s="19">
        <f>IFERROR(__xludf.DUMMYFUNCTION("""COMPUTED_VALUE"""),0.0195)</f>
        <v>0.0195</v>
      </c>
      <c r="K180" s="19">
        <f>IFERROR(__xludf.DUMMYFUNCTION("""COMPUTED_VALUE"""),0.13171)</f>
        <v>0.13171</v>
      </c>
      <c r="L180" s="19" t="str">
        <f>IFERROR(__xludf.DUMMYFUNCTION("""COMPUTED_VALUE"""),"-")</f>
        <v>-</v>
      </c>
      <c r="M180" s="19" t="str">
        <f>IFERROR(__xludf.DUMMYFUNCTION("""COMPUTED_VALUE"""),"-")</f>
        <v>-</v>
      </c>
    </row>
    <row r="181">
      <c r="A181" s="12" t="s">
        <v>8971</v>
      </c>
      <c r="G181" s="19">
        <f>IFERROR(__xludf.DUMMYFUNCTION("SPLIT(A179, "" |"")"),88001.0)</f>
        <v>88001</v>
      </c>
      <c r="H181" s="19">
        <f>IFERROR(__xludf.DUMMYFUNCTION("""COMPUTED_VALUE"""),0.00218)</f>
        <v>0.00218</v>
      </c>
      <c r="I181" s="19" t="str">
        <f>IFERROR(__xludf.DUMMYFUNCTION("""COMPUTED_VALUE"""),"-")</f>
        <v>-</v>
      </c>
      <c r="J181" s="19">
        <f>IFERROR(__xludf.DUMMYFUNCTION("""COMPUTED_VALUE"""),0.01964)</f>
        <v>0.01964</v>
      </c>
      <c r="K181" s="19">
        <f>IFERROR(__xludf.DUMMYFUNCTION("""COMPUTED_VALUE"""),0.13082)</f>
        <v>0.13082</v>
      </c>
      <c r="L181" s="19" t="str">
        <f>IFERROR(__xludf.DUMMYFUNCTION("""COMPUTED_VALUE"""),"-")</f>
        <v>-</v>
      </c>
      <c r="M181" s="19" t="str">
        <f>IFERROR(__xludf.DUMMYFUNCTION("""COMPUTED_VALUE"""),"-")</f>
        <v>-</v>
      </c>
    </row>
    <row r="182">
      <c r="A182" s="12" t="s">
        <v>8972</v>
      </c>
      <c r="G182" s="19">
        <f>IFERROR(__xludf.DUMMYFUNCTION("SPLIT(A180, "" |"")"),88501.0)</f>
        <v>88501</v>
      </c>
      <c r="H182" s="19">
        <f>IFERROR(__xludf.DUMMYFUNCTION("""COMPUTED_VALUE"""),0.00228)</f>
        <v>0.00228</v>
      </c>
      <c r="I182" s="19" t="str">
        <f>IFERROR(__xludf.DUMMYFUNCTION("""COMPUTED_VALUE"""),"-")</f>
        <v>-</v>
      </c>
      <c r="J182" s="19">
        <f>IFERROR(__xludf.DUMMYFUNCTION("""COMPUTED_VALUE"""),0.01954)</f>
        <v>0.01954</v>
      </c>
      <c r="K182" s="19">
        <f>IFERROR(__xludf.DUMMYFUNCTION("""COMPUTED_VALUE"""),0.13131)</f>
        <v>0.13131</v>
      </c>
      <c r="L182" s="19" t="str">
        <f>IFERROR(__xludf.DUMMYFUNCTION("""COMPUTED_VALUE"""),"-")</f>
        <v>-</v>
      </c>
      <c r="M182" s="19" t="str">
        <f>IFERROR(__xludf.DUMMYFUNCTION("""COMPUTED_VALUE"""),"-")</f>
        <v>-</v>
      </c>
    </row>
    <row r="183">
      <c r="A183" s="12" t="s">
        <v>8973</v>
      </c>
      <c r="G183" s="19">
        <f>IFERROR(__xludf.DUMMYFUNCTION("SPLIT(A181, "" |"")"),89001.0)</f>
        <v>89001</v>
      </c>
      <c r="H183" s="19">
        <f>IFERROR(__xludf.DUMMYFUNCTION("""COMPUTED_VALUE"""),0.00219)</f>
        <v>0.00219</v>
      </c>
      <c r="I183" s="19" t="str">
        <f>IFERROR(__xludf.DUMMYFUNCTION("""COMPUTED_VALUE"""),"-")</f>
        <v>-</v>
      </c>
      <c r="J183" s="19">
        <f>IFERROR(__xludf.DUMMYFUNCTION("""COMPUTED_VALUE"""),0.01959)</f>
        <v>0.01959</v>
      </c>
      <c r="K183" s="19">
        <f>IFERROR(__xludf.DUMMYFUNCTION("""COMPUTED_VALUE"""),0.12699)</f>
        <v>0.12699</v>
      </c>
      <c r="L183" s="19" t="str">
        <f>IFERROR(__xludf.DUMMYFUNCTION("""COMPUTED_VALUE"""),"-")</f>
        <v>-</v>
      </c>
      <c r="M183" s="19" t="str">
        <f>IFERROR(__xludf.DUMMYFUNCTION("""COMPUTED_VALUE"""),"-")</f>
        <v>-</v>
      </c>
    </row>
    <row r="184">
      <c r="A184" s="12" t="s">
        <v>8974</v>
      </c>
      <c r="G184" s="19">
        <f>IFERROR(__xludf.DUMMYFUNCTION("SPLIT(A182, "" |"")"),89501.0)</f>
        <v>89501</v>
      </c>
      <c r="H184" s="19">
        <f>IFERROR(__xludf.DUMMYFUNCTION("""COMPUTED_VALUE"""),0.00211)</f>
        <v>0.00211</v>
      </c>
      <c r="I184" s="19" t="str">
        <f>IFERROR(__xludf.DUMMYFUNCTION("""COMPUTED_VALUE"""),"-")</f>
        <v>-</v>
      </c>
      <c r="J184" s="19">
        <f>IFERROR(__xludf.DUMMYFUNCTION("""COMPUTED_VALUE"""),0.01859)</f>
        <v>0.01859</v>
      </c>
      <c r="K184" s="19">
        <f>IFERROR(__xludf.DUMMYFUNCTION("""COMPUTED_VALUE"""),0.12971)</f>
        <v>0.12971</v>
      </c>
      <c r="L184" s="19" t="str">
        <f>IFERROR(__xludf.DUMMYFUNCTION("""COMPUTED_VALUE"""),"-")</f>
        <v>-</v>
      </c>
      <c r="M184" s="19" t="str">
        <f>IFERROR(__xludf.DUMMYFUNCTION("""COMPUTED_VALUE"""),"-")</f>
        <v>-</v>
      </c>
    </row>
    <row r="185">
      <c r="A185" s="12" t="s">
        <v>8975</v>
      </c>
      <c r="G185" s="19">
        <f>IFERROR(__xludf.DUMMYFUNCTION("SPLIT(A183, "" |"")"),90001.0)</f>
        <v>90001</v>
      </c>
      <c r="H185" s="19">
        <f>IFERROR(__xludf.DUMMYFUNCTION("""COMPUTED_VALUE"""),0.00232)</f>
        <v>0.00232</v>
      </c>
      <c r="I185" s="19" t="str">
        <f>IFERROR(__xludf.DUMMYFUNCTION("""COMPUTED_VALUE"""),"-")</f>
        <v>-</v>
      </c>
      <c r="J185" s="19">
        <f>IFERROR(__xludf.DUMMYFUNCTION("""COMPUTED_VALUE"""),0.01952)</f>
        <v>0.01952</v>
      </c>
      <c r="K185" s="19">
        <f>IFERROR(__xludf.DUMMYFUNCTION("""COMPUTED_VALUE"""),0.13177)</f>
        <v>0.13177</v>
      </c>
      <c r="L185" s="19" t="str">
        <f>IFERROR(__xludf.DUMMYFUNCTION("""COMPUTED_VALUE"""),"-")</f>
        <v>-</v>
      </c>
      <c r="M185" s="19" t="str">
        <f>IFERROR(__xludf.DUMMYFUNCTION("""COMPUTED_VALUE"""),"-")</f>
        <v>-</v>
      </c>
    </row>
    <row r="186">
      <c r="A186" s="12" t="s">
        <v>8976</v>
      </c>
      <c r="G186" s="19">
        <f>IFERROR(__xludf.DUMMYFUNCTION("SPLIT(A184, "" |"")"),90501.0)</f>
        <v>90501</v>
      </c>
      <c r="H186" s="19">
        <f>IFERROR(__xludf.DUMMYFUNCTION("""COMPUTED_VALUE"""),0.00248)</f>
        <v>0.00248</v>
      </c>
      <c r="I186" s="19" t="str">
        <f>IFERROR(__xludf.DUMMYFUNCTION("""COMPUTED_VALUE"""),"-")</f>
        <v>-</v>
      </c>
      <c r="J186" s="19">
        <f>IFERROR(__xludf.DUMMYFUNCTION("""COMPUTED_VALUE"""),0.01956)</f>
        <v>0.01956</v>
      </c>
      <c r="K186" s="19">
        <f>IFERROR(__xludf.DUMMYFUNCTION("""COMPUTED_VALUE"""),0.1227)</f>
        <v>0.1227</v>
      </c>
      <c r="L186" s="19" t="str">
        <f>IFERROR(__xludf.DUMMYFUNCTION("""COMPUTED_VALUE"""),"-")</f>
        <v>-</v>
      </c>
      <c r="M186" s="19" t="str">
        <f>IFERROR(__xludf.DUMMYFUNCTION("""COMPUTED_VALUE"""),"-")</f>
        <v>-</v>
      </c>
    </row>
    <row r="187">
      <c r="A187" s="12" t="s">
        <v>8977</v>
      </c>
      <c r="G187" s="19">
        <f>IFERROR(__xludf.DUMMYFUNCTION("SPLIT(A185, "" |"")"),91001.0)</f>
        <v>91001</v>
      </c>
      <c r="H187" s="19">
        <f>IFERROR(__xludf.DUMMYFUNCTION("""COMPUTED_VALUE"""),0.00219)</f>
        <v>0.00219</v>
      </c>
      <c r="I187" s="19" t="str">
        <f>IFERROR(__xludf.DUMMYFUNCTION("""COMPUTED_VALUE"""),"-")</f>
        <v>-</v>
      </c>
      <c r="J187" s="19">
        <f>IFERROR(__xludf.DUMMYFUNCTION("""COMPUTED_VALUE"""),0.01843)</f>
        <v>0.01843</v>
      </c>
      <c r="K187" s="19">
        <f>IFERROR(__xludf.DUMMYFUNCTION("""COMPUTED_VALUE"""),0.12572)</f>
        <v>0.12572</v>
      </c>
      <c r="L187" s="19" t="str">
        <f>IFERROR(__xludf.DUMMYFUNCTION("""COMPUTED_VALUE"""),"-")</f>
        <v>-</v>
      </c>
      <c r="M187" s="19" t="str">
        <f>IFERROR(__xludf.DUMMYFUNCTION("""COMPUTED_VALUE"""),"-")</f>
        <v>-</v>
      </c>
    </row>
    <row r="188">
      <c r="A188" s="12" t="s">
        <v>8978</v>
      </c>
      <c r="G188" s="19">
        <f>IFERROR(__xludf.DUMMYFUNCTION("SPLIT(A186, "" |"")"),91501.0)</f>
        <v>91501</v>
      </c>
      <c r="H188" s="19">
        <f>IFERROR(__xludf.DUMMYFUNCTION("""COMPUTED_VALUE"""),0.0023)</f>
        <v>0.0023</v>
      </c>
      <c r="I188" s="19" t="str">
        <f>IFERROR(__xludf.DUMMYFUNCTION("""COMPUTED_VALUE"""),"-")</f>
        <v>-</v>
      </c>
      <c r="J188" s="19">
        <f>IFERROR(__xludf.DUMMYFUNCTION("""COMPUTED_VALUE"""),0.01983)</f>
        <v>0.01983</v>
      </c>
      <c r="K188" s="19">
        <f>IFERROR(__xludf.DUMMYFUNCTION("""COMPUTED_VALUE"""),0.12741)</f>
        <v>0.12741</v>
      </c>
      <c r="L188" s="19" t="str">
        <f>IFERROR(__xludf.DUMMYFUNCTION("""COMPUTED_VALUE"""),"-")</f>
        <v>-</v>
      </c>
      <c r="M188" s="19" t="str">
        <f>IFERROR(__xludf.DUMMYFUNCTION("""COMPUTED_VALUE"""),"-")</f>
        <v>-</v>
      </c>
    </row>
    <row r="189">
      <c r="A189" s="12" t="s">
        <v>8979</v>
      </c>
      <c r="G189" s="19">
        <f>IFERROR(__xludf.DUMMYFUNCTION("SPLIT(A187, "" |"")"),92001.0)</f>
        <v>92001</v>
      </c>
      <c r="H189" s="19">
        <f>IFERROR(__xludf.DUMMYFUNCTION("""COMPUTED_VALUE"""),0.00226)</f>
        <v>0.00226</v>
      </c>
      <c r="I189" s="19" t="str">
        <f>IFERROR(__xludf.DUMMYFUNCTION("""COMPUTED_VALUE"""),"-")</f>
        <v>-</v>
      </c>
      <c r="J189" s="19">
        <f>IFERROR(__xludf.DUMMYFUNCTION("""COMPUTED_VALUE"""),0.01961)</f>
        <v>0.01961</v>
      </c>
      <c r="K189" s="19">
        <f>IFERROR(__xludf.DUMMYFUNCTION("""COMPUTED_VALUE"""),0.13132)</f>
        <v>0.13132</v>
      </c>
      <c r="L189" s="19" t="str">
        <f>IFERROR(__xludf.DUMMYFUNCTION("""COMPUTED_VALUE"""),"-")</f>
        <v>-</v>
      </c>
      <c r="M189" s="19" t="str">
        <f>IFERROR(__xludf.DUMMYFUNCTION("""COMPUTED_VALUE"""),"-")</f>
        <v>-</v>
      </c>
    </row>
    <row r="190">
      <c r="A190" s="12" t="s">
        <v>8980</v>
      </c>
      <c r="G190" s="19">
        <f>IFERROR(__xludf.DUMMYFUNCTION("SPLIT(A188, "" |"")"),92501.0)</f>
        <v>92501</v>
      </c>
      <c r="H190" s="19">
        <f>IFERROR(__xludf.DUMMYFUNCTION("""COMPUTED_VALUE"""),0.00252)</f>
        <v>0.00252</v>
      </c>
      <c r="I190" s="19" t="str">
        <f>IFERROR(__xludf.DUMMYFUNCTION("""COMPUTED_VALUE"""),"-")</f>
        <v>-</v>
      </c>
      <c r="J190" s="19">
        <f>IFERROR(__xludf.DUMMYFUNCTION("""COMPUTED_VALUE"""),0.01782)</f>
        <v>0.01782</v>
      </c>
      <c r="K190" s="19">
        <f>IFERROR(__xludf.DUMMYFUNCTION("""COMPUTED_VALUE"""),0.12897)</f>
        <v>0.12897</v>
      </c>
      <c r="L190" s="19" t="str">
        <f>IFERROR(__xludf.DUMMYFUNCTION("""COMPUTED_VALUE"""),"-")</f>
        <v>-</v>
      </c>
      <c r="M190" s="19" t="str">
        <f>IFERROR(__xludf.DUMMYFUNCTION("""COMPUTED_VALUE"""),"-")</f>
        <v>-</v>
      </c>
    </row>
    <row r="191">
      <c r="A191" s="12" t="s">
        <v>8981</v>
      </c>
      <c r="G191" s="19">
        <f>IFERROR(__xludf.DUMMYFUNCTION("SPLIT(A189, "" |"")"),93001.0)</f>
        <v>93001</v>
      </c>
      <c r="H191" s="19">
        <f>IFERROR(__xludf.DUMMYFUNCTION("""COMPUTED_VALUE"""),0.0024)</f>
        <v>0.0024</v>
      </c>
      <c r="I191" s="19" t="str">
        <f>IFERROR(__xludf.DUMMYFUNCTION("""COMPUTED_VALUE"""),"-")</f>
        <v>-</v>
      </c>
      <c r="J191" s="19">
        <f>IFERROR(__xludf.DUMMYFUNCTION("""COMPUTED_VALUE"""),0.01875)</f>
        <v>0.01875</v>
      </c>
      <c r="K191" s="19">
        <f>IFERROR(__xludf.DUMMYFUNCTION("""COMPUTED_VALUE"""),0.12594)</f>
        <v>0.12594</v>
      </c>
      <c r="L191" s="19" t="str">
        <f>IFERROR(__xludf.DUMMYFUNCTION("""COMPUTED_VALUE"""),"-")</f>
        <v>-</v>
      </c>
      <c r="M191" s="19" t="str">
        <f>IFERROR(__xludf.DUMMYFUNCTION("""COMPUTED_VALUE"""),"-")</f>
        <v>-</v>
      </c>
    </row>
    <row r="192">
      <c r="A192" s="12" t="s">
        <v>8982</v>
      </c>
      <c r="G192" s="19">
        <f>IFERROR(__xludf.DUMMYFUNCTION("SPLIT(A190, "" |"")"),93501.0)</f>
        <v>93501</v>
      </c>
      <c r="H192" s="19">
        <f>IFERROR(__xludf.DUMMYFUNCTION("""COMPUTED_VALUE"""),0.00242)</f>
        <v>0.00242</v>
      </c>
      <c r="I192" s="19" t="str">
        <f>IFERROR(__xludf.DUMMYFUNCTION("""COMPUTED_VALUE"""),"-")</f>
        <v>-</v>
      </c>
      <c r="J192" s="19">
        <f>IFERROR(__xludf.DUMMYFUNCTION("""COMPUTED_VALUE"""),0.01967)</f>
        <v>0.01967</v>
      </c>
      <c r="K192" s="19">
        <f>IFERROR(__xludf.DUMMYFUNCTION("""COMPUTED_VALUE"""),0.1274)</f>
        <v>0.1274</v>
      </c>
      <c r="L192" s="19" t="str">
        <f>IFERROR(__xludf.DUMMYFUNCTION("""COMPUTED_VALUE"""),"-")</f>
        <v>-</v>
      </c>
      <c r="M192" s="19" t="str">
        <f>IFERROR(__xludf.DUMMYFUNCTION("""COMPUTED_VALUE"""),"-")</f>
        <v>-</v>
      </c>
    </row>
    <row r="193">
      <c r="A193" s="12" t="s">
        <v>8983</v>
      </c>
      <c r="G193" s="19">
        <f>IFERROR(__xludf.DUMMYFUNCTION("SPLIT(A191, "" |"")"),94001.0)</f>
        <v>94001</v>
      </c>
      <c r="H193" s="19">
        <f>IFERROR(__xludf.DUMMYFUNCTION("""COMPUTED_VALUE"""),0.00234)</f>
        <v>0.00234</v>
      </c>
      <c r="I193" s="19" t="str">
        <f>IFERROR(__xludf.DUMMYFUNCTION("""COMPUTED_VALUE"""),"-")</f>
        <v>-</v>
      </c>
      <c r="J193" s="19">
        <f>IFERROR(__xludf.DUMMYFUNCTION("""COMPUTED_VALUE"""),0.01925)</f>
        <v>0.01925</v>
      </c>
      <c r="K193" s="19">
        <f>IFERROR(__xludf.DUMMYFUNCTION("""COMPUTED_VALUE"""),0.12557)</f>
        <v>0.12557</v>
      </c>
      <c r="L193" s="19" t="str">
        <f>IFERROR(__xludf.DUMMYFUNCTION("""COMPUTED_VALUE"""),"-")</f>
        <v>-</v>
      </c>
      <c r="M193" s="19" t="str">
        <f>IFERROR(__xludf.DUMMYFUNCTION("""COMPUTED_VALUE"""),"-")</f>
        <v>-</v>
      </c>
    </row>
    <row r="194">
      <c r="A194" s="12" t="s">
        <v>8984</v>
      </c>
      <c r="G194" s="19">
        <f>IFERROR(__xludf.DUMMYFUNCTION("SPLIT(A192, "" |"")"),94501.0)</f>
        <v>94501</v>
      </c>
      <c r="H194" s="19">
        <f>IFERROR(__xludf.DUMMYFUNCTION("""COMPUTED_VALUE"""),0.00231)</f>
        <v>0.00231</v>
      </c>
      <c r="I194" s="19" t="str">
        <f>IFERROR(__xludf.DUMMYFUNCTION("""COMPUTED_VALUE"""),"-")</f>
        <v>-</v>
      </c>
      <c r="J194" s="19">
        <f>IFERROR(__xludf.DUMMYFUNCTION("""COMPUTED_VALUE"""),0.01948)</f>
        <v>0.01948</v>
      </c>
      <c r="K194" s="19">
        <f>IFERROR(__xludf.DUMMYFUNCTION("""COMPUTED_VALUE"""),0.12984)</f>
        <v>0.12984</v>
      </c>
      <c r="L194" s="19" t="str">
        <f>IFERROR(__xludf.DUMMYFUNCTION("""COMPUTED_VALUE"""),"-")</f>
        <v>-</v>
      </c>
      <c r="M194" s="19" t="str">
        <f>IFERROR(__xludf.DUMMYFUNCTION("""COMPUTED_VALUE"""),"-")</f>
        <v>-</v>
      </c>
    </row>
    <row r="195">
      <c r="A195" s="12" t="s">
        <v>8985</v>
      </c>
      <c r="G195" s="19">
        <f>IFERROR(__xludf.DUMMYFUNCTION("SPLIT(A193, "" |"")"),95001.0)</f>
        <v>95001</v>
      </c>
      <c r="H195" s="19">
        <f>IFERROR(__xludf.DUMMYFUNCTION("""COMPUTED_VALUE"""),0.00243)</f>
        <v>0.00243</v>
      </c>
      <c r="I195" s="19" t="str">
        <f>IFERROR(__xludf.DUMMYFUNCTION("""COMPUTED_VALUE"""),"-")</f>
        <v>-</v>
      </c>
      <c r="J195" s="19">
        <f>IFERROR(__xludf.DUMMYFUNCTION("""COMPUTED_VALUE"""),0.01983)</f>
        <v>0.01983</v>
      </c>
      <c r="K195" s="19">
        <f>IFERROR(__xludf.DUMMYFUNCTION("""COMPUTED_VALUE"""),0.12711)</f>
        <v>0.12711</v>
      </c>
      <c r="L195" s="19" t="str">
        <f>IFERROR(__xludf.DUMMYFUNCTION("""COMPUTED_VALUE"""),"-")</f>
        <v>-</v>
      </c>
      <c r="M195" s="19" t="str">
        <f>IFERROR(__xludf.DUMMYFUNCTION("""COMPUTED_VALUE"""),"-")</f>
        <v>-</v>
      </c>
    </row>
    <row r="196">
      <c r="A196" s="12" t="s">
        <v>8986</v>
      </c>
      <c r="G196" s="19">
        <f>IFERROR(__xludf.DUMMYFUNCTION("SPLIT(A194, "" |"")"),95501.0)</f>
        <v>95501</v>
      </c>
      <c r="H196" s="19">
        <f>IFERROR(__xludf.DUMMYFUNCTION("""COMPUTED_VALUE"""),0.00232)</f>
        <v>0.00232</v>
      </c>
      <c r="I196" s="19" t="str">
        <f>IFERROR(__xludf.DUMMYFUNCTION("""COMPUTED_VALUE"""),"-")</f>
        <v>-</v>
      </c>
      <c r="J196" s="19">
        <f>IFERROR(__xludf.DUMMYFUNCTION("""COMPUTED_VALUE"""),0.01891)</f>
        <v>0.01891</v>
      </c>
      <c r="K196" s="19">
        <f>IFERROR(__xludf.DUMMYFUNCTION("""COMPUTED_VALUE"""),0.12771)</f>
        <v>0.12771</v>
      </c>
      <c r="L196" s="19" t="str">
        <f>IFERROR(__xludf.DUMMYFUNCTION("""COMPUTED_VALUE"""),"-")</f>
        <v>-</v>
      </c>
      <c r="M196" s="19" t="str">
        <f>IFERROR(__xludf.DUMMYFUNCTION("""COMPUTED_VALUE"""),"-")</f>
        <v>-</v>
      </c>
    </row>
    <row r="197">
      <c r="A197" s="12" t="s">
        <v>8987</v>
      </c>
      <c r="G197" s="19">
        <f>IFERROR(__xludf.DUMMYFUNCTION("SPLIT(A195, "" |"")"),96001.0)</f>
        <v>96001</v>
      </c>
      <c r="H197" s="19">
        <f>IFERROR(__xludf.DUMMYFUNCTION("""COMPUTED_VALUE"""),0.00239)</f>
        <v>0.00239</v>
      </c>
      <c r="I197" s="19" t="str">
        <f>IFERROR(__xludf.DUMMYFUNCTION("""COMPUTED_VALUE"""),"-")</f>
        <v>-</v>
      </c>
      <c r="J197" s="19">
        <f>IFERROR(__xludf.DUMMYFUNCTION("""COMPUTED_VALUE"""),0.01975)</f>
        <v>0.01975</v>
      </c>
      <c r="K197" s="19">
        <f>IFERROR(__xludf.DUMMYFUNCTION("""COMPUTED_VALUE"""),0.12765)</f>
        <v>0.12765</v>
      </c>
      <c r="L197" s="19" t="str">
        <f>IFERROR(__xludf.DUMMYFUNCTION("""COMPUTED_VALUE"""),"-")</f>
        <v>-</v>
      </c>
      <c r="M197" s="19" t="str">
        <f>IFERROR(__xludf.DUMMYFUNCTION("""COMPUTED_VALUE"""),"-")</f>
        <v>-</v>
      </c>
    </row>
    <row r="198">
      <c r="A198" s="12" t="s">
        <v>8988</v>
      </c>
      <c r="G198" s="19">
        <f>IFERROR(__xludf.DUMMYFUNCTION("SPLIT(A196, "" |"")"),96501.0)</f>
        <v>96501</v>
      </c>
      <c r="H198" s="19">
        <f>IFERROR(__xludf.DUMMYFUNCTION("""COMPUTED_VALUE"""),0.00221)</f>
        <v>0.00221</v>
      </c>
      <c r="I198" s="19" t="str">
        <f>IFERROR(__xludf.DUMMYFUNCTION("""COMPUTED_VALUE"""),"-")</f>
        <v>-</v>
      </c>
      <c r="J198" s="19">
        <f>IFERROR(__xludf.DUMMYFUNCTION("""COMPUTED_VALUE"""),0.01885)</f>
        <v>0.01885</v>
      </c>
      <c r="K198" s="19">
        <f>IFERROR(__xludf.DUMMYFUNCTION("""COMPUTED_VALUE"""),0.1275)</f>
        <v>0.1275</v>
      </c>
      <c r="L198" s="19" t="str">
        <f>IFERROR(__xludf.DUMMYFUNCTION("""COMPUTED_VALUE"""),"-")</f>
        <v>-</v>
      </c>
      <c r="M198" s="19" t="str">
        <f>IFERROR(__xludf.DUMMYFUNCTION("""COMPUTED_VALUE"""),"-")</f>
        <v>-</v>
      </c>
    </row>
    <row r="199">
      <c r="A199" s="12" t="s">
        <v>8989</v>
      </c>
      <c r="G199" s="19">
        <f>IFERROR(__xludf.DUMMYFUNCTION("SPLIT(A197, "" |"")"),97001.0)</f>
        <v>97001</v>
      </c>
      <c r="H199" s="19">
        <f>IFERROR(__xludf.DUMMYFUNCTION("""COMPUTED_VALUE"""),0.00228)</f>
        <v>0.00228</v>
      </c>
      <c r="I199" s="19" t="str">
        <f>IFERROR(__xludf.DUMMYFUNCTION("""COMPUTED_VALUE"""),"-")</f>
        <v>-</v>
      </c>
      <c r="J199" s="19">
        <f>IFERROR(__xludf.DUMMYFUNCTION("""COMPUTED_VALUE"""),0.01953)</f>
        <v>0.01953</v>
      </c>
      <c r="K199" s="19">
        <f>IFERROR(__xludf.DUMMYFUNCTION("""COMPUTED_VALUE"""),0.1315)</f>
        <v>0.1315</v>
      </c>
      <c r="L199" s="19" t="str">
        <f>IFERROR(__xludf.DUMMYFUNCTION("""COMPUTED_VALUE"""),"-")</f>
        <v>-</v>
      </c>
      <c r="M199" s="19" t="str">
        <f>IFERROR(__xludf.DUMMYFUNCTION("""COMPUTED_VALUE"""),"-")</f>
        <v>-</v>
      </c>
    </row>
    <row r="200">
      <c r="A200" s="12" t="s">
        <v>8990</v>
      </c>
      <c r="G200" s="19">
        <f>IFERROR(__xludf.DUMMYFUNCTION("SPLIT(A198, "" |"")"),97501.0)</f>
        <v>97501</v>
      </c>
      <c r="H200" s="19">
        <f>IFERROR(__xludf.DUMMYFUNCTION("""COMPUTED_VALUE"""),0.00225)</f>
        <v>0.00225</v>
      </c>
      <c r="I200" s="19" t="str">
        <f>IFERROR(__xludf.DUMMYFUNCTION("""COMPUTED_VALUE"""),"-")</f>
        <v>-</v>
      </c>
      <c r="J200" s="19">
        <f>IFERROR(__xludf.DUMMYFUNCTION("""COMPUTED_VALUE"""),0.01955)</f>
        <v>0.01955</v>
      </c>
      <c r="K200" s="19">
        <f>IFERROR(__xludf.DUMMYFUNCTION("""COMPUTED_VALUE"""),0.13045)</f>
        <v>0.13045</v>
      </c>
      <c r="L200" s="19" t="str">
        <f>IFERROR(__xludf.DUMMYFUNCTION("""COMPUTED_VALUE"""),"-")</f>
        <v>-</v>
      </c>
      <c r="M200" s="19" t="str">
        <f>IFERROR(__xludf.DUMMYFUNCTION("""COMPUTED_VALUE"""),"-")</f>
        <v>-</v>
      </c>
    </row>
    <row r="201">
      <c r="A201" s="12" t="s">
        <v>8991</v>
      </c>
      <c r="G201" s="19">
        <f>IFERROR(__xludf.DUMMYFUNCTION("SPLIT(A199, "" |"")"),98001.0)</f>
        <v>98001</v>
      </c>
      <c r="H201" s="19">
        <f>IFERROR(__xludf.DUMMYFUNCTION("""COMPUTED_VALUE"""),0.00234)</f>
        <v>0.00234</v>
      </c>
      <c r="I201" s="19" t="str">
        <f>IFERROR(__xludf.DUMMYFUNCTION("""COMPUTED_VALUE"""),"-")</f>
        <v>-</v>
      </c>
      <c r="J201" s="19">
        <f>IFERROR(__xludf.DUMMYFUNCTION("""COMPUTED_VALUE"""),0.01764)</f>
        <v>0.01764</v>
      </c>
      <c r="K201" s="19">
        <f>IFERROR(__xludf.DUMMYFUNCTION("""COMPUTED_VALUE"""),0.12824)</f>
        <v>0.12824</v>
      </c>
      <c r="L201" s="19" t="str">
        <f>IFERROR(__xludf.DUMMYFUNCTION("""COMPUTED_VALUE"""),"-")</f>
        <v>-</v>
      </c>
      <c r="M201" s="19" t="str">
        <f>IFERROR(__xludf.DUMMYFUNCTION("""COMPUTED_VALUE"""),"-")</f>
        <v>-</v>
      </c>
    </row>
    <row r="202">
      <c r="A202" s="12" t="s">
        <v>8992</v>
      </c>
      <c r="G202" s="19">
        <f>IFERROR(__xludf.DUMMYFUNCTION("SPLIT(A200, "" |"")"),98501.0)</f>
        <v>98501</v>
      </c>
      <c r="H202" s="19">
        <f>IFERROR(__xludf.DUMMYFUNCTION("""COMPUTED_VALUE"""),0.00241)</f>
        <v>0.00241</v>
      </c>
      <c r="I202" s="19" t="str">
        <f>IFERROR(__xludf.DUMMYFUNCTION("""COMPUTED_VALUE"""),"-")</f>
        <v>-</v>
      </c>
      <c r="J202" s="19">
        <f>IFERROR(__xludf.DUMMYFUNCTION("""COMPUTED_VALUE"""),0.01961)</f>
        <v>0.01961</v>
      </c>
      <c r="K202" s="19">
        <f>IFERROR(__xludf.DUMMYFUNCTION("""COMPUTED_VALUE"""),0.12783)</f>
        <v>0.12783</v>
      </c>
      <c r="L202" s="19" t="str">
        <f>IFERROR(__xludf.DUMMYFUNCTION("""COMPUTED_VALUE"""),"-")</f>
        <v>-</v>
      </c>
      <c r="M202" s="19" t="str">
        <f>IFERROR(__xludf.DUMMYFUNCTION("""COMPUTED_VALUE"""),"-")</f>
        <v>-</v>
      </c>
    </row>
    <row r="203">
      <c r="A203" s="12" t="s">
        <v>8993</v>
      </c>
      <c r="G203" s="19">
        <f>IFERROR(__xludf.DUMMYFUNCTION("SPLIT(A201, "" |"")"),99001.0)</f>
        <v>99001</v>
      </c>
      <c r="H203" s="19">
        <f>IFERROR(__xludf.DUMMYFUNCTION("""COMPUTED_VALUE"""),0.00238)</f>
        <v>0.00238</v>
      </c>
      <c r="I203" s="19" t="str">
        <f>IFERROR(__xludf.DUMMYFUNCTION("""COMPUTED_VALUE"""),"-")</f>
        <v>-</v>
      </c>
      <c r="J203" s="19">
        <f>IFERROR(__xludf.DUMMYFUNCTION("""COMPUTED_VALUE"""),0.01963)</f>
        <v>0.01963</v>
      </c>
      <c r="K203" s="19">
        <f>IFERROR(__xludf.DUMMYFUNCTION("""COMPUTED_VALUE"""),0.12729)</f>
        <v>0.12729</v>
      </c>
      <c r="L203" s="19" t="str">
        <f>IFERROR(__xludf.DUMMYFUNCTION("""COMPUTED_VALUE"""),"-")</f>
        <v>-</v>
      </c>
      <c r="M203" s="19" t="str">
        <f>IFERROR(__xludf.DUMMYFUNCTION("""COMPUTED_VALUE"""),"-")</f>
        <v>-</v>
      </c>
    </row>
    <row r="204">
      <c r="A204" s="12" t="s">
        <v>8994</v>
      </c>
      <c r="G204" s="19">
        <f>IFERROR(__xludf.DUMMYFUNCTION("SPLIT(A202, "" |"")"),99501.0)</f>
        <v>99501</v>
      </c>
      <c r="H204" s="19">
        <f>IFERROR(__xludf.DUMMYFUNCTION("""COMPUTED_VALUE"""),0.00229)</f>
        <v>0.00229</v>
      </c>
      <c r="I204" s="19" t="str">
        <f>IFERROR(__xludf.DUMMYFUNCTION("""COMPUTED_VALUE"""),"-")</f>
        <v>-</v>
      </c>
      <c r="J204" s="19">
        <f>IFERROR(__xludf.DUMMYFUNCTION("""COMPUTED_VALUE"""),0.0195)</f>
        <v>0.0195</v>
      </c>
      <c r="K204" s="19">
        <f>IFERROR(__xludf.DUMMYFUNCTION("""COMPUTED_VALUE"""),0.13166)</f>
        <v>0.13166</v>
      </c>
      <c r="L204" s="19" t="str">
        <f>IFERROR(__xludf.DUMMYFUNCTION("""COMPUTED_VALUE"""),"-")</f>
        <v>-</v>
      </c>
      <c r="M204" s="19" t="str">
        <f>IFERROR(__xludf.DUMMYFUNCTION("""COMPUTED_VALUE"""),"-")</f>
        <v>-</v>
      </c>
    </row>
    <row r="205">
      <c r="A205" s="12" t="s">
        <v>8995</v>
      </c>
      <c r="G205" s="19">
        <f>IFERROR(__xludf.DUMMYFUNCTION("SPLIT(A203, "" |"")"),100001.0)</f>
        <v>100001</v>
      </c>
      <c r="H205" s="19">
        <f>IFERROR(__xludf.DUMMYFUNCTION("""COMPUTED_VALUE"""),0.00355)</f>
        <v>0.00355</v>
      </c>
      <c r="I205" s="19" t="str">
        <f>IFERROR(__xludf.DUMMYFUNCTION("""COMPUTED_VALUE"""),"-")</f>
        <v>-</v>
      </c>
      <c r="J205" s="19">
        <f>IFERROR(__xludf.DUMMYFUNCTION("""COMPUTED_VALUE"""),0.03967)</f>
        <v>0.03967</v>
      </c>
      <c r="K205" s="19">
        <f>IFERROR(__xludf.DUMMYFUNCTION("""COMPUTED_VALUE"""),0.12688)</f>
        <v>0.12688</v>
      </c>
      <c r="L205" s="19" t="str">
        <f>IFERROR(__xludf.DUMMYFUNCTION("""COMPUTED_VALUE"""),"-")</f>
        <v>-</v>
      </c>
      <c r="M205" s="19" t="str">
        <f>IFERROR(__xludf.DUMMYFUNCTION("""COMPUTED_VALUE"""),"-")</f>
        <v>-</v>
      </c>
    </row>
    <row r="206">
      <c r="A206" s="12" t="s">
        <v>8996</v>
      </c>
      <c r="G206" s="19">
        <f>IFERROR(__xludf.DUMMYFUNCTION("SPLIT(A204, "" |"")"),100501.0)</f>
        <v>100501</v>
      </c>
      <c r="H206" s="19">
        <f>IFERROR(__xludf.DUMMYFUNCTION("""COMPUTED_VALUE"""),0.00221)</f>
        <v>0.00221</v>
      </c>
      <c r="I206" s="19" t="str">
        <f>IFERROR(__xludf.DUMMYFUNCTION("""COMPUTED_VALUE"""),"-")</f>
        <v>-</v>
      </c>
      <c r="J206" s="19">
        <f>IFERROR(__xludf.DUMMYFUNCTION("""COMPUTED_VALUE"""),0.01955)</f>
        <v>0.01955</v>
      </c>
      <c r="K206" s="19">
        <f>IFERROR(__xludf.DUMMYFUNCTION("""COMPUTED_VALUE"""),0.13112)</f>
        <v>0.13112</v>
      </c>
      <c r="L206" s="19" t="str">
        <f>IFERROR(__xludf.DUMMYFUNCTION("""COMPUTED_VALUE"""),"-")</f>
        <v>-</v>
      </c>
      <c r="M206" s="19" t="str">
        <f>IFERROR(__xludf.DUMMYFUNCTION("""COMPUTED_VALUE"""),"-")</f>
        <v>-</v>
      </c>
    </row>
    <row r="207">
      <c r="A207" s="12" t="s">
        <v>8997</v>
      </c>
      <c r="G207" s="19">
        <f>IFERROR(__xludf.DUMMYFUNCTION("SPLIT(A205, "" |"")"),101001.0)</f>
        <v>101001</v>
      </c>
      <c r="H207" s="19">
        <f>IFERROR(__xludf.DUMMYFUNCTION("""COMPUTED_VALUE"""),0.00218)</f>
        <v>0.00218</v>
      </c>
      <c r="I207" s="19" t="str">
        <f>IFERROR(__xludf.DUMMYFUNCTION("""COMPUTED_VALUE"""),"-")</f>
        <v>-</v>
      </c>
      <c r="J207" s="19">
        <f>IFERROR(__xludf.DUMMYFUNCTION("""COMPUTED_VALUE"""),0.01994)</f>
        <v>0.01994</v>
      </c>
      <c r="K207" s="19">
        <f>IFERROR(__xludf.DUMMYFUNCTION("""COMPUTED_VALUE"""),0.12779)</f>
        <v>0.12779</v>
      </c>
      <c r="L207" s="19" t="str">
        <f>IFERROR(__xludf.DUMMYFUNCTION("""COMPUTED_VALUE"""),"-")</f>
        <v>-</v>
      </c>
      <c r="M207" s="19" t="str">
        <f>IFERROR(__xludf.DUMMYFUNCTION("""COMPUTED_VALUE"""),"-")</f>
        <v>-</v>
      </c>
    </row>
    <row r="208">
      <c r="A208" s="12" t="s">
        <v>8998</v>
      </c>
      <c r="G208" s="19">
        <f>IFERROR(__xludf.DUMMYFUNCTION("SPLIT(A206, "" |"")"),101501.0)</f>
        <v>101501</v>
      </c>
      <c r="H208" s="19">
        <f>IFERROR(__xludf.DUMMYFUNCTION("""COMPUTED_VALUE"""),0.00228)</f>
        <v>0.00228</v>
      </c>
      <c r="I208" s="19" t="str">
        <f>IFERROR(__xludf.DUMMYFUNCTION("""COMPUTED_VALUE"""),"-")</f>
        <v>-</v>
      </c>
      <c r="J208" s="19">
        <f>IFERROR(__xludf.DUMMYFUNCTION("""COMPUTED_VALUE"""),0.01965)</f>
        <v>0.01965</v>
      </c>
      <c r="K208" s="19">
        <f>IFERROR(__xludf.DUMMYFUNCTION("""COMPUTED_VALUE"""),0.13183)</f>
        <v>0.13183</v>
      </c>
      <c r="L208" s="19" t="str">
        <f>IFERROR(__xludf.DUMMYFUNCTION("""COMPUTED_VALUE"""),"-")</f>
        <v>-</v>
      </c>
      <c r="M208" s="19" t="str">
        <f>IFERROR(__xludf.DUMMYFUNCTION("""COMPUTED_VALUE"""),"-")</f>
        <v>-</v>
      </c>
    </row>
    <row r="209">
      <c r="A209" s="12" t="s">
        <v>8999</v>
      </c>
      <c r="G209" s="19">
        <f>IFERROR(__xludf.DUMMYFUNCTION("SPLIT(A207, "" |"")"),102001.0)</f>
        <v>102001</v>
      </c>
      <c r="H209" s="19">
        <f>IFERROR(__xludf.DUMMYFUNCTION("""COMPUTED_VALUE"""),0.00229)</f>
        <v>0.00229</v>
      </c>
      <c r="I209" s="19" t="str">
        <f>IFERROR(__xludf.DUMMYFUNCTION("""COMPUTED_VALUE"""),"-")</f>
        <v>-</v>
      </c>
      <c r="J209" s="19">
        <f>IFERROR(__xludf.DUMMYFUNCTION("""COMPUTED_VALUE"""),0.01955)</f>
        <v>0.01955</v>
      </c>
      <c r="K209" s="19">
        <f>IFERROR(__xludf.DUMMYFUNCTION("""COMPUTED_VALUE"""),0.13175)</f>
        <v>0.13175</v>
      </c>
      <c r="L209" s="19" t="str">
        <f>IFERROR(__xludf.DUMMYFUNCTION("""COMPUTED_VALUE"""),"-")</f>
        <v>-</v>
      </c>
      <c r="M209" s="19" t="str">
        <f>IFERROR(__xludf.DUMMYFUNCTION("""COMPUTED_VALUE"""),"-")</f>
        <v>-</v>
      </c>
    </row>
    <row r="210">
      <c r="A210" s="12" t="s">
        <v>9000</v>
      </c>
      <c r="G210" s="19">
        <f>IFERROR(__xludf.DUMMYFUNCTION("SPLIT(A208, "" |"")"),102501.0)</f>
        <v>102501</v>
      </c>
      <c r="H210" s="19">
        <f>IFERROR(__xludf.DUMMYFUNCTION("""COMPUTED_VALUE"""),0.00259)</f>
        <v>0.00259</v>
      </c>
      <c r="I210" s="19" t="str">
        <f>IFERROR(__xludf.DUMMYFUNCTION("""COMPUTED_VALUE"""),"-")</f>
        <v>-</v>
      </c>
      <c r="J210" s="19">
        <f>IFERROR(__xludf.DUMMYFUNCTION("""COMPUTED_VALUE"""),0.02004)</f>
        <v>0.02004</v>
      </c>
      <c r="K210" s="19">
        <f>IFERROR(__xludf.DUMMYFUNCTION("""COMPUTED_VALUE"""),0.1279)</f>
        <v>0.1279</v>
      </c>
      <c r="L210" s="19" t="str">
        <f>IFERROR(__xludf.DUMMYFUNCTION("""COMPUTED_VALUE"""),"-")</f>
        <v>-</v>
      </c>
      <c r="M210" s="19" t="str">
        <f>IFERROR(__xludf.DUMMYFUNCTION("""COMPUTED_VALUE"""),"-")</f>
        <v>-</v>
      </c>
    </row>
    <row r="211">
      <c r="A211" s="12" t="s">
        <v>9001</v>
      </c>
      <c r="G211" s="19">
        <f>IFERROR(__xludf.DUMMYFUNCTION("SPLIT(A209, "" |"")"),103001.0)</f>
        <v>103001</v>
      </c>
      <c r="H211" s="19">
        <f>IFERROR(__xludf.DUMMYFUNCTION("""COMPUTED_VALUE"""),0.00224)</f>
        <v>0.00224</v>
      </c>
      <c r="I211" s="19" t="str">
        <f>IFERROR(__xludf.DUMMYFUNCTION("""COMPUTED_VALUE"""),"-")</f>
        <v>-</v>
      </c>
      <c r="J211" s="19">
        <f>IFERROR(__xludf.DUMMYFUNCTION("""COMPUTED_VALUE"""),0.01953)</f>
        <v>0.01953</v>
      </c>
      <c r="K211" s="19">
        <f>IFERROR(__xludf.DUMMYFUNCTION("""COMPUTED_VALUE"""),0.13072)</f>
        <v>0.13072</v>
      </c>
      <c r="L211" s="19" t="str">
        <f>IFERROR(__xludf.DUMMYFUNCTION("""COMPUTED_VALUE"""),"-")</f>
        <v>-</v>
      </c>
      <c r="M211" s="19" t="str">
        <f>IFERROR(__xludf.DUMMYFUNCTION("""COMPUTED_VALUE"""),"-")</f>
        <v>-</v>
      </c>
    </row>
    <row r="212">
      <c r="A212" s="12" t="s">
        <v>9002</v>
      </c>
      <c r="G212" s="19">
        <f>IFERROR(__xludf.DUMMYFUNCTION("SPLIT(A210, "" |"")"),103501.0)</f>
        <v>103501</v>
      </c>
      <c r="H212" s="19">
        <f>IFERROR(__xludf.DUMMYFUNCTION("""COMPUTED_VALUE"""),0.00216)</f>
        <v>0.00216</v>
      </c>
      <c r="I212" s="19" t="str">
        <f>IFERROR(__xludf.DUMMYFUNCTION("""COMPUTED_VALUE"""),"-")</f>
        <v>-</v>
      </c>
      <c r="J212" s="19">
        <f>IFERROR(__xludf.DUMMYFUNCTION("""COMPUTED_VALUE"""),0.01951)</f>
        <v>0.01951</v>
      </c>
      <c r="K212" s="19">
        <f>IFERROR(__xludf.DUMMYFUNCTION("""COMPUTED_VALUE"""),0.13178)</f>
        <v>0.13178</v>
      </c>
      <c r="L212" s="19" t="str">
        <f>IFERROR(__xludf.DUMMYFUNCTION("""COMPUTED_VALUE"""),"-")</f>
        <v>-</v>
      </c>
      <c r="M212" s="19" t="str">
        <f>IFERROR(__xludf.DUMMYFUNCTION("""COMPUTED_VALUE"""),"-")</f>
        <v>-</v>
      </c>
    </row>
    <row r="213">
      <c r="A213" s="12" t="s">
        <v>9003</v>
      </c>
      <c r="G213" s="19">
        <f>IFERROR(__xludf.DUMMYFUNCTION("SPLIT(A211, "" |"")"),104001.0)</f>
        <v>104001</v>
      </c>
      <c r="H213" s="19">
        <f>IFERROR(__xludf.DUMMYFUNCTION("""COMPUTED_VALUE"""),0.00227)</f>
        <v>0.00227</v>
      </c>
      <c r="I213" s="19" t="str">
        <f>IFERROR(__xludf.DUMMYFUNCTION("""COMPUTED_VALUE"""),"-")</f>
        <v>-</v>
      </c>
      <c r="J213" s="19">
        <f>IFERROR(__xludf.DUMMYFUNCTION("""COMPUTED_VALUE"""),0.01957)</f>
        <v>0.01957</v>
      </c>
      <c r="K213" s="19">
        <f>IFERROR(__xludf.DUMMYFUNCTION("""COMPUTED_VALUE"""),0.12859)</f>
        <v>0.12859</v>
      </c>
      <c r="L213" s="19" t="str">
        <f>IFERROR(__xludf.DUMMYFUNCTION("""COMPUTED_VALUE"""),"-")</f>
        <v>-</v>
      </c>
      <c r="M213" s="19" t="str">
        <f>IFERROR(__xludf.DUMMYFUNCTION("""COMPUTED_VALUE"""),"-")</f>
        <v>-</v>
      </c>
    </row>
    <row r="214">
      <c r="A214" s="12" t="s">
        <v>9004</v>
      </c>
      <c r="G214" s="19">
        <f>IFERROR(__xludf.DUMMYFUNCTION("SPLIT(A212, "" |"")"),104501.0)</f>
        <v>104501</v>
      </c>
      <c r="H214" s="19">
        <f>IFERROR(__xludf.DUMMYFUNCTION("""COMPUTED_VALUE"""),0.00228)</f>
        <v>0.00228</v>
      </c>
      <c r="I214" s="19" t="str">
        <f>IFERROR(__xludf.DUMMYFUNCTION("""COMPUTED_VALUE"""),"-")</f>
        <v>-</v>
      </c>
      <c r="J214" s="19">
        <f>IFERROR(__xludf.DUMMYFUNCTION("""COMPUTED_VALUE"""),0.02154)</f>
        <v>0.02154</v>
      </c>
      <c r="K214" s="19">
        <f>IFERROR(__xludf.DUMMYFUNCTION("""COMPUTED_VALUE"""),0.12953)</f>
        <v>0.12953</v>
      </c>
      <c r="L214" s="19" t="str">
        <f>IFERROR(__xludf.DUMMYFUNCTION("""COMPUTED_VALUE"""),"-")</f>
        <v>-</v>
      </c>
      <c r="M214" s="19" t="str">
        <f>IFERROR(__xludf.DUMMYFUNCTION("""COMPUTED_VALUE"""),"-")</f>
        <v>-</v>
      </c>
    </row>
    <row r="215">
      <c r="A215" s="12" t="s">
        <v>9005</v>
      </c>
      <c r="G215" s="19">
        <f>IFERROR(__xludf.DUMMYFUNCTION("SPLIT(A213, "" |"")"),105001.0)</f>
        <v>105001</v>
      </c>
      <c r="H215" s="19">
        <f>IFERROR(__xludf.DUMMYFUNCTION("""COMPUTED_VALUE"""),0.00212)</f>
        <v>0.00212</v>
      </c>
      <c r="I215" s="19" t="str">
        <f>IFERROR(__xludf.DUMMYFUNCTION("""COMPUTED_VALUE"""),"-")</f>
        <v>-</v>
      </c>
      <c r="J215" s="19">
        <f>IFERROR(__xludf.DUMMYFUNCTION("""COMPUTED_VALUE"""),0.01854)</f>
        <v>0.01854</v>
      </c>
      <c r="K215" s="19">
        <f>IFERROR(__xludf.DUMMYFUNCTION("""COMPUTED_VALUE"""),0.1279)</f>
        <v>0.1279</v>
      </c>
      <c r="L215" s="19" t="str">
        <f>IFERROR(__xludf.DUMMYFUNCTION("""COMPUTED_VALUE"""),"-")</f>
        <v>-</v>
      </c>
      <c r="M215" s="19" t="str">
        <f>IFERROR(__xludf.DUMMYFUNCTION("""COMPUTED_VALUE"""),"-")</f>
        <v>-</v>
      </c>
    </row>
    <row r="216">
      <c r="A216" s="12" t="s">
        <v>9006</v>
      </c>
      <c r="G216" s="19">
        <f>IFERROR(__xludf.DUMMYFUNCTION("SPLIT(A214, "" |"")"),105501.0)</f>
        <v>105501</v>
      </c>
      <c r="H216" s="19">
        <f>IFERROR(__xludf.DUMMYFUNCTION("""COMPUTED_VALUE"""),0.00216)</f>
        <v>0.00216</v>
      </c>
      <c r="I216" s="19" t="str">
        <f>IFERROR(__xludf.DUMMYFUNCTION("""COMPUTED_VALUE"""),"-")</f>
        <v>-</v>
      </c>
      <c r="J216" s="19">
        <f>IFERROR(__xludf.DUMMYFUNCTION("""COMPUTED_VALUE"""),0.01944)</f>
        <v>0.01944</v>
      </c>
      <c r="K216" s="19">
        <f>IFERROR(__xludf.DUMMYFUNCTION("""COMPUTED_VALUE"""),0.12767)</f>
        <v>0.12767</v>
      </c>
      <c r="L216" s="19" t="str">
        <f>IFERROR(__xludf.DUMMYFUNCTION("""COMPUTED_VALUE"""),"-")</f>
        <v>-</v>
      </c>
      <c r="M216" s="19" t="str">
        <f>IFERROR(__xludf.DUMMYFUNCTION("""COMPUTED_VALUE"""),"-")</f>
        <v>-</v>
      </c>
    </row>
    <row r="217">
      <c r="A217" s="12" t="s">
        <v>9007</v>
      </c>
      <c r="G217" s="19">
        <f>IFERROR(__xludf.DUMMYFUNCTION("SPLIT(A215, "" |"")"),106001.0)</f>
        <v>106001</v>
      </c>
      <c r="H217" s="19">
        <f>IFERROR(__xludf.DUMMYFUNCTION("""COMPUTED_VALUE"""),0.00217)</f>
        <v>0.00217</v>
      </c>
      <c r="I217" s="19" t="str">
        <f>IFERROR(__xludf.DUMMYFUNCTION("""COMPUTED_VALUE"""),"-")</f>
        <v>-</v>
      </c>
      <c r="J217" s="19">
        <f>IFERROR(__xludf.DUMMYFUNCTION("""COMPUTED_VALUE"""),0.01963)</f>
        <v>0.01963</v>
      </c>
      <c r="K217" s="19">
        <f>IFERROR(__xludf.DUMMYFUNCTION("""COMPUTED_VALUE"""),0.12864)</f>
        <v>0.12864</v>
      </c>
      <c r="L217" s="19" t="str">
        <f>IFERROR(__xludf.DUMMYFUNCTION("""COMPUTED_VALUE"""),"-")</f>
        <v>-</v>
      </c>
      <c r="M217" s="19" t="str">
        <f>IFERROR(__xludf.DUMMYFUNCTION("""COMPUTED_VALUE"""),"-")</f>
        <v>-</v>
      </c>
    </row>
    <row r="218">
      <c r="A218" s="12" t="s">
        <v>9008</v>
      </c>
      <c r="G218" s="19">
        <f>IFERROR(__xludf.DUMMYFUNCTION("SPLIT(A216, "" |"")"),106501.0)</f>
        <v>106501</v>
      </c>
      <c r="H218" s="19">
        <f>IFERROR(__xludf.DUMMYFUNCTION("""COMPUTED_VALUE"""),0.00222)</f>
        <v>0.00222</v>
      </c>
      <c r="I218" s="19" t="str">
        <f>IFERROR(__xludf.DUMMYFUNCTION("""COMPUTED_VALUE"""),"-")</f>
        <v>-</v>
      </c>
      <c r="J218" s="19">
        <f>IFERROR(__xludf.DUMMYFUNCTION("""COMPUTED_VALUE"""),0.01951)</f>
        <v>0.01951</v>
      </c>
      <c r="K218" s="19">
        <f>IFERROR(__xludf.DUMMYFUNCTION("""COMPUTED_VALUE"""),0.13066)</f>
        <v>0.13066</v>
      </c>
      <c r="L218" s="19" t="str">
        <f>IFERROR(__xludf.DUMMYFUNCTION("""COMPUTED_VALUE"""),"-")</f>
        <v>-</v>
      </c>
      <c r="M218" s="19" t="str">
        <f>IFERROR(__xludf.DUMMYFUNCTION("""COMPUTED_VALUE"""),"-")</f>
        <v>-</v>
      </c>
    </row>
    <row r="219">
      <c r="A219" s="12" t="s">
        <v>9009</v>
      </c>
      <c r="G219" s="19">
        <f>IFERROR(__xludf.DUMMYFUNCTION("SPLIT(A217, "" |"")"),107001.0)</f>
        <v>107001</v>
      </c>
      <c r="H219" s="19">
        <f>IFERROR(__xludf.DUMMYFUNCTION("""COMPUTED_VALUE"""),0.00229)</f>
        <v>0.00229</v>
      </c>
      <c r="I219" s="19" t="str">
        <f>IFERROR(__xludf.DUMMYFUNCTION("""COMPUTED_VALUE"""),"-")</f>
        <v>-</v>
      </c>
      <c r="J219" s="19">
        <f>IFERROR(__xludf.DUMMYFUNCTION("""COMPUTED_VALUE"""),0.01949)</f>
        <v>0.01949</v>
      </c>
      <c r="K219" s="19">
        <f>IFERROR(__xludf.DUMMYFUNCTION("""COMPUTED_VALUE"""),0.13181)</f>
        <v>0.13181</v>
      </c>
      <c r="L219" s="19" t="str">
        <f>IFERROR(__xludf.DUMMYFUNCTION("""COMPUTED_VALUE"""),"-")</f>
        <v>-</v>
      </c>
      <c r="M219" s="19" t="str">
        <f>IFERROR(__xludf.DUMMYFUNCTION("""COMPUTED_VALUE"""),"-")</f>
        <v>-</v>
      </c>
    </row>
    <row r="220">
      <c r="A220" s="12" t="s">
        <v>9010</v>
      </c>
      <c r="G220" s="19">
        <f>IFERROR(__xludf.DUMMYFUNCTION("SPLIT(A218, "" |"")"),107501.0)</f>
        <v>107501</v>
      </c>
      <c r="H220" s="19">
        <f>IFERROR(__xludf.DUMMYFUNCTION("""COMPUTED_VALUE"""),0.00224)</f>
        <v>0.00224</v>
      </c>
      <c r="I220" s="19" t="str">
        <f>IFERROR(__xludf.DUMMYFUNCTION("""COMPUTED_VALUE"""),"-")</f>
        <v>-</v>
      </c>
      <c r="J220" s="19">
        <f>IFERROR(__xludf.DUMMYFUNCTION("""COMPUTED_VALUE"""),0.01959)</f>
        <v>0.01959</v>
      </c>
      <c r="K220" s="19">
        <f>IFERROR(__xludf.DUMMYFUNCTION("""COMPUTED_VALUE"""),0.12381)</f>
        <v>0.12381</v>
      </c>
      <c r="L220" s="19" t="str">
        <f>IFERROR(__xludf.DUMMYFUNCTION("""COMPUTED_VALUE"""),"-")</f>
        <v>-</v>
      </c>
      <c r="M220" s="19" t="str">
        <f>IFERROR(__xludf.DUMMYFUNCTION("""COMPUTED_VALUE"""),"-")</f>
        <v>-</v>
      </c>
    </row>
    <row r="221">
      <c r="A221" s="12" t="s">
        <v>9011</v>
      </c>
      <c r="G221" s="19">
        <f>IFERROR(__xludf.DUMMYFUNCTION("SPLIT(A219, "" |"")"),108001.0)</f>
        <v>108001</v>
      </c>
      <c r="H221" s="19">
        <f>IFERROR(__xludf.DUMMYFUNCTION("""COMPUTED_VALUE"""),0.00244)</f>
        <v>0.00244</v>
      </c>
      <c r="I221" s="19" t="str">
        <f>IFERROR(__xludf.DUMMYFUNCTION("""COMPUTED_VALUE"""),"-")</f>
        <v>-</v>
      </c>
      <c r="J221" s="19">
        <f>IFERROR(__xludf.DUMMYFUNCTION("""COMPUTED_VALUE"""),0.01958)</f>
        <v>0.01958</v>
      </c>
      <c r="K221" s="19">
        <f>IFERROR(__xludf.DUMMYFUNCTION("""COMPUTED_VALUE"""),0.13152)</f>
        <v>0.13152</v>
      </c>
      <c r="L221" s="19" t="str">
        <f>IFERROR(__xludf.DUMMYFUNCTION("""COMPUTED_VALUE"""),"-")</f>
        <v>-</v>
      </c>
      <c r="M221" s="19" t="str">
        <f>IFERROR(__xludf.DUMMYFUNCTION("""COMPUTED_VALUE"""),"-")</f>
        <v>-</v>
      </c>
    </row>
    <row r="222">
      <c r="A222" s="12" t="s">
        <v>9012</v>
      </c>
      <c r="G222" s="19">
        <f>IFERROR(__xludf.DUMMYFUNCTION("SPLIT(A220, "" |"")"),108501.0)</f>
        <v>108501</v>
      </c>
      <c r="H222" s="19">
        <f>IFERROR(__xludf.DUMMYFUNCTION("""COMPUTED_VALUE"""),0.00221)</f>
        <v>0.00221</v>
      </c>
      <c r="I222" s="19" t="str">
        <f>IFERROR(__xludf.DUMMYFUNCTION("""COMPUTED_VALUE"""),"-")</f>
        <v>-</v>
      </c>
      <c r="J222" s="19">
        <f>IFERROR(__xludf.DUMMYFUNCTION("""COMPUTED_VALUE"""),0.0195)</f>
        <v>0.0195</v>
      </c>
      <c r="K222" s="19">
        <f>IFERROR(__xludf.DUMMYFUNCTION("""COMPUTED_VALUE"""),0.13175)</f>
        <v>0.13175</v>
      </c>
      <c r="L222" s="19" t="str">
        <f>IFERROR(__xludf.DUMMYFUNCTION("""COMPUTED_VALUE"""),"-")</f>
        <v>-</v>
      </c>
      <c r="M222" s="19" t="str">
        <f>IFERROR(__xludf.DUMMYFUNCTION("""COMPUTED_VALUE"""),"-")</f>
        <v>-</v>
      </c>
    </row>
    <row r="223">
      <c r="A223" s="12" t="s">
        <v>9013</v>
      </c>
      <c r="G223" s="19">
        <f>IFERROR(__xludf.DUMMYFUNCTION("SPLIT(A221, "" |"")"),109001.0)</f>
        <v>109001</v>
      </c>
      <c r="H223" s="19">
        <f>IFERROR(__xludf.DUMMYFUNCTION("""COMPUTED_VALUE"""),0.00232)</f>
        <v>0.00232</v>
      </c>
      <c r="I223" s="19" t="str">
        <f>IFERROR(__xludf.DUMMYFUNCTION("""COMPUTED_VALUE"""),"-")</f>
        <v>-</v>
      </c>
      <c r="J223" s="19">
        <f>IFERROR(__xludf.DUMMYFUNCTION("""COMPUTED_VALUE"""),0.01958)</f>
        <v>0.01958</v>
      </c>
      <c r="K223" s="19">
        <f>IFERROR(__xludf.DUMMYFUNCTION("""COMPUTED_VALUE"""),0.1306)</f>
        <v>0.1306</v>
      </c>
      <c r="L223" s="19" t="str">
        <f>IFERROR(__xludf.DUMMYFUNCTION("""COMPUTED_VALUE"""),"-")</f>
        <v>-</v>
      </c>
      <c r="M223" s="19" t="str">
        <f>IFERROR(__xludf.DUMMYFUNCTION("""COMPUTED_VALUE"""),"-")</f>
        <v>-</v>
      </c>
    </row>
    <row r="224">
      <c r="A224" s="12" t="s">
        <v>9014</v>
      </c>
      <c r="G224" s="19">
        <f>IFERROR(__xludf.DUMMYFUNCTION("SPLIT(A222, "" |"")"),109501.0)</f>
        <v>109501</v>
      </c>
      <c r="H224" s="19">
        <f>IFERROR(__xludf.DUMMYFUNCTION("""COMPUTED_VALUE"""),0.00229)</f>
        <v>0.00229</v>
      </c>
      <c r="I224" s="19" t="str">
        <f>IFERROR(__xludf.DUMMYFUNCTION("""COMPUTED_VALUE"""),"-")</f>
        <v>-</v>
      </c>
      <c r="J224" s="19">
        <f>IFERROR(__xludf.DUMMYFUNCTION("""COMPUTED_VALUE"""),0.01956)</f>
        <v>0.01956</v>
      </c>
      <c r="K224" s="19">
        <f>IFERROR(__xludf.DUMMYFUNCTION("""COMPUTED_VALUE"""),0.12579)</f>
        <v>0.12579</v>
      </c>
      <c r="L224" s="19" t="str">
        <f>IFERROR(__xludf.DUMMYFUNCTION("""COMPUTED_VALUE"""),"-")</f>
        <v>-</v>
      </c>
      <c r="M224" s="19" t="str">
        <f>IFERROR(__xludf.DUMMYFUNCTION("""COMPUTED_VALUE"""),"-")</f>
        <v>-</v>
      </c>
    </row>
    <row r="225">
      <c r="A225" s="12" t="s">
        <v>9015</v>
      </c>
      <c r="G225" s="19">
        <f>IFERROR(__xludf.DUMMYFUNCTION("SPLIT(A223, "" |"")"),110001.0)</f>
        <v>110001</v>
      </c>
      <c r="H225" s="19">
        <f>IFERROR(__xludf.DUMMYFUNCTION("""COMPUTED_VALUE"""),0.00262)</f>
        <v>0.00262</v>
      </c>
      <c r="I225" s="19" t="str">
        <f>IFERROR(__xludf.DUMMYFUNCTION("""COMPUTED_VALUE"""),"-")</f>
        <v>-</v>
      </c>
      <c r="J225" s="19">
        <f>IFERROR(__xludf.DUMMYFUNCTION("""COMPUTED_VALUE"""),0.01972)</f>
        <v>0.01972</v>
      </c>
      <c r="K225" s="19">
        <f>IFERROR(__xludf.DUMMYFUNCTION("""COMPUTED_VALUE"""),0.13214)</f>
        <v>0.13214</v>
      </c>
      <c r="L225" s="19" t="str">
        <f>IFERROR(__xludf.DUMMYFUNCTION("""COMPUTED_VALUE"""),"-")</f>
        <v>-</v>
      </c>
      <c r="M225" s="19" t="str">
        <f>IFERROR(__xludf.DUMMYFUNCTION("""COMPUTED_VALUE"""),"-")</f>
        <v>-</v>
      </c>
    </row>
    <row r="226">
      <c r="A226" s="12" t="s">
        <v>9016</v>
      </c>
      <c r="G226" s="19">
        <f>IFERROR(__xludf.DUMMYFUNCTION("SPLIT(A224, "" |"")"),110501.0)</f>
        <v>110501</v>
      </c>
      <c r="H226" s="19">
        <f>IFERROR(__xludf.DUMMYFUNCTION("""COMPUTED_VALUE"""),0.00236)</f>
        <v>0.00236</v>
      </c>
      <c r="I226" s="19" t="str">
        <f>IFERROR(__xludf.DUMMYFUNCTION("""COMPUTED_VALUE"""),"-")</f>
        <v>-</v>
      </c>
      <c r="J226" s="19">
        <f>IFERROR(__xludf.DUMMYFUNCTION("""COMPUTED_VALUE"""),0.01947)</f>
        <v>0.01947</v>
      </c>
      <c r="K226" s="19">
        <f>IFERROR(__xludf.DUMMYFUNCTION("""COMPUTED_VALUE"""),0.12859)</f>
        <v>0.12859</v>
      </c>
      <c r="L226" s="19" t="str">
        <f>IFERROR(__xludf.DUMMYFUNCTION("""COMPUTED_VALUE"""),"-")</f>
        <v>-</v>
      </c>
      <c r="M226" s="19" t="str">
        <f>IFERROR(__xludf.DUMMYFUNCTION("""COMPUTED_VALUE"""),"-")</f>
        <v>-</v>
      </c>
    </row>
    <row r="227">
      <c r="A227" s="12" t="s">
        <v>9017</v>
      </c>
      <c r="G227" s="19">
        <f>IFERROR(__xludf.DUMMYFUNCTION("SPLIT(A225, "" |"")"),111001.0)</f>
        <v>111001</v>
      </c>
      <c r="H227" s="19">
        <f>IFERROR(__xludf.DUMMYFUNCTION("""COMPUTED_VALUE"""),0.00233)</f>
        <v>0.00233</v>
      </c>
      <c r="I227" s="19" t="str">
        <f>IFERROR(__xludf.DUMMYFUNCTION("""COMPUTED_VALUE"""),"-")</f>
        <v>-</v>
      </c>
      <c r="J227" s="19">
        <f>IFERROR(__xludf.DUMMYFUNCTION("""COMPUTED_VALUE"""),0.01955)</f>
        <v>0.01955</v>
      </c>
      <c r="K227" s="19">
        <f>IFERROR(__xludf.DUMMYFUNCTION("""COMPUTED_VALUE"""),0.13186)</f>
        <v>0.13186</v>
      </c>
      <c r="L227" s="19" t="str">
        <f>IFERROR(__xludf.DUMMYFUNCTION("""COMPUTED_VALUE"""),"-")</f>
        <v>-</v>
      </c>
      <c r="M227" s="19" t="str">
        <f>IFERROR(__xludf.DUMMYFUNCTION("""COMPUTED_VALUE"""),"-")</f>
        <v>-</v>
      </c>
    </row>
    <row r="228">
      <c r="A228" s="12" t="s">
        <v>9018</v>
      </c>
      <c r="G228" s="19">
        <f>IFERROR(__xludf.DUMMYFUNCTION("SPLIT(A226, "" |"")"),111501.0)</f>
        <v>111501</v>
      </c>
      <c r="H228" s="19">
        <f>IFERROR(__xludf.DUMMYFUNCTION("""COMPUTED_VALUE"""),0.0023)</f>
        <v>0.0023</v>
      </c>
      <c r="I228" s="19" t="str">
        <f>IFERROR(__xludf.DUMMYFUNCTION("""COMPUTED_VALUE"""),"-")</f>
        <v>-</v>
      </c>
      <c r="J228" s="19">
        <f>IFERROR(__xludf.DUMMYFUNCTION("""COMPUTED_VALUE"""),0.01947)</f>
        <v>0.01947</v>
      </c>
      <c r="K228" s="19">
        <f>IFERROR(__xludf.DUMMYFUNCTION("""COMPUTED_VALUE"""),0.13171)</f>
        <v>0.13171</v>
      </c>
      <c r="L228" s="19" t="str">
        <f>IFERROR(__xludf.DUMMYFUNCTION("""COMPUTED_VALUE"""),"-")</f>
        <v>-</v>
      </c>
      <c r="M228" s="19" t="str">
        <f>IFERROR(__xludf.DUMMYFUNCTION("""COMPUTED_VALUE"""),"-")</f>
        <v>-</v>
      </c>
    </row>
    <row r="229">
      <c r="A229" s="12" t="s">
        <v>9019</v>
      </c>
      <c r="G229" s="19">
        <f>IFERROR(__xludf.DUMMYFUNCTION("SPLIT(A227, "" |"")"),112001.0)</f>
        <v>112001</v>
      </c>
      <c r="H229" s="19">
        <f>IFERROR(__xludf.DUMMYFUNCTION("""COMPUTED_VALUE"""),0.00235)</f>
        <v>0.00235</v>
      </c>
      <c r="I229" s="19" t="str">
        <f>IFERROR(__xludf.DUMMYFUNCTION("""COMPUTED_VALUE"""),"-")</f>
        <v>-</v>
      </c>
      <c r="J229" s="19">
        <f>IFERROR(__xludf.DUMMYFUNCTION("""COMPUTED_VALUE"""),0.01954)</f>
        <v>0.01954</v>
      </c>
      <c r="K229" s="19">
        <f>IFERROR(__xludf.DUMMYFUNCTION("""COMPUTED_VALUE"""),0.1306)</f>
        <v>0.1306</v>
      </c>
      <c r="L229" s="19" t="str">
        <f>IFERROR(__xludf.DUMMYFUNCTION("""COMPUTED_VALUE"""),"-")</f>
        <v>-</v>
      </c>
      <c r="M229" s="19" t="str">
        <f>IFERROR(__xludf.DUMMYFUNCTION("""COMPUTED_VALUE"""),"-")</f>
        <v>-</v>
      </c>
    </row>
    <row r="230">
      <c r="A230" s="12" t="s">
        <v>9020</v>
      </c>
      <c r="G230" s="19">
        <f>IFERROR(__xludf.DUMMYFUNCTION("SPLIT(A228, "" |"")"),112501.0)</f>
        <v>112501</v>
      </c>
      <c r="H230" s="19">
        <f>IFERROR(__xludf.DUMMYFUNCTION("""COMPUTED_VALUE"""),0.00233)</f>
        <v>0.00233</v>
      </c>
      <c r="I230" s="19" t="str">
        <f>IFERROR(__xludf.DUMMYFUNCTION("""COMPUTED_VALUE"""),"-")</f>
        <v>-</v>
      </c>
      <c r="J230" s="19">
        <f>IFERROR(__xludf.DUMMYFUNCTION("""COMPUTED_VALUE"""),0.01963)</f>
        <v>0.01963</v>
      </c>
      <c r="K230" s="19">
        <f>IFERROR(__xludf.DUMMYFUNCTION("""COMPUTED_VALUE"""),0.13186)</f>
        <v>0.13186</v>
      </c>
      <c r="L230" s="19" t="str">
        <f>IFERROR(__xludf.DUMMYFUNCTION("""COMPUTED_VALUE"""),"-")</f>
        <v>-</v>
      </c>
      <c r="M230" s="19" t="str">
        <f>IFERROR(__xludf.DUMMYFUNCTION("""COMPUTED_VALUE"""),"-")</f>
        <v>-</v>
      </c>
    </row>
    <row r="231">
      <c r="A231" s="12" t="s">
        <v>9021</v>
      </c>
      <c r="G231" s="19">
        <f>IFERROR(__xludf.DUMMYFUNCTION("SPLIT(A229, "" |"")"),113001.0)</f>
        <v>113001</v>
      </c>
      <c r="H231" s="19">
        <f>IFERROR(__xludf.DUMMYFUNCTION("""COMPUTED_VALUE"""),0.00229)</f>
        <v>0.00229</v>
      </c>
      <c r="I231" s="19" t="str">
        <f>IFERROR(__xludf.DUMMYFUNCTION("""COMPUTED_VALUE"""),"-")</f>
        <v>-</v>
      </c>
      <c r="J231" s="19">
        <f>IFERROR(__xludf.DUMMYFUNCTION("""COMPUTED_VALUE"""),0.01955)</f>
        <v>0.01955</v>
      </c>
      <c r="K231" s="19">
        <f>IFERROR(__xludf.DUMMYFUNCTION("""COMPUTED_VALUE"""),0.13189)</f>
        <v>0.13189</v>
      </c>
      <c r="L231" s="19" t="str">
        <f>IFERROR(__xludf.DUMMYFUNCTION("""COMPUTED_VALUE"""),"-")</f>
        <v>-</v>
      </c>
      <c r="M231" s="19" t="str">
        <f>IFERROR(__xludf.DUMMYFUNCTION("""COMPUTED_VALUE"""),"-")</f>
        <v>-</v>
      </c>
    </row>
    <row r="232">
      <c r="A232" s="12" t="s">
        <v>9022</v>
      </c>
      <c r="G232" s="19">
        <f>IFERROR(__xludf.DUMMYFUNCTION("SPLIT(A230, "" |"")"),113501.0)</f>
        <v>113501</v>
      </c>
      <c r="H232" s="19">
        <f>IFERROR(__xludf.DUMMYFUNCTION("""COMPUTED_VALUE"""),0.00239)</f>
        <v>0.00239</v>
      </c>
      <c r="I232" s="19" t="str">
        <f>IFERROR(__xludf.DUMMYFUNCTION("""COMPUTED_VALUE"""),"-")</f>
        <v>-</v>
      </c>
      <c r="J232" s="19">
        <f>IFERROR(__xludf.DUMMYFUNCTION("""COMPUTED_VALUE"""),0.01956)</f>
        <v>0.01956</v>
      </c>
      <c r="K232" s="19">
        <f>IFERROR(__xludf.DUMMYFUNCTION("""COMPUTED_VALUE"""),0.13171)</f>
        <v>0.13171</v>
      </c>
      <c r="L232" s="19" t="str">
        <f>IFERROR(__xludf.DUMMYFUNCTION("""COMPUTED_VALUE"""),"-")</f>
        <v>-</v>
      </c>
      <c r="M232" s="19" t="str">
        <f>IFERROR(__xludf.DUMMYFUNCTION("""COMPUTED_VALUE"""),"-")</f>
        <v>-</v>
      </c>
    </row>
    <row r="233">
      <c r="A233" s="12" t="s">
        <v>9023</v>
      </c>
      <c r="G233" s="19">
        <f>IFERROR(__xludf.DUMMYFUNCTION("SPLIT(A231, "" |"")"),114001.0)</f>
        <v>114001</v>
      </c>
      <c r="H233" s="19">
        <f>IFERROR(__xludf.DUMMYFUNCTION("""COMPUTED_VALUE"""),0.0023)</f>
        <v>0.0023</v>
      </c>
      <c r="I233" s="19" t="str">
        <f>IFERROR(__xludf.DUMMYFUNCTION("""COMPUTED_VALUE"""),"-")</f>
        <v>-</v>
      </c>
      <c r="J233" s="19">
        <f>IFERROR(__xludf.DUMMYFUNCTION("""COMPUTED_VALUE"""),0.01961)</f>
        <v>0.01961</v>
      </c>
      <c r="K233" s="19">
        <f>IFERROR(__xludf.DUMMYFUNCTION("""COMPUTED_VALUE"""),0.13191)</f>
        <v>0.13191</v>
      </c>
      <c r="L233" s="19" t="str">
        <f>IFERROR(__xludf.DUMMYFUNCTION("""COMPUTED_VALUE"""),"-")</f>
        <v>-</v>
      </c>
      <c r="M233" s="19" t="str">
        <f>IFERROR(__xludf.DUMMYFUNCTION("""COMPUTED_VALUE"""),"-")</f>
        <v>-</v>
      </c>
    </row>
    <row r="234">
      <c r="A234" s="12" t="s">
        <v>9024</v>
      </c>
      <c r="G234" s="19">
        <f>IFERROR(__xludf.DUMMYFUNCTION("SPLIT(A232, "" |"")"),114501.0)</f>
        <v>114501</v>
      </c>
      <c r="H234" s="19">
        <f>IFERROR(__xludf.DUMMYFUNCTION("""COMPUTED_VALUE"""),0.00226)</f>
        <v>0.00226</v>
      </c>
      <c r="I234" s="19" t="str">
        <f>IFERROR(__xludf.DUMMYFUNCTION("""COMPUTED_VALUE"""),"-")</f>
        <v>-</v>
      </c>
      <c r="J234" s="19">
        <f>IFERROR(__xludf.DUMMYFUNCTION("""COMPUTED_VALUE"""),0.01956)</f>
        <v>0.01956</v>
      </c>
      <c r="K234" s="19">
        <f>IFERROR(__xludf.DUMMYFUNCTION("""COMPUTED_VALUE"""),0.13181)</f>
        <v>0.13181</v>
      </c>
      <c r="L234" s="19" t="str">
        <f>IFERROR(__xludf.DUMMYFUNCTION("""COMPUTED_VALUE"""),"-")</f>
        <v>-</v>
      </c>
      <c r="M234" s="19" t="str">
        <f>IFERROR(__xludf.DUMMYFUNCTION("""COMPUTED_VALUE"""),"-")</f>
        <v>-</v>
      </c>
    </row>
    <row r="235">
      <c r="A235" s="12" t="s">
        <v>9025</v>
      </c>
      <c r="G235" s="19">
        <f>IFERROR(__xludf.DUMMYFUNCTION("SPLIT(A233, "" |"")"),115001.0)</f>
        <v>115001</v>
      </c>
      <c r="H235" s="19">
        <f>IFERROR(__xludf.DUMMYFUNCTION("""COMPUTED_VALUE"""),0.00229)</f>
        <v>0.00229</v>
      </c>
      <c r="I235" s="19" t="str">
        <f>IFERROR(__xludf.DUMMYFUNCTION("""COMPUTED_VALUE"""),"-")</f>
        <v>-</v>
      </c>
      <c r="J235" s="19">
        <f>IFERROR(__xludf.DUMMYFUNCTION("""COMPUTED_VALUE"""),0.01951)</f>
        <v>0.01951</v>
      </c>
      <c r="K235" s="19">
        <f>IFERROR(__xludf.DUMMYFUNCTION("""COMPUTED_VALUE"""),0.12928)</f>
        <v>0.12928</v>
      </c>
      <c r="L235" s="19" t="str">
        <f>IFERROR(__xludf.DUMMYFUNCTION("""COMPUTED_VALUE"""),"-")</f>
        <v>-</v>
      </c>
      <c r="M235" s="19" t="str">
        <f>IFERROR(__xludf.DUMMYFUNCTION("""COMPUTED_VALUE"""),"-")</f>
        <v>-</v>
      </c>
    </row>
    <row r="236">
      <c r="A236" s="12" t="s">
        <v>9026</v>
      </c>
      <c r="G236" s="19">
        <f>IFERROR(__xludf.DUMMYFUNCTION("SPLIT(A234, "" |"")"),115501.0)</f>
        <v>115501</v>
      </c>
      <c r="H236" s="19">
        <f>IFERROR(__xludf.DUMMYFUNCTION("""COMPUTED_VALUE"""),0.00223)</f>
        <v>0.00223</v>
      </c>
      <c r="I236" s="19" t="str">
        <f>IFERROR(__xludf.DUMMYFUNCTION("""COMPUTED_VALUE"""),"-")</f>
        <v>-</v>
      </c>
      <c r="J236" s="19">
        <f>IFERROR(__xludf.DUMMYFUNCTION("""COMPUTED_VALUE"""),0.01958)</f>
        <v>0.01958</v>
      </c>
      <c r="K236" s="19">
        <f>IFERROR(__xludf.DUMMYFUNCTION("""COMPUTED_VALUE"""),0.13171)</f>
        <v>0.13171</v>
      </c>
      <c r="L236" s="19" t="str">
        <f>IFERROR(__xludf.DUMMYFUNCTION("""COMPUTED_VALUE"""),"-")</f>
        <v>-</v>
      </c>
      <c r="M236" s="19" t="str">
        <f>IFERROR(__xludf.DUMMYFUNCTION("""COMPUTED_VALUE"""),"-")</f>
        <v>-</v>
      </c>
    </row>
    <row r="237">
      <c r="A237" s="12" t="s">
        <v>9027</v>
      </c>
      <c r="G237" s="19">
        <f>IFERROR(__xludf.DUMMYFUNCTION("SPLIT(A235, "" |"")"),116001.0)</f>
        <v>116001</v>
      </c>
      <c r="H237" s="19">
        <f>IFERROR(__xludf.DUMMYFUNCTION("""COMPUTED_VALUE"""),0.00243)</f>
        <v>0.00243</v>
      </c>
      <c r="I237" s="19" t="str">
        <f>IFERROR(__xludf.DUMMYFUNCTION("""COMPUTED_VALUE"""),"-")</f>
        <v>-</v>
      </c>
      <c r="J237" s="19">
        <f>IFERROR(__xludf.DUMMYFUNCTION("""COMPUTED_VALUE"""),0.01837)</f>
        <v>0.01837</v>
      </c>
      <c r="K237" s="19">
        <f>IFERROR(__xludf.DUMMYFUNCTION("""COMPUTED_VALUE"""),0.13193)</f>
        <v>0.13193</v>
      </c>
      <c r="L237" s="19" t="str">
        <f>IFERROR(__xludf.DUMMYFUNCTION("""COMPUTED_VALUE"""),"-")</f>
        <v>-</v>
      </c>
      <c r="M237" s="19" t="str">
        <f>IFERROR(__xludf.DUMMYFUNCTION("""COMPUTED_VALUE"""),"-")</f>
        <v>-</v>
      </c>
    </row>
    <row r="238">
      <c r="A238" s="12" t="s">
        <v>9028</v>
      </c>
      <c r="G238" s="19">
        <f>IFERROR(__xludf.DUMMYFUNCTION("SPLIT(A236, "" |"")"),116501.0)</f>
        <v>116501</v>
      </c>
      <c r="H238" s="19">
        <f>IFERROR(__xludf.DUMMYFUNCTION("""COMPUTED_VALUE"""),0.00241)</f>
        <v>0.00241</v>
      </c>
      <c r="I238" s="19" t="str">
        <f>IFERROR(__xludf.DUMMYFUNCTION("""COMPUTED_VALUE"""),"-")</f>
        <v>-</v>
      </c>
      <c r="J238" s="19">
        <f>IFERROR(__xludf.DUMMYFUNCTION("""COMPUTED_VALUE"""),0.01961)</f>
        <v>0.01961</v>
      </c>
      <c r="K238" s="19">
        <f>IFERROR(__xludf.DUMMYFUNCTION("""COMPUTED_VALUE"""),0.13188)</f>
        <v>0.13188</v>
      </c>
      <c r="L238" s="19" t="str">
        <f>IFERROR(__xludf.DUMMYFUNCTION("""COMPUTED_VALUE"""),"-")</f>
        <v>-</v>
      </c>
      <c r="M238" s="19" t="str">
        <f>IFERROR(__xludf.DUMMYFUNCTION("""COMPUTED_VALUE"""),"-")</f>
        <v>-</v>
      </c>
    </row>
    <row r="239">
      <c r="A239" s="12" t="s">
        <v>9029</v>
      </c>
      <c r="G239" s="19">
        <f>IFERROR(__xludf.DUMMYFUNCTION("SPLIT(A237, "" |"")"),117001.0)</f>
        <v>117001</v>
      </c>
      <c r="H239" s="19">
        <f>IFERROR(__xludf.DUMMYFUNCTION("""COMPUTED_VALUE"""),0.00233)</f>
        <v>0.00233</v>
      </c>
      <c r="I239" s="19" t="str">
        <f>IFERROR(__xludf.DUMMYFUNCTION("""COMPUTED_VALUE"""),"-")</f>
        <v>-</v>
      </c>
      <c r="J239" s="19">
        <f>IFERROR(__xludf.DUMMYFUNCTION("""COMPUTED_VALUE"""),0.01737)</f>
        <v>0.01737</v>
      </c>
      <c r="K239" s="19">
        <f>IFERROR(__xludf.DUMMYFUNCTION("""COMPUTED_VALUE"""),0.13079)</f>
        <v>0.13079</v>
      </c>
      <c r="L239" s="19" t="str">
        <f>IFERROR(__xludf.DUMMYFUNCTION("""COMPUTED_VALUE"""),"-")</f>
        <v>-</v>
      </c>
      <c r="M239" s="19" t="str">
        <f>IFERROR(__xludf.DUMMYFUNCTION("""COMPUTED_VALUE"""),"-")</f>
        <v>-</v>
      </c>
    </row>
    <row r="240">
      <c r="A240" s="12" t="s">
        <v>9030</v>
      </c>
      <c r="G240" s="19">
        <f>IFERROR(__xludf.DUMMYFUNCTION("SPLIT(A238, "" |"")"),117501.0)</f>
        <v>117501</v>
      </c>
      <c r="H240" s="19">
        <f>IFERROR(__xludf.DUMMYFUNCTION("""COMPUTED_VALUE"""),0.00223)</f>
        <v>0.00223</v>
      </c>
      <c r="I240" s="19" t="str">
        <f>IFERROR(__xludf.DUMMYFUNCTION("""COMPUTED_VALUE"""),"-")</f>
        <v>-</v>
      </c>
      <c r="J240" s="19">
        <f>IFERROR(__xludf.DUMMYFUNCTION("""COMPUTED_VALUE"""),0.01958)</f>
        <v>0.01958</v>
      </c>
      <c r="K240" s="19">
        <f>IFERROR(__xludf.DUMMYFUNCTION("""COMPUTED_VALUE"""),0.13192)</f>
        <v>0.13192</v>
      </c>
      <c r="L240" s="19" t="str">
        <f>IFERROR(__xludf.DUMMYFUNCTION("""COMPUTED_VALUE"""),"-")</f>
        <v>-</v>
      </c>
      <c r="M240" s="19" t="str">
        <f>IFERROR(__xludf.DUMMYFUNCTION("""COMPUTED_VALUE"""),"-")</f>
        <v>-</v>
      </c>
    </row>
    <row r="241">
      <c r="A241" s="12" t="s">
        <v>9031</v>
      </c>
      <c r="G241" s="19">
        <f>IFERROR(__xludf.DUMMYFUNCTION("SPLIT(A239, "" |"")"),118001.0)</f>
        <v>118001</v>
      </c>
      <c r="H241" s="19">
        <f>IFERROR(__xludf.DUMMYFUNCTION("""COMPUTED_VALUE"""),0.00228)</f>
        <v>0.00228</v>
      </c>
      <c r="I241" s="19" t="str">
        <f>IFERROR(__xludf.DUMMYFUNCTION("""COMPUTED_VALUE"""),"-")</f>
        <v>-</v>
      </c>
      <c r="J241" s="19">
        <f>IFERROR(__xludf.DUMMYFUNCTION("""COMPUTED_VALUE"""),0.01957)</f>
        <v>0.01957</v>
      </c>
      <c r="K241" s="19">
        <f>IFERROR(__xludf.DUMMYFUNCTION("""COMPUTED_VALUE"""),0.13186)</f>
        <v>0.13186</v>
      </c>
      <c r="L241" s="19" t="str">
        <f>IFERROR(__xludf.DUMMYFUNCTION("""COMPUTED_VALUE"""),"-")</f>
        <v>-</v>
      </c>
      <c r="M241" s="19" t="str">
        <f>IFERROR(__xludf.DUMMYFUNCTION("""COMPUTED_VALUE"""),"-")</f>
        <v>-</v>
      </c>
    </row>
    <row r="242">
      <c r="A242" s="12" t="s">
        <v>9032</v>
      </c>
      <c r="G242" s="19">
        <f>IFERROR(__xludf.DUMMYFUNCTION("SPLIT(A240, "" |"")"),118501.0)</f>
        <v>118501</v>
      </c>
      <c r="H242" s="19">
        <f>IFERROR(__xludf.DUMMYFUNCTION("""COMPUTED_VALUE"""),0.0024)</f>
        <v>0.0024</v>
      </c>
      <c r="I242" s="19" t="str">
        <f>IFERROR(__xludf.DUMMYFUNCTION("""COMPUTED_VALUE"""),"-")</f>
        <v>-</v>
      </c>
      <c r="J242" s="19">
        <f>IFERROR(__xludf.DUMMYFUNCTION("""COMPUTED_VALUE"""),0.01956)</f>
        <v>0.01956</v>
      </c>
      <c r="K242" s="19">
        <f>IFERROR(__xludf.DUMMYFUNCTION("""COMPUTED_VALUE"""),0.1282)</f>
        <v>0.1282</v>
      </c>
      <c r="L242" s="19" t="str">
        <f>IFERROR(__xludf.DUMMYFUNCTION("""COMPUTED_VALUE"""),"-")</f>
        <v>-</v>
      </c>
      <c r="M242" s="19" t="str">
        <f>IFERROR(__xludf.DUMMYFUNCTION("""COMPUTED_VALUE"""),"-")</f>
        <v>-</v>
      </c>
    </row>
    <row r="243">
      <c r="A243" s="12" t="s">
        <v>9033</v>
      </c>
      <c r="G243" s="19">
        <f>IFERROR(__xludf.DUMMYFUNCTION("SPLIT(A241, "" |"")"),119001.0)</f>
        <v>119001</v>
      </c>
      <c r="H243" s="19">
        <f>IFERROR(__xludf.DUMMYFUNCTION("""COMPUTED_VALUE"""),0.00224)</f>
        <v>0.00224</v>
      </c>
      <c r="I243" s="19" t="str">
        <f>IFERROR(__xludf.DUMMYFUNCTION("""COMPUTED_VALUE"""),"-")</f>
        <v>-</v>
      </c>
      <c r="J243" s="19">
        <f>IFERROR(__xludf.DUMMYFUNCTION("""COMPUTED_VALUE"""),0.01954)</f>
        <v>0.01954</v>
      </c>
      <c r="K243" s="19">
        <f>IFERROR(__xludf.DUMMYFUNCTION("""COMPUTED_VALUE"""),0.12852)</f>
        <v>0.12852</v>
      </c>
      <c r="L243" s="19" t="str">
        <f>IFERROR(__xludf.DUMMYFUNCTION("""COMPUTED_VALUE"""),"-")</f>
        <v>-</v>
      </c>
      <c r="M243" s="19" t="str">
        <f>IFERROR(__xludf.DUMMYFUNCTION("""COMPUTED_VALUE"""),"-")</f>
        <v>-</v>
      </c>
    </row>
    <row r="244">
      <c r="A244" s="12" t="s">
        <v>9034</v>
      </c>
      <c r="G244" s="19">
        <f>IFERROR(__xludf.DUMMYFUNCTION("SPLIT(A242, "" |"")"),119501.0)</f>
        <v>119501</v>
      </c>
      <c r="H244" s="19">
        <f>IFERROR(__xludf.DUMMYFUNCTION("""COMPUTED_VALUE"""),0.00226)</f>
        <v>0.00226</v>
      </c>
      <c r="I244" s="19" t="str">
        <f>IFERROR(__xludf.DUMMYFUNCTION("""COMPUTED_VALUE"""),"-")</f>
        <v>-</v>
      </c>
      <c r="J244" s="19">
        <f>IFERROR(__xludf.DUMMYFUNCTION("""COMPUTED_VALUE"""),0.01949)</f>
        <v>0.01949</v>
      </c>
      <c r="K244" s="19">
        <f>IFERROR(__xludf.DUMMYFUNCTION("""COMPUTED_VALUE"""),0.12781)</f>
        <v>0.12781</v>
      </c>
      <c r="L244" s="19" t="str">
        <f>IFERROR(__xludf.DUMMYFUNCTION("""COMPUTED_VALUE"""),"-")</f>
        <v>-</v>
      </c>
      <c r="M244" s="19" t="str">
        <f>IFERROR(__xludf.DUMMYFUNCTION("""COMPUTED_VALUE"""),"-")</f>
        <v>-</v>
      </c>
    </row>
    <row r="245">
      <c r="A245" s="12" t="s">
        <v>9035</v>
      </c>
      <c r="G245" s="19">
        <f>IFERROR(__xludf.DUMMYFUNCTION("SPLIT(A243, "" |"")"),120001.0)</f>
        <v>120001</v>
      </c>
      <c r="H245" s="19">
        <f>IFERROR(__xludf.DUMMYFUNCTION("""COMPUTED_VALUE"""),0.00231)</f>
        <v>0.00231</v>
      </c>
      <c r="I245" s="19" t="str">
        <f>IFERROR(__xludf.DUMMYFUNCTION("""COMPUTED_VALUE"""),"-")</f>
        <v>-</v>
      </c>
      <c r="J245" s="19">
        <f>IFERROR(__xludf.DUMMYFUNCTION("""COMPUTED_VALUE"""),0.01957)</f>
        <v>0.01957</v>
      </c>
      <c r="K245" s="19">
        <f>IFERROR(__xludf.DUMMYFUNCTION("""COMPUTED_VALUE"""),0.13158)</f>
        <v>0.13158</v>
      </c>
      <c r="L245" s="19" t="str">
        <f>IFERROR(__xludf.DUMMYFUNCTION("""COMPUTED_VALUE"""),"-")</f>
        <v>-</v>
      </c>
      <c r="M245" s="19" t="str">
        <f>IFERROR(__xludf.DUMMYFUNCTION("""COMPUTED_VALUE"""),"-")</f>
        <v>-</v>
      </c>
    </row>
    <row r="246">
      <c r="A246" s="12" t="s">
        <v>9036</v>
      </c>
      <c r="G246" s="19">
        <f>IFERROR(__xludf.DUMMYFUNCTION("SPLIT(A244, "" |"")"),120501.0)</f>
        <v>120501</v>
      </c>
      <c r="H246" s="19">
        <f>IFERROR(__xludf.DUMMYFUNCTION("""COMPUTED_VALUE"""),0.00239)</f>
        <v>0.00239</v>
      </c>
      <c r="I246" s="19" t="str">
        <f>IFERROR(__xludf.DUMMYFUNCTION("""COMPUTED_VALUE"""),"-")</f>
        <v>-</v>
      </c>
      <c r="J246" s="19">
        <f>IFERROR(__xludf.DUMMYFUNCTION("""COMPUTED_VALUE"""),0.01966)</f>
        <v>0.01966</v>
      </c>
      <c r="K246" s="19">
        <f>IFERROR(__xludf.DUMMYFUNCTION("""COMPUTED_VALUE"""),0.13188)</f>
        <v>0.13188</v>
      </c>
      <c r="L246" s="19" t="str">
        <f>IFERROR(__xludf.DUMMYFUNCTION("""COMPUTED_VALUE"""),"-")</f>
        <v>-</v>
      </c>
      <c r="M246" s="19" t="str">
        <f>IFERROR(__xludf.DUMMYFUNCTION("""COMPUTED_VALUE"""),"-")</f>
        <v>-</v>
      </c>
    </row>
    <row r="247">
      <c r="A247" s="12" t="s">
        <v>9037</v>
      </c>
      <c r="G247" s="19">
        <f>IFERROR(__xludf.DUMMYFUNCTION("SPLIT(A245, "" |"")"),121001.0)</f>
        <v>121001</v>
      </c>
      <c r="H247" s="19">
        <f>IFERROR(__xludf.DUMMYFUNCTION("""COMPUTED_VALUE"""),0.00217)</f>
        <v>0.00217</v>
      </c>
      <c r="I247" s="19" t="str">
        <f>IFERROR(__xludf.DUMMYFUNCTION("""COMPUTED_VALUE"""),"-")</f>
        <v>-</v>
      </c>
      <c r="J247" s="19">
        <f>IFERROR(__xludf.DUMMYFUNCTION("""COMPUTED_VALUE"""),0.01945)</f>
        <v>0.01945</v>
      </c>
      <c r="K247" s="19">
        <f>IFERROR(__xludf.DUMMYFUNCTION("""COMPUTED_VALUE"""),0.13038)</f>
        <v>0.13038</v>
      </c>
      <c r="L247" s="19" t="str">
        <f>IFERROR(__xludf.DUMMYFUNCTION("""COMPUTED_VALUE"""),"-")</f>
        <v>-</v>
      </c>
      <c r="M247" s="19" t="str">
        <f>IFERROR(__xludf.DUMMYFUNCTION("""COMPUTED_VALUE"""),"-")</f>
        <v>-</v>
      </c>
    </row>
    <row r="248">
      <c r="A248" s="12" t="s">
        <v>9038</v>
      </c>
      <c r="G248" s="19">
        <f>IFERROR(__xludf.DUMMYFUNCTION("SPLIT(A246, "" |"")"),121501.0)</f>
        <v>121501</v>
      </c>
      <c r="H248" s="19">
        <f>IFERROR(__xludf.DUMMYFUNCTION("""COMPUTED_VALUE"""),0.00238)</f>
        <v>0.00238</v>
      </c>
      <c r="I248" s="19" t="str">
        <f>IFERROR(__xludf.DUMMYFUNCTION("""COMPUTED_VALUE"""),"-")</f>
        <v>-</v>
      </c>
      <c r="J248" s="19">
        <f>IFERROR(__xludf.DUMMYFUNCTION("""COMPUTED_VALUE"""),0.01963)</f>
        <v>0.01963</v>
      </c>
      <c r="K248" s="19">
        <f>IFERROR(__xludf.DUMMYFUNCTION("""COMPUTED_VALUE"""),0.13201)</f>
        <v>0.13201</v>
      </c>
      <c r="L248" s="19" t="str">
        <f>IFERROR(__xludf.DUMMYFUNCTION("""COMPUTED_VALUE"""),"-")</f>
        <v>-</v>
      </c>
      <c r="M248" s="19" t="str">
        <f>IFERROR(__xludf.DUMMYFUNCTION("""COMPUTED_VALUE"""),"-")</f>
        <v>-</v>
      </c>
    </row>
    <row r="249">
      <c r="A249" s="12" t="s">
        <v>9039</v>
      </c>
      <c r="G249" s="19">
        <f>IFERROR(__xludf.DUMMYFUNCTION("SPLIT(A247, "" |"")"),122001.0)</f>
        <v>122001</v>
      </c>
      <c r="H249" s="19">
        <f>IFERROR(__xludf.DUMMYFUNCTION("""COMPUTED_VALUE"""),0.00241)</f>
        <v>0.00241</v>
      </c>
      <c r="I249" s="19" t="str">
        <f>IFERROR(__xludf.DUMMYFUNCTION("""COMPUTED_VALUE"""),"-")</f>
        <v>-</v>
      </c>
      <c r="J249" s="19">
        <f>IFERROR(__xludf.DUMMYFUNCTION("""COMPUTED_VALUE"""),0.01954)</f>
        <v>0.01954</v>
      </c>
      <c r="K249" s="19">
        <f>IFERROR(__xludf.DUMMYFUNCTION("""COMPUTED_VALUE"""),0.13048)</f>
        <v>0.13048</v>
      </c>
      <c r="L249" s="19" t="str">
        <f>IFERROR(__xludf.DUMMYFUNCTION("""COMPUTED_VALUE"""),"-")</f>
        <v>-</v>
      </c>
      <c r="M249" s="19" t="str">
        <f>IFERROR(__xludf.DUMMYFUNCTION("""COMPUTED_VALUE"""),"-")</f>
        <v>-</v>
      </c>
    </row>
    <row r="250">
      <c r="A250" s="12" t="s">
        <v>9040</v>
      </c>
      <c r="G250" s="19">
        <f>IFERROR(__xludf.DUMMYFUNCTION("SPLIT(A248, "" |"")"),122501.0)</f>
        <v>122501</v>
      </c>
      <c r="H250" s="19">
        <f>IFERROR(__xludf.DUMMYFUNCTION("""COMPUTED_VALUE"""),0.00233)</f>
        <v>0.00233</v>
      </c>
      <c r="I250" s="19" t="str">
        <f>IFERROR(__xludf.DUMMYFUNCTION("""COMPUTED_VALUE"""),"-")</f>
        <v>-</v>
      </c>
      <c r="J250" s="19">
        <f>IFERROR(__xludf.DUMMYFUNCTION("""COMPUTED_VALUE"""),0.01951)</f>
        <v>0.01951</v>
      </c>
      <c r="K250" s="19">
        <f>IFERROR(__xludf.DUMMYFUNCTION("""COMPUTED_VALUE"""),0.13031)</f>
        <v>0.13031</v>
      </c>
      <c r="L250" s="19" t="str">
        <f>IFERROR(__xludf.DUMMYFUNCTION("""COMPUTED_VALUE"""),"-")</f>
        <v>-</v>
      </c>
      <c r="M250" s="19" t="str">
        <f>IFERROR(__xludf.DUMMYFUNCTION("""COMPUTED_VALUE"""),"-")</f>
        <v>-</v>
      </c>
    </row>
    <row r="251">
      <c r="A251" s="12" t="s">
        <v>9041</v>
      </c>
      <c r="G251" s="19">
        <f>IFERROR(__xludf.DUMMYFUNCTION("SPLIT(A249, "" |"")"),123001.0)</f>
        <v>123001</v>
      </c>
      <c r="H251" s="19">
        <f>IFERROR(__xludf.DUMMYFUNCTION("""COMPUTED_VALUE"""),0.00225)</f>
        <v>0.00225</v>
      </c>
      <c r="I251" s="19" t="str">
        <f>IFERROR(__xludf.DUMMYFUNCTION("""COMPUTED_VALUE"""),"-")</f>
        <v>-</v>
      </c>
      <c r="J251" s="19">
        <f>IFERROR(__xludf.DUMMYFUNCTION("""COMPUTED_VALUE"""),0.01951)</f>
        <v>0.01951</v>
      </c>
      <c r="K251" s="19">
        <f>IFERROR(__xludf.DUMMYFUNCTION("""COMPUTED_VALUE"""),0.1254)</f>
        <v>0.1254</v>
      </c>
      <c r="L251" s="19" t="str">
        <f>IFERROR(__xludf.DUMMYFUNCTION("""COMPUTED_VALUE"""),"-")</f>
        <v>-</v>
      </c>
      <c r="M251" s="19" t="str">
        <f>IFERROR(__xludf.DUMMYFUNCTION("""COMPUTED_VALUE"""),"-")</f>
        <v>-</v>
      </c>
    </row>
    <row r="252">
      <c r="A252" s="12" t="s">
        <v>9042</v>
      </c>
      <c r="G252" s="19">
        <f>IFERROR(__xludf.DUMMYFUNCTION("SPLIT(A250, "" |"")"),123501.0)</f>
        <v>123501</v>
      </c>
      <c r="H252" s="19">
        <f>IFERROR(__xludf.DUMMYFUNCTION("""COMPUTED_VALUE"""),0.00223)</f>
        <v>0.00223</v>
      </c>
      <c r="I252" s="19" t="str">
        <f>IFERROR(__xludf.DUMMYFUNCTION("""COMPUTED_VALUE"""),"-")</f>
        <v>-</v>
      </c>
      <c r="J252" s="19">
        <f>IFERROR(__xludf.DUMMYFUNCTION("""COMPUTED_VALUE"""),0.01676)</f>
        <v>0.01676</v>
      </c>
      <c r="K252" s="19">
        <f>IFERROR(__xludf.DUMMYFUNCTION("""COMPUTED_VALUE"""),0.12323)</f>
        <v>0.12323</v>
      </c>
      <c r="L252" s="19" t="str">
        <f>IFERROR(__xludf.DUMMYFUNCTION("""COMPUTED_VALUE"""),"-")</f>
        <v>-</v>
      </c>
      <c r="M252" s="19" t="str">
        <f>IFERROR(__xludf.DUMMYFUNCTION("""COMPUTED_VALUE"""),"-")</f>
        <v>-</v>
      </c>
    </row>
    <row r="253">
      <c r="A253" s="12" t="s">
        <v>9043</v>
      </c>
      <c r="G253" s="19">
        <f>IFERROR(__xludf.DUMMYFUNCTION("SPLIT(A251, "" |"")"),124001.0)</f>
        <v>124001</v>
      </c>
      <c r="H253" s="19">
        <f>IFERROR(__xludf.DUMMYFUNCTION("""COMPUTED_VALUE"""),0.00228)</f>
        <v>0.00228</v>
      </c>
      <c r="I253" s="19" t="str">
        <f>IFERROR(__xludf.DUMMYFUNCTION("""COMPUTED_VALUE"""),"-")</f>
        <v>-</v>
      </c>
      <c r="J253" s="19">
        <f>IFERROR(__xludf.DUMMYFUNCTION("""COMPUTED_VALUE"""),0.01958)</f>
        <v>0.01958</v>
      </c>
      <c r="K253" s="19">
        <f>IFERROR(__xludf.DUMMYFUNCTION("""COMPUTED_VALUE"""),0.1289)</f>
        <v>0.1289</v>
      </c>
      <c r="L253" s="19" t="str">
        <f>IFERROR(__xludf.DUMMYFUNCTION("""COMPUTED_VALUE"""),"-")</f>
        <v>-</v>
      </c>
      <c r="M253" s="19" t="str">
        <f>IFERROR(__xludf.DUMMYFUNCTION("""COMPUTED_VALUE"""),"-")</f>
        <v>-</v>
      </c>
    </row>
    <row r="254">
      <c r="A254" s="12" t="s">
        <v>9044</v>
      </c>
      <c r="G254" s="19">
        <f>IFERROR(__xludf.DUMMYFUNCTION("SPLIT(A252, "" |"")"),124501.0)</f>
        <v>124501</v>
      </c>
      <c r="H254" s="19">
        <f>IFERROR(__xludf.DUMMYFUNCTION("""COMPUTED_VALUE"""),0.00226)</f>
        <v>0.00226</v>
      </c>
      <c r="I254" s="19" t="str">
        <f>IFERROR(__xludf.DUMMYFUNCTION("""COMPUTED_VALUE"""),"-")</f>
        <v>-</v>
      </c>
      <c r="J254" s="19">
        <f>IFERROR(__xludf.DUMMYFUNCTION("""COMPUTED_VALUE"""),0.01887)</f>
        <v>0.01887</v>
      </c>
      <c r="K254" s="19">
        <f>IFERROR(__xludf.DUMMYFUNCTION("""COMPUTED_VALUE"""),0.12492)</f>
        <v>0.12492</v>
      </c>
      <c r="L254" s="19" t="str">
        <f>IFERROR(__xludf.DUMMYFUNCTION("""COMPUTED_VALUE"""),"-")</f>
        <v>-</v>
      </c>
      <c r="M254" s="19" t="str">
        <f>IFERROR(__xludf.DUMMYFUNCTION("""COMPUTED_VALUE"""),"-")</f>
        <v>-</v>
      </c>
    </row>
    <row r="255">
      <c r="A255" s="12" t="s">
        <v>9045</v>
      </c>
      <c r="G255" s="19">
        <f>IFERROR(__xludf.DUMMYFUNCTION("SPLIT(A253, "" |"")"),125001.0)</f>
        <v>125001</v>
      </c>
      <c r="H255" s="19">
        <f>IFERROR(__xludf.DUMMYFUNCTION("""COMPUTED_VALUE"""),0.00218)</f>
        <v>0.00218</v>
      </c>
      <c r="I255" s="19" t="str">
        <f>IFERROR(__xludf.DUMMYFUNCTION("""COMPUTED_VALUE"""),"-")</f>
        <v>-</v>
      </c>
      <c r="J255" s="19">
        <f>IFERROR(__xludf.DUMMYFUNCTION("""COMPUTED_VALUE"""),0.01911)</f>
        <v>0.01911</v>
      </c>
      <c r="K255" s="19">
        <f>IFERROR(__xludf.DUMMYFUNCTION("""COMPUTED_VALUE"""),0.13181)</f>
        <v>0.13181</v>
      </c>
      <c r="L255" s="19" t="str">
        <f>IFERROR(__xludf.DUMMYFUNCTION("""COMPUTED_VALUE"""),"-")</f>
        <v>-</v>
      </c>
      <c r="M255" s="19" t="str">
        <f>IFERROR(__xludf.DUMMYFUNCTION("""COMPUTED_VALUE"""),"-")</f>
        <v>-</v>
      </c>
    </row>
    <row r="256">
      <c r="A256" s="12" t="s">
        <v>9046</v>
      </c>
      <c r="G256" s="19">
        <f>IFERROR(__xludf.DUMMYFUNCTION("SPLIT(A254, "" |"")"),125501.0)</f>
        <v>125501</v>
      </c>
      <c r="H256" s="19">
        <f>IFERROR(__xludf.DUMMYFUNCTION("""COMPUTED_VALUE"""),0.00223)</f>
        <v>0.00223</v>
      </c>
      <c r="I256" s="19" t="str">
        <f>IFERROR(__xludf.DUMMYFUNCTION("""COMPUTED_VALUE"""),"-")</f>
        <v>-</v>
      </c>
      <c r="J256" s="19">
        <f>IFERROR(__xludf.DUMMYFUNCTION("""COMPUTED_VALUE"""),0.01958)</f>
        <v>0.01958</v>
      </c>
      <c r="K256" s="19">
        <f>IFERROR(__xludf.DUMMYFUNCTION("""COMPUTED_VALUE"""),0.13154)</f>
        <v>0.13154</v>
      </c>
      <c r="L256" s="19" t="str">
        <f>IFERROR(__xludf.DUMMYFUNCTION("""COMPUTED_VALUE"""),"-")</f>
        <v>-</v>
      </c>
      <c r="M256" s="19" t="str">
        <f>IFERROR(__xludf.DUMMYFUNCTION("""COMPUTED_VALUE"""),"-")</f>
        <v>-</v>
      </c>
    </row>
    <row r="257">
      <c r="A257" s="12" t="s">
        <v>9047</v>
      </c>
      <c r="G257" s="19">
        <f>IFERROR(__xludf.DUMMYFUNCTION("SPLIT(A255, "" |"")"),126001.0)</f>
        <v>126001</v>
      </c>
      <c r="H257" s="19">
        <f>IFERROR(__xludf.DUMMYFUNCTION("""COMPUTED_VALUE"""),0.00221)</f>
        <v>0.00221</v>
      </c>
      <c r="I257" s="19" t="str">
        <f>IFERROR(__xludf.DUMMYFUNCTION("""COMPUTED_VALUE"""),"-")</f>
        <v>-</v>
      </c>
      <c r="J257" s="19">
        <f>IFERROR(__xludf.DUMMYFUNCTION("""COMPUTED_VALUE"""),0.01948)</f>
        <v>0.01948</v>
      </c>
      <c r="K257" s="19">
        <f>IFERROR(__xludf.DUMMYFUNCTION("""COMPUTED_VALUE"""),0.12859)</f>
        <v>0.12859</v>
      </c>
      <c r="L257" s="19" t="str">
        <f>IFERROR(__xludf.DUMMYFUNCTION("""COMPUTED_VALUE"""),"-")</f>
        <v>-</v>
      </c>
      <c r="M257" s="19" t="str">
        <f>IFERROR(__xludf.DUMMYFUNCTION("""COMPUTED_VALUE"""),"-")</f>
        <v>-</v>
      </c>
    </row>
    <row r="258">
      <c r="A258" s="12" t="s">
        <v>9048</v>
      </c>
      <c r="G258" s="19">
        <f>IFERROR(__xludf.DUMMYFUNCTION("SPLIT(A256, "" |"")"),126501.0)</f>
        <v>126501</v>
      </c>
      <c r="H258" s="19">
        <f>IFERROR(__xludf.DUMMYFUNCTION("""COMPUTED_VALUE"""),0.00226)</f>
        <v>0.00226</v>
      </c>
      <c r="I258" s="19" t="str">
        <f>IFERROR(__xludf.DUMMYFUNCTION("""COMPUTED_VALUE"""),"-")</f>
        <v>-</v>
      </c>
      <c r="J258" s="19">
        <f>IFERROR(__xludf.DUMMYFUNCTION("""COMPUTED_VALUE"""),0.01952)</f>
        <v>0.01952</v>
      </c>
      <c r="K258" s="19">
        <f>IFERROR(__xludf.DUMMYFUNCTION("""COMPUTED_VALUE"""),0.13178)</f>
        <v>0.13178</v>
      </c>
      <c r="L258" s="19" t="str">
        <f>IFERROR(__xludf.DUMMYFUNCTION("""COMPUTED_VALUE"""),"-")</f>
        <v>-</v>
      </c>
      <c r="M258" s="19" t="str">
        <f>IFERROR(__xludf.DUMMYFUNCTION("""COMPUTED_VALUE"""),"-")</f>
        <v>-</v>
      </c>
    </row>
    <row r="259">
      <c r="A259" s="12" t="s">
        <v>9049</v>
      </c>
      <c r="G259" s="19">
        <f>IFERROR(__xludf.DUMMYFUNCTION("SPLIT(A257, "" |"")"),127001.0)</f>
        <v>127001</v>
      </c>
      <c r="H259" s="19">
        <f>IFERROR(__xludf.DUMMYFUNCTION("""COMPUTED_VALUE"""),0.00216)</f>
        <v>0.00216</v>
      </c>
      <c r="I259" s="19" t="str">
        <f>IFERROR(__xludf.DUMMYFUNCTION("""COMPUTED_VALUE"""),"-")</f>
        <v>-</v>
      </c>
      <c r="J259" s="19">
        <f>IFERROR(__xludf.DUMMYFUNCTION("""COMPUTED_VALUE"""),0.01949)</f>
        <v>0.01949</v>
      </c>
      <c r="K259" s="19">
        <f>IFERROR(__xludf.DUMMYFUNCTION("""COMPUTED_VALUE"""),0.13055)</f>
        <v>0.13055</v>
      </c>
      <c r="L259" s="19" t="str">
        <f>IFERROR(__xludf.DUMMYFUNCTION("""COMPUTED_VALUE"""),"-")</f>
        <v>-</v>
      </c>
      <c r="M259" s="19" t="str">
        <f>IFERROR(__xludf.DUMMYFUNCTION("""COMPUTED_VALUE"""),"-")</f>
        <v>-</v>
      </c>
    </row>
    <row r="260">
      <c r="A260" s="12" t="s">
        <v>9050</v>
      </c>
      <c r="G260" s="19">
        <f>IFERROR(__xludf.DUMMYFUNCTION("SPLIT(A258, "" |"")"),127501.0)</f>
        <v>127501</v>
      </c>
      <c r="H260" s="19">
        <f>IFERROR(__xludf.DUMMYFUNCTION("""COMPUTED_VALUE"""),0.00219)</f>
        <v>0.00219</v>
      </c>
      <c r="I260" s="19" t="str">
        <f>IFERROR(__xludf.DUMMYFUNCTION("""COMPUTED_VALUE"""),"-")</f>
        <v>-</v>
      </c>
      <c r="J260" s="19">
        <f>IFERROR(__xludf.DUMMYFUNCTION("""COMPUTED_VALUE"""),0.01959)</f>
        <v>0.01959</v>
      </c>
      <c r="K260" s="19">
        <f>IFERROR(__xludf.DUMMYFUNCTION("""COMPUTED_VALUE"""),0.12921)</f>
        <v>0.12921</v>
      </c>
      <c r="L260" s="19" t="str">
        <f>IFERROR(__xludf.DUMMYFUNCTION("""COMPUTED_VALUE"""),"-")</f>
        <v>-</v>
      </c>
      <c r="M260" s="19" t="str">
        <f>IFERROR(__xludf.DUMMYFUNCTION("""COMPUTED_VALUE"""),"-")</f>
        <v>-</v>
      </c>
    </row>
    <row r="261">
      <c r="A261" s="12" t="s">
        <v>9051</v>
      </c>
      <c r="G261" s="19">
        <f>IFERROR(__xludf.DUMMYFUNCTION("SPLIT(A259, "" |"")"),128001.0)</f>
        <v>128001</v>
      </c>
      <c r="H261" s="19">
        <f>IFERROR(__xludf.DUMMYFUNCTION("""COMPUTED_VALUE"""),0.00214)</f>
        <v>0.00214</v>
      </c>
      <c r="I261" s="19" t="str">
        <f>IFERROR(__xludf.DUMMYFUNCTION("""COMPUTED_VALUE"""),"-")</f>
        <v>-</v>
      </c>
      <c r="J261" s="19">
        <f>IFERROR(__xludf.DUMMYFUNCTION("""COMPUTED_VALUE"""),0.01959)</f>
        <v>0.01959</v>
      </c>
      <c r="K261" s="19">
        <f>IFERROR(__xludf.DUMMYFUNCTION("""COMPUTED_VALUE"""),0.13148)</f>
        <v>0.13148</v>
      </c>
      <c r="L261" s="19" t="str">
        <f>IFERROR(__xludf.DUMMYFUNCTION("""COMPUTED_VALUE"""),"-")</f>
        <v>-</v>
      </c>
      <c r="M261" s="19" t="str">
        <f>IFERROR(__xludf.DUMMYFUNCTION("""COMPUTED_VALUE"""),"-")</f>
        <v>-</v>
      </c>
    </row>
    <row r="262">
      <c r="A262" s="12" t="s">
        <v>9052</v>
      </c>
      <c r="G262" s="19">
        <f>IFERROR(__xludf.DUMMYFUNCTION("SPLIT(A260, "" |"")"),128501.0)</f>
        <v>128501</v>
      </c>
      <c r="H262" s="19">
        <f>IFERROR(__xludf.DUMMYFUNCTION("""COMPUTED_VALUE"""),0.00224)</f>
        <v>0.00224</v>
      </c>
      <c r="I262" s="19" t="str">
        <f>IFERROR(__xludf.DUMMYFUNCTION("""COMPUTED_VALUE"""),"-")</f>
        <v>-</v>
      </c>
      <c r="J262" s="19">
        <f>IFERROR(__xludf.DUMMYFUNCTION("""COMPUTED_VALUE"""),0.01957)</f>
        <v>0.01957</v>
      </c>
      <c r="K262" s="19">
        <f>IFERROR(__xludf.DUMMYFUNCTION("""COMPUTED_VALUE"""),0.12982)</f>
        <v>0.12982</v>
      </c>
      <c r="L262" s="19" t="str">
        <f>IFERROR(__xludf.DUMMYFUNCTION("""COMPUTED_VALUE"""),"-")</f>
        <v>-</v>
      </c>
      <c r="M262" s="19" t="str">
        <f>IFERROR(__xludf.DUMMYFUNCTION("""COMPUTED_VALUE"""),"-")</f>
        <v>-</v>
      </c>
    </row>
    <row r="263">
      <c r="A263" s="12" t="s">
        <v>9053</v>
      </c>
      <c r="G263" s="19">
        <f>IFERROR(__xludf.DUMMYFUNCTION("SPLIT(A261, "" |"")"),129001.0)</f>
        <v>129001</v>
      </c>
      <c r="H263" s="19">
        <f>IFERROR(__xludf.DUMMYFUNCTION("""COMPUTED_VALUE"""),0.00225)</f>
        <v>0.00225</v>
      </c>
      <c r="I263" s="19" t="str">
        <f>IFERROR(__xludf.DUMMYFUNCTION("""COMPUTED_VALUE"""),"-")</f>
        <v>-</v>
      </c>
      <c r="J263" s="19">
        <f>IFERROR(__xludf.DUMMYFUNCTION("""COMPUTED_VALUE"""),0.01954)</f>
        <v>0.01954</v>
      </c>
      <c r="K263" s="19">
        <f>IFERROR(__xludf.DUMMYFUNCTION("""COMPUTED_VALUE"""),0.12868)</f>
        <v>0.12868</v>
      </c>
      <c r="L263" s="19" t="str">
        <f>IFERROR(__xludf.DUMMYFUNCTION("""COMPUTED_VALUE"""),"-")</f>
        <v>-</v>
      </c>
      <c r="M263" s="19" t="str">
        <f>IFERROR(__xludf.DUMMYFUNCTION("""COMPUTED_VALUE"""),"-")</f>
        <v>-</v>
      </c>
    </row>
    <row r="264">
      <c r="A264" s="12" t="s">
        <v>9054</v>
      </c>
      <c r="G264" s="19">
        <f>IFERROR(__xludf.DUMMYFUNCTION("SPLIT(A262, "" |"")"),129501.0)</f>
        <v>129501</v>
      </c>
      <c r="H264" s="19">
        <f>IFERROR(__xludf.DUMMYFUNCTION("""COMPUTED_VALUE"""),0.0022)</f>
        <v>0.0022</v>
      </c>
      <c r="I264" s="19" t="str">
        <f>IFERROR(__xludf.DUMMYFUNCTION("""COMPUTED_VALUE"""),"-")</f>
        <v>-</v>
      </c>
      <c r="J264" s="19">
        <f>IFERROR(__xludf.DUMMYFUNCTION("""COMPUTED_VALUE"""),0.01954)</f>
        <v>0.01954</v>
      </c>
      <c r="K264" s="19">
        <f>IFERROR(__xludf.DUMMYFUNCTION("""COMPUTED_VALUE"""),0.13188)</f>
        <v>0.13188</v>
      </c>
      <c r="L264" s="19" t="str">
        <f>IFERROR(__xludf.DUMMYFUNCTION("""COMPUTED_VALUE"""),"-")</f>
        <v>-</v>
      </c>
      <c r="M264" s="19" t="str">
        <f>IFERROR(__xludf.DUMMYFUNCTION("""COMPUTED_VALUE"""),"-")</f>
        <v>-</v>
      </c>
    </row>
    <row r="265">
      <c r="A265" s="12" t="s">
        <v>9055</v>
      </c>
      <c r="G265" s="19">
        <f>IFERROR(__xludf.DUMMYFUNCTION("SPLIT(A263, "" |"")"),130001.0)</f>
        <v>130001</v>
      </c>
      <c r="H265" s="19">
        <f>IFERROR(__xludf.DUMMYFUNCTION("""COMPUTED_VALUE"""),0.00231)</f>
        <v>0.00231</v>
      </c>
      <c r="I265" s="19" t="str">
        <f>IFERROR(__xludf.DUMMYFUNCTION("""COMPUTED_VALUE"""),"-")</f>
        <v>-</v>
      </c>
      <c r="J265" s="19">
        <f>IFERROR(__xludf.DUMMYFUNCTION("""COMPUTED_VALUE"""),0.01953)</f>
        <v>0.01953</v>
      </c>
      <c r="K265" s="19">
        <f>IFERROR(__xludf.DUMMYFUNCTION("""COMPUTED_VALUE"""),0.13183)</f>
        <v>0.13183</v>
      </c>
      <c r="L265" s="19" t="str">
        <f>IFERROR(__xludf.DUMMYFUNCTION("""COMPUTED_VALUE"""),"-")</f>
        <v>-</v>
      </c>
      <c r="M265" s="19" t="str">
        <f>IFERROR(__xludf.DUMMYFUNCTION("""COMPUTED_VALUE"""),"-")</f>
        <v>-</v>
      </c>
    </row>
    <row r="266">
      <c r="A266" s="12" t="s">
        <v>9056</v>
      </c>
      <c r="G266" s="19">
        <f>IFERROR(__xludf.DUMMYFUNCTION("SPLIT(A264, "" |"")"),130501.0)</f>
        <v>130501</v>
      </c>
      <c r="H266" s="19">
        <f>IFERROR(__xludf.DUMMYFUNCTION("""COMPUTED_VALUE"""),0.00235)</f>
        <v>0.00235</v>
      </c>
      <c r="I266" s="19" t="str">
        <f>IFERROR(__xludf.DUMMYFUNCTION("""COMPUTED_VALUE"""),"-")</f>
        <v>-</v>
      </c>
      <c r="J266" s="19">
        <f>IFERROR(__xludf.DUMMYFUNCTION("""COMPUTED_VALUE"""),0.01958)</f>
        <v>0.01958</v>
      </c>
      <c r="K266" s="19">
        <f>IFERROR(__xludf.DUMMYFUNCTION("""COMPUTED_VALUE"""),0.12778)</f>
        <v>0.12778</v>
      </c>
      <c r="L266" s="19" t="str">
        <f>IFERROR(__xludf.DUMMYFUNCTION("""COMPUTED_VALUE"""),"-")</f>
        <v>-</v>
      </c>
      <c r="M266" s="19" t="str">
        <f>IFERROR(__xludf.DUMMYFUNCTION("""COMPUTED_VALUE"""),"-")</f>
        <v>-</v>
      </c>
    </row>
    <row r="267">
      <c r="A267" s="12" t="s">
        <v>9057</v>
      </c>
      <c r="G267" s="19">
        <f>IFERROR(__xludf.DUMMYFUNCTION("SPLIT(A265, "" |"")"),131001.0)</f>
        <v>131001</v>
      </c>
      <c r="H267" s="19">
        <f>IFERROR(__xludf.DUMMYFUNCTION("""COMPUTED_VALUE"""),0.00224)</f>
        <v>0.00224</v>
      </c>
      <c r="I267" s="19" t="str">
        <f>IFERROR(__xludf.DUMMYFUNCTION("""COMPUTED_VALUE"""),"-")</f>
        <v>-</v>
      </c>
      <c r="J267" s="19">
        <f>IFERROR(__xludf.DUMMYFUNCTION("""COMPUTED_VALUE"""),0.01951)</f>
        <v>0.01951</v>
      </c>
      <c r="K267" s="19">
        <f>IFERROR(__xludf.DUMMYFUNCTION("""COMPUTED_VALUE"""),0.13189)</f>
        <v>0.13189</v>
      </c>
      <c r="L267" s="19" t="str">
        <f>IFERROR(__xludf.DUMMYFUNCTION("""COMPUTED_VALUE"""),"-")</f>
        <v>-</v>
      </c>
      <c r="M267" s="19" t="str">
        <f>IFERROR(__xludf.DUMMYFUNCTION("""COMPUTED_VALUE"""),"-")</f>
        <v>-</v>
      </c>
    </row>
    <row r="268">
      <c r="A268" s="12" t="s">
        <v>9058</v>
      </c>
      <c r="G268" s="19">
        <f>IFERROR(__xludf.DUMMYFUNCTION("SPLIT(A266, "" |"")"),131501.0)</f>
        <v>131501</v>
      </c>
      <c r="H268" s="19">
        <f>IFERROR(__xludf.DUMMYFUNCTION("""COMPUTED_VALUE"""),0.00217)</f>
        <v>0.00217</v>
      </c>
      <c r="I268" s="19" t="str">
        <f>IFERROR(__xludf.DUMMYFUNCTION("""COMPUTED_VALUE"""),"-")</f>
        <v>-</v>
      </c>
      <c r="J268" s="19">
        <f>IFERROR(__xludf.DUMMYFUNCTION("""COMPUTED_VALUE"""),0.01958)</f>
        <v>0.01958</v>
      </c>
      <c r="K268" s="19">
        <f>IFERROR(__xludf.DUMMYFUNCTION("""COMPUTED_VALUE"""),0.12497)</f>
        <v>0.12497</v>
      </c>
      <c r="L268" s="19" t="str">
        <f>IFERROR(__xludf.DUMMYFUNCTION("""COMPUTED_VALUE"""),"-")</f>
        <v>-</v>
      </c>
      <c r="M268" s="19" t="str">
        <f>IFERROR(__xludf.DUMMYFUNCTION("""COMPUTED_VALUE"""),"-")</f>
        <v>-</v>
      </c>
    </row>
    <row r="269">
      <c r="A269" s="12" t="s">
        <v>9059</v>
      </c>
      <c r="G269" s="19">
        <f>IFERROR(__xludf.DUMMYFUNCTION("SPLIT(A267, "" |"")"),132001.0)</f>
        <v>132001</v>
      </c>
      <c r="H269" s="19">
        <f>IFERROR(__xludf.DUMMYFUNCTION("""COMPUTED_VALUE"""),0.0023)</f>
        <v>0.0023</v>
      </c>
      <c r="I269" s="19" t="str">
        <f>IFERROR(__xludf.DUMMYFUNCTION("""COMPUTED_VALUE"""),"-")</f>
        <v>-</v>
      </c>
      <c r="J269" s="19">
        <f>IFERROR(__xludf.DUMMYFUNCTION("""COMPUTED_VALUE"""),0.01958)</f>
        <v>0.01958</v>
      </c>
      <c r="K269" s="19">
        <f>IFERROR(__xludf.DUMMYFUNCTION("""COMPUTED_VALUE"""),0.1319)</f>
        <v>0.1319</v>
      </c>
      <c r="L269" s="19" t="str">
        <f>IFERROR(__xludf.DUMMYFUNCTION("""COMPUTED_VALUE"""),"-")</f>
        <v>-</v>
      </c>
      <c r="M269" s="19" t="str">
        <f>IFERROR(__xludf.DUMMYFUNCTION("""COMPUTED_VALUE"""),"-")</f>
        <v>-</v>
      </c>
    </row>
    <row r="270">
      <c r="A270" s="12" t="s">
        <v>9060</v>
      </c>
      <c r="G270" s="19">
        <f>IFERROR(__xludf.DUMMYFUNCTION("SPLIT(A268, "" |"")"),132501.0)</f>
        <v>132501</v>
      </c>
      <c r="H270" s="19">
        <f>IFERROR(__xludf.DUMMYFUNCTION("""COMPUTED_VALUE"""),0.00226)</f>
        <v>0.00226</v>
      </c>
      <c r="I270" s="19" t="str">
        <f>IFERROR(__xludf.DUMMYFUNCTION("""COMPUTED_VALUE"""),"-")</f>
        <v>-</v>
      </c>
      <c r="J270" s="19">
        <f>IFERROR(__xludf.DUMMYFUNCTION("""COMPUTED_VALUE"""),0.01953)</f>
        <v>0.01953</v>
      </c>
      <c r="K270" s="19">
        <f>IFERROR(__xludf.DUMMYFUNCTION("""COMPUTED_VALUE"""),0.13202)</f>
        <v>0.13202</v>
      </c>
      <c r="L270" s="19" t="str">
        <f>IFERROR(__xludf.DUMMYFUNCTION("""COMPUTED_VALUE"""),"-")</f>
        <v>-</v>
      </c>
      <c r="M270" s="19" t="str">
        <f>IFERROR(__xludf.DUMMYFUNCTION("""COMPUTED_VALUE"""),"-")</f>
        <v>-</v>
      </c>
    </row>
    <row r="271">
      <c r="A271" s="12" t="s">
        <v>9061</v>
      </c>
      <c r="G271" s="19">
        <f>IFERROR(__xludf.DUMMYFUNCTION("SPLIT(A269, "" |"")"),133001.0)</f>
        <v>133001</v>
      </c>
      <c r="H271" s="19">
        <f>IFERROR(__xludf.DUMMYFUNCTION("""COMPUTED_VALUE"""),0.00225)</f>
        <v>0.00225</v>
      </c>
      <c r="I271" s="19" t="str">
        <f>IFERROR(__xludf.DUMMYFUNCTION("""COMPUTED_VALUE"""),"-")</f>
        <v>-</v>
      </c>
      <c r="J271" s="19">
        <f>IFERROR(__xludf.DUMMYFUNCTION("""COMPUTED_VALUE"""),0.01847)</f>
        <v>0.01847</v>
      </c>
      <c r="K271" s="19">
        <f>IFERROR(__xludf.DUMMYFUNCTION("""COMPUTED_VALUE"""),0.12915)</f>
        <v>0.12915</v>
      </c>
      <c r="L271" s="19" t="str">
        <f>IFERROR(__xludf.DUMMYFUNCTION("""COMPUTED_VALUE"""),"-")</f>
        <v>-</v>
      </c>
      <c r="M271" s="19" t="str">
        <f>IFERROR(__xludf.DUMMYFUNCTION("""COMPUTED_VALUE"""),"-")</f>
        <v>-</v>
      </c>
    </row>
    <row r="272">
      <c r="A272" s="12" t="s">
        <v>9062</v>
      </c>
      <c r="G272" s="19">
        <f>IFERROR(__xludf.DUMMYFUNCTION("SPLIT(A270, "" |"")"),133501.0)</f>
        <v>133501</v>
      </c>
      <c r="H272" s="19">
        <f>IFERROR(__xludf.DUMMYFUNCTION("""COMPUTED_VALUE"""),0.00228)</f>
        <v>0.00228</v>
      </c>
      <c r="I272" s="19" t="str">
        <f>IFERROR(__xludf.DUMMYFUNCTION("""COMPUTED_VALUE"""),"-")</f>
        <v>-</v>
      </c>
      <c r="J272" s="19">
        <f>IFERROR(__xludf.DUMMYFUNCTION("""COMPUTED_VALUE"""),0.01959)</f>
        <v>0.01959</v>
      </c>
      <c r="K272" s="19">
        <f>IFERROR(__xludf.DUMMYFUNCTION("""COMPUTED_VALUE"""),0.12801)</f>
        <v>0.12801</v>
      </c>
      <c r="L272" s="19" t="str">
        <f>IFERROR(__xludf.DUMMYFUNCTION("""COMPUTED_VALUE"""),"-")</f>
        <v>-</v>
      </c>
      <c r="M272" s="19" t="str">
        <f>IFERROR(__xludf.DUMMYFUNCTION("""COMPUTED_VALUE"""),"-")</f>
        <v>-</v>
      </c>
    </row>
    <row r="273">
      <c r="A273" s="12" t="s">
        <v>9063</v>
      </c>
      <c r="G273" s="19">
        <f>IFERROR(__xludf.DUMMYFUNCTION("SPLIT(A271, "" |"")"),134001.0)</f>
        <v>134001</v>
      </c>
      <c r="H273" s="19">
        <f>IFERROR(__xludf.DUMMYFUNCTION("""COMPUTED_VALUE"""),0.00232)</f>
        <v>0.00232</v>
      </c>
      <c r="I273" s="19" t="str">
        <f>IFERROR(__xludf.DUMMYFUNCTION("""COMPUTED_VALUE"""),"-")</f>
        <v>-</v>
      </c>
      <c r="J273" s="19">
        <f>IFERROR(__xludf.DUMMYFUNCTION("""COMPUTED_VALUE"""),0.01955)</f>
        <v>0.01955</v>
      </c>
      <c r="K273" s="19">
        <f>IFERROR(__xludf.DUMMYFUNCTION("""COMPUTED_VALUE"""),0.12812)</f>
        <v>0.12812</v>
      </c>
      <c r="L273" s="19" t="str">
        <f>IFERROR(__xludf.DUMMYFUNCTION("""COMPUTED_VALUE"""),"-")</f>
        <v>-</v>
      </c>
      <c r="M273" s="19" t="str">
        <f>IFERROR(__xludf.DUMMYFUNCTION("""COMPUTED_VALUE"""),"-")</f>
        <v>-</v>
      </c>
    </row>
    <row r="274">
      <c r="A274" s="12" t="s">
        <v>9064</v>
      </c>
      <c r="G274" s="19">
        <f>IFERROR(__xludf.DUMMYFUNCTION("SPLIT(A272, "" |"")"),134501.0)</f>
        <v>134501</v>
      </c>
      <c r="H274" s="19">
        <f>IFERROR(__xludf.DUMMYFUNCTION("""COMPUTED_VALUE"""),0.0023)</f>
        <v>0.0023</v>
      </c>
      <c r="I274" s="19" t="str">
        <f>IFERROR(__xludf.DUMMYFUNCTION("""COMPUTED_VALUE"""),"-")</f>
        <v>-</v>
      </c>
      <c r="J274" s="19">
        <f>IFERROR(__xludf.DUMMYFUNCTION("""COMPUTED_VALUE"""),0.01883)</f>
        <v>0.01883</v>
      </c>
      <c r="K274" s="19">
        <f>IFERROR(__xludf.DUMMYFUNCTION("""COMPUTED_VALUE"""),0.12307)</f>
        <v>0.12307</v>
      </c>
      <c r="L274" s="19" t="str">
        <f>IFERROR(__xludf.DUMMYFUNCTION("""COMPUTED_VALUE"""),"-")</f>
        <v>-</v>
      </c>
      <c r="M274" s="19" t="str">
        <f>IFERROR(__xludf.DUMMYFUNCTION("""COMPUTED_VALUE"""),"-")</f>
        <v>-</v>
      </c>
    </row>
    <row r="275">
      <c r="A275" s="12" t="s">
        <v>9065</v>
      </c>
      <c r="G275" s="19">
        <f>IFERROR(__xludf.DUMMYFUNCTION("SPLIT(A273, "" |"")"),135001.0)</f>
        <v>135001</v>
      </c>
      <c r="H275" s="19">
        <f>IFERROR(__xludf.DUMMYFUNCTION("""COMPUTED_VALUE"""),0.00229)</f>
        <v>0.00229</v>
      </c>
      <c r="I275" s="19" t="str">
        <f>IFERROR(__xludf.DUMMYFUNCTION("""COMPUTED_VALUE"""),"-")</f>
        <v>-</v>
      </c>
      <c r="J275" s="19">
        <f>IFERROR(__xludf.DUMMYFUNCTION("""COMPUTED_VALUE"""),0.01843)</f>
        <v>0.01843</v>
      </c>
      <c r="K275" s="19">
        <f>IFERROR(__xludf.DUMMYFUNCTION("""COMPUTED_VALUE"""),0.13196)</f>
        <v>0.13196</v>
      </c>
      <c r="L275" s="19" t="str">
        <f>IFERROR(__xludf.DUMMYFUNCTION("""COMPUTED_VALUE"""),"-")</f>
        <v>-</v>
      </c>
      <c r="M275" s="19" t="str">
        <f>IFERROR(__xludf.DUMMYFUNCTION("""COMPUTED_VALUE"""),"-")</f>
        <v>-</v>
      </c>
    </row>
    <row r="276">
      <c r="A276" s="12" t="s">
        <v>9066</v>
      </c>
      <c r="G276" s="19">
        <f>IFERROR(__xludf.DUMMYFUNCTION("SPLIT(A274, "" |"")"),135501.0)</f>
        <v>135501</v>
      </c>
      <c r="H276" s="19">
        <f>IFERROR(__xludf.DUMMYFUNCTION("""COMPUTED_VALUE"""),0.00625)</f>
        <v>0.00625</v>
      </c>
      <c r="I276" s="19" t="str">
        <f>IFERROR(__xludf.DUMMYFUNCTION("""COMPUTED_VALUE"""),"-")</f>
        <v>-</v>
      </c>
      <c r="J276" s="19">
        <f>IFERROR(__xludf.DUMMYFUNCTION("""COMPUTED_VALUE"""),0.01991)</f>
        <v>0.01991</v>
      </c>
      <c r="K276" s="19">
        <f>IFERROR(__xludf.DUMMYFUNCTION("""COMPUTED_VALUE"""),0.13202)</f>
        <v>0.13202</v>
      </c>
      <c r="L276" s="19" t="str">
        <f>IFERROR(__xludf.DUMMYFUNCTION("""COMPUTED_VALUE"""),"-")</f>
        <v>-</v>
      </c>
      <c r="M276" s="19" t="str">
        <f>IFERROR(__xludf.DUMMYFUNCTION("""COMPUTED_VALUE"""),"-")</f>
        <v>-</v>
      </c>
    </row>
    <row r="277">
      <c r="A277" s="12" t="s">
        <v>9067</v>
      </c>
      <c r="G277" s="19">
        <f>IFERROR(__xludf.DUMMYFUNCTION("SPLIT(A275, "" |"")"),136001.0)</f>
        <v>136001</v>
      </c>
      <c r="H277" s="19">
        <f>IFERROR(__xludf.DUMMYFUNCTION("""COMPUTED_VALUE"""),0.00238)</f>
        <v>0.00238</v>
      </c>
      <c r="I277" s="19" t="str">
        <f>IFERROR(__xludf.DUMMYFUNCTION("""COMPUTED_VALUE"""),"-")</f>
        <v>-</v>
      </c>
      <c r="J277" s="19">
        <f>IFERROR(__xludf.DUMMYFUNCTION("""COMPUTED_VALUE"""),0.02023)</f>
        <v>0.02023</v>
      </c>
      <c r="K277" s="19">
        <f>IFERROR(__xludf.DUMMYFUNCTION("""COMPUTED_VALUE"""),0.1286)</f>
        <v>0.1286</v>
      </c>
      <c r="L277" s="19" t="str">
        <f>IFERROR(__xludf.DUMMYFUNCTION("""COMPUTED_VALUE"""),"-")</f>
        <v>-</v>
      </c>
      <c r="M277" s="19" t="str">
        <f>IFERROR(__xludf.DUMMYFUNCTION("""COMPUTED_VALUE"""),"-")</f>
        <v>-</v>
      </c>
    </row>
    <row r="278">
      <c r="A278" s="12" t="s">
        <v>9068</v>
      </c>
      <c r="G278" s="19">
        <f>IFERROR(__xludf.DUMMYFUNCTION("SPLIT(A276, "" |"")"),136501.0)</f>
        <v>136501</v>
      </c>
      <c r="H278" s="19">
        <f>IFERROR(__xludf.DUMMYFUNCTION("""COMPUTED_VALUE"""),0.00213)</f>
        <v>0.00213</v>
      </c>
      <c r="I278" s="19" t="str">
        <f>IFERROR(__xludf.DUMMYFUNCTION("""COMPUTED_VALUE"""),"-")</f>
        <v>-</v>
      </c>
      <c r="J278" s="19">
        <f>IFERROR(__xludf.DUMMYFUNCTION("""COMPUTED_VALUE"""),0.01977)</f>
        <v>0.01977</v>
      </c>
      <c r="K278" s="19">
        <f>IFERROR(__xludf.DUMMYFUNCTION("""COMPUTED_VALUE"""),0.12827)</f>
        <v>0.12827</v>
      </c>
      <c r="L278" s="19" t="str">
        <f>IFERROR(__xludf.DUMMYFUNCTION("""COMPUTED_VALUE"""),"-")</f>
        <v>-</v>
      </c>
      <c r="M278" s="19" t="str">
        <f>IFERROR(__xludf.DUMMYFUNCTION("""COMPUTED_VALUE"""),"-")</f>
        <v>-</v>
      </c>
    </row>
    <row r="279">
      <c r="A279" s="12" t="s">
        <v>9069</v>
      </c>
      <c r="G279" s="19">
        <f>IFERROR(__xludf.DUMMYFUNCTION("SPLIT(A277, "" |"")"),137001.0)</f>
        <v>137001</v>
      </c>
      <c r="H279" s="19">
        <f>IFERROR(__xludf.DUMMYFUNCTION("""COMPUTED_VALUE"""),0.00213)</f>
        <v>0.00213</v>
      </c>
      <c r="I279" s="19" t="str">
        <f>IFERROR(__xludf.DUMMYFUNCTION("""COMPUTED_VALUE"""),"-")</f>
        <v>-</v>
      </c>
      <c r="J279" s="19">
        <f>IFERROR(__xludf.DUMMYFUNCTION("""COMPUTED_VALUE"""),0.01957)</f>
        <v>0.01957</v>
      </c>
      <c r="K279" s="19">
        <f>IFERROR(__xludf.DUMMYFUNCTION("""COMPUTED_VALUE"""),0.13195)</f>
        <v>0.13195</v>
      </c>
      <c r="L279" s="19" t="str">
        <f>IFERROR(__xludf.DUMMYFUNCTION("""COMPUTED_VALUE"""),"-")</f>
        <v>-</v>
      </c>
      <c r="M279" s="19" t="str">
        <f>IFERROR(__xludf.DUMMYFUNCTION("""COMPUTED_VALUE"""),"-")</f>
        <v>-</v>
      </c>
    </row>
    <row r="280">
      <c r="A280" s="12" t="s">
        <v>9070</v>
      </c>
      <c r="G280" s="19">
        <f>IFERROR(__xludf.DUMMYFUNCTION("SPLIT(A278, "" |"")"),137501.0)</f>
        <v>137501</v>
      </c>
      <c r="H280" s="19">
        <f>IFERROR(__xludf.DUMMYFUNCTION("""COMPUTED_VALUE"""),0.00227)</f>
        <v>0.00227</v>
      </c>
      <c r="I280" s="19" t="str">
        <f>IFERROR(__xludf.DUMMYFUNCTION("""COMPUTED_VALUE"""),"-")</f>
        <v>-</v>
      </c>
      <c r="J280" s="19">
        <f>IFERROR(__xludf.DUMMYFUNCTION("""COMPUTED_VALUE"""),0.01953)</f>
        <v>0.01953</v>
      </c>
      <c r="K280" s="19">
        <f>IFERROR(__xludf.DUMMYFUNCTION("""COMPUTED_VALUE"""),0.12425)</f>
        <v>0.12425</v>
      </c>
      <c r="L280" s="19" t="str">
        <f>IFERROR(__xludf.DUMMYFUNCTION("""COMPUTED_VALUE"""),"-")</f>
        <v>-</v>
      </c>
      <c r="M280" s="19" t="str">
        <f>IFERROR(__xludf.DUMMYFUNCTION("""COMPUTED_VALUE"""),"-")</f>
        <v>-</v>
      </c>
    </row>
    <row r="281">
      <c r="A281" s="12" t="s">
        <v>9071</v>
      </c>
      <c r="G281" s="19">
        <f>IFERROR(__xludf.DUMMYFUNCTION("SPLIT(A279, "" |"")"),138001.0)</f>
        <v>138001</v>
      </c>
      <c r="H281" s="19">
        <f>IFERROR(__xludf.DUMMYFUNCTION("""COMPUTED_VALUE"""),0.00233)</f>
        <v>0.00233</v>
      </c>
      <c r="I281" s="19" t="str">
        <f>IFERROR(__xludf.DUMMYFUNCTION("""COMPUTED_VALUE"""),"-")</f>
        <v>-</v>
      </c>
      <c r="J281" s="19">
        <f>IFERROR(__xludf.DUMMYFUNCTION("""COMPUTED_VALUE"""),0.01908)</f>
        <v>0.01908</v>
      </c>
      <c r="K281" s="19">
        <f>IFERROR(__xludf.DUMMYFUNCTION("""COMPUTED_VALUE"""),0.12965)</f>
        <v>0.12965</v>
      </c>
      <c r="L281" s="19" t="str">
        <f>IFERROR(__xludf.DUMMYFUNCTION("""COMPUTED_VALUE"""),"-")</f>
        <v>-</v>
      </c>
      <c r="M281" s="19" t="str">
        <f>IFERROR(__xludf.DUMMYFUNCTION("""COMPUTED_VALUE"""),"-")</f>
        <v>-</v>
      </c>
    </row>
    <row r="282">
      <c r="A282" s="12" t="s">
        <v>9072</v>
      </c>
      <c r="G282" s="19">
        <f>IFERROR(__xludf.DUMMYFUNCTION("SPLIT(A280, "" |"")"),138501.0)</f>
        <v>138501</v>
      </c>
      <c r="H282" s="19">
        <f>IFERROR(__xludf.DUMMYFUNCTION("""COMPUTED_VALUE"""),0.00236)</f>
        <v>0.00236</v>
      </c>
      <c r="I282" s="19" t="str">
        <f>IFERROR(__xludf.DUMMYFUNCTION("""COMPUTED_VALUE"""),"-")</f>
        <v>-</v>
      </c>
      <c r="J282" s="19">
        <f>IFERROR(__xludf.DUMMYFUNCTION("""COMPUTED_VALUE"""),0.01959)</f>
        <v>0.01959</v>
      </c>
      <c r="K282" s="19">
        <f>IFERROR(__xludf.DUMMYFUNCTION("""COMPUTED_VALUE"""),0.13192)</f>
        <v>0.13192</v>
      </c>
      <c r="L282" s="19" t="str">
        <f>IFERROR(__xludf.DUMMYFUNCTION("""COMPUTED_VALUE"""),"-")</f>
        <v>-</v>
      </c>
      <c r="M282" s="19" t="str">
        <f>IFERROR(__xludf.DUMMYFUNCTION("""COMPUTED_VALUE"""),"-")</f>
        <v>-</v>
      </c>
    </row>
    <row r="283">
      <c r="A283" s="12" t="s">
        <v>9073</v>
      </c>
      <c r="G283" s="19">
        <f>IFERROR(__xludf.DUMMYFUNCTION("SPLIT(A281, "" |"")"),139001.0)</f>
        <v>139001</v>
      </c>
      <c r="H283" s="19">
        <f>IFERROR(__xludf.DUMMYFUNCTION("""COMPUTED_VALUE"""),0.00228)</f>
        <v>0.00228</v>
      </c>
      <c r="I283" s="19" t="str">
        <f>IFERROR(__xludf.DUMMYFUNCTION("""COMPUTED_VALUE"""),"-")</f>
        <v>-</v>
      </c>
      <c r="J283" s="19">
        <f>IFERROR(__xludf.DUMMYFUNCTION("""COMPUTED_VALUE"""),0.01963)</f>
        <v>0.01963</v>
      </c>
      <c r="K283" s="19">
        <f>IFERROR(__xludf.DUMMYFUNCTION("""COMPUTED_VALUE"""),0.13202)</f>
        <v>0.13202</v>
      </c>
      <c r="L283" s="19" t="str">
        <f>IFERROR(__xludf.DUMMYFUNCTION("""COMPUTED_VALUE"""),"-")</f>
        <v>-</v>
      </c>
      <c r="M283" s="19" t="str">
        <f>IFERROR(__xludf.DUMMYFUNCTION("""COMPUTED_VALUE"""),"-")</f>
        <v>-</v>
      </c>
    </row>
    <row r="284">
      <c r="A284" s="12" t="s">
        <v>9074</v>
      </c>
      <c r="G284" s="19">
        <f>IFERROR(__xludf.DUMMYFUNCTION("SPLIT(A282, "" |"")"),139501.0)</f>
        <v>139501</v>
      </c>
      <c r="H284" s="19">
        <f>IFERROR(__xludf.DUMMYFUNCTION("""COMPUTED_VALUE"""),0.0022)</f>
        <v>0.0022</v>
      </c>
      <c r="I284" s="19" t="str">
        <f>IFERROR(__xludf.DUMMYFUNCTION("""COMPUTED_VALUE"""),"-")</f>
        <v>-</v>
      </c>
      <c r="J284" s="19">
        <f>IFERROR(__xludf.DUMMYFUNCTION("""COMPUTED_VALUE"""),0.01962)</f>
        <v>0.01962</v>
      </c>
      <c r="K284" s="19">
        <f>IFERROR(__xludf.DUMMYFUNCTION("""COMPUTED_VALUE"""),0.12704)</f>
        <v>0.12704</v>
      </c>
      <c r="L284" s="19" t="str">
        <f>IFERROR(__xludf.DUMMYFUNCTION("""COMPUTED_VALUE"""),"-")</f>
        <v>-</v>
      </c>
      <c r="M284" s="19" t="str">
        <f>IFERROR(__xludf.DUMMYFUNCTION("""COMPUTED_VALUE"""),"-")</f>
        <v>-</v>
      </c>
    </row>
    <row r="285">
      <c r="A285" s="12" t="s">
        <v>9075</v>
      </c>
      <c r="G285" s="19">
        <f>IFERROR(__xludf.DUMMYFUNCTION("SPLIT(A283, "" |"")"),140001.0)</f>
        <v>140001</v>
      </c>
      <c r="H285" s="19">
        <f>IFERROR(__xludf.DUMMYFUNCTION("""COMPUTED_VALUE"""),0.00231)</f>
        <v>0.00231</v>
      </c>
      <c r="I285" s="19" t="str">
        <f>IFERROR(__xludf.DUMMYFUNCTION("""COMPUTED_VALUE"""),"-")</f>
        <v>-</v>
      </c>
      <c r="J285" s="19">
        <f>IFERROR(__xludf.DUMMYFUNCTION("""COMPUTED_VALUE"""),0.01959)</f>
        <v>0.01959</v>
      </c>
      <c r="K285" s="19">
        <f>IFERROR(__xludf.DUMMYFUNCTION("""COMPUTED_VALUE"""),0.12728)</f>
        <v>0.12728</v>
      </c>
      <c r="L285" s="19" t="str">
        <f>IFERROR(__xludf.DUMMYFUNCTION("""COMPUTED_VALUE"""),"-")</f>
        <v>-</v>
      </c>
      <c r="M285" s="19" t="str">
        <f>IFERROR(__xludf.DUMMYFUNCTION("""COMPUTED_VALUE"""),"-")</f>
        <v>-</v>
      </c>
    </row>
    <row r="286">
      <c r="A286" s="12" t="s">
        <v>9076</v>
      </c>
      <c r="G286" s="19">
        <f>IFERROR(__xludf.DUMMYFUNCTION("SPLIT(A284, "" |"")"),140501.0)</f>
        <v>140501</v>
      </c>
      <c r="H286" s="19">
        <f>IFERROR(__xludf.DUMMYFUNCTION("""COMPUTED_VALUE"""),0.00242)</f>
        <v>0.00242</v>
      </c>
      <c r="I286" s="19" t="str">
        <f>IFERROR(__xludf.DUMMYFUNCTION("""COMPUTED_VALUE"""),"-")</f>
        <v>-</v>
      </c>
      <c r="J286" s="19">
        <f>IFERROR(__xludf.DUMMYFUNCTION("""COMPUTED_VALUE"""),0.01953)</f>
        <v>0.01953</v>
      </c>
      <c r="K286" s="19">
        <f>IFERROR(__xludf.DUMMYFUNCTION("""COMPUTED_VALUE"""),0.12865)</f>
        <v>0.12865</v>
      </c>
      <c r="L286" s="19" t="str">
        <f>IFERROR(__xludf.DUMMYFUNCTION("""COMPUTED_VALUE"""),"-")</f>
        <v>-</v>
      </c>
      <c r="M286" s="19" t="str">
        <f>IFERROR(__xludf.DUMMYFUNCTION("""COMPUTED_VALUE"""),"-")</f>
        <v>-</v>
      </c>
    </row>
    <row r="287">
      <c r="A287" s="12" t="s">
        <v>9077</v>
      </c>
      <c r="G287" s="19">
        <f>IFERROR(__xludf.DUMMYFUNCTION("SPLIT(A285, "" |"")"),141001.0)</f>
        <v>141001</v>
      </c>
      <c r="H287" s="19">
        <f>IFERROR(__xludf.DUMMYFUNCTION("""COMPUTED_VALUE"""),0.00227)</f>
        <v>0.00227</v>
      </c>
      <c r="I287" s="19" t="str">
        <f>IFERROR(__xludf.DUMMYFUNCTION("""COMPUTED_VALUE"""),"-")</f>
        <v>-</v>
      </c>
      <c r="J287" s="19">
        <f>IFERROR(__xludf.DUMMYFUNCTION("""COMPUTED_VALUE"""),0.01953)</f>
        <v>0.01953</v>
      </c>
      <c r="K287" s="19">
        <f>IFERROR(__xludf.DUMMYFUNCTION("""COMPUTED_VALUE"""),0.13186)</f>
        <v>0.13186</v>
      </c>
      <c r="L287" s="19" t="str">
        <f>IFERROR(__xludf.DUMMYFUNCTION("""COMPUTED_VALUE"""),"-")</f>
        <v>-</v>
      </c>
      <c r="M287" s="19" t="str">
        <f>IFERROR(__xludf.DUMMYFUNCTION("""COMPUTED_VALUE"""),"-")</f>
        <v>-</v>
      </c>
    </row>
    <row r="288">
      <c r="A288" s="12" t="s">
        <v>9078</v>
      </c>
      <c r="G288" s="19">
        <f>IFERROR(__xludf.DUMMYFUNCTION("SPLIT(A286, "" |"")"),141501.0)</f>
        <v>141501</v>
      </c>
      <c r="H288" s="19">
        <f>IFERROR(__xludf.DUMMYFUNCTION("""COMPUTED_VALUE"""),0.00235)</f>
        <v>0.00235</v>
      </c>
      <c r="I288" s="19" t="str">
        <f>IFERROR(__xludf.DUMMYFUNCTION("""COMPUTED_VALUE"""),"-")</f>
        <v>-</v>
      </c>
      <c r="J288" s="19">
        <f>IFERROR(__xludf.DUMMYFUNCTION("""COMPUTED_VALUE"""),0.01952)</f>
        <v>0.01952</v>
      </c>
      <c r="K288" s="19">
        <f>IFERROR(__xludf.DUMMYFUNCTION("""COMPUTED_VALUE"""),0.12317)</f>
        <v>0.12317</v>
      </c>
      <c r="L288" s="19" t="str">
        <f>IFERROR(__xludf.DUMMYFUNCTION("""COMPUTED_VALUE"""),"-")</f>
        <v>-</v>
      </c>
      <c r="M288" s="19" t="str">
        <f>IFERROR(__xludf.DUMMYFUNCTION("""COMPUTED_VALUE"""),"-")</f>
        <v>-</v>
      </c>
    </row>
    <row r="289">
      <c r="A289" s="12" t="s">
        <v>9079</v>
      </c>
      <c r="G289" s="19">
        <f>IFERROR(__xludf.DUMMYFUNCTION("SPLIT(A287, "" |"")"),142001.0)</f>
        <v>142001</v>
      </c>
      <c r="H289" s="19">
        <f>IFERROR(__xludf.DUMMYFUNCTION("""COMPUTED_VALUE"""),0.00223)</f>
        <v>0.00223</v>
      </c>
      <c r="I289" s="19" t="str">
        <f>IFERROR(__xludf.DUMMYFUNCTION("""COMPUTED_VALUE"""),"-")</f>
        <v>-</v>
      </c>
      <c r="J289" s="19">
        <f>IFERROR(__xludf.DUMMYFUNCTION("""COMPUTED_VALUE"""),0.01963)</f>
        <v>0.01963</v>
      </c>
      <c r="K289" s="19">
        <f>IFERROR(__xludf.DUMMYFUNCTION("""COMPUTED_VALUE"""),0.13051)</f>
        <v>0.13051</v>
      </c>
      <c r="L289" s="19" t="str">
        <f>IFERROR(__xludf.DUMMYFUNCTION("""COMPUTED_VALUE"""),"-")</f>
        <v>-</v>
      </c>
      <c r="M289" s="19" t="str">
        <f>IFERROR(__xludf.DUMMYFUNCTION("""COMPUTED_VALUE"""),"-")</f>
        <v>-</v>
      </c>
    </row>
    <row r="290">
      <c r="A290" s="12" t="s">
        <v>9080</v>
      </c>
      <c r="G290" s="19">
        <f>IFERROR(__xludf.DUMMYFUNCTION("SPLIT(A288, "" |"")"),142501.0)</f>
        <v>142501</v>
      </c>
      <c r="H290" s="19">
        <f>IFERROR(__xludf.DUMMYFUNCTION("""COMPUTED_VALUE"""),0.00236)</f>
        <v>0.00236</v>
      </c>
      <c r="I290" s="19" t="str">
        <f>IFERROR(__xludf.DUMMYFUNCTION("""COMPUTED_VALUE"""),"-")</f>
        <v>-</v>
      </c>
      <c r="J290" s="19">
        <f>IFERROR(__xludf.DUMMYFUNCTION("""COMPUTED_VALUE"""),0.01956)</f>
        <v>0.01956</v>
      </c>
      <c r="K290" s="19">
        <f>IFERROR(__xludf.DUMMYFUNCTION("""COMPUTED_VALUE"""),0.13188)</f>
        <v>0.13188</v>
      </c>
      <c r="L290" s="19" t="str">
        <f>IFERROR(__xludf.DUMMYFUNCTION("""COMPUTED_VALUE"""),"-")</f>
        <v>-</v>
      </c>
      <c r="M290" s="19" t="str">
        <f>IFERROR(__xludf.DUMMYFUNCTION("""COMPUTED_VALUE"""),"-")</f>
        <v>-</v>
      </c>
    </row>
    <row r="291">
      <c r="A291" s="12" t="s">
        <v>9081</v>
      </c>
      <c r="G291" s="19">
        <f>IFERROR(__xludf.DUMMYFUNCTION("SPLIT(A289, "" |"")"),143001.0)</f>
        <v>143001</v>
      </c>
      <c r="H291" s="19">
        <f>IFERROR(__xludf.DUMMYFUNCTION("""COMPUTED_VALUE"""),0.0023)</f>
        <v>0.0023</v>
      </c>
      <c r="I291" s="19" t="str">
        <f>IFERROR(__xludf.DUMMYFUNCTION("""COMPUTED_VALUE"""),"-")</f>
        <v>-</v>
      </c>
      <c r="J291" s="19">
        <f>IFERROR(__xludf.DUMMYFUNCTION("""COMPUTED_VALUE"""),0.01959)</f>
        <v>0.01959</v>
      </c>
      <c r="K291" s="19">
        <f>IFERROR(__xludf.DUMMYFUNCTION("""COMPUTED_VALUE"""),0.13013)</f>
        <v>0.13013</v>
      </c>
      <c r="L291" s="19" t="str">
        <f>IFERROR(__xludf.DUMMYFUNCTION("""COMPUTED_VALUE"""),"-")</f>
        <v>-</v>
      </c>
      <c r="M291" s="19" t="str">
        <f>IFERROR(__xludf.DUMMYFUNCTION("""COMPUTED_VALUE"""),"-")</f>
        <v>-</v>
      </c>
    </row>
    <row r="292">
      <c r="A292" s="12" t="s">
        <v>9082</v>
      </c>
      <c r="G292" s="19">
        <f>IFERROR(__xludf.DUMMYFUNCTION("SPLIT(A290, "" |"")"),143501.0)</f>
        <v>143501</v>
      </c>
      <c r="H292" s="19">
        <f>IFERROR(__xludf.DUMMYFUNCTION("""COMPUTED_VALUE"""),0.00229)</f>
        <v>0.00229</v>
      </c>
      <c r="I292" s="19" t="str">
        <f>IFERROR(__xludf.DUMMYFUNCTION("""COMPUTED_VALUE"""),"-")</f>
        <v>-</v>
      </c>
      <c r="J292" s="19">
        <f>IFERROR(__xludf.DUMMYFUNCTION("""COMPUTED_VALUE"""),0.0196)</f>
        <v>0.0196</v>
      </c>
      <c r="K292" s="19">
        <f>IFERROR(__xludf.DUMMYFUNCTION("""COMPUTED_VALUE"""),0.12703)</f>
        <v>0.12703</v>
      </c>
      <c r="L292" s="19" t="str">
        <f>IFERROR(__xludf.DUMMYFUNCTION("""COMPUTED_VALUE"""),"-")</f>
        <v>-</v>
      </c>
      <c r="M292" s="19" t="str">
        <f>IFERROR(__xludf.DUMMYFUNCTION("""COMPUTED_VALUE"""),"-")</f>
        <v>-</v>
      </c>
    </row>
    <row r="293">
      <c r="A293" s="12" t="s">
        <v>9083</v>
      </c>
      <c r="G293" s="19">
        <f>IFERROR(__xludf.DUMMYFUNCTION("SPLIT(A291, "" |"")"),144001.0)</f>
        <v>144001</v>
      </c>
      <c r="H293" s="19">
        <f>IFERROR(__xludf.DUMMYFUNCTION("""COMPUTED_VALUE"""),0.00226)</f>
        <v>0.00226</v>
      </c>
      <c r="I293" s="19" t="str">
        <f>IFERROR(__xludf.DUMMYFUNCTION("""COMPUTED_VALUE"""),"-")</f>
        <v>-</v>
      </c>
      <c r="J293" s="19">
        <f>IFERROR(__xludf.DUMMYFUNCTION("""COMPUTED_VALUE"""),0.01953)</f>
        <v>0.01953</v>
      </c>
      <c r="K293" s="19">
        <f>IFERROR(__xludf.DUMMYFUNCTION("""COMPUTED_VALUE"""),0.12746)</f>
        <v>0.12746</v>
      </c>
      <c r="L293" s="19" t="str">
        <f>IFERROR(__xludf.DUMMYFUNCTION("""COMPUTED_VALUE"""),"-")</f>
        <v>-</v>
      </c>
      <c r="M293" s="19" t="str">
        <f>IFERROR(__xludf.DUMMYFUNCTION("""COMPUTED_VALUE"""),"-")</f>
        <v>-</v>
      </c>
    </row>
    <row r="294">
      <c r="A294" s="12" t="s">
        <v>9084</v>
      </c>
      <c r="G294" s="19">
        <f>IFERROR(__xludf.DUMMYFUNCTION("SPLIT(A292, "" |"")"),144501.0)</f>
        <v>144501</v>
      </c>
      <c r="H294" s="19">
        <f>IFERROR(__xludf.DUMMYFUNCTION("""COMPUTED_VALUE"""),0.00248)</f>
        <v>0.00248</v>
      </c>
      <c r="I294" s="19" t="str">
        <f>IFERROR(__xludf.DUMMYFUNCTION("""COMPUTED_VALUE"""),"-")</f>
        <v>-</v>
      </c>
      <c r="J294" s="19">
        <f>IFERROR(__xludf.DUMMYFUNCTION("""COMPUTED_VALUE"""),0.01768)</f>
        <v>0.01768</v>
      </c>
      <c r="K294" s="19">
        <f>IFERROR(__xludf.DUMMYFUNCTION("""COMPUTED_VALUE"""),0.12997)</f>
        <v>0.12997</v>
      </c>
      <c r="L294" s="19" t="str">
        <f>IFERROR(__xludf.DUMMYFUNCTION("""COMPUTED_VALUE"""),"-")</f>
        <v>-</v>
      </c>
      <c r="M294" s="19" t="str">
        <f>IFERROR(__xludf.DUMMYFUNCTION("""COMPUTED_VALUE"""),"-")</f>
        <v>-</v>
      </c>
    </row>
    <row r="295">
      <c r="A295" s="12" t="s">
        <v>9085</v>
      </c>
      <c r="G295" s="19">
        <f>IFERROR(__xludf.DUMMYFUNCTION("SPLIT(A293, "" |"")"),145001.0)</f>
        <v>145001</v>
      </c>
      <c r="H295" s="19">
        <f>IFERROR(__xludf.DUMMYFUNCTION("""COMPUTED_VALUE"""),0.00251)</f>
        <v>0.00251</v>
      </c>
      <c r="I295" s="19" t="str">
        <f>IFERROR(__xludf.DUMMYFUNCTION("""COMPUTED_VALUE"""),"-")</f>
        <v>-</v>
      </c>
      <c r="J295" s="19">
        <f>IFERROR(__xludf.DUMMYFUNCTION("""COMPUTED_VALUE"""),0.01964)</f>
        <v>0.01964</v>
      </c>
      <c r="K295" s="19">
        <f>IFERROR(__xludf.DUMMYFUNCTION("""COMPUTED_VALUE"""),0.12412)</f>
        <v>0.12412</v>
      </c>
      <c r="L295" s="19" t="str">
        <f>IFERROR(__xludf.DUMMYFUNCTION("""COMPUTED_VALUE"""),"-")</f>
        <v>-</v>
      </c>
      <c r="M295" s="19" t="str">
        <f>IFERROR(__xludf.DUMMYFUNCTION("""COMPUTED_VALUE"""),"-")</f>
        <v>-</v>
      </c>
    </row>
    <row r="296">
      <c r="A296" s="12" t="s">
        <v>9086</v>
      </c>
      <c r="G296" s="19">
        <f>IFERROR(__xludf.DUMMYFUNCTION("SPLIT(A294, "" |"")"),145501.0)</f>
        <v>145501</v>
      </c>
      <c r="H296" s="19">
        <f>IFERROR(__xludf.DUMMYFUNCTION("""COMPUTED_VALUE"""),0.0023)</f>
        <v>0.0023</v>
      </c>
      <c r="I296" s="19" t="str">
        <f>IFERROR(__xludf.DUMMYFUNCTION("""COMPUTED_VALUE"""),"-")</f>
        <v>-</v>
      </c>
      <c r="J296" s="19">
        <f>IFERROR(__xludf.DUMMYFUNCTION("""COMPUTED_VALUE"""),0.01765)</f>
        <v>0.01765</v>
      </c>
      <c r="K296" s="19">
        <f>IFERROR(__xludf.DUMMYFUNCTION("""COMPUTED_VALUE"""),0.12739)</f>
        <v>0.12739</v>
      </c>
      <c r="L296" s="19" t="str">
        <f>IFERROR(__xludf.DUMMYFUNCTION("""COMPUTED_VALUE"""),"-")</f>
        <v>-</v>
      </c>
      <c r="M296" s="19" t="str">
        <f>IFERROR(__xludf.DUMMYFUNCTION("""COMPUTED_VALUE"""),"-")</f>
        <v>-</v>
      </c>
    </row>
    <row r="297">
      <c r="A297" s="12" t="s">
        <v>9087</v>
      </c>
      <c r="G297" s="19">
        <f>IFERROR(__xludf.DUMMYFUNCTION("SPLIT(A295, "" |"")"),146001.0)</f>
        <v>146001</v>
      </c>
      <c r="H297" s="19">
        <f>IFERROR(__xludf.DUMMYFUNCTION("""COMPUTED_VALUE"""),0.0024)</f>
        <v>0.0024</v>
      </c>
      <c r="I297" s="19" t="str">
        <f>IFERROR(__xludf.DUMMYFUNCTION("""COMPUTED_VALUE"""),"-")</f>
        <v>-</v>
      </c>
      <c r="J297" s="19">
        <f>IFERROR(__xludf.DUMMYFUNCTION("""COMPUTED_VALUE"""),0.01975)</f>
        <v>0.01975</v>
      </c>
      <c r="K297" s="19">
        <f>IFERROR(__xludf.DUMMYFUNCTION("""COMPUTED_VALUE"""),0.13227)</f>
        <v>0.13227</v>
      </c>
      <c r="L297" s="19" t="str">
        <f>IFERROR(__xludf.DUMMYFUNCTION("""COMPUTED_VALUE"""),"-")</f>
        <v>-</v>
      </c>
      <c r="M297" s="19" t="str">
        <f>IFERROR(__xludf.DUMMYFUNCTION("""COMPUTED_VALUE"""),"-")</f>
        <v>-</v>
      </c>
    </row>
    <row r="298">
      <c r="A298" s="12" t="s">
        <v>9088</v>
      </c>
      <c r="G298" s="19">
        <f>IFERROR(__xludf.DUMMYFUNCTION("SPLIT(A296, "" |"")"),146501.0)</f>
        <v>146501</v>
      </c>
      <c r="H298" s="19">
        <f>IFERROR(__xludf.DUMMYFUNCTION("""COMPUTED_VALUE"""),0.0024)</f>
        <v>0.0024</v>
      </c>
      <c r="I298" s="19" t="str">
        <f>IFERROR(__xludf.DUMMYFUNCTION("""COMPUTED_VALUE"""),"-")</f>
        <v>-</v>
      </c>
      <c r="J298" s="19">
        <f>IFERROR(__xludf.DUMMYFUNCTION("""COMPUTED_VALUE"""),0.01957)</f>
        <v>0.01957</v>
      </c>
      <c r="K298" s="19">
        <f>IFERROR(__xludf.DUMMYFUNCTION("""COMPUTED_VALUE"""),0.13184)</f>
        <v>0.13184</v>
      </c>
      <c r="L298" s="19" t="str">
        <f>IFERROR(__xludf.DUMMYFUNCTION("""COMPUTED_VALUE"""),"-")</f>
        <v>-</v>
      </c>
      <c r="M298" s="19" t="str">
        <f>IFERROR(__xludf.DUMMYFUNCTION("""COMPUTED_VALUE"""),"-")</f>
        <v>-</v>
      </c>
    </row>
    <row r="299">
      <c r="A299" s="12" t="s">
        <v>9089</v>
      </c>
      <c r="G299" s="19">
        <f>IFERROR(__xludf.DUMMYFUNCTION("SPLIT(A297, "" |"")"),147001.0)</f>
        <v>147001</v>
      </c>
      <c r="H299" s="19">
        <f>IFERROR(__xludf.DUMMYFUNCTION("""COMPUTED_VALUE"""),0.00227)</f>
        <v>0.00227</v>
      </c>
      <c r="I299" s="19" t="str">
        <f>IFERROR(__xludf.DUMMYFUNCTION("""COMPUTED_VALUE"""),"-")</f>
        <v>-</v>
      </c>
      <c r="J299" s="19">
        <f>IFERROR(__xludf.DUMMYFUNCTION("""COMPUTED_VALUE"""),0.01956)</f>
        <v>0.01956</v>
      </c>
      <c r="K299" s="19">
        <f>IFERROR(__xludf.DUMMYFUNCTION("""COMPUTED_VALUE"""),0.13055)</f>
        <v>0.13055</v>
      </c>
      <c r="L299" s="19" t="str">
        <f>IFERROR(__xludf.DUMMYFUNCTION("""COMPUTED_VALUE"""),"-")</f>
        <v>-</v>
      </c>
      <c r="M299" s="19" t="str">
        <f>IFERROR(__xludf.DUMMYFUNCTION("""COMPUTED_VALUE"""),"-")</f>
        <v>-</v>
      </c>
    </row>
    <row r="300">
      <c r="A300" s="12" t="s">
        <v>9090</v>
      </c>
      <c r="G300" s="19">
        <f>IFERROR(__xludf.DUMMYFUNCTION("SPLIT(A298, "" |"")"),147501.0)</f>
        <v>147501</v>
      </c>
      <c r="H300" s="19">
        <f>IFERROR(__xludf.DUMMYFUNCTION("""COMPUTED_VALUE"""),0.00228)</f>
        <v>0.00228</v>
      </c>
      <c r="I300" s="19" t="str">
        <f>IFERROR(__xludf.DUMMYFUNCTION("""COMPUTED_VALUE"""),"-")</f>
        <v>-</v>
      </c>
      <c r="J300" s="19">
        <f>IFERROR(__xludf.DUMMYFUNCTION("""COMPUTED_VALUE"""),0.0196)</f>
        <v>0.0196</v>
      </c>
      <c r="K300" s="19">
        <f>IFERROR(__xludf.DUMMYFUNCTION("""COMPUTED_VALUE"""),0.13184)</f>
        <v>0.13184</v>
      </c>
      <c r="L300" s="19" t="str">
        <f>IFERROR(__xludf.DUMMYFUNCTION("""COMPUTED_VALUE"""),"-")</f>
        <v>-</v>
      </c>
      <c r="M300" s="19" t="str">
        <f>IFERROR(__xludf.DUMMYFUNCTION("""COMPUTED_VALUE"""),"-")</f>
        <v>-</v>
      </c>
    </row>
    <row r="301">
      <c r="A301" s="12" t="s">
        <v>9091</v>
      </c>
      <c r="G301" s="19">
        <f>IFERROR(__xludf.DUMMYFUNCTION("SPLIT(A299, "" |"")"),148001.0)</f>
        <v>148001</v>
      </c>
      <c r="H301" s="19">
        <f>IFERROR(__xludf.DUMMYFUNCTION("""COMPUTED_VALUE"""),0.0023)</f>
        <v>0.0023</v>
      </c>
      <c r="I301" s="19" t="str">
        <f>IFERROR(__xludf.DUMMYFUNCTION("""COMPUTED_VALUE"""),"-")</f>
        <v>-</v>
      </c>
      <c r="J301" s="19">
        <f>IFERROR(__xludf.DUMMYFUNCTION("""COMPUTED_VALUE"""),0.01958)</f>
        <v>0.01958</v>
      </c>
      <c r="K301" s="19">
        <f>IFERROR(__xludf.DUMMYFUNCTION("""COMPUTED_VALUE"""),0.13197)</f>
        <v>0.13197</v>
      </c>
      <c r="L301" s="19" t="str">
        <f>IFERROR(__xludf.DUMMYFUNCTION("""COMPUTED_VALUE"""),"-")</f>
        <v>-</v>
      </c>
      <c r="M301" s="19" t="str">
        <f>IFERROR(__xludf.DUMMYFUNCTION("""COMPUTED_VALUE"""),"-")</f>
        <v>-</v>
      </c>
    </row>
    <row r="302">
      <c r="A302" s="12" t="s">
        <v>9092</v>
      </c>
      <c r="G302" s="19">
        <f>IFERROR(__xludf.DUMMYFUNCTION("SPLIT(A300, "" |"")"),148501.0)</f>
        <v>148501</v>
      </c>
      <c r="H302" s="19">
        <f>IFERROR(__xludf.DUMMYFUNCTION("""COMPUTED_VALUE"""),0.00234)</f>
        <v>0.00234</v>
      </c>
      <c r="I302" s="19" t="str">
        <f>IFERROR(__xludf.DUMMYFUNCTION("""COMPUTED_VALUE"""),"-")</f>
        <v>-</v>
      </c>
      <c r="J302" s="19">
        <f>IFERROR(__xludf.DUMMYFUNCTION("""COMPUTED_VALUE"""),0.01773)</f>
        <v>0.01773</v>
      </c>
      <c r="K302" s="19">
        <f>IFERROR(__xludf.DUMMYFUNCTION("""COMPUTED_VALUE"""),0.12525)</f>
        <v>0.12525</v>
      </c>
      <c r="L302" s="19" t="str">
        <f>IFERROR(__xludf.DUMMYFUNCTION("""COMPUTED_VALUE"""),"-")</f>
        <v>-</v>
      </c>
      <c r="M302" s="19" t="str">
        <f>IFERROR(__xludf.DUMMYFUNCTION("""COMPUTED_VALUE"""),"-")</f>
        <v>-</v>
      </c>
    </row>
    <row r="303">
      <c r="A303" s="12" t="s">
        <v>9093</v>
      </c>
      <c r="G303" s="19">
        <f>IFERROR(__xludf.DUMMYFUNCTION("SPLIT(A301, "" |"")"),149001.0)</f>
        <v>149001</v>
      </c>
      <c r="H303" s="19">
        <f>IFERROR(__xludf.DUMMYFUNCTION("""COMPUTED_VALUE"""),0.00235)</f>
        <v>0.00235</v>
      </c>
      <c r="I303" s="19" t="str">
        <f>IFERROR(__xludf.DUMMYFUNCTION("""COMPUTED_VALUE"""),"-")</f>
        <v>-</v>
      </c>
      <c r="J303" s="19">
        <f>IFERROR(__xludf.DUMMYFUNCTION("""COMPUTED_VALUE"""),0.01957)</f>
        <v>0.01957</v>
      </c>
      <c r="K303" s="19">
        <f>IFERROR(__xludf.DUMMYFUNCTION("""COMPUTED_VALUE"""),0.13107)</f>
        <v>0.13107</v>
      </c>
      <c r="L303" s="19" t="str">
        <f>IFERROR(__xludf.DUMMYFUNCTION("""COMPUTED_VALUE"""),"-")</f>
        <v>-</v>
      </c>
      <c r="M303" s="19" t="str">
        <f>IFERROR(__xludf.DUMMYFUNCTION("""COMPUTED_VALUE"""),"-")</f>
        <v>-</v>
      </c>
    </row>
    <row r="304">
      <c r="A304" s="12" t="s">
        <v>9094</v>
      </c>
      <c r="G304" s="19">
        <f>IFERROR(__xludf.DUMMYFUNCTION("SPLIT(A302, "" |"")"),149501.0)</f>
        <v>149501</v>
      </c>
      <c r="H304" s="19">
        <f>IFERROR(__xludf.DUMMYFUNCTION("""COMPUTED_VALUE"""),0.00222)</f>
        <v>0.00222</v>
      </c>
      <c r="I304" s="19" t="str">
        <f>IFERROR(__xludf.DUMMYFUNCTION("""COMPUTED_VALUE"""),"-")</f>
        <v>-</v>
      </c>
      <c r="J304" s="19">
        <f>IFERROR(__xludf.DUMMYFUNCTION("""COMPUTED_VALUE"""),0.01949)</f>
        <v>0.01949</v>
      </c>
      <c r="K304" s="19">
        <f>IFERROR(__xludf.DUMMYFUNCTION("""COMPUTED_VALUE"""),0.12925)</f>
        <v>0.12925</v>
      </c>
      <c r="L304" s="19" t="str">
        <f>IFERROR(__xludf.DUMMYFUNCTION("""COMPUTED_VALUE"""),"-")</f>
        <v>-</v>
      </c>
      <c r="M304" s="19" t="str">
        <f>IFERROR(__xludf.DUMMYFUNCTION("""COMPUTED_VALUE"""),"-")</f>
        <v>-</v>
      </c>
    </row>
    <row r="305">
      <c r="A305" s="12" t="s">
        <v>9095</v>
      </c>
      <c r="G305" s="19">
        <f>IFERROR(__xludf.DUMMYFUNCTION("SPLIT(A303, "" |"")"),150001.0)</f>
        <v>150001</v>
      </c>
      <c r="H305" s="19">
        <f>IFERROR(__xludf.DUMMYFUNCTION("""COMPUTED_VALUE"""),0.00228)</f>
        <v>0.00228</v>
      </c>
      <c r="I305" s="19" t="str">
        <f>IFERROR(__xludf.DUMMYFUNCTION("""COMPUTED_VALUE"""),"-")</f>
        <v>-</v>
      </c>
      <c r="J305" s="19">
        <f>IFERROR(__xludf.DUMMYFUNCTION("""COMPUTED_VALUE"""),0.01956)</f>
        <v>0.01956</v>
      </c>
      <c r="K305" s="19">
        <f>IFERROR(__xludf.DUMMYFUNCTION("""COMPUTED_VALUE"""),0.12747)</f>
        <v>0.12747</v>
      </c>
      <c r="L305" s="19" t="str">
        <f>IFERROR(__xludf.DUMMYFUNCTION("""COMPUTED_VALUE"""),"-")</f>
        <v>-</v>
      </c>
      <c r="M305" s="19" t="str">
        <f>IFERROR(__xludf.DUMMYFUNCTION("""COMPUTED_VALUE"""),"-")</f>
        <v>-</v>
      </c>
    </row>
    <row r="306">
      <c r="A306" s="12" t="s">
        <v>9096</v>
      </c>
      <c r="G306" s="19">
        <f>IFERROR(__xludf.DUMMYFUNCTION("SPLIT(A304, "" |"")"),150501.0)</f>
        <v>150501</v>
      </c>
      <c r="H306" s="19">
        <f>IFERROR(__xludf.DUMMYFUNCTION("""COMPUTED_VALUE"""),0.00238)</f>
        <v>0.00238</v>
      </c>
      <c r="I306" s="19" t="str">
        <f>IFERROR(__xludf.DUMMYFUNCTION("""COMPUTED_VALUE"""),"-")</f>
        <v>-</v>
      </c>
      <c r="J306" s="19">
        <f>IFERROR(__xludf.DUMMYFUNCTION("""COMPUTED_VALUE"""),0.01966)</f>
        <v>0.01966</v>
      </c>
      <c r="K306" s="19">
        <f>IFERROR(__xludf.DUMMYFUNCTION("""COMPUTED_VALUE"""),0.1321)</f>
        <v>0.1321</v>
      </c>
      <c r="L306" s="19" t="str">
        <f>IFERROR(__xludf.DUMMYFUNCTION("""COMPUTED_VALUE"""),"-")</f>
        <v>-</v>
      </c>
      <c r="M306" s="19" t="str">
        <f>IFERROR(__xludf.DUMMYFUNCTION("""COMPUTED_VALUE"""),"-")</f>
        <v>-</v>
      </c>
    </row>
    <row r="307">
      <c r="A307" s="12" t="s">
        <v>9097</v>
      </c>
      <c r="G307" s="19">
        <f>IFERROR(__xludf.DUMMYFUNCTION("SPLIT(A305, "" |"")"),151001.0)</f>
        <v>151001</v>
      </c>
      <c r="H307" s="19">
        <f>IFERROR(__xludf.DUMMYFUNCTION("""COMPUTED_VALUE"""),0.00229)</f>
        <v>0.00229</v>
      </c>
      <c r="I307" s="19" t="str">
        <f>IFERROR(__xludf.DUMMYFUNCTION("""COMPUTED_VALUE"""),"-")</f>
        <v>-</v>
      </c>
      <c r="J307" s="19">
        <f>IFERROR(__xludf.DUMMYFUNCTION("""COMPUTED_VALUE"""),0.01955)</f>
        <v>0.01955</v>
      </c>
      <c r="K307" s="19">
        <f>IFERROR(__xludf.DUMMYFUNCTION("""COMPUTED_VALUE"""),0.12736)</f>
        <v>0.12736</v>
      </c>
      <c r="L307" s="19" t="str">
        <f>IFERROR(__xludf.DUMMYFUNCTION("""COMPUTED_VALUE"""),"-")</f>
        <v>-</v>
      </c>
      <c r="M307" s="19" t="str">
        <f>IFERROR(__xludf.DUMMYFUNCTION("""COMPUTED_VALUE"""),"-")</f>
        <v>-</v>
      </c>
    </row>
    <row r="308">
      <c r="A308" s="12" t="s">
        <v>9098</v>
      </c>
      <c r="G308" s="19">
        <f>IFERROR(__xludf.DUMMYFUNCTION("SPLIT(A306, "" |"")"),151501.0)</f>
        <v>151501</v>
      </c>
      <c r="H308" s="19">
        <f>IFERROR(__xludf.DUMMYFUNCTION("""COMPUTED_VALUE"""),0.00231)</f>
        <v>0.00231</v>
      </c>
      <c r="I308" s="19" t="str">
        <f>IFERROR(__xludf.DUMMYFUNCTION("""COMPUTED_VALUE"""),"-")</f>
        <v>-</v>
      </c>
      <c r="J308" s="19">
        <f>IFERROR(__xludf.DUMMYFUNCTION("""COMPUTED_VALUE"""),0.01957)</f>
        <v>0.01957</v>
      </c>
      <c r="K308" s="19">
        <f>IFERROR(__xludf.DUMMYFUNCTION("""COMPUTED_VALUE"""),0.12825)</f>
        <v>0.12825</v>
      </c>
      <c r="L308" s="19" t="str">
        <f>IFERROR(__xludf.DUMMYFUNCTION("""COMPUTED_VALUE"""),"-")</f>
        <v>-</v>
      </c>
      <c r="M308" s="19" t="str">
        <f>IFERROR(__xludf.DUMMYFUNCTION("""COMPUTED_VALUE"""),"-")</f>
        <v>-</v>
      </c>
    </row>
    <row r="309">
      <c r="A309" s="12" t="s">
        <v>9099</v>
      </c>
      <c r="G309" s="19">
        <f>IFERROR(__xludf.DUMMYFUNCTION("SPLIT(A307, "" |"")"),152001.0)</f>
        <v>152001</v>
      </c>
      <c r="H309" s="19">
        <f>IFERROR(__xludf.DUMMYFUNCTION("""COMPUTED_VALUE"""),0.0024)</f>
        <v>0.0024</v>
      </c>
      <c r="I309" s="19" t="str">
        <f>IFERROR(__xludf.DUMMYFUNCTION("""COMPUTED_VALUE"""),"-")</f>
        <v>-</v>
      </c>
      <c r="J309" s="19">
        <f>IFERROR(__xludf.DUMMYFUNCTION("""COMPUTED_VALUE"""),0.01959)</f>
        <v>0.01959</v>
      </c>
      <c r="K309" s="19">
        <f>IFERROR(__xludf.DUMMYFUNCTION("""COMPUTED_VALUE"""),0.12709)</f>
        <v>0.12709</v>
      </c>
      <c r="L309" s="19" t="str">
        <f>IFERROR(__xludf.DUMMYFUNCTION("""COMPUTED_VALUE"""),"-")</f>
        <v>-</v>
      </c>
      <c r="M309" s="19" t="str">
        <f>IFERROR(__xludf.DUMMYFUNCTION("""COMPUTED_VALUE"""),"-")</f>
        <v>-</v>
      </c>
    </row>
    <row r="310">
      <c r="A310" s="12" t="s">
        <v>9100</v>
      </c>
      <c r="G310" s="19">
        <f>IFERROR(__xludf.DUMMYFUNCTION("SPLIT(A308, "" |"")"),152501.0)</f>
        <v>152501</v>
      </c>
      <c r="H310" s="19">
        <f>IFERROR(__xludf.DUMMYFUNCTION("""COMPUTED_VALUE"""),0.00239)</f>
        <v>0.00239</v>
      </c>
      <c r="I310" s="19" t="str">
        <f>IFERROR(__xludf.DUMMYFUNCTION("""COMPUTED_VALUE"""),"-")</f>
        <v>-</v>
      </c>
      <c r="J310" s="19">
        <f>IFERROR(__xludf.DUMMYFUNCTION("""COMPUTED_VALUE"""),0.01948)</f>
        <v>0.01948</v>
      </c>
      <c r="K310" s="19">
        <f>IFERROR(__xludf.DUMMYFUNCTION("""COMPUTED_VALUE"""),0.12832)</f>
        <v>0.12832</v>
      </c>
      <c r="L310" s="19" t="str">
        <f>IFERROR(__xludf.DUMMYFUNCTION("""COMPUTED_VALUE"""),"-")</f>
        <v>-</v>
      </c>
      <c r="M310" s="19" t="str">
        <f>IFERROR(__xludf.DUMMYFUNCTION("""COMPUTED_VALUE"""),"-")</f>
        <v>-</v>
      </c>
    </row>
    <row r="311">
      <c r="A311" s="12" t="s">
        <v>9101</v>
      </c>
      <c r="G311" s="19">
        <f>IFERROR(__xludf.DUMMYFUNCTION("SPLIT(A309, "" |"")"),153001.0)</f>
        <v>153001</v>
      </c>
      <c r="H311" s="19">
        <f>IFERROR(__xludf.DUMMYFUNCTION("""COMPUTED_VALUE"""),0.00212)</f>
        <v>0.00212</v>
      </c>
      <c r="I311" s="19" t="str">
        <f>IFERROR(__xludf.DUMMYFUNCTION("""COMPUTED_VALUE"""),"-")</f>
        <v>-</v>
      </c>
      <c r="J311" s="19">
        <f>IFERROR(__xludf.DUMMYFUNCTION("""COMPUTED_VALUE"""),0.01951)</f>
        <v>0.01951</v>
      </c>
      <c r="K311" s="19">
        <f>IFERROR(__xludf.DUMMYFUNCTION("""COMPUTED_VALUE"""),0.12774)</f>
        <v>0.12774</v>
      </c>
      <c r="L311" s="19" t="str">
        <f>IFERROR(__xludf.DUMMYFUNCTION("""COMPUTED_VALUE"""),"-")</f>
        <v>-</v>
      </c>
      <c r="M311" s="19" t="str">
        <f>IFERROR(__xludf.DUMMYFUNCTION("""COMPUTED_VALUE"""),"-")</f>
        <v>-</v>
      </c>
    </row>
    <row r="312">
      <c r="A312" s="12" t="s">
        <v>9102</v>
      </c>
      <c r="G312" s="19">
        <f>IFERROR(__xludf.DUMMYFUNCTION("SPLIT(A310, "" |"")"),153501.0)</f>
        <v>153501</v>
      </c>
      <c r="H312" s="19">
        <f>IFERROR(__xludf.DUMMYFUNCTION("""COMPUTED_VALUE"""),0.00226)</f>
        <v>0.00226</v>
      </c>
      <c r="I312" s="19" t="str">
        <f>IFERROR(__xludf.DUMMYFUNCTION("""COMPUTED_VALUE"""),"-")</f>
        <v>-</v>
      </c>
      <c r="J312" s="19">
        <f>IFERROR(__xludf.DUMMYFUNCTION("""COMPUTED_VALUE"""),0.01726)</f>
        <v>0.01726</v>
      </c>
      <c r="K312" s="19">
        <f>IFERROR(__xludf.DUMMYFUNCTION("""COMPUTED_VALUE"""),0.13126)</f>
        <v>0.13126</v>
      </c>
      <c r="L312" s="19" t="str">
        <f>IFERROR(__xludf.DUMMYFUNCTION("""COMPUTED_VALUE"""),"-")</f>
        <v>-</v>
      </c>
      <c r="M312" s="19" t="str">
        <f>IFERROR(__xludf.DUMMYFUNCTION("""COMPUTED_VALUE"""),"-")</f>
        <v>-</v>
      </c>
    </row>
    <row r="313">
      <c r="A313" s="12" t="s">
        <v>9103</v>
      </c>
      <c r="G313" s="19">
        <f>IFERROR(__xludf.DUMMYFUNCTION("SPLIT(A311, "" |"")"),154001.0)</f>
        <v>154001</v>
      </c>
      <c r="H313" s="19">
        <f>IFERROR(__xludf.DUMMYFUNCTION("""COMPUTED_VALUE"""),0.00224)</f>
        <v>0.00224</v>
      </c>
      <c r="I313" s="19" t="str">
        <f>IFERROR(__xludf.DUMMYFUNCTION("""COMPUTED_VALUE"""),"-")</f>
        <v>-</v>
      </c>
      <c r="J313" s="19">
        <f>IFERROR(__xludf.DUMMYFUNCTION("""COMPUTED_VALUE"""),0.01961)</f>
        <v>0.01961</v>
      </c>
      <c r="K313" s="19">
        <f>IFERROR(__xludf.DUMMYFUNCTION("""COMPUTED_VALUE"""),0.12664)</f>
        <v>0.12664</v>
      </c>
      <c r="L313" s="19" t="str">
        <f>IFERROR(__xludf.DUMMYFUNCTION("""COMPUTED_VALUE"""),"-")</f>
        <v>-</v>
      </c>
      <c r="M313" s="19" t="str">
        <f>IFERROR(__xludf.DUMMYFUNCTION("""COMPUTED_VALUE"""),"-")</f>
        <v>-</v>
      </c>
    </row>
    <row r="314">
      <c r="A314" s="12" t="s">
        <v>9104</v>
      </c>
      <c r="G314" s="19">
        <f>IFERROR(__xludf.DUMMYFUNCTION("SPLIT(A312, "" |"")"),154501.0)</f>
        <v>154501</v>
      </c>
      <c r="H314" s="19">
        <f>IFERROR(__xludf.DUMMYFUNCTION("""COMPUTED_VALUE"""),0.00231)</f>
        <v>0.00231</v>
      </c>
      <c r="I314" s="19" t="str">
        <f>IFERROR(__xludf.DUMMYFUNCTION("""COMPUTED_VALUE"""),"-")</f>
        <v>-</v>
      </c>
      <c r="J314" s="19">
        <f>IFERROR(__xludf.DUMMYFUNCTION("""COMPUTED_VALUE"""),0.01954)</f>
        <v>0.01954</v>
      </c>
      <c r="K314" s="19">
        <f>IFERROR(__xludf.DUMMYFUNCTION("""COMPUTED_VALUE"""),0.12782)</f>
        <v>0.12782</v>
      </c>
      <c r="L314" s="19" t="str">
        <f>IFERROR(__xludf.DUMMYFUNCTION("""COMPUTED_VALUE"""),"-")</f>
        <v>-</v>
      </c>
      <c r="M314" s="19" t="str">
        <f>IFERROR(__xludf.DUMMYFUNCTION("""COMPUTED_VALUE"""),"-")</f>
        <v>-</v>
      </c>
    </row>
    <row r="315">
      <c r="A315" s="12" t="s">
        <v>9105</v>
      </c>
      <c r="G315" s="19">
        <f>IFERROR(__xludf.DUMMYFUNCTION("SPLIT(A313, "" |"")"),155001.0)</f>
        <v>155001</v>
      </c>
      <c r="H315" s="19">
        <f>IFERROR(__xludf.DUMMYFUNCTION("""COMPUTED_VALUE"""),0.00237)</f>
        <v>0.00237</v>
      </c>
      <c r="I315" s="19" t="str">
        <f>IFERROR(__xludf.DUMMYFUNCTION("""COMPUTED_VALUE"""),"-")</f>
        <v>-</v>
      </c>
      <c r="J315" s="19">
        <f>IFERROR(__xludf.DUMMYFUNCTION("""COMPUTED_VALUE"""),0.01954)</f>
        <v>0.01954</v>
      </c>
      <c r="K315" s="19">
        <f>IFERROR(__xludf.DUMMYFUNCTION("""COMPUTED_VALUE"""),0.13128)</f>
        <v>0.13128</v>
      </c>
      <c r="L315" s="19" t="str">
        <f>IFERROR(__xludf.DUMMYFUNCTION("""COMPUTED_VALUE"""),"-")</f>
        <v>-</v>
      </c>
      <c r="M315" s="19" t="str">
        <f>IFERROR(__xludf.DUMMYFUNCTION("""COMPUTED_VALUE"""),"-")</f>
        <v>-</v>
      </c>
    </row>
    <row r="316">
      <c r="A316" s="12" t="s">
        <v>9106</v>
      </c>
      <c r="G316" s="19">
        <f>IFERROR(__xludf.DUMMYFUNCTION("SPLIT(A314, "" |"")"),155501.0)</f>
        <v>155501</v>
      </c>
      <c r="H316" s="19">
        <f>IFERROR(__xludf.DUMMYFUNCTION("""COMPUTED_VALUE"""),0.00226)</f>
        <v>0.00226</v>
      </c>
      <c r="I316" s="19" t="str">
        <f>IFERROR(__xludf.DUMMYFUNCTION("""COMPUTED_VALUE"""),"-")</f>
        <v>-</v>
      </c>
      <c r="J316" s="19">
        <f>IFERROR(__xludf.DUMMYFUNCTION("""COMPUTED_VALUE"""),0.01957)</f>
        <v>0.01957</v>
      </c>
      <c r="K316" s="19">
        <f>IFERROR(__xludf.DUMMYFUNCTION("""COMPUTED_VALUE"""),0.13048)</f>
        <v>0.13048</v>
      </c>
      <c r="L316" s="19" t="str">
        <f>IFERROR(__xludf.DUMMYFUNCTION("""COMPUTED_VALUE"""),"-")</f>
        <v>-</v>
      </c>
      <c r="M316" s="19" t="str">
        <f>IFERROR(__xludf.DUMMYFUNCTION("""COMPUTED_VALUE"""),"-")</f>
        <v>-</v>
      </c>
    </row>
    <row r="317">
      <c r="A317" s="12" t="s">
        <v>9107</v>
      </c>
      <c r="G317" s="19">
        <f>IFERROR(__xludf.DUMMYFUNCTION("SPLIT(A315, "" |"")"),156001.0)</f>
        <v>156001</v>
      </c>
      <c r="H317" s="19">
        <f>IFERROR(__xludf.DUMMYFUNCTION("""COMPUTED_VALUE"""),0.00233)</f>
        <v>0.00233</v>
      </c>
      <c r="I317" s="19" t="str">
        <f>IFERROR(__xludf.DUMMYFUNCTION("""COMPUTED_VALUE"""),"-")</f>
        <v>-</v>
      </c>
      <c r="J317" s="19">
        <f>IFERROR(__xludf.DUMMYFUNCTION("""COMPUTED_VALUE"""),0.01959)</f>
        <v>0.01959</v>
      </c>
      <c r="K317" s="19">
        <f>IFERROR(__xludf.DUMMYFUNCTION("""COMPUTED_VALUE"""),0.12522)</f>
        <v>0.12522</v>
      </c>
      <c r="L317" s="19" t="str">
        <f>IFERROR(__xludf.DUMMYFUNCTION("""COMPUTED_VALUE"""),"-")</f>
        <v>-</v>
      </c>
      <c r="M317" s="19" t="str">
        <f>IFERROR(__xludf.DUMMYFUNCTION("""COMPUTED_VALUE"""),"-")</f>
        <v>-</v>
      </c>
    </row>
    <row r="318">
      <c r="A318" s="12" t="s">
        <v>9108</v>
      </c>
      <c r="G318" s="19">
        <f>IFERROR(__xludf.DUMMYFUNCTION("SPLIT(A316, "" |"")"),156501.0)</f>
        <v>156501</v>
      </c>
      <c r="H318" s="19">
        <f>IFERROR(__xludf.DUMMYFUNCTION("""COMPUTED_VALUE"""),0.00232)</f>
        <v>0.00232</v>
      </c>
      <c r="I318" s="19" t="str">
        <f>IFERROR(__xludf.DUMMYFUNCTION("""COMPUTED_VALUE"""),"-")</f>
        <v>-</v>
      </c>
      <c r="J318" s="19">
        <f>IFERROR(__xludf.DUMMYFUNCTION("""COMPUTED_VALUE"""),0.01948)</f>
        <v>0.01948</v>
      </c>
      <c r="K318" s="19">
        <f>IFERROR(__xludf.DUMMYFUNCTION("""COMPUTED_VALUE"""),0.13179)</f>
        <v>0.13179</v>
      </c>
      <c r="L318" s="19" t="str">
        <f>IFERROR(__xludf.DUMMYFUNCTION("""COMPUTED_VALUE"""),"-")</f>
        <v>-</v>
      </c>
      <c r="M318" s="19" t="str">
        <f>IFERROR(__xludf.DUMMYFUNCTION("""COMPUTED_VALUE"""),"-")</f>
        <v>-</v>
      </c>
    </row>
    <row r="319">
      <c r="A319" s="12" t="s">
        <v>9109</v>
      </c>
      <c r="G319" s="19">
        <f>IFERROR(__xludf.DUMMYFUNCTION("SPLIT(A317, "" |"")"),157001.0)</f>
        <v>157001</v>
      </c>
      <c r="H319" s="19">
        <f>IFERROR(__xludf.DUMMYFUNCTION("""COMPUTED_VALUE"""),0.00227)</f>
        <v>0.00227</v>
      </c>
      <c r="I319" s="19" t="str">
        <f>IFERROR(__xludf.DUMMYFUNCTION("""COMPUTED_VALUE"""),"-")</f>
        <v>-</v>
      </c>
      <c r="J319" s="19">
        <f>IFERROR(__xludf.DUMMYFUNCTION("""COMPUTED_VALUE"""),0.01962)</f>
        <v>0.01962</v>
      </c>
      <c r="K319" s="19">
        <f>IFERROR(__xludf.DUMMYFUNCTION("""COMPUTED_VALUE"""),0.1319)</f>
        <v>0.1319</v>
      </c>
      <c r="L319" s="19" t="str">
        <f>IFERROR(__xludf.DUMMYFUNCTION("""COMPUTED_VALUE"""),"-")</f>
        <v>-</v>
      </c>
      <c r="M319" s="19" t="str">
        <f>IFERROR(__xludf.DUMMYFUNCTION("""COMPUTED_VALUE"""),"-")</f>
        <v>-</v>
      </c>
    </row>
    <row r="320">
      <c r="A320" s="12" t="s">
        <v>9110</v>
      </c>
      <c r="G320" s="19">
        <f>IFERROR(__xludf.DUMMYFUNCTION("SPLIT(A318, "" |"")"),157501.0)</f>
        <v>157501</v>
      </c>
      <c r="H320" s="19">
        <f>IFERROR(__xludf.DUMMYFUNCTION("""COMPUTED_VALUE"""),0.00233)</f>
        <v>0.00233</v>
      </c>
      <c r="I320" s="19" t="str">
        <f>IFERROR(__xludf.DUMMYFUNCTION("""COMPUTED_VALUE"""),"-")</f>
        <v>-</v>
      </c>
      <c r="J320" s="19">
        <f>IFERROR(__xludf.DUMMYFUNCTION("""COMPUTED_VALUE"""),0.01958)</f>
        <v>0.01958</v>
      </c>
      <c r="K320" s="19">
        <f>IFERROR(__xludf.DUMMYFUNCTION("""COMPUTED_VALUE"""),0.1299)</f>
        <v>0.1299</v>
      </c>
      <c r="L320" s="19" t="str">
        <f>IFERROR(__xludf.DUMMYFUNCTION("""COMPUTED_VALUE"""),"-")</f>
        <v>-</v>
      </c>
      <c r="M320" s="19" t="str">
        <f>IFERROR(__xludf.DUMMYFUNCTION("""COMPUTED_VALUE"""),"-")</f>
        <v>-</v>
      </c>
    </row>
    <row r="321">
      <c r="A321" s="12" t="s">
        <v>9111</v>
      </c>
      <c r="G321" s="19">
        <f>IFERROR(__xludf.DUMMYFUNCTION("SPLIT(A319, "" |"")"),158001.0)</f>
        <v>158001</v>
      </c>
      <c r="H321" s="19">
        <f>IFERROR(__xludf.DUMMYFUNCTION("""COMPUTED_VALUE"""),0.00221)</f>
        <v>0.00221</v>
      </c>
      <c r="I321" s="19" t="str">
        <f>IFERROR(__xludf.DUMMYFUNCTION("""COMPUTED_VALUE"""),"-")</f>
        <v>-</v>
      </c>
      <c r="J321" s="19">
        <f>IFERROR(__xludf.DUMMYFUNCTION("""COMPUTED_VALUE"""),0.01953)</f>
        <v>0.01953</v>
      </c>
      <c r="K321" s="19">
        <f>IFERROR(__xludf.DUMMYFUNCTION("""COMPUTED_VALUE"""),0.13192)</f>
        <v>0.13192</v>
      </c>
      <c r="L321" s="19" t="str">
        <f>IFERROR(__xludf.DUMMYFUNCTION("""COMPUTED_VALUE"""),"-")</f>
        <v>-</v>
      </c>
      <c r="M321" s="19" t="str">
        <f>IFERROR(__xludf.DUMMYFUNCTION("""COMPUTED_VALUE"""),"-")</f>
        <v>-</v>
      </c>
    </row>
    <row r="322">
      <c r="A322" s="12" t="s">
        <v>9112</v>
      </c>
      <c r="G322" s="19">
        <f>IFERROR(__xludf.DUMMYFUNCTION("SPLIT(A320, "" |"")"),158501.0)</f>
        <v>158501</v>
      </c>
      <c r="H322" s="19">
        <f>IFERROR(__xludf.DUMMYFUNCTION("""COMPUTED_VALUE"""),0.00229)</f>
        <v>0.00229</v>
      </c>
      <c r="I322" s="19" t="str">
        <f>IFERROR(__xludf.DUMMYFUNCTION("""COMPUTED_VALUE"""),"-")</f>
        <v>-</v>
      </c>
      <c r="J322" s="19">
        <f>IFERROR(__xludf.DUMMYFUNCTION("""COMPUTED_VALUE"""),0.01956)</f>
        <v>0.01956</v>
      </c>
      <c r="K322" s="19">
        <f>IFERROR(__xludf.DUMMYFUNCTION("""COMPUTED_VALUE"""),0.13207)</f>
        <v>0.13207</v>
      </c>
      <c r="L322" s="19" t="str">
        <f>IFERROR(__xludf.DUMMYFUNCTION("""COMPUTED_VALUE"""),"-")</f>
        <v>-</v>
      </c>
      <c r="M322" s="19" t="str">
        <f>IFERROR(__xludf.DUMMYFUNCTION("""COMPUTED_VALUE"""),"-")</f>
        <v>-</v>
      </c>
    </row>
    <row r="323">
      <c r="A323" s="12" t="s">
        <v>9113</v>
      </c>
      <c r="G323" s="19">
        <f>IFERROR(__xludf.DUMMYFUNCTION("SPLIT(A321, "" |"")"),159001.0)</f>
        <v>159001</v>
      </c>
      <c r="H323" s="19">
        <f>IFERROR(__xludf.DUMMYFUNCTION("""COMPUTED_VALUE"""),0.00228)</f>
        <v>0.00228</v>
      </c>
      <c r="I323" s="19" t="str">
        <f>IFERROR(__xludf.DUMMYFUNCTION("""COMPUTED_VALUE"""),"-")</f>
        <v>-</v>
      </c>
      <c r="J323" s="19">
        <f>IFERROR(__xludf.DUMMYFUNCTION("""COMPUTED_VALUE"""),0.01821)</f>
        <v>0.01821</v>
      </c>
      <c r="K323" s="19">
        <f>IFERROR(__xludf.DUMMYFUNCTION("""COMPUTED_VALUE"""),0.12821)</f>
        <v>0.12821</v>
      </c>
      <c r="L323" s="19" t="str">
        <f>IFERROR(__xludf.DUMMYFUNCTION("""COMPUTED_VALUE"""),"-")</f>
        <v>-</v>
      </c>
      <c r="M323" s="19" t="str">
        <f>IFERROR(__xludf.DUMMYFUNCTION("""COMPUTED_VALUE"""),"-")</f>
        <v>-</v>
      </c>
    </row>
    <row r="324">
      <c r="A324" s="12" t="s">
        <v>9114</v>
      </c>
      <c r="G324" s="19">
        <f>IFERROR(__xludf.DUMMYFUNCTION("SPLIT(A322, "" |"")"),159501.0)</f>
        <v>159501</v>
      </c>
      <c r="H324" s="19">
        <f>IFERROR(__xludf.DUMMYFUNCTION("""COMPUTED_VALUE"""),0.00228)</f>
        <v>0.00228</v>
      </c>
      <c r="I324" s="19" t="str">
        <f>IFERROR(__xludf.DUMMYFUNCTION("""COMPUTED_VALUE"""),"-")</f>
        <v>-</v>
      </c>
      <c r="J324" s="19">
        <f>IFERROR(__xludf.DUMMYFUNCTION("""COMPUTED_VALUE"""),0.0195)</f>
        <v>0.0195</v>
      </c>
      <c r="K324" s="19">
        <f>IFERROR(__xludf.DUMMYFUNCTION("""COMPUTED_VALUE"""),0.1318)</f>
        <v>0.1318</v>
      </c>
      <c r="L324" s="19" t="str">
        <f>IFERROR(__xludf.DUMMYFUNCTION("""COMPUTED_VALUE"""),"-")</f>
        <v>-</v>
      </c>
      <c r="M324" s="19" t="str">
        <f>IFERROR(__xludf.DUMMYFUNCTION("""COMPUTED_VALUE"""),"-")</f>
        <v>-</v>
      </c>
    </row>
    <row r="325">
      <c r="A325" s="12" t="s">
        <v>9115</v>
      </c>
      <c r="G325" s="19">
        <f>IFERROR(__xludf.DUMMYFUNCTION("SPLIT(A323, "" |"")"),160001.0)</f>
        <v>160001</v>
      </c>
      <c r="H325" s="19">
        <f>IFERROR(__xludf.DUMMYFUNCTION("""COMPUTED_VALUE"""),0.00219)</f>
        <v>0.00219</v>
      </c>
      <c r="I325" s="19" t="str">
        <f>IFERROR(__xludf.DUMMYFUNCTION("""COMPUTED_VALUE"""),"-")</f>
        <v>-</v>
      </c>
      <c r="J325" s="19">
        <f>IFERROR(__xludf.DUMMYFUNCTION("""COMPUTED_VALUE"""),0.01957)</f>
        <v>0.01957</v>
      </c>
      <c r="K325" s="19">
        <f>IFERROR(__xludf.DUMMYFUNCTION("""COMPUTED_VALUE"""),0.13167)</f>
        <v>0.13167</v>
      </c>
      <c r="L325" s="19" t="str">
        <f>IFERROR(__xludf.DUMMYFUNCTION("""COMPUTED_VALUE"""),"-")</f>
        <v>-</v>
      </c>
      <c r="M325" s="19" t="str">
        <f>IFERROR(__xludf.DUMMYFUNCTION("""COMPUTED_VALUE"""),"-")</f>
        <v>-</v>
      </c>
    </row>
    <row r="326">
      <c r="A326" s="12" t="s">
        <v>9116</v>
      </c>
      <c r="G326" s="19">
        <f>IFERROR(__xludf.DUMMYFUNCTION("SPLIT(A324, "" |"")"),160501.0)</f>
        <v>160501</v>
      </c>
      <c r="H326" s="19">
        <f>IFERROR(__xludf.DUMMYFUNCTION("""COMPUTED_VALUE"""),0.0025)</f>
        <v>0.0025</v>
      </c>
      <c r="I326" s="19" t="str">
        <f>IFERROR(__xludf.DUMMYFUNCTION("""COMPUTED_VALUE"""),"-")</f>
        <v>-</v>
      </c>
      <c r="J326" s="19">
        <f>IFERROR(__xludf.DUMMYFUNCTION("""COMPUTED_VALUE"""),0.01917)</f>
        <v>0.01917</v>
      </c>
      <c r="K326" s="19">
        <f>IFERROR(__xludf.DUMMYFUNCTION("""COMPUTED_VALUE"""),0.12966)</f>
        <v>0.12966</v>
      </c>
      <c r="L326" s="19" t="str">
        <f>IFERROR(__xludf.DUMMYFUNCTION("""COMPUTED_VALUE"""),"-")</f>
        <v>-</v>
      </c>
      <c r="M326" s="19" t="str">
        <f>IFERROR(__xludf.DUMMYFUNCTION("""COMPUTED_VALUE"""),"-")</f>
        <v>-</v>
      </c>
    </row>
    <row r="327">
      <c r="A327" s="12" t="s">
        <v>9117</v>
      </c>
      <c r="G327" s="19">
        <f>IFERROR(__xludf.DUMMYFUNCTION("SPLIT(A325, "" |"")"),161001.0)</f>
        <v>161001</v>
      </c>
      <c r="H327" s="19">
        <f>IFERROR(__xludf.DUMMYFUNCTION("""COMPUTED_VALUE"""),0.00219)</f>
        <v>0.00219</v>
      </c>
      <c r="I327" s="19" t="str">
        <f>IFERROR(__xludf.DUMMYFUNCTION("""COMPUTED_VALUE"""),"-")</f>
        <v>-</v>
      </c>
      <c r="J327" s="19">
        <f>IFERROR(__xludf.DUMMYFUNCTION("""COMPUTED_VALUE"""),0.01845)</f>
        <v>0.01845</v>
      </c>
      <c r="K327" s="19">
        <f>IFERROR(__xludf.DUMMYFUNCTION("""COMPUTED_VALUE"""),0.12501)</f>
        <v>0.12501</v>
      </c>
      <c r="L327" s="19" t="str">
        <f>IFERROR(__xludf.DUMMYFUNCTION("""COMPUTED_VALUE"""),"-")</f>
        <v>-</v>
      </c>
      <c r="M327" s="19" t="str">
        <f>IFERROR(__xludf.DUMMYFUNCTION("""COMPUTED_VALUE"""),"-")</f>
        <v>-</v>
      </c>
    </row>
    <row r="328">
      <c r="A328" s="12" t="s">
        <v>9118</v>
      </c>
      <c r="G328" s="19">
        <f>IFERROR(__xludf.DUMMYFUNCTION("SPLIT(A326, "" |"")"),161501.0)</f>
        <v>161501</v>
      </c>
      <c r="H328" s="19">
        <f>IFERROR(__xludf.DUMMYFUNCTION("""COMPUTED_VALUE"""),0.00212)</f>
        <v>0.00212</v>
      </c>
      <c r="I328" s="19" t="str">
        <f>IFERROR(__xludf.DUMMYFUNCTION("""COMPUTED_VALUE"""),"-")</f>
        <v>-</v>
      </c>
      <c r="J328" s="19">
        <f>IFERROR(__xludf.DUMMYFUNCTION("""COMPUTED_VALUE"""),0.01858)</f>
        <v>0.01858</v>
      </c>
      <c r="K328" s="19">
        <f>IFERROR(__xludf.DUMMYFUNCTION("""COMPUTED_VALUE"""),0.13199)</f>
        <v>0.13199</v>
      </c>
      <c r="L328" s="19" t="str">
        <f>IFERROR(__xludf.DUMMYFUNCTION("""COMPUTED_VALUE"""),"-")</f>
        <v>-</v>
      </c>
      <c r="M328" s="19" t="str">
        <f>IFERROR(__xludf.DUMMYFUNCTION("""COMPUTED_VALUE"""),"-")</f>
        <v>-</v>
      </c>
    </row>
    <row r="329">
      <c r="A329" s="12" t="s">
        <v>9119</v>
      </c>
      <c r="G329" s="19">
        <f>IFERROR(__xludf.DUMMYFUNCTION("SPLIT(A327, "" |"")"),162001.0)</f>
        <v>162001</v>
      </c>
      <c r="H329" s="19">
        <f>IFERROR(__xludf.DUMMYFUNCTION("""COMPUTED_VALUE"""),0.00223)</f>
        <v>0.00223</v>
      </c>
      <c r="I329" s="19" t="str">
        <f>IFERROR(__xludf.DUMMYFUNCTION("""COMPUTED_VALUE"""),"-")</f>
        <v>-</v>
      </c>
      <c r="J329" s="19">
        <f>IFERROR(__xludf.DUMMYFUNCTION("""COMPUTED_VALUE"""),0.02302)</f>
        <v>0.02302</v>
      </c>
      <c r="K329" s="19">
        <f>IFERROR(__xludf.DUMMYFUNCTION("""COMPUTED_VALUE"""),0.13211)</f>
        <v>0.13211</v>
      </c>
      <c r="L329" s="19" t="str">
        <f>IFERROR(__xludf.DUMMYFUNCTION("""COMPUTED_VALUE"""),"-")</f>
        <v>-</v>
      </c>
      <c r="M329" s="19" t="str">
        <f>IFERROR(__xludf.DUMMYFUNCTION("""COMPUTED_VALUE"""),"-")</f>
        <v>-</v>
      </c>
    </row>
    <row r="330">
      <c r="A330" s="12" t="s">
        <v>9120</v>
      </c>
      <c r="G330" s="19">
        <f>IFERROR(__xludf.DUMMYFUNCTION("SPLIT(A328, "" |"")"),162501.0)</f>
        <v>162501</v>
      </c>
      <c r="H330" s="19">
        <f>IFERROR(__xludf.DUMMYFUNCTION("""COMPUTED_VALUE"""),0.00473)</f>
        <v>0.00473</v>
      </c>
      <c r="I330" s="19" t="str">
        <f>IFERROR(__xludf.DUMMYFUNCTION("""COMPUTED_VALUE"""),"-")</f>
        <v>-</v>
      </c>
      <c r="J330" s="19">
        <f>IFERROR(__xludf.DUMMYFUNCTION("""COMPUTED_VALUE"""),0.01873)</f>
        <v>0.01873</v>
      </c>
      <c r="K330" s="19">
        <f>IFERROR(__xludf.DUMMYFUNCTION("""COMPUTED_VALUE"""),0.13005)</f>
        <v>0.13005</v>
      </c>
      <c r="L330" s="19" t="str">
        <f>IFERROR(__xludf.DUMMYFUNCTION("""COMPUTED_VALUE"""),"-")</f>
        <v>-</v>
      </c>
      <c r="M330" s="19" t="str">
        <f>IFERROR(__xludf.DUMMYFUNCTION("""COMPUTED_VALUE"""),"-")</f>
        <v>-</v>
      </c>
    </row>
    <row r="331">
      <c r="A331" s="12" t="s">
        <v>9121</v>
      </c>
      <c r="G331" s="19">
        <f>IFERROR(__xludf.DUMMYFUNCTION("SPLIT(A329, "" |"")"),163001.0)</f>
        <v>163001</v>
      </c>
      <c r="H331" s="19">
        <f>IFERROR(__xludf.DUMMYFUNCTION("""COMPUTED_VALUE"""),0.00499)</f>
        <v>0.00499</v>
      </c>
      <c r="I331" s="19" t="str">
        <f>IFERROR(__xludf.DUMMYFUNCTION("""COMPUTED_VALUE"""),"-")</f>
        <v>-</v>
      </c>
      <c r="J331" s="19">
        <f>IFERROR(__xludf.DUMMYFUNCTION("""COMPUTED_VALUE"""),0.01983)</f>
        <v>0.01983</v>
      </c>
      <c r="K331" s="19">
        <f>IFERROR(__xludf.DUMMYFUNCTION("""COMPUTED_VALUE"""),0.12762)</f>
        <v>0.12762</v>
      </c>
      <c r="L331" s="19" t="str">
        <f>IFERROR(__xludf.DUMMYFUNCTION("""COMPUTED_VALUE"""),"-")</f>
        <v>-</v>
      </c>
      <c r="M331" s="19" t="str">
        <f>IFERROR(__xludf.DUMMYFUNCTION("""COMPUTED_VALUE"""),"-")</f>
        <v>-</v>
      </c>
    </row>
    <row r="332">
      <c r="A332" s="12" t="s">
        <v>9122</v>
      </c>
      <c r="G332" s="19">
        <f>IFERROR(__xludf.DUMMYFUNCTION("SPLIT(A330, "" |"")"),163501.0)</f>
        <v>163501</v>
      </c>
      <c r="H332" s="19">
        <f>IFERROR(__xludf.DUMMYFUNCTION("""COMPUTED_VALUE"""),0.00226)</f>
        <v>0.00226</v>
      </c>
      <c r="I332" s="19" t="str">
        <f>IFERROR(__xludf.DUMMYFUNCTION("""COMPUTED_VALUE"""),"-")</f>
        <v>-</v>
      </c>
      <c r="J332" s="19">
        <f>IFERROR(__xludf.DUMMYFUNCTION("""COMPUTED_VALUE"""),0.01956)</f>
        <v>0.01956</v>
      </c>
      <c r="K332" s="19">
        <f>IFERROR(__xludf.DUMMYFUNCTION("""COMPUTED_VALUE"""),0.13225)</f>
        <v>0.13225</v>
      </c>
      <c r="L332" s="19" t="str">
        <f>IFERROR(__xludf.DUMMYFUNCTION("""COMPUTED_VALUE"""),"-")</f>
        <v>-</v>
      </c>
      <c r="M332" s="19" t="str">
        <f>IFERROR(__xludf.DUMMYFUNCTION("""COMPUTED_VALUE"""),"-")</f>
        <v>-</v>
      </c>
    </row>
    <row r="333">
      <c r="A333" s="12" t="s">
        <v>9123</v>
      </c>
      <c r="G333" s="19">
        <f>IFERROR(__xludf.DUMMYFUNCTION("SPLIT(A331, "" |"")"),164001.0)</f>
        <v>164001</v>
      </c>
      <c r="H333" s="19">
        <f>IFERROR(__xludf.DUMMYFUNCTION("""COMPUTED_VALUE"""),0.00228)</f>
        <v>0.00228</v>
      </c>
      <c r="I333" s="19" t="str">
        <f>IFERROR(__xludf.DUMMYFUNCTION("""COMPUTED_VALUE"""),"-")</f>
        <v>-</v>
      </c>
      <c r="J333" s="19">
        <f>IFERROR(__xludf.DUMMYFUNCTION("""COMPUTED_VALUE"""),0.01954)</f>
        <v>0.01954</v>
      </c>
      <c r="K333" s="19">
        <f>IFERROR(__xludf.DUMMYFUNCTION("""COMPUTED_VALUE"""),0.12835)</f>
        <v>0.12835</v>
      </c>
      <c r="L333" s="19" t="str">
        <f>IFERROR(__xludf.DUMMYFUNCTION("""COMPUTED_VALUE"""),"-")</f>
        <v>-</v>
      </c>
      <c r="M333" s="19" t="str">
        <f>IFERROR(__xludf.DUMMYFUNCTION("""COMPUTED_VALUE"""),"-")</f>
        <v>-</v>
      </c>
    </row>
    <row r="334">
      <c r="A334" s="12" t="s">
        <v>9124</v>
      </c>
      <c r="G334" s="19">
        <f>IFERROR(__xludf.DUMMYFUNCTION("SPLIT(A332, "" |"")"),164501.0)</f>
        <v>164501</v>
      </c>
      <c r="H334" s="19">
        <f>IFERROR(__xludf.DUMMYFUNCTION("""COMPUTED_VALUE"""),0.00228)</f>
        <v>0.00228</v>
      </c>
      <c r="I334" s="19" t="str">
        <f>IFERROR(__xludf.DUMMYFUNCTION("""COMPUTED_VALUE"""),"-")</f>
        <v>-</v>
      </c>
      <c r="J334" s="19">
        <f>IFERROR(__xludf.DUMMYFUNCTION("""COMPUTED_VALUE"""),0.01963)</f>
        <v>0.01963</v>
      </c>
      <c r="K334" s="19">
        <f>IFERROR(__xludf.DUMMYFUNCTION("""COMPUTED_VALUE"""),0.13216)</f>
        <v>0.13216</v>
      </c>
      <c r="L334" s="19" t="str">
        <f>IFERROR(__xludf.DUMMYFUNCTION("""COMPUTED_VALUE"""),"-")</f>
        <v>-</v>
      </c>
      <c r="M334" s="19" t="str">
        <f>IFERROR(__xludf.DUMMYFUNCTION("""COMPUTED_VALUE"""),"-")</f>
        <v>-</v>
      </c>
    </row>
    <row r="335">
      <c r="A335" s="12" t="s">
        <v>9125</v>
      </c>
      <c r="G335" s="19">
        <f>IFERROR(__xludf.DUMMYFUNCTION("SPLIT(A333, "" |"")"),165001.0)</f>
        <v>165001</v>
      </c>
      <c r="H335" s="19">
        <f>IFERROR(__xludf.DUMMYFUNCTION("""COMPUTED_VALUE"""),0.00228)</f>
        <v>0.00228</v>
      </c>
      <c r="I335" s="19" t="str">
        <f>IFERROR(__xludf.DUMMYFUNCTION("""COMPUTED_VALUE"""),"-")</f>
        <v>-</v>
      </c>
      <c r="J335" s="19">
        <f>IFERROR(__xludf.DUMMYFUNCTION("""COMPUTED_VALUE"""),0.0196)</f>
        <v>0.0196</v>
      </c>
      <c r="K335" s="19">
        <f>IFERROR(__xludf.DUMMYFUNCTION("""COMPUTED_VALUE"""),0.12684)</f>
        <v>0.12684</v>
      </c>
      <c r="L335" s="19" t="str">
        <f>IFERROR(__xludf.DUMMYFUNCTION("""COMPUTED_VALUE"""),"-")</f>
        <v>-</v>
      </c>
      <c r="M335" s="19" t="str">
        <f>IFERROR(__xludf.DUMMYFUNCTION("""COMPUTED_VALUE"""),"-")</f>
        <v>-</v>
      </c>
    </row>
    <row r="336">
      <c r="A336" s="12" t="s">
        <v>9126</v>
      </c>
      <c r="G336" s="19">
        <f>IFERROR(__xludf.DUMMYFUNCTION("SPLIT(A334, "" |"")"),165501.0)</f>
        <v>165501</v>
      </c>
      <c r="H336" s="19">
        <f>IFERROR(__xludf.DUMMYFUNCTION("""COMPUTED_VALUE"""),0.00235)</f>
        <v>0.00235</v>
      </c>
      <c r="I336" s="19" t="str">
        <f>IFERROR(__xludf.DUMMYFUNCTION("""COMPUTED_VALUE"""),"-")</f>
        <v>-</v>
      </c>
      <c r="J336" s="19">
        <f>IFERROR(__xludf.DUMMYFUNCTION("""COMPUTED_VALUE"""),0.01978)</f>
        <v>0.01978</v>
      </c>
      <c r="K336" s="19">
        <f>IFERROR(__xludf.DUMMYFUNCTION("""COMPUTED_VALUE"""),0.13102)</f>
        <v>0.13102</v>
      </c>
      <c r="L336" s="19" t="str">
        <f>IFERROR(__xludf.DUMMYFUNCTION("""COMPUTED_VALUE"""),"-")</f>
        <v>-</v>
      </c>
      <c r="M336" s="19" t="str">
        <f>IFERROR(__xludf.DUMMYFUNCTION("""COMPUTED_VALUE"""),"-")</f>
        <v>-</v>
      </c>
    </row>
    <row r="337">
      <c r="A337" s="12" t="s">
        <v>9127</v>
      </c>
      <c r="G337" s="19">
        <f>IFERROR(__xludf.DUMMYFUNCTION("SPLIT(A335, "" |"")"),166001.0)</f>
        <v>166001</v>
      </c>
      <c r="H337" s="19">
        <f>IFERROR(__xludf.DUMMYFUNCTION("""COMPUTED_VALUE"""),0.00229)</f>
        <v>0.00229</v>
      </c>
      <c r="I337" s="19" t="str">
        <f>IFERROR(__xludf.DUMMYFUNCTION("""COMPUTED_VALUE"""),"-")</f>
        <v>-</v>
      </c>
      <c r="J337" s="19">
        <f>IFERROR(__xludf.DUMMYFUNCTION("""COMPUTED_VALUE"""),0.01951)</f>
        <v>0.01951</v>
      </c>
      <c r="K337" s="19">
        <f>IFERROR(__xludf.DUMMYFUNCTION("""COMPUTED_VALUE"""),0.13195)</f>
        <v>0.13195</v>
      </c>
      <c r="L337" s="19" t="str">
        <f>IFERROR(__xludf.DUMMYFUNCTION("""COMPUTED_VALUE"""),"-")</f>
        <v>-</v>
      </c>
      <c r="M337" s="19" t="str">
        <f>IFERROR(__xludf.DUMMYFUNCTION("""COMPUTED_VALUE"""),"-")</f>
        <v>-</v>
      </c>
    </row>
    <row r="338">
      <c r="A338" s="12" t="s">
        <v>9128</v>
      </c>
      <c r="G338" s="19">
        <f>IFERROR(__xludf.DUMMYFUNCTION("SPLIT(A336, "" |"")"),166501.0)</f>
        <v>166501</v>
      </c>
      <c r="H338" s="19">
        <f>IFERROR(__xludf.DUMMYFUNCTION("""COMPUTED_VALUE"""),0.00223)</f>
        <v>0.00223</v>
      </c>
      <c r="I338" s="19" t="str">
        <f>IFERROR(__xludf.DUMMYFUNCTION("""COMPUTED_VALUE"""),"-")</f>
        <v>-</v>
      </c>
      <c r="J338" s="19">
        <f>IFERROR(__xludf.DUMMYFUNCTION("""COMPUTED_VALUE"""),0.01959)</f>
        <v>0.01959</v>
      </c>
      <c r="K338" s="19">
        <f>IFERROR(__xludf.DUMMYFUNCTION("""COMPUTED_VALUE"""),0.13174)</f>
        <v>0.13174</v>
      </c>
      <c r="L338" s="19" t="str">
        <f>IFERROR(__xludf.DUMMYFUNCTION("""COMPUTED_VALUE"""),"-")</f>
        <v>-</v>
      </c>
      <c r="M338" s="19" t="str">
        <f>IFERROR(__xludf.DUMMYFUNCTION("""COMPUTED_VALUE"""),"-")</f>
        <v>-</v>
      </c>
    </row>
    <row r="339">
      <c r="A339" s="12" t="s">
        <v>9129</v>
      </c>
      <c r="G339" s="19">
        <f>IFERROR(__xludf.DUMMYFUNCTION("SPLIT(A337, "" |"")"),167001.0)</f>
        <v>167001</v>
      </c>
      <c r="H339" s="19">
        <f>IFERROR(__xludf.DUMMYFUNCTION("""COMPUTED_VALUE"""),0.00233)</f>
        <v>0.00233</v>
      </c>
      <c r="I339" s="19" t="str">
        <f>IFERROR(__xludf.DUMMYFUNCTION("""COMPUTED_VALUE"""),"-")</f>
        <v>-</v>
      </c>
      <c r="J339" s="19">
        <f>IFERROR(__xludf.DUMMYFUNCTION("""COMPUTED_VALUE"""),0.01964)</f>
        <v>0.01964</v>
      </c>
      <c r="K339" s="19">
        <f>IFERROR(__xludf.DUMMYFUNCTION("""COMPUTED_VALUE"""),0.1319)</f>
        <v>0.1319</v>
      </c>
      <c r="L339" s="19" t="str">
        <f>IFERROR(__xludf.DUMMYFUNCTION("""COMPUTED_VALUE"""),"-")</f>
        <v>-</v>
      </c>
      <c r="M339" s="19" t="str">
        <f>IFERROR(__xludf.DUMMYFUNCTION("""COMPUTED_VALUE"""),"-")</f>
        <v>-</v>
      </c>
    </row>
    <row r="340">
      <c r="A340" s="12" t="s">
        <v>9130</v>
      </c>
      <c r="G340" s="19">
        <f>IFERROR(__xludf.DUMMYFUNCTION("SPLIT(A338, "" |"")"),167501.0)</f>
        <v>167501</v>
      </c>
      <c r="H340" s="19">
        <f>IFERROR(__xludf.DUMMYFUNCTION("""COMPUTED_VALUE"""),0.00484)</f>
        <v>0.00484</v>
      </c>
      <c r="I340" s="19" t="str">
        <f>IFERROR(__xludf.DUMMYFUNCTION("""COMPUTED_VALUE"""),"-")</f>
        <v>-</v>
      </c>
      <c r="J340" s="19">
        <f>IFERROR(__xludf.DUMMYFUNCTION("""COMPUTED_VALUE"""),0.01966)</f>
        <v>0.01966</v>
      </c>
      <c r="K340" s="19">
        <f>IFERROR(__xludf.DUMMYFUNCTION("""COMPUTED_VALUE"""),0.13186)</f>
        <v>0.13186</v>
      </c>
      <c r="L340" s="19" t="str">
        <f>IFERROR(__xludf.DUMMYFUNCTION("""COMPUTED_VALUE"""),"-")</f>
        <v>-</v>
      </c>
      <c r="M340" s="19" t="str">
        <f>IFERROR(__xludf.DUMMYFUNCTION("""COMPUTED_VALUE"""),"-")</f>
        <v>-</v>
      </c>
    </row>
    <row r="341">
      <c r="A341" s="12" t="s">
        <v>9131</v>
      </c>
      <c r="G341" s="19">
        <f>IFERROR(__xludf.DUMMYFUNCTION("SPLIT(A339, "" |"")"),168001.0)</f>
        <v>168001</v>
      </c>
      <c r="H341" s="19">
        <f>IFERROR(__xludf.DUMMYFUNCTION("""COMPUTED_VALUE"""),0.0023)</f>
        <v>0.0023</v>
      </c>
      <c r="I341" s="19" t="str">
        <f>IFERROR(__xludf.DUMMYFUNCTION("""COMPUTED_VALUE"""),"-")</f>
        <v>-</v>
      </c>
      <c r="J341" s="19">
        <f>IFERROR(__xludf.DUMMYFUNCTION("""COMPUTED_VALUE"""),0.01959)</f>
        <v>0.01959</v>
      </c>
      <c r="K341" s="19">
        <f>IFERROR(__xludf.DUMMYFUNCTION("""COMPUTED_VALUE"""),0.13177)</f>
        <v>0.13177</v>
      </c>
      <c r="L341" s="19" t="str">
        <f>IFERROR(__xludf.DUMMYFUNCTION("""COMPUTED_VALUE"""),"-")</f>
        <v>-</v>
      </c>
      <c r="M341" s="19" t="str">
        <f>IFERROR(__xludf.DUMMYFUNCTION("""COMPUTED_VALUE"""),"-")</f>
        <v>-</v>
      </c>
    </row>
    <row r="342">
      <c r="A342" s="12" t="s">
        <v>9132</v>
      </c>
      <c r="G342" s="19">
        <f>IFERROR(__xludf.DUMMYFUNCTION("SPLIT(A340, "" |"")"),168501.0)</f>
        <v>168501</v>
      </c>
      <c r="H342" s="19">
        <f>IFERROR(__xludf.DUMMYFUNCTION("""COMPUTED_VALUE"""),0.0022)</f>
        <v>0.0022</v>
      </c>
      <c r="I342" s="19" t="str">
        <f>IFERROR(__xludf.DUMMYFUNCTION("""COMPUTED_VALUE"""),"-")</f>
        <v>-</v>
      </c>
      <c r="J342" s="19">
        <f>IFERROR(__xludf.DUMMYFUNCTION("""COMPUTED_VALUE"""),0.01953)</f>
        <v>0.01953</v>
      </c>
      <c r="K342" s="19">
        <f>IFERROR(__xludf.DUMMYFUNCTION("""COMPUTED_VALUE"""),0.12994)</f>
        <v>0.12994</v>
      </c>
      <c r="L342" s="19" t="str">
        <f>IFERROR(__xludf.DUMMYFUNCTION("""COMPUTED_VALUE"""),"-")</f>
        <v>-</v>
      </c>
      <c r="M342" s="19" t="str">
        <f>IFERROR(__xludf.DUMMYFUNCTION("""COMPUTED_VALUE"""),"-")</f>
        <v>-</v>
      </c>
    </row>
    <row r="343">
      <c r="A343" s="12" t="s">
        <v>9133</v>
      </c>
      <c r="G343" s="19">
        <f>IFERROR(__xludf.DUMMYFUNCTION("SPLIT(A341, "" |"")"),169001.0)</f>
        <v>169001</v>
      </c>
      <c r="H343" s="19">
        <f>IFERROR(__xludf.DUMMYFUNCTION("""COMPUTED_VALUE"""),0.00217)</f>
        <v>0.00217</v>
      </c>
      <c r="I343" s="19" t="str">
        <f>IFERROR(__xludf.DUMMYFUNCTION("""COMPUTED_VALUE"""),"-")</f>
        <v>-</v>
      </c>
      <c r="J343" s="19">
        <f>IFERROR(__xludf.DUMMYFUNCTION("""COMPUTED_VALUE"""),0.01954)</f>
        <v>0.01954</v>
      </c>
      <c r="K343" s="19">
        <f>IFERROR(__xludf.DUMMYFUNCTION("""COMPUTED_VALUE"""),0.13184)</f>
        <v>0.13184</v>
      </c>
      <c r="L343" s="19" t="str">
        <f>IFERROR(__xludf.DUMMYFUNCTION("""COMPUTED_VALUE"""),"-")</f>
        <v>-</v>
      </c>
      <c r="M343" s="19" t="str">
        <f>IFERROR(__xludf.DUMMYFUNCTION("""COMPUTED_VALUE"""),"-")</f>
        <v>-</v>
      </c>
    </row>
    <row r="344">
      <c r="A344" s="12" t="s">
        <v>9134</v>
      </c>
      <c r="G344" s="19">
        <f>IFERROR(__xludf.DUMMYFUNCTION("SPLIT(A342, "" |"")"),169501.0)</f>
        <v>169501</v>
      </c>
      <c r="H344" s="19">
        <f>IFERROR(__xludf.DUMMYFUNCTION("""COMPUTED_VALUE"""),0.00228)</f>
        <v>0.00228</v>
      </c>
      <c r="I344" s="19" t="str">
        <f>IFERROR(__xludf.DUMMYFUNCTION("""COMPUTED_VALUE"""),"-")</f>
        <v>-</v>
      </c>
      <c r="J344" s="19">
        <f>IFERROR(__xludf.DUMMYFUNCTION("""COMPUTED_VALUE"""),0.01961)</f>
        <v>0.01961</v>
      </c>
      <c r="K344" s="19">
        <f>IFERROR(__xludf.DUMMYFUNCTION("""COMPUTED_VALUE"""),0.12769)</f>
        <v>0.12769</v>
      </c>
      <c r="L344" s="19" t="str">
        <f>IFERROR(__xludf.DUMMYFUNCTION("""COMPUTED_VALUE"""),"-")</f>
        <v>-</v>
      </c>
      <c r="M344" s="19" t="str">
        <f>IFERROR(__xludf.DUMMYFUNCTION("""COMPUTED_VALUE"""),"-")</f>
        <v>-</v>
      </c>
    </row>
    <row r="345">
      <c r="A345" s="12" t="s">
        <v>9135</v>
      </c>
      <c r="G345" s="19">
        <f>IFERROR(__xludf.DUMMYFUNCTION("SPLIT(A343, "" |"")"),170001.0)</f>
        <v>170001</v>
      </c>
      <c r="H345" s="19">
        <f>IFERROR(__xludf.DUMMYFUNCTION("""COMPUTED_VALUE"""),0.00213)</f>
        <v>0.00213</v>
      </c>
      <c r="I345" s="19" t="str">
        <f>IFERROR(__xludf.DUMMYFUNCTION("""COMPUTED_VALUE"""),"-")</f>
        <v>-</v>
      </c>
      <c r="J345" s="19">
        <f>IFERROR(__xludf.DUMMYFUNCTION("""COMPUTED_VALUE"""),0.01949)</f>
        <v>0.01949</v>
      </c>
      <c r="K345" s="19">
        <f>IFERROR(__xludf.DUMMYFUNCTION("""COMPUTED_VALUE"""),0.13185)</f>
        <v>0.13185</v>
      </c>
      <c r="L345" s="19" t="str">
        <f>IFERROR(__xludf.DUMMYFUNCTION("""COMPUTED_VALUE"""),"-")</f>
        <v>-</v>
      </c>
      <c r="M345" s="19" t="str">
        <f>IFERROR(__xludf.DUMMYFUNCTION("""COMPUTED_VALUE"""),"-")</f>
        <v>-</v>
      </c>
    </row>
    <row r="346">
      <c r="A346" s="12" t="s">
        <v>9136</v>
      </c>
      <c r="G346" s="19">
        <f>IFERROR(__xludf.DUMMYFUNCTION("SPLIT(A344, "" |"")"),170501.0)</f>
        <v>170501</v>
      </c>
      <c r="H346" s="19">
        <f>IFERROR(__xludf.DUMMYFUNCTION("""COMPUTED_VALUE"""),0.00232)</f>
        <v>0.00232</v>
      </c>
      <c r="I346" s="19" t="str">
        <f>IFERROR(__xludf.DUMMYFUNCTION("""COMPUTED_VALUE"""),"-")</f>
        <v>-</v>
      </c>
      <c r="J346" s="19">
        <f>IFERROR(__xludf.DUMMYFUNCTION("""COMPUTED_VALUE"""),0.01961)</f>
        <v>0.01961</v>
      </c>
      <c r="K346" s="19">
        <f>IFERROR(__xludf.DUMMYFUNCTION("""COMPUTED_VALUE"""),0.13191)</f>
        <v>0.13191</v>
      </c>
      <c r="L346" s="19" t="str">
        <f>IFERROR(__xludf.DUMMYFUNCTION("""COMPUTED_VALUE"""),"-")</f>
        <v>-</v>
      </c>
      <c r="M346" s="19" t="str">
        <f>IFERROR(__xludf.DUMMYFUNCTION("""COMPUTED_VALUE"""),"-")</f>
        <v>-</v>
      </c>
    </row>
    <row r="347">
      <c r="A347" s="12" t="s">
        <v>9137</v>
      </c>
      <c r="G347" s="19">
        <f>IFERROR(__xludf.DUMMYFUNCTION("SPLIT(A345, "" |"")"),171001.0)</f>
        <v>171001</v>
      </c>
      <c r="H347" s="19">
        <f>IFERROR(__xludf.DUMMYFUNCTION("""COMPUTED_VALUE"""),0.00227)</f>
        <v>0.00227</v>
      </c>
      <c r="I347" s="19" t="str">
        <f>IFERROR(__xludf.DUMMYFUNCTION("""COMPUTED_VALUE"""),"-")</f>
        <v>-</v>
      </c>
      <c r="J347" s="19">
        <f>IFERROR(__xludf.DUMMYFUNCTION("""COMPUTED_VALUE"""),0.01961)</f>
        <v>0.01961</v>
      </c>
      <c r="K347" s="19">
        <f>IFERROR(__xludf.DUMMYFUNCTION("""COMPUTED_VALUE"""),0.13184)</f>
        <v>0.13184</v>
      </c>
      <c r="L347" s="19" t="str">
        <f>IFERROR(__xludf.DUMMYFUNCTION("""COMPUTED_VALUE"""),"-")</f>
        <v>-</v>
      </c>
      <c r="M347" s="19" t="str">
        <f>IFERROR(__xludf.DUMMYFUNCTION("""COMPUTED_VALUE"""),"-")</f>
        <v>-</v>
      </c>
    </row>
    <row r="348">
      <c r="A348" s="12" t="s">
        <v>9138</v>
      </c>
      <c r="G348" s="19">
        <f>IFERROR(__xludf.DUMMYFUNCTION("SPLIT(A346, "" |"")"),171501.0)</f>
        <v>171501</v>
      </c>
      <c r="H348" s="19">
        <f>IFERROR(__xludf.DUMMYFUNCTION("""COMPUTED_VALUE"""),0.00479)</f>
        <v>0.00479</v>
      </c>
      <c r="I348" s="19" t="str">
        <f>IFERROR(__xludf.DUMMYFUNCTION("""COMPUTED_VALUE"""),"-")</f>
        <v>-</v>
      </c>
      <c r="J348" s="19">
        <f>IFERROR(__xludf.DUMMYFUNCTION("""COMPUTED_VALUE"""),0.01969)</f>
        <v>0.01969</v>
      </c>
      <c r="K348" s="19">
        <f>IFERROR(__xludf.DUMMYFUNCTION("""COMPUTED_VALUE"""),0.13191)</f>
        <v>0.13191</v>
      </c>
      <c r="L348" s="19" t="str">
        <f>IFERROR(__xludf.DUMMYFUNCTION("""COMPUTED_VALUE"""),"-")</f>
        <v>-</v>
      </c>
      <c r="M348" s="19" t="str">
        <f>IFERROR(__xludf.DUMMYFUNCTION("""COMPUTED_VALUE"""),"-")</f>
        <v>-</v>
      </c>
    </row>
    <row r="349">
      <c r="A349" s="12" t="s">
        <v>9139</v>
      </c>
      <c r="G349" s="19">
        <f>IFERROR(__xludf.DUMMYFUNCTION("SPLIT(A347, "" |"")"),172001.0)</f>
        <v>172001</v>
      </c>
      <c r="H349" s="19">
        <f>IFERROR(__xludf.DUMMYFUNCTION("""COMPUTED_VALUE"""),0.00219)</f>
        <v>0.00219</v>
      </c>
      <c r="I349" s="19" t="str">
        <f>IFERROR(__xludf.DUMMYFUNCTION("""COMPUTED_VALUE"""),"-")</f>
        <v>-</v>
      </c>
      <c r="J349" s="19">
        <f>IFERROR(__xludf.DUMMYFUNCTION("""COMPUTED_VALUE"""),0.01957)</f>
        <v>0.01957</v>
      </c>
      <c r="K349" s="19">
        <f>IFERROR(__xludf.DUMMYFUNCTION("""COMPUTED_VALUE"""),0.1319)</f>
        <v>0.1319</v>
      </c>
      <c r="L349" s="19" t="str">
        <f>IFERROR(__xludf.DUMMYFUNCTION("""COMPUTED_VALUE"""),"-")</f>
        <v>-</v>
      </c>
      <c r="M349" s="19" t="str">
        <f>IFERROR(__xludf.DUMMYFUNCTION("""COMPUTED_VALUE"""),"-")</f>
        <v>-</v>
      </c>
    </row>
    <row r="350">
      <c r="A350" s="12" t="s">
        <v>9140</v>
      </c>
      <c r="G350" s="19">
        <f>IFERROR(__xludf.DUMMYFUNCTION("SPLIT(A348, "" |"")"),172501.0)</f>
        <v>172501</v>
      </c>
      <c r="H350" s="19">
        <f>IFERROR(__xludf.DUMMYFUNCTION("""COMPUTED_VALUE"""),0.00473)</f>
        <v>0.00473</v>
      </c>
      <c r="I350" s="19" t="str">
        <f>IFERROR(__xludf.DUMMYFUNCTION("""COMPUTED_VALUE"""),"-")</f>
        <v>-</v>
      </c>
      <c r="J350" s="19">
        <f>IFERROR(__xludf.DUMMYFUNCTION("""COMPUTED_VALUE"""),0.01968)</f>
        <v>0.01968</v>
      </c>
      <c r="K350" s="19">
        <f>IFERROR(__xludf.DUMMYFUNCTION("""COMPUTED_VALUE"""),0.12977)</f>
        <v>0.12977</v>
      </c>
      <c r="L350" s="19" t="str">
        <f>IFERROR(__xludf.DUMMYFUNCTION("""COMPUTED_VALUE"""),"-")</f>
        <v>-</v>
      </c>
      <c r="M350" s="19" t="str">
        <f>IFERROR(__xludf.DUMMYFUNCTION("""COMPUTED_VALUE"""),"-")</f>
        <v>-</v>
      </c>
    </row>
    <row r="351">
      <c r="A351" s="12" t="s">
        <v>9141</v>
      </c>
      <c r="G351" s="19">
        <f>IFERROR(__xludf.DUMMYFUNCTION("SPLIT(A349, "" |"")"),173001.0)</f>
        <v>173001</v>
      </c>
      <c r="H351" s="19">
        <f>IFERROR(__xludf.DUMMYFUNCTION("""COMPUTED_VALUE"""),0.00225)</f>
        <v>0.00225</v>
      </c>
      <c r="I351" s="19" t="str">
        <f>IFERROR(__xludf.DUMMYFUNCTION("""COMPUTED_VALUE"""),"-")</f>
        <v>-</v>
      </c>
      <c r="J351" s="19">
        <f>IFERROR(__xludf.DUMMYFUNCTION("""COMPUTED_VALUE"""),0.01952)</f>
        <v>0.01952</v>
      </c>
      <c r="K351" s="19">
        <f>IFERROR(__xludf.DUMMYFUNCTION("""COMPUTED_VALUE"""),0.13161)</f>
        <v>0.13161</v>
      </c>
      <c r="L351" s="19" t="str">
        <f>IFERROR(__xludf.DUMMYFUNCTION("""COMPUTED_VALUE"""),"-")</f>
        <v>-</v>
      </c>
      <c r="M351" s="19" t="str">
        <f>IFERROR(__xludf.DUMMYFUNCTION("""COMPUTED_VALUE"""),"-")</f>
        <v>-</v>
      </c>
    </row>
    <row r="352">
      <c r="A352" s="12" t="s">
        <v>9142</v>
      </c>
      <c r="G352" s="19">
        <f>IFERROR(__xludf.DUMMYFUNCTION("SPLIT(A350, "" |"")"),173501.0)</f>
        <v>173501</v>
      </c>
      <c r="H352" s="19">
        <f>IFERROR(__xludf.DUMMYFUNCTION("""COMPUTED_VALUE"""),0.00478)</f>
        <v>0.00478</v>
      </c>
      <c r="I352" s="19" t="str">
        <f>IFERROR(__xludf.DUMMYFUNCTION("""COMPUTED_VALUE"""),"-")</f>
        <v>-</v>
      </c>
      <c r="J352" s="19">
        <f>IFERROR(__xludf.DUMMYFUNCTION("""COMPUTED_VALUE"""),0.01972)</f>
        <v>0.01972</v>
      </c>
      <c r="K352" s="19">
        <f>IFERROR(__xludf.DUMMYFUNCTION("""COMPUTED_VALUE"""),0.132)</f>
        <v>0.132</v>
      </c>
      <c r="L352" s="19" t="str">
        <f>IFERROR(__xludf.DUMMYFUNCTION("""COMPUTED_VALUE"""),"-")</f>
        <v>-</v>
      </c>
      <c r="M352" s="19" t="str">
        <f>IFERROR(__xludf.DUMMYFUNCTION("""COMPUTED_VALUE"""),"-")</f>
        <v>-</v>
      </c>
    </row>
    <row r="353">
      <c r="A353" s="12" t="s">
        <v>9143</v>
      </c>
      <c r="G353" s="19">
        <f>IFERROR(__xludf.DUMMYFUNCTION("SPLIT(A351, "" |"")"),174001.0)</f>
        <v>174001</v>
      </c>
      <c r="H353" s="19">
        <f>IFERROR(__xludf.DUMMYFUNCTION("""COMPUTED_VALUE"""),0.00477)</f>
        <v>0.00477</v>
      </c>
      <c r="I353" s="19" t="str">
        <f>IFERROR(__xludf.DUMMYFUNCTION("""COMPUTED_VALUE"""),"-")</f>
        <v>-</v>
      </c>
      <c r="J353" s="19">
        <f>IFERROR(__xludf.DUMMYFUNCTION("""COMPUTED_VALUE"""),0.0196)</f>
        <v>0.0196</v>
      </c>
      <c r="K353" s="19">
        <f>IFERROR(__xludf.DUMMYFUNCTION("""COMPUTED_VALUE"""),0.13187)</f>
        <v>0.13187</v>
      </c>
      <c r="L353" s="19" t="str">
        <f>IFERROR(__xludf.DUMMYFUNCTION("""COMPUTED_VALUE"""),"-")</f>
        <v>-</v>
      </c>
      <c r="M353" s="19" t="str">
        <f>IFERROR(__xludf.DUMMYFUNCTION("""COMPUTED_VALUE"""),"-")</f>
        <v>-</v>
      </c>
    </row>
    <row r="354">
      <c r="A354" s="12" t="s">
        <v>9144</v>
      </c>
      <c r="G354" s="19">
        <f>IFERROR(__xludf.DUMMYFUNCTION("SPLIT(A352, "" |"")"),174501.0)</f>
        <v>174501</v>
      </c>
      <c r="H354" s="19">
        <f>IFERROR(__xludf.DUMMYFUNCTION("""COMPUTED_VALUE"""),0.00488)</f>
        <v>0.00488</v>
      </c>
      <c r="I354" s="19" t="str">
        <f>IFERROR(__xludf.DUMMYFUNCTION("""COMPUTED_VALUE"""),"-")</f>
        <v>-</v>
      </c>
      <c r="J354" s="19">
        <f>IFERROR(__xludf.DUMMYFUNCTION("""COMPUTED_VALUE"""),0.0197)</f>
        <v>0.0197</v>
      </c>
      <c r="K354" s="19">
        <f>IFERROR(__xludf.DUMMYFUNCTION("""COMPUTED_VALUE"""),0.13013)</f>
        <v>0.13013</v>
      </c>
      <c r="L354" s="19" t="str">
        <f>IFERROR(__xludf.DUMMYFUNCTION("""COMPUTED_VALUE"""),"-")</f>
        <v>-</v>
      </c>
      <c r="M354" s="19" t="str">
        <f>IFERROR(__xludf.DUMMYFUNCTION("""COMPUTED_VALUE"""),"-")</f>
        <v>-</v>
      </c>
    </row>
    <row r="355">
      <c r="A355" s="12" t="s">
        <v>9145</v>
      </c>
      <c r="G355" s="19">
        <f>IFERROR(__xludf.DUMMYFUNCTION("SPLIT(A353, "" |"")"),175001.0)</f>
        <v>175001</v>
      </c>
      <c r="H355" s="19">
        <f>IFERROR(__xludf.DUMMYFUNCTION("""COMPUTED_VALUE"""),0.00229)</f>
        <v>0.00229</v>
      </c>
      <c r="I355" s="19" t="str">
        <f>IFERROR(__xludf.DUMMYFUNCTION("""COMPUTED_VALUE"""),"-")</f>
        <v>-</v>
      </c>
      <c r="J355" s="19">
        <f>IFERROR(__xludf.DUMMYFUNCTION("""COMPUTED_VALUE"""),0.01954)</f>
        <v>0.01954</v>
      </c>
      <c r="K355" s="19">
        <f>IFERROR(__xludf.DUMMYFUNCTION("""COMPUTED_VALUE"""),0.13028)</f>
        <v>0.13028</v>
      </c>
      <c r="L355" s="19" t="str">
        <f>IFERROR(__xludf.DUMMYFUNCTION("""COMPUTED_VALUE"""),"-")</f>
        <v>-</v>
      </c>
      <c r="M355" s="19" t="str">
        <f>IFERROR(__xludf.DUMMYFUNCTION("""COMPUTED_VALUE"""),"-")</f>
        <v>-</v>
      </c>
    </row>
    <row r="356">
      <c r="A356" s="12" t="s">
        <v>9146</v>
      </c>
      <c r="G356" s="19">
        <f>IFERROR(__xludf.DUMMYFUNCTION("SPLIT(A354, "" |"")"),175501.0)</f>
        <v>175501</v>
      </c>
      <c r="H356" s="19">
        <f>IFERROR(__xludf.DUMMYFUNCTION("""COMPUTED_VALUE"""),0.00485)</f>
        <v>0.00485</v>
      </c>
      <c r="I356" s="19" t="str">
        <f>IFERROR(__xludf.DUMMYFUNCTION("""COMPUTED_VALUE"""),"-")</f>
        <v>-</v>
      </c>
      <c r="J356" s="19">
        <f>IFERROR(__xludf.DUMMYFUNCTION("""COMPUTED_VALUE"""),0.01972)</f>
        <v>0.01972</v>
      </c>
      <c r="K356" s="19">
        <f>IFERROR(__xludf.DUMMYFUNCTION("""COMPUTED_VALUE"""),0.13185)</f>
        <v>0.13185</v>
      </c>
      <c r="L356" s="19" t="str">
        <f>IFERROR(__xludf.DUMMYFUNCTION("""COMPUTED_VALUE"""),"-")</f>
        <v>-</v>
      </c>
      <c r="M356" s="19" t="str">
        <f>IFERROR(__xludf.DUMMYFUNCTION("""COMPUTED_VALUE"""),"-")</f>
        <v>-</v>
      </c>
    </row>
    <row r="357">
      <c r="A357" s="12" t="s">
        <v>9147</v>
      </c>
      <c r="G357" s="19">
        <f>IFERROR(__xludf.DUMMYFUNCTION("SPLIT(A355, "" |"")"),176001.0)</f>
        <v>176001</v>
      </c>
      <c r="H357" s="19">
        <f>IFERROR(__xludf.DUMMYFUNCTION("""COMPUTED_VALUE"""),0.00478)</f>
        <v>0.00478</v>
      </c>
      <c r="I357" s="19" t="str">
        <f>IFERROR(__xludf.DUMMYFUNCTION("""COMPUTED_VALUE"""),"-")</f>
        <v>-</v>
      </c>
      <c r="J357" s="19">
        <f>IFERROR(__xludf.DUMMYFUNCTION("""COMPUTED_VALUE"""),0.01965)</f>
        <v>0.01965</v>
      </c>
      <c r="K357" s="19">
        <f>IFERROR(__xludf.DUMMYFUNCTION("""COMPUTED_VALUE"""),0.12686)</f>
        <v>0.12686</v>
      </c>
      <c r="L357" s="19" t="str">
        <f>IFERROR(__xludf.DUMMYFUNCTION("""COMPUTED_VALUE"""),"-")</f>
        <v>-</v>
      </c>
      <c r="M357" s="19" t="str">
        <f>IFERROR(__xludf.DUMMYFUNCTION("""COMPUTED_VALUE"""),"-")</f>
        <v>-</v>
      </c>
    </row>
    <row r="358">
      <c r="A358" s="12" t="s">
        <v>9148</v>
      </c>
      <c r="G358" s="19">
        <f>IFERROR(__xludf.DUMMYFUNCTION("SPLIT(A356, "" |"")"),176501.0)</f>
        <v>176501</v>
      </c>
      <c r="H358" s="19">
        <f>IFERROR(__xludf.DUMMYFUNCTION("""COMPUTED_VALUE"""),0.00231)</f>
        <v>0.00231</v>
      </c>
      <c r="I358" s="19" t="str">
        <f>IFERROR(__xludf.DUMMYFUNCTION("""COMPUTED_VALUE"""),"-")</f>
        <v>-</v>
      </c>
      <c r="J358" s="19">
        <f>IFERROR(__xludf.DUMMYFUNCTION("""COMPUTED_VALUE"""),0.01952)</f>
        <v>0.01952</v>
      </c>
      <c r="K358" s="19">
        <f>IFERROR(__xludf.DUMMYFUNCTION("""COMPUTED_VALUE"""),0.13198)</f>
        <v>0.13198</v>
      </c>
      <c r="L358" s="19" t="str">
        <f>IFERROR(__xludf.DUMMYFUNCTION("""COMPUTED_VALUE"""),"-")</f>
        <v>-</v>
      </c>
      <c r="M358" s="19" t="str">
        <f>IFERROR(__xludf.DUMMYFUNCTION("""COMPUTED_VALUE"""),"-")</f>
        <v>-</v>
      </c>
    </row>
    <row r="359">
      <c r="A359" s="12" t="s">
        <v>9149</v>
      </c>
      <c r="G359" s="19">
        <f>IFERROR(__xludf.DUMMYFUNCTION("SPLIT(A357, "" |"")"),177001.0)</f>
        <v>177001</v>
      </c>
      <c r="H359" s="19">
        <f>IFERROR(__xludf.DUMMYFUNCTION("""COMPUTED_VALUE"""),0.00489)</f>
        <v>0.00489</v>
      </c>
      <c r="I359" s="19" t="str">
        <f>IFERROR(__xludf.DUMMYFUNCTION("""COMPUTED_VALUE"""),"-")</f>
        <v>-</v>
      </c>
      <c r="J359" s="19">
        <f>IFERROR(__xludf.DUMMYFUNCTION("""COMPUTED_VALUE"""),0.01964)</f>
        <v>0.01964</v>
      </c>
      <c r="K359" s="19">
        <f>IFERROR(__xludf.DUMMYFUNCTION("""COMPUTED_VALUE"""),0.13192)</f>
        <v>0.13192</v>
      </c>
      <c r="L359" s="19" t="str">
        <f>IFERROR(__xludf.DUMMYFUNCTION("""COMPUTED_VALUE"""),"-")</f>
        <v>-</v>
      </c>
      <c r="M359" s="19" t="str">
        <f>IFERROR(__xludf.DUMMYFUNCTION("""COMPUTED_VALUE"""),"-")</f>
        <v>-</v>
      </c>
    </row>
    <row r="360">
      <c r="A360" s="12" t="s">
        <v>9150</v>
      </c>
      <c r="G360" s="19">
        <f>IFERROR(__xludf.DUMMYFUNCTION("SPLIT(A358, "" |"")"),177501.0)</f>
        <v>177501</v>
      </c>
      <c r="H360" s="19">
        <f>IFERROR(__xludf.DUMMYFUNCTION("""COMPUTED_VALUE"""),0.00486)</f>
        <v>0.00486</v>
      </c>
      <c r="I360" s="19" t="str">
        <f>IFERROR(__xludf.DUMMYFUNCTION("""COMPUTED_VALUE"""),"-")</f>
        <v>-</v>
      </c>
      <c r="J360" s="19">
        <f>IFERROR(__xludf.DUMMYFUNCTION("""COMPUTED_VALUE"""),0.0197)</f>
        <v>0.0197</v>
      </c>
      <c r="K360" s="19">
        <f>IFERROR(__xludf.DUMMYFUNCTION("""COMPUTED_VALUE"""),0.12945)</f>
        <v>0.12945</v>
      </c>
      <c r="L360" s="19" t="str">
        <f>IFERROR(__xludf.DUMMYFUNCTION("""COMPUTED_VALUE"""),"-")</f>
        <v>-</v>
      </c>
      <c r="M360" s="19" t="str">
        <f>IFERROR(__xludf.DUMMYFUNCTION("""COMPUTED_VALUE"""),"-")</f>
        <v>-</v>
      </c>
    </row>
    <row r="361">
      <c r="A361" s="12" t="s">
        <v>9151</v>
      </c>
      <c r="G361" s="19">
        <f>IFERROR(__xludf.DUMMYFUNCTION("SPLIT(A359, "" |"")"),178001.0)</f>
        <v>178001</v>
      </c>
      <c r="H361" s="19">
        <f>IFERROR(__xludf.DUMMYFUNCTION("""COMPUTED_VALUE"""),0.00227)</f>
        <v>0.00227</v>
      </c>
      <c r="I361" s="19" t="str">
        <f>IFERROR(__xludf.DUMMYFUNCTION("""COMPUTED_VALUE"""),"-")</f>
        <v>-</v>
      </c>
      <c r="J361" s="19">
        <f>IFERROR(__xludf.DUMMYFUNCTION("""COMPUTED_VALUE"""),0.01954)</f>
        <v>0.01954</v>
      </c>
      <c r="K361" s="19">
        <f>IFERROR(__xludf.DUMMYFUNCTION("""COMPUTED_VALUE"""),0.13178)</f>
        <v>0.13178</v>
      </c>
      <c r="L361" s="19" t="str">
        <f>IFERROR(__xludf.DUMMYFUNCTION("""COMPUTED_VALUE"""),"-")</f>
        <v>-</v>
      </c>
      <c r="M361" s="19" t="str">
        <f>IFERROR(__xludf.DUMMYFUNCTION("""COMPUTED_VALUE"""),"-")</f>
        <v>-</v>
      </c>
    </row>
    <row r="362">
      <c r="A362" s="12" t="s">
        <v>9152</v>
      </c>
      <c r="G362" s="19">
        <f>IFERROR(__xludf.DUMMYFUNCTION("SPLIT(A360, "" |"")"),178501.0)</f>
        <v>178501</v>
      </c>
      <c r="H362" s="19">
        <f>IFERROR(__xludf.DUMMYFUNCTION("""COMPUTED_VALUE"""),0.00474)</f>
        <v>0.00474</v>
      </c>
      <c r="I362" s="19" t="str">
        <f>IFERROR(__xludf.DUMMYFUNCTION("""COMPUTED_VALUE"""),"-")</f>
        <v>-</v>
      </c>
      <c r="J362" s="19">
        <f>IFERROR(__xludf.DUMMYFUNCTION("""COMPUTED_VALUE"""),0.01973)</f>
        <v>0.01973</v>
      </c>
      <c r="K362" s="19">
        <f>IFERROR(__xludf.DUMMYFUNCTION("""COMPUTED_VALUE"""),0.12984)</f>
        <v>0.12984</v>
      </c>
      <c r="L362" s="19" t="str">
        <f>IFERROR(__xludf.DUMMYFUNCTION("""COMPUTED_VALUE"""),"-")</f>
        <v>-</v>
      </c>
      <c r="M362" s="19" t="str">
        <f>IFERROR(__xludf.DUMMYFUNCTION("""COMPUTED_VALUE"""),"-")</f>
        <v>-</v>
      </c>
    </row>
    <row r="363">
      <c r="A363" s="12" t="s">
        <v>9153</v>
      </c>
      <c r="G363" s="19">
        <f>IFERROR(__xludf.DUMMYFUNCTION("SPLIT(A361, "" |"")"),179001.0)</f>
        <v>179001</v>
      </c>
      <c r="H363" s="19">
        <f>IFERROR(__xludf.DUMMYFUNCTION("""COMPUTED_VALUE"""),0.00485)</f>
        <v>0.00485</v>
      </c>
      <c r="I363" s="19" t="str">
        <f>IFERROR(__xludf.DUMMYFUNCTION("""COMPUTED_VALUE"""),"-")</f>
        <v>-</v>
      </c>
      <c r="J363" s="19">
        <f>IFERROR(__xludf.DUMMYFUNCTION("""COMPUTED_VALUE"""),0.0196)</f>
        <v>0.0196</v>
      </c>
      <c r="K363" s="19">
        <f>IFERROR(__xludf.DUMMYFUNCTION("""COMPUTED_VALUE"""),0.13075)</f>
        <v>0.13075</v>
      </c>
      <c r="L363" s="19" t="str">
        <f>IFERROR(__xludf.DUMMYFUNCTION("""COMPUTED_VALUE"""),"-")</f>
        <v>-</v>
      </c>
      <c r="M363" s="19" t="str">
        <f>IFERROR(__xludf.DUMMYFUNCTION("""COMPUTED_VALUE"""),"-")</f>
        <v>-</v>
      </c>
    </row>
    <row r="364">
      <c r="A364" s="12" t="s">
        <v>9154</v>
      </c>
      <c r="G364" s="19">
        <f>IFERROR(__xludf.DUMMYFUNCTION("SPLIT(A362, "" |"")"),179501.0)</f>
        <v>179501</v>
      </c>
      <c r="H364" s="19">
        <f>IFERROR(__xludf.DUMMYFUNCTION("""COMPUTED_VALUE"""),0.00494)</f>
        <v>0.00494</v>
      </c>
      <c r="I364" s="19" t="str">
        <f>IFERROR(__xludf.DUMMYFUNCTION("""COMPUTED_VALUE"""),"-")</f>
        <v>-</v>
      </c>
      <c r="J364" s="19">
        <f>IFERROR(__xludf.DUMMYFUNCTION("""COMPUTED_VALUE"""),0.01975)</f>
        <v>0.01975</v>
      </c>
      <c r="K364" s="19">
        <f>IFERROR(__xludf.DUMMYFUNCTION("""COMPUTED_VALUE"""),0.12778)</f>
        <v>0.12778</v>
      </c>
      <c r="L364" s="19" t="str">
        <f>IFERROR(__xludf.DUMMYFUNCTION("""COMPUTED_VALUE"""),"-")</f>
        <v>-</v>
      </c>
      <c r="M364" s="19" t="str">
        <f>IFERROR(__xludf.DUMMYFUNCTION("""COMPUTED_VALUE"""),"-")</f>
        <v>-</v>
      </c>
    </row>
    <row r="365">
      <c r="A365" s="12" t="s">
        <v>9155</v>
      </c>
      <c r="G365" s="19">
        <f>IFERROR(__xludf.DUMMYFUNCTION("SPLIT(A363, "" |"")"),180001.0)</f>
        <v>180001</v>
      </c>
      <c r="H365" s="19">
        <f>IFERROR(__xludf.DUMMYFUNCTION("""COMPUTED_VALUE"""),0.0023)</f>
        <v>0.0023</v>
      </c>
      <c r="I365" s="19" t="str">
        <f>IFERROR(__xludf.DUMMYFUNCTION("""COMPUTED_VALUE"""),"-")</f>
        <v>-</v>
      </c>
      <c r="J365" s="19">
        <f>IFERROR(__xludf.DUMMYFUNCTION("""COMPUTED_VALUE"""),0.01961)</f>
        <v>0.01961</v>
      </c>
      <c r="K365" s="19">
        <f>IFERROR(__xludf.DUMMYFUNCTION("""COMPUTED_VALUE"""),0.13185)</f>
        <v>0.13185</v>
      </c>
      <c r="L365" s="19" t="str">
        <f>IFERROR(__xludf.DUMMYFUNCTION("""COMPUTED_VALUE"""),"-")</f>
        <v>-</v>
      </c>
      <c r="M365" s="19" t="str">
        <f>IFERROR(__xludf.DUMMYFUNCTION("""COMPUTED_VALUE"""),"-")</f>
        <v>-</v>
      </c>
    </row>
    <row r="366">
      <c r="A366" s="12" t="s">
        <v>9156</v>
      </c>
      <c r="G366" s="19">
        <f>IFERROR(__xludf.DUMMYFUNCTION("SPLIT(A364, "" |"")"),180501.0)</f>
        <v>180501</v>
      </c>
      <c r="H366" s="19">
        <f>IFERROR(__xludf.DUMMYFUNCTION("""COMPUTED_VALUE"""),0.00214)</f>
        <v>0.00214</v>
      </c>
      <c r="I366" s="19" t="str">
        <f>IFERROR(__xludf.DUMMYFUNCTION("""COMPUTED_VALUE"""),"-")</f>
        <v>-</v>
      </c>
      <c r="J366" s="19">
        <f>IFERROR(__xludf.DUMMYFUNCTION("""COMPUTED_VALUE"""),0.0195)</f>
        <v>0.0195</v>
      </c>
      <c r="K366" s="19">
        <f>IFERROR(__xludf.DUMMYFUNCTION("""COMPUTED_VALUE"""),0.12791)</f>
        <v>0.12791</v>
      </c>
      <c r="L366" s="19" t="str">
        <f>IFERROR(__xludf.DUMMYFUNCTION("""COMPUTED_VALUE"""),"-")</f>
        <v>-</v>
      </c>
      <c r="M366" s="19" t="str">
        <f>IFERROR(__xludf.DUMMYFUNCTION("""COMPUTED_VALUE"""),"-")</f>
        <v>-</v>
      </c>
    </row>
    <row r="367">
      <c r="A367" s="12" t="s">
        <v>9157</v>
      </c>
      <c r="G367" s="19">
        <f>IFERROR(__xludf.DUMMYFUNCTION("SPLIT(A365, "" |"")"),181001.0)</f>
        <v>181001</v>
      </c>
      <c r="H367" s="19">
        <f>IFERROR(__xludf.DUMMYFUNCTION("""COMPUTED_VALUE"""),0.00238)</f>
        <v>0.00238</v>
      </c>
      <c r="I367" s="19" t="str">
        <f>IFERROR(__xludf.DUMMYFUNCTION("""COMPUTED_VALUE"""),"-")</f>
        <v>-</v>
      </c>
      <c r="J367" s="19">
        <f>IFERROR(__xludf.DUMMYFUNCTION("""COMPUTED_VALUE"""),0.0198)</f>
        <v>0.0198</v>
      </c>
      <c r="K367" s="19">
        <f>IFERROR(__xludf.DUMMYFUNCTION("""COMPUTED_VALUE"""),0.13057)</f>
        <v>0.13057</v>
      </c>
      <c r="L367" s="19" t="str">
        <f>IFERROR(__xludf.DUMMYFUNCTION("""COMPUTED_VALUE"""),"-")</f>
        <v>-</v>
      </c>
      <c r="M367" s="19" t="str">
        <f>IFERROR(__xludf.DUMMYFUNCTION("""COMPUTED_VALUE"""),"-")</f>
        <v>-</v>
      </c>
    </row>
    <row r="368">
      <c r="A368" s="12" t="s">
        <v>9158</v>
      </c>
      <c r="G368" s="19">
        <f>IFERROR(__xludf.DUMMYFUNCTION("SPLIT(A366, "" |"")"),181501.0)</f>
        <v>181501</v>
      </c>
      <c r="H368" s="19">
        <f>IFERROR(__xludf.DUMMYFUNCTION("""COMPUTED_VALUE"""),0.00234)</f>
        <v>0.00234</v>
      </c>
      <c r="I368" s="19" t="str">
        <f>IFERROR(__xludf.DUMMYFUNCTION("""COMPUTED_VALUE"""),"-")</f>
        <v>-</v>
      </c>
      <c r="J368" s="19">
        <f>IFERROR(__xludf.DUMMYFUNCTION("""COMPUTED_VALUE"""),0.01964)</f>
        <v>0.01964</v>
      </c>
      <c r="K368" s="19">
        <f>IFERROR(__xludf.DUMMYFUNCTION("""COMPUTED_VALUE"""),0.13091)</f>
        <v>0.13091</v>
      </c>
      <c r="L368" s="19" t="str">
        <f>IFERROR(__xludf.DUMMYFUNCTION("""COMPUTED_VALUE"""),"-")</f>
        <v>-</v>
      </c>
      <c r="M368" s="19" t="str">
        <f>IFERROR(__xludf.DUMMYFUNCTION("""COMPUTED_VALUE"""),"-")</f>
        <v>-</v>
      </c>
    </row>
    <row r="369">
      <c r="A369" s="12" t="s">
        <v>9159</v>
      </c>
      <c r="G369" s="19">
        <f>IFERROR(__xludf.DUMMYFUNCTION("SPLIT(A367, "" |"")"),182001.0)</f>
        <v>182001</v>
      </c>
      <c r="H369" s="19">
        <f>IFERROR(__xludf.DUMMYFUNCTION("""COMPUTED_VALUE"""),0.00487)</f>
        <v>0.00487</v>
      </c>
      <c r="I369" s="19" t="str">
        <f>IFERROR(__xludf.DUMMYFUNCTION("""COMPUTED_VALUE"""),"-")</f>
        <v>-</v>
      </c>
      <c r="J369" s="19">
        <f>IFERROR(__xludf.DUMMYFUNCTION("""COMPUTED_VALUE"""),0.01967)</f>
        <v>0.01967</v>
      </c>
      <c r="K369" s="19">
        <f>IFERROR(__xludf.DUMMYFUNCTION("""COMPUTED_VALUE"""),0.13228)</f>
        <v>0.13228</v>
      </c>
      <c r="L369" s="19" t="str">
        <f>IFERROR(__xludf.DUMMYFUNCTION("""COMPUTED_VALUE"""),"-")</f>
        <v>-</v>
      </c>
      <c r="M369" s="19" t="str">
        <f>IFERROR(__xludf.DUMMYFUNCTION("""COMPUTED_VALUE"""),"-")</f>
        <v>-</v>
      </c>
    </row>
    <row r="370">
      <c r="A370" s="12" t="s">
        <v>9160</v>
      </c>
      <c r="G370" s="19">
        <f>IFERROR(__xludf.DUMMYFUNCTION("SPLIT(A368, "" |"")"),182501.0)</f>
        <v>182501</v>
      </c>
      <c r="H370" s="19">
        <f>IFERROR(__xludf.DUMMYFUNCTION("""COMPUTED_VALUE"""),0.00232)</f>
        <v>0.00232</v>
      </c>
      <c r="I370" s="19" t="str">
        <f>IFERROR(__xludf.DUMMYFUNCTION("""COMPUTED_VALUE"""),"-")</f>
        <v>-</v>
      </c>
      <c r="J370" s="19">
        <f>IFERROR(__xludf.DUMMYFUNCTION("""COMPUTED_VALUE"""),0.01963)</f>
        <v>0.01963</v>
      </c>
      <c r="K370" s="19">
        <f>IFERROR(__xludf.DUMMYFUNCTION("""COMPUTED_VALUE"""),0.13142)</f>
        <v>0.13142</v>
      </c>
      <c r="L370" s="19" t="str">
        <f>IFERROR(__xludf.DUMMYFUNCTION("""COMPUTED_VALUE"""),"-")</f>
        <v>-</v>
      </c>
      <c r="M370" s="19" t="str">
        <f>IFERROR(__xludf.DUMMYFUNCTION("""COMPUTED_VALUE"""),"-")</f>
        <v>-</v>
      </c>
    </row>
    <row r="371">
      <c r="A371" s="12" t="s">
        <v>9161</v>
      </c>
      <c r="G371" s="19">
        <f>IFERROR(__xludf.DUMMYFUNCTION("SPLIT(A369, "" |"")"),183001.0)</f>
        <v>183001</v>
      </c>
      <c r="H371" s="19">
        <f>IFERROR(__xludf.DUMMYFUNCTION("""COMPUTED_VALUE"""),0.00227)</f>
        <v>0.00227</v>
      </c>
      <c r="I371" s="19" t="str">
        <f>IFERROR(__xludf.DUMMYFUNCTION("""COMPUTED_VALUE"""),"-")</f>
        <v>-</v>
      </c>
      <c r="J371" s="19">
        <f>IFERROR(__xludf.DUMMYFUNCTION("""COMPUTED_VALUE"""),0.01953)</f>
        <v>0.01953</v>
      </c>
      <c r="K371" s="19">
        <f>IFERROR(__xludf.DUMMYFUNCTION("""COMPUTED_VALUE"""),0.13191)</f>
        <v>0.13191</v>
      </c>
      <c r="L371" s="19" t="str">
        <f>IFERROR(__xludf.DUMMYFUNCTION("""COMPUTED_VALUE"""),"-")</f>
        <v>-</v>
      </c>
      <c r="M371" s="19" t="str">
        <f>IFERROR(__xludf.DUMMYFUNCTION("""COMPUTED_VALUE"""),"-")</f>
        <v>-</v>
      </c>
    </row>
    <row r="372">
      <c r="A372" s="12" t="s">
        <v>9162</v>
      </c>
      <c r="G372" s="19">
        <f>IFERROR(__xludf.DUMMYFUNCTION("SPLIT(A370, "" |"")"),183501.0)</f>
        <v>183501</v>
      </c>
      <c r="H372" s="19">
        <f>IFERROR(__xludf.DUMMYFUNCTION("""COMPUTED_VALUE"""),0.00472)</f>
        <v>0.00472</v>
      </c>
      <c r="I372" s="19" t="str">
        <f>IFERROR(__xludf.DUMMYFUNCTION("""COMPUTED_VALUE"""),"-")</f>
        <v>-</v>
      </c>
      <c r="J372" s="19">
        <f>IFERROR(__xludf.DUMMYFUNCTION("""COMPUTED_VALUE"""),0.01968)</f>
        <v>0.01968</v>
      </c>
      <c r="K372" s="19">
        <f>IFERROR(__xludf.DUMMYFUNCTION("""COMPUTED_VALUE"""),0.13175)</f>
        <v>0.13175</v>
      </c>
      <c r="L372" s="19" t="str">
        <f>IFERROR(__xludf.DUMMYFUNCTION("""COMPUTED_VALUE"""),"-")</f>
        <v>-</v>
      </c>
      <c r="M372" s="19" t="str">
        <f>IFERROR(__xludf.DUMMYFUNCTION("""COMPUTED_VALUE"""),"-")</f>
        <v>-</v>
      </c>
    </row>
    <row r="373">
      <c r="A373" s="12" t="s">
        <v>9163</v>
      </c>
      <c r="G373" s="19">
        <f>IFERROR(__xludf.DUMMYFUNCTION("SPLIT(A371, "" |"")"),184001.0)</f>
        <v>184001</v>
      </c>
      <c r="H373" s="19">
        <f>IFERROR(__xludf.DUMMYFUNCTION("""COMPUTED_VALUE"""),0.00479)</f>
        <v>0.00479</v>
      </c>
      <c r="I373" s="19" t="str">
        <f>IFERROR(__xludf.DUMMYFUNCTION("""COMPUTED_VALUE"""),"-")</f>
        <v>-</v>
      </c>
      <c r="J373" s="19">
        <f>IFERROR(__xludf.DUMMYFUNCTION("""COMPUTED_VALUE"""),0.01968)</f>
        <v>0.01968</v>
      </c>
      <c r="K373" s="19">
        <f>IFERROR(__xludf.DUMMYFUNCTION("""COMPUTED_VALUE"""),0.1319)</f>
        <v>0.1319</v>
      </c>
      <c r="L373" s="19" t="str">
        <f>IFERROR(__xludf.DUMMYFUNCTION("""COMPUTED_VALUE"""),"-")</f>
        <v>-</v>
      </c>
      <c r="M373" s="19" t="str">
        <f>IFERROR(__xludf.DUMMYFUNCTION("""COMPUTED_VALUE"""),"-")</f>
        <v>-</v>
      </c>
    </row>
    <row r="374">
      <c r="A374" s="12" t="s">
        <v>9164</v>
      </c>
      <c r="G374" s="19">
        <f>IFERROR(__xludf.DUMMYFUNCTION("SPLIT(A372, "" |"")"),184501.0)</f>
        <v>184501</v>
      </c>
      <c r="H374" s="19">
        <f>IFERROR(__xludf.DUMMYFUNCTION("""COMPUTED_VALUE"""),0.00478)</f>
        <v>0.00478</v>
      </c>
      <c r="I374" s="19" t="str">
        <f>IFERROR(__xludf.DUMMYFUNCTION("""COMPUTED_VALUE"""),"-")</f>
        <v>-</v>
      </c>
      <c r="J374" s="19">
        <f>IFERROR(__xludf.DUMMYFUNCTION("""COMPUTED_VALUE"""),0.01957)</f>
        <v>0.01957</v>
      </c>
      <c r="K374" s="19">
        <f>IFERROR(__xludf.DUMMYFUNCTION("""COMPUTED_VALUE"""),0.13013)</f>
        <v>0.13013</v>
      </c>
      <c r="L374" s="19" t="str">
        <f>IFERROR(__xludf.DUMMYFUNCTION("""COMPUTED_VALUE"""),"-")</f>
        <v>-</v>
      </c>
      <c r="M374" s="19" t="str">
        <f>IFERROR(__xludf.DUMMYFUNCTION("""COMPUTED_VALUE"""),"-")</f>
        <v>-</v>
      </c>
    </row>
    <row r="375">
      <c r="A375" s="12" t="s">
        <v>9165</v>
      </c>
      <c r="G375" s="19">
        <f>IFERROR(__xludf.DUMMYFUNCTION("SPLIT(A373, "" |"")"),185001.0)</f>
        <v>185001</v>
      </c>
      <c r="H375" s="19">
        <f>IFERROR(__xludf.DUMMYFUNCTION("""COMPUTED_VALUE"""),0.00232)</f>
        <v>0.00232</v>
      </c>
      <c r="I375" s="19" t="str">
        <f>IFERROR(__xludf.DUMMYFUNCTION("""COMPUTED_VALUE"""),"-")</f>
        <v>-</v>
      </c>
      <c r="J375" s="19">
        <f>IFERROR(__xludf.DUMMYFUNCTION("""COMPUTED_VALUE"""),0.01953)</f>
        <v>0.01953</v>
      </c>
      <c r="K375" s="19">
        <f>IFERROR(__xludf.DUMMYFUNCTION("""COMPUTED_VALUE"""),0.13192)</f>
        <v>0.13192</v>
      </c>
      <c r="L375" s="19" t="str">
        <f>IFERROR(__xludf.DUMMYFUNCTION("""COMPUTED_VALUE"""),"-")</f>
        <v>-</v>
      </c>
      <c r="M375" s="19" t="str">
        <f>IFERROR(__xludf.DUMMYFUNCTION("""COMPUTED_VALUE"""),"-")</f>
        <v>-</v>
      </c>
    </row>
    <row r="376">
      <c r="A376" s="12" t="s">
        <v>9166</v>
      </c>
      <c r="G376" s="19">
        <f>IFERROR(__xludf.DUMMYFUNCTION("SPLIT(A374, "" |"")"),185501.0)</f>
        <v>185501</v>
      </c>
      <c r="H376" s="19">
        <f>IFERROR(__xludf.DUMMYFUNCTION("""COMPUTED_VALUE"""),0.00216)</f>
        <v>0.00216</v>
      </c>
      <c r="I376" s="19" t="str">
        <f>IFERROR(__xludf.DUMMYFUNCTION("""COMPUTED_VALUE"""),"-")</f>
        <v>-</v>
      </c>
      <c r="J376" s="19">
        <f>IFERROR(__xludf.DUMMYFUNCTION("""COMPUTED_VALUE"""),0.01948)</f>
        <v>0.01948</v>
      </c>
      <c r="K376" s="19">
        <f>IFERROR(__xludf.DUMMYFUNCTION("""COMPUTED_VALUE"""),0.13171)</f>
        <v>0.13171</v>
      </c>
      <c r="L376" s="19" t="str">
        <f>IFERROR(__xludf.DUMMYFUNCTION("""COMPUTED_VALUE"""),"-")</f>
        <v>-</v>
      </c>
      <c r="M376" s="19" t="str">
        <f>IFERROR(__xludf.DUMMYFUNCTION("""COMPUTED_VALUE"""),"-")</f>
        <v>-</v>
      </c>
    </row>
    <row r="377">
      <c r="A377" s="12" t="s">
        <v>9167</v>
      </c>
      <c r="G377" s="19">
        <f>IFERROR(__xludf.DUMMYFUNCTION("SPLIT(A375, "" |"")"),186001.0)</f>
        <v>186001</v>
      </c>
      <c r="H377" s="19">
        <f>IFERROR(__xludf.DUMMYFUNCTION("""COMPUTED_VALUE"""),0.00466)</f>
        <v>0.00466</v>
      </c>
      <c r="I377" s="19" t="str">
        <f>IFERROR(__xludf.DUMMYFUNCTION("""COMPUTED_VALUE"""),"-")</f>
        <v>-</v>
      </c>
      <c r="J377" s="19">
        <f>IFERROR(__xludf.DUMMYFUNCTION("""COMPUTED_VALUE"""),0.0196)</f>
        <v>0.0196</v>
      </c>
      <c r="K377" s="19">
        <f>IFERROR(__xludf.DUMMYFUNCTION("""COMPUTED_VALUE"""),0.13171)</f>
        <v>0.13171</v>
      </c>
      <c r="L377" s="19" t="str">
        <f>IFERROR(__xludf.DUMMYFUNCTION("""COMPUTED_VALUE"""),"-")</f>
        <v>-</v>
      </c>
      <c r="M377" s="19" t="str">
        <f>IFERROR(__xludf.DUMMYFUNCTION("""COMPUTED_VALUE"""),"-")</f>
        <v>-</v>
      </c>
    </row>
    <row r="378">
      <c r="A378" s="12" t="s">
        <v>9168</v>
      </c>
      <c r="G378" s="19">
        <f>IFERROR(__xludf.DUMMYFUNCTION("SPLIT(A376, "" |"")"),186501.0)</f>
        <v>186501</v>
      </c>
      <c r="H378" s="19">
        <f>IFERROR(__xludf.DUMMYFUNCTION("""COMPUTED_VALUE"""),0.00467)</f>
        <v>0.00467</v>
      </c>
      <c r="I378" s="19" t="str">
        <f>IFERROR(__xludf.DUMMYFUNCTION("""COMPUTED_VALUE"""),"-")</f>
        <v>-</v>
      </c>
      <c r="J378" s="19">
        <f>IFERROR(__xludf.DUMMYFUNCTION("""COMPUTED_VALUE"""),0.01976)</f>
        <v>0.01976</v>
      </c>
      <c r="K378" s="19">
        <f>IFERROR(__xludf.DUMMYFUNCTION("""COMPUTED_VALUE"""),0.13204)</f>
        <v>0.13204</v>
      </c>
      <c r="L378" s="19" t="str">
        <f>IFERROR(__xludf.DUMMYFUNCTION("""COMPUTED_VALUE"""),"-")</f>
        <v>-</v>
      </c>
      <c r="M378" s="19" t="str">
        <f>IFERROR(__xludf.DUMMYFUNCTION("""COMPUTED_VALUE"""),"-")</f>
        <v>-</v>
      </c>
    </row>
    <row r="379">
      <c r="A379" s="12" t="s">
        <v>9169</v>
      </c>
      <c r="G379" s="19">
        <f>IFERROR(__xludf.DUMMYFUNCTION("SPLIT(A377, "" |"")"),187001.0)</f>
        <v>187001</v>
      </c>
      <c r="H379" s="19">
        <f>IFERROR(__xludf.DUMMYFUNCTION("""COMPUTED_VALUE"""),0.00481)</f>
        <v>0.00481</v>
      </c>
      <c r="I379" s="19" t="str">
        <f>IFERROR(__xludf.DUMMYFUNCTION("""COMPUTED_VALUE"""),"-")</f>
        <v>-</v>
      </c>
      <c r="J379" s="19">
        <f>IFERROR(__xludf.DUMMYFUNCTION("""COMPUTED_VALUE"""),0.01963)</f>
        <v>0.01963</v>
      </c>
      <c r="K379" s="19">
        <f>IFERROR(__xludf.DUMMYFUNCTION("""COMPUTED_VALUE"""),0.13182)</f>
        <v>0.13182</v>
      </c>
      <c r="L379" s="19" t="str">
        <f>IFERROR(__xludf.DUMMYFUNCTION("""COMPUTED_VALUE"""),"-")</f>
        <v>-</v>
      </c>
      <c r="M379" s="19" t="str">
        <f>IFERROR(__xludf.DUMMYFUNCTION("""COMPUTED_VALUE"""),"-")</f>
        <v>-</v>
      </c>
    </row>
    <row r="380">
      <c r="A380" s="12" t="s">
        <v>9170</v>
      </c>
      <c r="G380" s="19">
        <f>IFERROR(__xludf.DUMMYFUNCTION("SPLIT(A378, "" |"")"),187501.0)</f>
        <v>187501</v>
      </c>
      <c r="H380" s="19">
        <f>IFERROR(__xludf.DUMMYFUNCTION("""COMPUTED_VALUE"""),0.00211)</f>
        <v>0.00211</v>
      </c>
      <c r="I380" s="19" t="str">
        <f>IFERROR(__xludf.DUMMYFUNCTION("""COMPUTED_VALUE"""),"-")</f>
        <v>-</v>
      </c>
      <c r="J380" s="19">
        <f>IFERROR(__xludf.DUMMYFUNCTION("""COMPUTED_VALUE"""),0.01958)</f>
        <v>0.01958</v>
      </c>
      <c r="K380" s="19">
        <f>IFERROR(__xludf.DUMMYFUNCTION("""COMPUTED_VALUE"""),0.12928)</f>
        <v>0.12928</v>
      </c>
      <c r="L380" s="19" t="str">
        <f>IFERROR(__xludf.DUMMYFUNCTION("""COMPUTED_VALUE"""),"-")</f>
        <v>-</v>
      </c>
      <c r="M380" s="19" t="str">
        <f>IFERROR(__xludf.DUMMYFUNCTION("""COMPUTED_VALUE"""),"-")</f>
        <v>-</v>
      </c>
    </row>
    <row r="381">
      <c r="A381" s="12" t="s">
        <v>9171</v>
      </c>
      <c r="G381" s="19">
        <f>IFERROR(__xludf.DUMMYFUNCTION("SPLIT(A379, "" |"")"),188001.0)</f>
        <v>188001</v>
      </c>
      <c r="H381" s="19">
        <f>IFERROR(__xludf.DUMMYFUNCTION("""COMPUTED_VALUE"""),0.00241)</f>
        <v>0.00241</v>
      </c>
      <c r="I381" s="19" t="str">
        <f>IFERROR(__xludf.DUMMYFUNCTION("""COMPUTED_VALUE"""),"-")</f>
        <v>-</v>
      </c>
      <c r="J381" s="19">
        <f>IFERROR(__xludf.DUMMYFUNCTION("""COMPUTED_VALUE"""),0.01972)</f>
        <v>0.01972</v>
      </c>
      <c r="K381" s="19">
        <f>IFERROR(__xludf.DUMMYFUNCTION("""COMPUTED_VALUE"""),0.12737)</f>
        <v>0.12737</v>
      </c>
      <c r="L381" s="19" t="str">
        <f>IFERROR(__xludf.DUMMYFUNCTION("""COMPUTED_VALUE"""),"-")</f>
        <v>-</v>
      </c>
      <c r="M381" s="19" t="str">
        <f>IFERROR(__xludf.DUMMYFUNCTION("""COMPUTED_VALUE"""),"-")</f>
        <v>-</v>
      </c>
    </row>
    <row r="382">
      <c r="A382" s="12" t="s">
        <v>9172</v>
      </c>
      <c r="G382" s="19">
        <f>IFERROR(__xludf.DUMMYFUNCTION("SPLIT(A380, "" |"")"),188501.0)</f>
        <v>188501</v>
      </c>
      <c r="H382" s="19">
        <f>IFERROR(__xludf.DUMMYFUNCTION("""COMPUTED_VALUE"""),0.00484)</f>
        <v>0.00484</v>
      </c>
      <c r="I382" s="19" t="str">
        <f>IFERROR(__xludf.DUMMYFUNCTION("""COMPUTED_VALUE"""),"-")</f>
        <v>-</v>
      </c>
      <c r="J382" s="19">
        <f>IFERROR(__xludf.DUMMYFUNCTION("""COMPUTED_VALUE"""),0.01982)</f>
        <v>0.01982</v>
      </c>
      <c r="K382" s="19">
        <f>IFERROR(__xludf.DUMMYFUNCTION("""COMPUTED_VALUE"""),0.12529)</f>
        <v>0.12529</v>
      </c>
      <c r="L382" s="19" t="str">
        <f>IFERROR(__xludf.DUMMYFUNCTION("""COMPUTED_VALUE"""),"-")</f>
        <v>-</v>
      </c>
      <c r="M382" s="19" t="str">
        <f>IFERROR(__xludf.DUMMYFUNCTION("""COMPUTED_VALUE"""),"-")</f>
        <v>-</v>
      </c>
    </row>
    <row r="383">
      <c r="A383" s="12" t="s">
        <v>9173</v>
      </c>
      <c r="G383" s="19">
        <f>IFERROR(__xludf.DUMMYFUNCTION("SPLIT(A381, "" |"")"),189001.0)</f>
        <v>189001</v>
      </c>
      <c r="H383" s="19">
        <f>IFERROR(__xludf.DUMMYFUNCTION("""COMPUTED_VALUE"""),0.00489)</f>
        <v>0.00489</v>
      </c>
      <c r="I383" s="19" t="str">
        <f>IFERROR(__xludf.DUMMYFUNCTION("""COMPUTED_VALUE"""),"-")</f>
        <v>-</v>
      </c>
      <c r="J383" s="19">
        <f>IFERROR(__xludf.DUMMYFUNCTION("""COMPUTED_VALUE"""),0.01974)</f>
        <v>0.01974</v>
      </c>
      <c r="K383" s="19">
        <f>IFERROR(__xludf.DUMMYFUNCTION("""COMPUTED_VALUE"""),0.13098)</f>
        <v>0.13098</v>
      </c>
      <c r="L383" s="19" t="str">
        <f>IFERROR(__xludf.DUMMYFUNCTION("""COMPUTED_VALUE"""),"-")</f>
        <v>-</v>
      </c>
      <c r="M383" s="19" t="str">
        <f>IFERROR(__xludf.DUMMYFUNCTION("""COMPUTED_VALUE"""),"-")</f>
        <v>-</v>
      </c>
    </row>
    <row r="384">
      <c r="A384" s="12" t="s">
        <v>9174</v>
      </c>
      <c r="G384" s="19">
        <f>IFERROR(__xludf.DUMMYFUNCTION("SPLIT(A382, "" |"")"),189501.0)</f>
        <v>189501</v>
      </c>
      <c r="H384" s="19">
        <f>IFERROR(__xludf.DUMMYFUNCTION("""COMPUTED_VALUE"""),0.00224)</f>
        <v>0.00224</v>
      </c>
      <c r="I384" s="19" t="str">
        <f>IFERROR(__xludf.DUMMYFUNCTION("""COMPUTED_VALUE"""),"-")</f>
        <v>-</v>
      </c>
      <c r="J384" s="19">
        <f>IFERROR(__xludf.DUMMYFUNCTION("""COMPUTED_VALUE"""),0.01962)</f>
        <v>0.01962</v>
      </c>
      <c r="K384" s="19">
        <f>IFERROR(__xludf.DUMMYFUNCTION("""COMPUTED_VALUE"""),0.12483)</f>
        <v>0.12483</v>
      </c>
      <c r="L384" s="19" t="str">
        <f>IFERROR(__xludf.DUMMYFUNCTION("""COMPUTED_VALUE"""),"-")</f>
        <v>-</v>
      </c>
      <c r="M384" s="19" t="str">
        <f>IFERROR(__xludf.DUMMYFUNCTION("""COMPUTED_VALUE"""),"-")</f>
        <v>-</v>
      </c>
    </row>
    <row r="385">
      <c r="A385" s="12" t="s">
        <v>9175</v>
      </c>
      <c r="G385" s="19">
        <f>IFERROR(__xludf.DUMMYFUNCTION("SPLIT(A383, "" |"")"),190001.0)</f>
        <v>190001</v>
      </c>
      <c r="H385" s="19">
        <f>IFERROR(__xludf.DUMMYFUNCTION("""COMPUTED_VALUE"""),0.00234)</f>
        <v>0.00234</v>
      </c>
      <c r="I385" s="19" t="str">
        <f>IFERROR(__xludf.DUMMYFUNCTION("""COMPUTED_VALUE"""),"-")</f>
        <v>-</v>
      </c>
      <c r="J385" s="19">
        <f>IFERROR(__xludf.DUMMYFUNCTION("""COMPUTED_VALUE"""),0.01958)</f>
        <v>0.01958</v>
      </c>
      <c r="K385" s="19">
        <f>IFERROR(__xludf.DUMMYFUNCTION("""COMPUTED_VALUE"""),0.12759)</f>
        <v>0.12759</v>
      </c>
      <c r="L385" s="19" t="str">
        <f>IFERROR(__xludf.DUMMYFUNCTION("""COMPUTED_VALUE"""),"-")</f>
        <v>-</v>
      </c>
      <c r="M385" s="19" t="str">
        <f>IFERROR(__xludf.DUMMYFUNCTION("""COMPUTED_VALUE"""),"-")</f>
        <v>-</v>
      </c>
    </row>
    <row r="386">
      <c r="A386" s="12" t="s">
        <v>9176</v>
      </c>
      <c r="G386" s="19">
        <f>IFERROR(__xludf.DUMMYFUNCTION("SPLIT(A384, "" |"")"),190501.0)</f>
        <v>190501</v>
      </c>
      <c r="H386" s="19">
        <f>IFERROR(__xludf.DUMMYFUNCTION("""COMPUTED_VALUE"""),0.00223)</f>
        <v>0.00223</v>
      </c>
      <c r="I386" s="19" t="str">
        <f>IFERROR(__xludf.DUMMYFUNCTION("""COMPUTED_VALUE"""),"-")</f>
        <v>-</v>
      </c>
      <c r="J386" s="19">
        <f>IFERROR(__xludf.DUMMYFUNCTION("""COMPUTED_VALUE"""),0.01965)</f>
        <v>0.01965</v>
      </c>
      <c r="K386" s="19">
        <f>IFERROR(__xludf.DUMMYFUNCTION("""COMPUTED_VALUE"""),0.1302)</f>
        <v>0.1302</v>
      </c>
      <c r="L386" s="19" t="str">
        <f>IFERROR(__xludf.DUMMYFUNCTION("""COMPUTED_VALUE"""),"-")</f>
        <v>-</v>
      </c>
      <c r="M386" s="19" t="str">
        <f>IFERROR(__xludf.DUMMYFUNCTION("""COMPUTED_VALUE"""),"-")</f>
        <v>-</v>
      </c>
    </row>
    <row r="387">
      <c r="A387" s="12" t="s">
        <v>9177</v>
      </c>
      <c r="G387" s="19">
        <f>IFERROR(__xludf.DUMMYFUNCTION("SPLIT(A385, "" |"")"),191001.0)</f>
        <v>191001</v>
      </c>
      <c r="H387" s="19">
        <f>IFERROR(__xludf.DUMMYFUNCTION("""COMPUTED_VALUE"""),0.00232)</f>
        <v>0.00232</v>
      </c>
      <c r="I387" s="19" t="str">
        <f>IFERROR(__xludf.DUMMYFUNCTION("""COMPUTED_VALUE"""),"-")</f>
        <v>-</v>
      </c>
      <c r="J387" s="19">
        <f>IFERROR(__xludf.DUMMYFUNCTION("""COMPUTED_VALUE"""),0.01958)</f>
        <v>0.01958</v>
      </c>
      <c r="K387" s="19">
        <f>IFERROR(__xludf.DUMMYFUNCTION("""COMPUTED_VALUE"""),0.12919)</f>
        <v>0.12919</v>
      </c>
      <c r="L387" s="19" t="str">
        <f>IFERROR(__xludf.DUMMYFUNCTION("""COMPUTED_VALUE"""),"-")</f>
        <v>-</v>
      </c>
      <c r="M387" s="19" t="str">
        <f>IFERROR(__xludf.DUMMYFUNCTION("""COMPUTED_VALUE"""),"-")</f>
        <v>-</v>
      </c>
    </row>
    <row r="388">
      <c r="A388" s="12" t="s">
        <v>9178</v>
      </c>
      <c r="G388" s="19">
        <f>IFERROR(__xludf.DUMMYFUNCTION("SPLIT(A386, "" |"")"),191501.0)</f>
        <v>191501</v>
      </c>
      <c r="H388" s="19">
        <f>IFERROR(__xludf.DUMMYFUNCTION("""COMPUTED_VALUE"""),0.00234)</f>
        <v>0.00234</v>
      </c>
      <c r="I388" s="19" t="str">
        <f>IFERROR(__xludf.DUMMYFUNCTION("""COMPUTED_VALUE"""),"-")</f>
        <v>-</v>
      </c>
      <c r="J388" s="19">
        <f>IFERROR(__xludf.DUMMYFUNCTION("""COMPUTED_VALUE"""),0.01951)</f>
        <v>0.01951</v>
      </c>
      <c r="K388" s="19">
        <f>IFERROR(__xludf.DUMMYFUNCTION("""COMPUTED_VALUE"""),0.13186)</f>
        <v>0.13186</v>
      </c>
      <c r="L388" s="19" t="str">
        <f>IFERROR(__xludf.DUMMYFUNCTION("""COMPUTED_VALUE"""),"-")</f>
        <v>-</v>
      </c>
      <c r="M388" s="19" t="str">
        <f>IFERROR(__xludf.DUMMYFUNCTION("""COMPUTED_VALUE"""),"-")</f>
        <v>-</v>
      </c>
    </row>
    <row r="389">
      <c r="A389" s="12" t="s">
        <v>9179</v>
      </c>
      <c r="G389" s="19">
        <f>IFERROR(__xludf.DUMMYFUNCTION("SPLIT(A387, "" |"")"),192001.0)</f>
        <v>192001</v>
      </c>
      <c r="H389" s="19">
        <f>IFERROR(__xludf.DUMMYFUNCTION("""COMPUTED_VALUE"""),0.00482)</f>
        <v>0.00482</v>
      </c>
      <c r="I389" s="19" t="str">
        <f>IFERROR(__xludf.DUMMYFUNCTION("""COMPUTED_VALUE"""),"-")</f>
        <v>-</v>
      </c>
      <c r="J389" s="19">
        <f>IFERROR(__xludf.DUMMYFUNCTION("""COMPUTED_VALUE"""),0.0197)</f>
        <v>0.0197</v>
      </c>
      <c r="K389" s="19">
        <f>IFERROR(__xludf.DUMMYFUNCTION("""COMPUTED_VALUE"""),0.13183)</f>
        <v>0.13183</v>
      </c>
      <c r="L389" s="19" t="str">
        <f>IFERROR(__xludf.DUMMYFUNCTION("""COMPUTED_VALUE"""),"-")</f>
        <v>-</v>
      </c>
      <c r="M389" s="19" t="str">
        <f>IFERROR(__xludf.DUMMYFUNCTION("""COMPUTED_VALUE"""),"-")</f>
        <v>-</v>
      </c>
    </row>
    <row r="390">
      <c r="A390" s="12" t="s">
        <v>9180</v>
      </c>
      <c r="G390" s="19">
        <f>IFERROR(__xludf.DUMMYFUNCTION("SPLIT(A388, "" |"")"),192501.0)</f>
        <v>192501</v>
      </c>
      <c r="H390" s="19">
        <f>IFERROR(__xludf.DUMMYFUNCTION("""COMPUTED_VALUE"""),0.00493)</f>
        <v>0.00493</v>
      </c>
      <c r="I390" s="19" t="str">
        <f>IFERROR(__xludf.DUMMYFUNCTION("""COMPUTED_VALUE"""),"-")</f>
        <v>-</v>
      </c>
      <c r="J390" s="19">
        <f>IFERROR(__xludf.DUMMYFUNCTION("""COMPUTED_VALUE"""),0.01964)</f>
        <v>0.01964</v>
      </c>
      <c r="K390" s="19">
        <f>IFERROR(__xludf.DUMMYFUNCTION("""COMPUTED_VALUE"""),0.1319)</f>
        <v>0.1319</v>
      </c>
      <c r="L390" s="19" t="str">
        <f>IFERROR(__xludf.DUMMYFUNCTION("""COMPUTED_VALUE"""),"-")</f>
        <v>-</v>
      </c>
      <c r="M390" s="19" t="str">
        <f>IFERROR(__xludf.DUMMYFUNCTION("""COMPUTED_VALUE"""),"-")</f>
        <v>-</v>
      </c>
    </row>
    <row r="391">
      <c r="A391" s="12" t="s">
        <v>9181</v>
      </c>
      <c r="G391" s="19">
        <f>IFERROR(__xludf.DUMMYFUNCTION("SPLIT(A389, "" |"")"),193001.0)</f>
        <v>193001</v>
      </c>
      <c r="H391" s="19">
        <f>IFERROR(__xludf.DUMMYFUNCTION("""COMPUTED_VALUE"""),0.00211)</f>
        <v>0.00211</v>
      </c>
      <c r="I391" s="19" t="str">
        <f>IFERROR(__xludf.DUMMYFUNCTION("""COMPUTED_VALUE"""),"-")</f>
        <v>-</v>
      </c>
      <c r="J391" s="19">
        <f>IFERROR(__xludf.DUMMYFUNCTION("""COMPUTED_VALUE"""),0.01952)</f>
        <v>0.01952</v>
      </c>
      <c r="K391" s="19">
        <f>IFERROR(__xludf.DUMMYFUNCTION("""COMPUTED_VALUE"""),0.13196)</f>
        <v>0.13196</v>
      </c>
      <c r="L391" s="19" t="str">
        <f>IFERROR(__xludf.DUMMYFUNCTION("""COMPUTED_VALUE"""),"-")</f>
        <v>-</v>
      </c>
      <c r="M391" s="19" t="str">
        <f>IFERROR(__xludf.DUMMYFUNCTION("""COMPUTED_VALUE"""),"-")</f>
        <v>-</v>
      </c>
    </row>
    <row r="392">
      <c r="A392" s="12" t="s">
        <v>9182</v>
      </c>
      <c r="G392" s="19">
        <f>IFERROR(__xludf.DUMMYFUNCTION("SPLIT(A390, "" |"")"),193501.0)</f>
        <v>193501</v>
      </c>
      <c r="H392" s="19">
        <f>IFERROR(__xludf.DUMMYFUNCTION("""COMPUTED_VALUE"""),0.00482)</f>
        <v>0.00482</v>
      </c>
      <c r="I392" s="19" t="str">
        <f>IFERROR(__xludf.DUMMYFUNCTION("""COMPUTED_VALUE"""),"-")</f>
        <v>-</v>
      </c>
      <c r="J392" s="19">
        <f>IFERROR(__xludf.DUMMYFUNCTION("""COMPUTED_VALUE"""),0.01974)</f>
        <v>0.01974</v>
      </c>
      <c r="K392" s="19">
        <f>IFERROR(__xludf.DUMMYFUNCTION("""COMPUTED_VALUE"""),0.1275)</f>
        <v>0.1275</v>
      </c>
      <c r="L392" s="19" t="str">
        <f>IFERROR(__xludf.DUMMYFUNCTION("""COMPUTED_VALUE"""),"-")</f>
        <v>-</v>
      </c>
      <c r="M392" s="19" t="str">
        <f>IFERROR(__xludf.DUMMYFUNCTION("""COMPUTED_VALUE"""),"-")</f>
        <v>-</v>
      </c>
    </row>
    <row r="393">
      <c r="A393" s="12" t="s">
        <v>9183</v>
      </c>
      <c r="G393" s="19">
        <f>IFERROR(__xludf.DUMMYFUNCTION("SPLIT(A391, "" |"")"),194001.0)</f>
        <v>194001</v>
      </c>
      <c r="H393" s="19">
        <f>IFERROR(__xludf.DUMMYFUNCTION("""COMPUTED_VALUE"""),0.00228)</f>
        <v>0.00228</v>
      </c>
      <c r="I393" s="19" t="str">
        <f>IFERROR(__xludf.DUMMYFUNCTION("""COMPUTED_VALUE"""),"-")</f>
        <v>-</v>
      </c>
      <c r="J393" s="19">
        <f>IFERROR(__xludf.DUMMYFUNCTION("""COMPUTED_VALUE"""),0.01954)</f>
        <v>0.01954</v>
      </c>
      <c r="K393" s="19">
        <f>IFERROR(__xludf.DUMMYFUNCTION("""COMPUTED_VALUE"""),0.12853)</f>
        <v>0.12853</v>
      </c>
      <c r="L393" s="19" t="str">
        <f>IFERROR(__xludf.DUMMYFUNCTION("""COMPUTED_VALUE"""),"-")</f>
        <v>-</v>
      </c>
      <c r="M393" s="19" t="str">
        <f>IFERROR(__xludf.DUMMYFUNCTION("""COMPUTED_VALUE"""),"-")</f>
        <v>-</v>
      </c>
    </row>
    <row r="394">
      <c r="A394" s="12" t="s">
        <v>9184</v>
      </c>
      <c r="G394" s="19">
        <f>IFERROR(__xludf.DUMMYFUNCTION("SPLIT(A392, "" |"")"),194501.0)</f>
        <v>194501</v>
      </c>
      <c r="H394" s="19">
        <f>IFERROR(__xludf.DUMMYFUNCTION("""COMPUTED_VALUE"""),0.00223)</f>
        <v>0.00223</v>
      </c>
      <c r="I394" s="19" t="str">
        <f>IFERROR(__xludf.DUMMYFUNCTION("""COMPUTED_VALUE"""),"-")</f>
        <v>-</v>
      </c>
      <c r="J394" s="19">
        <f>IFERROR(__xludf.DUMMYFUNCTION("""COMPUTED_VALUE"""),0.01957)</f>
        <v>0.01957</v>
      </c>
      <c r="K394" s="19">
        <f>IFERROR(__xludf.DUMMYFUNCTION("""COMPUTED_VALUE"""),0.13182)</f>
        <v>0.13182</v>
      </c>
      <c r="L394" s="19" t="str">
        <f>IFERROR(__xludf.DUMMYFUNCTION("""COMPUTED_VALUE"""),"-")</f>
        <v>-</v>
      </c>
      <c r="M394" s="19" t="str">
        <f>IFERROR(__xludf.DUMMYFUNCTION("""COMPUTED_VALUE"""),"-")</f>
        <v>-</v>
      </c>
    </row>
    <row r="395">
      <c r="A395" s="12" t="s">
        <v>9185</v>
      </c>
      <c r="G395" s="19">
        <f>IFERROR(__xludf.DUMMYFUNCTION("SPLIT(A393, "" |"")"),195001.0)</f>
        <v>195001</v>
      </c>
      <c r="H395" s="19">
        <f>IFERROR(__xludf.DUMMYFUNCTION("""COMPUTED_VALUE"""),0.00212)</f>
        <v>0.00212</v>
      </c>
      <c r="I395" s="19" t="str">
        <f>IFERROR(__xludf.DUMMYFUNCTION("""COMPUTED_VALUE"""),"-")</f>
        <v>-</v>
      </c>
      <c r="J395" s="19">
        <f>IFERROR(__xludf.DUMMYFUNCTION("""COMPUTED_VALUE"""),0.01954)</f>
        <v>0.01954</v>
      </c>
      <c r="K395" s="19">
        <f>IFERROR(__xludf.DUMMYFUNCTION("""COMPUTED_VALUE"""),0.12951)</f>
        <v>0.12951</v>
      </c>
      <c r="L395" s="19" t="str">
        <f>IFERROR(__xludf.DUMMYFUNCTION("""COMPUTED_VALUE"""),"-")</f>
        <v>-</v>
      </c>
      <c r="M395" s="19" t="str">
        <f>IFERROR(__xludf.DUMMYFUNCTION("""COMPUTED_VALUE"""),"-")</f>
        <v>-</v>
      </c>
    </row>
    <row r="396">
      <c r="A396" s="12" t="s">
        <v>9186</v>
      </c>
      <c r="G396" s="19">
        <f>IFERROR(__xludf.DUMMYFUNCTION("SPLIT(A394, "" |"")"),195501.0)</f>
        <v>195501</v>
      </c>
      <c r="H396" s="19">
        <f>IFERROR(__xludf.DUMMYFUNCTION("""COMPUTED_VALUE"""),0.00459)</f>
        <v>0.00459</v>
      </c>
      <c r="I396" s="19" t="str">
        <f>IFERROR(__xludf.DUMMYFUNCTION("""COMPUTED_VALUE"""),"-")</f>
        <v>-</v>
      </c>
      <c r="J396" s="19">
        <f>IFERROR(__xludf.DUMMYFUNCTION("""COMPUTED_VALUE"""),0.01968)</f>
        <v>0.01968</v>
      </c>
      <c r="K396" s="19">
        <f>IFERROR(__xludf.DUMMYFUNCTION("""COMPUTED_VALUE"""),0.12922)</f>
        <v>0.12922</v>
      </c>
      <c r="L396" s="19" t="str">
        <f>IFERROR(__xludf.DUMMYFUNCTION("""COMPUTED_VALUE"""),"-")</f>
        <v>-</v>
      </c>
      <c r="M396" s="19" t="str">
        <f>IFERROR(__xludf.DUMMYFUNCTION("""COMPUTED_VALUE"""),"-")</f>
        <v>-</v>
      </c>
    </row>
    <row r="397">
      <c r="A397" s="12" t="s">
        <v>9187</v>
      </c>
      <c r="G397" s="19">
        <f>IFERROR(__xludf.DUMMYFUNCTION("SPLIT(A395, "" |"")"),196001.0)</f>
        <v>196001</v>
      </c>
      <c r="H397" s="19">
        <f>IFERROR(__xludf.DUMMYFUNCTION("""COMPUTED_VALUE"""),0.00485)</f>
        <v>0.00485</v>
      </c>
      <c r="I397" s="19" t="str">
        <f>IFERROR(__xludf.DUMMYFUNCTION("""COMPUTED_VALUE"""),"-")</f>
        <v>-</v>
      </c>
      <c r="J397" s="19">
        <f>IFERROR(__xludf.DUMMYFUNCTION("""COMPUTED_VALUE"""),0.01958)</f>
        <v>0.01958</v>
      </c>
      <c r="K397" s="19">
        <f>IFERROR(__xludf.DUMMYFUNCTION("""COMPUTED_VALUE"""),0.13076)</f>
        <v>0.13076</v>
      </c>
      <c r="L397" s="19" t="str">
        <f>IFERROR(__xludf.DUMMYFUNCTION("""COMPUTED_VALUE"""),"-")</f>
        <v>-</v>
      </c>
      <c r="M397" s="19" t="str">
        <f>IFERROR(__xludf.DUMMYFUNCTION("""COMPUTED_VALUE"""),"-")</f>
        <v>-</v>
      </c>
    </row>
    <row r="398">
      <c r="A398" s="12" t="s">
        <v>9188</v>
      </c>
      <c r="G398" s="19">
        <f>IFERROR(__xludf.DUMMYFUNCTION("SPLIT(A396, "" |"")"),196501.0)</f>
        <v>196501</v>
      </c>
      <c r="H398" s="19">
        <f>IFERROR(__xludf.DUMMYFUNCTION("""COMPUTED_VALUE"""),0.00214)</f>
        <v>0.00214</v>
      </c>
      <c r="I398" s="19" t="str">
        <f>IFERROR(__xludf.DUMMYFUNCTION("""COMPUTED_VALUE"""),"-")</f>
        <v>-</v>
      </c>
      <c r="J398" s="19">
        <f>IFERROR(__xludf.DUMMYFUNCTION("""COMPUTED_VALUE"""),0.01967)</f>
        <v>0.01967</v>
      </c>
      <c r="K398" s="19">
        <f>IFERROR(__xludf.DUMMYFUNCTION("""COMPUTED_VALUE"""),0.12857)</f>
        <v>0.12857</v>
      </c>
      <c r="L398" s="19" t="str">
        <f>IFERROR(__xludf.DUMMYFUNCTION("""COMPUTED_VALUE"""),"-")</f>
        <v>-</v>
      </c>
      <c r="M398" s="19" t="str">
        <f>IFERROR(__xludf.DUMMYFUNCTION("""COMPUTED_VALUE"""),"-")</f>
        <v>-</v>
      </c>
    </row>
    <row r="399">
      <c r="A399" s="12" t="s">
        <v>9189</v>
      </c>
      <c r="G399" s="19">
        <f>IFERROR(__xludf.DUMMYFUNCTION("SPLIT(A397, "" |"")"),197001.0)</f>
        <v>197001</v>
      </c>
      <c r="H399" s="19">
        <f>IFERROR(__xludf.DUMMYFUNCTION("""COMPUTED_VALUE"""),0.00473)</f>
        <v>0.00473</v>
      </c>
      <c r="I399" s="19" t="str">
        <f>IFERROR(__xludf.DUMMYFUNCTION("""COMPUTED_VALUE"""),"-")</f>
        <v>-</v>
      </c>
      <c r="J399" s="19">
        <f>IFERROR(__xludf.DUMMYFUNCTION("""COMPUTED_VALUE"""),0.01974)</f>
        <v>0.01974</v>
      </c>
      <c r="K399" s="19">
        <f>IFERROR(__xludf.DUMMYFUNCTION("""COMPUTED_VALUE"""),0.13189)</f>
        <v>0.13189</v>
      </c>
      <c r="L399" s="19" t="str">
        <f>IFERROR(__xludf.DUMMYFUNCTION("""COMPUTED_VALUE"""),"-")</f>
        <v>-</v>
      </c>
      <c r="M399" s="19" t="str">
        <f>IFERROR(__xludf.DUMMYFUNCTION("""COMPUTED_VALUE"""),"-")</f>
        <v>-</v>
      </c>
    </row>
    <row r="400">
      <c r="A400" s="12" t="s">
        <v>9190</v>
      </c>
      <c r="G400" s="19">
        <f>IFERROR(__xludf.DUMMYFUNCTION("SPLIT(A398, "" |"")"),197501.0)</f>
        <v>197501</v>
      </c>
      <c r="H400" s="19">
        <f>IFERROR(__xludf.DUMMYFUNCTION("""COMPUTED_VALUE"""),0.00483)</f>
        <v>0.00483</v>
      </c>
      <c r="I400" s="19" t="str">
        <f>IFERROR(__xludf.DUMMYFUNCTION("""COMPUTED_VALUE"""),"-")</f>
        <v>-</v>
      </c>
      <c r="J400" s="19">
        <f>IFERROR(__xludf.DUMMYFUNCTION("""COMPUTED_VALUE"""),0.0197)</f>
        <v>0.0197</v>
      </c>
      <c r="K400" s="19">
        <f>IFERROR(__xludf.DUMMYFUNCTION("""COMPUTED_VALUE"""),0.12932)</f>
        <v>0.12932</v>
      </c>
      <c r="L400" s="19" t="str">
        <f>IFERROR(__xludf.DUMMYFUNCTION("""COMPUTED_VALUE"""),"-")</f>
        <v>-</v>
      </c>
      <c r="M400" s="19" t="str">
        <f>IFERROR(__xludf.DUMMYFUNCTION("""COMPUTED_VALUE"""),"-")</f>
        <v>-</v>
      </c>
    </row>
    <row r="401">
      <c r="A401" s="12" t="s">
        <v>9191</v>
      </c>
      <c r="G401" s="19">
        <f>IFERROR(__xludf.DUMMYFUNCTION("SPLIT(A399, "" |"")"),198001.0)</f>
        <v>198001</v>
      </c>
      <c r="H401" s="19">
        <f>IFERROR(__xludf.DUMMYFUNCTION("""COMPUTED_VALUE"""),0.00481)</f>
        <v>0.00481</v>
      </c>
      <c r="I401" s="19" t="str">
        <f>IFERROR(__xludf.DUMMYFUNCTION("""COMPUTED_VALUE"""),"-")</f>
        <v>-</v>
      </c>
      <c r="J401" s="19">
        <f>IFERROR(__xludf.DUMMYFUNCTION("""COMPUTED_VALUE"""),0.01965)</f>
        <v>0.01965</v>
      </c>
      <c r="K401" s="19">
        <f>IFERROR(__xludf.DUMMYFUNCTION("""COMPUTED_VALUE"""),0.13193)</f>
        <v>0.13193</v>
      </c>
      <c r="L401" s="19" t="str">
        <f>IFERROR(__xludf.DUMMYFUNCTION("""COMPUTED_VALUE"""),"-")</f>
        <v>-</v>
      </c>
      <c r="M401" s="19" t="str">
        <f>IFERROR(__xludf.DUMMYFUNCTION("""COMPUTED_VALUE"""),"-")</f>
        <v>-</v>
      </c>
    </row>
    <row r="402">
      <c r="A402" s="12" t="s">
        <v>9192</v>
      </c>
      <c r="G402" s="19">
        <f>IFERROR(__xludf.DUMMYFUNCTION("SPLIT(A400, "" |"")"),198501.0)</f>
        <v>198501</v>
      </c>
      <c r="H402" s="19">
        <f>IFERROR(__xludf.DUMMYFUNCTION("""COMPUTED_VALUE"""),0.00474)</f>
        <v>0.00474</v>
      </c>
      <c r="I402" s="19" t="str">
        <f>IFERROR(__xludf.DUMMYFUNCTION("""COMPUTED_VALUE"""),"-")</f>
        <v>-</v>
      </c>
      <c r="J402" s="19">
        <f>IFERROR(__xludf.DUMMYFUNCTION("""COMPUTED_VALUE"""),0.01966)</f>
        <v>0.01966</v>
      </c>
      <c r="K402" s="19">
        <f>IFERROR(__xludf.DUMMYFUNCTION("""COMPUTED_VALUE"""),0.12727)</f>
        <v>0.12727</v>
      </c>
      <c r="L402" s="19" t="str">
        <f>IFERROR(__xludf.DUMMYFUNCTION("""COMPUTED_VALUE"""),"-")</f>
        <v>-</v>
      </c>
      <c r="M402" s="19" t="str">
        <f>IFERROR(__xludf.DUMMYFUNCTION("""COMPUTED_VALUE"""),"-")</f>
        <v>-</v>
      </c>
    </row>
    <row r="403">
      <c r="A403" s="12" t="s">
        <v>9193</v>
      </c>
      <c r="G403" s="19">
        <f>IFERROR(__xludf.DUMMYFUNCTION("SPLIT(A401, "" |"")"),199001.0)</f>
        <v>199001</v>
      </c>
      <c r="H403" s="19">
        <f>IFERROR(__xludf.DUMMYFUNCTION("""COMPUTED_VALUE"""),0.00242)</f>
        <v>0.00242</v>
      </c>
      <c r="I403" s="19" t="str">
        <f>IFERROR(__xludf.DUMMYFUNCTION("""COMPUTED_VALUE"""),"-")</f>
        <v>-</v>
      </c>
      <c r="J403" s="19">
        <f>IFERROR(__xludf.DUMMYFUNCTION("""COMPUTED_VALUE"""),0.01964)</f>
        <v>0.01964</v>
      </c>
      <c r="K403" s="19">
        <f>IFERROR(__xludf.DUMMYFUNCTION("""COMPUTED_VALUE"""),0.13185)</f>
        <v>0.13185</v>
      </c>
      <c r="L403" s="19" t="str">
        <f>IFERROR(__xludf.DUMMYFUNCTION("""COMPUTED_VALUE"""),"-")</f>
        <v>-</v>
      </c>
      <c r="M403" s="19" t="str">
        <f>IFERROR(__xludf.DUMMYFUNCTION("""COMPUTED_VALUE"""),"-")</f>
        <v>-</v>
      </c>
    </row>
    <row r="404">
      <c r="A404" s="12" t="s">
        <v>9194</v>
      </c>
      <c r="G404" s="19">
        <f>IFERROR(__xludf.DUMMYFUNCTION("SPLIT(A402, "" |"")"),199501.0)</f>
        <v>199501</v>
      </c>
      <c r="H404" s="19">
        <f>IFERROR(__xludf.DUMMYFUNCTION("""COMPUTED_VALUE"""),0.00479)</f>
        <v>0.00479</v>
      </c>
      <c r="I404" s="19" t="str">
        <f>IFERROR(__xludf.DUMMYFUNCTION("""COMPUTED_VALUE"""),"-")</f>
        <v>-</v>
      </c>
      <c r="J404" s="19">
        <f>IFERROR(__xludf.DUMMYFUNCTION("""COMPUTED_VALUE"""),0.01966)</f>
        <v>0.01966</v>
      </c>
      <c r="K404" s="19">
        <f>IFERROR(__xludf.DUMMYFUNCTION("""COMPUTED_VALUE"""),0.13188)</f>
        <v>0.13188</v>
      </c>
      <c r="L404" s="19" t="str">
        <f>IFERROR(__xludf.DUMMYFUNCTION("""COMPUTED_VALUE"""),"-")</f>
        <v>-</v>
      </c>
      <c r="M404" s="19" t="str">
        <f>IFERROR(__xludf.DUMMYFUNCTION("""COMPUTED_VALUE"""),"-")</f>
        <v>-</v>
      </c>
    </row>
    <row r="405">
      <c r="A405" s="12" t="s">
        <v>9195</v>
      </c>
      <c r="G405" s="19">
        <f>IFERROR(__xludf.DUMMYFUNCTION("SPLIT(A403, "" |"")"),200001.0)</f>
        <v>200001</v>
      </c>
      <c r="H405" s="19">
        <f>IFERROR(__xludf.DUMMYFUNCTION("""COMPUTED_VALUE"""),0.0049)</f>
        <v>0.0049</v>
      </c>
      <c r="I405" s="19" t="str">
        <f>IFERROR(__xludf.DUMMYFUNCTION("""COMPUTED_VALUE"""),"-")</f>
        <v>-</v>
      </c>
      <c r="J405" s="19">
        <f>IFERROR(__xludf.DUMMYFUNCTION("""COMPUTED_VALUE"""),0.01972)</f>
        <v>0.01972</v>
      </c>
      <c r="K405" s="19">
        <f>IFERROR(__xludf.DUMMYFUNCTION("""COMPUTED_VALUE"""),0.1318)</f>
        <v>0.1318</v>
      </c>
      <c r="L405" s="19" t="str">
        <f>IFERROR(__xludf.DUMMYFUNCTION("""COMPUTED_VALUE"""),"-")</f>
        <v>-</v>
      </c>
      <c r="M405" s="19" t="str">
        <f>IFERROR(__xludf.DUMMYFUNCTION("""COMPUTED_VALUE"""),"-")</f>
        <v>-</v>
      </c>
    </row>
    <row r="406">
      <c r="A406" s="12" t="s">
        <v>9196</v>
      </c>
      <c r="G406" s="19">
        <f>IFERROR(__xludf.DUMMYFUNCTION("SPLIT(A404, "" |"")"),200501.0)</f>
        <v>200501</v>
      </c>
      <c r="H406" s="19">
        <f>IFERROR(__xludf.DUMMYFUNCTION("""COMPUTED_VALUE"""),0.00515)</f>
        <v>0.00515</v>
      </c>
      <c r="I406" s="19" t="str">
        <f>IFERROR(__xludf.DUMMYFUNCTION("""COMPUTED_VALUE"""),"-")</f>
        <v>-</v>
      </c>
      <c r="J406" s="19">
        <f>IFERROR(__xludf.DUMMYFUNCTION("""COMPUTED_VALUE"""),0.01676)</f>
        <v>0.01676</v>
      </c>
      <c r="K406" s="19">
        <f>IFERROR(__xludf.DUMMYFUNCTION("""COMPUTED_VALUE"""),0.13219)</f>
        <v>0.13219</v>
      </c>
      <c r="L406" s="19" t="str">
        <f>IFERROR(__xludf.DUMMYFUNCTION("""COMPUTED_VALUE"""),"-")</f>
        <v>-</v>
      </c>
      <c r="M406" s="19" t="str">
        <f>IFERROR(__xludf.DUMMYFUNCTION("""COMPUTED_VALUE"""),"-")</f>
        <v>-</v>
      </c>
    </row>
    <row r="407">
      <c r="A407" s="12" t="s">
        <v>9197</v>
      </c>
      <c r="G407" s="19">
        <f>IFERROR(__xludf.DUMMYFUNCTION("SPLIT(A405, "" |"")"),201001.0)</f>
        <v>201001</v>
      </c>
      <c r="H407" s="19">
        <f>IFERROR(__xludf.DUMMYFUNCTION("""COMPUTED_VALUE"""),0.00493)</f>
        <v>0.00493</v>
      </c>
      <c r="I407" s="19" t="str">
        <f>IFERROR(__xludf.DUMMYFUNCTION("""COMPUTED_VALUE"""),"-")</f>
        <v>-</v>
      </c>
      <c r="J407" s="19">
        <f>IFERROR(__xludf.DUMMYFUNCTION("""COMPUTED_VALUE"""),0.01975)</f>
        <v>0.01975</v>
      </c>
      <c r="K407" s="19">
        <f>IFERROR(__xludf.DUMMYFUNCTION("""COMPUTED_VALUE"""),0.1229)</f>
        <v>0.1229</v>
      </c>
      <c r="L407" s="19" t="str">
        <f>IFERROR(__xludf.DUMMYFUNCTION("""COMPUTED_VALUE"""),"-")</f>
        <v>-</v>
      </c>
      <c r="M407" s="19" t="str">
        <f>IFERROR(__xludf.DUMMYFUNCTION("""COMPUTED_VALUE"""),"-")</f>
        <v>-</v>
      </c>
    </row>
    <row r="408">
      <c r="A408" s="12" t="s">
        <v>9198</v>
      </c>
      <c r="G408" s="19">
        <f>IFERROR(__xludf.DUMMYFUNCTION("SPLIT(A406, "" |"")"),201501.0)</f>
        <v>201501</v>
      </c>
      <c r="H408" s="19">
        <f>IFERROR(__xludf.DUMMYFUNCTION("""COMPUTED_VALUE"""),0.0021)</f>
        <v>0.0021</v>
      </c>
      <c r="I408" s="19" t="str">
        <f>IFERROR(__xludf.DUMMYFUNCTION("""COMPUTED_VALUE"""),"-")</f>
        <v>-</v>
      </c>
      <c r="J408" s="19">
        <f>IFERROR(__xludf.DUMMYFUNCTION("""COMPUTED_VALUE"""),0.01953)</f>
        <v>0.01953</v>
      </c>
      <c r="K408" s="19">
        <f>IFERROR(__xludf.DUMMYFUNCTION("""COMPUTED_VALUE"""),0.13193)</f>
        <v>0.13193</v>
      </c>
      <c r="L408" s="19" t="str">
        <f>IFERROR(__xludf.DUMMYFUNCTION("""COMPUTED_VALUE"""),"-")</f>
        <v>-</v>
      </c>
      <c r="M408" s="19" t="str">
        <f>IFERROR(__xludf.DUMMYFUNCTION("""COMPUTED_VALUE"""),"-")</f>
        <v>-</v>
      </c>
    </row>
    <row r="409">
      <c r="A409" s="12" t="s">
        <v>9199</v>
      </c>
      <c r="G409" s="19">
        <f>IFERROR(__xludf.DUMMYFUNCTION("SPLIT(A407, "" |"")"),202001.0)</f>
        <v>202001</v>
      </c>
      <c r="H409" s="19">
        <f>IFERROR(__xludf.DUMMYFUNCTION("""COMPUTED_VALUE"""),0.00481)</f>
        <v>0.00481</v>
      </c>
      <c r="I409" s="19" t="str">
        <f>IFERROR(__xludf.DUMMYFUNCTION("""COMPUTED_VALUE"""),"-")</f>
        <v>-</v>
      </c>
      <c r="J409" s="19">
        <f>IFERROR(__xludf.DUMMYFUNCTION("""COMPUTED_VALUE"""),0.01967)</f>
        <v>0.01967</v>
      </c>
      <c r="K409" s="19">
        <f>IFERROR(__xludf.DUMMYFUNCTION("""COMPUTED_VALUE"""),0.13182)</f>
        <v>0.13182</v>
      </c>
      <c r="L409" s="19" t="str">
        <f>IFERROR(__xludf.DUMMYFUNCTION("""COMPUTED_VALUE"""),"-")</f>
        <v>-</v>
      </c>
      <c r="M409" s="19" t="str">
        <f>IFERROR(__xludf.DUMMYFUNCTION("""COMPUTED_VALUE"""),"-")</f>
        <v>-</v>
      </c>
    </row>
    <row r="410">
      <c r="A410" s="12" t="s">
        <v>9200</v>
      </c>
      <c r="G410" s="19">
        <f>IFERROR(__xludf.DUMMYFUNCTION("SPLIT(A408, "" |"")"),202501.0)</f>
        <v>202501</v>
      </c>
      <c r="H410" s="19">
        <f>IFERROR(__xludf.DUMMYFUNCTION("""COMPUTED_VALUE"""),0.00494)</f>
        <v>0.00494</v>
      </c>
      <c r="I410" s="19" t="str">
        <f>IFERROR(__xludf.DUMMYFUNCTION("""COMPUTED_VALUE"""),"-")</f>
        <v>-</v>
      </c>
      <c r="J410" s="19">
        <f>IFERROR(__xludf.DUMMYFUNCTION("""COMPUTED_VALUE"""),0.02005)</f>
        <v>0.02005</v>
      </c>
      <c r="K410" s="19">
        <f>IFERROR(__xludf.DUMMYFUNCTION("""COMPUTED_VALUE"""),0.13347)</f>
        <v>0.13347</v>
      </c>
      <c r="L410" s="19" t="str">
        <f>IFERROR(__xludf.DUMMYFUNCTION("""COMPUTED_VALUE"""),"-")</f>
        <v>-</v>
      </c>
      <c r="M410" s="19" t="str">
        <f>IFERROR(__xludf.DUMMYFUNCTION("""COMPUTED_VALUE"""),"-")</f>
        <v>-</v>
      </c>
    </row>
    <row r="411">
      <c r="A411" s="12" t="s">
        <v>9201</v>
      </c>
      <c r="G411" s="19">
        <f>IFERROR(__xludf.DUMMYFUNCTION("SPLIT(A409, "" |"")"),203001.0)</f>
        <v>203001</v>
      </c>
      <c r="H411" s="19">
        <f>IFERROR(__xludf.DUMMYFUNCTION("""COMPUTED_VALUE"""),0.00515)</f>
        <v>0.00515</v>
      </c>
      <c r="I411" s="19" t="str">
        <f>IFERROR(__xludf.DUMMYFUNCTION("""COMPUTED_VALUE"""),"-")</f>
        <v>-</v>
      </c>
      <c r="J411" s="19">
        <f>IFERROR(__xludf.DUMMYFUNCTION("""COMPUTED_VALUE"""),0.03812)</f>
        <v>0.03812</v>
      </c>
      <c r="K411" s="19">
        <f>IFERROR(__xludf.DUMMYFUNCTION("""COMPUTED_VALUE"""),0.12936)</f>
        <v>0.12936</v>
      </c>
      <c r="L411" s="19" t="str">
        <f>IFERROR(__xludf.DUMMYFUNCTION("""COMPUTED_VALUE"""),"-")</f>
        <v>-</v>
      </c>
      <c r="M411" s="19" t="str">
        <f>IFERROR(__xludf.DUMMYFUNCTION("""COMPUTED_VALUE"""),"-")</f>
        <v>-</v>
      </c>
    </row>
    <row r="412">
      <c r="A412" s="12" t="s">
        <v>9202</v>
      </c>
      <c r="G412" s="19">
        <f>IFERROR(__xludf.DUMMYFUNCTION("SPLIT(A410, "" |"")"),203501.0)</f>
        <v>203501</v>
      </c>
      <c r="H412" s="19">
        <f>IFERROR(__xludf.DUMMYFUNCTION("""COMPUTED_VALUE"""),0.00539)</f>
        <v>0.00539</v>
      </c>
      <c r="I412" s="19" t="str">
        <f>IFERROR(__xludf.DUMMYFUNCTION("""COMPUTED_VALUE"""),"-")</f>
        <v>-</v>
      </c>
      <c r="J412" s="19">
        <f>IFERROR(__xludf.DUMMYFUNCTION("""COMPUTED_VALUE"""),0.01948)</f>
        <v>0.01948</v>
      </c>
      <c r="K412" s="19">
        <f>IFERROR(__xludf.DUMMYFUNCTION("""COMPUTED_VALUE"""),0.12956)</f>
        <v>0.12956</v>
      </c>
      <c r="L412" s="19" t="str">
        <f>IFERROR(__xludf.DUMMYFUNCTION("""COMPUTED_VALUE"""),"-")</f>
        <v>-</v>
      </c>
      <c r="M412" s="19" t="str">
        <f>IFERROR(__xludf.DUMMYFUNCTION("""COMPUTED_VALUE"""),"-")</f>
        <v>-</v>
      </c>
    </row>
    <row r="413">
      <c r="A413" s="12" t="s">
        <v>9203</v>
      </c>
      <c r="G413" s="19">
        <f>IFERROR(__xludf.DUMMYFUNCTION("SPLIT(A411, "" |"")"),204001.0)</f>
        <v>204001</v>
      </c>
      <c r="H413" s="19">
        <f>IFERROR(__xludf.DUMMYFUNCTION("""COMPUTED_VALUE"""),0.00245)</f>
        <v>0.00245</v>
      </c>
      <c r="I413" s="19" t="str">
        <f>IFERROR(__xludf.DUMMYFUNCTION("""COMPUTED_VALUE"""),"-")</f>
        <v>-</v>
      </c>
      <c r="J413" s="19">
        <f>IFERROR(__xludf.DUMMYFUNCTION("""COMPUTED_VALUE"""),0.01966)</f>
        <v>0.01966</v>
      </c>
      <c r="K413" s="19">
        <f>IFERROR(__xludf.DUMMYFUNCTION("""COMPUTED_VALUE"""),0.12351)</f>
        <v>0.12351</v>
      </c>
      <c r="L413" s="19" t="str">
        <f>IFERROR(__xludf.DUMMYFUNCTION("""COMPUTED_VALUE"""),"-")</f>
        <v>-</v>
      </c>
      <c r="M413" s="19" t="str">
        <f>IFERROR(__xludf.DUMMYFUNCTION("""COMPUTED_VALUE"""),"-")</f>
        <v>-</v>
      </c>
    </row>
    <row r="414">
      <c r="A414" s="12" t="s">
        <v>9204</v>
      </c>
      <c r="G414" s="19">
        <f>IFERROR(__xludf.DUMMYFUNCTION("SPLIT(A412, "" |"")"),204501.0)</f>
        <v>204501</v>
      </c>
      <c r="H414" s="19">
        <f>IFERROR(__xludf.DUMMYFUNCTION("""COMPUTED_VALUE"""),0.00231)</f>
        <v>0.00231</v>
      </c>
      <c r="I414" s="19" t="str">
        <f>IFERROR(__xludf.DUMMYFUNCTION("""COMPUTED_VALUE"""),"-")</f>
        <v>-</v>
      </c>
      <c r="J414" s="19">
        <f>IFERROR(__xludf.DUMMYFUNCTION("""COMPUTED_VALUE"""),0.01981)</f>
        <v>0.01981</v>
      </c>
      <c r="K414" s="19">
        <f>IFERROR(__xludf.DUMMYFUNCTION("""COMPUTED_VALUE"""),0.13158)</f>
        <v>0.13158</v>
      </c>
      <c r="L414" s="19" t="str">
        <f>IFERROR(__xludf.DUMMYFUNCTION("""COMPUTED_VALUE"""),"-")</f>
        <v>-</v>
      </c>
      <c r="M414" s="19" t="str">
        <f>IFERROR(__xludf.DUMMYFUNCTION("""COMPUTED_VALUE"""),"-")</f>
        <v>-</v>
      </c>
    </row>
    <row r="415">
      <c r="A415" s="12" t="s">
        <v>9205</v>
      </c>
      <c r="G415" s="19">
        <f>IFERROR(__xludf.DUMMYFUNCTION("SPLIT(A413, "" |"")"),205001.0)</f>
        <v>205001</v>
      </c>
      <c r="H415" s="19">
        <f>IFERROR(__xludf.DUMMYFUNCTION("""COMPUTED_VALUE"""),0.00238)</f>
        <v>0.00238</v>
      </c>
      <c r="I415" s="19" t="str">
        <f>IFERROR(__xludf.DUMMYFUNCTION("""COMPUTED_VALUE"""),"-")</f>
        <v>-</v>
      </c>
      <c r="J415" s="19">
        <f>IFERROR(__xludf.DUMMYFUNCTION("""COMPUTED_VALUE"""),0.01831)</f>
        <v>0.01831</v>
      </c>
      <c r="K415" s="19">
        <f>IFERROR(__xludf.DUMMYFUNCTION("""COMPUTED_VALUE"""),0.12403)</f>
        <v>0.12403</v>
      </c>
      <c r="L415" s="19" t="str">
        <f>IFERROR(__xludf.DUMMYFUNCTION("""COMPUTED_VALUE"""),"-")</f>
        <v>-</v>
      </c>
      <c r="M415" s="19" t="str">
        <f>IFERROR(__xludf.DUMMYFUNCTION("""COMPUTED_VALUE"""),"-")</f>
        <v>-</v>
      </c>
    </row>
    <row r="416">
      <c r="A416" s="12" t="s">
        <v>9206</v>
      </c>
      <c r="G416" s="19">
        <f>IFERROR(__xludf.DUMMYFUNCTION("SPLIT(A414, "" |"")"),205501.0)</f>
        <v>205501</v>
      </c>
      <c r="H416" s="19">
        <f>IFERROR(__xludf.DUMMYFUNCTION("""COMPUTED_VALUE"""),0.00491)</f>
        <v>0.00491</v>
      </c>
      <c r="I416" s="19" t="str">
        <f>IFERROR(__xludf.DUMMYFUNCTION("""COMPUTED_VALUE"""),"-")</f>
        <v>-</v>
      </c>
      <c r="J416" s="19">
        <f>IFERROR(__xludf.DUMMYFUNCTION("""COMPUTED_VALUE"""),0.02007)</f>
        <v>0.02007</v>
      </c>
      <c r="K416" s="19">
        <f>IFERROR(__xludf.DUMMYFUNCTION("""COMPUTED_VALUE"""),0.13236)</f>
        <v>0.13236</v>
      </c>
      <c r="L416" s="19" t="str">
        <f>IFERROR(__xludf.DUMMYFUNCTION("""COMPUTED_VALUE"""),"-")</f>
        <v>-</v>
      </c>
      <c r="M416" s="19" t="str">
        <f>IFERROR(__xludf.DUMMYFUNCTION("""COMPUTED_VALUE"""),"-")</f>
        <v>-</v>
      </c>
    </row>
    <row r="417">
      <c r="A417" s="12" t="s">
        <v>9207</v>
      </c>
      <c r="G417" s="19">
        <f>IFERROR(__xludf.DUMMYFUNCTION("SPLIT(A415, "" |"")"),206001.0)</f>
        <v>206001</v>
      </c>
      <c r="H417" s="19">
        <f>IFERROR(__xludf.DUMMYFUNCTION("""COMPUTED_VALUE"""),0.00495)</f>
        <v>0.00495</v>
      </c>
      <c r="I417" s="19" t="str">
        <f>IFERROR(__xludf.DUMMYFUNCTION("""COMPUTED_VALUE"""),"-")</f>
        <v>-</v>
      </c>
      <c r="J417" s="19">
        <f>IFERROR(__xludf.DUMMYFUNCTION("""COMPUTED_VALUE"""),0.01992)</f>
        <v>0.01992</v>
      </c>
      <c r="K417" s="19">
        <f>IFERROR(__xludf.DUMMYFUNCTION("""COMPUTED_VALUE"""),0.12992)</f>
        <v>0.12992</v>
      </c>
      <c r="L417" s="19" t="str">
        <f>IFERROR(__xludf.DUMMYFUNCTION("""COMPUTED_VALUE"""),"-")</f>
        <v>-</v>
      </c>
      <c r="M417" s="19" t="str">
        <f>IFERROR(__xludf.DUMMYFUNCTION("""COMPUTED_VALUE"""),"-")</f>
        <v>-</v>
      </c>
    </row>
    <row r="418">
      <c r="A418" s="12" t="s">
        <v>9208</v>
      </c>
      <c r="G418" s="19">
        <f>IFERROR(__xludf.DUMMYFUNCTION("SPLIT(A416, "" |"")"),206501.0)</f>
        <v>206501</v>
      </c>
      <c r="H418" s="19">
        <f>IFERROR(__xludf.DUMMYFUNCTION("""COMPUTED_VALUE"""),0.00498)</f>
        <v>0.00498</v>
      </c>
      <c r="I418" s="19" t="str">
        <f>IFERROR(__xludf.DUMMYFUNCTION("""COMPUTED_VALUE"""),"-")</f>
        <v>-</v>
      </c>
      <c r="J418" s="19">
        <f>IFERROR(__xludf.DUMMYFUNCTION("""COMPUTED_VALUE"""),0.01975)</f>
        <v>0.01975</v>
      </c>
      <c r="K418" s="19">
        <f>IFERROR(__xludf.DUMMYFUNCTION("""COMPUTED_VALUE"""),0.12907)</f>
        <v>0.12907</v>
      </c>
      <c r="L418" s="19" t="str">
        <f>IFERROR(__xludf.DUMMYFUNCTION("""COMPUTED_VALUE"""),"-")</f>
        <v>-</v>
      </c>
      <c r="M418" s="19" t="str">
        <f>IFERROR(__xludf.DUMMYFUNCTION("""COMPUTED_VALUE"""),"-")</f>
        <v>-</v>
      </c>
    </row>
    <row r="419">
      <c r="A419" s="12" t="s">
        <v>9209</v>
      </c>
      <c r="G419" s="19">
        <f>IFERROR(__xludf.DUMMYFUNCTION("SPLIT(A417, "" |"")"),207001.0)</f>
        <v>207001</v>
      </c>
      <c r="H419" s="19">
        <f>IFERROR(__xludf.DUMMYFUNCTION("""COMPUTED_VALUE"""),0.00245)</f>
        <v>0.00245</v>
      </c>
      <c r="I419" s="19" t="str">
        <f>IFERROR(__xludf.DUMMYFUNCTION("""COMPUTED_VALUE"""),"-")</f>
        <v>-</v>
      </c>
      <c r="J419" s="19">
        <f>IFERROR(__xludf.DUMMYFUNCTION("""COMPUTED_VALUE"""),0.0198)</f>
        <v>0.0198</v>
      </c>
      <c r="K419" s="19">
        <f>IFERROR(__xludf.DUMMYFUNCTION("""COMPUTED_VALUE"""),0.1289)</f>
        <v>0.1289</v>
      </c>
      <c r="L419" s="19" t="str">
        <f>IFERROR(__xludf.DUMMYFUNCTION("""COMPUTED_VALUE"""),"-")</f>
        <v>-</v>
      </c>
      <c r="M419" s="19" t="str">
        <f>IFERROR(__xludf.DUMMYFUNCTION("""COMPUTED_VALUE"""),"-")</f>
        <v>-</v>
      </c>
    </row>
    <row r="420">
      <c r="A420" s="12" t="s">
        <v>9210</v>
      </c>
      <c r="G420" s="19">
        <f>IFERROR(__xludf.DUMMYFUNCTION("SPLIT(A418, "" |"")"),207501.0)</f>
        <v>207501</v>
      </c>
      <c r="H420" s="19">
        <f>IFERROR(__xludf.DUMMYFUNCTION("""COMPUTED_VALUE"""),0.0048)</f>
        <v>0.0048</v>
      </c>
      <c r="I420" s="19" t="str">
        <f>IFERROR(__xludf.DUMMYFUNCTION("""COMPUTED_VALUE"""),"-")</f>
        <v>-</v>
      </c>
      <c r="J420" s="19">
        <f>IFERROR(__xludf.DUMMYFUNCTION("""COMPUTED_VALUE"""),0.01954)</f>
        <v>0.01954</v>
      </c>
      <c r="K420" s="19">
        <f>IFERROR(__xludf.DUMMYFUNCTION("""COMPUTED_VALUE"""),0.12846)</f>
        <v>0.12846</v>
      </c>
      <c r="L420" s="19" t="str">
        <f>IFERROR(__xludf.DUMMYFUNCTION("""COMPUTED_VALUE"""),"-")</f>
        <v>-</v>
      </c>
      <c r="M420" s="19" t="str">
        <f>IFERROR(__xludf.DUMMYFUNCTION("""COMPUTED_VALUE"""),"-")</f>
        <v>-</v>
      </c>
    </row>
    <row r="421">
      <c r="A421" s="12" t="s">
        <v>9211</v>
      </c>
      <c r="G421" s="19">
        <f>IFERROR(__xludf.DUMMYFUNCTION("SPLIT(A419, "" |"")"),208001.0)</f>
        <v>208001</v>
      </c>
      <c r="H421" s="19">
        <f>IFERROR(__xludf.DUMMYFUNCTION("""COMPUTED_VALUE"""),0.00482)</f>
        <v>0.00482</v>
      </c>
      <c r="I421" s="19" t="str">
        <f>IFERROR(__xludf.DUMMYFUNCTION("""COMPUTED_VALUE"""),"-")</f>
        <v>-</v>
      </c>
      <c r="J421" s="19">
        <f>IFERROR(__xludf.DUMMYFUNCTION("""COMPUTED_VALUE"""),0.0197)</f>
        <v>0.0197</v>
      </c>
      <c r="K421" s="19">
        <f>IFERROR(__xludf.DUMMYFUNCTION("""COMPUTED_VALUE"""),0.12669)</f>
        <v>0.12669</v>
      </c>
      <c r="L421" s="19" t="str">
        <f>IFERROR(__xludf.DUMMYFUNCTION("""COMPUTED_VALUE"""),"-")</f>
        <v>-</v>
      </c>
      <c r="M421" s="19" t="str">
        <f>IFERROR(__xludf.DUMMYFUNCTION("""COMPUTED_VALUE"""),"-")</f>
        <v>-</v>
      </c>
    </row>
    <row r="422">
      <c r="A422" s="12" t="s">
        <v>9212</v>
      </c>
      <c r="G422" s="19">
        <f>IFERROR(__xludf.DUMMYFUNCTION("SPLIT(A420, "" |"")"),208501.0)</f>
        <v>208501</v>
      </c>
      <c r="H422" s="19">
        <f>IFERROR(__xludf.DUMMYFUNCTION("""COMPUTED_VALUE"""),0.00487)</f>
        <v>0.00487</v>
      </c>
      <c r="I422" s="19" t="str">
        <f>IFERROR(__xludf.DUMMYFUNCTION("""COMPUTED_VALUE"""),"-")</f>
        <v>-</v>
      </c>
      <c r="J422" s="19">
        <f>IFERROR(__xludf.DUMMYFUNCTION("""COMPUTED_VALUE"""),0.01808)</f>
        <v>0.01808</v>
      </c>
      <c r="K422" s="19">
        <f>IFERROR(__xludf.DUMMYFUNCTION("""COMPUTED_VALUE"""),0.13218)</f>
        <v>0.13218</v>
      </c>
      <c r="L422" s="19" t="str">
        <f>IFERROR(__xludf.DUMMYFUNCTION("""COMPUTED_VALUE"""),"-")</f>
        <v>-</v>
      </c>
      <c r="M422" s="19" t="str">
        <f>IFERROR(__xludf.DUMMYFUNCTION("""COMPUTED_VALUE"""),"-")</f>
        <v>-</v>
      </c>
    </row>
    <row r="423">
      <c r="A423" s="12" t="s">
        <v>9213</v>
      </c>
      <c r="G423" s="19">
        <f>IFERROR(__xludf.DUMMYFUNCTION("SPLIT(A421, "" |"")"),209001.0)</f>
        <v>209001</v>
      </c>
      <c r="H423" s="19">
        <f>IFERROR(__xludf.DUMMYFUNCTION("""COMPUTED_VALUE"""),0.00493)</f>
        <v>0.00493</v>
      </c>
      <c r="I423" s="19" t="str">
        <f>IFERROR(__xludf.DUMMYFUNCTION("""COMPUTED_VALUE"""),"-")</f>
        <v>-</v>
      </c>
      <c r="J423" s="19">
        <f>IFERROR(__xludf.DUMMYFUNCTION("""COMPUTED_VALUE"""),0.01939)</f>
        <v>0.01939</v>
      </c>
      <c r="K423" s="19">
        <f>IFERROR(__xludf.DUMMYFUNCTION("""COMPUTED_VALUE"""),0.13125)</f>
        <v>0.13125</v>
      </c>
      <c r="L423" s="19" t="str">
        <f>IFERROR(__xludf.DUMMYFUNCTION("""COMPUTED_VALUE"""),"-")</f>
        <v>-</v>
      </c>
      <c r="M423" s="19" t="str">
        <f>IFERROR(__xludf.DUMMYFUNCTION("""COMPUTED_VALUE"""),"-")</f>
        <v>-</v>
      </c>
    </row>
    <row r="424">
      <c r="A424" s="12" t="s">
        <v>9214</v>
      </c>
      <c r="G424" s="19">
        <f>IFERROR(__xludf.DUMMYFUNCTION("SPLIT(A422, "" |"")"),209501.0)</f>
        <v>209501</v>
      </c>
      <c r="H424" s="19">
        <f>IFERROR(__xludf.DUMMYFUNCTION("""COMPUTED_VALUE"""),0.00471)</f>
        <v>0.00471</v>
      </c>
      <c r="I424" s="19" t="str">
        <f>IFERROR(__xludf.DUMMYFUNCTION("""COMPUTED_VALUE"""),"-")</f>
        <v>-</v>
      </c>
      <c r="J424" s="19">
        <f>IFERROR(__xludf.DUMMYFUNCTION("""COMPUTED_VALUE"""),0.01971)</f>
        <v>0.01971</v>
      </c>
      <c r="K424" s="19">
        <f>IFERROR(__xludf.DUMMYFUNCTION("""COMPUTED_VALUE"""),0.13197)</f>
        <v>0.13197</v>
      </c>
      <c r="L424" s="19" t="str">
        <f>IFERROR(__xludf.DUMMYFUNCTION("""COMPUTED_VALUE"""),"-")</f>
        <v>-</v>
      </c>
      <c r="M424" s="19" t="str">
        <f>IFERROR(__xludf.DUMMYFUNCTION("""COMPUTED_VALUE"""),"-")</f>
        <v>-</v>
      </c>
    </row>
    <row r="425">
      <c r="A425" s="12" t="s">
        <v>9215</v>
      </c>
      <c r="G425" s="19">
        <f>IFERROR(__xludf.DUMMYFUNCTION("SPLIT(A423, "" |"")"),210001.0)</f>
        <v>210001</v>
      </c>
      <c r="H425" s="19">
        <f>IFERROR(__xludf.DUMMYFUNCTION("""COMPUTED_VALUE"""),0.0048)</f>
        <v>0.0048</v>
      </c>
      <c r="I425" s="19" t="str">
        <f>IFERROR(__xludf.DUMMYFUNCTION("""COMPUTED_VALUE"""),"-")</f>
        <v>-</v>
      </c>
      <c r="J425" s="19">
        <f>IFERROR(__xludf.DUMMYFUNCTION("""COMPUTED_VALUE"""),0.0197)</f>
        <v>0.0197</v>
      </c>
      <c r="K425" s="19">
        <f>IFERROR(__xludf.DUMMYFUNCTION("""COMPUTED_VALUE"""),0.13183)</f>
        <v>0.13183</v>
      </c>
      <c r="L425" s="19" t="str">
        <f>IFERROR(__xludf.DUMMYFUNCTION("""COMPUTED_VALUE"""),"-")</f>
        <v>-</v>
      </c>
      <c r="M425" s="19" t="str">
        <f>IFERROR(__xludf.DUMMYFUNCTION("""COMPUTED_VALUE"""),"-")</f>
        <v>-</v>
      </c>
    </row>
    <row r="426">
      <c r="A426" s="12" t="s">
        <v>9216</v>
      </c>
      <c r="G426" s="19">
        <f>IFERROR(__xludf.DUMMYFUNCTION("SPLIT(A424, "" |"")"),210501.0)</f>
        <v>210501</v>
      </c>
      <c r="H426" s="19">
        <f>IFERROR(__xludf.DUMMYFUNCTION("""COMPUTED_VALUE"""),0.005)</f>
        <v>0.005</v>
      </c>
      <c r="I426" s="19" t="str">
        <f>IFERROR(__xludf.DUMMYFUNCTION("""COMPUTED_VALUE"""),"-")</f>
        <v>-</v>
      </c>
      <c r="J426" s="19">
        <f>IFERROR(__xludf.DUMMYFUNCTION("""COMPUTED_VALUE"""),0.02003)</f>
        <v>0.02003</v>
      </c>
      <c r="K426" s="19">
        <f>IFERROR(__xludf.DUMMYFUNCTION("""COMPUTED_VALUE"""),0.12821)</f>
        <v>0.12821</v>
      </c>
      <c r="L426" s="19" t="str">
        <f>IFERROR(__xludf.DUMMYFUNCTION("""COMPUTED_VALUE"""),"-")</f>
        <v>-</v>
      </c>
      <c r="M426" s="19" t="str">
        <f>IFERROR(__xludf.DUMMYFUNCTION("""COMPUTED_VALUE"""),"-")</f>
        <v>-</v>
      </c>
    </row>
    <row r="427">
      <c r="A427" s="12" t="s">
        <v>9217</v>
      </c>
      <c r="G427" s="19">
        <f>IFERROR(__xludf.DUMMYFUNCTION("SPLIT(A425, "" |"")"),211001.0)</f>
        <v>211001</v>
      </c>
      <c r="H427" s="19">
        <f>IFERROR(__xludf.DUMMYFUNCTION("""COMPUTED_VALUE"""),0.00231)</f>
        <v>0.00231</v>
      </c>
      <c r="I427" s="19" t="str">
        <f>IFERROR(__xludf.DUMMYFUNCTION("""COMPUTED_VALUE"""),"-")</f>
        <v>-</v>
      </c>
      <c r="J427" s="19">
        <f>IFERROR(__xludf.DUMMYFUNCTION("""COMPUTED_VALUE"""),0.01981)</f>
        <v>0.01981</v>
      </c>
      <c r="K427" s="19">
        <f>IFERROR(__xludf.DUMMYFUNCTION("""COMPUTED_VALUE"""),0.13201)</f>
        <v>0.13201</v>
      </c>
      <c r="L427" s="19" t="str">
        <f>IFERROR(__xludf.DUMMYFUNCTION("""COMPUTED_VALUE"""),"-")</f>
        <v>-</v>
      </c>
      <c r="M427" s="19" t="str">
        <f>IFERROR(__xludf.DUMMYFUNCTION("""COMPUTED_VALUE"""),"-")</f>
        <v>-</v>
      </c>
    </row>
    <row r="428">
      <c r="A428" s="12" t="s">
        <v>9218</v>
      </c>
      <c r="G428" s="19">
        <f>IFERROR(__xludf.DUMMYFUNCTION("SPLIT(A426, "" |"")"),211501.0)</f>
        <v>211501</v>
      </c>
      <c r="H428" s="19">
        <f>IFERROR(__xludf.DUMMYFUNCTION("""COMPUTED_VALUE"""),0.00486)</f>
        <v>0.00486</v>
      </c>
      <c r="I428" s="19" t="str">
        <f>IFERROR(__xludf.DUMMYFUNCTION("""COMPUTED_VALUE"""),"-")</f>
        <v>-</v>
      </c>
      <c r="J428" s="19">
        <f>IFERROR(__xludf.DUMMYFUNCTION("""COMPUTED_VALUE"""),0.01973)</f>
        <v>0.01973</v>
      </c>
      <c r="K428" s="19">
        <f>IFERROR(__xludf.DUMMYFUNCTION("""COMPUTED_VALUE"""),0.12909)</f>
        <v>0.12909</v>
      </c>
      <c r="L428" s="19" t="str">
        <f>IFERROR(__xludf.DUMMYFUNCTION("""COMPUTED_VALUE"""),"-")</f>
        <v>-</v>
      </c>
      <c r="M428" s="19" t="str">
        <f>IFERROR(__xludf.DUMMYFUNCTION("""COMPUTED_VALUE"""),"-")</f>
        <v>-</v>
      </c>
    </row>
    <row r="429">
      <c r="A429" s="12" t="s">
        <v>9219</v>
      </c>
      <c r="G429" s="19">
        <f>IFERROR(__xludf.DUMMYFUNCTION("SPLIT(A427, "" |"")"),212001.0)</f>
        <v>212001</v>
      </c>
      <c r="H429" s="19">
        <f>IFERROR(__xludf.DUMMYFUNCTION("""COMPUTED_VALUE"""),0.00467)</f>
        <v>0.00467</v>
      </c>
      <c r="I429" s="19" t="str">
        <f>IFERROR(__xludf.DUMMYFUNCTION("""COMPUTED_VALUE"""),"-")</f>
        <v>-</v>
      </c>
      <c r="J429" s="19">
        <f>IFERROR(__xludf.DUMMYFUNCTION("""COMPUTED_VALUE"""),0.01958)</f>
        <v>0.01958</v>
      </c>
      <c r="K429" s="19">
        <f>IFERROR(__xludf.DUMMYFUNCTION("""COMPUTED_VALUE"""),0.12695)</f>
        <v>0.12695</v>
      </c>
      <c r="L429" s="19" t="str">
        <f>IFERROR(__xludf.DUMMYFUNCTION("""COMPUTED_VALUE"""),"-")</f>
        <v>-</v>
      </c>
      <c r="M429" s="19" t="str">
        <f>IFERROR(__xludf.DUMMYFUNCTION("""COMPUTED_VALUE"""),"-")</f>
        <v>-</v>
      </c>
    </row>
    <row r="430">
      <c r="A430" s="12" t="s">
        <v>9220</v>
      </c>
      <c r="G430" s="19">
        <f>IFERROR(__xludf.DUMMYFUNCTION("SPLIT(A428, "" |"")"),212501.0)</f>
        <v>212501</v>
      </c>
      <c r="H430" s="19">
        <f>IFERROR(__xludf.DUMMYFUNCTION("""COMPUTED_VALUE"""),0.00464)</f>
        <v>0.00464</v>
      </c>
      <c r="I430" s="19" t="str">
        <f>IFERROR(__xludf.DUMMYFUNCTION("""COMPUTED_VALUE"""),"-")</f>
        <v>-</v>
      </c>
      <c r="J430" s="19">
        <f>IFERROR(__xludf.DUMMYFUNCTION("""COMPUTED_VALUE"""),0.01901)</f>
        <v>0.01901</v>
      </c>
      <c r="K430" s="19">
        <f>IFERROR(__xludf.DUMMYFUNCTION("""COMPUTED_VALUE"""),0.1319)</f>
        <v>0.1319</v>
      </c>
      <c r="L430" s="19" t="str">
        <f>IFERROR(__xludf.DUMMYFUNCTION("""COMPUTED_VALUE"""),"-")</f>
        <v>-</v>
      </c>
      <c r="M430" s="19" t="str">
        <f>IFERROR(__xludf.DUMMYFUNCTION("""COMPUTED_VALUE"""),"-")</f>
        <v>-</v>
      </c>
    </row>
    <row r="431">
      <c r="A431" s="12" t="s">
        <v>9221</v>
      </c>
      <c r="G431" s="19">
        <f>IFERROR(__xludf.DUMMYFUNCTION("SPLIT(A429, "" |"")"),213001.0)</f>
        <v>213001</v>
      </c>
      <c r="H431" s="19">
        <f>IFERROR(__xludf.DUMMYFUNCTION("""COMPUTED_VALUE"""),0.00485)</f>
        <v>0.00485</v>
      </c>
      <c r="I431" s="19" t="str">
        <f>IFERROR(__xludf.DUMMYFUNCTION("""COMPUTED_VALUE"""),"-")</f>
        <v>-</v>
      </c>
      <c r="J431" s="19">
        <f>IFERROR(__xludf.DUMMYFUNCTION("""COMPUTED_VALUE"""),0.0198)</f>
        <v>0.0198</v>
      </c>
      <c r="K431" s="19">
        <f>IFERROR(__xludf.DUMMYFUNCTION("""COMPUTED_VALUE"""),0.13215)</f>
        <v>0.13215</v>
      </c>
      <c r="L431" s="19" t="str">
        <f>IFERROR(__xludf.DUMMYFUNCTION("""COMPUTED_VALUE"""),"-")</f>
        <v>-</v>
      </c>
      <c r="M431" s="19" t="str">
        <f>IFERROR(__xludf.DUMMYFUNCTION("""COMPUTED_VALUE"""),"-")</f>
        <v>-</v>
      </c>
    </row>
    <row r="432">
      <c r="A432" s="12" t="s">
        <v>9222</v>
      </c>
      <c r="G432" s="19">
        <f>IFERROR(__xludf.DUMMYFUNCTION("SPLIT(A430, "" |"")"),213501.0)</f>
        <v>213501</v>
      </c>
      <c r="H432" s="19">
        <f>IFERROR(__xludf.DUMMYFUNCTION("""COMPUTED_VALUE"""),0.00491)</f>
        <v>0.00491</v>
      </c>
      <c r="I432" s="19" t="str">
        <f>IFERROR(__xludf.DUMMYFUNCTION("""COMPUTED_VALUE"""),"-")</f>
        <v>-</v>
      </c>
      <c r="J432" s="19">
        <f>IFERROR(__xludf.DUMMYFUNCTION("""COMPUTED_VALUE"""),0.01959)</f>
        <v>0.01959</v>
      </c>
      <c r="K432" s="19">
        <f>IFERROR(__xludf.DUMMYFUNCTION("""COMPUTED_VALUE"""),0.13191)</f>
        <v>0.13191</v>
      </c>
      <c r="L432" s="19" t="str">
        <f>IFERROR(__xludf.DUMMYFUNCTION("""COMPUTED_VALUE"""),"-")</f>
        <v>-</v>
      </c>
      <c r="M432" s="19" t="str">
        <f>IFERROR(__xludf.DUMMYFUNCTION("""COMPUTED_VALUE"""),"-")</f>
        <v>-</v>
      </c>
    </row>
    <row r="433">
      <c r="A433" s="12" t="s">
        <v>9223</v>
      </c>
      <c r="G433" s="19">
        <f>IFERROR(__xludf.DUMMYFUNCTION("SPLIT(A431, "" |"")"),214001.0)</f>
        <v>214001</v>
      </c>
      <c r="H433" s="19">
        <f>IFERROR(__xludf.DUMMYFUNCTION("""COMPUTED_VALUE"""),0.00475)</f>
        <v>0.00475</v>
      </c>
      <c r="I433" s="19" t="str">
        <f>IFERROR(__xludf.DUMMYFUNCTION("""COMPUTED_VALUE"""),"-")</f>
        <v>-</v>
      </c>
      <c r="J433" s="19">
        <f>IFERROR(__xludf.DUMMYFUNCTION("""COMPUTED_VALUE"""),0.01971)</f>
        <v>0.01971</v>
      </c>
      <c r="K433" s="19">
        <f>IFERROR(__xludf.DUMMYFUNCTION("""COMPUTED_VALUE"""),0.13178)</f>
        <v>0.13178</v>
      </c>
      <c r="L433" s="19" t="str">
        <f>IFERROR(__xludf.DUMMYFUNCTION("""COMPUTED_VALUE"""),"-")</f>
        <v>-</v>
      </c>
      <c r="M433" s="19" t="str">
        <f>IFERROR(__xludf.DUMMYFUNCTION("""COMPUTED_VALUE"""),"-")</f>
        <v>-</v>
      </c>
    </row>
    <row r="434">
      <c r="A434" s="12" t="s">
        <v>9224</v>
      </c>
      <c r="G434" s="19">
        <f>IFERROR(__xludf.DUMMYFUNCTION("SPLIT(A432, "" |"")"),214501.0)</f>
        <v>214501</v>
      </c>
      <c r="H434" s="19">
        <f>IFERROR(__xludf.DUMMYFUNCTION("""COMPUTED_VALUE"""),0.00472)</f>
        <v>0.00472</v>
      </c>
      <c r="I434" s="19" t="str">
        <f>IFERROR(__xludf.DUMMYFUNCTION("""COMPUTED_VALUE"""),"-")</f>
        <v>-</v>
      </c>
      <c r="J434" s="19">
        <f>IFERROR(__xludf.DUMMYFUNCTION("""COMPUTED_VALUE"""),0.01924)</f>
        <v>0.01924</v>
      </c>
      <c r="K434" s="19">
        <f>IFERROR(__xludf.DUMMYFUNCTION("""COMPUTED_VALUE"""),0.12915)</f>
        <v>0.12915</v>
      </c>
      <c r="L434" s="19" t="str">
        <f>IFERROR(__xludf.DUMMYFUNCTION("""COMPUTED_VALUE"""),"-")</f>
        <v>-</v>
      </c>
      <c r="M434" s="19" t="str">
        <f>IFERROR(__xludf.DUMMYFUNCTION("""COMPUTED_VALUE"""),"-")</f>
        <v>-</v>
      </c>
    </row>
    <row r="435">
      <c r="A435" s="12" t="s">
        <v>9225</v>
      </c>
      <c r="G435" s="19">
        <f>IFERROR(__xludf.DUMMYFUNCTION("SPLIT(A433, "" |"")"),215001.0)</f>
        <v>215001</v>
      </c>
      <c r="H435" s="19">
        <f>IFERROR(__xludf.DUMMYFUNCTION("""COMPUTED_VALUE"""),0.00485)</f>
        <v>0.00485</v>
      </c>
      <c r="I435" s="19" t="str">
        <f>IFERROR(__xludf.DUMMYFUNCTION("""COMPUTED_VALUE"""),"-")</f>
        <v>-</v>
      </c>
      <c r="J435" s="19">
        <f>IFERROR(__xludf.DUMMYFUNCTION("""COMPUTED_VALUE"""),0.0197)</f>
        <v>0.0197</v>
      </c>
      <c r="K435" s="19">
        <f>IFERROR(__xludf.DUMMYFUNCTION("""COMPUTED_VALUE"""),0.13198)</f>
        <v>0.13198</v>
      </c>
      <c r="L435" s="19" t="str">
        <f>IFERROR(__xludf.DUMMYFUNCTION("""COMPUTED_VALUE"""),"-")</f>
        <v>-</v>
      </c>
      <c r="M435" s="19" t="str">
        <f>IFERROR(__xludf.DUMMYFUNCTION("""COMPUTED_VALUE"""),"-")</f>
        <v>-</v>
      </c>
    </row>
    <row r="436">
      <c r="A436" s="12" t="s">
        <v>9226</v>
      </c>
      <c r="G436" s="19">
        <f>IFERROR(__xludf.DUMMYFUNCTION("SPLIT(A434, "" |"")"),215501.0)</f>
        <v>215501</v>
      </c>
      <c r="H436" s="19">
        <f>IFERROR(__xludf.DUMMYFUNCTION("""COMPUTED_VALUE"""),0.00481)</f>
        <v>0.00481</v>
      </c>
      <c r="I436" s="19" t="str">
        <f>IFERROR(__xludf.DUMMYFUNCTION("""COMPUTED_VALUE"""),"-")</f>
        <v>-</v>
      </c>
      <c r="J436" s="19">
        <f>IFERROR(__xludf.DUMMYFUNCTION("""COMPUTED_VALUE"""),0.0197)</f>
        <v>0.0197</v>
      </c>
      <c r="K436" s="19">
        <f>IFERROR(__xludf.DUMMYFUNCTION("""COMPUTED_VALUE"""),0.13202)</f>
        <v>0.13202</v>
      </c>
      <c r="L436" s="19" t="str">
        <f>IFERROR(__xludf.DUMMYFUNCTION("""COMPUTED_VALUE"""),"-")</f>
        <v>-</v>
      </c>
      <c r="M436" s="19" t="str">
        <f>IFERROR(__xludf.DUMMYFUNCTION("""COMPUTED_VALUE"""),"-")</f>
        <v>-</v>
      </c>
    </row>
    <row r="437">
      <c r="A437" s="12" t="s">
        <v>9227</v>
      </c>
      <c r="G437" s="19">
        <f>IFERROR(__xludf.DUMMYFUNCTION("SPLIT(A435, "" |"")"),216001.0)</f>
        <v>216001</v>
      </c>
      <c r="H437" s="19">
        <f>IFERROR(__xludf.DUMMYFUNCTION("""COMPUTED_VALUE"""),0.00499)</f>
        <v>0.00499</v>
      </c>
      <c r="I437" s="19" t="str">
        <f>IFERROR(__xludf.DUMMYFUNCTION("""COMPUTED_VALUE"""),"-")</f>
        <v>-</v>
      </c>
      <c r="J437" s="19">
        <f>IFERROR(__xludf.DUMMYFUNCTION("""COMPUTED_VALUE"""),0.01988)</f>
        <v>0.01988</v>
      </c>
      <c r="K437" s="19">
        <f>IFERROR(__xludf.DUMMYFUNCTION("""COMPUTED_VALUE"""),0.13183)</f>
        <v>0.13183</v>
      </c>
      <c r="L437" s="19" t="str">
        <f>IFERROR(__xludf.DUMMYFUNCTION("""COMPUTED_VALUE"""),"-")</f>
        <v>-</v>
      </c>
      <c r="M437" s="19" t="str">
        <f>IFERROR(__xludf.DUMMYFUNCTION("""COMPUTED_VALUE"""),"-")</f>
        <v>-</v>
      </c>
    </row>
    <row r="438">
      <c r="A438" s="12" t="s">
        <v>9228</v>
      </c>
      <c r="G438" s="19">
        <f>IFERROR(__xludf.DUMMYFUNCTION("SPLIT(A436, "" |"")"),216501.0)</f>
        <v>216501</v>
      </c>
      <c r="H438" s="19">
        <f>IFERROR(__xludf.DUMMYFUNCTION("""COMPUTED_VALUE"""),0.00473)</f>
        <v>0.00473</v>
      </c>
      <c r="I438" s="19" t="str">
        <f>IFERROR(__xludf.DUMMYFUNCTION("""COMPUTED_VALUE"""),"-")</f>
        <v>-</v>
      </c>
      <c r="J438" s="19">
        <f>IFERROR(__xludf.DUMMYFUNCTION("""COMPUTED_VALUE"""),0.01966)</f>
        <v>0.01966</v>
      </c>
      <c r="K438" s="19">
        <f>IFERROR(__xludf.DUMMYFUNCTION("""COMPUTED_VALUE"""),0.13154)</f>
        <v>0.13154</v>
      </c>
      <c r="L438" s="19" t="str">
        <f>IFERROR(__xludf.DUMMYFUNCTION("""COMPUTED_VALUE"""),"-")</f>
        <v>-</v>
      </c>
      <c r="M438" s="19" t="str">
        <f>IFERROR(__xludf.DUMMYFUNCTION("""COMPUTED_VALUE"""),"-")</f>
        <v>-</v>
      </c>
    </row>
    <row r="439">
      <c r="A439" s="12" t="s">
        <v>9229</v>
      </c>
      <c r="G439" s="19">
        <f>IFERROR(__xludf.DUMMYFUNCTION("SPLIT(A437, "" |"")"),217001.0)</f>
        <v>217001</v>
      </c>
      <c r="H439" s="19">
        <f>IFERROR(__xludf.DUMMYFUNCTION("""COMPUTED_VALUE"""),0.00476)</f>
        <v>0.00476</v>
      </c>
      <c r="I439" s="19" t="str">
        <f>IFERROR(__xludf.DUMMYFUNCTION("""COMPUTED_VALUE"""),"-")</f>
        <v>-</v>
      </c>
      <c r="J439" s="19">
        <f>IFERROR(__xludf.DUMMYFUNCTION("""COMPUTED_VALUE"""),0.01954)</f>
        <v>0.01954</v>
      </c>
      <c r="K439" s="19">
        <f>IFERROR(__xludf.DUMMYFUNCTION("""COMPUTED_VALUE"""),0.12752)</f>
        <v>0.12752</v>
      </c>
      <c r="L439" s="19" t="str">
        <f>IFERROR(__xludf.DUMMYFUNCTION("""COMPUTED_VALUE"""),"-")</f>
        <v>-</v>
      </c>
      <c r="M439" s="19" t="str">
        <f>IFERROR(__xludf.DUMMYFUNCTION("""COMPUTED_VALUE"""),"-")</f>
        <v>-</v>
      </c>
    </row>
    <row r="440">
      <c r="A440" s="12" t="s">
        <v>9230</v>
      </c>
      <c r="G440" s="19">
        <f>IFERROR(__xludf.DUMMYFUNCTION("SPLIT(A438, "" |"")"),217501.0)</f>
        <v>217501</v>
      </c>
      <c r="H440" s="19">
        <f>IFERROR(__xludf.DUMMYFUNCTION("""COMPUTED_VALUE"""),0.00477)</f>
        <v>0.00477</v>
      </c>
      <c r="I440" s="19" t="str">
        <f>IFERROR(__xludf.DUMMYFUNCTION("""COMPUTED_VALUE"""),"-")</f>
        <v>-</v>
      </c>
      <c r="J440" s="19">
        <f>IFERROR(__xludf.DUMMYFUNCTION("""COMPUTED_VALUE"""),0.01952)</f>
        <v>0.01952</v>
      </c>
      <c r="K440" s="19">
        <f>IFERROR(__xludf.DUMMYFUNCTION("""COMPUTED_VALUE"""),0.13199)</f>
        <v>0.13199</v>
      </c>
      <c r="L440" s="19" t="str">
        <f>IFERROR(__xludf.DUMMYFUNCTION("""COMPUTED_VALUE"""),"-")</f>
        <v>-</v>
      </c>
      <c r="M440" s="19" t="str">
        <f>IFERROR(__xludf.DUMMYFUNCTION("""COMPUTED_VALUE"""),"-")</f>
        <v>-</v>
      </c>
    </row>
    <row r="441">
      <c r="A441" s="12" t="s">
        <v>9231</v>
      </c>
      <c r="G441" s="19">
        <f>IFERROR(__xludf.DUMMYFUNCTION("SPLIT(A439, "" |"")"),218001.0)</f>
        <v>218001</v>
      </c>
      <c r="H441" s="19">
        <f>IFERROR(__xludf.DUMMYFUNCTION("""COMPUTED_VALUE"""),0.00485)</f>
        <v>0.00485</v>
      </c>
      <c r="I441" s="19" t="str">
        <f>IFERROR(__xludf.DUMMYFUNCTION("""COMPUTED_VALUE"""),"-")</f>
        <v>-</v>
      </c>
      <c r="J441" s="19">
        <f>IFERROR(__xludf.DUMMYFUNCTION("""COMPUTED_VALUE"""),0.01973)</f>
        <v>0.01973</v>
      </c>
      <c r="K441" s="19">
        <f>IFERROR(__xludf.DUMMYFUNCTION("""COMPUTED_VALUE"""),0.13173)</f>
        <v>0.13173</v>
      </c>
      <c r="L441" s="19" t="str">
        <f>IFERROR(__xludf.DUMMYFUNCTION("""COMPUTED_VALUE"""),"-")</f>
        <v>-</v>
      </c>
      <c r="M441" s="19" t="str">
        <f>IFERROR(__xludf.DUMMYFUNCTION("""COMPUTED_VALUE"""),"-")</f>
        <v>-</v>
      </c>
    </row>
    <row r="442">
      <c r="A442" s="12" t="s">
        <v>9232</v>
      </c>
      <c r="G442" s="19">
        <f>IFERROR(__xludf.DUMMYFUNCTION("SPLIT(A440, "" |"")"),218501.0)</f>
        <v>218501</v>
      </c>
      <c r="H442" s="19">
        <f>IFERROR(__xludf.DUMMYFUNCTION("""COMPUTED_VALUE"""),0.00483)</f>
        <v>0.00483</v>
      </c>
      <c r="I442" s="19" t="str">
        <f>IFERROR(__xludf.DUMMYFUNCTION("""COMPUTED_VALUE"""),"-")</f>
        <v>-</v>
      </c>
      <c r="J442" s="19">
        <f>IFERROR(__xludf.DUMMYFUNCTION("""COMPUTED_VALUE"""),0.01953)</f>
        <v>0.01953</v>
      </c>
      <c r="K442" s="19">
        <f>IFERROR(__xludf.DUMMYFUNCTION("""COMPUTED_VALUE"""),0.13191)</f>
        <v>0.13191</v>
      </c>
      <c r="L442" s="19" t="str">
        <f>IFERROR(__xludf.DUMMYFUNCTION("""COMPUTED_VALUE"""),"-")</f>
        <v>-</v>
      </c>
      <c r="M442" s="19" t="str">
        <f>IFERROR(__xludf.DUMMYFUNCTION("""COMPUTED_VALUE"""),"-")</f>
        <v>-</v>
      </c>
    </row>
    <row r="443">
      <c r="A443" s="12" t="s">
        <v>9233</v>
      </c>
      <c r="G443" s="19">
        <f>IFERROR(__xludf.DUMMYFUNCTION("SPLIT(A441, "" |"")"),219001.0)</f>
        <v>219001</v>
      </c>
      <c r="H443" s="19">
        <f>IFERROR(__xludf.DUMMYFUNCTION("""COMPUTED_VALUE"""),0.00472)</f>
        <v>0.00472</v>
      </c>
      <c r="I443" s="19" t="str">
        <f>IFERROR(__xludf.DUMMYFUNCTION("""COMPUTED_VALUE"""),"-")</f>
        <v>-</v>
      </c>
      <c r="J443" s="19">
        <f>IFERROR(__xludf.DUMMYFUNCTION("""COMPUTED_VALUE"""),0.01952)</f>
        <v>0.01952</v>
      </c>
      <c r="K443" s="19">
        <f>IFERROR(__xludf.DUMMYFUNCTION("""COMPUTED_VALUE"""),0.13186)</f>
        <v>0.13186</v>
      </c>
      <c r="L443" s="19" t="str">
        <f>IFERROR(__xludf.DUMMYFUNCTION("""COMPUTED_VALUE"""),"-")</f>
        <v>-</v>
      </c>
      <c r="M443" s="19" t="str">
        <f>IFERROR(__xludf.DUMMYFUNCTION("""COMPUTED_VALUE"""),"-")</f>
        <v>-</v>
      </c>
    </row>
    <row r="444">
      <c r="A444" s="12" t="s">
        <v>9234</v>
      </c>
      <c r="G444" s="19">
        <f>IFERROR(__xludf.DUMMYFUNCTION("SPLIT(A442, "" |"")"),219501.0)</f>
        <v>219501</v>
      </c>
      <c r="H444" s="19">
        <f>IFERROR(__xludf.DUMMYFUNCTION("""COMPUTED_VALUE"""),0.005)</f>
        <v>0.005</v>
      </c>
      <c r="I444" s="19" t="str">
        <f>IFERROR(__xludf.DUMMYFUNCTION("""COMPUTED_VALUE"""),"-")</f>
        <v>-</v>
      </c>
      <c r="J444" s="19">
        <f>IFERROR(__xludf.DUMMYFUNCTION("""COMPUTED_VALUE"""),0.01883)</f>
        <v>0.01883</v>
      </c>
      <c r="K444" s="19">
        <f>IFERROR(__xludf.DUMMYFUNCTION("""COMPUTED_VALUE"""),0.12918)</f>
        <v>0.12918</v>
      </c>
      <c r="L444" s="19" t="str">
        <f>IFERROR(__xludf.DUMMYFUNCTION("""COMPUTED_VALUE"""),"-")</f>
        <v>-</v>
      </c>
      <c r="M444" s="19" t="str">
        <f>IFERROR(__xludf.DUMMYFUNCTION("""COMPUTED_VALUE"""),"-")</f>
        <v>-</v>
      </c>
    </row>
    <row r="445">
      <c r="A445" s="12" t="s">
        <v>9235</v>
      </c>
      <c r="G445" s="19">
        <f>IFERROR(__xludf.DUMMYFUNCTION("SPLIT(A443, "" |"")"),220001.0)</f>
        <v>220001</v>
      </c>
      <c r="H445" s="19">
        <f>IFERROR(__xludf.DUMMYFUNCTION("""COMPUTED_VALUE"""),0.0049)</f>
        <v>0.0049</v>
      </c>
      <c r="I445" s="19" t="str">
        <f>IFERROR(__xludf.DUMMYFUNCTION("""COMPUTED_VALUE"""),"-")</f>
        <v>-</v>
      </c>
      <c r="J445" s="19">
        <f>IFERROR(__xludf.DUMMYFUNCTION("""COMPUTED_VALUE"""),0.01984)</f>
        <v>0.01984</v>
      </c>
      <c r="K445" s="19">
        <f>IFERROR(__xludf.DUMMYFUNCTION("""COMPUTED_VALUE"""),0.12888)</f>
        <v>0.12888</v>
      </c>
      <c r="L445" s="19" t="str">
        <f>IFERROR(__xludf.DUMMYFUNCTION("""COMPUTED_VALUE"""),"-")</f>
        <v>-</v>
      </c>
      <c r="M445" s="19" t="str">
        <f>IFERROR(__xludf.DUMMYFUNCTION("""COMPUTED_VALUE"""),"-")</f>
        <v>-</v>
      </c>
    </row>
    <row r="446">
      <c r="A446" s="12" t="s">
        <v>9236</v>
      </c>
      <c r="G446" s="19">
        <f>IFERROR(__xludf.DUMMYFUNCTION("SPLIT(A444, "" |"")"),220501.0)</f>
        <v>220501</v>
      </c>
      <c r="H446" s="19">
        <f>IFERROR(__xludf.DUMMYFUNCTION("""COMPUTED_VALUE"""),0.00225)</f>
        <v>0.00225</v>
      </c>
      <c r="I446" s="19" t="str">
        <f>IFERROR(__xludf.DUMMYFUNCTION("""COMPUTED_VALUE"""),"-")</f>
        <v>-</v>
      </c>
      <c r="J446" s="19">
        <f>IFERROR(__xludf.DUMMYFUNCTION("""COMPUTED_VALUE"""),0.01989)</f>
        <v>0.01989</v>
      </c>
      <c r="K446" s="19">
        <f>IFERROR(__xludf.DUMMYFUNCTION("""COMPUTED_VALUE"""),0.12799)</f>
        <v>0.12799</v>
      </c>
      <c r="L446" s="19" t="str">
        <f>IFERROR(__xludf.DUMMYFUNCTION("""COMPUTED_VALUE"""),"-")</f>
        <v>-</v>
      </c>
      <c r="M446" s="19" t="str">
        <f>IFERROR(__xludf.DUMMYFUNCTION("""COMPUTED_VALUE"""),"-")</f>
        <v>-</v>
      </c>
    </row>
    <row r="447">
      <c r="A447" s="12" t="s">
        <v>9237</v>
      </c>
      <c r="G447" s="19">
        <f>IFERROR(__xludf.DUMMYFUNCTION("SPLIT(A445, "" |"")"),221001.0)</f>
        <v>221001</v>
      </c>
      <c r="H447" s="19">
        <f>IFERROR(__xludf.DUMMYFUNCTION("""COMPUTED_VALUE"""),0.00485)</f>
        <v>0.00485</v>
      </c>
      <c r="I447" s="19" t="str">
        <f>IFERROR(__xludf.DUMMYFUNCTION("""COMPUTED_VALUE"""),"-")</f>
        <v>-</v>
      </c>
      <c r="J447" s="19">
        <f>IFERROR(__xludf.DUMMYFUNCTION("""COMPUTED_VALUE"""),0.01958)</f>
        <v>0.01958</v>
      </c>
      <c r="K447" s="19">
        <f>IFERROR(__xludf.DUMMYFUNCTION("""COMPUTED_VALUE"""),0.12993)</f>
        <v>0.12993</v>
      </c>
      <c r="L447" s="19" t="str">
        <f>IFERROR(__xludf.DUMMYFUNCTION("""COMPUTED_VALUE"""),"-")</f>
        <v>-</v>
      </c>
      <c r="M447" s="19" t="str">
        <f>IFERROR(__xludf.DUMMYFUNCTION("""COMPUTED_VALUE"""),"-")</f>
        <v>-</v>
      </c>
    </row>
    <row r="448">
      <c r="A448" s="12" t="s">
        <v>9238</v>
      </c>
      <c r="G448" s="19">
        <f>IFERROR(__xludf.DUMMYFUNCTION("SPLIT(A446, "" |"")"),221501.0)</f>
        <v>221501</v>
      </c>
      <c r="H448" s="19">
        <f>IFERROR(__xludf.DUMMYFUNCTION("""COMPUTED_VALUE"""),0.00503)</f>
        <v>0.00503</v>
      </c>
      <c r="I448" s="19" t="str">
        <f>IFERROR(__xludf.DUMMYFUNCTION("""COMPUTED_VALUE"""),"-")</f>
        <v>-</v>
      </c>
      <c r="J448" s="19">
        <f>IFERROR(__xludf.DUMMYFUNCTION("""COMPUTED_VALUE"""),0.01887)</f>
        <v>0.01887</v>
      </c>
      <c r="K448" s="19">
        <f>IFERROR(__xludf.DUMMYFUNCTION("""COMPUTED_VALUE"""),0.13005)</f>
        <v>0.13005</v>
      </c>
      <c r="L448" s="19" t="str">
        <f>IFERROR(__xludf.DUMMYFUNCTION("""COMPUTED_VALUE"""),"-")</f>
        <v>-</v>
      </c>
      <c r="M448" s="19" t="str">
        <f>IFERROR(__xludf.DUMMYFUNCTION("""COMPUTED_VALUE"""),"-")</f>
        <v>-</v>
      </c>
    </row>
    <row r="449">
      <c r="A449" s="12" t="s">
        <v>9239</v>
      </c>
      <c r="G449" s="19">
        <f>IFERROR(__xludf.DUMMYFUNCTION("SPLIT(A447, "" |"")"),222001.0)</f>
        <v>222001</v>
      </c>
      <c r="H449" s="19">
        <f>IFERROR(__xludf.DUMMYFUNCTION("""COMPUTED_VALUE"""),0.00487)</f>
        <v>0.00487</v>
      </c>
      <c r="I449" s="19" t="str">
        <f>IFERROR(__xludf.DUMMYFUNCTION("""COMPUTED_VALUE"""),"-")</f>
        <v>-</v>
      </c>
      <c r="J449" s="19">
        <f>IFERROR(__xludf.DUMMYFUNCTION("""COMPUTED_VALUE"""),0.01971)</f>
        <v>0.01971</v>
      </c>
      <c r="K449" s="19">
        <f>IFERROR(__xludf.DUMMYFUNCTION("""COMPUTED_VALUE"""),0.12797)</f>
        <v>0.12797</v>
      </c>
      <c r="L449" s="19" t="str">
        <f>IFERROR(__xludf.DUMMYFUNCTION("""COMPUTED_VALUE"""),"-")</f>
        <v>-</v>
      </c>
      <c r="M449" s="19" t="str">
        <f>IFERROR(__xludf.DUMMYFUNCTION("""COMPUTED_VALUE"""),"-")</f>
        <v>-</v>
      </c>
    </row>
    <row r="450">
      <c r="A450" s="12" t="s">
        <v>9240</v>
      </c>
      <c r="G450" s="19">
        <f>IFERROR(__xludf.DUMMYFUNCTION("SPLIT(A448, "" |"")"),222501.0)</f>
        <v>222501</v>
      </c>
      <c r="H450" s="19">
        <f>IFERROR(__xludf.DUMMYFUNCTION("""COMPUTED_VALUE"""),0.00456)</f>
        <v>0.00456</v>
      </c>
      <c r="I450" s="19" t="str">
        <f>IFERROR(__xludf.DUMMYFUNCTION("""COMPUTED_VALUE"""),"-")</f>
        <v>-</v>
      </c>
      <c r="J450" s="19">
        <f>IFERROR(__xludf.DUMMYFUNCTION("""COMPUTED_VALUE"""),0.01982)</f>
        <v>0.01982</v>
      </c>
      <c r="K450" s="19">
        <f>IFERROR(__xludf.DUMMYFUNCTION("""COMPUTED_VALUE"""),0.13212)</f>
        <v>0.13212</v>
      </c>
      <c r="L450" s="19" t="str">
        <f>IFERROR(__xludf.DUMMYFUNCTION("""COMPUTED_VALUE"""),"-")</f>
        <v>-</v>
      </c>
      <c r="M450" s="19" t="str">
        <f>IFERROR(__xludf.DUMMYFUNCTION("""COMPUTED_VALUE"""),"-")</f>
        <v>-</v>
      </c>
    </row>
    <row r="451">
      <c r="A451" s="12" t="s">
        <v>9241</v>
      </c>
      <c r="G451" s="19">
        <f>IFERROR(__xludf.DUMMYFUNCTION("SPLIT(A449, "" |"")"),223001.0)</f>
        <v>223001</v>
      </c>
      <c r="H451" s="19">
        <f>IFERROR(__xludf.DUMMYFUNCTION("""COMPUTED_VALUE"""),0.00485)</f>
        <v>0.00485</v>
      </c>
      <c r="I451" s="19" t="str">
        <f>IFERROR(__xludf.DUMMYFUNCTION("""COMPUTED_VALUE"""),"-")</f>
        <v>-</v>
      </c>
      <c r="J451" s="19">
        <f>IFERROR(__xludf.DUMMYFUNCTION("""COMPUTED_VALUE"""),0.01964)</f>
        <v>0.01964</v>
      </c>
      <c r="K451" s="19">
        <f>IFERROR(__xludf.DUMMYFUNCTION("""COMPUTED_VALUE"""),0.13174)</f>
        <v>0.13174</v>
      </c>
      <c r="L451" s="19" t="str">
        <f>IFERROR(__xludf.DUMMYFUNCTION("""COMPUTED_VALUE"""),"-")</f>
        <v>-</v>
      </c>
      <c r="M451" s="19" t="str">
        <f>IFERROR(__xludf.DUMMYFUNCTION("""COMPUTED_VALUE"""),"-")</f>
        <v>-</v>
      </c>
    </row>
    <row r="452">
      <c r="A452" s="12" t="s">
        <v>9242</v>
      </c>
      <c r="G452" s="19">
        <f>IFERROR(__xludf.DUMMYFUNCTION("SPLIT(A450, "" |"")"),223501.0)</f>
        <v>223501</v>
      </c>
      <c r="H452" s="19">
        <f>IFERROR(__xludf.DUMMYFUNCTION("""COMPUTED_VALUE"""),0.00488)</f>
        <v>0.00488</v>
      </c>
      <c r="I452" s="19" t="str">
        <f>IFERROR(__xludf.DUMMYFUNCTION("""COMPUTED_VALUE"""),"-")</f>
        <v>-</v>
      </c>
      <c r="J452" s="19">
        <f>IFERROR(__xludf.DUMMYFUNCTION("""COMPUTED_VALUE"""),0.01991)</f>
        <v>0.01991</v>
      </c>
      <c r="K452" s="19">
        <f>IFERROR(__xludf.DUMMYFUNCTION("""COMPUTED_VALUE"""),0.1307)</f>
        <v>0.1307</v>
      </c>
      <c r="L452" s="19" t="str">
        <f>IFERROR(__xludf.DUMMYFUNCTION("""COMPUTED_VALUE"""),"-")</f>
        <v>-</v>
      </c>
      <c r="M452" s="19" t="str">
        <f>IFERROR(__xludf.DUMMYFUNCTION("""COMPUTED_VALUE"""),"-")</f>
        <v>-</v>
      </c>
    </row>
    <row r="453">
      <c r="A453" s="12" t="s">
        <v>9243</v>
      </c>
      <c r="G453" s="19">
        <f>IFERROR(__xludf.DUMMYFUNCTION("SPLIT(A451, "" |"")"),224001.0)</f>
        <v>224001</v>
      </c>
      <c r="H453" s="19">
        <f>IFERROR(__xludf.DUMMYFUNCTION("""COMPUTED_VALUE"""),0.00527)</f>
        <v>0.00527</v>
      </c>
      <c r="I453" s="19" t="str">
        <f>IFERROR(__xludf.DUMMYFUNCTION("""COMPUTED_VALUE"""),"-")</f>
        <v>-</v>
      </c>
      <c r="J453" s="19">
        <f>IFERROR(__xludf.DUMMYFUNCTION("""COMPUTED_VALUE"""),0.01985)</f>
        <v>0.01985</v>
      </c>
      <c r="K453" s="19">
        <f>IFERROR(__xludf.DUMMYFUNCTION("""COMPUTED_VALUE"""),0.12909)</f>
        <v>0.12909</v>
      </c>
      <c r="L453" s="19" t="str">
        <f>IFERROR(__xludf.DUMMYFUNCTION("""COMPUTED_VALUE"""),"-")</f>
        <v>-</v>
      </c>
      <c r="M453" s="19" t="str">
        <f>IFERROR(__xludf.DUMMYFUNCTION("""COMPUTED_VALUE"""),"-")</f>
        <v>-</v>
      </c>
    </row>
    <row r="454">
      <c r="A454" s="12" t="s">
        <v>9244</v>
      </c>
      <c r="G454" s="19">
        <f>IFERROR(__xludf.DUMMYFUNCTION("SPLIT(A452, "" |"")"),224501.0)</f>
        <v>224501</v>
      </c>
      <c r="H454" s="19">
        <f>IFERROR(__xludf.DUMMYFUNCTION("""COMPUTED_VALUE"""),0.00481)</f>
        <v>0.00481</v>
      </c>
      <c r="I454" s="19" t="str">
        <f>IFERROR(__xludf.DUMMYFUNCTION("""COMPUTED_VALUE"""),"-")</f>
        <v>-</v>
      </c>
      <c r="J454" s="19">
        <f>IFERROR(__xludf.DUMMYFUNCTION("""COMPUTED_VALUE"""),0.01971)</f>
        <v>0.01971</v>
      </c>
      <c r="K454" s="19">
        <f>IFERROR(__xludf.DUMMYFUNCTION("""COMPUTED_VALUE"""),0.13191)</f>
        <v>0.13191</v>
      </c>
      <c r="L454" s="19" t="str">
        <f>IFERROR(__xludf.DUMMYFUNCTION("""COMPUTED_VALUE"""),"-")</f>
        <v>-</v>
      </c>
      <c r="M454" s="19" t="str">
        <f>IFERROR(__xludf.DUMMYFUNCTION("""COMPUTED_VALUE"""),"-")</f>
        <v>-</v>
      </c>
    </row>
    <row r="455">
      <c r="A455" s="12" t="s">
        <v>9245</v>
      </c>
      <c r="G455" s="19">
        <f>IFERROR(__xludf.DUMMYFUNCTION("SPLIT(A453, "" |"")"),225001.0)</f>
        <v>225001</v>
      </c>
      <c r="H455" s="19">
        <f>IFERROR(__xludf.DUMMYFUNCTION("""COMPUTED_VALUE"""),0.00479)</f>
        <v>0.00479</v>
      </c>
      <c r="I455" s="19" t="str">
        <f>IFERROR(__xludf.DUMMYFUNCTION("""COMPUTED_VALUE"""),"-")</f>
        <v>-</v>
      </c>
      <c r="J455" s="19">
        <f>IFERROR(__xludf.DUMMYFUNCTION("""COMPUTED_VALUE"""),0.01968)</f>
        <v>0.01968</v>
      </c>
      <c r="K455" s="19">
        <f>IFERROR(__xludf.DUMMYFUNCTION("""COMPUTED_VALUE"""),0.12724)</f>
        <v>0.12724</v>
      </c>
      <c r="L455" s="19" t="str">
        <f>IFERROR(__xludf.DUMMYFUNCTION("""COMPUTED_VALUE"""),"-")</f>
        <v>-</v>
      </c>
      <c r="M455" s="19" t="str">
        <f>IFERROR(__xludf.DUMMYFUNCTION("""COMPUTED_VALUE"""),"-")</f>
        <v>-</v>
      </c>
    </row>
    <row r="456">
      <c r="A456" s="12" t="s">
        <v>9246</v>
      </c>
      <c r="G456" s="19">
        <f>IFERROR(__xludf.DUMMYFUNCTION("SPLIT(A454, "" |"")"),225501.0)</f>
        <v>225501</v>
      </c>
      <c r="H456" s="19">
        <f>IFERROR(__xludf.DUMMYFUNCTION("""COMPUTED_VALUE"""),0.00483)</f>
        <v>0.00483</v>
      </c>
      <c r="I456" s="19" t="str">
        <f>IFERROR(__xludf.DUMMYFUNCTION("""COMPUTED_VALUE"""),"-")</f>
        <v>-</v>
      </c>
      <c r="J456" s="19">
        <f>IFERROR(__xludf.DUMMYFUNCTION("""COMPUTED_VALUE"""),0.01971)</f>
        <v>0.01971</v>
      </c>
      <c r="K456" s="19">
        <f>IFERROR(__xludf.DUMMYFUNCTION("""COMPUTED_VALUE"""),0.13211)</f>
        <v>0.13211</v>
      </c>
      <c r="L456" s="19" t="str">
        <f>IFERROR(__xludf.DUMMYFUNCTION("""COMPUTED_VALUE"""),"-")</f>
        <v>-</v>
      </c>
      <c r="M456" s="19" t="str">
        <f>IFERROR(__xludf.DUMMYFUNCTION("""COMPUTED_VALUE"""),"-")</f>
        <v>-</v>
      </c>
    </row>
    <row r="457">
      <c r="A457" s="12" t="s">
        <v>9247</v>
      </c>
      <c r="G457" s="19">
        <f>IFERROR(__xludf.DUMMYFUNCTION("SPLIT(A455, "" |"")"),226001.0)</f>
        <v>226001</v>
      </c>
      <c r="H457" s="19">
        <f>IFERROR(__xludf.DUMMYFUNCTION("""COMPUTED_VALUE"""),0.00482)</f>
        <v>0.00482</v>
      </c>
      <c r="I457" s="19" t="str">
        <f>IFERROR(__xludf.DUMMYFUNCTION("""COMPUTED_VALUE"""),"-")</f>
        <v>-</v>
      </c>
      <c r="J457" s="19">
        <f>IFERROR(__xludf.DUMMYFUNCTION("""COMPUTED_VALUE"""),0.01969)</f>
        <v>0.01969</v>
      </c>
      <c r="K457" s="19">
        <f>IFERROR(__xludf.DUMMYFUNCTION("""COMPUTED_VALUE"""),0.13284)</f>
        <v>0.13284</v>
      </c>
      <c r="L457" s="19" t="str">
        <f>IFERROR(__xludf.DUMMYFUNCTION("""COMPUTED_VALUE"""),"-")</f>
        <v>-</v>
      </c>
      <c r="M457" s="19" t="str">
        <f>IFERROR(__xludf.DUMMYFUNCTION("""COMPUTED_VALUE"""),"-")</f>
        <v>-</v>
      </c>
    </row>
    <row r="458">
      <c r="A458" s="12" t="s">
        <v>9248</v>
      </c>
      <c r="G458" s="19">
        <f>IFERROR(__xludf.DUMMYFUNCTION("SPLIT(A456, "" |"")"),226501.0)</f>
        <v>226501</v>
      </c>
      <c r="H458" s="19">
        <f>IFERROR(__xludf.DUMMYFUNCTION("""COMPUTED_VALUE"""),0.00489)</f>
        <v>0.00489</v>
      </c>
      <c r="I458" s="19" t="str">
        <f>IFERROR(__xludf.DUMMYFUNCTION("""COMPUTED_VALUE"""),"-")</f>
        <v>-</v>
      </c>
      <c r="J458" s="19">
        <f>IFERROR(__xludf.DUMMYFUNCTION("""COMPUTED_VALUE"""),0.01968)</f>
        <v>0.01968</v>
      </c>
      <c r="K458" s="19">
        <f>IFERROR(__xludf.DUMMYFUNCTION("""COMPUTED_VALUE"""),0.13022)</f>
        <v>0.13022</v>
      </c>
      <c r="L458" s="19" t="str">
        <f>IFERROR(__xludf.DUMMYFUNCTION("""COMPUTED_VALUE"""),"-")</f>
        <v>-</v>
      </c>
      <c r="M458" s="19" t="str">
        <f>IFERROR(__xludf.DUMMYFUNCTION("""COMPUTED_VALUE"""),"-")</f>
        <v>-</v>
      </c>
    </row>
    <row r="459">
      <c r="A459" s="12" t="s">
        <v>9249</v>
      </c>
      <c r="G459" s="19">
        <f>IFERROR(__xludf.DUMMYFUNCTION("SPLIT(A457, "" |"")"),227001.0)</f>
        <v>227001</v>
      </c>
      <c r="H459" s="19">
        <f>IFERROR(__xludf.DUMMYFUNCTION("""COMPUTED_VALUE"""),0.00491)</f>
        <v>0.00491</v>
      </c>
      <c r="I459" s="19" t="str">
        <f>IFERROR(__xludf.DUMMYFUNCTION("""COMPUTED_VALUE"""),"-")</f>
        <v>-</v>
      </c>
      <c r="J459" s="19">
        <f>IFERROR(__xludf.DUMMYFUNCTION("""COMPUTED_VALUE"""),0.01965)</f>
        <v>0.01965</v>
      </c>
      <c r="K459" s="19">
        <f>IFERROR(__xludf.DUMMYFUNCTION("""COMPUTED_VALUE"""),0.13082)</f>
        <v>0.13082</v>
      </c>
      <c r="L459" s="19" t="str">
        <f>IFERROR(__xludf.DUMMYFUNCTION("""COMPUTED_VALUE"""),"-")</f>
        <v>-</v>
      </c>
      <c r="M459" s="19" t="str">
        <f>IFERROR(__xludf.DUMMYFUNCTION("""COMPUTED_VALUE"""),"-")</f>
        <v>-</v>
      </c>
    </row>
    <row r="460">
      <c r="A460" s="12" t="s">
        <v>9250</v>
      </c>
      <c r="G460" s="19">
        <f>IFERROR(__xludf.DUMMYFUNCTION("SPLIT(A458, "" |"")"),227501.0)</f>
        <v>227501</v>
      </c>
      <c r="H460" s="19">
        <f>IFERROR(__xludf.DUMMYFUNCTION("""COMPUTED_VALUE"""),0.00482)</f>
        <v>0.00482</v>
      </c>
      <c r="I460" s="19" t="str">
        <f>IFERROR(__xludf.DUMMYFUNCTION("""COMPUTED_VALUE"""),"-")</f>
        <v>-</v>
      </c>
      <c r="J460" s="19">
        <f>IFERROR(__xludf.DUMMYFUNCTION("""COMPUTED_VALUE"""),0.01967)</f>
        <v>0.01967</v>
      </c>
      <c r="K460" s="19">
        <f>IFERROR(__xludf.DUMMYFUNCTION("""COMPUTED_VALUE"""),0.13183)</f>
        <v>0.13183</v>
      </c>
      <c r="L460" s="19" t="str">
        <f>IFERROR(__xludf.DUMMYFUNCTION("""COMPUTED_VALUE"""),"-")</f>
        <v>-</v>
      </c>
      <c r="M460" s="19" t="str">
        <f>IFERROR(__xludf.DUMMYFUNCTION("""COMPUTED_VALUE"""),"-")</f>
        <v>-</v>
      </c>
    </row>
    <row r="461">
      <c r="A461" s="12" t="s">
        <v>9251</v>
      </c>
      <c r="G461" s="19">
        <f>IFERROR(__xludf.DUMMYFUNCTION("SPLIT(A459, "" |"")"),228001.0)</f>
        <v>228001</v>
      </c>
      <c r="H461" s="19">
        <f>IFERROR(__xludf.DUMMYFUNCTION("""COMPUTED_VALUE"""),0.00482)</f>
        <v>0.00482</v>
      </c>
      <c r="I461" s="19" t="str">
        <f>IFERROR(__xludf.DUMMYFUNCTION("""COMPUTED_VALUE"""),"-")</f>
        <v>-</v>
      </c>
      <c r="J461" s="19">
        <f>IFERROR(__xludf.DUMMYFUNCTION("""COMPUTED_VALUE"""),0.0197)</f>
        <v>0.0197</v>
      </c>
      <c r="K461" s="19">
        <f>IFERROR(__xludf.DUMMYFUNCTION("""COMPUTED_VALUE"""),0.1289)</f>
        <v>0.1289</v>
      </c>
      <c r="L461" s="19" t="str">
        <f>IFERROR(__xludf.DUMMYFUNCTION("""COMPUTED_VALUE"""),"-")</f>
        <v>-</v>
      </c>
      <c r="M461" s="19" t="str">
        <f>IFERROR(__xludf.DUMMYFUNCTION("""COMPUTED_VALUE"""),"-")</f>
        <v>-</v>
      </c>
    </row>
    <row r="462">
      <c r="A462" s="12" t="s">
        <v>9252</v>
      </c>
      <c r="G462" s="19">
        <f>IFERROR(__xludf.DUMMYFUNCTION("SPLIT(A460, "" |"")"),228501.0)</f>
        <v>228501</v>
      </c>
      <c r="H462" s="19">
        <f>IFERROR(__xludf.DUMMYFUNCTION("""COMPUTED_VALUE"""),0.00475)</f>
        <v>0.00475</v>
      </c>
      <c r="I462" s="19" t="str">
        <f>IFERROR(__xludf.DUMMYFUNCTION("""COMPUTED_VALUE"""),"-")</f>
        <v>-</v>
      </c>
      <c r="J462" s="19">
        <f>IFERROR(__xludf.DUMMYFUNCTION("""COMPUTED_VALUE"""),0.01968)</f>
        <v>0.01968</v>
      </c>
      <c r="K462" s="19">
        <f>IFERROR(__xludf.DUMMYFUNCTION("""COMPUTED_VALUE"""),0.12753)</f>
        <v>0.12753</v>
      </c>
      <c r="L462" s="19" t="str">
        <f>IFERROR(__xludf.DUMMYFUNCTION("""COMPUTED_VALUE"""),"-")</f>
        <v>-</v>
      </c>
      <c r="M462" s="19" t="str">
        <f>IFERROR(__xludf.DUMMYFUNCTION("""COMPUTED_VALUE"""),"-")</f>
        <v>-</v>
      </c>
    </row>
    <row r="463">
      <c r="A463" s="12" t="s">
        <v>9253</v>
      </c>
      <c r="G463" s="19">
        <f>IFERROR(__xludf.DUMMYFUNCTION("SPLIT(A461, "" |"")"),229001.0)</f>
        <v>229001</v>
      </c>
      <c r="H463" s="19">
        <f>IFERROR(__xludf.DUMMYFUNCTION("""COMPUTED_VALUE"""),0.0048)</f>
        <v>0.0048</v>
      </c>
      <c r="I463" s="19" t="str">
        <f>IFERROR(__xludf.DUMMYFUNCTION("""COMPUTED_VALUE"""),"-")</f>
        <v>-</v>
      </c>
      <c r="J463" s="19">
        <f>IFERROR(__xludf.DUMMYFUNCTION("""COMPUTED_VALUE"""),0.01916)</f>
        <v>0.01916</v>
      </c>
      <c r="K463" s="19">
        <f>IFERROR(__xludf.DUMMYFUNCTION("""COMPUTED_VALUE"""),0.13135)</f>
        <v>0.13135</v>
      </c>
      <c r="L463" s="19" t="str">
        <f>IFERROR(__xludf.DUMMYFUNCTION("""COMPUTED_VALUE"""),"-")</f>
        <v>-</v>
      </c>
      <c r="M463" s="19" t="str">
        <f>IFERROR(__xludf.DUMMYFUNCTION("""COMPUTED_VALUE"""),"-")</f>
        <v>-</v>
      </c>
    </row>
    <row r="464">
      <c r="A464" s="12" t="s">
        <v>9254</v>
      </c>
      <c r="G464" s="19">
        <f>IFERROR(__xludf.DUMMYFUNCTION("SPLIT(A462, "" |"")"),229501.0)</f>
        <v>229501</v>
      </c>
      <c r="H464" s="19">
        <f>IFERROR(__xludf.DUMMYFUNCTION("""COMPUTED_VALUE"""),0.00488)</f>
        <v>0.00488</v>
      </c>
      <c r="I464" s="19" t="str">
        <f>IFERROR(__xludf.DUMMYFUNCTION("""COMPUTED_VALUE"""),"-")</f>
        <v>-</v>
      </c>
      <c r="J464" s="19">
        <f>IFERROR(__xludf.DUMMYFUNCTION("""COMPUTED_VALUE"""),0.01967)</f>
        <v>0.01967</v>
      </c>
      <c r="K464" s="19">
        <f>IFERROR(__xludf.DUMMYFUNCTION("""COMPUTED_VALUE"""),0.13177)</f>
        <v>0.13177</v>
      </c>
      <c r="L464" s="19" t="str">
        <f>IFERROR(__xludf.DUMMYFUNCTION("""COMPUTED_VALUE"""),"-")</f>
        <v>-</v>
      </c>
      <c r="M464" s="19" t="str">
        <f>IFERROR(__xludf.DUMMYFUNCTION("""COMPUTED_VALUE"""),"-")</f>
        <v>-</v>
      </c>
    </row>
    <row r="465">
      <c r="A465" s="12" t="s">
        <v>9255</v>
      </c>
      <c r="G465" s="19">
        <f>IFERROR(__xludf.DUMMYFUNCTION("SPLIT(A463, "" |"")"),230001.0)</f>
        <v>230001</v>
      </c>
      <c r="H465" s="19">
        <f>IFERROR(__xludf.DUMMYFUNCTION("""COMPUTED_VALUE"""),0.00479)</f>
        <v>0.00479</v>
      </c>
      <c r="I465" s="19" t="str">
        <f>IFERROR(__xludf.DUMMYFUNCTION("""COMPUTED_VALUE"""),"-")</f>
        <v>-</v>
      </c>
      <c r="J465" s="19">
        <f>IFERROR(__xludf.DUMMYFUNCTION("""COMPUTED_VALUE"""),0.01967)</f>
        <v>0.01967</v>
      </c>
      <c r="K465" s="19">
        <f>IFERROR(__xludf.DUMMYFUNCTION("""COMPUTED_VALUE"""),0.13186)</f>
        <v>0.13186</v>
      </c>
      <c r="L465" s="19" t="str">
        <f>IFERROR(__xludf.DUMMYFUNCTION("""COMPUTED_VALUE"""),"-")</f>
        <v>-</v>
      </c>
      <c r="M465" s="19" t="str">
        <f>IFERROR(__xludf.DUMMYFUNCTION("""COMPUTED_VALUE"""),"-")</f>
        <v>-</v>
      </c>
    </row>
    <row r="466">
      <c r="A466" s="12" t="s">
        <v>9256</v>
      </c>
      <c r="G466" s="19">
        <f>IFERROR(__xludf.DUMMYFUNCTION("SPLIT(A464, "" |"")"),230501.0)</f>
        <v>230501</v>
      </c>
      <c r="H466" s="19">
        <f>IFERROR(__xludf.DUMMYFUNCTION("""COMPUTED_VALUE"""),0.00469)</f>
        <v>0.00469</v>
      </c>
      <c r="I466" s="19" t="str">
        <f>IFERROR(__xludf.DUMMYFUNCTION("""COMPUTED_VALUE"""),"-")</f>
        <v>-</v>
      </c>
      <c r="J466" s="19">
        <f>IFERROR(__xludf.DUMMYFUNCTION("""COMPUTED_VALUE"""),0.01959)</f>
        <v>0.01959</v>
      </c>
      <c r="K466" s="19">
        <f>IFERROR(__xludf.DUMMYFUNCTION("""COMPUTED_VALUE"""),0.13201)</f>
        <v>0.13201</v>
      </c>
      <c r="L466" s="19" t="str">
        <f>IFERROR(__xludf.DUMMYFUNCTION("""COMPUTED_VALUE"""),"-")</f>
        <v>-</v>
      </c>
      <c r="M466" s="19" t="str">
        <f>IFERROR(__xludf.DUMMYFUNCTION("""COMPUTED_VALUE"""),"-")</f>
        <v>-</v>
      </c>
    </row>
    <row r="467">
      <c r="A467" s="12" t="s">
        <v>9257</v>
      </c>
      <c r="G467" s="19">
        <f>IFERROR(__xludf.DUMMYFUNCTION("SPLIT(A465, "" |"")"),231001.0)</f>
        <v>231001</v>
      </c>
      <c r="H467" s="19">
        <f>IFERROR(__xludf.DUMMYFUNCTION("""COMPUTED_VALUE"""),0.00482)</f>
        <v>0.00482</v>
      </c>
      <c r="I467" s="19" t="str">
        <f>IFERROR(__xludf.DUMMYFUNCTION("""COMPUTED_VALUE"""),"-")</f>
        <v>-</v>
      </c>
      <c r="J467" s="19">
        <f>IFERROR(__xludf.DUMMYFUNCTION("""COMPUTED_VALUE"""),0.01968)</f>
        <v>0.01968</v>
      </c>
      <c r="K467" s="19">
        <f>IFERROR(__xludf.DUMMYFUNCTION("""COMPUTED_VALUE"""),0.13147)</f>
        <v>0.13147</v>
      </c>
      <c r="L467" s="19" t="str">
        <f>IFERROR(__xludf.DUMMYFUNCTION("""COMPUTED_VALUE"""),"-")</f>
        <v>-</v>
      </c>
      <c r="M467" s="19" t="str">
        <f>IFERROR(__xludf.DUMMYFUNCTION("""COMPUTED_VALUE"""),"-")</f>
        <v>-</v>
      </c>
    </row>
    <row r="468">
      <c r="A468" s="12" t="s">
        <v>9258</v>
      </c>
      <c r="G468" s="19">
        <f>IFERROR(__xludf.DUMMYFUNCTION("SPLIT(A466, "" |"")"),231501.0)</f>
        <v>231501</v>
      </c>
      <c r="H468" s="19">
        <f>IFERROR(__xludf.DUMMYFUNCTION("""COMPUTED_VALUE"""),0.00478)</f>
        <v>0.00478</v>
      </c>
      <c r="I468" s="19" t="str">
        <f>IFERROR(__xludf.DUMMYFUNCTION("""COMPUTED_VALUE"""),"-")</f>
        <v>-</v>
      </c>
      <c r="J468" s="19">
        <f>IFERROR(__xludf.DUMMYFUNCTION("""COMPUTED_VALUE"""),0.01968)</f>
        <v>0.01968</v>
      </c>
      <c r="K468" s="19">
        <f>IFERROR(__xludf.DUMMYFUNCTION("""COMPUTED_VALUE"""),0.12873)</f>
        <v>0.12873</v>
      </c>
      <c r="L468" s="19" t="str">
        <f>IFERROR(__xludf.DUMMYFUNCTION("""COMPUTED_VALUE"""),"-")</f>
        <v>-</v>
      </c>
      <c r="M468" s="19" t="str">
        <f>IFERROR(__xludf.DUMMYFUNCTION("""COMPUTED_VALUE"""),"-")</f>
        <v>-</v>
      </c>
    </row>
    <row r="469">
      <c r="A469" s="12" t="s">
        <v>9259</v>
      </c>
      <c r="G469" s="19">
        <f>IFERROR(__xludf.DUMMYFUNCTION("SPLIT(A467, "" |"")"),232001.0)</f>
        <v>232001</v>
      </c>
      <c r="H469" s="19">
        <f>IFERROR(__xludf.DUMMYFUNCTION("""COMPUTED_VALUE"""),0.00481)</f>
        <v>0.00481</v>
      </c>
      <c r="I469" s="19" t="str">
        <f>IFERROR(__xludf.DUMMYFUNCTION("""COMPUTED_VALUE"""),"-")</f>
        <v>-</v>
      </c>
      <c r="J469" s="19">
        <f>IFERROR(__xludf.DUMMYFUNCTION("""COMPUTED_VALUE"""),0.01966)</f>
        <v>0.01966</v>
      </c>
      <c r="K469" s="19">
        <f>IFERROR(__xludf.DUMMYFUNCTION("""COMPUTED_VALUE"""),0.13204)</f>
        <v>0.13204</v>
      </c>
      <c r="L469" s="19" t="str">
        <f>IFERROR(__xludf.DUMMYFUNCTION("""COMPUTED_VALUE"""),"-")</f>
        <v>-</v>
      </c>
      <c r="M469" s="19" t="str">
        <f>IFERROR(__xludf.DUMMYFUNCTION("""COMPUTED_VALUE"""),"-")</f>
        <v>-</v>
      </c>
    </row>
    <row r="470">
      <c r="A470" s="12" t="s">
        <v>9260</v>
      </c>
      <c r="G470" s="19">
        <f>IFERROR(__xludf.DUMMYFUNCTION("SPLIT(A468, "" |"")"),232501.0)</f>
        <v>232501</v>
      </c>
      <c r="H470" s="19">
        <f>IFERROR(__xludf.DUMMYFUNCTION("""COMPUTED_VALUE"""),0.0048)</f>
        <v>0.0048</v>
      </c>
      <c r="I470" s="19" t="str">
        <f>IFERROR(__xludf.DUMMYFUNCTION("""COMPUTED_VALUE"""),"-")</f>
        <v>-</v>
      </c>
      <c r="J470" s="19">
        <f>IFERROR(__xludf.DUMMYFUNCTION("""COMPUTED_VALUE"""),0.01972)</f>
        <v>0.01972</v>
      </c>
      <c r="K470" s="19">
        <f>IFERROR(__xludf.DUMMYFUNCTION("""COMPUTED_VALUE"""),0.12847)</f>
        <v>0.12847</v>
      </c>
      <c r="L470" s="19" t="str">
        <f>IFERROR(__xludf.DUMMYFUNCTION("""COMPUTED_VALUE"""),"-")</f>
        <v>-</v>
      </c>
      <c r="M470" s="19" t="str">
        <f>IFERROR(__xludf.DUMMYFUNCTION("""COMPUTED_VALUE"""),"-")</f>
        <v>-</v>
      </c>
    </row>
    <row r="471">
      <c r="A471" s="12" t="s">
        <v>9261</v>
      </c>
      <c r="G471" s="19">
        <f>IFERROR(__xludf.DUMMYFUNCTION("SPLIT(A469, "" |"")"),233001.0)</f>
        <v>233001</v>
      </c>
      <c r="H471" s="19">
        <f>IFERROR(__xludf.DUMMYFUNCTION("""COMPUTED_VALUE"""),0.00481)</f>
        <v>0.00481</v>
      </c>
      <c r="I471" s="19" t="str">
        <f>IFERROR(__xludf.DUMMYFUNCTION("""COMPUTED_VALUE"""),"-")</f>
        <v>-</v>
      </c>
      <c r="J471" s="19">
        <f>IFERROR(__xludf.DUMMYFUNCTION("""COMPUTED_VALUE"""),0.01969)</f>
        <v>0.01969</v>
      </c>
      <c r="K471" s="19">
        <f>IFERROR(__xludf.DUMMYFUNCTION("""COMPUTED_VALUE"""),0.13194)</f>
        <v>0.13194</v>
      </c>
      <c r="L471" s="19" t="str">
        <f>IFERROR(__xludf.DUMMYFUNCTION("""COMPUTED_VALUE"""),"-")</f>
        <v>-</v>
      </c>
      <c r="M471" s="19" t="str">
        <f>IFERROR(__xludf.DUMMYFUNCTION("""COMPUTED_VALUE"""),"-")</f>
        <v>-</v>
      </c>
    </row>
    <row r="472">
      <c r="A472" s="12" t="s">
        <v>9262</v>
      </c>
      <c r="G472" s="19">
        <f>IFERROR(__xludf.DUMMYFUNCTION("SPLIT(A470, "" |"")"),233501.0)</f>
        <v>233501</v>
      </c>
      <c r="H472" s="19">
        <f>IFERROR(__xludf.DUMMYFUNCTION("""COMPUTED_VALUE"""),0.0047)</f>
        <v>0.0047</v>
      </c>
      <c r="I472" s="19" t="str">
        <f>IFERROR(__xludf.DUMMYFUNCTION("""COMPUTED_VALUE"""),"-")</f>
        <v>-</v>
      </c>
      <c r="J472" s="19">
        <f>IFERROR(__xludf.DUMMYFUNCTION("""COMPUTED_VALUE"""),0.01967)</f>
        <v>0.01967</v>
      </c>
      <c r="K472" s="19">
        <f>IFERROR(__xludf.DUMMYFUNCTION("""COMPUTED_VALUE"""),0.13199)</f>
        <v>0.13199</v>
      </c>
      <c r="L472" s="19" t="str">
        <f>IFERROR(__xludf.DUMMYFUNCTION("""COMPUTED_VALUE"""),"-")</f>
        <v>-</v>
      </c>
      <c r="M472" s="19" t="str">
        <f>IFERROR(__xludf.DUMMYFUNCTION("""COMPUTED_VALUE"""),"-")</f>
        <v>-</v>
      </c>
    </row>
    <row r="473">
      <c r="A473" s="12" t="s">
        <v>9263</v>
      </c>
      <c r="G473" s="19">
        <f>IFERROR(__xludf.DUMMYFUNCTION("SPLIT(A471, "" |"")"),234001.0)</f>
        <v>234001</v>
      </c>
      <c r="H473" s="19">
        <f>IFERROR(__xludf.DUMMYFUNCTION("""COMPUTED_VALUE"""),0.00491)</f>
        <v>0.00491</v>
      </c>
      <c r="I473" s="19" t="str">
        <f>IFERROR(__xludf.DUMMYFUNCTION("""COMPUTED_VALUE"""),"-")</f>
        <v>-</v>
      </c>
      <c r="J473" s="19">
        <f>IFERROR(__xludf.DUMMYFUNCTION("""COMPUTED_VALUE"""),0.01984)</f>
        <v>0.01984</v>
      </c>
      <c r="K473" s="19">
        <f>IFERROR(__xludf.DUMMYFUNCTION("""COMPUTED_VALUE"""),0.132)</f>
        <v>0.132</v>
      </c>
      <c r="L473" s="19" t="str">
        <f>IFERROR(__xludf.DUMMYFUNCTION("""COMPUTED_VALUE"""),"-")</f>
        <v>-</v>
      </c>
      <c r="M473" s="19" t="str">
        <f>IFERROR(__xludf.DUMMYFUNCTION("""COMPUTED_VALUE"""),"-")</f>
        <v>-</v>
      </c>
    </row>
    <row r="474">
      <c r="A474" s="12" t="s">
        <v>9264</v>
      </c>
      <c r="G474" s="19">
        <f>IFERROR(__xludf.DUMMYFUNCTION("SPLIT(A472, "" |"")"),234501.0)</f>
        <v>234501</v>
      </c>
      <c r="H474" s="19">
        <f>IFERROR(__xludf.DUMMYFUNCTION("""COMPUTED_VALUE"""),0.00479)</f>
        <v>0.00479</v>
      </c>
      <c r="I474" s="19" t="str">
        <f>IFERROR(__xludf.DUMMYFUNCTION("""COMPUTED_VALUE"""),"-")</f>
        <v>-</v>
      </c>
      <c r="J474" s="19">
        <f>IFERROR(__xludf.DUMMYFUNCTION("""COMPUTED_VALUE"""),0.01973)</f>
        <v>0.01973</v>
      </c>
      <c r="K474" s="19">
        <f>IFERROR(__xludf.DUMMYFUNCTION("""COMPUTED_VALUE"""),0.12834)</f>
        <v>0.12834</v>
      </c>
      <c r="L474" s="19" t="str">
        <f>IFERROR(__xludf.DUMMYFUNCTION("""COMPUTED_VALUE"""),"-")</f>
        <v>-</v>
      </c>
      <c r="M474" s="19" t="str">
        <f>IFERROR(__xludf.DUMMYFUNCTION("""COMPUTED_VALUE"""),"-")</f>
        <v>-</v>
      </c>
    </row>
    <row r="475">
      <c r="A475" s="12" t="s">
        <v>9265</v>
      </c>
      <c r="G475" s="19">
        <f>IFERROR(__xludf.DUMMYFUNCTION("SPLIT(A473, "" |"")"),235001.0)</f>
        <v>235001</v>
      </c>
      <c r="H475" s="19">
        <f>IFERROR(__xludf.DUMMYFUNCTION("""COMPUTED_VALUE"""),0.00484)</f>
        <v>0.00484</v>
      </c>
      <c r="I475" s="19" t="str">
        <f>IFERROR(__xludf.DUMMYFUNCTION("""COMPUTED_VALUE"""),"-")</f>
        <v>-</v>
      </c>
      <c r="J475" s="19">
        <f>IFERROR(__xludf.DUMMYFUNCTION("""COMPUTED_VALUE"""),0.01974)</f>
        <v>0.01974</v>
      </c>
      <c r="K475" s="19">
        <f>IFERROR(__xludf.DUMMYFUNCTION("""COMPUTED_VALUE"""),0.13203)</f>
        <v>0.13203</v>
      </c>
      <c r="L475" s="19" t="str">
        <f>IFERROR(__xludf.DUMMYFUNCTION("""COMPUTED_VALUE"""),"-")</f>
        <v>-</v>
      </c>
      <c r="M475" s="19" t="str">
        <f>IFERROR(__xludf.DUMMYFUNCTION("""COMPUTED_VALUE"""),"-")</f>
        <v>-</v>
      </c>
    </row>
    <row r="476">
      <c r="A476" s="12" t="s">
        <v>9266</v>
      </c>
      <c r="G476" s="19">
        <f>IFERROR(__xludf.DUMMYFUNCTION("SPLIT(A474, "" |"")"),235501.0)</f>
        <v>235501</v>
      </c>
      <c r="H476" s="19">
        <f>IFERROR(__xludf.DUMMYFUNCTION("""COMPUTED_VALUE"""),0.00486)</f>
        <v>0.00486</v>
      </c>
      <c r="I476" s="19" t="str">
        <f>IFERROR(__xludf.DUMMYFUNCTION("""COMPUTED_VALUE"""),"-")</f>
        <v>-</v>
      </c>
      <c r="J476" s="19">
        <f>IFERROR(__xludf.DUMMYFUNCTION("""COMPUTED_VALUE"""),0.02005)</f>
        <v>0.02005</v>
      </c>
      <c r="K476" s="19">
        <f>IFERROR(__xludf.DUMMYFUNCTION("""COMPUTED_VALUE"""),0.13177)</f>
        <v>0.13177</v>
      </c>
      <c r="L476" s="19" t="str">
        <f>IFERROR(__xludf.DUMMYFUNCTION("""COMPUTED_VALUE"""),"-")</f>
        <v>-</v>
      </c>
      <c r="M476" s="19" t="str">
        <f>IFERROR(__xludf.DUMMYFUNCTION("""COMPUTED_VALUE"""),"-")</f>
        <v>-</v>
      </c>
    </row>
    <row r="477">
      <c r="A477" s="12" t="s">
        <v>9267</v>
      </c>
      <c r="G477" s="19">
        <f>IFERROR(__xludf.DUMMYFUNCTION("SPLIT(A475, "" |"")"),236001.0)</f>
        <v>236001</v>
      </c>
      <c r="H477" s="19">
        <f>IFERROR(__xludf.DUMMYFUNCTION("""COMPUTED_VALUE"""),0.00493)</f>
        <v>0.00493</v>
      </c>
      <c r="I477" s="19" t="str">
        <f>IFERROR(__xludf.DUMMYFUNCTION("""COMPUTED_VALUE"""),"-")</f>
        <v>-</v>
      </c>
      <c r="J477" s="19">
        <f>IFERROR(__xludf.DUMMYFUNCTION("""COMPUTED_VALUE"""),0.01974)</f>
        <v>0.01974</v>
      </c>
      <c r="K477" s="19">
        <f>IFERROR(__xludf.DUMMYFUNCTION("""COMPUTED_VALUE"""),0.12969)</f>
        <v>0.12969</v>
      </c>
      <c r="L477" s="19" t="str">
        <f>IFERROR(__xludf.DUMMYFUNCTION("""COMPUTED_VALUE"""),"-")</f>
        <v>-</v>
      </c>
      <c r="M477" s="19" t="str">
        <f>IFERROR(__xludf.DUMMYFUNCTION("""COMPUTED_VALUE"""),"-")</f>
        <v>-</v>
      </c>
    </row>
    <row r="478">
      <c r="A478" s="12" t="s">
        <v>9268</v>
      </c>
      <c r="G478" s="19">
        <f>IFERROR(__xludf.DUMMYFUNCTION("SPLIT(A476, "" |"")"),236501.0)</f>
        <v>236501</v>
      </c>
      <c r="H478" s="19">
        <f>IFERROR(__xludf.DUMMYFUNCTION("""COMPUTED_VALUE"""),0.00459)</f>
        <v>0.00459</v>
      </c>
      <c r="I478" s="19" t="str">
        <f>IFERROR(__xludf.DUMMYFUNCTION("""COMPUTED_VALUE"""),"-")</f>
        <v>-</v>
      </c>
      <c r="J478" s="19">
        <f>IFERROR(__xludf.DUMMYFUNCTION("""COMPUTED_VALUE"""),0.01936)</f>
        <v>0.01936</v>
      </c>
      <c r="K478" s="19">
        <f>IFERROR(__xludf.DUMMYFUNCTION("""COMPUTED_VALUE"""),0.12921)</f>
        <v>0.12921</v>
      </c>
      <c r="L478" s="19" t="str">
        <f>IFERROR(__xludf.DUMMYFUNCTION("""COMPUTED_VALUE"""),"-")</f>
        <v>-</v>
      </c>
      <c r="M478" s="19" t="str">
        <f>IFERROR(__xludf.DUMMYFUNCTION("""COMPUTED_VALUE"""),"-")</f>
        <v>-</v>
      </c>
    </row>
    <row r="479">
      <c r="A479" s="12" t="s">
        <v>9269</v>
      </c>
      <c r="G479" s="19">
        <f>IFERROR(__xludf.DUMMYFUNCTION("SPLIT(A477, "" |"")"),237001.0)</f>
        <v>237001</v>
      </c>
      <c r="H479" s="19">
        <f>IFERROR(__xludf.DUMMYFUNCTION("""COMPUTED_VALUE"""),0.00481)</f>
        <v>0.00481</v>
      </c>
      <c r="I479" s="19" t="str">
        <f>IFERROR(__xludf.DUMMYFUNCTION("""COMPUTED_VALUE"""),"-")</f>
        <v>-</v>
      </c>
      <c r="J479" s="19">
        <f>IFERROR(__xludf.DUMMYFUNCTION("""COMPUTED_VALUE"""),0.01972)</f>
        <v>0.01972</v>
      </c>
      <c r="K479" s="19">
        <f>IFERROR(__xludf.DUMMYFUNCTION("""COMPUTED_VALUE"""),0.13061)</f>
        <v>0.13061</v>
      </c>
      <c r="L479" s="19" t="str">
        <f>IFERROR(__xludf.DUMMYFUNCTION("""COMPUTED_VALUE"""),"-")</f>
        <v>-</v>
      </c>
      <c r="M479" s="19" t="str">
        <f>IFERROR(__xludf.DUMMYFUNCTION("""COMPUTED_VALUE"""),"-")</f>
        <v>-</v>
      </c>
    </row>
    <row r="480">
      <c r="A480" s="12" t="s">
        <v>9270</v>
      </c>
      <c r="G480" s="19">
        <f>IFERROR(__xludf.DUMMYFUNCTION("SPLIT(A478, "" |"")"),237501.0)</f>
        <v>237501</v>
      </c>
      <c r="H480" s="19">
        <f>IFERROR(__xludf.DUMMYFUNCTION("""COMPUTED_VALUE"""),0.00492)</f>
        <v>0.00492</v>
      </c>
      <c r="I480" s="19" t="str">
        <f>IFERROR(__xludf.DUMMYFUNCTION("""COMPUTED_VALUE"""),"-")</f>
        <v>-</v>
      </c>
      <c r="J480" s="19">
        <f>IFERROR(__xludf.DUMMYFUNCTION("""COMPUTED_VALUE"""),0.01872)</f>
        <v>0.01872</v>
      </c>
      <c r="K480" s="19">
        <f>IFERROR(__xludf.DUMMYFUNCTION("""COMPUTED_VALUE"""),0.12494)</f>
        <v>0.12494</v>
      </c>
      <c r="L480" s="19" t="str">
        <f>IFERROR(__xludf.DUMMYFUNCTION("""COMPUTED_VALUE"""),"-")</f>
        <v>-</v>
      </c>
      <c r="M480" s="19" t="str">
        <f>IFERROR(__xludf.DUMMYFUNCTION("""COMPUTED_VALUE"""),"-")</f>
        <v>-</v>
      </c>
    </row>
    <row r="481">
      <c r="A481" s="12" t="s">
        <v>9271</v>
      </c>
      <c r="G481" s="19">
        <f>IFERROR(__xludf.DUMMYFUNCTION("SPLIT(A479, "" |"")"),238001.0)</f>
        <v>238001</v>
      </c>
      <c r="H481" s="19">
        <f>IFERROR(__xludf.DUMMYFUNCTION("""COMPUTED_VALUE"""),0.00479)</f>
        <v>0.00479</v>
      </c>
      <c r="I481" s="19" t="str">
        <f>IFERROR(__xludf.DUMMYFUNCTION("""COMPUTED_VALUE"""),"-")</f>
        <v>-</v>
      </c>
      <c r="J481" s="19">
        <f>IFERROR(__xludf.DUMMYFUNCTION("""COMPUTED_VALUE"""),0.01969)</f>
        <v>0.01969</v>
      </c>
      <c r="K481" s="19">
        <f>IFERROR(__xludf.DUMMYFUNCTION("""COMPUTED_VALUE"""),0.12612)</f>
        <v>0.12612</v>
      </c>
      <c r="L481" s="19" t="str">
        <f>IFERROR(__xludf.DUMMYFUNCTION("""COMPUTED_VALUE"""),"-")</f>
        <v>-</v>
      </c>
      <c r="M481" s="19" t="str">
        <f>IFERROR(__xludf.DUMMYFUNCTION("""COMPUTED_VALUE"""),"-")</f>
        <v>-</v>
      </c>
    </row>
    <row r="482">
      <c r="A482" s="12" t="s">
        <v>9272</v>
      </c>
      <c r="G482" s="19">
        <f>IFERROR(__xludf.DUMMYFUNCTION("SPLIT(A480, "" |"")"),238501.0)</f>
        <v>238501</v>
      </c>
      <c r="H482" s="19">
        <f>IFERROR(__xludf.DUMMYFUNCTION("""COMPUTED_VALUE"""),0.00475)</f>
        <v>0.00475</v>
      </c>
      <c r="I482" s="19" t="str">
        <f>IFERROR(__xludf.DUMMYFUNCTION("""COMPUTED_VALUE"""),"-")</f>
        <v>-</v>
      </c>
      <c r="J482" s="19">
        <f>IFERROR(__xludf.DUMMYFUNCTION("""COMPUTED_VALUE"""),0.01924)</f>
        <v>0.01924</v>
      </c>
      <c r="K482" s="19">
        <f>IFERROR(__xludf.DUMMYFUNCTION("""COMPUTED_VALUE"""),0.12911)</f>
        <v>0.12911</v>
      </c>
      <c r="L482" s="19" t="str">
        <f>IFERROR(__xludf.DUMMYFUNCTION("""COMPUTED_VALUE"""),"-")</f>
        <v>-</v>
      </c>
      <c r="M482" s="19" t="str">
        <f>IFERROR(__xludf.DUMMYFUNCTION("""COMPUTED_VALUE"""),"-")</f>
        <v>-</v>
      </c>
    </row>
    <row r="483">
      <c r="A483" s="12" t="s">
        <v>9273</v>
      </c>
      <c r="G483" s="19">
        <f>IFERROR(__xludf.DUMMYFUNCTION("SPLIT(A481, "" |"")"),239001.0)</f>
        <v>239001</v>
      </c>
      <c r="H483" s="19">
        <f>IFERROR(__xludf.DUMMYFUNCTION("""COMPUTED_VALUE"""),0.00461)</f>
        <v>0.00461</v>
      </c>
      <c r="I483" s="19" t="str">
        <f>IFERROR(__xludf.DUMMYFUNCTION("""COMPUTED_VALUE"""),"-")</f>
        <v>-</v>
      </c>
      <c r="J483" s="19">
        <f>IFERROR(__xludf.DUMMYFUNCTION("""COMPUTED_VALUE"""),0.01953)</f>
        <v>0.01953</v>
      </c>
      <c r="K483" s="19">
        <f>IFERROR(__xludf.DUMMYFUNCTION("""COMPUTED_VALUE"""),0.12425)</f>
        <v>0.12425</v>
      </c>
      <c r="L483" s="19" t="str">
        <f>IFERROR(__xludf.DUMMYFUNCTION("""COMPUTED_VALUE"""),"-")</f>
        <v>-</v>
      </c>
      <c r="M483" s="19" t="str">
        <f>IFERROR(__xludf.DUMMYFUNCTION("""COMPUTED_VALUE"""),"-")</f>
        <v>-</v>
      </c>
    </row>
    <row r="484">
      <c r="A484" s="12" t="s">
        <v>9274</v>
      </c>
      <c r="G484" s="19">
        <f>IFERROR(__xludf.DUMMYFUNCTION("SPLIT(A482, "" |"")"),239501.0)</f>
        <v>239501</v>
      </c>
      <c r="H484" s="19">
        <f>IFERROR(__xludf.DUMMYFUNCTION("""COMPUTED_VALUE"""),0.0047)</f>
        <v>0.0047</v>
      </c>
      <c r="I484" s="19" t="str">
        <f>IFERROR(__xludf.DUMMYFUNCTION("""COMPUTED_VALUE"""),"-")</f>
        <v>-</v>
      </c>
      <c r="J484" s="19">
        <f>IFERROR(__xludf.DUMMYFUNCTION("""COMPUTED_VALUE"""),0.01965)</f>
        <v>0.01965</v>
      </c>
      <c r="K484" s="19">
        <f>IFERROR(__xludf.DUMMYFUNCTION("""COMPUTED_VALUE"""),0.12952)</f>
        <v>0.12952</v>
      </c>
      <c r="L484" s="19" t="str">
        <f>IFERROR(__xludf.DUMMYFUNCTION("""COMPUTED_VALUE"""),"-")</f>
        <v>-</v>
      </c>
      <c r="M484" s="19" t="str">
        <f>IFERROR(__xludf.DUMMYFUNCTION("""COMPUTED_VALUE"""),"-")</f>
        <v>-</v>
      </c>
    </row>
    <row r="485">
      <c r="A485" s="12" t="s">
        <v>9275</v>
      </c>
      <c r="G485" s="19">
        <f>IFERROR(__xludf.DUMMYFUNCTION("SPLIT(A483, "" |"")"),240001.0)</f>
        <v>240001</v>
      </c>
      <c r="H485" s="19">
        <f>IFERROR(__xludf.DUMMYFUNCTION("""COMPUTED_VALUE"""),0.0047)</f>
        <v>0.0047</v>
      </c>
      <c r="I485" s="19" t="str">
        <f>IFERROR(__xludf.DUMMYFUNCTION("""COMPUTED_VALUE"""),"-")</f>
        <v>-</v>
      </c>
      <c r="J485" s="19">
        <f>IFERROR(__xludf.DUMMYFUNCTION("""COMPUTED_VALUE"""),0.01757)</f>
        <v>0.01757</v>
      </c>
      <c r="K485" s="19">
        <f>IFERROR(__xludf.DUMMYFUNCTION("""COMPUTED_VALUE"""),0.13063)</f>
        <v>0.13063</v>
      </c>
      <c r="L485" s="19" t="str">
        <f>IFERROR(__xludf.DUMMYFUNCTION("""COMPUTED_VALUE"""),"-")</f>
        <v>-</v>
      </c>
      <c r="M485" s="19" t="str">
        <f>IFERROR(__xludf.DUMMYFUNCTION("""COMPUTED_VALUE"""),"-")</f>
        <v>-</v>
      </c>
    </row>
    <row r="486">
      <c r="A486" s="12" t="s">
        <v>9276</v>
      </c>
      <c r="G486" s="19">
        <f>IFERROR(__xludf.DUMMYFUNCTION("SPLIT(A484, "" |"")"),240501.0)</f>
        <v>240501</v>
      </c>
      <c r="H486" s="19">
        <f>IFERROR(__xludf.DUMMYFUNCTION("""COMPUTED_VALUE"""),0.00492)</f>
        <v>0.00492</v>
      </c>
      <c r="I486" s="19" t="str">
        <f>IFERROR(__xludf.DUMMYFUNCTION("""COMPUTED_VALUE"""),"-")</f>
        <v>-</v>
      </c>
      <c r="J486" s="19">
        <f>IFERROR(__xludf.DUMMYFUNCTION("""COMPUTED_VALUE"""),0.01787)</f>
        <v>0.01787</v>
      </c>
      <c r="K486" s="19">
        <f>IFERROR(__xludf.DUMMYFUNCTION("""COMPUTED_VALUE"""),0.12756)</f>
        <v>0.12756</v>
      </c>
      <c r="L486" s="19" t="str">
        <f>IFERROR(__xludf.DUMMYFUNCTION("""COMPUTED_VALUE"""),"-")</f>
        <v>-</v>
      </c>
      <c r="M486" s="19" t="str">
        <f>IFERROR(__xludf.DUMMYFUNCTION("""COMPUTED_VALUE"""),"-")</f>
        <v>-</v>
      </c>
    </row>
    <row r="487">
      <c r="A487" s="12" t="s">
        <v>9277</v>
      </c>
      <c r="G487" s="19">
        <f>IFERROR(__xludf.DUMMYFUNCTION("SPLIT(A485, "" |"")"),241001.0)</f>
        <v>241001</v>
      </c>
      <c r="H487" s="19">
        <f>IFERROR(__xludf.DUMMYFUNCTION("""COMPUTED_VALUE"""),0.00488)</f>
        <v>0.00488</v>
      </c>
      <c r="I487" s="19" t="str">
        <f>IFERROR(__xludf.DUMMYFUNCTION("""COMPUTED_VALUE"""),"-")</f>
        <v>-</v>
      </c>
      <c r="J487" s="19">
        <f>IFERROR(__xludf.DUMMYFUNCTION("""COMPUTED_VALUE"""),0.01966)</f>
        <v>0.01966</v>
      </c>
      <c r="K487" s="19">
        <f>IFERROR(__xludf.DUMMYFUNCTION("""COMPUTED_VALUE"""),0.13178)</f>
        <v>0.13178</v>
      </c>
      <c r="L487" s="19" t="str">
        <f>IFERROR(__xludf.DUMMYFUNCTION("""COMPUTED_VALUE"""),"-")</f>
        <v>-</v>
      </c>
      <c r="M487" s="19" t="str">
        <f>IFERROR(__xludf.DUMMYFUNCTION("""COMPUTED_VALUE"""),"-")</f>
        <v>-</v>
      </c>
    </row>
    <row r="488">
      <c r="A488" s="12" t="s">
        <v>9278</v>
      </c>
      <c r="G488" s="19">
        <f>IFERROR(__xludf.DUMMYFUNCTION("SPLIT(A486, "" |"")"),241501.0)</f>
        <v>241501</v>
      </c>
      <c r="H488" s="19">
        <f>IFERROR(__xludf.DUMMYFUNCTION("""COMPUTED_VALUE"""),0.00506)</f>
        <v>0.00506</v>
      </c>
      <c r="I488" s="19" t="str">
        <f>IFERROR(__xludf.DUMMYFUNCTION("""COMPUTED_VALUE"""),"-")</f>
        <v>-</v>
      </c>
      <c r="J488" s="19">
        <f>IFERROR(__xludf.DUMMYFUNCTION("""COMPUTED_VALUE"""),0.01956)</f>
        <v>0.01956</v>
      </c>
      <c r="K488" s="19">
        <f>IFERROR(__xludf.DUMMYFUNCTION("""COMPUTED_VALUE"""),0.12584)</f>
        <v>0.12584</v>
      </c>
      <c r="L488" s="19" t="str">
        <f>IFERROR(__xludf.DUMMYFUNCTION("""COMPUTED_VALUE"""),"-")</f>
        <v>-</v>
      </c>
      <c r="M488" s="19" t="str">
        <f>IFERROR(__xludf.DUMMYFUNCTION("""COMPUTED_VALUE"""),"-")</f>
        <v>-</v>
      </c>
    </row>
    <row r="489">
      <c r="A489" s="12" t="s">
        <v>9279</v>
      </c>
      <c r="G489" s="19">
        <f>IFERROR(__xludf.DUMMYFUNCTION("SPLIT(A487, "" |"")"),242001.0)</f>
        <v>242001</v>
      </c>
      <c r="H489" s="19">
        <f>IFERROR(__xludf.DUMMYFUNCTION("""COMPUTED_VALUE"""),0.00467)</f>
        <v>0.00467</v>
      </c>
      <c r="I489" s="19" t="str">
        <f>IFERROR(__xludf.DUMMYFUNCTION("""COMPUTED_VALUE"""),"-")</f>
        <v>-</v>
      </c>
      <c r="J489" s="19">
        <f>IFERROR(__xludf.DUMMYFUNCTION("""COMPUTED_VALUE"""),0.01966)</f>
        <v>0.01966</v>
      </c>
      <c r="K489" s="19">
        <f>IFERROR(__xludf.DUMMYFUNCTION("""COMPUTED_VALUE"""),0.12536)</f>
        <v>0.12536</v>
      </c>
      <c r="L489" s="19" t="str">
        <f>IFERROR(__xludf.DUMMYFUNCTION("""COMPUTED_VALUE"""),"-")</f>
        <v>-</v>
      </c>
      <c r="M489" s="19" t="str">
        <f>IFERROR(__xludf.DUMMYFUNCTION("""COMPUTED_VALUE"""),"-")</f>
        <v>-</v>
      </c>
    </row>
    <row r="490">
      <c r="A490" s="12" t="s">
        <v>9280</v>
      </c>
      <c r="G490" s="19">
        <f>IFERROR(__xludf.DUMMYFUNCTION("SPLIT(A488, "" |"")"),242501.0)</f>
        <v>242501</v>
      </c>
      <c r="H490" s="19">
        <f>IFERROR(__xludf.DUMMYFUNCTION("""COMPUTED_VALUE"""),0.00492)</f>
        <v>0.00492</v>
      </c>
      <c r="I490" s="19" t="str">
        <f>IFERROR(__xludf.DUMMYFUNCTION("""COMPUTED_VALUE"""),"-")</f>
        <v>-</v>
      </c>
      <c r="J490" s="19">
        <f>IFERROR(__xludf.DUMMYFUNCTION("""COMPUTED_VALUE"""),0.01918)</f>
        <v>0.01918</v>
      </c>
      <c r="K490" s="19">
        <f>IFERROR(__xludf.DUMMYFUNCTION("""COMPUTED_VALUE"""),0.1295)</f>
        <v>0.1295</v>
      </c>
      <c r="L490" s="19" t="str">
        <f>IFERROR(__xludf.DUMMYFUNCTION("""COMPUTED_VALUE"""),"-")</f>
        <v>-</v>
      </c>
      <c r="M490" s="19" t="str">
        <f>IFERROR(__xludf.DUMMYFUNCTION("""COMPUTED_VALUE"""),"-")</f>
        <v>-</v>
      </c>
    </row>
    <row r="491">
      <c r="A491" s="12" t="s">
        <v>9281</v>
      </c>
      <c r="G491" s="19">
        <f>IFERROR(__xludf.DUMMYFUNCTION("SPLIT(A489, "" |"")"),243001.0)</f>
        <v>243001</v>
      </c>
      <c r="H491" s="19">
        <f>IFERROR(__xludf.DUMMYFUNCTION("""COMPUTED_VALUE"""),0.00487)</f>
        <v>0.00487</v>
      </c>
      <c r="I491" s="19" t="str">
        <f>IFERROR(__xludf.DUMMYFUNCTION("""COMPUTED_VALUE"""),"-")</f>
        <v>-</v>
      </c>
      <c r="J491" s="19">
        <f>IFERROR(__xludf.DUMMYFUNCTION("""COMPUTED_VALUE"""),0.01968)</f>
        <v>0.01968</v>
      </c>
      <c r="K491" s="19">
        <f>IFERROR(__xludf.DUMMYFUNCTION("""COMPUTED_VALUE"""),0.12801)</f>
        <v>0.12801</v>
      </c>
      <c r="L491" s="19" t="str">
        <f>IFERROR(__xludf.DUMMYFUNCTION("""COMPUTED_VALUE"""),"-")</f>
        <v>-</v>
      </c>
      <c r="M491" s="19" t="str">
        <f>IFERROR(__xludf.DUMMYFUNCTION("""COMPUTED_VALUE"""),"-")</f>
        <v>-</v>
      </c>
    </row>
    <row r="492">
      <c r="A492" s="12" t="s">
        <v>9282</v>
      </c>
      <c r="G492" s="19">
        <f>IFERROR(__xludf.DUMMYFUNCTION("SPLIT(A490, "" |"")"),243501.0)</f>
        <v>243501</v>
      </c>
      <c r="H492" s="19">
        <f>IFERROR(__xludf.DUMMYFUNCTION("""COMPUTED_VALUE"""),0.0048)</f>
        <v>0.0048</v>
      </c>
      <c r="I492" s="19" t="str">
        <f>IFERROR(__xludf.DUMMYFUNCTION("""COMPUTED_VALUE"""),"-")</f>
        <v>-</v>
      </c>
      <c r="J492" s="19">
        <f>IFERROR(__xludf.DUMMYFUNCTION("""COMPUTED_VALUE"""),0.01972)</f>
        <v>0.01972</v>
      </c>
      <c r="K492" s="19">
        <f>IFERROR(__xludf.DUMMYFUNCTION("""COMPUTED_VALUE"""),0.13162)</f>
        <v>0.13162</v>
      </c>
      <c r="L492" s="19" t="str">
        <f>IFERROR(__xludf.DUMMYFUNCTION("""COMPUTED_VALUE"""),"-")</f>
        <v>-</v>
      </c>
      <c r="M492" s="19" t="str">
        <f>IFERROR(__xludf.DUMMYFUNCTION("""COMPUTED_VALUE"""),"-")</f>
        <v>-</v>
      </c>
    </row>
    <row r="493">
      <c r="A493" s="12" t="s">
        <v>9283</v>
      </c>
      <c r="G493" s="19">
        <f>IFERROR(__xludf.DUMMYFUNCTION("SPLIT(A491, "" |"")"),244001.0)</f>
        <v>244001</v>
      </c>
      <c r="H493" s="19">
        <f>IFERROR(__xludf.DUMMYFUNCTION("""COMPUTED_VALUE"""),0.00491)</f>
        <v>0.00491</v>
      </c>
      <c r="I493" s="19" t="str">
        <f>IFERROR(__xludf.DUMMYFUNCTION("""COMPUTED_VALUE"""),"-")</f>
        <v>-</v>
      </c>
      <c r="J493" s="19">
        <f>IFERROR(__xludf.DUMMYFUNCTION("""COMPUTED_VALUE"""),0.01963)</f>
        <v>0.01963</v>
      </c>
      <c r="K493" s="19">
        <f>IFERROR(__xludf.DUMMYFUNCTION("""COMPUTED_VALUE"""),0.13194)</f>
        <v>0.13194</v>
      </c>
      <c r="L493" s="19" t="str">
        <f>IFERROR(__xludf.DUMMYFUNCTION("""COMPUTED_VALUE"""),"-")</f>
        <v>-</v>
      </c>
      <c r="M493" s="19" t="str">
        <f>IFERROR(__xludf.DUMMYFUNCTION("""COMPUTED_VALUE"""),"-")</f>
        <v>-</v>
      </c>
    </row>
    <row r="494">
      <c r="A494" s="12" t="s">
        <v>9284</v>
      </c>
      <c r="G494" s="19">
        <f>IFERROR(__xludf.DUMMYFUNCTION("SPLIT(A492, "" |"")"),244501.0)</f>
        <v>244501</v>
      </c>
      <c r="H494" s="19">
        <f>IFERROR(__xludf.DUMMYFUNCTION("""COMPUTED_VALUE"""),0.00472)</f>
        <v>0.00472</v>
      </c>
      <c r="I494" s="19" t="str">
        <f>IFERROR(__xludf.DUMMYFUNCTION("""COMPUTED_VALUE"""),"-")</f>
        <v>-</v>
      </c>
      <c r="J494" s="19">
        <f>IFERROR(__xludf.DUMMYFUNCTION("""COMPUTED_VALUE"""),0.01944)</f>
        <v>0.01944</v>
      </c>
      <c r="K494" s="19">
        <f>IFERROR(__xludf.DUMMYFUNCTION("""COMPUTED_VALUE"""),0.12362)</f>
        <v>0.12362</v>
      </c>
      <c r="L494" s="19" t="str">
        <f>IFERROR(__xludf.DUMMYFUNCTION("""COMPUTED_VALUE"""),"-")</f>
        <v>-</v>
      </c>
      <c r="M494" s="19" t="str">
        <f>IFERROR(__xludf.DUMMYFUNCTION("""COMPUTED_VALUE"""),"-")</f>
        <v>-</v>
      </c>
    </row>
    <row r="495">
      <c r="A495" s="12" t="s">
        <v>9285</v>
      </c>
      <c r="G495" s="19">
        <f>IFERROR(__xludf.DUMMYFUNCTION("SPLIT(A493, "" |"")"),245001.0)</f>
        <v>245001</v>
      </c>
      <c r="H495" s="19">
        <f>IFERROR(__xludf.DUMMYFUNCTION("""COMPUTED_VALUE"""),0.00488)</f>
        <v>0.00488</v>
      </c>
      <c r="I495" s="19" t="str">
        <f>IFERROR(__xludf.DUMMYFUNCTION("""COMPUTED_VALUE"""),"-")</f>
        <v>-</v>
      </c>
      <c r="J495" s="19">
        <f>IFERROR(__xludf.DUMMYFUNCTION("""COMPUTED_VALUE"""),0.01966)</f>
        <v>0.01966</v>
      </c>
      <c r="K495" s="19">
        <f>IFERROR(__xludf.DUMMYFUNCTION("""COMPUTED_VALUE"""),0.13107)</f>
        <v>0.13107</v>
      </c>
      <c r="L495" s="19" t="str">
        <f>IFERROR(__xludf.DUMMYFUNCTION("""COMPUTED_VALUE"""),"-")</f>
        <v>-</v>
      </c>
      <c r="M495" s="19" t="str">
        <f>IFERROR(__xludf.DUMMYFUNCTION("""COMPUTED_VALUE"""),"-")</f>
        <v>-</v>
      </c>
    </row>
    <row r="496">
      <c r="A496" s="12" t="s">
        <v>9286</v>
      </c>
      <c r="G496" s="19">
        <f>IFERROR(__xludf.DUMMYFUNCTION("SPLIT(A494, "" |"")"),245501.0)</f>
        <v>245501</v>
      </c>
      <c r="H496" s="19">
        <f>IFERROR(__xludf.DUMMYFUNCTION("""COMPUTED_VALUE"""),0.00484)</f>
        <v>0.00484</v>
      </c>
      <c r="I496" s="19" t="str">
        <f>IFERROR(__xludf.DUMMYFUNCTION("""COMPUTED_VALUE"""),"-")</f>
        <v>-</v>
      </c>
      <c r="J496" s="19">
        <f>IFERROR(__xludf.DUMMYFUNCTION("""COMPUTED_VALUE"""),0.0197)</f>
        <v>0.0197</v>
      </c>
      <c r="K496" s="19">
        <f>IFERROR(__xludf.DUMMYFUNCTION("""COMPUTED_VALUE"""),0.13198)</f>
        <v>0.13198</v>
      </c>
      <c r="L496" s="19" t="str">
        <f>IFERROR(__xludf.DUMMYFUNCTION("""COMPUTED_VALUE"""),"-")</f>
        <v>-</v>
      </c>
      <c r="M496" s="19" t="str">
        <f>IFERROR(__xludf.DUMMYFUNCTION("""COMPUTED_VALUE"""),"-")</f>
        <v>-</v>
      </c>
    </row>
    <row r="497">
      <c r="A497" s="12" t="s">
        <v>9287</v>
      </c>
      <c r="G497" s="19">
        <f>IFERROR(__xludf.DUMMYFUNCTION("SPLIT(A495, "" |"")"),246001.0)</f>
        <v>246001</v>
      </c>
      <c r="H497" s="19">
        <f>IFERROR(__xludf.DUMMYFUNCTION("""COMPUTED_VALUE"""),0.00467)</f>
        <v>0.00467</v>
      </c>
      <c r="I497" s="19" t="str">
        <f>IFERROR(__xludf.DUMMYFUNCTION("""COMPUTED_VALUE"""),"-")</f>
        <v>-</v>
      </c>
      <c r="J497" s="19">
        <f>IFERROR(__xludf.DUMMYFUNCTION("""COMPUTED_VALUE"""),0.01958)</f>
        <v>0.01958</v>
      </c>
      <c r="K497" s="19">
        <f>IFERROR(__xludf.DUMMYFUNCTION("""COMPUTED_VALUE"""),0.12823)</f>
        <v>0.12823</v>
      </c>
      <c r="L497" s="19" t="str">
        <f>IFERROR(__xludf.DUMMYFUNCTION("""COMPUTED_VALUE"""),"-")</f>
        <v>-</v>
      </c>
      <c r="M497" s="19" t="str">
        <f>IFERROR(__xludf.DUMMYFUNCTION("""COMPUTED_VALUE"""),"-")</f>
        <v>-</v>
      </c>
    </row>
    <row r="498">
      <c r="A498" s="12" t="s">
        <v>9288</v>
      </c>
      <c r="G498" s="19">
        <f>IFERROR(__xludf.DUMMYFUNCTION("SPLIT(A496, "" |"")"),246501.0)</f>
        <v>246501</v>
      </c>
      <c r="H498" s="19">
        <f>IFERROR(__xludf.DUMMYFUNCTION("""COMPUTED_VALUE"""),0.0049)</f>
        <v>0.0049</v>
      </c>
      <c r="I498" s="19" t="str">
        <f>IFERROR(__xludf.DUMMYFUNCTION("""COMPUTED_VALUE"""),"-")</f>
        <v>-</v>
      </c>
      <c r="J498" s="19">
        <f>IFERROR(__xludf.DUMMYFUNCTION("""COMPUTED_VALUE"""),0.01982)</f>
        <v>0.01982</v>
      </c>
      <c r="K498" s="19">
        <f>IFERROR(__xludf.DUMMYFUNCTION("""COMPUTED_VALUE"""),0.13186)</f>
        <v>0.13186</v>
      </c>
      <c r="L498" s="19" t="str">
        <f>IFERROR(__xludf.DUMMYFUNCTION("""COMPUTED_VALUE"""),"-")</f>
        <v>-</v>
      </c>
      <c r="M498" s="19" t="str">
        <f>IFERROR(__xludf.DUMMYFUNCTION("""COMPUTED_VALUE"""),"-")</f>
        <v>-</v>
      </c>
    </row>
    <row r="499">
      <c r="A499" s="12" t="s">
        <v>9289</v>
      </c>
      <c r="G499" s="19">
        <f>IFERROR(__xludf.DUMMYFUNCTION("SPLIT(A497, "" |"")"),247001.0)</f>
        <v>247001</v>
      </c>
      <c r="H499" s="19">
        <f>IFERROR(__xludf.DUMMYFUNCTION("""COMPUTED_VALUE"""),0.00464)</f>
        <v>0.00464</v>
      </c>
      <c r="I499" s="19" t="str">
        <f>IFERROR(__xludf.DUMMYFUNCTION("""COMPUTED_VALUE"""),"-")</f>
        <v>-</v>
      </c>
      <c r="J499" s="19">
        <f>IFERROR(__xludf.DUMMYFUNCTION("""COMPUTED_VALUE"""),0.01978)</f>
        <v>0.01978</v>
      </c>
      <c r="K499" s="19">
        <f>IFERROR(__xludf.DUMMYFUNCTION("""COMPUTED_VALUE"""),0.12987)</f>
        <v>0.12987</v>
      </c>
      <c r="L499" s="19" t="str">
        <f>IFERROR(__xludf.DUMMYFUNCTION("""COMPUTED_VALUE"""),"-")</f>
        <v>-</v>
      </c>
      <c r="M499" s="19" t="str">
        <f>IFERROR(__xludf.DUMMYFUNCTION("""COMPUTED_VALUE"""),"-")</f>
        <v>-</v>
      </c>
    </row>
    <row r="500">
      <c r="A500" s="12" t="s">
        <v>9290</v>
      </c>
      <c r="G500" s="19">
        <f>IFERROR(__xludf.DUMMYFUNCTION("SPLIT(A498, "" |"")"),247501.0)</f>
        <v>247501</v>
      </c>
      <c r="H500" s="19">
        <f>IFERROR(__xludf.DUMMYFUNCTION("""COMPUTED_VALUE"""),0.00479)</f>
        <v>0.00479</v>
      </c>
      <c r="I500" s="19" t="str">
        <f>IFERROR(__xludf.DUMMYFUNCTION("""COMPUTED_VALUE"""),"-")</f>
        <v>-</v>
      </c>
      <c r="J500" s="19">
        <f>IFERROR(__xludf.DUMMYFUNCTION("""COMPUTED_VALUE"""),0.01973)</f>
        <v>0.01973</v>
      </c>
      <c r="K500" s="19">
        <f>IFERROR(__xludf.DUMMYFUNCTION("""COMPUTED_VALUE"""),0.13197)</f>
        <v>0.13197</v>
      </c>
      <c r="L500" s="19" t="str">
        <f>IFERROR(__xludf.DUMMYFUNCTION("""COMPUTED_VALUE"""),"-")</f>
        <v>-</v>
      </c>
      <c r="M500" s="19" t="str">
        <f>IFERROR(__xludf.DUMMYFUNCTION("""COMPUTED_VALUE"""),"-")</f>
        <v>-</v>
      </c>
    </row>
    <row r="501">
      <c r="A501" s="12" t="s">
        <v>9291</v>
      </c>
      <c r="G501" s="19">
        <f>IFERROR(__xludf.DUMMYFUNCTION("SPLIT(A499, "" |"")"),248001.0)</f>
        <v>248001</v>
      </c>
      <c r="H501" s="19">
        <f>IFERROR(__xludf.DUMMYFUNCTION("""COMPUTED_VALUE"""),0.00476)</f>
        <v>0.00476</v>
      </c>
      <c r="I501" s="19" t="str">
        <f>IFERROR(__xludf.DUMMYFUNCTION("""COMPUTED_VALUE"""),"-")</f>
        <v>-</v>
      </c>
      <c r="J501" s="19">
        <f>IFERROR(__xludf.DUMMYFUNCTION("""COMPUTED_VALUE"""),0.01975)</f>
        <v>0.01975</v>
      </c>
      <c r="K501" s="19">
        <f>IFERROR(__xludf.DUMMYFUNCTION("""COMPUTED_VALUE"""),0.13138)</f>
        <v>0.13138</v>
      </c>
      <c r="L501" s="19" t="str">
        <f>IFERROR(__xludf.DUMMYFUNCTION("""COMPUTED_VALUE"""),"-")</f>
        <v>-</v>
      </c>
      <c r="M501" s="19" t="str">
        <f>IFERROR(__xludf.DUMMYFUNCTION("""COMPUTED_VALUE"""),"-")</f>
        <v>-</v>
      </c>
    </row>
    <row r="502">
      <c r="A502" s="12" t="s">
        <v>9292</v>
      </c>
      <c r="G502" s="19">
        <f>IFERROR(__xludf.DUMMYFUNCTION("SPLIT(A500, "" |"")"),248501.0)</f>
        <v>248501</v>
      </c>
      <c r="H502" s="19">
        <f>IFERROR(__xludf.DUMMYFUNCTION("""COMPUTED_VALUE"""),0.00494)</f>
        <v>0.00494</v>
      </c>
      <c r="I502" s="19" t="str">
        <f>IFERROR(__xludf.DUMMYFUNCTION("""COMPUTED_VALUE"""),"-")</f>
        <v>-</v>
      </c>
      <c r="J502" s="19">
        <f>IFERROR(__xludf.DUMMYFUNCTION("""COMPUTED_VALUE"""),0.01964)</f>
        <v>0.01964</v>
      </c>
      <c r="K502" s="19">
        <f>IFERROR(__xludf.DUMMYFUNCTION("""COMPUTED_VALUE"""),0.12849)</f>
        <v>0.12849</v>
      </c>
      <c r="L502" s="19" t="str">
        <f>IFERROR(__xludf.DUMMYFUNCTION("""COMPUTED_VALUE"""),"-")</f>
        <v>-</v>
      </c>
      <c r="M502" s="19" t="str">
        <f>IFERROR(__xludf.DUMMYFUNCTION("""COMPUTED_VALUE"""),"-")</f>
        <v>-</v>
      </c>
    </row>
    <row r="503">
      <c r="A503" s="12" t="s">
        <v>9293</v>
      </c>
      <c r="G503" s="19">
        <f>IFERROR(__xludf.DUMMYFUNCTION("SPLIT(A501, "" |"")"),249001.0)</f>
        <v>249001</v>
      </c>
      <c r="H503" s="19">
        <f>IFERROR(__xludf.DUMMYFUNCTION("""COMPUTED_VALUE"""),0.00471)</f>
        <v>0.00471</v>
      </c>
      <c r="I503" s="19" t="str">
        <f>IFERROR(__xludf.DUMMYFUNCTION("""COMPUTED_VALUE"""),"-")</f>
        <v>-</v>
      </c>
      <c r="J503" s="19">
        <f>IFERROR(__xludf.DUMMYFUNCTION("""COMPUTED_VALUE"""),0.01969)</f>
        <v>0.01969</v>
      </c>
      <c r="K503" s="19">
        <f>IFERROR(__xludf.DUMMYFUNCTION("""COMPUTED_VALUE"""),0.13199)</f>
        <v>0.13199</v>
      </c>
      <c r="L503" s="19" t="str">
        <f>IFERROR(__xludf.DUMMYFUNCTION("""COMPUTED_VALUE"""),"-")</f>
        <v>-</v>
      </c>
      <c r="M503" s="19" t="str">
        <f>IFERROR(__xludf.DUMMYFUNCTION("""COMPUTED_VALUE"""),"-")</f>
        <v>-</v>
      </c>
    </row>
    <row r="504">
      <c r="A504" s="12" t="s">
        <v>9294</v>
      </c>
      <c r="G504" s="19">
        <f>IFERROR(__xludf.DUMMYFUNCTION("SPLIT(A502, "" |"")"),249501.0)</f>
        <v>249501</v>
      </c>
      <c r="H504" s="19">
        <f>IFERROR(__xludf.DUMMYFUNCTION("""COMPUTED_VALUE"""),0.00477)</f>
        <v>0.00477</v>
      </c>
      <c r="I504" s="19" t="str">
        <f>IFERROR(__xludf.DUMMYFUNCTION("""COMPUTED_VALUE"""),"-")</f>
        <v>-</v>
      </c>
      <c r="J504" s="19">
        <f>IFERROR(__xludf.DUMMYFUNCTION("""COMPUTED_VALUE"""),0.0197)</f>
        <v>0.0197</v>
      </c>
      <c r="K504" s="19">
        <f>IFERROR(__xludf.DUMMYFUNCTION("""COMPUTED_VALUE"""),0.13189)</f>
        <v>0.13189</v>
      </c>
      <c r="L504" s="19" t="str">
        <f>IFERROR(__xludf.DUMMYFUNCTION("""COMPUTED_VALUE"""),"-")</f>
        <v>-</v>
      </c>
      <c r="M504" s="19" t="str">
        <f>IFERROR(__xludf.DUMMYFUNCTION("""COMPUTED_VALUE"""),"-")</f>
        <v>-</v>
      </c>
    </row>
    <row r="505">
      <c r="A505" s="12" t="s">
        <v>9295</v>
      </c>
      <c r="G505" s="19">
        <f>IFERROR(__xludf.DUMMYFUNCTION("SPLIT(A503, "" |"")"),250001.0)</f>
        <v>250001</v>
      </c>
      <c r="H505" s="19">
        <f>IFERROR(__xludf.DUMMYFUNCTION("""COMPUTED_VALUE"""),0.00461)</f>
        <v>0.00461</v>
      </c>
      <c r="I505" s="19" t="str">
        <f>IFERROR(__xludf.DUMMYFUNCTION("""COMPUTED_VALUE"""),"-")</f>
        <v>-</v>
      </c>
      <c r="J505" s="19">
        <f>IFERROR(__xludf.DUMMYFUNCTION("""COMPUTED_VALUE"""),0.01962)</f>
        <v>0.01962</v>
      </c>
      <c r="K505" s="19">
        <f>IFERROR(__xludf.DUMMYFUNCTION("""COMPUTED_VALUE"""),0.1319)</f>
        <v>0.1319</v>
      </c>
      <c r="L505" s="19" t="str">
        <f>IFERROR(__xludf.DUMMYFUNCTION("""COMPUTED_VALUE"""),"-")</f>
        <v>-</v>
      </c>
      <c r="M505" s="19" t="str">
        <f>IFERROR(__xludf.DUMMYFUNCTION("""COMPUTED_VALUE"""),"-")</f>
        <v>-</v>
      </c>
    </row>
    <row r="506">
      <c r="A506" s="12" t="s">
        <v>9296</v>
      </c>
      <c r="G506" s="19">
        <f>IFERROR(__xludf.DUMMYFUNCTION("SPLIT(A504, "" |"")"),250501.0)</f>
        <v>250501</v>
      </c>
      <c r="H506" s="19">
        <f>IFERROR(__xludf.DUMMYFUNCTION("""COMPUTED_VALUE"""),0.00465)</f>
        <v>0.00465</v>
      </c>
      <c r="I506" s="19" t="str">
        <f>IFERROR(__xludf.DUMMYFUNCTION("""COMPUTED_VALUE"""),"-")</f>
        <v>-</v>
      </c>
      <c r="J506" s="19">
        <f>IFERROR(__xludf.DUMMYFUNCTION("""COMPUTED_VALUE"""),0.01957)</f>
        <v>0.01957</v>
      </c>
      <c r="K506" s="19">
        <f>IFERROR(__xludf.DUMMYFUNCTION("""COMPUTED_VALUE"""),0.12654)</f>
        <v>0.12654</v>
      </c>
      <c r="L506" s="19" t="str">
        <f>IFERROR(__xludf.DUMMYFUNCTION("""COMPUTED_VALUE"""),"-")</f>
        <v>-</v>
      </c>
      <c r="M506" s="19" t="str">
        <f>IFERROR(__xludf.DUMMYFUNCTION("""COMPUTED_VALUE"""),"-")</f>
        <v>-</v>
      </c>
    </row>
    <row r="507">
      <c r="A507" s="12" t="s">
        <v>9297</v>
      </c>
      <c r="G507" s="19">
        <f>IFERROR(__xludf.DUMMYFUNCTION("SPLIT(A505, "" |"")"),251001.0)</f>
        <v>251001</v>
      </c>
      <c r="H507" s="19">
        <f>IFERROR(__xludf.DUMMYFUNCTION("""COMPUTED_VALUE"""),0.00469)</f>
        <v>0.00469</v>
      </c>
      <c r="I507" s="19" t="str">
        <f>IFERROR(__xludf.DUMMYFUNCTION("""COMPUTED_VALUE"""),"-")</f>
        <v>-</v>
      </c>
      <c r="J507" s="19">
        <f>IFERROR(__xludf.DUMMYFUNCTION("""COMPUTED_VALUE"""),0.01964)</f>
        <v>0.01964</v>
      </c>
      <c r="K507" s="19">
        <f>IFERROR(__xludf.DUMMYFUNCTION("""COMPUTED_VALUE"""),0.13182)</f>
        <v>0.13182</v>
      </c>
      <c r="L507" s="19" t="str">
        <f>IFERROR(__xludf.DUMMYFUNCTION("""COMPUTED_VALUE"""),"-")</f>
        <v>-</v>
      </c>
      <c r="M507" s="19" t="str">
        <f>IFERROR(__xludf.DUMMYFUNCTION("""COMPUTED_VALUE"""),"-")</f>
        <v>-</v>
      </c>
    </row>
    <row r="508">
      <c r="A508" s="12" t="s">
        <v>9298</v>
      </c>
      <c r="G508" s="19">
        <f>IFERROR(__xludf.DUMMYFUNCTION("SPLIT(A506, "" |"")"),251501.0)</f>
        <v>251501</v>
      </c>
      <c r="H508" s="19">
        <f>IFERROR(__xludf.DUMMYFUNCTION("""COMPUTED_VALUE"""),0.0047)</f>
        <v>0.0047</v>
      </c>
      <c r="I508" s="19" t="str">
        <f>IFERROR(__xludf.DUMMYFUNCTION("""COMPUTED_VALUE"""),"-")</f>
        <v>-</v>
      </c>
      <c r="J508" s="19">
        <f>IFERROR(__xludf.DUMMYFUNCTION("""COMPUTED_VALUE"""),0.01951)</f>
        <v>0.01951</v>
      </c>
      <c r="K508" s="19">
        <f>IFERROR(__xludf.DUMMYFUNCTION("""COMPUTED_VALUE"""),0.13177)</f>
        <v>0.13177</v>
      </c>
      <c r="L508" s="19" t="str">
        <f>IFERROR(__xludf.DUMMYFUNCTION("""COMPUTED_VALUE"""),"-")</f>
        <v>-</v>
      </c>
      <c r="M508" s="19" t="str">
        <f>IFERROR(__xludf.DUMMYFUNCTION("""COMPUTED_VALUE"""),"-")</f>
        <v>-</v>
      </c>
    </row>
    <row r="509">
      <c r="A509" s="12" t="s">
        <v>9299</v>
      </c>
      <c r="G509" s="19">
        <f>IFERROR(__xludf.DUMMYFUNCTION("SPLIT(A507, "" |"")"),252001.0)</f>
        <v>252001</v>
      </c>
      <c r="H509" s="19">
        <f>IFERROR(__xludf.DUMMYFUNCTION("""COMPUTED_VALUE"""),0.00478)</f>
        <v>0.00478</v>
      </c>
      <c r="I509" s="19" t="str">
        <f>IFERROR(__xludf.DUMMYFUNCTION("""COMPUTED_VALUE"""),"-")</f>
        <v>-</v>
      </c>
      <c r="J509" s="19">
        <f>IFERROR(__xludf.DUMMYFUNCTION("""COMPUTED_VALUE"""),0.02308)</f>
        <v>0.02308</v>
      </c>
      <c r="K509" s="19">
        <f>IFERROR(__xludf.DUMMYFUNCTION("""COMPUTED_VALUE"""),0.13445)</f>
        <v>0.13445</v>
      </c>
      <c r="L509" s="19" t="str">
        <f>IFERROR(__xludf.DUMMYFUNCTION("""COMPUTED_VALUE"""),"-")</f>
        <v>-</v>
      </c>
      <c r="M509" s="19" t="str">
        <f>IFERROR(__xludf.DUMMYFUNCTION("""COMPUTED_VALUE"""),"-")</f>
        <v>-</v>
      </c>
    </row>
    <row r="510">
      <c r="A510" s="12" t="s">
        <v>9300</v>
      </c>
      <c r="G510" s="19">
        <f>IFERROR(__xludf.DUMMYFUNCTION("SPLIT(A508, "" |"")"),252501.0)</f>
        <v>252501</v>
      </c>
      <c r="H510" s="19">
        <f>IFERROR(__xludf.DUMMYFUNCTION("""COMPUTED_VALUE"""),0.00481)</f>
        <v>0.00481</v>
      </c>
      <c r="I510" s="19" t="str">
        <f>IFERROR(__xludf.DUMMYFUNCTION("""COMPUTED_VALUE"""),"-")</f>
        <v>-</v>
      </c>
      <c r="J510" s="19">
        <f>IFERROR(__xludf.DUMMYFUNCTION("""COMPUTED_VALUE"""),0.01966)</f>
        <v>0.01966</v>
      </c>
      <c r="K510" s="19">
        <f>IFERROR(__xludf.DUMMYFUNCTION("""COMPUTED_VALUE"""),0.13203)</f>
        <v>0.13203</v>
      </c>
      <c r="L510" s="19" t="str">
        <f>IFERROR(__xludf.DUMMYFUNCTION("""COMPUTED_VALUE"""),"-")</f>
        <v>-</v>
      </c>
      <c r="M510" s="19" t="str">
        <f>IFERROR(__xludf.DUMMYFUNCTION("""COMPUTED_VALUE"""),"-")</f>
        <v>-</v>
      </c>
    </row>
    <row r="511">
      <c r="A511" s="12" t="s">
        <v>9301</v>
      </c>
      <c r="G511" s="19">
        <f>IFERROR(__xludf.DUMMYFUNCTION("SPLIT(A509, "" |"")"),253001.0)</f>
        <v>253001</v>
      </c>
      <c r="H511" s="19">
        <f>IFERROR(__xludf.DUMMYFUNCTION("""COMPUTED_VALUE"""),0.00476)</f>
        <v>0.00476</v>
      </c>
      <c r="I511" s="19" t="str">
        <f>IFERROR(__xludf.DUMMYFUNCTION("""COMPUTED_VALUE"""),"-")</f>
        <v>-</v>
      </c>
      <c r="J511" s="19">
        <f>IFERROR(__xludf.DUMMYFUNCTION("""COMPUTED_VALUE"""),0.01965)</f>
        <v>0.01965</v>
      </c>
      <c r="K511" s="19">
        <f>IFERROR(__xludf.DUMMYFUNCTION("""COMPUTED_VALUE"""),0.12663)</f>
        <v>0.12663</v>
      </c>
      <c r="L511" s="19" t="str">
        <f>IFERROR(__xludf.DUMMYFUNCTION("""COMPUTED_VALUE"""),"-")</f>
        <v>-</v>
      </c>
      <c r="M511" s="19" t="str">
        <f>IFERROR(__xludf.DUMMYFUNCTION("""COMPUTED_VALUE"""),"-")</f>
        <v>-</v>
      </c>
    </row>
    <row r="512">
      <c r="A512" s="12" t="s">
        <v>9302</v>
      </c>
      <c r="G512" s="19">
        <f>IFERROR(__xludf.DUMMYFUNCTION("SPLIT(A510, "" |"")"),253501.0)</f>
        <v>253501</v>
      </c>
      <c r="H512" s="19">
        <f>IFERROR(__xludf.DUMMYFUNCTION("""COMPUTED_VALUE"""),0.00476)</f>
        <v>0.00476</v>
      </c>
      <c r="I512" s="19" t="str">
        <f>IFERROR(__xludf.DUMMYFUNCTION("""COMPUTED_VALUE"""),"-")</f>
        <v>-</v>
      </c>
      <c r="J512" s="19">
        <f>IFERROR(__xludf.DUMMYFUNCTION("""COMPUTED_VALUE"""),0.01955)</f>
        <v>0.01955</v>
      </c>
      <c r="K512" s="19">
        <f>IFERROR(__xludf.DUMMYFUNCTION("""COMPUTED_VALUE"""),0.1279)</f>
        <v>0.1279</v>
      </c>
      <c r="L512" s="19" t="str">
        <f>IFERROR(__xludf.DUMMYFUNCTION("""COMPUTED_VALUE"""),"-")</f>
        <v>-</v>
      </c>
      <c r="M512" s="19" t="str">
        <f>IFERROR(__xludf.DUMMYFUNCTION("""COMPUTED_VALUE"""),"-")</f>
        <v>-</v>
      </c>
    </row>
    <row r="513">
      <c r="A513" s="12" t="s">
        <v>9303</v>
      </c>
      <c r="G513" s="19">
        <f>IFERROR(__xludf.DUMMYFUNCTION("SPLIT(A511, "" |"")"),254001.0)</f>
        <v>254001</v>
      </c>
      <c r="H513" s="19">
        <f>IFERROR(__xludf.DUMMYFUNCTION("""COMPUTED_VALUE"""),0.0047)</f>
        <v>0.0047</v>
      </c>
      <c r="I513" s="19" t="str">
        <f>IFERROR(__xludf.DUMMYFUNCTION("""COMPUTED_VALUE"""),"-")</f>
        <v>-</v>
      </c>
      <c r="J513" s="19">
        <f>IFERROR(__xludf.DUMMYFUNCTION("""COMPUTED_VALUE"""),0.01859)</f>
        <v>0.01859</v>
      </c>
      <c r="K513" s="19">
        <f>IFERROR(__xludf.DUMMYFUNCTION("""COMPUTED_VALUE"""),0.13189)</f>
        <v>0.13189</v>
      </c>
      <c r="L513" s="19" t="str">
        <f>IFERROR(__xludf.DUMMYFUNCTION("""COMPUTED_VALUE"""),"-")</f>
        <v>-</v>
      </c>
      <c r="M513" s="19" t="str">
        <f>IFERROR(__xludf.DUMMYFUNCTION("""COMPUTED_VALUE"""),"-")</f>
        <v>-</v>
      </c>
    </row>
    <row r="514">
      <c r="A514" s="12" t="s">
        <v>9304</v>
      </c>
      <c r="G514" s="19">
        <f>IFERROR(__xludf.DUMMYFUNCTION("SPLIT(A512, "" |"")"),254501.0)</f>
        <v>254501</v>
      </c>
      <c r="H514" s="19">
        <f>IFERROR(__xludf.DUMMYFUNCTION("""COMPUTED_VALUE"""),0.0048)</f>
        <v>0.0048</v>
      </c>
      <c r="I514" s="19" t="str">
        <f>IFERROR(__xludf.DUMMYFUNCTION("""COMPUTED_VALUE"""),"-")</f>
        <v>-</v>
      </c>
      <c r="J514" s="19">
        <f>IFERROR(__xludf.DUMMYFUNCTION("""COMPUTED_VALUE"""),0.01957)</f>
        <v>0.01957</v>
      </c>
      <c r="K514" s="19">
        <f>IFERROR(__xludf.DUMMYFUNCTION("""COMPUTED_VALUE"""),0.132)</f>
        <v>0.132</v>
      </c>
      <c r="L514" s="19" t="str">
        <f>IFERROR(__xludf.DUMMYFUNCTION("""COMPUTED_VALUE"""),"-")</f>
        <v>-</v>
      </c>
      <c r="M514" s="19" t="str">
        <f>IFERROR(__xludf.DUMMYFUNCTION("""COMPUTED_VALUE"""),"-")</f>
        <v>-</v>
      </c>
    </row>
    <row r="515">
      <c r="A515" s="12" t="s">
        <v>9305</v>
      </c>
      <c r="G515" s="19">
        <f>IFERROR(__xludf.DUMMYFUNCTION("SPLIT(A513, "" |"")"),255001.0)</f>
        <v>255001</v>
      </c>
      <c r="H515" s="19">
        <f>IFERROR(__xludf.DUMMYFUNCTION("""COMPUTED_VALUE"""),0.00484)</f>
        <v>0.00484</v>
      </c>
      <c r="I515" s="19" t="str">
        <f>IFERROR(__xludf.DUMMYFUNCTION("""COMPUTED_VALUE"""),"-")</f>
        <v>-</v>
      </c>
      <c r="J515" s="19">
        <f>IFERROR(__xludf.DUMMYFUNCTION("""COMPUTED_VALUE"""),0.01977)</f>
        <v>0.01977</v>
      </c>
      <c r="K515" s="19">
        <f>IFERROR(__xludf.DUMMYFUNCTION("""COMPUTED_VALUE"""),0.1273)</f>
        <v>0.1273</v>
      </c>
      <c r="L515" s="19" t="str">
        <f>IFERROR(__xludf.DUMMYFUNCTION("""COMPUTED_VALUE"""),"-")</f>
        <v>-</v>
      </c>
      <c r="M515" s="19" t="str">
        <f>IFERROR(__xludf.DUMMYFUNCTION("""COMPUTED_VALUE"""),"-")</f>
        <v>-</v>
      </c>
    </row>
    <row r="516">
      <c r="A516" s="12" t="s">
        <v>9306</v>
      </c>
      <c r="G516" s="19">
        <f>IFERROR(__xludf.DUMMYFUNCTION("SPLIT(A514, "" |"")"),255501.0)</f>
        <v>255501</v>
      </c>
      <c r="H516" s="19">
        <f>IFERROR(__xludf.DUMMYFUNCTION("""COMPUTED_VALUE"""),0.00477)</f>
        <v>0.00477</v>
      </c>
      <c r="I516" s="19" t="str">
        <f>IFERROR(__xludf.DUMMYFUNCTION("""COMPUTED_VALUE"""),"-")</f>
        <v>-</v>
      </c>
      <c r="J516" s="19">
        <f>IFERROR(__xludf.DUMMYFUNCTION("""COMPUTED_VALUE"""),0.01955)</f>
        <v>0.01955</v>
      </c>
      <c r="K516" s="19">
        <f>IFERROR(__xludf.DUMMYFUNCTION("""COMPUTED_VALUE"""),0.13038)</f>
        <v>0.13038</v>
      </c>
      <c r="L516" s="19" t="str">
        <f>IFERROR(__xludf.DUMMYFUNCTION("""COMPUTED_VALUE"""),"-")</f>
        <v>-</v>
      </c>
      <c r="M516" s="19" t="str">
        <f>IFERROR(__xludf.DUMMYFUNCTION("""COMPUTED_VALUE"""),"-")</f>
        <v>-</v>
      </c>
    </row>
    <row r="517">
      <c r="A517" s="12" t="s">
        <v>9307</v>
      </c>
      <c r="G517" s="19">
        <f>IFERROR(__xludf.DUMMYFUNCTION("SPLIT(A515, "" |"")"),256001.0)</f>
        <v>256001</v>
      </c>
      <c r="H517" s="19">
        <f>IFERROR(__xludf.DUMMYFUNCTION("""COMPUTED_VALUE"""),0.00475)</f>
        <v>0.00475</v>
      </c>
      <c r="I517" s="19" t="str">
        <f>IFERROR(__xludf.DUMMYFUNCTION("""COMPUTED_VALUE"""),"-")</f>
        <v>-</v>
      </c>
      <c r="J517" s="19">
        <f>IFERROR(__xludf.DUMMYFUNCTION("""COMPUTED_VALUE"""),0.01966)</f>
        <v>0.01966</v>
      </c>
      <c r="K517" s="19">
        <f>IFERROR(__xludf.DUMMYFUNCTION("""COMPUTED_VALUE"""),0.13181)</f>
        <v>0.13181</v>
      </c>
      <c r="L517" s="19" t="str">
        <f>IFERROR(__xludf.DUMMYFUNCTION("""COMPUTED_VALUE"""),"-")</f>
        <v>-</v>
      </c>
      <c r="M517" s="19" t="str">
        <f>IFERROR(__xludf.DUMMYFUNCTION("""COMPUTED_VALUE"""),"-")</f>
        <v>-</v>
      </c>
    </row>
    <row r="518">
      <c r="A518" s="12" t="s">
        <v>9308</v>
      </c>
      <c r="G518" s="19">
        <f>IFERROR(__xludf.DUMMYFUNCTION("SPLIT(A516, "" |"")"),256501.0)</f>
        <v>256501</v>
      </c>
      <c r="H518" s="19">
        <f>IFERROR(__xludf.DUMMYFUNCTION("""COMPUTED_VALUE"""),0.00478)</f>
        <v>0.00478</v>
      </c>
      <c r="I518" s="19" t="str">
        <f>IFERROR(__xludf.DUMMYFUNCTION("""COMPUTED_VALUE"""),"-")</f>
        <v>-</v>
      </c>
      <c r="J518" s="19">
        <f>IFERROR(__xludf.DUMMYFUNCTION("""COMPUTED_VALUE"""),0.01967)</f>
        <v>0.01967</v>
      </c>
      <c r="K518" s="19">
        <f>IFERROR(__xludf.DUMMYFUNCTION("""COMPUTED_VALUE"""),0.13115)</f>
        <v>0.13115</v>
      </c>
      <c r="L518" s="19" t="str">
        <f>IFERROR(__xludf.DUMMYFUNCTION("""COMPUTED_VALUE"""),"-")</f>
        <v>-</v>
      </c>
      <c r="M518" s="19" t="str">
        <f>IFERROR(__xludf.DUMMYFUNCTION("""COMPUTED_VALUE"""),"-")</f>
        <v>-</v>
      </c>
    </row>
    <row r="519">
      <c r="A519" s="12" t="s">
        <v>9309</v>
      </c>
      <c r="G519" s="19">
        <f>IFERROR(__xludf.DUMMYFUNCTION("SPLIT(A517, "" |"")"),257001.0)</f>
        <v>257001</v>
      </c>
      <c r="H519" s="19">
        <f>IFERROR(__xludf.DUMMYFUNCTION("""COMPUTED_VALUE"""),0.00475)</f>
        <v>0.00475</v>
      </c>
      <c r="I519" s="19" t="str">
        <f>IFERROR(__xludf.DUMMYFUNCTION("""COMPUTED_VALUE"""),"-")</f>
        <v>-</v>
      </c>
      <c r="J519" s="19">
        <f>IFERROR(__xludf.DUMMYFUNCTION("""COMPUTED_VALUE"""),0.0183)</f>
        <v>0.0183</v>
      </c>
      <c r="K519" s="19">
        <f>IFERROR(__xludf.DUMMYFUNCTION("""COMPUTED_VALUE"""),0.13194)</f>
        <v>0.13194</v>
      </c>
      <c r="L519" s="19" t="str">
        <f>IFERROR(__xludf.DUMMYFUNCTION("""COMPUTED_VALUE"""),"-")</f>
        <v>-</v>
      </c>
      <c r="M519" s="19" t="str">
        <f>IFERROR(__xludf.DUMMYFUNCTION("""COMPUTED_VALUE"""),"-")</f>
        <v>-</v>
      </c>
    </row>
    <row r="520">
      <c r="A520" s="12" t="s">
        <v>9310</v>
      </c>
      <c r="G520" s="19">
        <f>IFERROR(__xludf.DUMMYFUNCTION("SPLIT(A518, "" |"")"),257501.0)</f>
        <v>257501</v>
      </c>
      <c r="H520" s="19">
        <f>IFERROR(__xludf.DUMMYFUNCTION("""COMPUTED_VALUE"""),0.00466)</f>
        <v>0.00466</v>
      </c>
      <c r="I520" s="19" t="str">
        <f>IFERROR(__xludf.DUMMYFUNCTION("""COMPUTED_VALUE"""),"-")</f>
        <v>-</v>
      </c>
      <c r="J520" s="19">
        <f>IFERROR(__xludf.DUMMYFUNCTION("""COMPUTED_VALUE"""),0.01969)</f>
        <v>0.01969</v>
      </c>
      <c r="K520" s="19">
        <f>IFERROR(__xludf.DUMMYFUNCTION("""COMPUTED_VALUE"""),0.13196)</f>
        <v>0.13196</v>
      </c>
      <c r="L520" s="19" t="str">
        <f>IFERROR(__xludf.DUMMYFUNCTION("""COMPUTED_VALUE"""),"-")</f>
        <v>-</v>
      </c>
      <c r="M520" s="19" t="str">
        <f>IFERROR(__xludf.DUMMYFUNCTION("""COMPUTED_VALUE"""),"-")</f>
        <v>-</v>
      </c>
    </row>
    <row r="521">
      <c r="A521" s="12" t="s">
        <v>9311</v>
      </c>
      <c r="G521" s="19">
        <f>IFERROR(__xludf.DUMMYFUNCTION("SPLIT(A519, "" |"")"),258001.0)</f>
        <v>258001</v>
      </c>
      <c r="H521" s="19">
        <f>IFERROR(__xludf.DUMMYFUNCTION("""COMPUTED_VALUE"""),0.00474)</f>
        <v>0.00474</v>
      </c>
      <c r="I521" s="19" t="str">
        <f>IFERROR(__xludf.DUMMYFUNCTION("""COMPUTED_VALUE"""),"-")</f>
        <v>-</v>
      </c>
      <c r="J521" s="19">
        <f>IFERROR(__xludf.DUMMYFUNCTION("""COMPUTED_VALUE"""),0.01964)</f>
        <v>0.01964</v>
      </c>
      <c r="K521" s="19">
        <f>IFERROR(__xludf.DUMMYFUNCTION("""COMPUTED_VALUE"""),0.13214)</f>
        <v>0.13214</v>
      </c>
      <c r="L521" s="19" t="str">
        <f>IFERROR(__xludf.DUMMYFUNCTION("""COMPUTED_VALUE"""),"-")</f>
        <v>-</v>
      </c>
      <c r="M521" s="19" t="str">
        <f>IFERROR(__xludf.DUMMYFUNCTION("""COMPUTED_VALUE"""),"-")</f>
        <v>-</v>
      </c>
    </row>
    <row r="522">
      <c r="A522" s="12" t="s">
        <v>9312</v>
      </c>
      <c r="G522" s="19">
        <f>IFERROR(__xludf.DUMMYFUNCTION("SPLIT(A520, "" |"")"),258501.0)</f>
        <v>258501</v>
      </c>
      <c r="H522" s="19">
        <f>IFERROR(__xludf.DUMMYFUNCTION("""COMPUTED_VALUE"""),0.00487)</f>
        <v>0.00487</v>
      </c>
      <c r="I522" s="19" t="str">
        <f>IFERROR(__xludf.DUMMYFUNCTION("""COMPUTED_VALUE"""),"-")</f>
        <v>-</v>
      </c>
      <c r="J522" s="19">
        <f>IFERROR(__xludf.DUMMYFUNCTION("""COMPUTED_VALUE"""),0.01962)</f>
        <v>0.01962</v>
      </c>
      <c r="K522" s="19">
        <f>IFERROR(__xludf.DUMMYFUNCTION("""COMPUTED_VALUE"""),0.12344)</f>
        <v>0.12344</v>
      </c>
      <c r="L522" s="19" t="str">
        <f>IFERROR(__xludf.DUMMYFUNCTION("""COMPUTED_VALUE"""),"-")</f>
        <v>-</v>
      </c>
      <c r="M522" s="19" t="str">
        <f>IFERROR(__xludf.DUMMYFUNCTION("""COMPUTED_VALUE"""),"-")</f>
        <v>-</v>
      </c>
    </row>
    <row r="523">
      <c r="A523" s="12" t="s">
        <v>9313</v>
      </c>
      <c r="G523" s="19">
        <f>IFERROR(__xludf.DUMMYFUNCTION("SPLIT(A521, "" |"")"),259001.0)</f>
        <v>259001</v>
      </c>
      <c r="H523" s="19">
        <f>IFERROR(__xludf.DUMMYFUNCTION("""COMPUTED_VALUE"""),0.0048)</f>
        <v>0.0048</v>
      </c>
      <c r="I523" s="19" t="str">
        <f>IFERROR(__xludf.DUMMYFUNCTION("""COMPUTED_VALUE"""),"-")</f>
        <v>-</v>
      </c>
      <c r="J523" s="19">
        <f>IFERROR(__xludf.DUMMYFUNCTION("""COMPUTED_VALUE"""),0.01986)</f>
        <v>0.01986</v>
      </c>
      <c r="K523" s="19">
        <f>IFERROR(__xludf.DUMMYFUNCTION("""COMPUTED_VALUE"""),0.12872)</f>
        <v>0.12872</v>
      </c>
      <c r="L523" s="19" t="str">
        <f>IFERROR(__xludf.DUMMYFUNCTION("""COMPUTED_VALUE"""),"-")</f>
        <v>-</v>
      </c>
      <c r="M523" s="19" t="str">
        <f>IFERROR(__xludf.DUMMYFUNCTION("""COMPUTED_VALUE"""),"-")</f>
        <v>-</v>
      </c>
    </row>
    <row r="524">
      <c r="A524" s="12" t="s">
        <v>9314</v>
      </c>
      <c r="G524" s="19">
        <f>IFERROR(__xludf.DUMMYFUNCTION("SPLIT(A522, "" |"")"),259501.0)</f>
        <v>259501</v>
      </c>
      <c r="H524" s="19">
        <f>IFERROR(__xludf.DUMMYFUNCTION("""COMPUTED_VALUE"""),0.00472)</f>
        <v>0.00472</v>
      </c>
      <c r="I524" s="19" t="str">
        <f>IFERROR(__xludf.DUMMYFUNCTION("""COMPUTED_VALUE"""),"-")</f>
        <v>-</v>
      </c>
      <c r="J524" s="19">
        <f>IFERROR(__xludf.DUMMYFUNCTION("""COMPUTED_VALUE"""),0.01979)</f>
        <v>0.01979</v>
      </c>
      <c r="K524" s="19">
        <f>IFERROR(__xludf.DUMMYFUNCTION("""COMPUTED_VALUE"""),0.13197)</f>
        <v>0.13197</v>
      </c>
      <c r="L524" s="19" t="str">
        <f>IFERROR(__xludf.DUMMYFUNCTION("""COMPUTED_VALUE"""),"-")</f>
        <v>-</v>
      </c>
      <c r="M524" s="19" t="str">
        <f>IFERROR(__xludf.DUMMYFUNCTION("""COMPUTED_VALUE"""),"-")</f>
        <v>-</v>
      </c>
    </row>
    <row r="525">
      <c r="A525" s="12" t="s">
        <v>9315</v>
      </c>
      <c r="G525" s="19">
        <f>IFERROR(__xludf.DUMMYFUNCTION("SPLIT(A523, "" |"")"),260001.0)</f>
        <v>260001</v>
      </c>
      <c r="H525" s="19">
        <f>IFERROR(__xludf.DUMMYFUNCTION("""COMPUTED_VALUE"""),0.00475)</f>
        <v>0.00475</v>
      </c>
      <c r="I525" s="19" t="str">
        <f>IFERROR(__xludf.DUMMYFUNCTION("""COMPUTED_VALUE"""),"-")</f>
        <v>-</v>
      </c>
      <c r="J525" s="19">
        <f>IFERROR(__xludf.DUMMYFUNCTION("""COMPUTED_VALUE"""),0.01955)</f>
        <v>0.01955</v>
      </c>
      <c r="K525" s="19">
        <f>IFERROR(__xludf.DUMMYFUNCTION("""COMPUTED_VALUE"""),0.12767)</f>
        <v>0.12767</v>
      </c>
      <c r="L525" s="19" t="str">
        <f>IFERROR(__xludf.DUMMYFUNCTION("""COMPUTED_VALUE"""),"-")</f>
        <v>-</v>
      </c>
      <c r="M525" s="19" t="str">
        <f>IFERROR(__xludf.DUMMYFUNCTION("""COMPUTED_VALUE"""),"-")</f>
        <v>-</v>
      </c>
    </row>
    <row r="526">
      <c r="A526" s="12" t="s">
        <v>9316</v>
      </c>
      <c r="G526" s="19">
        <f>IFERROR(__xludf.DUMMYFUNCTION("SPLIT(A524, "" |"")"),260501.0)</f>
        <v>260501</v>
      </c>
      <c r="H526" s="19">
        <f>IFERROR(__xludf.DUMMYFUNCTION("""COMPUTED_VALUE"""),0.0047)</f>
        <v>0.0047</v>
      </c>
      <c r="I526" s="19" t="str">
        <f>IFERROR(__xludf.DUMMYFUNCTION("""COMPUTED_VALUE"""),"-")</f>
        <v>-</v>
      </c>
      <c r="J526" s="19">
        <f>IFERROR(__xludf.DUMMYFUNCTION("""COMPUTED_VALUE"""),0.01964)</f>
        <v>0.01964</v>
      </c>
      <c r="K526" s="19">
        <f>IFERROR(__xludf.DUMMYFUNCTION("""COMPUTED_VALUE"""),0.13191)</f>
        <v>0.13191</v>
      </c>
      <c r="L526" s="19" t="str">
        <f>IFERROR(__xludf.DUMMYFUNCTION("""COMPUTED_VALUE"""),"-")</f>
        <v>-</v>
      </c>
      <c r="M526" s="19" t="str">
        <f>IFERROR(__xludf.DUMMYFUNCTION("""COMPUTED_VALUE"""),"-")</f>
        <v>-</v>
      </c>
    </row>
    <row r="527">
      <c r="A527" s="12" t="s">
        <v>9317</v>
      </c>
      <c r="G527" s="19">
        <f>IFERROR(__xludf.DUMMYFUNCTION("SPLIT(A525, "" |"")"),261001.0)</f>
        <v>261001</v>
      </c>
      <c r="H527" s="19">
        <f>IFERROR(__xludf.DUMMYFUNCTION("""COMPUTED_VALUE"""),0.00473)</f>
        <v>0.00473</v>
      </c>
      <c r="I527" s="19" t="str">
        <f>IFERROR(__xludf.DUMMYFUNCTION("""COMPUTED_VALUE"""),"-")</f>
        <v>-</v>
      </c>
      <c r="J527" s="19">
        <f>IFERROR(__xludf.DUMMYFUNCTION("""COMPUTED_VALUE"""),0.01884)</f>
        <v>0.01884</v>
      </c>
      <c r="K527" s="19">
        <f>IFERROR(__xludf.DUMMYFUNCTION("""COMPUTED_VALUE"""),0.1278)</f>
        <v>0.1278</v>
      </c>
      <c r="L527" s="19" t="str">
        <f>IFERROR(__xludf.DUMMYFUNCTION("""COMPUTED_VALUE"""),"-")</f>
        <v>-</v>
      </c>
      <c r="M527" s="19" t="str">
        <f>IFERROR(__xludf.DUMMYFUNCTION("""COMPUTED_VALUE"""),"-")</f>
        <v>-</v>
      </c>
    </row>
    <row r="528">
      <c r="A528" s="12" t="s">
        <v>9318</v>
      </c>
      <c r="G528" s="19">
        <f>IFERROR(__xludf.DUMMYFUNCTION("SPLIT(A526, "" |"")"),261501.0)</f>
        <v>261501</v>
      </c>
      <c r="H528" s="19">
        <f>IFERROR(__xludf.DUMMYFUNCTION("""COMPUTED_VALUE"""),0.00473)</f>
        <v>0.00473</v>
      </c>
      <c r="I528" s="19" t="str">
        <f>IFERROR(__xludf.DUMMYFUNCTION("""COMPUTED_VALUE"""),"-")</f>
        <v>-</v>
      </c>
      <c r="J528" s="19">
        <f>IFERROR(__xludf.DUMMYFUNCTION("""COMPUTED_VALUE"""),0.01972)</f>
        <v>0.01972</v>
      </c>
      <c r="K528" s="19">
        <f>IFERROR(__xludf.DUMMYFUNCTION("""COMPUTED_VALUE"""),0.12449)</f>
        <v>0.12449</v>
      </c>
      <c r="L528" s="19" t="str">
        <f>IFERROR(__xludf.DUMMYFUNCTION("""COMPUTED_VALUE"""),"-")</f>
        <v>-</v>
      </c>
      <c r="M528" s="19" t="str">
        <f>IFERROR(__xludf.DUMMYFUNCTION("""COMPUTED_VALUE"""),"-")</f>
        <v>-</v>
      </c>
    </row>
    <row r="529">
      <c r="A529" s="12" t="s">
        <v>9319</v>
      </c>
      <c r="G529" s="19">
        <f>IFERROR(__xludf.DUMMYFUNCTION("SPLIT(A527, "" |"")"),262001.0)</f>
        <v>262001</v>
      </c>
      <c r="H529" s="19">
        <f>IFERROR(__xludf.DUMMYFUNCTION("""COMPUTED_VALUE"""),0.0048)</f>
        <v>0.0048</v>
      </c>
      <c r="I529" s="19" t="str">
        <f>IFERROR(__xludf.DUMMYFUNCTION("""COMPUTED_VALUE"""),"-")</f>
        <v>-</v>
      </c>
      <c r="J529" s="19">
        <f>IFERROR(__xludf.DUMMYFUNCTION("""COMPUTED_VALUE"""),0.01997)</f>
        <v>0.01997</v>
      </c>
      <c r="K529" s="19">
        <f>IFERROR(__xludf.DUMMYFUNCTION("""COMPUTED_VALUE"""),0.13206)</f>
        <v>0.13206</v>
      </c>
      <c r="L529" s="19" t="str">
        <f>IFERROR(__xludf.DUMMYFUNCTION("""COMPUTED_VALUE"""),"-")</f>
        <v>-</v>
      </c>
      <c r="M529" s="19" t="str">
        <f>IFERROR(__xludf.DUMMYFUNCTION("""COMPUTED_VALUE"""),"-")</f>
        <v>-</v>
      </c>
    </row>
    <row r="530">
      <c r="A530" s="12" t="s">
        <v>9320</v>
      </c>
      <c r="G530" s="19">
        <f>IFERROR(__xludf.DUMMYFUNCTION("SPLIT(A528, "" |"")"),262501.0)</f>
        <v>262501</v>
      </c>
      <c r="H530" s="19">
        <f>IFERROR(__xludf.DUMMYFUNCTION("""COMPUTED_VALUE"""),0.00494)</f>
        <v>0.00494</v>
      </c>
      <c r="I530" s="19" t="str">
        <f>IFERROR(__xludf.DUMMYFUNCTION("""COMPUTED_VALUE"""),"-")</f>
        <v>-</v>
      </c>
      <c r="J530" s="19">
        <f>IFERROR(__xludf.DUMMYFUNCTION("""COMPUTED_VALUE"""),0.01977)</f>
        <v>0.01977</v>
      </c>
      <c r="K530" s="19">
        <f>IFERROR(__xludf.DUMMYFUNCTION("""COMPUTED_VALUE"""),0.132)</f>
        <v>0.132</v>
      </c>
      <c r="L530" s="19" t="str">
        <f>IFERROR(__xludf.DUMMYFUNCTION("""COMPUTED_VALUE"""),"-")</f>
        <v>-</v>
      </c>
      <c r="M530" s="19" t="str">
        <f>IFERROR(__xludf.DUMMYFUNCTION("""COMPUTED_VALUE"""),"-")</f>
        <v>-</v>
      </c>
    </row>
    <row r="531">
      <c r="A531" s="12" t="s">
        <v>9321</v>
      </c>
      <c r="G531" s="19">
        <f>IFERROR(__xludf.DUMMYFUNCTION("SPLIT(A529, "" |"")"),263001.0)</f>
        <v>263001</v>
      </c>
      <c r="H531" s="19">
        <f>IFERROR(__xludf.DUMMYFUNCTION("""COMPUTED_VALUE"""),0.00483)</f>
        <v>0.00483</v>
      </c>
      <c r="I531" s="19" t="str">
        <f>IFERROR(__xludf.DUMMYFUNCTION("""COMPUTED_VALUE"""),"-")</f>
        <v>-</v>
      </c>
      <c r="J531" s="19">
        <f>IFERROR(__xludf.DUMMYFUNCTION("""COMPUTED_VALUE"""),0.0199)</f>
        <v>0.0199</v>
      </c>
      <c r="K531" s="19">
        <f>IFERROR(__xludf.DUMMYFUNCTION("""COMPUTED_VALUE"""),0.1317)</f>
        <v>0.1317</v>
      </c>
      <c r="L531" s="19" t="str">
        <f>IFERROR(__xludf.DUMMYFUNCTION("""COMPUTED_VALUE"""),"-")</f>
        <v>-</v>
      </c>
      <c r="M531" s="19" t="str">
        <f>IFERROR(__xludf.DUMMYFUNCTION("""COMPUTED_VALUE"""),"-")</f>
        <v>-</v>
      </c>
    </row>
    <row r="532">
      <c r="A532" s="12" t="s">
        <v>9322</v>
      </c>
      <c r="G532" s="19">
        <f>IFERROR(__xludf.DUMMYFUNCTION("SPLIT(A530, "" |"")"),263501.0)</f>
        <v>263501</v>
      </c>
      <c r="H532" s="19">
        <f>IFERROR(__xludf.DUMMYFUNCTION("""COMPUTED_VALUE"""),0.00477)</f>
        <v>0.00477</v>
      </c>
      <c r="I532" s="19" t="str">
        <f>IFERROR(__xludf.DUMMYFUNCTION("""COMPUTED_VALUE"""),"-")</f>
        <v>-</v>
      </c>
      <c r="J532" s="19">
        <f>IFERROR(__xludf.DUMMYFUNCTION("""COMPUTED_VALUE"""),0.01982)</f>
        <v>0.01982</v>
      </c>
      <c r="K532" s="19">
        <f>IFERROR(__xludf.DUMMYFUNCTION("""COMPUTED_VALUE"""),0.13007)</f>
        <v>0.13007</v>
      </c>
      <c r="L532" s="19" t="str">
        <f>IFERROR(__xludf.DUMMYFUNCTION("""COMPUTED_VALUE"""),"-")</f>
        <v>-</v>
      </c>
      <c r="M532" s="19" t="str">
        <f>IFERROR(__xludf.DUMMYFUNCTION("""COMPUTED_VALUE"""),"-")</f>
        <v>-</v>
      </c>
    </row>
    <row r="533">
      <c r="A533" s="12" t="s">
        <v>9323</v>
      </c>
      <c r="G533" s="19">
        <f>IFERROR(__xludf.DUMMYFUNCTION("SPLIT(A531, "" |"")"),264001.0)</f>
        <v>264001</v>
      </c>
      <c r="H533" s="19">
        <f>IFERROR(__xludf.DUMMYFUNCTION("""COMPUTED_VALUE"""),0.00497)</f>
        <v>0.00497</v>
      </c>
      <c r="I533" s="19" t="str">
        <f>IFERROR(__xludf.DUMMYFUNCTION("""COMPUTED_VALUE"""),"-")</f>
        <v>-</v>
      </c>
      <c r="J533" s="19">
        <f>IFERROR(__xludf.DUMMYFUNCTION("""COMPUTED_VALUE"""),0.01969)</f>
        <v>0.01969</v>
      </c>
      <c r="K533" s="19">
        <f>IFERROR(__xludf.DUMMYFUNCTION("""COMPUTED_VALUE"""),0.12513)</f>
        <v>0.12513</v>
      </c>
      <c r="L533" s="19" t="str">
        <f>IFERROR(__xludf.DUMMYFUNCTION("""COMPUTED_VALUE"""),"-")</f>
        <v>-</v>
      </c>
      <c r="M533" s="19" t="str">
        <f>IFERROR(__xludf.DUMMYFUNCTION("""COMPUTED_VALUE"""),"-")</f>
        <v>-</v>
      </c>
    </row>
    <row r="534">
      <c r="A534" s="12" t="s">
        <v>9324</v>
      </c>
      <c r="G534" s="19">
        <f>IFERROR(__xludf.DUMMYFUNCTION("SPLIT(A532, "" |"")"),264501.0)</f>
        <v>264501</v>
      </c>
      <c r="H534" s="19">
        <f>IFERROR(__xludf.DUMMYFUNCTION("""COMPUTED_VALUE"""),0.00487)</f>
        <v>0.00487</v>
      </c>
      <c r="I534" s="19" t="str">
        <f>IFERROR(__xludf.DUMMYFUNCTION("""COMPUTED_VALUE"""),"-")</f>
        <v>-</v>
      </c>
      <c r="J534" s="19">
        <f>IFERROR(__xludf.DUMMYFUNCTION("""COMPUTED_VALUE"""),0.01976)</f>
        <v>0.01976</v>
      </c>
      <c r="K534" s="19">
        <f>IFERROR(__xludf.DUMMYFUNCTION("""COMPUTED_VALUE"""),0.12443)</f>
        <v>0.12443</v>
      </c>
      <c r="L534" s="19" t="str">
        <f>IFERROR(__xludf.DUMMYFUNCTION("""COMPUTED_VALUE"""),"-")</f>
        <v>-</v>
      </c>
      <c r="M534" s="19" t="str">
        <f>IFERROR(__xludf.DUMMYFUNCTION("""COMPUTED_VALUE"""),"-")</f>
        <v>-</v>
      </c>
    </row>
    <row r="535">
      <c r="A535" s="12" t="s">
        <v>9325</v>
      </c>
      <c r="G535" s="19">
        <f>IFERROR(__xludf.DUMMYFUNCTION("SPLIT(A533, "" |"")"),265001.0)</f>
        <v>265001</v>
      </c>
      <c r="H535" s="19">
        <f>IFERROR(__xludf.DUMMYFUNCTION("""COMPUTED_VALUE"""),0.00474)</f>
        <v>0.00474</v>
      </c>
      <c r="I535" s="19" t="str">
        <f>IFERROR(__xludf.DUMMYFUNCTION("""COMPUTED_VALUE"""),"-")</f>
        <v>-</v>
      </c>
      <c r="J535" s="19">
        <f>IFERROR(__xludf.DUMMYFUNCTION("""COMPUTED_VALUE"""),0.01964)</f>
        <v>0.01964</v>
      </c>
      <c r="K535" s="19">
        <f>IFERROR(__xludf.DUMMYFUNCTION("""COMPUTED_VALUE"""),0.13194)</f>
        <v>0.13194</v>
      </c>
      <c r="L535" s="19" t="str">
        <f>IFERROR(__xludf.DUMMYFUNCTION("""COMPUTED_VALUE"""),"-")</f>
        <v>-</v>
      </c>
      <c r="M535" s="19" t="str">
        <f>IFERROR(__xludf.DUMMYFUNCTION("""COMPUTED_VALUE"""),"-")</f>
        <v>-</v>
      </c>
    </row>
    <row r="536">
      <c r="A536" s="12" t="s">
        <v>9326</v>
      </c>
      <c r="G536" s="19">
        <f>IFERROR(__xludf.DUMMYFUNCTION("SPLIT(A534, "" |"")"),265501.0)</f>
        <v>265501</v>
      </c>
      <c r="H536" s="19">
        <f>IFERROR(__xludf.DUMMYFUNCTION("""COMPUTED_VALUE"""),0.00479)</f>
        <v>0.00479</v>
      </c>
      <c r="I536" s="19" t="str">
        <f>IFERROR(__xludf.DUMMYFUNCTION("""COMPUTED_VALUE"""),"-")</f>
        <v>-</v>
      </c>
      <c r="J536" s="19">
        <f>IFERROR(__xludf.DUMMYFUNCTION("""COMPUTED_VALUE"""),0.01976)</f>
        <v>0.01976</v>
      </c>
      <c r="K536" s="19">
        <f>IFERROR(__xludf.DUMMYFUNCTION("""COMPUTED_VALUE"""),0.12732)</f>
        <v>0.12732</v>
      </c>
      <c r="L536" s="19" t="str">
        <f>IFERROR(__xludf.DUMMYFUNCTION("""COMPUTED_VALUE"""),"-")</f>
        <v>-</v>
      </c>
      <c r="M536" s="19" t="str">
        <f>IFERROR(__xludf.DUMMYFUNCTION("""COMPUTED_VALUE"""),"-")</f>
        <v>-</v>
      </c>
    </row>
    <row r="537">
      <c r="A537" s="12" t="s">
        <v>9327</v>
      </c>
      <c r="G537" s="19">
        <f>IFERROR(__xludf.DUMMYFUNCTION("SPLIT(A535, "" |"")"),266001.0)</f>
        <v>266001</v>
      </c>
      <c r="H537" s="19">
        <f>IFERROR(__xludf.DUMMYFUNCTION("""COMPUTED_VALUE"""),0.00486)</f>
        <v>0.00486</v>
      </c>
      <c r="I537" s="19" t="str">
        <f>IFERROR(__xludf.DUMMYFUNCTION("""COMPUTED_VALUE"""),"-")</f>
        <v>-</v>
      </c>
      <c r="J537" s="19">
        <f>IFERROR(__xludf.DUMMYFUNCTION("""COMPUTED_VALUE"""),0.01964)</f>
        <v>0.01964</v>
      </c>
      <c r="K537" s="19">
        <f>IFERROR(__xludf.DUMMYFUNCTION("""COMPUTED_VALUE"""),0.1257)</f>
        <v>0.1257</v>
      </c>
      <c r="L537" s="19" t="str">
        <f>IFERROR(__xludf.DUMMYFUNCTION("""COMPUTED_VALUE"""),"-")</f>
        <v>-</v>
      </c>
      <c r="M537" s="19" t="str">
        <f>IFERROR(__xludf.DUMMYFUNCTION("""COMPUTED_VALUE"""),"-")</f>
        <v>-</v>
      </c>
    </row>
    <row r="538">
      <c r="A538" s="12" t="s">
        <v>9328</v>
      </c>
      <c r="G538" s="19">
        <f>IFERROR(__xludf.DUMMYFUNCTION("SPLIT(A536, "" |"")"),266501.0)</f>
        <v>266501</v>
      </c>
      <c r="H538" s="19">
        <f>IFERROR(__xludf.DUMMYFUNCTION("""COMPUTED_VALUE"""),0.00479)</f>
        <v>0.00479</v>
      </c>
      <c r="I538" s="19" t="str">
        <f>IFERROR(__xludf.DUMMYFUNCTION("""COMPUTED_VALUE"""),"-")</f>
        <v>-</v>
      </c>
      <c r="J538" s="19">
        <f>IFERROR(__xludf.DUMMYFUNCTION("""COMPUTED_VALUE"""),0.01966)</f>
        <v>0.01966</v>
      </c>
      <c r="K538" s="19">
        <f>IFERROR(__xludf.DUMMYFUNCTION("""COMPUTED_VALUE"""),0.13222)</f>
        <v>0.13222</v>
      </c>
      <c r="L538" s="19" t="str">
        <f>IFERROR(__xludf.DUMMYFUNCTION("""COMPUTED_VALUE"""),"-")</f>
        <v>-</v>
      </c>
      <c r="M538" s="19" t="str">
        <f>IFERROR(__xludf.DUMMYFUNCTION("""COMPUTED_VALUE"""),"-")</f>
        <v>-</v>
      </c>
    </row>
    <row r="539">
      <c r="A539" s="12" t="s">
        <v>9329</v>
      </c>
      <c r="G539" s="19">
        <f>IFERROR(__xludf.DUMMYFUNCTION("SPLIT(A537, "" |"")"),267001.0)</f>
        <v>267001</v>
      </c>
      <c r="H539" s="19">
        <f>IFERROR(__xludf.DUMMYFUNCTION("""COMPUTED_VALUE"""),0.00502)</f>
        <v>0.00502</v>
      </c>
      <c r="I539" s="19" t="str">
        <f>IFERROR(__xludf.DUMMYFUNCTION("""COMPUTED_VALUE"""),"-")</f>
        <v>-</v>
      </c>
      <c r="J539" s="19">
        <f>IFERROR(__xludf.DUMMYFUNCTION("""COMPUTED_VALUE"""),0.01978)</f>
        <v>0.01978</v>
      </c>
      <c r="K539" s="19">
        <f>IFERROR(__xludf.DUMMYFUNCTION("""COMPUTED_VALUE"""),0.12926)</f>
        <v>0.12926</v>
      </c>
      <c r="L539" s="19" t="str">
        <f>IFERROR(__xludf.DUMMYFUNCTION("""COMPUTED_VALUE"""),"-")</f>
        <v>-</v>
      </c>
      <c r="M539" s="19" t="str">
        <f>IFERROR(__xludf.DUMMYFUNCTION("""COMPUTED_VALUE"""),"-")</f>
        <v>-</v>
      </c>
    </row>
    <row r="540">
      <c r="A540" s="12" t="s">
        <v>9330</v>
      </c>
      <c r="G540" s="19">
        <f>IFERROR(__xludf.DUMMYFUNCTION("SPLIT(A538, "" |"")"),267501.0)</f>
        <v>267501</v>
      </c>
      <c r="H540" s="19">
        <f>IFERROR(__xludf.DUMMYFUNCTION("""COMPUTED_VALUE"""),0.00473)</f>
        <v>0.00473</v>
      </c>
      <c r="I540" s="19" t="str">
        <f>IFERROR(__xludf.DUMMYFUNCTION("""COMPUTED_VALUE"""),"-")</f>
        <v>-</v>
      </c>
      <c r="J540" s="19">
        <f>IFERROR(__xludf.DUMMYFUNCTION("""COMPUTED_VALUE"""),0.01775)</f>
        <v>0.01775</v>
      </c>
      <c r="K540" s="19">
        <f>IFERROR(__xludf.DUMMYFUNCTION("""COMPUTED_VALUE"""),0.12835)</f>
        <v>0.12835</v>
      </c>
      <c r="L540" s="19" t="str">
        <f>IFERROR(__xludf.DUMMYFUNCTION("""COMPUTED_VALUE"""),"-")</f>
        <v>-</v>
      </c>
      <c r="M540" s="19" t="str">
        <f>IFERROR(__xludf.DUMMYFUNCTION("""COMPUTED_VALUE"""),"-")</f>
        <v>-</v>
      </c>
    </row>
    <row r="541">
      <c r="A541" s="12" t="s">
        <v>9331</v>
      </c>
      <c r="G541" s="19">
        <f>IFERROR(__xludf.DUMMYFUNCTION("SPLIT(A539, "" |"")"),268001.0)</f>
        <v>268001</v>
      </c>
      <c r="H541" s="19">
        <f>IFERROR(__xludf.DUMMYFUNCTION("""COMPUTED_VALUE"""),0.00483)</f>
        <v>0.00483</v>
      </c>
      <c r="I541" s="19" t="str">
        <f>IFERROR(__xludf.DUMMYFUNCTION("""COMPUTED_VALUE"""),"-")</f>
        <v>-</v>
      </c>
      <c r="J541" s="19">
        <f>IFERROR(__xludf.DUMMYFUNCTION("""COMPUTED_VALUE"""),0.0196)</f>
        <v>0.0196</v>
      </c>
      <c r="K541" s="19">
        <f>IFERROR(__xludf.DUMMYFUNCTION("""COMPUTED_VALUE"""),0.13068)</f>
        <v>0.13068</v>
      </c>
      <c r="L541" s="19" t="str">
        <f>IFERROR(__xludf.DUMMYFUNCTION("""COMPUTED_VALUE"""),"-")</f>
        <v>-</v>
      </c>
      <c r="M541" s="19" t="str">
        <f>IFERROR(__xludf.DUMMYFUNCTION("""COMPUTED_VALUE"""),"-")</f>
        <v>-</v>
      </c>
    </row>
    <row r="542">
      <c r="A542" s="12" t="s">
        <v>9332</v>
      </c>
      <c r="G542" s="19">
        <f>IFERROR(__xludf.DUMMYFUNCTION("SPLIT(A540, "" |"")"),268501.0)</f>
        <v>268501</v>
      </c>
      <c r="H542" s="19">
        <f>IFERROR(__xludf.DUMMYFUNCTION("""COMPUTED_VALUE"""),0.0048)</f>
        <v>0.0048</v>
      </c>
      <c r="I542" s="19" t="str">
        <f>IFERROR(__xludf.DUMMYFUNCTION("""COMPUTED_VALUE"""),"-")</f>
        <v>-</v>
      </c>
      <c r="J542" s="19">
        <f>IFERROR(__xludf.DUMMYFUNCTION("""COMPUTED_VALUE"""),0.01977)</f>
        <v>0.01977</v>
      </c>
      <c r="K542" s="19">
        <f>IFERROR(__xludf.DUMMYFUNCTION("""COMPUTED_VALUE"""),0.13181)</f>
        <v>0.13181</v>
      </c>
      <c r="L542" s="19" t="str">
        <f>IFERROR(__xludf.DUMMYFUNCTION("""COMPUTED_VALUE"""),"-")</f>
        <v>-</v>
      </c>
      <c r="M542" s="19" t="str">
        <f>IFERROR(__xludf.DUMMYFUNCTION("""COMPUTED_VALUE"""),"-")</f>
        <v>-</v>
      </c>
    </row>
    <row r="543">
      <c r="A543" s="12" t="s">
        <v>9333</v>
      </c>
      <c r="G543" s="19">
        <f>IFERROR(__xludf.DUMMYFUNCTION("SPLIT(A541, "" |"")"),269001.0)</f>
        <v>269001</v>
      </c>
      <c r="H543" s="19">
        <f>IFERROR(__xludf.DUMMYFUNCTION("""COMPUTED_VALUE"""),0.00475)</f>
        <v>0.00475</v>
      </c>
      <c r="I543" s="19" t="str">
        <f>IFERROR(__xludf.DUMMYFUNCTION("""COMPUTED_VALUE"""),"-")</f>
        <v>-</v>
      </c>
      <c r="J543" s="19">
        <f>IFERROR(__xludf.DUMMYFUNCTION("""COMPUTED_VALUE"""),0.01965)</f>
        <v>0.01965</v>
      </c>
      <c r="K543" s="19">
        <f>IFERROR(__xludf.DUMMYFUNCTION("""COMPUTED_VALUE"""),0.13192)</f>
        <v>0.13192</v>
      </c>
      <c r="L543" s="19" t="str">
        <f>IFERROR(__xludf.DUMMYFUNCTION("""COMPUTED_VALUE"""),"-")</f>
        <v>-</v>
      </c>
      <c r="M543" s="19" t="str">
        <f>IFERROR(__xludf.DUMMYFUNCTION("""COMPUTED_VALUE"""),"-")</f>
        <v>-</v>
      </c>
    </row>
    <row r="544">
      <c r="A544" s="12" t="s">
        <v>9334</v>
      </c>
      <c r="G544" s="19">
        <f>IFERROR(__xludf.DUMMYFUNCTION("SPLIT(A542, "" |"")"),269501.0)</f>
        <v>269501</v>
      </c>
      <c r="H544" s="19">
        <f>IFERROR(__xludf.DUMMYFUNCTION("""COMPUTED_VALUE"""),0.00485)</f>
        <v>0.00485</v>
      </c>
      <c r="I544" s="19" t="str">
        <f>IFERROR(__xludf.DUMMYFUNCTION("""COMPUTED_VALUE"""),"-")</f>
        <v>-</v>
      </c>
      <c r="J544" s="19">
        <f>IFERROR(__xludf.DUMMYFUNCTION("""COMPUTED_VALUE"""),0.03824)</f>
        <v>0.03824</v>
      </c>
      <c r="K544" s="19">
        <f>IFERROR(__xludf.DUMMYFUNCTION("""COMPUTED_VALUE"""),0.13202)</f>
        <v>0.13202</v>
      </c>
      <c r="L544" s="19" t="str">
        <f>IFERROR(__xludf.DUMMYFUNCTION("""COMPUTED_VALUE"""),"-")</f>
        <v>-</v>
      </c>
      <c r="M544" s="19" t="str">
        <f>IFERROR(__xludf.DUMMYFUNCTION("""COMPUTED_VALUE"""),"-")</f>
        <v>-</v>
      </c>
    </row>
    <row r="545">
      <c r="A545" s="12" t="s">
        <v>9335</v>
      </c>
      <c r="G545" s="19">
        <f>IFERROR(__xludf.DUMMYFUNCTION("SPLIT(A543, "" |"")"),270001.0)</f>
        <v>270001</v>
      </c>
      <c r="H545" s="19">
        <f>IFERROR(__xludf.DUMMYFUNCTION("""COMPUTED_VALUE"""),0.00492)</f>
        <v>0.00492</v>
      </c>
      <c r="I545" s="19" t="str">
        <f>IFERROR(__xludf.DUMMYFUNCTION("""COMPUTED_VALUE"""),"-")</f>
        <v>-</v>
      </c>
      <c r="J545" s="19">
        <f>IFERROR(__xludf.DUMMYFUNCTION("""COMPUTED_VALUE"""),0.01972)</f>
        <v>0.01972</v>
      </c>
      <c r="K545" s="19">
        <f>IFERROR(__xludf.DUMMYFUNCTION("""COMPUTED_VALUE"""),0.13199)</f>
        <v>0.13199</v>
      </c>
      <c r="L545" s="19" t="str">
        <f>IFERROR(__xludf.DUMMYFUNCTION("""COMPUTED_VALUE"""),"-")</f>
        <v>-</v>
      </c>
      <c r="M545" s="19" t="str">
        <f>IFERROR(__xludf.DUMMYFUNCTION("""COMPUTED_VALUE"""),"-")</f>
        <v>-</v>
      </c>
    </row>
    <row r="546">
      <c r="A546" s="12" t="s">
        <v>9336</v>
      </c>
      <c r="G546" s="19">
        <f>IFERROR(__xludf.DUMMYFUNCTION("SPLIT(A544, "" |"")"),270501.0)</f>
        <v>270501</v>
      </c>
      <c r="H546" s="19">
        <f>IFERROR(__xludf.DUMMYFUNCTION("""COMPUTED_VALUE"""),0.00485)</f>
        <v>0.00485</v>
      </c>
      <c r="I546" s="19" t="str">
        <f>IFERROR(__xludf.DUMMYFUNCTION("""COMPUTED_VALUE"""),"-")</f>
        <v>-</v>
      </c>
      <c r="J546" s="19">
        <f>IFERROR(__xludf.DUMMYFUNCTION("""COMPUTED_VALUE"""),0.01777)</f>
        <v>0.01777</v>
      </c>
      <c r="K546" s="19">
        <f>IFERROR(__xludf.DUMMYFUNCTION("""COMPUTED_VALUE"""),0.12854)</f>
        <v>0.12854</v>
      </c>
      <c r="L546" s="19" t="str">
        <f>IFERROR(__xludf.DUMMYFUNCTION("""COMPUTED_VALUE"""),"-")</f>
        <v>-</v>
      </c>
      <c r="M546" s="19" t="str">
        <f>IFERROR(__xludf.DUMMYFUNCTION("""COMPUTED_VALUE"""),"-")</f>
        <v>-</v>
      </c>
    </row>
    <row r="547">
      <c r="A547" s="12" t="s">
        <v>9337</v>
      </c>
      <c r="G547" s="19">
        <f>IFERROR(__xludf.DUMMYFUNCTION("SPLIT(A545, "" |"")"),271001.0)</f>
        <v>271001</v>
      </c>
      <c r="H547" s="19">
        <f>IFERROR(__xludf.DUMMYFUNCTION("""COMPUTED_VALUE"""),0.00465)</f>
        <v>0.00465</v>
      </c>
      <c r="I547" s="19" t="str">
        <f>IFERROR(__xludf.DUMMYFUNCTION("""COMPUTED_VALUE"""),"-")</f>
        <v>-</v>
      </c>
      <c r="J547" s="19">
        <f>IFERROR(__xludf.DUMMYFUNCTION("""COMPUTED_VALUE"""),0.01986)</f>
        <v>0.01986</v>
      </c>
      <c r="K547" s="19">
        <f>IFERROR(__xludf.DUMMYFUNCTION("""COMPUTED_VALUE"""),0.1314)</f>
        <v>0.1314</v>
      </c>
      <c r="L547" s="19" t="str">
        <f>IFERROR(__xludf.DUMMYFUNCTION("""COMPUTED_VALUE"""),"-")</f>
        <v>-</v>
      </c>
      <c r="M547" s="19" t="str">
        <f>IFERROR(__xludf.DUMMYFUNCTION("""COMPUTED_VALUE"""),"-")</f>
        <v>-</v>
      </c>
    </row>
    <row r="548">
      <c r="A548" s="12" t="s">
        <v>9338</v>
      </c>
      <c r="G548" s="19">
        <f>IFERROR(__xludf.DUMMYFUNCTION("SPLIT(A546, "" |"")"),271501.0)</f>
        <v>271501</v>
      </c>
      <c r="H548" s="19">
        <f>IFERROR(__xludf.DUMMYFUNCTION("""COMPUTED_VALUE"""),0.00477)</f>
        <v>0.00477</v>
      </c>
      <c r="I548" s="19" t="str">
        <f>IFERROR(__xludf.DUMMYFUNCTION("""COMPUTED_VALUE"""),"-")</f>
        <v>-</v>
      </c>
      <c r="J548" s="19">
        <f>IFERROR(__xludf.DUMMYFUNCTION("""COMPUTED_VALUE"""),0.01974)</f>
        <v>0.01974</v>
      </c>
      <c r="K548" s="19">
        <f>IFERROR(__xludf.DUMMYFUNCTION("""COMPUTED_VALUE"""),0.1275)</f>
        <v>0.1275</v>
      </c>
      <c r="L548" s="19" t="str">
        <f>IFERROR(__xludf.DUMMYFUNCTION("""COMPUTED_VALUE"""),"-")</f>
        <v>-</v>
      </c>
      <c r="M548" s="19" t="str">
        <f>IFERROR(__xludf.DUMMYFUNCTION("""COMPUTED_VALUE"""),"-")</f>
        <v>-</v>
      </c>
    </row>
    <row r="549">
      <c r="A549" s="12" t="s">
        <v>9339</v>
      </c>
      <c r="G549" s="19">
        <f>IFERROR(__xludf.DUMMYFUNCTION("SPLIT(A547, "" |"")"),272001.0)</f>
        <v>272001</v>
      </c>
      <c r="H549" s="19">
        <f>IFERROR(__xludf.DUMMYFUNCTION("""COMPUTED_VALUE"""),0.00462)</f>
        <v>0.00462</v>
      </c>
      <c r="I549" s="19" t="str">
        <f>IFERROR(__xludf.DUMMYFUNCTION("""COMPUTED_VALUE"""),"-")</f>
        <v>-</v>
      </c>
      <c r="J549" s="19">
        <f>IFERROR(__xludf.DUMMYFUNCTION("""COMPUTED_VALUE"""),0.01968)</f>
        <v>0.01968</v>
      </c>
      <c r="K549" s="19">
        <f>IFERROR(__xludf.DUMMYFUNCTION("""COMPUTED_VALUE"""),0.12835)</f>
        <v>0.12835</v>
      </c>
      <c r="L549" s="19" t="str">
        <f>IFERROR(__xludf.DUMMYFUNCTION("""COMPUTED_VALUE"""),"-")</f>
        <v>-</v>
      </c>
      <c r="M549" s="19" t="str">
        <f>IFERROR(__xludf.DUMMYFUNCTION("""COMPUTED_VALUE"""),"-")</f>
        <v>-</v>
      </c>
    </row>
    <row r="550">
      <c r="A550" s="12" t="s">
        <v>9340</v>
      </c>
      <c r="G550" s="19">
        <f>IFERROR(__xludf.DUMMYFUNCTION("SPLIT(A548, "" |"")"),272501.0)</f>
        <v>272501</v>
      </c>
      <c r="H550" s="19">
        <f>IFERROR(__xludf.DUMMYFUNCTION("""COMPUTED_VALUE"""),0.00501)</f>
        <v>0.00501</v>
      </c>
      <c r="I550" s="19" t="str">
        <f>IFERROR(__xludf.DUMMYFUNCTION("""COMPUTED_VALUE"""),"-")</f>
        <v>-</v>
      </c>
      <c r="J550" s="19">
        <f>IFERROR(__xludf.DUMMYFUNCTION("""COMPUTED_VALUE"""),0.01975)</f>
        <v>0.01975</v>
      </c>
      <c r="K550" s="19">
        <f>IFERROR(__xludf.DUMMYFUNCTION("""COMPUTED_VALUE"""),0.13188)</f>
        <v>0.13188</v>
      </c>
      <c r="L550" s="19" t="str">
        <f>IFERROR(__xludf.DUMMYFUNCTION("""COMPUTED_VALUE"""),"-")</f>
        <v>-</v>
      </c>
      <c r="M550" s="19" t="str">
        <f>IFERROR(__xludf.DUMMYFUNCTION("""COMPUTED_VALUE"""),"-")</f>
        <v>-</v>
      </c>
    </row>
    <row r="551">
      <c r="A551" s="12" t="s">
        <v>9341</v>
      </c>
      <c r="G551" s="19">
        <f>IFERROR(__xludf.DUMMYFUNCTION("SPLIT(A549, "" |"")"),273001.0)</f>
        <v>273001</v>
      </c>
      <c r="H551" s="19">
        <f>IFERROR(__xludf.DUMMYFUNCTION("""COMPUTED_VALUE"""),0.00523)</f>
        <v>0.00523</v>
      </c>
      <c r="I551" s="19" t="str">
        <f>IFERROR(__xludf.DUMMYFUNCTION("""COMPUTED_VALUE"""),"-")</f>
        <v>-</v>
      </c>
      <c r="J551" s="19">
        <f>IFERROR(__xludf.DUMMYFUNCTION("""COMPUTED_VALUE"""),0.01859)</f>
        <v>0.01859</v>
      </c>
      <c r="K551" s="19">
        <f>IFERROR(__xludf.DUMMYFUNCTION("""COMPUTED_VALUE"""),0.1287)</f>
        <v>0.1287</v>
      </c>
      <c r="L551" s="19" t="str">
        <f>IFERROR(__xludf.DUMMYFUNCTION("""COMPUTED_VALUE"""),"-")</f>
        <v>-</v>
      </c>
      <c r="M551" s="19" t="str">
        <f>IFERROR(__xludf.DUMMYFUNCTION("""COMPUTED_VALUE"""),"-")</f>
        <v>-</v>
      </c>
    </row>
    <row r="552">
      <c r="A552" s="12" t="s">
        <v>9342</v>
      </c>
      <c r="G552" s="19">
        <f>IFERROR(__xludf.DUMMYFUNCTION("SPLIT(A550, "" |"")"),273501.0)</f>
        <v>273501</v>
      </c>
      <c r="H552" s="19">
        <f>IFERROR(__xludf.DUMMYFUNCTION("""COMPUTED_VALUE"""),0.00466)</f>
        <v>0.00466</v>
      </c>
      <c r="I552" s="19" t="str">
        <f>IFERROR(__xludf.DUMMYFUNCTION("""COMPUTED_VALUE"""),"-")</f>
        <v>-</v>
      </c>
      <c r="J552" s="19">
        <f>IFERROR(__xludf.DUMMYFUNCTION("""COMPUTED_VALUE"""),0.01942)</f>
        <v>0.01942</v>
      </c>
      <c r="K552" s="19">
        <f>IFERROR(__xludf.DUMMYFUNCTION("""COMPUTED_VALUE"""),0.12814)</f>
        <v>0.12814</v>
      </c>
      <c r="L552" s="19" t="str">
        <f>IFERROR(__xludf.DUMMYFUNCTION("""COMPUTED_VALUE"""),"-")</f>
        <v>-</v>
      </c>
      <c r="M552" s="19" t="str">
        <f>IFERROR(__xludf.DUMMYFUNCTION("""COMPUTED_VALUE"""),"-")</f>
        <v>-</v>
      </c>
    </row>
    <row r="553">
      <c r="A553" s="12" t="s">
        <v>9343</v>
      </c>
      <c r="G553" s="19">
        <f>IFERROR(__xludf.DUMMYFUNCTION("SPLIT(A551, "" |"")"),274001.0)</f>
        <v>274001</v>
      </c>
      <c r="H553" s="19">
        <f>IFERROR(__xludf.DUMMYFUNCTION("""COMPUTED_VALUE"""),0.00481)</f>
        <v>0.00481</v>
      </c>
      <c r="I553" s="19" t="str">
        <f>IFERROR(__xludf.DUMMYFUNCTION("""COMPUTED_VALUE"""),"-")</f>
        <v>-</v>
      </c>
      <c r="J553" s="19">
        <f>IFERROR(__xludf.DUMMYFUNCTION("""COMPUTED_VALUE"""),0.01787)</f>
        <v>0.01787</v>
      </c>
      <c r="K553" s="19">
        <f>IFERROR(__xludf.DUMMYFUNCTION("""COMPUTED_VALUE"""),0.12768)</f>
        <v>0.12768</v>
      </c>
      <c r="L553" s="19" t="str">
        <f>IFERROR(__xludf.DUMMYFUNCTION("""COMPUTED_VALUE"""),"-")</f>
        <v>-</v>
      </c>
      <c r="M553" s="19" t="str">
        <f>IFERROR(__xludf.DUMMYFUNCTION("""COMPUTED_VALUE"""),"-")</f>
        <v>-</v>
      </c>
    </row>
    <row r="554">
      <c r="A554" s="12" t="s">
        <v>9344</v>
      </c>
      <c r="G554" s="19">
        <f>IFERROR(__xludf.DUMMYFUNCTION("SPLIT(A552, "" |"")"),274501.0)</f>
        <v>274501</v>
      </c>
      <c r="H554" s="19">
        <f>IFERROR(__xludf.DUMMYFUNCTION("""COMPUTED_VALUE"""),0.00463)</f>
        <v>0.00463</v>
      </c>
      <c r="I554" s="19" t="str">
        <f>IFERROR(__xludf.DUMMYFUNCTION("""COMPUTED_VALUE"""),"-")</f>
        <v>-</v>
      </c>
      <c r="J554" s="19">
        <f>IFERROR(__xludf.DUMMYFUNCTION("""COMPUTED_VALUE"""),0.01945)</f>
        <v>0.01945</v>
      </c>
      <c r="K554" s="19">
        <f>IFERROR(__xludf.DUMMYFUNCTION("""COMPUTED_VALUE"""),0.12943)</f>
        <v>0.12943</v>
      </c>
      <c r="L554" s="19" t="str">
        <f>IFERROR(__xludf.DUMMYFUNCTION("""COMPUTED_VALUE"""),"-")</f>
        <v>-</v>
      </c>
      <c r="M554" s="19" t="str">
        <f>IFERROR(__xludf.DUMMYFUNCTION("""COMPUTED_VALUE"""),"-")</f>
        <v>-</v>
      </c>
    </row>
    <row r="555">
      <c r="A555" s="12" t="s">
        <v>9345</v>
      </c>
      <c r="G555" s="19">
        <f>IFERROR(__xludf.DUMMYFUNCTION("SPLIT(A553, "" |"")"),275001.0)</f>
        <v>275001</v>
      </c>
      <c r="H555" s="19">
        <f>IFERROR(__xludf.DUMMYFUNCTION("""COMPUTED_VALUE"""),0.00469)</f>
        <v>0.00469</v>
      </c>
      <c r="I555" s="19" t="str">
        <f>IFERROR(__xludf.DUMMYFUNCTION("""COMPUTED_VALUE"""),"-")</f>
        <v>-</v>
      </c>
      <c r="J555" s="19">
        <f>IFERROR(__xludf.DUMMYFUNCTION("""COMPUTED_VALUE"""),0.0187)</f>
        <v>0.0187</v>
      </c>
      <c r="K555" s="19">
        <f>IFERROR(__xludf.DUMMYFUNCTION("""COMPUTED_VALUE"""),0.12623)</f>
        <v>0.12623</v>
      </c>
      <c r="L555" s="19" t="str">
        <f>IFERROR(__xludf.DUMMYFUNCTION("""COMPUTED_VALUE"""),"-")</f>
        <v>-</v>
      </c>
      <c r="M555" s="19" t="str">
        <f>IFERROR(__xludf.DUMMYFUNCTION("""COMPUTED_VALUE"""),"-")</f>
        <v>-</v>
      </c>
    </row>
    <row r="556">
      <c r="A556" s="12" t="s">
        <v>9346</v>
      </c>
      <c r="G556" s="19">
        <f>IFERROR(__xludf.DUMMYFUNCTION("SPLIT(A554, "" |"")"),275501.0)</f>
        <v>275501</v>
      </c>
      <c r="H556" s="19">
        <f>IFERROR(__xludf.DUMMYFUNCTION("""COMPUTED_VALUE"""),0.00473)</f>
        <v>0.00473</v>
      </c>
      <c r="I556" s="19" t="str">
        <f>IFERROR(__xludf.DUMMYFUNCTION("""COMPUTED_VALUE"""),"-")</f>
        <v>-</v>
      </c>
      <c r="J556" s="19">
        <f>IFERROR(__xludf.DUMMYFUNCTION("""COMPUTED_VALUE"""),0.01959)</f>
        <v>0.01959</v>
      </c>
      <c r="K556" s="19">
        <f>IFERROR(__xludf.DUMMYFUNCTION("""COMPUTED_VALUE"""),0.13191)</f>
        <v>0.13191</v>
      </c>
      <c r="L556" s="19" t="str">
        <f>IFERROR(__xludf.DUMMYFUNCTION("""COMPUTED_VALUE"""),"-")</f>
        <v>-</v>
      </c>
      <c r="M556" s="19" t="str">
        <f>IFERROR(__xludf.DUMMYFUNCTION("""COMPUTED_VALUE"""),"-")</f>
        <v>-</v>
      </c>
    </row>
    <row r="557">
      <c r="A557" s="12" t="s">
        <v>9347</v>
      </c>
      <c r="G557" s="19">
        <f>IFERROR(__xludf.DUMMYFUNCTION("SPLIT(A555, "" |"")"),276001.0)</f>
        <v>276001</v>
      </c>
      <c r="H557" s="19">
        <f>IFERROR(__xludf.DUMMYFUNCTION("""COMPUTED_VALUE"""),0.00482)</f>
        <v>0.00482</v>
      </c>
      <c r="I557" s="19" t="str">
        <f>IFERROR(__xludf.DUMMYFUNCTION("""COMPUTED_VALUE"""),"-")</f>
        <v>-</v>
      </c>
      <c r="J557" s="19">
        <f>IFERROR(__xludf.DUMMYFUNCTION("""COMPUTED_VALUE"""),0.01964)</f>
        <v>0.01964</v>
      </c>
      <c r="K557" s="19">
        <f>IFERROR(__xludf.DUMMYFUNCTION("""COMPUTED_VALUE"""),0.13018)</f>
        <v>0.13018</v>
      </c>
      <c r="L557" s="19" t="str">
        <f>IFERROR(__xludf.DUMMYFUNCTION("""COMPUTED_VALUE"""),"-")</f>
        <v>-</v>
      </c>
      <c r="M557" s="19" t="str">
        <f>IFERROR(__xludf.DUMMYFUNCTION("""COMPUTED_VALUE"""),"-")</f>
        <v>-</v>
      </c>
    </row>
    <row r="558">
      <c r="A558" s="12" t="s">
        <v>9348</v>
      </c>
      <c r="G558" s="19">
        <f>IFERROR(__xludf.DUMMYFUNCTION("SPLIT(A556, "" |"")"),276501.0)</f>
        <v>276501</v>
      </c>
      <c r="H558" s="19">
        <f>IFERROR(__xludf.DUMMYFUNCTION("""COMPUTED_VALUE"""),0.00467)</f>
        <v>0.00467</v>
      </c>
      <c r="I558" s="19" t="str">
        <f>IFERROR(__xludf.DUMMYFUNCTION("""COMPUTED_VALUE"""),"-")</f>
        <v>-</v>
      </c>
      <c r="J558" s="19">
        <f>IFERROR(__xludf.DUMMYFUNCTION("""COMPUTED_VALUE"""),0.01948)</f>
        <v>0.01948</v>
      </c>
      <c r="K558" s="19">
        <f>IFERROR(__xludf.DUMMYFUNCTION("""COMPUTED_VALUE"""),0.13185)</f>
        <v>0.13185</v>
      </c>
      <c r="L558" s="19" t="str">
        <f>IFERROR(__xludf.DUMMYFUNCTION("""COMPUTED_VALUE"""),"-")</f>
        <v>-</v>
      </c>
      <c r="M558" s="19" t="str">
        <f>IFERROR(__xludf.DUMMYFUNCTION("""COMPUTED_VALUE"""),"-")</f>
        <v>-</v>
      </c>
    </row>
    <row r="559">
      <c r="A559" s="12" t="s">
        <v>9349</v>
      </c>
      <c r="G559" s="19">
        <f>IFERROR(__xludf.DUMMYFUNCTION("SPLIT(A557, "" |"")"),277001.0)</f>
        <v>277001</v>
      </c>
      <c r="H559" s="19">
        <f>IFERROR(__xludf.DUMMYFUNCTION("""COMPUTED_VALUE"""),0.00475)</f>
        <v>0.00475</v>
      </c>
      <c r="I559" s="19" t="str">
        <f>IFERROR(__xludf.DUMMYFUNCTION("""COMPUTED_VALUE"""),"-")</f>
        <v>-</v>
      </c>
      <c r="J559" s="19">
        <f>IFERROR(__xludf.DUMMYFUNCTION("""COMPUTED_VALUE"""),0.01973)</f>
        <v>0.01973</v>
      </c>
      <c r="K559" s="19">
        <f>IFERROR(__xludf.DUMMYFUNCTION("""COMPUTED_VALUE"""),0.12824)</f>
        <v>0.12824</v>
      </c>
      <c r="L559" s="19" t="str">
        <f>IFERROR(__xludf.DUMMYFUNCTION("""COMPUTED_VALUE"""),"-")</f>
        <v>-</v>
      </c>
      <c r="M559" s="19" t="str">
        <f>IFERROR(__xludf.DUMMYFUNCTION("""COMPUTED_VALUE"""),"-")</f>
        <v>-</v>
      </c>
    </row>
    <row r="560">
      <c r="A560" s="12" t="s">
        <v>9350</v>
      </c>
      <c r="G560" s="19">
        <f>IFERROR(__xludf.DUMMYFUNCTION("SPLIT(A558, "" |"")"),277501.0)</f>
        <v>277501</v>
      </c>
      <c r="H560" s="19">
        <f>IFERROR(__xludf.DUMMYFUNCTION("""COMPUTED_VALUE"""),0.00479)</f>
        <v>0.00479</v>
      </c>
      <c r="I560" s="19" t="str">
        <f>IFERROR(__xludf.DUMMYFUNCTION("""COMPUTED_VALUE"""),"-")</f>
        <v>-</v>
      </c>
      <c r="J560" s="19">
        <f>IFERROR(__xludf.DUMMYFUNCTION("""COMPUTED_VALUE"""),0.01958)</f>
        <v>0.01958</v>
      </c>
      <c r="K560" s="19">
        <f>IFERROR(__xludf.DUMMYFUNCTION("""COMPUTED_VALUE"""),0.13189)</f>
        <v>0.13189</v>
      </c>
      <c r="L560" s="19" t="str">
        <f>IFERROR(__xludf.DUMMYFUNCTION("""COMPUTED_VALUE"""),"-")</f>
        <v>-</v>
      </c>
      <c r="M560" s="19" t="str">
        <f>IFERROR(__xludf.DUMMYFUNCTION("""COMPUTED_VALUE"""),"-")</f>
        <v>-</v>
      </c>
    </row>
    <row r="561">
      <c r="A561" s="12" t="s">
        <v>9351</v>
      </c>
      <c r="G561" s="19">
        <f>IFERROR(__xludf.DUMMYFUNCTION("SPLIT(A559, "" |"")"),278001.0)</f>
        <v>278001</v>
      </c>
      <c r="H561" s="19">
        <f>IFERROR(__xludf.DUMMYFUNCTION("""COMPUTED_VALUE"""),0.0048)</f>
        <v>0.0048</v>
      </c>
      <c r="I561" s="19" t="str">
        <f>IFERROR(__xludf.DUMMYFUNCTION("""COMPUTED_VALUE"""),"-")</f>
        <v>-</v>
      </c>
      <c r="J561" s="19">
        <f>IFERROR(__xludf.DUMMYFUNCTION("""COMPUTED_VALUE"""),0.01964)</f>
        <v>0.01964</v>
      </c>
      <c r="K561" s="19">
        <f>IFERROR(__xludf.DUMMYFUNCTION("""COMPUTED_VALUE"""),0.12831)</f>
        <v>0.12831</v>
      </c>
      <c r="L561" s="19" t="str">
        <f>IFERROR(__xludf.DUMMYFUNCTION("""COMPUTED_VALUE"""),"-")</f>
        <v>-</v>
      </c>
      <c r="M561" s="19" t="str">
        <f>IFERROR(__xludf.DUMMYFUNCTION("""COMPUTED_VALUE"""),"-")</f>
        <v>-</v>
      </c>
    </row>
    <row r="562">
      <c r="A562" s="12" t="s">
        <v>9352</v>
      </c>
      <c r="G562" s="19">
        <f>IFERROR(__xludf.DUMMYFUNCTION("SPLIT(A560, "" |"")"),278501.0)</f>
        <v>278501</v>
      </c>
      <c r="H562" s="19">
        <f>IFERROR(__xludf.DUMMYFUNCTION("""COMPUTED_VALUE"""),0.00454)</f>
        <v>0.00454</v>
      </c>
      <c r="I562" s="19" t="str">
        <f>IFERROR(__xludf.DUMMYFUNCTION("""COMPUTED_VALUE"""),"-")</f>
        <v>-</v>
      </c>
      <c r="J562" s="19">
        <f>IFERROR(__xludf.DUMMYFUNCTION("""COMPUTED_VALUE"""),0.01967)</f>
        <v>0.01967</v>
      </c>
      <c r="K562" s="19">
        <f>IFERROR(__xludf.DUMMYFUNCTION("""COMPUTED_VALUE"""),0.12989)</f>
        <v>0.12989</v>
      </c>
      <c r="L562" s="19" t="str">
        <f>IFERROR(__xludf.DUMMYFUNCTION("""COMPUTED_VALUE"""),"-")</f>
        <v>-</v>
      </c>
      <c r="M562" s="19" t="str">
        <f>IFERROR(__xludf.DUMMYFUNCTION("""COMPUTED_VALUE"""),"-")</f>
        <v>-</v>
      </c>
    </row>
    <row r="563">
      <c r="A563" s="12" t="s">
        <v>9353</v>
      </c>
      <c r="G563" s="19">
        <f>IFERROR(__xludf.DUMMYFUNCTION("SPLIT(A561, "" |"")"),279001.0)</f>
        <v>279001</v>
      </c>
      <c r="H563" s="19">
        <f>IFERROR(__xludf.DUMMYFUNCTION("""COMPUTED_VALUE"""),0.00479)</f>
        <v>0.00479</v>
      </c>
      <c r="I563" s="19" t="str">
        <f>IFERROR(__xludf.DUMMYFUNCTION("""COMPUTED_VALUE"""),"-")</f>
        <v>-</v>
      </c>
      <c r="J563" s="19">
        <f>IFERROR(__xludf.DUMMYFUNCTION("""COMPUTED_VALUE"""),0.01957)</f>
        <v>0.01957</v>
      </c>
      <c r="K563" s="19">
        <f>IFERROR(__xludf.DUMMYFUNCTION("""COMPUTED_VALUE"""),0.13203)</f>
        <v>0.13203</v>
      </c>
      <c r="L563" s="19" t="str">
        <f>IFERROR(__xludf.DUMMYFUNCTION("""COMPUTED_VALUE"""),"-")</f>
        <v>-</v>
      </c>
      <c r="M563" s="19" t="str">
        <f>IFERROR(__xludf.DUMMYFUNCTION("""COMPUTED_VALUE"""),"-")</f>
        <v>-</v>
      </c>
    </row>
    <row r="564">
      <c r="A564" s="12" t="s">
        <v>9354</v>
      </c>
      <c r="G564" s="19">
        <f>IFERROR(__xludf.DUMMYFUNCTION("SPLIT(A562, "" |"")"),279501.0)</f>
        <v>279501</v>
      </c>
      <c r="H564" s="19">
        <f>IFERROR(__xludf.DUMMYFUNCTION("""COMPUTED_VALUE"""),0.00483)</f>
        <v>0.00483</v>
      </c>
      <c r="I564" s="19" t="str">
        <f>IFERROR(__xludf.DUMMYFUNCTION("""COMPUTED_VALUE"""),"-")</f>
        <v>-</v>
      </c>
      <c r="J564" s="19">
        <f>IFERROR(__xludf.DUMMYFUNCTION("""COMPUTED_VALUE"""),0.01962)</f>
        <v>0.01962</v>
      </c>
      <c r="K564" s="19">
        <f>IFERROR(__xludf.DUMMYFUNCTION("""COMPUTED_VALUE"""),0.13194)</f>
        <v>0.13194</v>
      </c>
      <c r="L564" s="19" t="str">
        <f>IFERROR(__xludf.DUMMYFUNCTION("""COMPUTED_VALUE"""),"-")</f>
        <v>-</v>
      </c>
      <c r="M564" s="19" t="str">
        <f>IFERROR(__xludf.DUMMYFUNCTION("""COMPUTED_VALUE"""),"-")</f>
        <v>-</v>
      </c>
    </row>
    <row r="565">
      <c r="A565" s="12" t="s">
        <v>9355</v>
      </c>
      <c r="G565" s="19">
        <f>IFERROR(__xludf.DUMMYFUNCTION("SPLIT(A563, "" |"")"),280001.0)</f>
        <v>280001</v>
      </c>
      <c r="H565" s="19">
        <f>IFERROR(__xludf.DUMMYFUNCTION("""COMPUTED_VALUE"""),0.00491)</f>
        <v>0.00491</v>
      </c>
      <c r="I565" s="19" t="str">
        <f>IFERROR(__xludf.DUMMYFUNCTION("""COMPUTED_VALUE"""),"-")</f>
        <v>-</v>
      </c>
      <c r="J565" s="19">
        <f>IFERROR(__xludf.DUMMYFUNCTION("""COMPUTED_VALUE"""),0.01865)</f>
        <v>0.01865</v>
      </c>
      <c r="K565" s="19">
        <f>IFERROR(__xludf.DUMMYFUNCTION("""COMPUTED_VALUE"""),0.13203)</f>
        <v>0.13203</v>
      </c>
      <c r="L565" s="19" t="str">
        <f>IFERROR(__xludf.DUMMYFUNCTION("""COMPUTED_VALUE"""),"-")</f>
        <v>-</v>
      </c>
      <c r="M565" s="19" t="str">
        <f>IFERROR(__xludf.DUMMYFUNCTION("""COMPUTED_VALUE"""),"-")</f>
        <v>-</v>
      </c>
    </row>
    <row r="566">
      <c r="A566" s="12" t="s">
        <v>9356</v>
      </c>
      <c r="G566" s="19">
        <f>IFERROR(__xludf.DUMMYFUNCTION("SPLIT(A564, "" |"")"),280501.0)</f>
        <v>280501</v>
      </c>
      <c r="H566" s="19">
        <f>IFERROR(__xludf.DUMMYFUNCTION("""COMPUTED_VALUE"""),0.00498)</f>
        <v>0.00498</v>
      </c>
      <c r="I566" s="19" t="str">
        <f>IFERROR(__xludf.DUMMYFUNCTION("""COMPUTED_VALUE"""),"-")</f>
        <v>-</v>
      </c>
      <c r="J566" s="19">
        <f>IFERROR(__xludf.DUMMYFUNCTION("""COMPUTED_VALUE"""),0.01844)</f>
        <v>0.01844</v>
      </c>
      <c r="K566" s="19">
        <f>IFERROR(__xludf.DUMMYFUNCTION("""COMPUTED_VALUE"""),0.13182)</f>
        <v>0.13182</v>
      </c>
      <c r="L566" s="19" t="str">
        <f>IFERROR(__xludf.DUMMYFUNCTION("""COMPUTED_VALUE"""),"-")</f>
        <v>-</v>
      </c>
      <c r="M566" s="19" t="str">
        <f>IFERROR(__xludf.DUMMYFUNCTION("""COMPUTED_VALUE"""),"-")</f>
        <v>-</v>
      </c>
    </row>
    <row r="567">
      <c r="A567" s="12" t="s">
        <v>9357</v>
      </c>
      <c r="G567" s="19">
        <f>IFERROR(__xludf.DUMMYFUNCTION("SPLIT(A565, "" |"")"),281001.0)</f>
        <v>281001</v>
      </c>
      <c r="H567" s="19">
        <f>IFERROR(__xludf.DUMMYFUNCTION("""COMPUTED_VALUE"""),0.00485)</f>
        <v>0.00485</v>
      </c>
      <c r="I567" s="19" t="str">
        <f>IFERROR(__xludf.DUMMYFUNCTION("""COMPUTED_VALUE"""),"-")</f>
        <v>-</v>
      </c>
      <c r="J567" s="19">
        <f>IFERROR(__xludf.DUMMYFUNCTION("""COMPUTED_VALUE"""),0.01977)</f>
        <v>0.01977</v>
      </c>
      <c r="K567" s="19">
        <f>IFERROR(__xludf.DUMMYFUNCTION("""COMPUTED_VALUE"""),0.13153)</f>
        <v>0.13153</v>
      </c>
      <c r="L567" s="19" t="str">
        <f>IFERROR(__xludf.DUMMYFUNCTION("""COMPUTED_VALUE"""),"-")</f>
        <v>-</v>
      </c>
      <c r="M567" s="19" t="str">
        <f>IFERROR(__xludf.DUMMYFUNCTION("""COMPUTED_VALUE"""),"-")</f>
        <v>-</v>
      </c>
    </row>
    <row r="568">
      <c r="A568" s="12" t="s">
        <v>9358</v>
      </c>
      <c r="G568" s="19">
        <f>IFERROR(__xludf.DUMMYFUNCTION("SPLIT(A566, "" |"")"),281501.0)</f>
        <v>281501</v>
      </c>
      <c r="H568" s="19">
        <f>IFERROR(__xludf.DUMMYFUNCTION("""COMPUTED_VALUE"""),0.00481)</f>
        <v>0.00481</v>
      </c>
      <c r="I568" s="19" t="str">
        <f>IFERROR(__xludf.DUMMYFUNCTION("""COMPUTED_VALUE"""),"-")</f>
        <v>-</v>
      </c>
      <c r="J568" s="19">
        <f>IFERROR(__xludf.DUMMYFUNCTION("""COMPUTED_VALUE"""),0.0199)</f>
        <v>0.0199</v>
      </c>
      <c r="K568" s="19">
        <f>IFERROR(__xludf.DUMMYFUNCTION("""COMPUTED_VALUE"""),0.13206)</f>
        <v>0.13206</v>
      </c>
      <c r="L568" s="19" t="str">
        <f>IFERROR(__xludf.DUMMYFUNCTION("""COMPUTED_VALUE"""),"-")</f>
        <v>-</v>
      </c>
      <c r="M568" s="19" t="str">
        <f>IFERROR(__xludf.DUMMYFUNCTION("""COMPUTED_VALUE"""),"-")</f>
        <v>-</v>
      </c>
    </row>
    <row r="569">
      <c r="A569" s="12" t="s">
        <v>9359</v>
      </c>
      <c r="G569" s="19">
        <f>IFERROR(__xludf.DUMMYFUNCTION("SPLIT(A567, "" |"")"),282001.0)</f>
        <v>282001</v>
      </c>
      <c r="H569" s="19">
        <f>IFERROR(__xludf.DUMMYFUNCTION("""COMPUTED_VALUE"""),0.0048)</f>
        <v>0.0048</v>
      </c>
      <c r="I569" s="19" t="str">
        <f>IFERROR(__xludf.DUMMYFUNCTION("""COMPUTED_VALUE"""),"-")</f>
        <v>-</v>
      </c>
      <c r="J569" s="19">
        <f>IFERROR(__xludf.DUMMYFUNCTION("""COMPUTED_VALUE"""),0.01989)</f>
        <v>0.01989</v>
      </c>
      <c r="K569" s="19">
        <f>IFERROR(__xludf.DUMMYFUNCTION("""COMPUTED_VALUE"""),0.12592)</f>
        <v>0.12592</v>
      </c>
      <c r="L569" s="19" t="str">
        <f>IFERROR(__xludf.DUMMYFUNCTION("""COMPUTED_VALUE"""),"-")</f>
        <v>-</v>
      </c>
      <c r="M569" s="19" t="str">
        <f>IFERROR(__xludf.DUMMYFUNCTION("""COMPUTED_VALUE"""),"-")</f>
        <v>-</v>
      </c>
    </row>
    <row r="570">
      <c r="A570" s="12" t="s">
        <v>9360</v>
      </c>
      <c r="G570" s="19">
        <f>IFERROR(__xludf.DUMMYFUNCTION("SPLIT(A568, "" |"")"),282501.0)</f>
        <v>282501</v>
      </c>
      <c r="H570" s="19">
        <f>IFERROR(__xludf.DUMMYFUNCTION("""COMPUTED_VALUE"""),0.00491)</f>
        <v>0.00491</v>
      </c>
      <c r="I570" s="19" t="str">
        <f>IFERROR(__xludf.DUMMYFUNCTION("""COMPUTED_VALUE"""),"-")</f>
        <v>-</v>
      </c>
      <c r="J570" s="19">
        <f>IFERROR(__xludf.DUMMYFUNCTION("""COMPUTED_VALUE"""),0.01982)</f>
        <v>0.01982</v>
      </c>
      <c r="K570" s="19">
        <f>IFERROR(__xludf.DUMMYFUNCTION("""COMPUTED_VALUE"""),0.13053)</f>
        <v>0.13053</v>
      </c>
      <c r="L570" s="19" t="str">
        <f>IFERROR(__xludf.DUMMYFUNCTION("""COMPUTED_VALUE"""),"-")</f>
        <v>-</v>
      </c>
      <c r="M570" s="19" t="str">
        <f>IFERROR(__xludf.DUMMYFUNCTION("""COMPUTED_VALUE"""),"-")</f>
        <v>-</v>
      </c>
    </row>
    <row r="571">
      <c r="A571" s="12" t="s">
        <v>9361</v>
      </c>
      <c r="G571" s="19">
        <f>IFERROR(__xludf.DUMMYFUNCTION("SPLIT(A569, "" |"")"),283001.0)</f>
        <v>283001</v>
      </c>
      <c r="H571" s="19">
        <f>IFERROR(__xludf.DUMMYFUNCTION("""COMPUTED_VALUE"""),0.0048)</f>
        <v>0.0048</v>
      </c>
      <c r="I571" s="19" t="str">
        <f>IFERROR(__xludf.DUMMYFUNCTION("""COMPUTED_VALUE"""),"-")</f>
        <v>-</v>
      </c>
      <c r="J571" s="19">
        <f>IFERROR(__xludf.DUMMYFUNCTION("""COMPUTED_VALUE"""),0.01909)</f>
        <v>0.01909</v>
      </c>
      <c r="K571" s="19">
        <f>IFERROR(__xludf.DUMMYFUNCTION("""COMPUTED_VALUE"""),0.12832)</f>
        <v>0.12832</v>
      </c>
      <c r="L571" s="19" t="str">
        <f>IFERROR(__xludf.DUMMYFUNCTION("""COMPUTED_VALUE"""),"-")</f>
        <v>-</v>
      </c>
      <c r="M571" s="19" t="str">
        <f>IFERROR(__xludf.DUMMYFUNCTION("""COMPUTED_VALUE"""),"-")</f>
        <v>-</v>
      </c>
    </row>
    <row r="572">
      <c r="A572" s="12" t="s">
        <v>9362</v>
      </c>
      <c r="G572" s="19">
        <f>IFERROR(__xludf.DUMMYFUNCTION("SPLIT(A570, "" |"")"),283501.0)</f>
        <v>283501</v>
      </c>
      <c r="H572" s="19">
        <f>IFERROR(__xludf.DUMMYFUNCTION("""COMPUTED_VALUE"""),0.0049)</f>
        <v>0.0049</v>
      </c>
      <c r="I572" s="19" t="str">
        <f>IFERROR(__xludf.DUMMYFUNCTION("""COMPUTED_VALUE"""),"-")</f>
        <v>-</v>
      </c>
      <c r="J572" s="19">
        <f>IFERROR(__xludf.DUMMYFUNCTION("""COMPUTED_VALUE"""),0.01965)</f>
        <v>0.01965</v>
      </c>
      <c r="K572" s="19">
        <f>IFERROR(__xludf.DUMMYFUNCTION("""COMPUTED_VALUE"""),0.13194)</f>
        <v>0.13194</v>
      </c>
      <c r="L572" s="19" t="str">
        <f>IFERROR(__xludf.DUMMYFUNCTION("""COMPUTED_VALUE"""),"-")</f>
        <v>-</v>
      </c>
      <c r="M572" s="19" t="str">
        <f>IFERROR(__xludf.DUMMYFUNCTION("""COMPUTED_VALUE"""),"-")</f>
        <v>-</v>
      </c>
    </row>
    <row r="573">
      <c r="A573" s="12" t="s">
        <v>9363</v>
      </c>
      <c r="G573" s="19">
        <f>IFERROR(__xludf.DUMMYFUNCTION("SPLIT(A571, "" |"")"),284001.0)</f>
        <v>284001</v>
      </c>
      <c r="H573" s="19">
        <f>IFERROR(__xludf.DUMMYFUNCTION("""COMPUTED_VALUE"""),0.00477)</f>
        <v>0.00477</v>
      </c>
      <c r="I573" s="19" t="str">
        <f>IFERROR(__xludf.DUMMYFUNCTION("""COMPUTED_VALUE"""),"-")</f>
        <v>-</v>
      </c>
      <c r="J573" s="19">
        <f>IFERROR(__xludf.DUMMYFUNCTION("""COMPUTED_VALUE"""),0.01971)</f>
        <v>0.01971</v>
      </c>
      <c r="K573" s="19">
        <f>IFERROR(__xludf.DUMMYFUNCTION("""COMPUTED_VALUE"""),0.13099)</f>
        <v>0.13099</v>
      </c>
      <c r="L573" s="19" t="str">
        <f>IFERROR(__xludf.DUMMYFUNCTION("""COMPUTED_VALUE"""),"-")</f>
        <v>-</v>
      </c>
      <c r="M573" s="19" t="str">
        <f>IFERROR(__xludf.DUMMYFUNCTION("""COMPUTED_VALUE"""),"-")</f>
        <v>-</v>
      </c>
    </row>
    <row r="574">
      <c r="A574" s="12" t="s">
        <v>9364</v>
      </c>
      <c r="G574" s="19">
        <f>IFERROR(__xludf.DUMMYFUNCTION("SPLIT(A572, "" |"")"),284501.0)</f>
        <v>284501</v>
      </c>
      <c r="H574" s="19">
        <f>IFERROR(__xludf.DUMMYFUNCTION("""COMPUTED_VALUE"""),0.00487)</f>
        <v>0.00487</v>
      </c>
      <c r="I574" s="19" t="str">
        <f>IFERROR(__xludf.DUMMYFUNCTION("""COMPUTED_VALUE"""),"-")</f>
        <v>-</v>
      </c>
      <c r="J574" s="19">
        <f>IFERROR(__xludf.DUMMYFUNCTION("""COMPUTED_VALUE"""),0.04048)</f>
        <v>0.04048</v>
      </c>
      <c r="K574" s="19">
        <f>IFERROR(__xludf.DUMMYFUNCTION("""COMPUTED_VALUE"""),0.12087)</f>
        <v>0.12087</v>
      </c>
      <c r="L574" s="19" t="str">
        <f>IFERROR(__xludf.DUMMYFUNCTION("""COMPUTED_VALUE"""),"-")</f>
        <v>-</v>
      </c>
      <c r="M574" s="19" t="str">
        <f>IFERROR(__xludf.DUMMYFUNCTION("""COMPUTED_VALUE"""),"-")</f>
        <v>-</v>
      </c>
    </row>
    <row r="575">
      <c r="A575" s="12" t="s">
        <v>9365</v>
      </c>
      <c r="G575" s="19">
        <f>IFERROR(__xludf.DUMMYFUNCTION("SPLIT(A573, "" |"")"),285001.0)</f>
        <v>285001</v>
      </c>
      <c r="H575" s="19">
        <f>IFERROR(__xludf.DUMMYFUNCTION("""COMPUTED_VALUE"""),0.00482)</f>
        <v>0.00482</v>
      </c>
      <c r="I575" s="19" t="str">
        <f>IFERROR(__xludf.DUMMYFUNCTION("""COMPUTED_VALUE"""),"-")</f>
        <v>-</v>
      </c>
      <c r="J575" s="19">
        <f>IFERROR(__xludf.DUMMYFUNCTION("""COMPUTED_VALUE"""),0.01943)</f>
        <v>0.01943</v>
      </c>
      <c r="K575" s="19">
        <f>IFERROR(__xludf.DUMMYFUNCTION("""COMPUTED_VALUE"""),0.1255)</f>
        <v>0.1255</v>
      </c>
      <c r="L575" s="19" t="str">
        <f>IFERROR(__xludf.DUMMYFUNCTION("""COMPUTED_VALUE"""),"-")</f>
        <v>-</v>
      </c>
      <c r="M575" s="19" t="str">
        <f>IFERROR(__xludf.DUMMYFUNCTION("""COMPUTED_VALUE"""),"-")</f>
        <v>-</v>
      </c>
    </row>
    <row r="576">
      <c r="A576" s="12" t="s">
        <v>9366</v>
      </c>
      <c r="G576" s="19">
        <f>IFERROR(__xludf.DUMMYFUNCTION("SPLIT(A574, "" |"")"),285501.0)</f>
        <v>285501</v>
      </c>
      <c r="H576" s="19">
        <f>IFERROR(__xludf.DUMMYFUNCTION("""COMPUTED_VALUE"""),0.00474)</f>
        <v>0.00474</v>
      </c>
      <c r="I576" s="19" t="str">
        <f>IFERROR(__xludf.DUMMYFUNCTION("""COMPUTED_VALUE"""),"-")</f>
        <v>-</v>
      </c>
      <c r="J576" s="19">
        <f>IFERROR(__xludf.DUMMYFUNCTION("""COMPUTED_VALUE"""),0.01961)</f>
        <v>0.01961</v>
      </c>
      <c r="K576" s="19">
        <f>IFERROR(__xludf.DUMMYFUNCTION("""COMPUTED_VALUE"""),0.12951)</f>
        <v>0.12951</v>
      </c>
      <c r="L576" s="19" t="str">
        <f>IFERROR(__xludf.DUMMYFUNCTION("""COMPUTED_VALUE"""),"-")</f>
        <v>-</v>
      </c>
      <c r="M576" s="19" t="str">
        <f>IFERROR(__xludf.DUMMYFUNCTION("""COMPUTED_VALUE"""),"-")</f>
        <v>-</v>
      </c>
    </row>
    <row r="577">
      <c r="A577" s="12" t="s">
        <v>9367</v>
      </c>
      <c r="G577" s="19">
        <f>IFERROR(__xludf.DUMMYFUNCTION("SPLIT(A575, "" |"")"),286001.0)</f>
        <v>286001</v>
      </c>
      <c r="H577" s="19">
        <f>IFERROR(__xludf.DUMMYFUNCTION("""COMPUTED_VALUE"""),0.00487)</f>
        <v>0.00487</v>
      </c>
      <c r="I577" s="19" t="str">
        <f>IFERROR(__xludf.DUMMYFUNCTION("""COMPUTED_VALUE"""),"-")</f>
        <v>-</v>
      </c>
      <c r="J577" s="19">
        <f>IFERROR(__xludf.DUMMYFUNCTION("""COMPUTED_VALUE"""),0.0196)</f>
        <v>0.0196</v>
      </c>
      <c r="K577" s="19">
        <f>IFERROR(__xludf.DUMMYFUNCTION("""COMPUTED_VALUE"""),0.13202)</f>
        <v>0.13202</v>
      </c>
      <c r="L577" s="19" t="str">
        <f>IFERROR(__xludf.DUMMYFUNCTION("""COMPUTED_VALUE"""),"-")</f>
        <v>-</v>
      </c>
      <c r="M577" s="19" t="str">
        <f>IFERROR(__xludf.DUMMYFUNCTION("""COMPUTED_VALUE"""),"-")</f>
        <v>-</v>
      </c>
    </row>
    <row r="578">
      <c r="A578" s="12" t="s">
        <v>9368</v>
      </c>
      <c r="G578" s="19">
        <f>IFERROR(__xludf.DUMMYFUNCTION("SPLIT(A576, "" |"")"),286501.0)</f>
        <v>286501</v>
      </c>
      <c r="H578" s="19">
        <f>IFERROR(__xludf.DUMMYFUNCTION("""COMPUTED_VALUE"""),0.00476)</f>
        <v>0.00476</v>
      </c>
      <c r="I578" s="19" t="str">
        <f>IFERROR(__xludf.DUMMYFUNCTION("""COMPUTED_VALUE"""),"-")</f>
        <v>-</v>
      </c>
      <c r="J578" s="19">
        <f>IFERROR(__xludf.DUMMYFUNCTION("""COMPUTED_VALUE"""),0.01979)</f>
        <v>0.01979</v>
      </c>
      <c r="K578" s="19">
        <f>IFERROR(__xludf.DUMMYFUNCTION("""COMPUTED_VALUE"""),0.12826)</f>
        <v>0.12826</v>
      </c>
      <c r="L578" s="19" t="str">
        <f>IFERROR(__xludf.DUMMYFUNCTION("""COMPUTED_VALUE"""),"-")</f>
        <v>-</v>
      </c>
      <c r="M578" s="19" t="str">
        <f>IFERROR(__xludf.DUMMYFUNCTION("""COMPUTED_VALUE"""),"-")</f>
        <v>-</v>
      </c>
    </row>
    <row r="579">
      <c r="A579" s="12" t="s">
        <v>9369</v>
      </c>
      <c r="G579" s="19">
        <f>IFERROR(__xludf.DUMMYFUNCTION("SPLIT(A577, "" |"")"),287001.0)</f>
        <v>287001</v>
      </c>
      <c r="H579" s="19">
        <f>IFERROR(__xludf.DUMMYFUNCTION("""COMPUTED_VALUE"""),0.00477)</f>
        <v>0.00477</v>
      </c>
      <c r="I579" s="19" t="str">
        <f>IFERROR(__xludf.DUMMYFUNCTION("""COMPUTED_VALUE"""),"-")</f>
        <v>-</v>
      </c>
      <c r="J579" s="19">
        <f>IFERROR(__xludf.DUMMYFUNCTION("""COMPUTED_VALUE"""),0.0184)</f>
        <v>0.0184</v>
      </c>
      <c r="K579" s="19">
        <f>IFERROR(__xludf.DUMMYFUNCTION("""COMPUTED_VALUE"""),0.12995)</f>
        <v>0.12995</v>
      </c>
      <c r="L579" s="19" t="str">
        <f>IFERROR(__xludf.DUMMYFUNCTION("""COMPUTED_VALUE"""),"-")</f>
        <v>-</v>
      </c>
      <c r="M579" s="19" t="str">
        <f>IFERROR(__xludf.DUMMYFUNCTION("""COMPUTED_VALUE"""),"-")</f>
        <v>-</v>
      </c>
    </row>
    <row r="580">
      <c r="A580" s="12" t="s">
        <v>9370</v>
      </c>
      <c r="G580" s="19">
        <f>IFERROR(__xludf.DUMMYFUNCTION("SPLIT(A578, "" |"")"),287501.0)</f>
        <v>287501</v>
      </c>
      <c r="H580" s="19">
        <f>IFERROR(__xludf.DUMMYFUNCTION("""COMPUTED_VALUE"""),0.00488)</f>
        <v>0.00488</v>
      </c>
      <c r="I580" s="19" t="str">
        <f>IFERROR(__xludf.DUMMYFUNCTION("""COMPUTED_VALUE"""),"-")</f>
        <v>-</v>
      </c>
      <c r="J580" s="19">
        <f>IFERROR(__xludf.DUMMYFUNCTION("""COMPUTED_VALUE"""),0.01963)</f>
        <v>0.01963</v>
      </c>
      <c r="K580" s="19">
        <f>IFERROR(__xludf.DUMMYFUNCTION("""COMPUTED_VALUE"""),0.12592)</f>
        <v>0.12592</v>
      </c>
      <c r="L580" s="19" t="str">
        <f>IFERROR(__xludf.DUMMYFUNCTION("""COMPUTED_VALUE"""),"-")</f>
        <v>-</v>
      </c>
      <c r="M580" s="19" t="str">
        <f>IFERROR(__xludf.DUMMYFUNCTION("""COMPUTED_VALUE"""),"-")</f>
        <v>-</v>
      </c>
    </row>
    <row r="581">
      <c r="A581" s="12" t="s">
        <v>9371</v>
      </c>
      <c r="G581" s="19">
        <f>IFERROR(__xludf.DUMMYFUNCTION("SPLIT(A579, "" |"")"),288001.0)</f>
        <v>288001</v>
      </c>
      <c r="H581" s="19">
        <f>IFERROR(__xludf.DUMMYFUNCTION("""COMPUTED_VALUE"""),0.00473)</f>
        <v>0.00473</v>
      </c>
      <c r="I581" s="19" t="str">
        <f>IFERROR(__xludf.DUMMYFUNCTION("""COMPUTED_VALUE"""),"-")</f>
        <v>-</v>
      </c>
      <c r="J581" s="19">
        <f>IFERROR(__xludf.DUMMYFUNCTION("""COMPUTED_VALUE"""),0.01983)</f>
        <v>0.01983</v>
      </c>
      <c r="K581" s="19">
        <f>IFERROR(__xludf.DUMMYFUNCTION("""COMPUTED_VALUE"""),0.1299)</f>
        <v>0.1299</v>
      </c>
      <c r="L581" s="19" t="str">
        <f>IFERROR(__xludf.DUMMYFUNCTION("""COMPUTED_VALUE"""),"-")</f>
        <v>-</v>
      </c>
      <c r="M581" s="19" t="str">
        <f>IFERROR(__xludf.DUMMYFUNCTION("""COMPUTED_VALUE"""),"-")</f>
        <v>-</v>
      </c>
    </row>
    <row r="582">
      <c r="A582" s="12" t="s">
        <v>9372</v>
      </c>
      <c r="G582" s="19">
        <f>IFERROR(__xludf.DUMMYFUNCTION("SPLIT(A580, "" |"")"),288501.0)</f>
        <v>288501</v>
      </c>
      <c r="H582" s="19">
        <f>IFERROR(__xludf.DUMMYFUNCTION("""COMPUTED_VALUE"""),0.00484)</f>
        <v>0.00484</v>
      </c>
      <c r="I582" s="19" t="str">
        <f>IFERROR(__xludf.DUMMYFUNCTION("""COMPUTED_VALUE"""),"-")</f>
        <v>-</v>
      </c>
      <c r="J582" s="19">
        <f>IFERROR(__xludf.DUMMYFUNCTION("""COMPUTED_VALUE"""),0.01968)</f>
        <v>0.01968</v>
      </c>
      <c r="K582" s="19">
        <f>IFERROR(__xludf.DUMMYFUNCTION("""COMPUTED_VALUE"""),0.13196)</f>
        <v>0.13196</v>
      </c>
      <c r="L582" s="19" t="str">
        <f>IFERROR(__xludf.DUMMYFUNCTION("""COMPUTED_VALUE"""),"-")</f>
        <v>-</v>
      </c>
      <c r="M582" s="19" t="str">
        <f>IFERROR(__xludf.DUMMYFUNCTION("""COMPUTED_VALUE"""),"-")</f>
        <v>-</v>
      </c>
    </row>
    <row r="583">
      <c r="A583" s="12" t="s">
        <v>9373</v>
      </c>
      <c r="G583" s="19">
        <f>IFERROR(__xludf.DUMMYFUNCTION("SPLIT(A581, "" |"")"),289001.0)</f>
        <v>289001</v>
      </c>
      <c r="H583" s="19">
        <f>IFERROR(__xludf.DUMMYFUNCTION("""COMPUTED_VALUE"""),0.00474)</f>
        <v>0.00474</v>
      </c>
      <c r="I583" s="19" t="str">
        <f>IFERROR(__xludf.DUMMYFUNCTION("""COMPUTED_VALUE"""),"-")</f>
        <v>-</v>
      </c>
      <c r="J583" s="19">
        <f>IFERROR(__xludf.DUMMYFUNCTION("""COMPUTED_VALUE"""),0.01967)</f>
        <v>0.01967</v>
      </c>
      <c r="K583" s="19">
        <f>IFERROR(__xludf.DUMMYFUNCTION("""COMPUTED_VALUE"""),0.13142)</f>
        <v>0.13142</v>
      </c>
      <c r="L583" s="19" t="str">
        <f>IFERROR(__xludf.DUMMYFUNCTION("""COMPUTED_VALUE"""),"-")</f>
        <v>-</v>
      </c>
      <c r="M583" s="19" t="str">
        <f>IFERROR(__xludf.DUMMYFUNCTION("""COMPUTED_VALUE"""),"-")</f>
        <v>-</v>
      </c>
    </row>
    <row r="584">
      <c r="A584" s="12" t="s">
        <v>9374</v>
      </c>
      <c r="G584" s="19">
        <f>IFERROR(__xludf.DUMMYFUNCTION("SPLIT(A582, "" |"")"),289501.0)</f>
        <v>289501</v>
      </c>
      <c r="H584" s="19">
        <f>IFERROR(__xludf.DUMMYFUNCTION("""COMPUTED_VALUE"""),0.0047)</f>
        <v>0.0047</v>
      </c>
      <c r="I584" s="19" t="str">
        <f>IFERROR(__xludf.DUMMYFUNCTION("""COMPUTED_VALUE"""),"-")</f>
        <v>-</v>
      </c>
      <c r="J584" s="19">
        <f>IFERROR(__xludf.DUMMYFUNCTION("""COMPUTED_VALUE"""),0.01971)</f>
        <v>0.01971</v>
      </c>
      <c r="K584" s="19">
        <f>IFERROR(__xludf.DUMMYFUNCTION("""COMPUTED_VALUE"""),0.12914)</f>
        <v>0.12914</v>
      </c>
      <c r="L584" s="19" t="str">
        <f>IFERROR(__xludf.DUMMYFUNCTION("""COMPUTED_VALUE"""),"-")</f>
        <v>-</v>
      </c>
      <c r="M584" s="19" t="str">
        <f>IFERROR(__xludf.DUMMYFUNCTION("""COMPUTED_VALUE"""),"-")</f>
        <v>-</v>
      </c>
    </row>
    <row r="585">
      <c r="A585" s="12" t="s">
        <v>9375</v>
      </c>
      <c r="G585" s="19">
        <f>IFERROR(__xludf.DUMMYFUNCTION("SPLIT(A583, "" |"")"),290001.0)</f>
        <v>290001</v>
      </c>
      <c r="H585" s="19">
        <f>IFERROR(__xludf.DUMMYFUNCTION("""COMPUTED_VALUE"""),0.00484)</f>
        <v>0.00484</v>
      </c>
      <c r="I585" s="19" t="str">
        <f>IFERROR(__xludf.DUMMYFUNCTION("""COMPUTED_VALUE"""),"-")</f>
        <v>-</v>
      </c>
      <c r="J585" s="19">
        <f>IFERROR(__xludf.DUMMYFUNCTION("""COMPUTED_VALUE"""),0.07293)</f>
        <v>0.07293</v>
      </c>
      <c r="K585" s="19">
        <f>IFERROR(__xludf.DUMMYFUNCTION("""COMPUTED_VALUE"""),0.13065)</f>
        <v>0.13065</v>
      </c>
      <c r="L585" s="19" t="str">
        <f>IFERROR(__xludf.DUMMYFUNCTION("""COMPUTED_VALUE"""),"-")</f>
        <v>-</v>
      </c>
      <c r="M585" s="19" t="str">
        <f>IFERROR(__xludf.DUMMYFUNCTION("""COMPUTED_VALUE"""),"-")</f>
        <v>-</v>
      </c>
    </row>
    <row r="586">
      <c r="A586" s="12" t="s">
        <v>9376</v>
      </c>
      <c r="G586" s="19">
        <f>IFERROR(__xludf.DUMMYFUNCTION("SPLIT(A584, "" |"")"),290501.0)</f>
        <v>290501</v>
      </c>
      <c r="H586" s="19">
        <f>IFERROR(__xludf.DUMMYFUNCTION("""COMPUTED_VALUE"""),0.00537)</f>
        <v>0.00537</v>
      </c>
      <c r="I586" s="19" t="str">
        <f>IFERROR(__xludf.DUMMYFUNCTION("""COMPUTED_VALUE"""),"-")</f>
        <v>-</v>
      </c>
      <c r="J586" s="19">
        <f>IFERROR(__xludf.DUMMYFUNCTION("""COMPUTED_VALUE"""),0.01926)</f>
        <v>0.01926</v>
      </c>
      <c r="K586" s="19">
        <f>IFERROR(__xludf.DUMMYFUNCTION("""COMPUTED_VALUE"""),0.13168)</f>
        <v>0.13168</v>
      </c>
      <c r="L586" s="19" t="str">
        <f>IFERROR(__xludf.DUMMYFUNCTION("""COMPUTED_VALUE"""),"-")</f>
        <v>-</v>
      </c>
      <c r="M586" s="19" t="str">
        <f>IFERROR(__xludf.DUMMYFUNCTION("""COMPUTED_VALUE"""),"-")</f>
        <v>-</v>
      </c>
    </row>
    <row r="587">
      <c r="A587" s="12" t="s">
        <v>9377</v>
      </c>
      <c r="G587" s="19">
        <f>IFERROR(__xludf.DUMMYFUNCTION("SPLIT(A585, "" |"")"),291001.0)</f>
        <v>291001</v>
      </c>
      <c r="H587" s="19">
        <f>IFERROR(__xludf.DUMMYFUNCTION("""COMPUTED_VALUE"""),0.00464)</f>
        <v>0.00464</v>
      </c>
      <c r="I587" s="19" t="str">
        <f>IFERROR(__xludf.DUMMYFUNCTION("""COMPUTED_VALUE"""),"-")</f>
        <v>-</v>
      </c>
      <c r="J587" s="19">
        <f>IFERROR(__xludf.DUMMYFUNCTION("""COMPUTED_VALUE"""),0.01725)</f>
        <v>0.01725</v>
      </c>
      <c r="K587" s="19">
        <f>IFERROR(__xludf.DUMMYFUNCTION("""COMPUTED_VALUE"""),0.12788)</f>
        <v>0.12788</v>
      </c>
      <c r="L587" s="19" t="str">
        <f>IFERROR(__xludf.DUMMYFUNCTION("""COMPUTED_VALUE"""),"-")</f>
        <v>-</v>
      </c>
      <c r="M587" s="19" t="str">
        <f>IFERROR(__xludf.DUMMYFUNCTION("""COMPUTED_VALUE"""),"-")</f>
        <v>-</v>
      </c>
    </row>
    <row r="588">
      <c r="A588" s="12" t="s">
        <v>9378</v>
      </c>
      <c r="G588" s="19">
        <f>IFERROR(__xludf.DUMMYFUNCTION("SPLIT(A586, "" |"")"),291501.0)</f>
        <v>291501</v>
      </c>
      <c r="H588" s="19">
        <f>IFERROR(__xludf.DUMMYFUNCTION("""COMPUTED_VALUE"""),0.00488)</f>
        <v>0.00488</v>
      </c>
      <c r="I588" s="19" t="str">
        <f>IFERROR(__xludf.DUMMYFUNCTION("""COMPUTED_VALUE"""),"-")</f>
        <v>-</v>
      </c>
      <c r="J588" s="19">
        <f>IFERROR(__xludf.DUMMYFUNCTION("""COMPUTED_VALUE"""),0.01982)</f>
        <v>0.01982</v>
      </c>
      <c r="K588" s="19">
        <f>IFERROR(__xludf.DUMMYFUNCTION("""COMPUTED_VALUE"""),0.13029)</f>
        <v>0.13029</v>
      </c>
      <c r="L588" s="19" t="str">
        <f>IFERROR(__xludf.DUMMYFUNCTION("""COMPUTED_VALUE"""),"-")</f>
        <v>-</v>
      </c>
      <c r="M588" s="19" t="str">
        <f>IFERROR(__xludf.DUMMYFUNCTION("""COMPUTED_VALUE"""),"-")</f>
        <v>-</v>
      </c>
    </row>
    <row r="589">
      <c r="A589" s="12" t="s">
        <v>9379</v>
      </c>
      <c r="G589" s="19">
        <f>IFERROR(__xludf.DUMMYFUNCTION("SPLIT(A587, "" |"")"),292001.0)</f>
        <v>292001</v>
      </c>
      <c r="H589" s="19">
        <f>IFERROR(__xludf.DUMMYFUNCTION("""COMPUTED_VALUE"""),0.00483)</f>
        <v>0.00483</v>
      </c>
      <c r="I589" s="19" t="str">
        <f>IFERROR(__xludf.DUMMYFUNCTION("""COMPUTED_VALUE"""),"-")</f>
        <v>-</v>
      </c>
      <c r="J589" s="19">
        <f>IFERROR(__xludf.DUMMYFUNCTION("""COMPUTED_VALUE"""),0.01971)</f>
        <v>0.01971</v>
      </c>
      <c r="K589" s="19">
        <f>IFERROR(__xludf.DUMMYFUNCTION("""COMPUTED_VALUE"""),0.13192)</f>
        <v>0.13192</v>
      </c>
      <c r="L589" s="19" t="str">
        <f>IFERROR(__xludf.DUMMYFUNCTION("""COMPUTED_VALUE"""),"-")</f>
        <v>-</v>
      </c>
      <c r="M589" s="19" t="str">
        <f>IFERROR(__xludf.DUMMYFUNCTION("""COMPUTED_VALUE"""),"-")</f>
        <v>-</v>
      </c>
    </row>
    <row r="590">
      <c r="A590" s="12" t="s">
        <v>9380</v>
      </c>
      <c r="G590" s="19">
        <f>IFERROR(__xludf.DUMMYFUNCTION("SPLIT(A588, "" |"")"),292501.0)</f>
        <v>292501</v>
      </c>
      <c r="H590" s="19">
        <f>IFERROR(__xludf.DUMMYFUNCTION("""COMPUTED_VALUE"""),0.00483)</f>
        <v>0.00483</v>
      </c>
      <c r="I590" s="19" t="str">
        <f>IFERROR(__xludf.DUMMYFUNCTION("""COMPUTED_VALUE"""),"-")</f>
        <v>-</v>
      </c>
      <c r="J590" s="19">
        <f>IFERROR(__xludf.DUMMYFUNCTION("""COMPUTED_VALUE"""),0.0196)</f>
        <v>0.0196</v>
      </c>
      <c r="K590" s="19">
        <f>IFERROR(__xludf.DUMMYFUNCTION("""COMPUTED_VALUE"""),0.12695)</f>
        <v>0.12695</v>
      </c>
      <c r="L590" s="19" t="str">
        <f>IFERROR(__xludf.DUMMYFUNCTION("""COMPUTED_VALUE"""),"-")</f>
        <v>-</v>
      </c>
      <c r="M590" s="19" t="str">
        <f>IFERROR(__xludf.DUMMYFUNCTION("""COMPUTED_VALUE"""),"-")</f>
        <v>-</v>
      </c>
    </row>
    <row r="591">
      <c r="A591" s="12" t="s">
        <v>9381</v>
      </c>
      <c r="G591" s="19">
        <f>IFERROR(__xludf.DUMMYFUNCTION("SPLIT(A589, "" |"")"),293001.0)</f>
        <v>293001</v>
      </c>
      <c r="H591" s="19">
        <f>IFERROR(__xludf.DUMMYFUNCTION("""COMPUTED_VALUE"""),0.00476)</f>
        <v>0.00476</v>
      </c>
      <c r="I591" s="19" t="str">
        <f>IFERROR(__xludf.DUMMYFUNCTION("""COMPUTED_VALUE"""),"-")</f>
        <v>-</v>
      </c>
      <c r="J591" s="19">
        <f>IFERROR(__xludf.DUMMYFUNCTION("""COMPUTED_VALUE"""),0.01966)</f>
        <v>0.01966</v>
      </c>
      <c r="K591" s="19">
        <f>IFERROR(__xludf.DUMMYFUNCTION("""COMPUTED_VALUE"""),0.12768)</f>
        <v>0.12768</v>
      </c>
      <c r="L591" s="19" t="str">
        <f>IFERROR(__xludf.DUMMYFUNCTION("""COMPUTED_VALUE"""),"-")</f>
        <v>-</v>
      </c>
      <c r="M591" s="19" t="str">
        <f>IFERROR(__xludf.DUMMYFUNCTION("""COMPUTED_VALUE"""),"-")</f>
        <v>-</v>
      </c>
    </row>
    <row r="592">
      <c r="A592" s="12" t="s">
        <v>9382</v>
      </c>
      <c r="G592" s="19">
        <f>IFERROR(__xludf.DUMMYFUNCTION("SPLIT(A590, "" |"")"),293501.0)</f>
        <v>293501</v>
      </c>
      <c r="H592" s="19">
        <f>IFERROR(__xludf.DUMMYFUNCTION("""COMPUTED_VALUE"""),0.00468)</f>
        <v>0.00468</v>
      </c>
      <c r="I592" s="19" t="str">
        <f>IFERROR(__xludf.DUMMYFUNCTION("""COMPUTED_VALUE"""),"-")</f>
        <v>-</v>
      </c>
      <c r="J592" s="19">
        <f>IFERROR(__xludf.DUMMYFUNCTION("""COMPUTED_VALUE"""),0.01971)</f>
        <v>0.01971</v>
      </c>
      <c r="K592" s="19">
        <f>IFERROR(__xludf.DUMMYFUNCTION("""COMPUTED_VALUE"""),0.12291)</f>
        <v>0.12291</v>
      </c>
      <c r="L592" s="19" t="str">
        <f>IFERROR(__xludf.DUMMYFUNCTION("""COMPUTED_VALUE"""),"-")</f>
        <v>-</v>
      </c>
      <c r="M592" s="19" t="str">
        <f>IFERROR(__xludf.DUMMYFUNCTION("""COMPUTED_VALUE"""),"-")</f>
        <v>-</v>
      </c>
    </row>
    <row r="593">
      <c r="A593" s="12" t="s">
        <v>9383</v>
      </c>
      <c r="G593" s="19">
        <f>IFERROR(__xludf.DUMMYFUNCTION("SPLIT(A591, "" |"")"),294001.0)</f>
        <v>294001</v>
      </c>
      <c r="H593" s="19">
        <f>IFERROR(__xludf.DUMMYFUNCTION("""COMPUTED_VALUE"""),0.00482)</f>
        <v>0.00482</v>
      </c>
      <c r="I593" s="19" t="str">
        <f>IFERROR(__xludf.DUMMYFUNCTION("""COMPUTED_VALUE"""),"-")</f>
        <v>-</v>
      </c>
      <c r="J593" s="19">
        <f>IFERROR(__xludf.DUMMYFUNCTION("""COMPUTED_VALUE"""),0.01907)</f>
        <v>0.01907</v>
      </c>
      <c r="K593" s="19">
        <f>IFERROR(__xludf.DUMMYFUNCTION("""COMPUTED_VALUE"""),0.13158)</f>
        <v>0.13158</v>
      </c>
      <c r="L593" s="19" t="str">
        <f>IFERROR(__xludf.DUMMYFUNCTION("""COMPUTED_VALUE"""),"-")</f>
        <v>-</v>
      </c>
      <c r="M593" s="19" t="str">
        <f>IFERROR(__xludf.DUMMYFUNCTION("""COMPUTED_VALUE"""),"-")</f>
        <v>-</v>
      </c>
    </row>
    <row r="594">
      <c r="A594" s="12" t="s">
        <v>9384</v>
      </c>
      <c r="G594" s="19">
        <f>IFERROR(__xludf.DUMMYFUNCTION("SPLIT(A592, "" |"")"),294501.0)</f>
        <v>294501</v>
      </c>
      <c r="H594" s="19">
        <f>IFERROR(__xludf.DUMMYFUNCTION("""COMPUTED_VALUE"""),0.00478)</f>
        <v>0.00478</v>
      </c>
      <c r="I594" s="19" t="str">
        <f>IFERROR(__xludf.DUMMYFUNCTION("""COMPUTED_VALUE"""),"-")</f>
        <v>-</v>
      </c>
      <c r="J594" s="19">
        <f>IFERROR(__xludf.DUMMYFUNCTION("""COMPUTED_VALUE"""),0.01954)</f>
        <v>0.01954</v>
      </c>
      <c r="K594" s="19">
        <f>IFERROR(__xludf.DUMMYFUNCTION("""COMPUTED_VALUE"""),0.13193)</f>
        <v>0.13193</v>
      </c>
      <c r="L594" s="19" t="str">
        <f>IFERROR(__xludf.DUMMYFUNCTION("""COMPUTED_VALUE"""),"-")</f>
        <v>-</v>
      </c>
      <c r="M594" s="19" t="str">
        <f>IFERROR(__xludf.DUMMYFUNCTION("""COMPUTED_VALUE"""),"-")</f>
        <v>-</v>
      </c>
    </row>
    <row r="595">
      <c r="A595" s="12" t="s">
        <v>9385</v>
      </c>
      <c r="G595" s="19">
        <f>IFERROR(__xludf.DUMMYFUNCTION("SPLIT(A593, "" |"")"),295001.0)</f>
        <v>295001</v>
      </c>
      <c r="H595" s="19">
        <f>IFERROR(__xludf.DUMMYFUNCTION("""COMPUTED_VALUE"""),0.0048)</f>
        <v>0.0048</v>
      </c>
      <c r="I595" s="19" t="str">
        <f>IFERROR(__xludf.DUMMYFUNCTION("""COMPUTED_VALUE"""),"-")</f>
        <v>-</v>
      </c>
      <c r="J595" s="19">
        <f>IFERROR(__xludf.DUMMYFUNCTION("""COMPUTED_VALUE"""),0.01951)</f>
        <v>0.01951</v>
      </c>
      <c r="K595" s="19">
        <f>IFERROR(__xludf.DUMMYFUNCTION("""COMPUTED_VALUE"""),0.13194)</f>
        <v>0.13194</v>
      </c>
      <c r="L595" s="19" t="str">
        <f>IFERROR(__xludf.DUMMYFUNCTION("""COMPUTED_VALUE"""),"-")</f>
        <v>-</v>
      </c>
      <c r="M595" s="19" t="str">
        <f>IFERROR(__xludf.DUMMYFUNCTION("""COMPUTED_VALUE"""),"-")</f>
        <v>-</v>
      </c>
    </row>
    <row r="596">
      <c r="A596" s="12" t="s">
        <v>9386</v>
      </c>
      <c r="G596" s="19">
        <f>IFERROR(__xludf.DUMMYFUNCTION("SPLIT(A594, "" |"")"),295501.0)</f>
        <v>295501</v>
      </c>
      <c r="H596" s="19">
        <f>IFERROR(__xludf.DUMMYFUNCTION("""COMPUTED_VALUE"""),0.00473)</f>
        <v>0.00473</v>
      </c>
      <c r="I596" s="19" t="str">
        <f>IFERROR(__xludf.DUMMYFUNCTION("""COMPUTED_VALUE"""),"-")</f>
        <v>-</v>
      </c>
      <c r="J596" s="19">
        <f>IFERROR(__xludf.DUMMYFUNCTION("""COMPUTED_VALUE"""),0.01963)</f>
        <v>0.01963</v>
      </c>
      <c r="K596" s="19">
        <f>IFERROR(__xludf.DUMMYFUNCTION("""COMPUTED_VALUE"""),0.12964)</f>
        <v>0.12964</v>
      </c>
      <c r="L596" s="19" t="str">
        <f>IFERROR(__xludf.DUMMYFUNCTION("""COMPUTED_VALUE"""),"-")</f>
        <v>-</v>
      </c>
      <c r="M596" s="19" t="str">
        <f>IFERROR(__xludf.DUMMYFUNCTION("""COMPUTED_VALUE"""),"-")</f>
        <v>-</v>
      </c>
    </row>
    <row r="597">
      <c r="A597" s="12" t="s">
        <v>9387</v>
      </c>
      <c r="G597" s="19">
        <f>IFERROR(__xludf.DUMMYFUNCTION("SPLIT(A595, "" |"")"),296001.0)</f>
        <v>296001</v>
      </c>
      <c r="H597" s="19">
        <f>IFERROR(__xludf.DUMMYFUNCTION("""COMPUTED_VALUE"""),0.00476)</f>
        <v>0.00476</v>
      </c>
      <c r="I597" s="19" t="str">
        <f>IFERROR(__xludf.DUMMYFUNCTION("""COMPUTED_VALUE"""),"-")</f>
        <v>-</v>
      </c>
      <c r="J597" s="19">
        <f>IFERROR(__xludf.DUMMYFUNCTION("""COMPUTED_VALUE"""),0.01956)</f>
        <v>0.01956</v>
      </c>
      <c r="K597" s="19">
        <f>IFERROR(__xludf.DUMMYFUNCTION("""COMPUTED_VALUE"""),0.13124)</f>
        <v>0.13124</v>
      </c>
      <c r="L597" s="19" t="str">
        <f>IFERROR(__xludf.DUMMYFUNCTION("""COMPUTED_VALUE"""),"-")</f>
        <v>-</v>
      </c>
      <c r="M597" s="19" t="str">
        <f>IFERROR(__xludf.DUMMYFUNCTION("""COMPUTED_VALUE"""),"-")</f>
        <v>-</v>
      </c>
    </row>
    <row r="598">
      <c r="A598" s="12" t="s">
        <v>9388</v>
      </c>
      <c r="G598" s="19">
        <f>IFERROR(__xludf.DUMMYFUNCTION("SPLIT(A596, "" |"")"),296501.0)</f>
        <v>296501</v>
      </c>
      <c r="H598" s="19">
        <f>IFERROR(__xludf.DUMMYFUNCTION("""COMPUTED_VALUE"""),0.0045)</f>
        <v>0.0045</v>
      </c>
      <c r="I598" s="19" t="str">
        <f>IFERROR(__xludf.DUMMYFUNCTION("""COMPUTED_VALUE"""),"-")</f>
        <v>-</v>
      </c>
      <c r="J598" s="19">
        <f>IFERROR(__xludf.DUMMYFUNCTION("""COMPUTED_VALUE"""),0.01875)</f>
        <v>0.01875</v>
      </c>
      <c r="K598" s="19">
        <f>IFERROR(__xludf.DUMMYFUNCTION("""COMPUTED_VALUE"""),0.12846)</f>
        <v>0.12846</v>
      </c>
      <c r="L598" s="19" t="str">
        <f>IFERROR(__xludf.DUMMYFUNCTION("""COMPUTED_VALUE"""),"-")</f>
        <v>-</v>
      </c>
      <c r="M598" s="19" t="str">
        <f>IFERROR(__xludf.DUMMYFUNCTION("""COMPUTED_VALUE"""),"-")</f>
        <v>-</v>
      </c>
    </row>
    <row r="599">
      <c r="A599" s="12" t="s">
        <v>9389</v>
      </c>
      <c r="G599" s="19">
        <f>IFERROR(__xludf.DUMMYFUNCTION("SPLIT(A597, "" |"")"),297001.0)</f>
        <v>297001</v>
      </c>
      <c r="H599" s="19">
        <f>IFERROR(__xludf.DUMMYFUNCTION("""COMPUTED_VALUE"""),0.00479)</f>
        <v>0.00479</v>
      </c>
      <c r="I599" s="19" t="str">
        <f>IFERROR(__xludf.DUMMYFUNCTION("""COMPUTED_VALUE"""),"-")</f>
        <v>-</v>
      </c>
      <c r="J599" s="19">
        <f>IFERROR(__xludf.DUMMYFUNCTION("""COMPUTED_VALUE"""),0.0196)</f>
        <v>0.0196</v>
      </c>
      <c r="K599" s="19">
        <f>IFERROR(__xludf.DUMMYFUNCTION("""COMPUTED_VALUE"""),0.13204)</f>
        <v>0.13204</v>
      </c>
      <c r="L599" s="19" t="str">
        <f>IFERROR(__xludf.DUMMYFUNCTION("""COMPUTED_VALUE"""),"-")</f>
        <v>-</v>
      </c>
      <c r="M599" s="19" t="str">
        <f>IFERROR(__xludf.DUMMYFUNCTION("""COMPUTED_VALUE"""),"-")</f>
        <v>-</v>
      </c>
    </row>
    <row r="600">
      <c r="A600" s="12" t="s">
        <v>9390</v>
      </c>
      <c r="G600" s="19">
        <f>IFERROR(__xludf.DUMMYFUNCTION("SPLIT(A598, "" |"")"),297501.0)</f>
        <v>297501</v>
      </c>
      <c r="H600" s="19">
        <f>IFERROR(__xludf.DUMMYFUNCTION("""COMPUTED_VALUE"""),0.00483)</f>
        <v>0.00483</v>
      </c>
      <c r="I600" s="19" t="str">
        <f>IFERROR(__xludf.DUMMYFUNCTION("""COMPUTED_VALUE"""),"-")</f>
        <v>-</v>
      </c>
      <c r="J600" s="19">
        <f>IFERROR(__xludf.DUMMYFUNCTION("""COMPUTED_VALUE"""),0.01972)</f>
        <v>0.01972</v>
      </c>
      <c r="K600" s="19">
        <f>IFERROR(__xludf.DUMMYFUNCTION("""COMPUTED_VALUE"""),0.13197)</f>
        <v>0.13197</v>
      </c>
      <c r="L600" s="19" t="str">
        <f>IFERROR(__xludf.DUMMYFUNCTION("""COMPUTED_VALUE"""),"-")</f>
        <v>-</v>
      </c>
      <c r="M600" s="19" t="str">
        <f>IFERROR(__xludf.DUMMYFUNCTION("""COMPUTED_VALUE"""),"-")</f>
        <v>-</v>
      </c>
    </row>
    <row r="601">
      <c r="A601" s="12" t="s">
        <v>9391</v>
      </c>
      <c r="G601" s="19">
        <f>IFERROR(__xludf.DUMMYFUNCTION("SPLIT(A599, "" |"")"),298001.0)</f>
        <v>298001</v>
      </c>
      <c r="H601" s="19">
        <f>IFERROR(__xludf.DUMMYFUNCTION("""COMPUTED_VALUE"""),0.00488)</f>
        <v>0.00488</v>
      </c>
      <c r="I601" s="19" t="str">
        <f>IFERROR(__xludf.DUMMYFUNCTION("""COMPUTED_VALUE"""),"-")</f>
        <v>-</v>
      </c>
      <c r="J601" s="19">
        <f>IFERROR(__xludf.DUMMYFUNCTION("""COMPUTED_VALUE"""),0.01968)</f>
        <v>0.01968</v>
      </c>
      <c r="K601" s="19">
        <f>IFERROR(__xludf.DUMMYFUNCTION("""COMPUTED_VALUE"""),0.13016)</f>
        <v>0.13016</v>
      </c>
      <c r="L601" s="19" t="str">
        <f>IFERROR(__xludf.DUMMYFUNCTION("""COMPUTED_VALUE"""),"-")</f>
        <v>-</v>
      </c>
      <c r="M601" s="19" t="str">
        <f>IFERROR(__xludf.DUMMYFUNCTION("""COMPUTED_VALUE"""),"-")</f>
        <v>-</v>
      </c>
    </row>
    <row r="602">
      <c r="A602" s="12" t="s">
        <v>9392</v>
      </c>
      <c r="G602" s="19">
        <f>IFERROR(__xludf.DUMMYFUNCTION("SPLIT(A600, "" |"")"),298501.0)</f>
        <v>298501</v>
      </c>
      <c r="H602" s="19">
        <f>IFERROR(__xludf.DUMMYFUNCTION("""COMPUTED_VALUE"""),0.0049)</f>
        <v>0.0049</v>
      </c>
      <c r="I602" s="19" t="str">
        <f>IFERROR(__xludf.DUMMYFUNCTION("""COMPUTED_VALUE"""),"-")</f>
        <v>-</v>
      </c>
      <c r="J602" s="19">
        <f>IFERROR(__xludf.DUMMYFUNCTION("""COMPUTED_VALUE"""),0.01976)</f>
        <v>0.01976</v>
      </c>
      <c r="K602" s="19">
        <f>IFERROR(__xludf.DUMMYFUNCTION("""COMPUTED_VALUE"""),0.12685)</f>
        <v>0.12685</v>
      </c>
      <c r="L602" s="19" t="str">
        <f>IFERROR(__xludf.DUMMYFUNCTION("""COMPUTED_VALUE"""),"-")</f>
        <v>-</v>
      </c>
      <c r="M602" s="19" t="str">
        <f>IFERROR(__xludf.DUMMYFUNCTION("""COMPUTED_VALUE"""),"-")</f>
        <v>-</v>
      </c>
    </row>
    <row r="603">
      <c r="A603" s="12" t="s">
        <v>9393</v>
      </c>
      <c r="G603" s="19">
        <f>IFERROR(__xludf.DUMMYFUNCTION("SPLIT(A601, "" |"")"),299001.0)</f>
        <v>299001</v>
      </c>
      <c r="H603" s="19">
        <f>IFERROR(__xludf.DUMMYFUNCTION("""COMPUTED_VALUE"""),0.0048)</f>
        <v>0.0048</v>
      </c>
      <c r="I603" s="19" t="str">
        <f>IFERROR(__xludf.DUMMYFUNCTION("""COMPUTED_VALUE"""),"-")</f>
        <v>-</v>
      </c>
      <c r="J603" s="19">
        <f>IFERROR(__xludf.DUMMYFUNCTION("""COMPUTED_VALUE"""),0.01964)</f>
        <v>0.01964</v>
      </c>
      <c r="K603" s="19">
        <f>IFERROR(__xludf.DUMMYFUNCTION("""COMPUTED_VALUE"""),0.13189)</f>
        <v>0.13189</v>
      </c>
      <c r="L603" s="19" t="str">
        <f>IFERROR(__xludf.DUMMYFUNCTION("""COMPUTED_VALUE"""),"-")</f>
        <v>-</v>
      </c>
      <c r="M603" s="19" t="str">
        <f>IFERROR(__xludf.DUMMYFUNCTION("""COMPUTED_VALUE"""),"-")</f>
        <v>-</v>
      </c>
    </row>
    <row r="604">
      <c r="A604" s="12" t="s">
        <v>9394</v>
      </c>
      <c r="G604" s="19">
        <f>IFERROR(__xludf.DUMMYFUNCTION("SPLIT(A602, "" |"")"),299501.0)</f>
        <v>299501</v>
      </c>
      <c r="H604" s="19">
        <f>IFERROR(__xludf.DUMMYFUNCTION("""COMPUTED_VALUE"""),0.00483)</f>
        <v>0.00483</v>
      </c>
      <c r="I604" s="19" t="str">
        <f>IFERROR(__xludf.DUMMYFUNCTION("""COMPUTED_VALUE"""),"-")</f>
        <v>-</v>
      </c>
      <c r="J604" s="19">
        <f>IFERROR(__xludf.DUMMYFUNCTION("""COMPUTED_VALUE"""),0.01963)</f>
        <v>0.01963</v>
      </c>
      <c r="K604" s="19">
        <f>IFERROR(__xludf.DUMMYFUNCTION("""COMPUTED_VALUE"""),0.12459)</f>
        <v>0.12459</v>
      </c>
      <c r="L604" s="19" t="str">
        <f>IFERROR(__xludf.DUMMYFUNCTION("""COMPUTED_VALUE"""),"-")</f>
        <v>-</v>
      </c>
      <c r="M604" s="19" t="str">
        <f>IFERROR(__xludf.DUMMYFUNCTION("""COMPUTED_VALUE"""),"-")</f>
        <v>-</v>
      </c>
    </row>
    <row r="605">
      <c r="A605" s="12" t="s">
        <v>9395</v>
      </c>
      <c r="G605" s="19">
        <f>IFERROR(__xludf.DUMMYFUNCTION("SPLIT(A603, "" |"")"),300001.0)</f>
        <v>300001</v>
      </c>
      <c r="H605" s="19">
        <f>IFERROR(__xludf.DUMMYFUNCTION("""COMPUTED_VALUE"""),0.00472)</f>
        <v>0.00472</v>
      </c>
      <c r="I605" s="19" t="str">
        <f>IFERROR(__xludf.DUMMYFUNCTION("""COMPUTED_VALUE"""),"-")</f>
        <v>-</v>
      </c>
      <c r="J605" s="19">
        <f>IFERROR(__xludf.DUMMYFUNCTION("""COMPUTED_VALUE"""),0.01971)</f>
        <v>0.01971</v>
      </c>
      <c r="K605" s="19">
        <f>IFERROR(__xludf.DUMMYFUNCTION("""COMPUTED_VALUE"""),0.13112)</f>
        <v>0.13112</v>
      </c>
      <c r="L605" s="19" t="str">
        <f>IFERROR(__xludf.DUMMYFUNCTION("""COMPUTED_VALUE"""),"-")</f>
        <v>-</v>
      </c>
      <c r="M605" s="19" t="str">
        <f>IFERROR(__xludf.DUMMYFUNCTION("""COMPUTED_VALUE"""),"-")</f>
        <v>-</v>
      </c>
    </row>
    <row r="606">
      <c r="A606" s="12" t="s">
        <v>9396</v>
      </c>
      <c r="G606" s="19">
        <f>IFERROR(__xludf.DUMMYFUNCTION("SPLIT(A604, "" |"")"),300501.0)</f>
        <v>300501</v>
      </c>
      <c r="H606" s="19">
        <f>IFERROR(__xludf.DUMMYFUNCTION("""COMPUTED_VALUE"""),0.0048)</f>
        <v>0.0048</v>
      </c>
      <c r="I606" s="19" t="str">
        <f>IFERROR(__xludf.DUMMYFUNCTION("""COMPUTED_VALUE"""),"-")</f>
        <v>-</v>
      </c>
      <c r="J606" s="19">
        <f>IFERROR(__xludf.DUMMYFUNCTION("""COMPUTED_VALUE"""),0.0196)</f>
        <v>0.0196</v>
      </c>
      <c r="K606" s="19">
        <f>IFERROR(__xludf.DUMMYFUNCTION("""COMPUTED_VALUE"""),0.13192)</f>
        <v>0.13192</v>
      </c>
      <c r="L606" s="19" t="str">
        <f>IFERROR(__xludf.DUMMYFUNCTION("""COMPUTED_VALUE"""),"-")</f>
        <v>-</v>
      </c>
      <c r="M606" s="19" t="str">
        <f>IFERROR(__xludf.DUMMYFUNCTION("""COMPUTED_VALUE"""),"-")</f>
        <v>-</v>
      </c>
    </row>
    <row r="607">
      <c r="A607" s="12" t="s">
        <v>9397</v>
      </c>
      <c r="G607" s="19">
        <f>IFERROR(__xludf.DUMMYFUNCTION("SPLIT(A605, "" |"")"),301001.0)</f>
        <v>301001</v>
      </c>
      <c r="H607" s="19">
        <f>IFERROR(__xludf.DUMMYFUNCTION("""COMPUTED_VALUE"""),0.00489)</f>
        <v>0.00489</v>
      </c>
      <c r="I607" s="19" t="str">
        <f>IFERROR(__xludf.DUMMYFUNCTION("""COMPUTED_VALUE"""),"-")</f>
        <v>-</v>
      </c>
      <c r="J607" s="19">
        <f>IFERROR(__xludf.DUMMYFUNCTION("""COMPUTED_VALUE"""),0.01962)</f>
        <v>0.01962</v>
      </c>
      <c r="K607" s="19">
        <f>IFERROR(__xludf.DUMMYFUNCTION("""COMPUTED_VALUE"""),0.13179)</f>
        <v>0.13179</v>
      </c>
      <c r="L607" s="19" t="str">
        <f>IFERROR(__xludf.DUMMYFUNCTION("""COMPUTED_VALUE"""),"-")</f>
        <v>-</v>
      </c>
      <c r="M607" s="19" t="str">
        <f>IFERROR(__xludf.DUMMYFUNCTION("""COMPUTED_VALUE"""),"-")</f>
        <v>-</v>
      </c>
    </row>
    <row r="608">
      <c r="A608" s="12" t="s">
        <v>9398</v>
      </c>
      <c r="G608" s="19">
        <f>IFERROR(__xludf.DUMMYFUNCTION("SPLIT(A606, "" |"")"),301501.0)</f>
        <v>301501</v>
      </c>
      <c r="H608" s="19">
        <f>IFERROR(__xludf.DUMMYFUNCTION("""COMPUTED_VALUE"""),0.0048)</f>
        <v>0.0048</v>
      </c>
      <c r="I608" s="19" t="str">
        <f>IFERROR(__xludf.DUMMYFUNCTION("""COMPUTED_VALUE"""),"-")</f>
        <v>-</v>
      </c>
      <c r="J608" s="19">
        <f>IFERROR(__xludf.DUMMYFUNCTION("""COMPUTED_VALUE"""),0.01973)</f>
        <v>0.01973</v>
      </c>
      <c r="K608" s="19">
        <f>IFERROR(__xludf.DUMMYFUNCTION("""COMPUTED_VALUE"""),0.13193)</f>
        <v>0.13193</v>
      </c>
      <c r="L608" s="19" t="str">
        <f>IFERROR(__xludf.DUMMYFUNCTION("""COMPUTED_VALUE"""),"-")</f>
        <v>-</v>
      </c>
      <c r="M608" s="19" t="str">
        <f>IFERROR(__xludf.DUMMYFUNCTION("""COMPUTED_VALUE"""),"-")</f>
        <v>-</v>
      </c>
    </row>
    <row r="609">
      <c r="A609" s="12" t="s">
        <v>9399</v>
      </c>
      <c r="G609" s="19">
        <f>IFERROR(__xludf.DUMMYFUNCTION("SPLIT(A607, "" |"")"),302001.0)</f>
        <v>302001</v>
      </c>
      <c r="H609" s="19">
        <f>IFERROR(__xludf.DUMMYFUNCTION("""COMPUTED_VALUE"""),0.00482)</f>
        <v>0.00482</v>
      </c>
      <c r="I609" s="19" t="str">
        <f>IFERROR(__xludf.DUMMYFUNCTION("""COMPUTED_VALUE"""),"-")</f>
        <v>-</v>
      </c>
      <c r="J609" s="19">
        <f>IFERROR(__xludf.DUMMYFUNCTION("""COMPUTED_VALUE"""),0.01968)</f>
        <v>0.01968</v>
      </c>
      <c r="K609" s="19">
        <f>IFERROR(__xludf.DUMMYFUNCTION("""COMPUTED_VALUE"""),0.12706)</f>
        <v>0.12706</v>
      </c>
      <c r="L609" s="19" t="str">
        <f>IFERROR(__xludf.DUMMYFUNCTION("""COMPUTED_VALUE"""),"-")</f>
        <v>-</v>
      </c>
      <c r="M609" s="19" t="str">
        <f>IFERROR(__xludf.DUMMYFUNCTION("""COMPUTED_VALUE"""),"-")</f>
        <v>-</v>
      </c>
    </row>
    <row r="610">
      <c r="A610" s="12" t="s">
        <v>9400</v>
      </c>
      <c r="G610" s="19">
        <f>IFERROR(__xludf.DUMMYFUNCTION("SPLIT(A608, "" |"")"),302501.0)</f>
        <v>302501</v>
      </c>
      <c r="H610" s="19">
        <f>IFERROR(__xludf.DUMMYFUNCTION("""COMPUTED_VALUE"""),0.00474)</f>
        <v>0.00474</v>
      </c>
      <c r="I610" s="19" t="str">
        <f>IFERROR(__xludf.DUMMYFUNCTION("""COMPUTED_VALUE"""),"-")</f>
        <v>-</v>
      </c>
      <c r="J610" s="19">
        <f>IFERROR(__xludf.DUMMYFUNCTION("""COMPUTED_VALUE"""),0.01966)</f>
        <v>0.01966</v>
      </c>
      <c r="K610" s="19">
        <f>IFERROR(__xludf.DUMMYFUNCTION("""COMPUTED_VALUE"""),0.13182)</f>
        <v>0.13182</v>
      </c>
      <c r="L610" s="19" t="str">
        <f>IFERROR(__xludf.DUMMYFUNCTION("""COMPUTED_VALUE"""),"-")</f>
        <v>-</v>
      </c>
      <c r="M610" s="19" t="str">
        <f>IFERROR(__xludf.DUMMYFUNCTION("""COMPUTED_VALUE"""),"-")</f>
        <v>-</v>
      </c>
    </row>
    <row r="611">
      <c r="A611" s="12" t="s">
        <v>9401</v>
      </c>
      <c r="G611" s="19">
        <f>IFERROR(__xludf.DUMMYFUNCTION("SPLIT(A609, "" |"")"),303001.0)</f>
        <v>303001</v>
      </c>
      <c r="H611" s="19">
        <f>IFERROR(__xludf.DUMMYFUNCTION("""COMPUTED_VALUE"""),0.00479)</f>
        <v>0.00479</v>
      </c>
      <c r="I611" s="19" t="str">
        <f>IFERROR(__xludf.DUMMYFUNCTION("""COMPUTED_VALUE"""),"-")</f>
        <v>-</v>
      </c>
      <c r="J611" s="19">
        <f>IFERROR(__xludf.DUMMYFUNCTION("""COMPUTED_VALUE"""),0.03692)</f>
        <v>0.03692</v>
      </c>
      <c r="K611" s="19">
        <f>IFERROR(__xludf.DUMMYFUNCTION("""COMPUTED_VALUE"""),0.13191)</f>
        <v>0.13191</v>
      </c>
      <c r="L611" s="19" t="str">
        <f>IFERROR(__xludf.DUMMYFUNCTION("""COMPUTED_VALUE"""),"-")</f>
        <v>-</v>
      </c>
      <c r="M611" s="19" t="str">
        <f>IFERROR(__xludf.DUMMYFUNCTION("""COMPUTED_VALUE"""),"-")</f>
        <v>-</v>
      </c>
    </row>
    <row r="612">
      <c r="A612" s="12" t="s">
        <v>9402</v>
      </c>
      <c r="G612" s="19">
        <f>IFERROR(__xludf.DUMMYFUNCTION("SPLIT(A610, "" |"")"),303501.0)</f>
        <v>303501</v>
      </c>
      <c r="H612" s="19">
        <f>IFERROR(__xludf.DUMMYFUNCTION("""COMPUTED_VALUE"""),0.00489)</f>
        <v>0.00489</v>
      </c>
      <c r="I612" s="19" t="str">
        <f>IFERROR(__xludf.DUMMYFUNCTION("""COMPUTED_VALUE"""),"-")</f>
        <v>-</v>
      </c>
      <c r="J612" s="19">
        <f>IFERROR(__xludf.DUMMYFUNCTION("""COMPUTED_VALUE"""),0.02054)</f>
        <v>0.02054</v>
      </c>
      <c r="K612" s="19">
        <f>IFERROR(__xludf.DUMMYFUNCTION("""COMPUTED_VALUE"""),0.12714)</f>
        <v>0.12714</v>
      </c>
      <c r="L612" s="19" t="str">
        <f>IFERROR(__xludf.DUMMYFUNCTION("""COMPUTED_VALUE"""),"-")</f>
        <v>-</v>
      </c>
      <c r="M612" s="19" t="str">
        <f>IFERROR(__xludf.DUMMYFUNCTION("""COMPUTED_VALUE"""),"-")</f>
        <v>-</v>
      </c>
    </row>
    <row r="613">
      <c r="A613" s="12" t="s">
        <v>9403</v>
      </c>
      <c r="G613" s="19">
        <f>IFERROR(__xludf.DUMMYFUNCTION("SPLIT(A611, "" |"")"),304001.0)</f>
        <v>304001</v>
      </c>
      <c r="H613" s="19">
        <f>IFERROR(__xludf.DUMMYFUNCTION("""COMPUTED_VALUE"""),0.00476)</f>
        <v>0.00476</v>
      </c>
      <c r="I613" s="19" t="str">
        <f>IFERROR(__xludf.DUMMYFUNCTION("""COMPUTED_VALUE"""),"-")</f>
        <v>-</v>
      </c>
      <c r="J613" s="19">
        <f>IFERROR(__xludf.DUMMYFUNCTION("""COMPUTED_VALUE"""),0.01964)</f>
        <v>0.01964</v>
      </c>
      <c r="K613" s="19">
        <f>IFERROR(__xludf.DUMMYFUNCTION("""COMPUTED_VALUE"""),0.13199)</f>
        <v>0.13199</v>
      </c>
      <c r="L613" s="19" t="str">
        <f>IFERROR(__xludf.DUMMYFUNCTION("""COMPUTED_VALUE"""),"-")</f>
        <v>-</v>
      </c>
      <c r="M613" s="19" t="str">
        <f>IFERROR(__xludf.DUMMYFUNCTION("""COMPUTED_VALUE"""),"-")</f>
        <v>-</v>
      </c>
    </row>
    <row r="614">
      <c r="A614" s="12" t="s">
        <v>9404</v>
      </c>
      <c r="G614" s="19">
        <f>IFERROR(__xludf.DUMMYFUNCTION("SPLIT(A612, "" |"")"),304501.0)</f>
        <v>304501</v>
      </c>
      <c r="H614" s="19">
        <f>IFERROR(__xludf.DUMMYFUNCTION("""COMPUTED_VALUE"""),0.00477)</f>
        <v>0.00477</v>
      </c>
      <c r="I614" s="19" t="str">
        <f>IFERROR(__xludf.DUMMYFUNCTION("""COMPUTED_VALUE"""),"-")</f>
        <v>-</v>
      </c>
      <c r="J614" s="19">
        <f>IFERROR(__xludf.DUMMYFUNCTION("""COMPUTED_VALUE"""),0.01965)</f>
        <v>0.01965</v>
      </c>
      <c r="K614" s="19">
        <f>IFERROR(__xludf.DUMMYFUNCTION("""COMPUTED_VALUE"""),0.13184)</f>
        <v>0.13184</v>
      </c>
      <c r="L614" s="19" t="str">
        <f>IFERROR(__xludf.DUMMYFUNCTION("""COMPUTED_VALUE"""),"-")</f>
        <v>-</v>
      </c>
      <c r="M614" s="19" t="str">
        <f>IFERROR(__xludf.DUMMYFUNCTION("""COMPUTED_VALUE"""),"-")</f>
        <v>-</v>
      </c>
    </row>
    <row r="615">
      <c r="A615" s="12" t="s">
        <v>9405</v>
      </c>
      <c r="G615" s="19">
        <f>IFERROR(__xludf.DUMMYFUNCTION("SPLIT(A613, "" |"")"),305001.0)</f>
        <v>305001</v>
      </c>
      <c r="H615" s="19">
        <f>IFERROR(__xludf.DUMMYFUNCTION("""COMPUTED_VALUE"""),0.00476)</f>
        <v>0.00476</v>
      </c>
      <c r="I615" s="19" t="str">
        <f>IFERROR(__xludf.DUMMYFUNCTION("""COMPUTED_VALUE"""),"-")</f>
        <v>-</v>
      </c>
      <c r="J615" s="19">
        <f>IFERROR(__xludf.DUMMYFUNCTION("""COMPUTED_VALUE"""),0.01969)</f>
        <v>0.01969</v>
      </c>
      <c r="K615" s="19">
        <f>IFERROR(__xludf.DUMMYFUNCTION("""COMPUTED_VALUE"""),0.13194)</f>
        <v>0.13194</v>
      </c>
      <c r="L615" s="19" t="str">
        <f>IFERROR(__xludf.DUMMYFUNCTION("""COMPUTED_VALUE"""),"-")</f>
        <v>-</v>
      </c>
      <c r="M615" s="19" t="str">
        <f>IFERROR(__xludf.DUMMYFUNCTION("""COMPUTED_VALUE"""),"-")</f>
        <v>-</v>
      </c>
    </row>
    <row r="616">
      <c r="A616" s="12" t="s">
        <v>9406</v>
      </c>
      <c r="G616" s="19">
        <f>IFERROR(__xludf.DUMMYFUNCTION("SPLIT(A614, "" |"")"),305501.0)</f>
        <v>305501</v>
      </c>
      <c r="H616" s="19">
        <f>IFERROR(__xludf.DUMMYFUNCTION("""COMPUTED_VALUE"""),0.00479)</f>
        <v>0.00479</v>
      </c>
      <c r="I616" s="19" t="str">
        <f>IFERROR(__xludf.DUMMYFUNCTION("""COMPUTED_VALUE"""),"-")</f>
        <v>-</v>
      </c>
      <c r="J616" s="19">
        <f>IFERROR(__xludf.DUMMYFUNCTION("""COMPUTED_VALUE"""),0.01987)</f>
        <v>0.01987</v>
      </c>
      <c r="K616" s="19">
        <f>IFERROR(__xludf.DUMMYFUNCTION("""COMPUTED_VALUE"""),0.13207)</f>
        <v>0.13207</v>
      </c>
      <c r="L616" s="19" t="str">
        <f>IFERROR(__xludf.DUMMYFUNCTION("""COMPUTED_VALUE"""),"-")</f>
        <v>-</v>
      </c>
      <c r="M616" s="19" t="str">
        <f>IFERROR(__xludf.DUMMYFUNCTION("""COMPUTED_VALUE"""),"-")</f>
        <v>-</v>
      </c>
    </row>
    <row r="617">
      <c r="A617" s="12" t="s">
        <v>9407</v>
      </c>
      <c r="G617" s="19">
        <f>IFERROR(__xludf.DUMMYFUNCTION("SPLIT(A615, "" |"")"),306001.0)</f>
        <v>306001</v>
      </c>
      <c r="H617" s="19">
        <f>IFERROR(__xludf.DUMMYFUNCTION("""COMPUTED_VALUE"""),0.00543)</f>
        <v>0.00543</v>
      </c>
      <c r="I617" s="19" t="str">
        <f>IFERROR(__xludf.DUMMYFUNCTION("""COMPUTED_VALUE"""),"-")</f>
        <v>-</v>
      </c>
      <c r="J617" s="19">
        <f>IFERROR(__xludf.DUMMYFUNCTION("""COMPUTED_VALUE"""),0.01975)</f>
        <v>0.01975</v>
      </c>
      <c r="K617" s="19">
        <f>IFERROR(__xludf.DUMMYFUNCTION("""COMPUTED_VALUE"""),0.13206)</f>
        <v>0.13206</v>
      </c>
      <c r="L617" s="19" t="str">
        <f>IFERROR(__xludf.DUMMYFUNCTION("""COMPUTED_VALUE"""),"-")</f>
        <v>-</v>
      </c>
      <c r="M617" s="19" t="str">
        <f>IFERROR(__xludf.DUMMYFUNCTION("""COMPUTED_VALUE"""),"-")</f>
        <v>-</v>
      </c>
    </row>
    <row r="618">
      <c r="A618" s="12" t="s">
        <v>9408</v>
      </c>
      <c r="G618" s="19">
        <f>IFERROR(__xludf.DUMMYFUNCTION("SPLIT(A616, "" |"")"),306501.0)</f>
        <v>306501</v>
      </c>
      <c r="H618" s="19">
        <f>IFERROR(__xludf.DUMMYFUNCTION("""COMPUTED_VALUE"""),0.00482)</f>
        <v>0.00482</v>
      </c>
      <c r="I618" s="19" t="str">
        <f>IFERROR(__xludf.DUMMYFUNCTION("""COMPUTED_VALUE"""),"-")</f>
        <v>-</v>
      </c>
      <c r="J618" s="19">
        <f>IFERROR(__xludf.DUMMYFUNCTION("""COMPUTED_VALUE"""),0.01951)</f>
        <v>0.01951</v>
      </c>
      <c r="K618" s="19">
        <f>IFERROR(__xludf.DUMMYFUNCTION("""COMPUTED_VALUE"""),0.13103)</f>
        <v>0.13103</v>
      </c>
      <c r="L618" s="19" t="str">
        <f>IFERROR(__xludf.DUMMYFUNCTION("""COMPUTED_VALUE"""),"-")</f>
        <v>-</v>
      </c>
      <c r="M618" s="19" t="str">
        <f>IFERROR(__xludf.DUMMYFUNCTION("""COMPUTED_VALUE"""),"-")</f>
        <v>-</v>
      </c>
    </row>
    <row r="619">
      <c r="A619" s="12" t="s">
        <v>9409</v>
      </c>
      <c r="G619" s="19">
        <f>IFERROR(__xludf.DUMMYFUNCTION("SPLIT(A617, "" |"")"),307001.0)</f>
        <v>307001</v>
      </c>
      <c r="H619" s="19">
        <f>IFERROR(__xludf.DUMMYFUNCTION("""COMPUTED_VALUE"""),0.00484)</f>
        <v>0.00484</v>
      </c>
      <c r="I619" s="19" t="str">
        <f>IFERROR(__xludf.DUMMYFUNCTION("""COMPUTED_VALUE"""),"-")</f>
        <v>-</v>
      </c>
      <c r="J619" s="19">
        <f>IFERROR(__xludf.DUMMYFUNCTION("""COMPUTED_VALUE"""),0.01986)</f>
        <v>0.01986</v>
      </c>
      <c r="K619" s="19">
        <f>IFERROR(__xludf.DUMMYFUNCTION("""COMPUTED_VALUE"""),0.13212)</f>
        <v>0.13212</v>
      </c>
      <c r="L619" s="19" t="str">
        <f>IFERROR(__xludf.DUMMYFUNCTION("""COMPUTED_VALUE"""),"-")</f>
        <v>-</v>
      </c>
      <c r="M619" s="19" t="str">
        <f>IFERROR(__xludf.DUMMYFUNCTION("""COMPUTED_VALUE"""),"-")</f>
        <v>-</v>
      </c>
    </row>
    <row r="620">
      <c r="A620" s="12" t="s">
        <v>9410</v>
      </c>
      <c r="G620" s="19">
        <f>IFERROR(__xludf.DUMMYFUNCTION("SPLIT(A618, "" |"")"),307501.0)</f>
        <v>307501</v>
      </c>
      <c r="H620" s="19">
        <f>IFERROR(__xludf.DUMMYFUNCTION("""COMPUTED_VALUE"""),0.0049)</f>
        <v>0.0049</v>
      </c>
      <c r="I620" s="19" t="str">
        <f>IFERROR(__xludf.DUMMYFUNCTION("""COMPUTED_VALUE"""),"-")</f>
        <v>-</v>
      </c>
      <c r="J620" s="19">
        <f>IFERROR(__xludf.DUMMYFUNCTION("""COMPUTED_VALUE"""),0.01993)</f>
        <v>0.01993</v>
      </c>
      <c r="K620" s="19">
        <f>IFERROR(__xludf.DUMMYFUNCTION("""COMPUTED_VALUE"""),0.12845)</f>
        <v>0.12845</v>
      </c>
      <c r="L620" s="19" t="str">
        <f>IFERROR(__xludf.DUMMYFUNCTION("""COMPUTED_VALUE"""),"-")</f>
        <v>-</v>
      </c>
      <c r="M620" s="19" t="str">
        <f>IFERROR(__xludf.DUMMYFUNCTION("""COMPUTED_VALUE"""),"-")</f>
        <v>-</v>
      </c>
    </row>
    <row r="621">
      <c r="A621" s="12" t="s">
        <v>9411</v>
      </c>
      <c r="G621" s="19">
        <f>IFERROR(__xludf.DUMMYFUNCTION("SPLIT(A619, "" |"")"),308001.0)</f>
        <v>308001</v>
      </c>
      <c r="H621" s="19">
        <f>IFERROR(__xludf.DUMMYFUNCTION("""COMPUTED_VALUE"""),0.00504)</f>
        <v>0.00504</v>
      </c>
      <c r="I621" s="19" t="str">
        <f>IFERROR(__xludf.DUMMYFUNCTION("""COMPUTED_VALUE"""),"-")</f>
        <v>-</v>
      </c>
      <c r="J621" s="19">
        <f>IFERROR(__xludf.DUMMYFUNCTION("""COMPUTED_VALUE"""),0.0198)</f>
        <v>0.0198</v>
      </c>
      <c r="K621" s="19">
        <f>IFERROR(__xludf.DUMMYFUNCTION("""COMPUTED_VALUE"""),0.13238)</f>
        <v>0.13238</v>
      </c>
      <c r="L621" s="19" t="str">
        <f>IFERROR(__xludf.DUMMYFUNCTION("""COMPUTED_VALUE"""),"-")</f>
        <v>-</v>
      </c>
      <c r="M621" s="19" t="str">
        <f>IFERROR(__xludf.DUMMYFUNCTION("""COMPUTED_VALUE"""),"-")</f>
        <v>-</v>
      </c>
    </row>
    <row r="622">
      <c r="A622" s="12" t="s">
        <v>9412</v>
      </c>
      <c r="G622" s="19">
        <f>IFERROR(__xludf.DUMMYFUNCTION("SPLIT(A620, "" |"")"),308501.0)</f>
        <v>308501</v>
      </c>
      <c r="H622" s="19">
        <f>IFERROR(__xludf.DUMMYFUNCTION("""COMPUTED_VALUE"""),0.00505)</f>
        <v>0.00505</v>
      </c>
      <c r="I622" s="19" t="str">
        <f>IFERROR(__xludf.DUMMYFUNCTION("""COMPUTED_VALUE"""),"-")</f>
        <v>-</v>
      </c>
      <c r="J622" s="19">
        <f>IFERROR(__xludf.DUMMYFUNCTION("""COMPUTED_VALUE"""),0.01972)</f>
        <v>0.01972</v>
      </c>
      <c r="K622" s="19">
        <f>IFERROR(__xludf.DUMMYFUNCTION("""COMPUTED_VALUE"""),0.12992)</f>
        <v>0.12992</v>
      </c>
      <c r="L622" s="19" t="str">
        <f>IFERROR(__xludf.DUMMYFUNCTION("""COMPUTED_VALUE"""),"-")</f>
        <v>-</v>
      </c>
      <c r="M622" s="19" t="str">
        <f>IFERROR(__xludf.DUMMYFUNCTION("""COMPUTED_VALUE"""),"-")</f>
        <v>-</v>
      </c>
    </row>
    <row r="623">
      <c r="A623" s="12" t="s">
        <v>9413</v>
      </c>
      <c r="G623" s="19">
        <f>IFERROR(__xludf.DUMMYFUNCTION("SPLIT(A621, "" |"")"),309001.0)</f>
        <v>309001</v>
      </c>
      <c r="H623" s="19">
        <f>IFERROR(__xludf.DUMMYFUNCTION("""COMPUTED_VALUE"""),0.00484)</f>
        <v>0.00484</v>
      </c>
      <c r="I623" s="19" t="str">
        <f>IFERROR(__xludf.DUMMYFUNCTION("""COMPUTED_VALUE"""),"-")</f>
        <v>-</v>
      </c>
      <c r="J623" s="19">
        <f>IFERROR(__xludf.DUMMYFUNCTION("""COMPUTED_VALUE"""),0.01959)</f>
        <v>0.01959</v>
      </c>
      <c r="K623" s="19">
        <f>IFERROR(__xludf.DUMMYFUNCTION("""COMPUTED_VALUE"""),0.1319)</f>
        <v>0.1319</v>
      </c>
      <c r="L623" s="19" t="str">
        <f>IFERROR(__xludf.DUMMYFUNCTION("""COMPUTED_VALUE"""),"-")</f>
        <v>-</v>
      </c>
      <c r="M623" s="19" t="str">
        <f>IFERROR(__xludf.DUMMYFUNCTION("""COMPUTED_VALUE"""),"-")</f>
        <v>-</v>
      </c>
    </row>
    <row r="624">
      <c r="A624" s="12" t="s">
        <v>9414</v>
      </c>
      <c r="G624" s="19">
        <f>IFERROR(__xludf.DUMMYFUNCTION("SPLIT(A622, "" |"")"),309501.0)</f>
        <v>309501</v>
      </c>
      <c r="H624" s="19">
        <f>IFERROR(__xludf.DUMMYFUNCTION("""COMPUTED_VALUE"""),0.0049)</f>
        <v>0.0049</v>
      </c>
      <c r="I624" s="19" t="str">
        <f>IFERROR(__xludf.DUMMYFUNCTION("""COMPUTED_VALUE"""),"-")</f>
        <v>-</v>
      </c>
      <c r="J624" s="19">
        <f>IFERROR(__xludf.DUMMYFUNCTION("""COMPUTED_VALUE"""),0.01965)</f>
        <v>0.01965</v>
      </c>
      <c r="K624" s="19">
        <f>IFERROR(__xludf.DUMMYFUNCTION("""COMPUTED_VALUE"""),0.13203)</f>
        <v>0.13203</v>
      </c>
      <c r="L624" s="19" t="str">
        <f>IFERROR(__xludf.DUMMYFUNCTION("""COMPUTED_VALUE"""),"-")</f>
        <v>-</v>
      </c>
      <c r="M624" s="19" t="str">
        <f>IFERROR(__xludf.DUMMYFUNCTION("""COMPUTED_VALUE"""),"-")</f>
        <v>-</v>
      </c>
    </row>
    <row r="625">
      <c r="A625" s="12" t="s">
        <v>9415</v>
      </c>
      <c r="G625" s="19">
        <f>IFERROR(__xludf.DUMMYFUNCTION("SPLIT(A623, "" |"")"),310001.0)</f>
        <v>310001</v>
      </c>
      <c r="H625" s="19">
        <f>IFERROR(__xludf.DUMMYFUNCTION("""COMPUTED_VALUE"""),0.00499)</f>
        <v>0.00499</v>
      </c>
      <c r="I625" s="19" t="str">
        <f>IFERROR(__xludf.DUMMYFUNCTION("""COMPUTED_VALUE"""),"-")</f>
        <v>-</v>
      </c>
      <c r="J625" s="19">
        <f>IFERROR(__xludf.DUMMYFUNCTION("""COMPUTED_VALUE"""),0.01985)</f>
        <v>0.01985</v>
      </c>
      <c r="K625" s="19">
        <f>IFERROR(__xludf.DUMMYFUNCTION("""COMPUTED_VALUE"""),0.13207)</f>
        <v>0.13207</v>
      </c>
      <c r="L625" s="19" t="str">
        <f>IFERROR(__xludf.DUMMYFUNCTION("""COMPUTED_VALUE"""),"-")</f>
        <v>-</v>
      </c>
      <c r="M625" s="19" t="str">
        <f>IFERROR(__xludf.DUMMYFUNCTION("""COMPUTED_VALUE"""),"-")</f>
        <v>-</v>
      </c>
    </row>
    <row r="626">
      <c r="A626" s="12" t="s">
        <v>9416</v>
      </c>
      <c r="G626" s="19">
        <f>IFERROR(__xludf.DUMMYFUNCTION("SPLIT(A624, "" |"")"),310501.0)</f>
        <v>310501</v>
      </c>
      <c r="H626" s="19">
        <f>IFERROR(__xludf.DUMMYFUNCTION("""COMPUTED_VALUE"""),0.00468)</f>
        <v>0.00468</v>
      </c>
      <c r="I626" s="19" t="str">
        <f>IFERROR(__xludf.DUMMYFUNCTION("""COMPUTED_VALUE"""),"-")</f>
        <v>-</v>
      </c>
      <c r="J626" s="19">
        <f>IFERROR(__xludf.DUMMYFUNCTION("""COMPUTED_VALUE"""),0.01956)</f>
        <v>0.01956</v>
      </c>
      <c r="K626" s="19">
        <f>IFERROR(__xludf.DUMMYFUNCTION("""COMPUTED_VALUE"""),0.13198)</f>
        <v>0.13198</v>
      </c>
      <c r="L626" s="19" t="str">
        <f>IFERROR(__xludf.DUMMYFUNCTION("""COMPUTED_VALUE"""),"-")</f>
        <v>-</v>
      </c>
      <c r="M626" s="19" t="str">
        <f>IFERROR(__xludf.DUMMYFUNCTION("""COMPUTED_VALUE"""),"-")</f>
        <v>-</v>
      </c>
    </row>
    <row r="627">
      <c r="A627" s="12" t="s">
        <v>9417</v>
      </c>
      <c r="G627" s="19">
        <f>IFERROR(__xludf.DUMMYFUNCTION("SPLIT(A625, "" |"")"),311001.0)</f>
        <v>311001</v>
      </c>
      <c r="H627" s="19">
        <f>IFERROR(__xludf.DUMMYFUNCTION("""COMPUTED_VALUE"""),0.00477)</f>
        <v>0.00477</v>
      </c>
      <c r="I627" s="19" t="str">
        <f>IFERROR(__xludf.DUMMYFUNCTION("""COMPUTED_VALUE"""),"-")</f>
        <v>-</v>
      </c>
      <c r="J627" s="19">
        <f>IFERROR(__xludf.DUMMYFUNCTION("""COMPUTED_VALUE"""),0.01958)</f>
        <v>0.01958</v>
      </c>
      <c r="K627" s="19">
        <f>IFERROR(__xludf.DUMMYFUNCTION("""COMPUTED_VALUE"""),0.12823)</f>
        <v>0.12823</v>
      </c>
      <c r="L627" s="19" t="str">
        <f>IFERROR(__xludf.DUMMYFUNCTION("""COMPUTED_VALUE"""),"-")</f>
        <v>-</v>
      </c>
      <c r="M627" s="19" t="str">
        <f>IFERROR(__xludf.DUMMYFUNCTION("""COMPUTED_VALUE"""),"-")</f>
        <v>-</v>
      </c>
    </row>
    <row r="628">
      <c r="A628" s="12" t="s">
        <v>9418</v>
      </c>
      <c r="G628" s="19">
        <f>IFERROR(__xludf.DUMMYFUNCTION("SPLIT(A626, "" |"")"),311501.0)</f>
        <v>311501</v>
      </c>
      <c r="H628" s="19">
        <f>IFERROR(__xludf.DUMMYFUNCTION("""COMPUTED_VALUE"""),0.00562)</f>
        <v>0.00562</v>
      </c>
      <c r="I628" s="19" t="str">
        <f>IFERROR(__xludf.DUMMYFUNCTION("""COMPUTED_VALUE"""),"-")</f>
        <v>-</v>
      </c>
      <c r="J628" s="19">
        <f>IFERROR(__xludf.DUMMYFUNCTION("""COMPUTED_VALUE"""),0.01917)</f>
        <v>0.01917</v>
      </c>
      <c r="K628" s="19">
        <f>IFERROR(__xludf.DUMMYFUNCTION("""COMPUTED_VALUE"""),0.13069)</f>
        <v>0.13069</v>
      </c>
      <c r="L628" s="19" t="str">
        <f>IFERROR(__xludf.DUMMYFUNCTION("""COMPUTED_VALUE"""),"-")</f>
        <v>-</v>
      </c>
      <c r="M628" s="19" t="str">
        <f>IFERROR(__xludf.DUMMYFUNCTION("""COMPUTED_VALUE"""),"-")</f>
        <v>-</v>
      </c>
    </row>
    <row r="629">
      <c r="A629" s="12" t="s">
        <v>9419</v>
      </c>
      <c r="G629" s="19">
        <f>IFERROR(__xludf.DUMMYFUNCTION("SPLIT(A627, "" |"")"),312001.0)</f>
        <v>312001</v>
      </c>
      <c r="H629" s="19">
        <f>IFERROR(__xludf.DUMMYFUNCTION("""COMPUTED_VALUE"""),0.00479)</f>
        <v>0.00479</v>
      </c>
      <c r="I629" s="19" t="str">
        <f>IFERROR(__xludf.DUMMYFUNCTION("""COMPUTED_VALUE"""),"-")</f>
        <v>-</v>
      </c>
      <c r="J629" s="19">
        <f>IFERROR(__xludf.DUMMYFUNCTION("""COMPUTED_VALUE"""),0.0197)</f>
        <v>0.0197</v>
      </c>
      <c r="K629" s="19">
        <f>IFERROR(__xludf.DUMMYFUNCTION("""COMPUTED_VALUE"""),0.12519)</f>
        <v>0.12519</v>
      </c>
      <c r="L629" s="19" t="str">
        <f>IFERROR(__xludf.DUMMYFUNCTION("""COMPUTED_VALUE"""),"-")</f>
        <v>-</v>
      </c>
      <c r="M629" s="19" t="str">
        <f>IFERROR(__xludf.DUMMYFUNCTION("""COMPUTED_VALUE"""),"-")</f>
        <v>-</v>
      </c>
    </row>
    <row r="630">
      <c r="A630" s="12" t="s">
        <v>9420</v>
      </c>
      <c r="G630" s="19">
        <f>IFERROR(__xludf.DUMMYFUNCTION("SPLIT(A628, "" |"")"),312501.0)</f>
        <v>312501</v>
      </c>
      <c r="H630" s="19">
        <f>IFERROR(__xludf.DUMMYFUNCTION("""COMPUTED_VALUE"""),0.00488)</f>
        <v>0.00488</v>
      </c>
      <c r="I630" s="19" t="str">
        <f>IFERROR(__xludf.DUMMYFUNCTION("""COMPUTED_VALUE"""),"-")</f>
        <v>-</v>
      </c>
      <c r="J630" s="19">
        <f>IFERROR(__xludf.DUMMYFUNCTION("""COMPUTED_VALUE"""),0.01959)</f>
        <v>0.01959</v>
      </c>
      <c r="K630" s="19">
        <f>IFERROR(__xludf.DUMMYFUNCTION("""COMPUTED_VALUE"""),0.12895)</f>
        <v>0.12895</v>
      </c>
      <c r="L630" s="19" t="str">
        <f>IFERROR(__xludf.DUMMYFUNCTION("""COMPUTED_VALUE"""),"-")</f>
        <v>-</v>
      </c>
      <c r="M630" s="19" t="str">
        <f>IFERROR(__xludf.DUMMYFUNCTION("""COMPUTED_VALUE"""),"-")</f>
        <v>-</v>
      </c>
    </row>
    <row r="631">
      <c r="A631" s="12" t="s">
        <v>9421</v>
      </c>
      <c r="G631" s="19">
        <f>IFERROR(__xludf.DUMMYFUNCTION("SPLIT(A629, "" |"")"),313001.0)</f>
        <v>313001</v>
      </c>
      <c r="H631" s="19">
        <f>IFERROR(__xludf.DUMMYFUNCTION("""COMPUTED_VALUE"""),0.0047)</f>
        <v>0.0047</v>
      </c>
      <c r="I631" s="19" t="str">
        <f>IFERROR(__xludf.DUMMYFUNCTION("""COMPUTED_VALUE"""),"-")</f>
        <v>-</v>
      </c>
      <c r="J631" s="19">
        <f>IFERROR(__xludf.DUMMYFUNCTION("""COMPUTED_VALUE"""),0.0196)</f>
        <v>0.0196</v>
      </c>
      <c r="K631" s="19">
        <f>IFERROR(__xludf.DUMMYFUNCTION("""COMPUTED_VALUE"""),0.13211)</f>
        <v>0.13211</v>
      </c>
      <c r="L631" s="19" t="str">
        <f>IFERROR(__xludf.DUMMYFUNCTION("""COMPUTED_VALUE"""),"-")</f>
        <v>-</v>
      </c>
      <c r="M631" s="19" t="str">
        <f>IFERROR(__xludf.DUMMYFUNCTION("""COMPUTED_VALUE"""),"-")</f>
        <v>-</v>
      </c>
    </row>
    <row r="632">
      <c r="A632" s="12" t="s">
        <v>9422</v>
      </c>
      <c r="G632" s="19">
        <f>IFERROR(__xludf.DUMMYFUNCTION("SPLIT(A630, "" |"")"),313501.0)</f>
        <v>313501</v>
      </c>
      <c r="H632" s="19">
        <f>IFERROR(__xludf.DUMMYFUNCTION("""COMPUTED_VALUE"""),0.00477)</f>
        <v>0.00477</v>
      </c>
      <c r="I632" s="19" t="str">
        <f>IFERROR(__xludf.DUMMYFUNCTION("""COMPUTED_VALUE"""),"-")</f>
        <v>-</v>
      </c>
      <c r="J632" s="19">
        <f>IFERROR(__xludf.DUMMYFUNCTION("""COMPUTED_VALUE"""),0.01971)</f>
        <v>0.01971</v>
      </c>
      <c r="K632" s="19">
        <f>IFERROR(__xludf.DUMMYFUNCTION("""COMPUTED_VALUE"""),0.13212)</f>
        <v>0.13212</v>
      </c>
      <c r="L632" s="19" t="str">
        <f>IFERROR(__xludf.DUMMYFUNCTION("""COMPUTED_VALUE"""),"-")</f>
        <v>-</v>
      </c>
      <c r="M632" s="19" t="str">
        <f>IFERROR(__xludf.DUMMYFUNCTION("""COMPUTED_VALUE"""),"-")</f>
        <v>-</v>
      </c>
    </row>
    <row r="633">
      <c r="A633" s="12" t="s">
        <v>9423</v>
      </c>
      <c r="G633" s="19">
        <f>IFERROR(__xludf.DUMMYFUNCTION("SPLIT(A631, "" |"")"),314001.0)</f>
        <v>314001</v>
      </c>
      <c r="H633" s="19">
        <f>IFERROR(__xludf.DUMMYFUNCTION("""COMPUTED_VALUE"""),0.00481)</f>
        <v>0.00481</v>
      </c>
      <c r="I633" s="19" t="str">
        <f>IFERROR(__xludf.DUMMYFUNCTION("""COMPUTED_VALUE"""),"-")</f>
        <v>-</v>
      </c>
      <c r="J633" s="19">
        <f>IFERROR(__xludf.DUMMYFUNCTION("""COMPUTED_VALUE"""),0.01958)</f>
        <v>0.01958</v>
      </c>
      <c r="K633" s="19">
        <f>IFERROR(__xludf.DUMMYFUNCTION("""COMPUTED_VALUE"""),0.12823)</f>
        <v>0.12823</v>
      </c>
      <c r="L633" s="19" t="str">
        <f>IFERROR(__xludf.DUMMYFUNCTION("""COMPUTED_VALUE"""),"-")</f>
        <v>-</v>
      </c>
      <c r="M633" s="19" t="str">
        <f>IFERROR(__xludf.DUMMYFUNCTION("""COMPUTED_VALUE"""),"-")</f>
        <v>-</v>
      </c>
    </row>
    <row r="634">
      <c r="A634" s="12" t="s">
        <v>9424</v>
      </c>
      <c r="G634" s="19">
        <f>IFERROR(__xludf.DUMMYFUNCTION("SPLIT(A632, "" |"")"),314501.0)</f>
        <v>314501</v>
      </c>
      <c r="H634" s="19">
        <f>IFERROR(__xludf.DUMMYFUNCTION("""COMPUTED_VALUE"""),0.00487)</f>
        <v>0.00487</v>
      </c>
      <c r="I634" s="19" t="str">
        <f>IFERROR(__xludf.DUMMYFUNCTION("""COMPUTED_VALUE"""),"-")</f>
        <v>-</v>
      </c>
      <c r="J634" s="19">
        <f>IFERROR(__xludf.DUMMYFUNCTION("""COMPUTED_VALUE"""),0.01993)</f>
        <v>0.01993</v>
      </c>
      <c r="K634" s="19">
        <f>IFERROR(__xludf.DUMMYFUNCTION("""COMPUTED_VALUE"""),0.13198)</f>
        <v>0.13198</v>
      </c>
      <c r="L634" s="19" t="str">
        <f>IFERROR(__xludf.DUMMYFUNCTION("""COMPUTED_VALUE"""),"-")</f>
        <v>-</v>
      </c>
      <c r="M634" s="19" t="str">
        <f>IFERROR(__xludf.DUMMYFUNCTION("""COMPUTED_VALUE"""),"-")</f>
        <v>-</v>
      </c>
    </row>
    <row r="635">
      <c r="A635" s="12" t="s">
        <v>9425</v>
      </c>
      <c r="G635" s="19">
        <f>IFERROR(__xludf.DUMMYFUNCTION("SPLIT(A633, "" |"")"),315001.0)</f>
        <v>315001</v>
      </c>
      <c r="H635" s="19">
        <f>IFERROR(__xludf.DUMMYFUNCTION("""COMPUTED_VALUE"""),0.00486)</f>
        <v>0.00486</v>
      </c>
      <c r="I635" s="19" t="str">
        <f>IFERROR(__xludf.DUMMYFUNCTION("""COMPUTED_VALUE"""),"-")</f>
        <v>-</v>
      </c>
      <c r="J635" s="19">
        <f>IFERROR(__xludf.DUMMYFUNCTION("""COMPUTED_VALUE"""),0.01962)</f>
        <v>0.01962</v>
      </c>
      <c r="K635" s="19">
        <f>IFERROR(__xludf.DUMMYFUNCTION("""COMPUTED_VALUE"""),0.13186)</f>
        <v>0.13186</v>
      </c>
      <c r="L635" s="19" t="str">
        <f>IFERROR(__xludf.DUMMYFUNCTION("""COMPUTED_VALUE"""),"-")</f>
        <v>-</v>
      </c>
      <c r="M635" s="19" t="str">
        <f>IFERROR(__xludf.DUMMYFUNCTION("""COMPUTED_VALUE"""),"-")</f>
        <v>-</v>
      </c>
    </row>
    <row r="636">
      <c r="A636" s="12" t="s">
        <v>9426</v>
      </c>
      <c r="G636" s="19">
        <f>IFERROR(__xludf.DUMMYFUNCTION("SPLIT(A634, "" |"")"),315501.0)</f>
        <v>315501</v>
      </c>
      <c r="H636" s="19">
        <f>IFERROR(__xludf.DUMMYFUNCTION("""COMPUTED_VALUE"""),0.00465)</f>
        <v>0.00465</v>
      </c>
      <c r="I636" s="19" t="str">
        <f>IFERROR(__xludf.DUMMYFUNCTION("""COMPUTED_VALUE"""),"-")</f>
        <v>-</v>
      </c>
      <c r="J636" s="19">
        <f>IFERROR(__xludf.DUMMYFUNCTION("""COMPUTED_VALUE"""),0.01968)</f>
        <v>0.01968</v>
      </c>
      <c r="K636" s="19">
        <f>IFERROR(__xludf.DUMMYFUNCTION("""COMPUTED_VALUE"""),0.13194)</f>
        <v>0.13194</v>
      </c>
      <c r="L636" s="19" t="str">
        <f>IFERROR(__xludf.DUMMYFUNCTION("""COMPUTED_VALUE"""),"-")</f>
        <v>-</v>
      </c>
      <c r="M636" s="19" t="str">
        <f>IFERROR(__xludf.DUMMYFUNCTION("""COMPUTED_VALUE"""),"-")</f>
        <v>-</v>
      </c>
    </row>
    <row r="637">
      <c r="A637" s="12" t="s">
        <v>9427</v>
      </c>
      <c r="G637" s="19">
        <f>IFERROR(__xludf.DUMMYFUNCTION("SPLIT(A635, "" |"")"),316001.0)</f>
        <v>316001</v>
      </c>
      <c r="H637" s="19">
        <f>IFERROR(__xludf.DUMMYFUNCTION("""COMPUTED_VALUE"""),0.00473)</f>
        <v>0.00473</v>
      </c>
      <c r="I637" s="19" t="str">
        <f>IFERROR(__xludf.DUMMYFUNCTION("""COMPUTED_VALUE"""),"-")</f>
        <v>-</v>
      </c>
      <c r="J637" s="19">
        <f>IFERROR(__xludf.DUMMYFUNCTION("""COMPUTED_VALUE"""),0.01955)</f>
        <v>0.01955</v>
      </c>
      <c r="K637" s="19">
        <f>IFERROR(__xludf.DUMMYFUNCTION("""COMPUTED_VALUE"""),0.13156)</f>
        <v>0.13156</v>
      </c>
      <c r="L637" s="19" t="str">
        <f>IFERROR(__xludf.DUMMYFUNCTION("""COMPUTED_VALUE"""),"-")</f>
        <v>-</v>
      </c>
      <c r="M637" s="19" t="str">
        <f>IFERROR(__xludf.DUMMYFUNCTION("""COMPUTED_VALUE"""),"-")</f>
        <v>-</v>
      </c>
    </row>
    <row r="638">
      <c r="A638" s="12" t="s">
        <v>9428</v>
      </c>
      <c r="G638" s="19">
        <f>IFERROR(__xludf.DUMMYFUNCTION("SPLIT(A636, "" |"")"),316501.0)</f>
        <v>316501</v>
      </c>
      <c r="H638" s="19">
        <f>IFERROR(__xludf.DUMMYFUNCTION("""COMPUTED_VALUE"""),0.00484)</f>
        <v>0.00484</v>
      </c>
      <c r="I638" s="19" t="str">
        <f>IFERROR(__xludf.DUMMYFUNCTION("""COMPUTED_VALUE"""),"-")</f>
        <v>-</v>
      </c>
      <c r="J638" s="19">
        <f>IFERROR(__xludf.DUMMYFUNCTION("""COMPUTED_VALUE"""),0.01964)</f>
        <v>0.01964</v>
      </c>
      <c r="K638" s="19">
        <f>IFERROR(__xludf.DUMMYFUNCTION("""COMPUTED_VALUE"""),0.13201)</f>
        <v>0.13201</v>
      </c>
      <c r="L638" s="19" t="str">
        <f>IFERROR(__xludf.DUMMYFUNCTION("""COMPUTED_VALUE"""),"-")</f>
        <v>-</v>
      </c>
      <c r="M638" s="19" t="str">
        <f>IFERROR(__xludf.DUMMYFUNCTION("""COMPUTED_VALUE"""),"-")</f>
        <v>-</v>
      </c>
    </row>
    <row r="639">
      <c r="A639" s="12" t="s">
        <v>9429</v>
      </c>
      <c r="G639" s="19">
        <f>IFERROR(__xludf.DUMMYFUNCTION("SPLIT(A637, "" |"")"),317001.0)</f>
        <v>317001</v>
      </c>
      <c r="H639" s="19">
        <f>IFERROR(__xludf.DUMMYFUNCTION("""COMPUTED_VALUE"""),0.00481)</f>
        <v>0.00481</v>
      </c>
      <c r="I639" s="19" t="str">
        <f>IFERROR(__xludf.DUMMYFUNCTION("""COMPUTED_VALUE"""),"-")</f>
        <v>-</v>
      </c>
      <c r="J639" s="19">
        <f>IFERROR(__xludf.DUMMYFUNCTION("""COMPUTED_VALUE"""),0.01972)</f>
        <v>0.01972</v>
      </c>
      <c r="K639" s="19">
        <f>IFERROR(__xludf.DUMMYFUNCTION("""COMPUTED_VALUE"""),0.13178)</f>
        <v>0.13178</v>
      </c>
      <c r="L639" s="19" t="str">
        <f>IFERROR(__xludf.DUMMYFUNCTION("""COMPUTED_VALUE"""),"-")</f>
        <v>-</v>
      </c>
      <c r="M639" s="19" t="str">
        <f>IFERROR(__xludf.DUMMYFUNCTION("""COMPUTED_VALUE"""),"-")</f>
        <v>-</v>
      </c>
    </row>
    <row r="640">
      <c r="A640" s="12" t="s">
        <v>9430</v>
      </c>
      <c r="G640" s="19">
        <f>IFERROR(__xludf.DUMMYFUNCTION("SPLIT(A638, "" |"")"),317501.0)</f>
        <v>317501</v>
      </c>
      <c r="H640" s="19">
        <f>IFERROR(__xludf.DUMMYFUNCTION("""COMPUTED_VALUE"""),0.00481)</f>
        <v>0.00481</v>
      </c>
      <c r="I640" s="19" t="str">
        <f>IFERROR(__xludf.DUMMYFUNCTION("""COMPUTED_VALUE"""),"-")</f>
        <v>-</v>
      </c>
      <c r="J640" s="19">
        <f>IFERROR(__xludf.DUMMYFUNCTION("""COMPUTED_VALUE"""),0.0196)</f>
        <v>0.0196</v>
      </c>
      <c r="K640" s="19">
        <f>IFERROR(__xludf.DUMMYFUNCTION("""COMPUTED_VALUE"""),0.13194)</f>
        <v>0.13194</v>
      </c>
      <c r="L640" s="19" t="str">
        <f>IFERROR(__xludf.DUMMYFUNCTION("""COMPUTED_VALUE"""),"-")</f>
        <v>-</v>
      </c>
      <c r="M640" s="19" t="str">
        <f>IFERROR(__xludf.DUMMYFUNCTION("""COMPUTED_VALUE"""),"-")</f>
        <v>-</v>
      </c>
    </row>
    <row r="641">
      <c r="A641" s="12" t="s">
        <v>9431</v>
      </c>
      <c r="G641" s="19">
        <f>IFERROR(__xludf.DUMMYFUNCTION("SPLIT(A639, "" |"")"),318001.0)</f>
        <v>318001</v>
      </c>
      <c r="H641" s="19">
        <f>IFERROR(__xludf.DUMMYFUNCTION("""COMPUTED_VALUE"""),0.01431)</f>
        <v>0.01431</v>
      </c>
      <c r="I641" s="19" t="str">
        <f>IFERROR(__xludf.DUMMYFUNCTION("""COMPUTED_VALUE"""),"-")</f>
        <v>-</v>
      </c>
      <c r="J641" s="19">
        <f>IFERROR(__xludf.DUMMYFUNCTION("""COMPUTED_VALUE"""),0.02017)</f>
        <v>0.02017</v>
      </c>
      <c r="K641" s="19">
        <f>IFERROR(__xludf.DUMMYFUNCTION("""COMPUTED_VALUE"""),0.12882)</f>
        <v>0.12882</v>
      </c>
      <c r="L641" s="19" t="str">
        <f>IFERROR(__xludf.DUMMYFUNCTION("""COMPUTED_VALUE"""),"-")</f>
        <v>-</v>
      </c>
      <c r="M641" s="19" t="str">
        <f>IFERROR(__xludf.DUMMYFUNCTION("""COMPUTED_VALUE"""),"-")</f>
        <v>-</v>
      </c>
    </row>
    <row r="642">
      <c r="A642" s="12" t="s">
        <v>9432</v>
      </c>
      <c r="G642" s="19">
        <f>IFERROR(__xludf.DUMMYFUNCTION("SPLIT(A640, "" |"")"),318501.0)</f>
        <v>318501</v>
      </c>
      <c r="H642" s="19">
        <f>IFERROR(__xludf.DUMMYFUNCTION("""COMPUTED_VALUE"""),0.00481)</f>
        <v>0.00481</v>
      </c>
      <c r="I642" s="19" t="str">
        <f>IFERROR(__xludf.DUMMYFUNCTION("""COMPUTED_VALUE"""),"-")</f>
        <v>-</v>
      </c>
      <c r="J642" s="19">
        <f>IFERROR(__xludf.DUMMYFUNCTION("""COMPUTED_VALUE"""),0.01974)</f>
        <v>0.01974</v>
      </c>
      <c r="K642" s="19">
        <f>IFERROR(__xludf.DUMMYFUNCTION("""COMPUTED_VALUE"""),0.12895)</f>
        <v>0.12895</v>
      </c>
      <c r="L642" s="19" t="str">
        <f>IFERROR(__xludf.DUMMYFUNCTION("""COMPUTED_VALUE"""),"-")</f>
        <v>-</v>
      </c>
      <c r="M642" s="19" t="str">
        <f>IFERROR(__xludf.DUMMYFUNCTION("""COMPUTED_VALUE"""),"-")</f>
        <v>-</v>
      </c>
    </row>
    <row r="643">
      <c r="A643" s="12" t="s">
        <v>9433</v>
      </c>
      <c r="G643" s="19">
        <f>IFERROR(__xludf.DUMMYFUNCTION("SPLIT(A641, "" |"")"),319001.0)</f>
        <v>319001</v>
      </c>
      <c r="H643" s="19">
        <f>IFERROR(__xludf.DUMMYFUNCTION("""COMPUTED_VALUE"""),0.00491)</f>
        <v>0.00491</v>
      </c>
      <c r="I643" s="19" t="str">
        <f>IFERROR(__xludf.DUMMYFUNCTION("""COMPUTED_VALUE"""),"-")</f>
        <v>-</v>
      </c>
      <c r="J643" s="19">
        <f>IFERROR(__xludf.DUMMYFUNCTION("""COMPUTED_VALUE"""),0.01977)</f>
        <v>0.01977</v>
      </c>
      <c r="K643" s="19">
        <f>IFERROR(__xludf.DUMMYFUNCTION("""COMPUTED_VALUE"""),0.13122)</f>
        <v>0.13122</v>
      </c>
      <c r="L643" s="19" t="str">
        <f>IFERROR(__xludf.DUMMYFUNCTION("""COMPUTED_VALUE"""),"-")</f>
        <v>-</v>
      </c>
      <c r="M643" s="19" t="str">
        <f>IFERROR(__xludf.DUMMYFUNCTION("""COMPUTED_VALUE"""),"-")</f>
        <v>-</v>
      </c>
    </row>
    <row r="644">
      <c r="A644" s="12" t="s">
        <v>9434</v>
      </c>
      <c r="G644" s="19">
        <f>IFERROR(__xludf.DUMMYFUNCTION("SPLIT(A642, "" |"")"),319501.0)</f>
        <v>319501</v>
      </c>
      <c r="H644" s="19">
        <f>IFERROR(__xludf.DUMMYFUNCTION("""COMPUTED_VALUE"""),0.00491)</f>
        <v>0.00491</v>
      </c>
      <c r="I644" s="19" t="str">
        <f>IFERROR(__xludf.DUMMYFUNCTION("""COMPUTED_VALUE"""),"-")</f>
        <v>-</v>
      </c>
      <c r="J644" s="19">
        <f>IFERROR(__xludf.DUMMYFUNCTION("""COMPUTED_VALUE"""),0.03417)</f>
        <v>0.03417</v>
      </c>
      <c r="K644" s="19">
        <f>IFERROR(__xludf.DUMMYFUNCTION("""COMPUTED_VALUE"""),0.12869)</f>
        <v>0.12869</v>
      </c>
      <c r="L644" s="19" t="str">
        <f>IFERROR(__xludf.DUMMYFUNCTION("""COMPUTED_VALUE"""),"-")</f>
        <v>-</v>
      </c>
      <c r="M644" s="19" t="str">
        <f>IFERROR(__xludf.DUMMYFUNCTION("""COMPUTED_VALUE"""),"-")</f>
        <v>-</v>
      </c>
    </row>
    <row r="645">
      <c r="A645" s="12" t="s">
        <v>9435</v>
      </c>
      <c r="G645" s="19">
        <f>IFERROR(__xludf.DUMMYFUNCTION("SPLIT(A643, "" |"")"),320001.0)</f>
        <v>320001</v>
      </c>
      <c r="H645" s="19">
        <f>IFERROR(__xludf.DUMMYFUNCTION("""COMPUTED_VALUE"""),0.00447)</f>
        <v>0.00447</v>
      </c>
      <c r="I645" s="19" t="str">
        <f>IFERROR(__xludf.DUMMYFUNCTION("""COMPUTED_VALUE"""),"-")</f>
        <v>-</v>
      </c>
      <c r="J645" s="19">
        <f>IFERROR(__xludf.DUMMYFUNCTION("""COMPUTED_VALUE"""),0.01943)</f>
        <v>0.01943</v>
      </c>
      <c r="K645" s="19">
        <f>IFERROR(__xludf.DUMMYFUNCTION("""COMPUTED_VALUE"""),0.12879)</f>
        <v>0.12879</v>
      </c>
      <c r="L645" s="19" t="str">
        <f>IFERROR(__xludf.DUMMYFUNCTION("""COMPUTED_VALUE"""),"-")</f>
        <v>-</v>
      </c>
      <c r="M645" s="19" t="str">
        <f>IFERROR(__xludf.DUMMYFUNCTION("""COMPUTED_VALUE"""),"-")</f>
        <v>-</v>
      </c>
    </row>
    <row r="646">
      <c r="A646" s="12" t="s">
        <v>9436</v>
      </c>
      <c r="G646" s="19">
        <f>IFERROR(__xludf.DUMMYFUNCTION("SPLIT(A644, "" |"")"),320501.0)</f>
        <v>320501</v>
      </c>
      <c r="H646" s="19">
        <f>IFERROR(__xludf.DUMMYFUNCTION("""COMPUTED_VALUE"""),0.00479)</f>
        <v>0.00479</v>
      </c>
      <c r="I646" s="19" t="str">
        <f>IFERROR(__xludf.DUMMYFUNCTION("""COMPUTED_VALUE"""),"-")</f>
        <v>-</v>
      </c>
      <c r="J646" s="19">
        <f>IFERROR(__xludf.DUMMYFUNCTION("""COMPUTED_VALUE"""),0.01956)</f>
        <v>0.01956</v>
      </c>
      <c r="K646" s="19">
        <f>IFERROR(__xludf.DUMMYFUNCTION("""COMPUTED_VALUE"""),0.12848)</f>
        <v>0.12848</v>
      </c>
      <c r="L646" s="19" t="str">
        <f>IFERROR(__xludf.DUMMYFUNCTION("""COMPUTED_VALUE"""),"-")</f>
        <v>-</v>
      </c>
      <c r="M646" s="19" t="str">
        <f>IFERROR(__xludf.DUMMYFUNCTION("""COMPUTED_VALUE"""),"-")</f>
        <v>-</v>
      </c>
    </row>
    <row r="647">
      <c r="A647" s="12" t="s">
        <v>9437</v>
      </c>
      <c r="G647" s="19">
        <f>IFERROR(__xludf.DUMMYFUNCTION("SPLIT(A645, "" |"")"),321001.0)</f>
        <v>321001</v>
      </c>
      <c r="H647" s="19">
        <f>IFERROR(__xludf.DUMMYFUNCTION("""COMPUTED_VALUE"""),0.0047)</f>
        <v>0.0047</v>
      </c>
      <c r="I647" s="19" t="str">
        <f>IFERROR(__xludf.DUMMYFUNCTION("""COMPUTED_VALUE"""),"-")</f>
        <v>-</v>
      </c>
      <c r="J647" s="19">
        <f>IFERROR(__xludf.DUMMYFUNCTION("""COMPUTED_VALUE"""),0.01949)</f>
        <v>0.01949</v>
      </c>
      <c r="K647" s="19">
        <f>IFERROR(__xludf.DUMMYFUNCTION("""COMPUTED_VALUE"""),0.12717)</f>
        <v>0.12717</v>
      </c>
      <c r="L647" s="19" t="str">
        <f>IFERROR(__xludf.DUMMYFUNCTION("""COMPUTED_VALUE"""),"-")</f>
        <v>-</v>
      </c>
      <c r="M647" s="19" t="str">
        <f>IFERROR(__xludf.DUMMYFUNCTION("""COMPUTED_VALUE"""),"-")</f>
        <v>-</v>
      </c>
    </row>
    <row r="648">
      <c r="A648" s="12" t="s">
        <v>9438</v>
      </c>
      <c r="G648" s="19">
        <f>IFERROR(__xludf.DUMMYFUNCTION("SPLIT(A646, "" |"")"),321501.0)</f>
        <v>321501</v>
      </c>
      <c r="H648" s="19">
        <f>IFERROR(__xludf.DUMMYFUNCTION("""COMPUTED_VALUE"""),0.00474)</f>
        <v>0.00474</v>
      </c>
      <c r="I648" s="19" t="str">
        <f>IFERROR(__xludf.DUMMYFUNCTION("""COMPUTED_VALUE"""),"-")</f>
        <v>-</v>
      </c>
      <c r="J648" s="19">
        <f>IFERROR(__xludf.DUMMYFUNCTION("""COMPUTED_VALUE"""),0.01974)</f>
        <v>0.01974</v>
      </c>
      <c r="K648" s="19">
        <f>IFERROR(__xludf.DUMMYFUNCTION("""COMPUTED_VALUE"""),0.13185)</f>
        <v>0.13185</v>
      </c>
      <c r="L648" s="19" t="str">
        <f>IFERROR(__xludf.DUMMYFUNCTION("""COMPUTED_VALUE"""),"-")</f>
        <v>-</v>
      </c>
      <c r="M648" s="19" t="str">
        <f>IFERROR(__xludf.DUMMYFUNCTION("""COMPUTED_VALUE"""),"-")</f>
        <v>-</v>
      </c>
    </row>
    <row r="649">
      <c r="A649" s="12" t="s">
        <v>9439</v>
      </c>
      <c r="G649" s="19">
        <f>IFERROR(__xludf.DUMMYFUNCTION("SPLIT(A647, "" |"")"),322001.0)</f>
        <v>322001</v>
      </c>
      <c r="H649" s="19">
        <f>IFERROR(__xludf.DUMMYFUNCTION("""COMPUTED_VALUE"""),0.00467)</f>
        <v>0.00467</v>
      </c>
      <c r="I649" s="19" t="str">
        <f>IFERROR(__xludf.DUMMYFUNCTION("""COMPUTED_VALUE"""),"-")</f>
        <v>-</v>
      </c>
      <c r="J649" s="19">
        <f>IFERROR(__xludf.DUMMYFUNCTION("""COMPUTED_VALUE"""),0.01964)</f>
        <v>0.01964</v>
      </c>
      <c r="K649" s="19">
        <f>IFERROR(__xludf.DUMMYFUNCTION("""COMPUTED_VALUE"""),0.1302)</f>
        <v>0.1302</v>
      </c>
      <c r="L649" s="19" t="str">
        <f>IFERROR(__xludf.DUMMYFUNCTION("""COMPUTED_VALUE"""),"-")</f>
        <v>-</v>
      </c>
      <c r="M649" s="19" t="str">
        <f>IFERROR(__xludf.DUMMYFUNCTION("""COMPUTED_VALUE"""),"-")</f>
        <v>-</v>
      </c>
    </row>
    <row r="650">
      <c r="A650" s="12" t="s">
        <v>9440</v>
      </c>
      <c r="G650" s="19">
        <f>IFERROR(__xludf.DUMMYFUNCTION("SPLIT(A648, "" |"")"),322501.0)</f>
        <v>322501</v>
      </c>
      <c r="H650" s="19">
        <f>IFERROR(__xludf.DUMMYFUNCTION("""COMPUTED_VALUE"""),0.00468)</f>
        <v>0.00468</v>
      </c>
      <c r="I650" s="19" t="str">
        <f>IFERROR(__xludf.DUMMYFUNCTION("""COMPUTED_VALUE"""),"-")</f>
        <v>-</v>
      </c>
      <c r="J650" s="19">
        <f>IFERROR(__xludf.DUMMYFUNCTION("""COMPUTED_VALUE"""),0.0195)</f>
        <v>0.0195</v>
      </c>
      <c r="K650" s="19">
        <f>IFERROR(__xludf.DUMMYFUNCTION("""COMPUTED_VALUE"""),0.12741)</f>
        <v>0.12741</v>
      </c>
      <c r="L650" s="19" t="str">
        <f>IFERROR(__xludf.DUMMYFUNCTION("""COMPUTED_VALUE"""),"-")</f>
        <v>-</v>
      </c>
      <c r="M650" s="19" t="str">
        <f>IFERROR(__xludf.DUMMYFUNCTION("""COMPUTED_VALUE"""),"-")</f>
        <v>-</v>
      </c>
    </row>
    <row r="651">
      <c r="A651" s="12" t="s">
        <v>9441</v>
      </c>
      <c r="G651" s="19">
        <f>IFERROR(__xludf.DUMMYFUNCTION("SPLIT(A649, "" |"")"),323001.0)</f>
        <v>323001</v>
      </c>
      <c r="H651" s="19">
        <f>IFERROR(__xludf.DUMMYFUNCTION("""COMPUTED_VALUE"""),0.0047)</f>
        <v>0.0047</v>
      </c>
      <c r="I651" s="19" t="str">
        <f>IFERROR(__xludf.DUMMYFUNCTION("""COMPUTED_VALUE"""),"-")</f>
        <v>-</v>
      </c>
      <c r="J651" s="19">
        <f>IFERROR(__xludf.DUMMYFUNCTION("""COMPUTED_VALUE"""),0.01956)</f>
        <v>0.01956</v>
      </c>
      <c r="K651" s="19">
        <f>IFERROR(__xludf.DUMMYFUNCTION("""COMPUTED_VALUE"""),0.13113)</f>
        <v>0.13113</v>
      </c>
      <c r="L651" s="19" t="str">
        <f>IFERROR(__xludf.DUMMYFUNCTION("""COMPUTED_VALUE"""),"-")</f>
        <v>-</v>
      </c>
      <c r="M651" s="19" t="str">
        <f>IFERROR(__xludf.DUMMYFUNCTION("""COMPUTED_VALUE"""),"-")</f>
        <v>-</v>
      </c>
    </row>
    <row r="652">
      <c r="A652" s="12" t="s">
        <v>9442</v>
      </c>
      <c r="G652" s="19">
        <f>IFERROR(__xludf.DUMMYFUNCTION("SPLIT(A650, "" |"")"),323501.0)</f>
        <v>323501</v>
      </c>
      <c r="H652" s="19">
        <f>IFERROR(__xludf.DUMMYFUNCTION("""COMPUTED_VALUE"""),0.00469)</f>
        <v>0.00469</v>
      </c>
      <c r="I652" s="19" t="str">
        <f>IFERROR(__xludf.DUMMYFUNCTION("""COMPUTED_VALUE"""),"-")</f>
        <v>-</v>
      </c>
      <c r="J652" s="19">
        <f>IFERROR(__xludf.DUMMYFUNCTION("""COMPUTED_VALUE"""),0.01951)</f>
        <v>0.01951</v>
      </c>
      <c r="K652" s="19">
        <f>IFERROR(__xludf.DUMMYFUNCTION("""COMPUTED_VALUE"""),0.12987)</f>
        <v>0.12987</v>
      </c>
      <c r="L652" s="19" t="str">
        <f>IFERROR(__xludf.DUMMYFUNCTION("""COMPUTED_VALUE"""),"-")</f>
        <v>-</v>
      </c>
      <c r="M652" s="19" t="str">
        <f>IFERROR(__xludf.DUMMYFUNCTION("""COMPUTED_VALUE"""),"-")</f>
        <v>-</v>
      </c>
    </row>
    <row r="653">
      <c r="A653" s="12" t="s">
        <v>9443</v>
      </c>
      <c r="G653" s="19">
        <f>IFERROR(__xludf.DUMMYFUNCTION("SPLIT(A651, "" |"")"),324001.0)</f>
        <v>324001</v>
      </c>
      <c r="H653" s="19">
        <f>IFERROR(__xludf.DUMMYFUNCTION("""COMPUTED_VALUE"""),0.00465)</f>
        <v>0.00465</v>
      </c>
      <c r="I653" s="19" t="str">
        <f>IFERROR(__xludf.DUMMYFUNCTION("""COMPUTED_VALUE"""),"-")</f>
        <v>-</v>
      </c>
      <c r="J653" s="19">
        <f>IFERROR(__xludf.DUMMYFUNCTION("""COMPUTED_VALUE"""),0.01958)</f>
        <v>0.01958</v>
      </c>
      <c r="K653" s="19">
        <f>IFERROR(__xludf.DUMMYFUNCTION("""COMPUTED_VALUE"""),0.12656)</f>
        <v>0.12656</v>
      </c>
      <c r="L653" s="19" t="str">
        <f>IFERROR(__xludf.DUMMYFUNCTION("""COMPUTED_VALUE"""),"-")</f>
        <v>-</v>
      </c>
      <c r="M653" s="19" t="str">
        <f>IFERROR(__xludf.DUMMYFUNCTION("""COMPUTED_VALUE"""),"-")</f>
        <v>-</v>
      </c>
    </row>
    <row r="654">
      <c r="A654" s="12" t="s">
        <v>9444</v>
      </c>
      <c r="G654" s="19">
        <f>IFERROR(__xludf.DUMMYFUNCTION("SPLIT(A652, "" |"")"),324501.0)</f>
        <v>324501</v>
      </c>
      <c r="H654" s="19">
        <f>IFERROR(__xludf.DUMMYFUNCTION("""COMPUTED_VALUE"""),0.00461)</f>
        <v>0.00461</v>
      </c>
      <c r="I654" s="19" t="str">
        <f>IFERROR(__xludf.DUMMYFUNCTION("""COMPUTED_VALUE"""),"-")</f>
        <v>-</v>
      </c>
      <c r="J654" s="19">
        <f>IFERROR(__xludf.DUMMYFUNCTION("""COMPUTED_VALUE"""),0.01947)</f>
        <v>0.01947</v>
      </c>
      <c r="K654" s="19">
        <f>IFERROR(__xludf.DUMMYFUNCTION("""COMPUTED_VALUE"""),0.13227)</f>
        <v>0.13227</v>
      </c>
      <c r="L654" s="19" t="str">
        <f>IFERROR(__xludf.DUMMYFUNCTION("""COMPUTED_VALUE"""),"-")</f>
        <v>-</v>
      </c>
      <c r="M654" s="19" t="str">
        <f>IFERROR(__xludf.DUMMYFUNCTION("""COMPUTED_VALUE"""),"-")</f>
        <v>-</v>
      </c>
    </row>
    <row r="655">
      <c r="A655" s="12" t="s">
        <v>9445</v>
      </c>
      <c r="G655" s="19">
        <f>IFERROR(__xludf.DUMMYFUNCTION("SPLIT(A653, "" |"")"),325001.0)</f>
        <v>325001</v>
      </c>
      <c r="H655" s="19">
        <f>IFERROR(__xludf.DUMMYFUNCTION("""COMPUTED_VALUE"""),0.00469)</f>
        <v>0.00469</v>
      </c>
      <c r="I655" s="19" t="str">
        <f>IFERROR(__xludf.DUMMYFUNCTION("""COMPUTED_VALUE"""),"-")</f>
        <v>-</v>
      </c>
      <c r="J655" s="19">
        <f>IFERROR(__xludf.DUMMYFUNCTION("""COMPUTED_VALUE"""),0.01978)</f>
        <v>0.01978</v>
      </c>
      <c r="K655" s="19">
        <f>IFERROR(__xludf.DUMMYFUNCTION("""COMPUTED_VALUE"""),0.13138)</f>
        <v>0.13138</v>
      </c>
      <c r="L655" s="19" t="str">
        <f>IFERROR(__xludf.DUMMYFUNCTION("""COMPUTED_VALUE"""),"-")</f>
        <v>-</v>
      </c>
      <c r="M655" s="19" t="str">
        <f>IFERROR(__xludf.DUMMYFUNCTION("""COMPUTED_VALUE"""),"-")</f>
        <v>-</v>
      </c>
    </row>
    <row r="656">
      <c r="A656" s="12" t="s">
        <v>9446</v>
      </c>
      <c r="G656" s="19">
        <f>IFERROR(__xludf.DUMMYFUNCTION("SPLIT(A654, "" |"")"),325501.0)</f>
        <v>325501</v>
      </c>
      <c r="H656" s="19">
        <f>IFERROR(__xludf.DUMMYFUNCTION("""COMPUTED_VALUE"""),0.00486)</f>
        <v>0.00486</v>
      </c>
      <c r="I656" s="19" t="str">
        <f>IFERROR(__xludf.DUMMYFUNCTION("""COMPUTED_VALUE"""),"-")</f>
        <v>-</v>
      </c>
      <c r="J656" s="19">
        <f>IFERROR(__xludf.DUMMYFUNCTION("""COMPUTED_VALUE"""),0.01999)</f>
        <v>0.01999</v>
      </c>
      <c r="K656" s="19">
        <f>IFERROR(__xludf.DUMMYFUNCTION("""COMPUTED_VALUE"""),0.12906)</f>
        <v>0.12906</v>
      </c>
      <c r="L656" s="19" t="str">
        <f>IFERROR(__xludf.DUMMYFUNCTION("""COMPUTED_VALUE"""),"-")</f>
        <v>-</v>
      </c>
      <c r="M656" s="19" t="str">
        <f>IFERROR(__xludf.DUMMYFUNCTION("""COMPUTED_VALUE"""),"-")</f>
        <v>-</v>
      </c>
    </row>
    <row r="657">
      <c r="A657" s="12" t="s">
        <v>9447</v>
      </c>
      <c r="G657" s="19">
        <f>IFERROR(__xludf.DUMMYFUNCTION("SPLIT(A655, "" |"")"),326001.0)</f>
        <v>326001</v>
      </c>
      <c r="H657" s="19">
        <f>IFERROR(__xludf.DUMMYFUNCTION("""COMPUTED_VALUE"""),0.00484)</f>
        <v>0.00484</v>
      </c>
      <c r="I657" s="19" t="str">
        <f>IFERROR(__xludf.DUMMYFUNCTION("""COMPUTED_VALUE"""),"-")</f>
        <v>-</v>
      </c>
      <c r="J657" s="19">
        <f>IFERROR(__xludf.DUMMYFUNCTION("""COMPUTED_VALUE"""),0.01982)</f>
        <v>0.01982</v>
      </c>
      <c r="K657" s="19">
        <f>IFERROR(__xludf.DUMMYFUNCTION("""COMPUTED_VALUE"""),0.12967)</f>
        <v>0.12967</v>
      </c>
      <c r="L657" s="19" t="str">
        <f>IFERROR(__xludf.DUMMYFUNCTION("""COMPUTED_VALUE"""),"-")</f>
        <v>-</v>
      </c>
      <c r="M657" s="19" t="str">
        <f>IFERROR(__xludf.DUMMYFUNCTION("""COMPUTED_VALUE"""),"-")</f>
        <v>-</v>
      </c>
    </row>
    <row r="658">
      <c r="A658" s="12" t="s">
        <v>9448</v>
      </c>
      <c r="G658" s="19">
        <f>IFERROR(__xludf.DUMMYFUNCTION("SPLIT(A656, "" |"")"),326501.0)</f>
        <v>326501</v>
      </c>
      <c r="H658" s="19">
        <f>IFERROR(__xludf.DUMMYFUNCTION("""COMPUTED_VALUE"""),0.00479)</f>
        <v>0.00479</v>
      </c>
      <c r="I658" s="19" t="str">
        <f>IFERROR(__xludf.DUMMYFUNCTION("""COMPUTED_VALUE"""),"-")</f>
        <v>-</v>
      </c>
      <c r="J658" s="19">
        <f>IFERROR(__xludf.DUMMYFUNCTION("""COMPUTED_VALUE"""),0.01777)</f>
        <v>0.01777</v>
      </c>
      <c r="K658" s="19">
        <f>IFERROR(__xludf.DUMMYFUNCTION("""COMPUTED_VALUE"""),0.13207)</f>
        <v>0.13207</v>
      </c>
      <c r="L658" s="19" t="str">
        <f>IFERROR(__xludf.DUMMYFUNCTION("""COMPUTED_VALUE"""),"-")</f>
        <v>-</v>
      </c>
      <c r="M658" s="19" t="str">
        <f>IFERROR(__xludf.DUMMYFUNCTION("""COMPUTED_VALUE"""),"-")</f>
        <v>-</v>
      </c>
    </row>
    <row r="659">
      <c r="A659" s="12" t="s">
        <v>9449</v>
      </c>
      <c r="G659" s="19">
        <f>IFERROR(__xludf.DUMMYFUNCTION("SPLIT(A657, "" |"")"),327001.0)</f>
        <v>327001</v>
      </c>
      <c r="H659" s="19">
        <f>IFERROR(__xludf.DUMMYFUNCTION("""COMPUTED_VALUE"""),0.00477)</f>
        <v>0.00477</v>
      </c>
      <c r="I659" s="19" t="str">
        <f>IFERROR(__xludf.DUMMYFUNCTION("""COMPUTED_VALUE"""),"-")</f>
        <v>-</v>
      </c>
      <c r="J659" s="19">
        <f>IFERROR(__xludf.DUMMYFUNCTION("""COMPUTED_VALUE"""),0.01967)</f>
        <v>0.01967</v>
      </c>
      <c r="K659" s="19">
        <f>IFERROR(__xludf.DUMMYFUNCTION("""COMPUTED_VALUE"""),0.12661)</f>
        <v>0.12661</v>
      </c>
      <c r="L659" s="19" t="str">
        <f>IFERROR(__xludf.DUMMYFUNCTION("""COMPUTED_VALUE"""),"-")</f>
        <v>-</v>
      </c>
      <c r="M659" s="19" t="str">
        <f>IFERROR(__xludf.DUMMYFUNCTION("""COMPUTED_VALUE"""),"-")</f>
        <v>-</v>
      </c>
    </row>
    <row r="660">
      <c r="A660" s="12" t="s">
        <v>9450</v>
      </c>
      <c r="G660" s="19">
        <f>IFERROR(__xludf.DUMMYFUNCTION("SPLIT(A658, "" |"")"),327501.0)</f>
        <v>327501</v>
      </c>
      <c r="H660" s="19">
        <f>IFERROR(__xludf.DUMMYFUNCTION("""COMPUTED_VALUE"""),0.00454)</f>
        <v>0.00454</v>
      </c>
      <c r="I660" s="19" t="str">
        <f>IFERROR(__xludf.DUMMYFUNCTION("""COMPUTED_VALUE"""),"-")</f>
        <v>-</v>
      </c>
      <c r="J660" s="19">
        <f>IFERROR(__xludf.DUMMYFUNCTION("""COMPUTED_VALUE"""),0.01963)</f>
        <v>0.01963</v>
      </c>
      <c r="K660" s="19">
        <f>IFERROR(__xludf.DUMMYFUNCTION("""COMPUTED_VALUE"""),0.1293)</f>
        <v>0.1293</v>
      </c>
      <c r="L660" s="19" t="str">
        <f>IFERROR(__xludf.DUMMYFUNCTION("""COMPUTED_VALUE"""),"-")</f>
        <v>-</v>
      </c>
      <c r="M660" s="19" t="str">
        <f>IFERROR(__xludf.DUMMYFUNCTION("""COMPUTED_VALUE"""),"-")</f>
        <v>-</v>
      </c>
    </row>
    <row r="661">
      <c r="A661" s="12" t="s">
        <v>9451</v>
      </c>
      <c r="G661" s="19">
        <f>IFERROR(__xludf.DUMMYFUNCTION("SPLIT(A659, "" |"")"),328001.0)</f>
        <v>328001</v>
      </c>
      <c r="H661" s="19">
        <f>IFERROR(__xludf.DUMMYFUNCTION("""COMPUTED_VALUE"""),0.00479)</f>
        <v>0.00479</v>
      </c>
      <c r="I661" s="19" t="str">
        <f>IFERROR(__xludf.DUMMYFUNCTION("""COMPUTED_VALUE"""),"-")</f>
        <v>-</v>
      </c>
      <c r="J661" s="19">
        <f>IFERROR(__xludf.DUMMYFUNCTION("""COMPUTED_VALUE"""),0.0196)</f>
        <v>0.0196</v>
      </c>
      <c r="K661" s="19">
        <f>IFERROR(__xludf.DUMMYFUNCTION("""COMPUTED_VALUE"""),0.13053)</f>
        <v>0.13053</v>
      </c>
      <c r="L661" s="19" t="str">
        <f>IFERROR(__xludf.DUMMYFUNCTION("""COMPUTED_VALUE"""),"-")</f>
        <v>-</v>
      </c>
      <c r="M661" s="19" t="str">
        <f>IFERROR(__xludf.DUMMYFUNCTION("""COMPUTED_VALUE"""),"-")</f>
        <v>-</v>
      </c>
    </row>
    <row r="662">
      <c r="A662" s="12" t="s">
        <v>9452</v>
      </c>
      <c r="G662" s="19">
        <f>IFERROR(__xludf.DUMMYFUNCTION("SPLIT(A660, "" |"")"),328501.0)</f>
        <v>328501</v>
      </c>
      <c r="H662" s="19">
        <f>IFERROR(__xludf.DUMMYFUNCTION("""COMPUTED_VALUE"""),0.00479)</f>
        <v>0.00479</v>
      </c>
      <c r="I662" s="19" t="str">
        <f>IFERROR(__xludf.DUMMYFUNCTION("""COMPUTED_VALUE"""),"-")</f>
        <v>-</v>
      </c>
      <c r="J662" s="19">
        <f>IFERROR(__xludf.DUMMYFUNCTION("""COMPUTED_VALUE"""),0.01999)</f>
        <v>0.01999</v>
      </c>
      <c r="K662" s="19">
        <f>IFERROR(__xludf.DUMMYFUNCTION("""COMPUTED_VALUE"""),0.13058)</f>
        <v>0.13058</v>
      </c>
      <c r="L662" s="19" t="str">
        <f>IFERROR(__xludf.DUMMYFUNCTION("""COMPUTED_VALUE"""),"-")</f>
        <v>-</v>
      </c>
      <c r="M662" s="19" t="str">
        <f>IFERROR(__xludf.DUMMYFUNCTION("""COMPUTED_VALUE"""),"-")</f>
        <v>-</v>
      </c>
    </row>
    <row r="663">
      <c r="A663" s="12" t="s">
        <v>9453</v>
      </c>
      <c r="G663" s="19">
        <f>IFERROR(__xludf.DUMMYFUNCTION("SPLIT(A661, "" |"")"),329001.0)</f>
        <v>329001</v>
      </c>
      <c r="H663" s="19">
        <f>IFERROR(__xludf.DUMMYFUNCTION("""COMPUTED_VALUE"""),0.00471)</f>
        <v>0.00471</v>
      </c>
      <c r="I663" s="19" t="str">
        <f>IFERROR(__xludf.DUMMYFUNCTION("""COMPUTED_VALUE"""),"-")</f>
        <v>-</v>
      </c>
      <c r="J663" s="19">
        <f>IFERROR(__xludf.DUMMYFUNCTION("""COMPUTED_VALUE"""),0.0197)</f>
        <v>0.0197</v>
      </c>
      <c r="K663" s="19">
        <f>IFERROR(__xludf.DUMMYFUNCTION("""COMPUTED_VALUE"""),0.12375)</f>
        <v>0.12375</v>
      </c>
      <c r="L663" s="19" t="str">
        <f>IFERROR(__xludf.DUMMYFUNCTION("""COMPUTED_VALUE"""),"-")</f>
        <v>-</v>
      </c>
      <c r="M663" s="19" t="str">
        <f>IFERROR(__xludf.DUMMYFUNCTION("""COMPUTED_VALUE"""),"-")</f>
        <v>-</v>
      </c>
    </row>
    <row r="664">
      <c r="A664" s="12" t="s">
        <v>9454</v>
      </c>
      <c r="G664" s="19">
        <f>IFERROR(__xludf.DUMMYFUNCTION("SPLIT(A662, "" |"")"),329501.0)</f>
        <v>329501</v>
      </c>
      <c r="H664" s="19">
        <f>IFERROR(__xludf.DUMMYFUNCTION("""COMPUTED_VALUE"""),0.0048)</f>
        <v>0.0048</v>
      </c>
      <c r="I664" s="19" t="str">
        <f>IFERROR(__xludf.DUMMYFUNCTION("""COMPUTED_VALUE"""),"-")</f>
        <v>-</v>
      </c>
      <c r="J664" s="19">
        <f>IFERROR(__xludf.DUMMYFUNCTION("""COMPUTED_VALUE"""),0.01961)</f>
        <v>0.01961</v>
      </c>
      <c r="K664" s="19">
        <f>IFERROR(__xludf.DUMMYFUNCTION("""COMPUTED_VALUE"""),0.12955)</f>
        <v>0.12955</v>
      </c>
      <c r="L664" s="19" t="str">
        <f>IFERROR(__xludf.DUMMYFUNCTION("""COMPUTED_VALUE"""),"-")</f>
        <v>-</v>
      </c>
      <c r="M664" s="19" t="str">
        <f>IFERROR(__xludf.DUMMYFUNCTION("""COMPUTED_VALUE"""),"-")</f>
        <v>-</v>
      </c>
    </row>
    <row r="665">
      <c r="A665" s="12" t="s">
        <v>9455</v>
      </c>
      <c r="G665" s="19">
        <f>IFERROR(__xludf.DUMMYFUNCTION("SPLIT(A663, "" |"")"),330001.0)</f>
        <v>330001</v>
      </c>
      <c r="H665" s="19">
        <f>IFERROR(__xludf.DUMMYFUNCTION("""COMPUTED_VALUE"""),0.00469)</f>
        <v>0.00469</v>
      </c>
      <c r="I665" s="19" t="str">
        <f>IFERROR(__xludf.DUMMYFUNCTION("""COMPUTED_VALUE"""),"-")</f>
        <v>-</v>
      </c>
      <c r="J665" s="19">
        <f>IFERROR(__xludf.DUMMYFUNCTION("""COMPUTED_VALUE"""),0.01963)</f>
        <v>0.01963</v>
      </c>
      <c r="K665" s="19">
        <f>IFERROR(__xludf.DUMMYFUNCTION("""COMPUTED_VALUE"""),0.12873)</f>
        <v>0.12873</v>
      </c>
      <c r="L665" s="19" t="str">
        <f>IFERROR(__xludf.DUMMYFUNCTION("""COMPUTED_VALUE"""),"-")</f>
        <v>-</v>
      </c>
      <c r="M665" s="19" t="str">
        <f>IFERROR(__xludf.DUMMYFUNCTION("""COMPUTED_VALUE"""),"-")</f>
        <v>-</v>
      </c>
    </row>
    <row r="666">
      <c r="A666" s="12" t="s">
        <v>9456</v>
      </c>
      <c r="G666" s="19">
        <f>IFERROR(__xludf.DUMMYFUNCTION("SPLIT(A664, "" |"")"),330501.0)</f>
        <v>330501</v>
      </c>
      <c r="H666" s="19">
        <f>IFERROR(__xludf.DUMMYFUNCTION("""COMPUTED_VALUE"""),0.00489)</f>
        <v>0.00489</v>
      </c>
      <c r="I666" s="19" t="str">
        <f>IFERROR(__xludf.DUMMYFUNCTION("""COMPUTED_VALUE"""),"-")</f>
        <v>-</v>
      </c>
      <c r="J666" s="19">
        <f>IFERROR(__xludf.DUMMYFUNCTION("""COMPUTED_VALUE"""),0.01971)</f>
        <v>0.01971</v>
      </c>
      <c r="K666" s="19">
        <f>IFERROR(__xludf.DUMMYFUNCTION("""COMPUTED_VALUE"""),0.12754)</f>
        <v>0.12754</v>
      </c>
      <c r="L666" s="19" t="str">
        <f>IFERROR(__xludf.DUMMYFUNCTION("""COMPUTED_VALUE"""),"-")</f>
        <v>-</v>
      </c>
      <c r="M666" s="19" t="str">
        <f>IFERROR(__xludf.DUMMYFUNCTION("""COMPUTED_VALUE"""),"-")</f>
        <v>-</v>
      </c>
    </row>
    <row r="667">
      <c r="A667" s="12" t="s">
        <v>9457</v>
      </c>
      <c r="G667" s="19">
        <f>IFERROR(__xludf.DUMMYFUNCTION("SPLIT(A665, "" |"")"),331001.0)</f>
        <v>331001</v>
      </c>
      <c r="H667" s="19">
        <f>IFERROR(__xludf.DUMMYFUNCTION("""COMPUTED_VALUE"""),0.00489)</f>
        <v>0.00489</v>
      </c>
      <c r="I667" s="19" t="str">
        <f>IFERROR(__xludf.DUMMYFUNCTION("""COMPUTED_VALUE"""),"-")</f>
        <v>-</v>
      </c>
      <c r="J667" s="19">
        <f>IFERROR(__xludf.DUMMYFUNCTION("""COMPUTED_VALUE"""),0.01962)</f>
        <v>0.01962</v>
      </c>
      <c r="K667" s="19">
        <f>IFERROR(__xludf.DUMMYFUNCTION("""COMPUTED_VALUE"""),0.13197)</f>
        <v>0.13197</v>
      </c>
      <c r="L667" s="19" t="str">
        <f>IFERROR(__xludf.DUMMYFUNCTION("""COMPUTED_VALUE"""),"-")</f>
        <v>-</v>
      </c>
      <c r="M667" s="19" t="str">
        <f>IFERROR(__xludf.DUMMYFUNCTION("""COMPUTED_VALUE"""),"-")</f>
        <v>-</v>
      </c>
    </row>
    <row r="668">
      <c r="A668" s="12" t="s">
        <v>9458</v>
      </c>
      <c r="G668" s="19">
        <f>IFERROR(__xludf.DUMMYFUNCTION("SPLIT(A666, "" |"")"),331501.0)</f>
        <v>331501</v>
      </c>
      <c r="H668" s="19">
        <f>IFERROR(__xludf.DUMMYFUNCTION("""COMPUTED_VALUE"""),0.00482)</f>
        <v>0.00482</v>
      </c>
      <c r="I668" s="19" t="str">
        <f>IFERROR(__xludf.DUMMYFUNCTION("""COMPUTED_VALUE"""),"-")</f>
        <v>-</v>
      </c>
      <c r="J668" s="19">
        <f>IFERROR(__xludf.DUMMYFUNCTION("""COMPUTED_VALUE"""),0.01981)</f>
        <v>0.01981</v>
      </c>
      <c r="K668" s="19">
        <f>IFERROR(__xludf.DUMMYFUNCTION("""COMPUTED_VALUE"""),0.13196)</f>
        <v>0.13196</v>
      </c>
      <c r="L668" s="19" t="str">
        <f>IFERROR(__xludf.DUMMYFUNCTION("""COMPUTED_VALUE"""),"-")</f>
        <v>-</v>
      </c>
      <c r="M668" s="19" t="str">
        <f>IFERROR(__xludf.DUMMYFUNCTION("""COMPUTED_VALUE"""),"-")</f>
        <v>-</v>
      </c>
    </row>
    <row r="669">
      <c r="A669" s="12" t="s">
        <v>9459</v>
      </c>
      <c r="G669" s="19">
        <f>IFERROR(__xludf.DUMMYFUNCTION("SPLIT(A667, "" |"")"),332001.0)</f>
        <v>332001</v>
      </c>
      <c r="H669" s="19">
        <f>IFERROR(__xludf.DUMMYFUNCTION("""COMPUTED_VALUE"""),0.00481)</f>
        <v>0.00481</v>
      </c>
      <c r="I669" s="19" t="str">
        <f>IFERROR(__xludf.DUMMYFUNCTION("""COMPUTED_VALUE"""),"-")</f>
        <v>-</v>
      </c>
      <c r="J669" s="19">
        <f>IFERROR(__xludf.DUMMYFUNCTION("""COMPUTED_VALUE"""),0.01968)</f>
        <v>0.01968</v>
      </c>
      <c r="K669" s="19">
        <f>IFERROR(__xludf.DUMMYFUNCTION("""COMPUTED_VALUE"""),0.13186)</f>
        <v>0.13186</v>
      </c>
      <c r="L669" s="19" t="str">
        <f>IFERROR(__xludf.DUMMYFUNCTION("""COMPUTED_VALUE"""),"-")</f>
        <v>-</v>
      </c>
      <c r="M669" s="19" t="str">
        <f>IFERROR(__xludf.DUMMYFUNCTION("""COMPUTED_VALUE"""),"-")</f>
        <v>-</v>
      </c>
    </row>
    <row r="670">
      <c r="A670" s="12" t="s">
        <v>9460</v>
      </c>
      <c r="G670" s="19">
        <f>IFERROR(__xludf.DUMMYFUNCTION("SPLIT(A668, "" |"")"),332501.0)</f>
        <v>332501</v>
      </c>
      <c r="H670" s="19">
        <f>IFERROR(__xludf.DUMMYFUNCTION("""COMPUTED_VALUE"""),0.00481)</f>
        <v>0.00481</v>
      </c>
      <c r="I670" s="19" t="str">
        <f>IFERROR(__xludf.DUMMYFUNCTION("""COMPUTED_VALUE"""),"-")</f>
        <v>-</v>
      </c>
      <c r="J670" s="19">
        <f>IFERROR(__xludf.DUMMYFUNCTION("""COMPUTED_VALUE"""),0.01963)</f>
        <v>0.01963</v>
      </c>
      <c r="K670" s="19">
        <f>IFERROR(__xludf.DUMMYFUNCTION("""COMPUTED_VALUE"""),0.13126)</f>
        <v>0.13126</v>
      </c>
      <c r="L670" s="19" t="str">
        <f>IFERROR(__xludf.DUMMYFUNCTION("""COMPUTED_VALUE"""),"-")</f>
        <v>-</v>
      </c>
      <c r="M670" s="19" t="str">
        <f>IFERROR(__xludf.DUMMYFUNCTION("""COMPUTED_VALUE"""),"-")</f>
        <v>-</v>
      </c>
    </row>
    <row r="671">
      <c r="A671" s="12" t="s">
        <v>9461</v>
      </c>
      <c r="G671" s="19">
        <f>IFERROR(__xludf.DUMMYFUNCTION("SPLIT(A669, "" |"")"),333001.0)</f>
        <v>333001</v>
      </c>
      <c r="H671" s="19">
        <f>IFERROR(__xludf.DUMMYFUNCTION("""COMPUTED_VALUE"""),0.0047)</f>
        <v>0.0047</v>
      </c>
      <c r="I671" s="19" t="str">
        <f>IFERROR(__xludf.DUMMYFUNCTION("""COMPUTED_VALUE"""),"-")</f>
        <v>-</v>
      </c>
      <c r="J671" s="19">
        <f>IFERROR(__xludf.DUMMYFUNCTION("""COMPUTED_VALUE"""),0.01974)</f>
        <v>0.01974</v>
      </c>
      <c r="K671" s="19">
        <f>IFERROR(__xludf.DUMMYFUNCTION("""COMPUTED_VALUE"""),0.13189)</f>
        <v>0.13189</v>
      </c>
      <c r="L671" s="19" t="str">
        <f>IFERROR(__xludf.DUMMYFUNCTION("""COMPUTED_VALUE"""),"-")</f>
        <v>-</v>
      </c>
      <c r="M671" s="19" t="str">
        <f>IFERROR(__xludf.DUMMYFUNCTION("""COMPUTED_VALUE"""),"-")</f>
        <v>-</v>
      </c>
    </row>
    <row r="672">
      <c r="A672" s="12" t="s">
        <v>9462</v>
      </c>
      <c r="G672" s="19">
        <f>IFERROR(__xludf.DUMMYFUNCTION("SPLIT(A670, "" |"")"),333501.0)</f>
        <v>333501</v>
      </c>
      <c r="H672" s="19">
        <f>IFERROR(__xludf.DUMMYFUNCTION("""COMPUTED_VALUE"""),0.00477)</f>
        <v>0.00477</v>
      </c>
      <c r="I672" s="19" t="str">
        <f>IFERROR(__xludf.DUMMYFUNCTION("""COMPUTED_VALUE"""),"-")</f>
        <v>-</v>
      </c>
      <c r="J672" s="19">
        <f>IFERROR(__xludf.DUMMYFUNCTION("""COMPUTED_VALUE"""),0.01964)</f>
        <v>0.01964</v>
      </c>
      <c r="K672" s="19">
        <f>IFERROR(__xludf.DUMMYFUNCTION("""COMPUTED_VALUE"""),0.13201)</f>
        <v>0.13201</v>
      </c>
      <c r="L672" s="19" t="str">
        <f>IFERROR(__xludf.DUMMYFUNCTION("""COMPUTED_VALUE"""),"-")</f>
        <v>-</v>
      </c>
      <c r="M672" s="19" t="str">
        <f>IFERROR(__xludf.DUMMYFUNCTION("""COMPUTED_VALUE"""),"-")</f>
        <v>-</v>
      </c>
    </row>
    <row r="673">
      <c r="A673" s="12" t="s">
        <v>9463</v>
      </c>
      <c r="G673" s="19">
        <f>IFERROR(__xludf.DUMMYFUNCTION("SPLIT(A671, "" |"")"),334001.0)</f>
        <v>334001</v>
      </c>
      <c r="H673" s="19">
        <f>IFERROR(__xludf.DUMMYFUNCTION("""COMPUTED_VALUE"""),0.00482)</f>
        <v>0.00482</v>
      </c>
      <c r="I673" s="19" t="str">
        <f>IFERROR(__xludf.DUMMYFUNCTION("""COMPUTED_VALUE"""),"-")</f>
        <v>-</v>
      </c>
      <c r="J673" s="19">
        <f>IFERROR(__xludf.DUMMYFUNCTION("""COMPUTED_VALUE"""),0.01705)</f>
        <v>0.01705</v>
      </c>
      <c r="K673" s="19">
        <f>IFERROR(__xludf.DUMMYFUNCTION("""COMPUTED_VALUE"""),0.1307)</f>
        <v>0.1307</v>
      </c>
      <c r="L673" s="19" t="str">
        <f>IFERROR(__xludf.DUMMYFUNCTION("""COMPUTED_VALUE"""),"-")</f>
        <v>-</v>
      </c>
      <c r="M673" s="19" t="str">
        <f>IFERROR(__xludf.DUMMYFUNCTION("""COMPUTED_VALUE"""),"-")</f>
        <v>-</v>
      </c>
    </row>
    <row r="674">
      <c r="A674" s="12" t="s">
        <v>9464</v>
      </c>
      <c r="G674" s="19">
        <f>IFERROR(__xludf.DUMMYFUNCTION("SPLIT(A672, "" |"")"),334501.0)</f>
        <v>334501</v>
      </c>
      <c r="H674" s="19">
        <f>IFERROR(__xludf.DUMMYFUNCTION("""COMPUTED_VALUE"""),0.00483)</f>
        <v>0.00483</v>
      </c>
      <c r="I674" s="19" t="str">
        <f>IFERROR(__xludf.DUMMYFUNCTION("""COMPUTED_VALUE"""),"-")</f>
        <v>-</v>
      </c>
      <c r="J674" s="19">
        <f>IFERROR(__xludf.DUMMYFUNCTION("""COMPUTED_VALUE"""),0.01955)</f>
        <v>0.01955</v>
      </c>
      <c r="K674" s="19">
        <f>IFERROR(__xludf.DUMMYFUNCTION("""COMPUTED_VALUE"""),0.13186)</f>
        <v>0.13186</v>
      </c>
      <c r="L674" s="19" t="str">
        <f>IFERROR(__xludf.DUMMYFUNCTION("""COMPUTED_VALUE"""),"-")</f>
        <v>-</v>
      </c>
      <c r="M674" s="19" t="str">
        <f>IFERROR(__xludf.DUMMYFUNCTION("""COMPUTED_VALUE"""),"-")</f>
        <v>-</v>
      </c>
    </row>
    <row r="675">
      <c r="A675" s="12" t="s">
        <v>9465</v>
      </c>
      <c r="G675" s="19">
        <f>IFERROR(__xludf.DUMMYFUNCTION("SPLIT(A673, "" |"")"),335001.0)</f>
        <v>335001</v>
      </c>
      <c r="H675" s="19">
        <f>IFERROR(__xludf.DUMMYFUNCTION("""COMPUTED_VALUE"""),0.00487)</f>
        <v>0.00487</v>
      </c>
      <c r="I675" s="19" t="str">
        <f>IFERROR(__xludf.DUMMYFUNCTION("""COMPUTED_VALUE"""),"-")</f>
        <v>-</v>
      </c>
      <c r="J675" s="19">
        <f>IFERROR(__xludf.DUMMYFUNCTION("""COMPUTED_VALUE"""),0.01988)</f>
        <v>0.01988</v>
      </c>
      <c r="K675" s="19">
        <f>IFERROR(__xludf.DUMMYFUNCTION("""COMPUTED_VALUE"""),0.12383)</f>
        <v>0.12383</v>
      </c>
      <c r="L675" s="19" t="str">
        <f>IFERROR(__xludf.DUMMYFUNCTION("""COMPUTED_VALUE"""),"-")</f>
        <v>-</v>
      </c>
      <c r="M675" s="19" t="str">
        <f>IFERROR(__xludf.DUMMYFUNCTION("""COMPUTED_VALUE"""),"-")</f>
        <v>-</v>
      </c>
    </row>
    <row r="676">
      <c r="A676" s="12" t="s">
        <v>9466</v>
      </c>
      <c r="G676" s="19">
        <f>IFERROR(__xludf.DUMMYFUNCTION("SPLIT(A674, "" |"")"),335501.0)</f>
        <v>335501</v>
      </c>
      <c r="H676" s="19">
        <f>IFERROR(__xludf.DUMMYFUNCTION("""COMPUTED_VALUE"""),0.00466)</f>
        <v>0.00466</v>
      </c>
      <c r="I676" s="19" t="str">
        <f>IFERROR(__xludf.DUMMYFUNCTION("""COMPUTED_VALUE"""),"-")</f>
        <v>-</v>
      </c>
      <c r="J676" s="19">
        <f>IFERROR(__xludf.DUMMYFUNCTION("""COMPUTED_VALUE"""),0.01967)</f>
        <v>0.01967</v>
      </c>
      <c r="K676" s="19">
        <f>IFERROR(__xludf.DUMMYFUNCTION("""COMPUTED_VALUE"""),0.12801)</f>
        <v>0.12801</v>
      </c>
      <c r="L676" s="19" t="str">
        <f>IFERROR(__xludf.DUMMYFUNCTION("""COMPUTED_VALUE"""),"-")</f>
        <v>-</v>
      </c>
      <c r="M676" s="19" t="str">
        <f>IFERROR(__xludf.DUMMYFUNCTION("""COMPUTED_VALUE"""),"-")</f>
        <v>-</v>
      </c>
    </row>
    <row r="677">
      <c r="A677" s="12" t="s">
        <v>9467</v>
      </c>
      <c r="G677" s="19">
        <f>IFERROR(__xludf.DUMMYFUNCTION("SPLIT(A675, "" |"")"),336001.0)</f>
        <v>336001</v>
      </c>
      <c r="H677" s="19">
        <f>IFERROR(__xludf.DUMMYFUNCTION("""COMPUTED_VALUE"""),0.00564)</f>
        <v>0.00564</v>
      </c>
      <c r="I677" s="19" t="str">
        <f>IFERROR(__xludf.DUMMYFUNCTION("""COMPUTED_VALUE"""),"-")</f>
        <v>-</v>
      </c>
      <c r="J677" s="19">
        <f>IFERROR(__xludf.DUMMYFUNCTION("""COMPUTED_VALUE"""),0.01957)</f>
        <v>0.01957</v>
      </c>
      <c r="K677" s="19">
        <f>IFERROR(__xludf.DUMMYFUNCTION("""COMPUTED_VALUE"""),0.13186)</f>
        <v>0.13186</v>
      </c>
      <c r="L677" s="19" t="str">
        <f>IFERROR(__xludf.DUMMYFUNCTION("""COMPUTED_VALUE"""),"-")</f>
        <v>-</v>
      </c>
      <c r="M677" s="19" t="str">
        <f>IFERROR(__xludf.DUMMYFUNCTION("""COMPUTED_VALUE"""),"-")</f>
        <v>-</v>
      </c>
    </row>
    <row r="678">
      <c r="A678" s="12" t="s">
        <v>9468</v>
      </c>
      <c r="G678" s="19">
        <f>IFERROR(__xludf.DUMMYFUNCTION("SPLIT(A676, "" |"")"),336501.0)</f>
        <v>336501</v>
      </c>
      <c r="H678" s="19">
        <f>IFERROR(__xludf.DUMMYFUNCTION("""COMPUTED_VALUE"""),0.00454)</f>
        <v>0.00454</v>
      </c>
      <c r="I678" s="19" t="str">
        <f>IFERROR(__xludf.DUMMYFUNCTION("""COMPUTED_VALUE"""),"-")</f>
        <v>-</v>
      </c>
      <c r="J678" s="19">
        <f>IFERROR(__xludf.DUMMYFUNCTION("""COMPUTED_VALUE"""),0.01946)</f>
        <v>0.01946</v>
      </c>
      <c r="K678" s="19">
        <f>IFERROR(__xludf.DUMMYFUNCTION("""COMPUTED_VALUE"""),0.12778)</f>
        <v>0.12778</v>
      </c>
      <c r="L678" s="19" t="str">
        <f>IFERROR(__xludf.DUMMYFUNCTION("""COMPUTED_VALUE"""),"-")</f>
        <v>-</v>
      </c>
      <c r="M678" s="19" t="str">
        <f>IFERROR(__xludf.DUMMYFUNCTION("""COMPUTED_VALUE"""),"-")</f>
        <v>-</v>
      </c>
    </row>
    <row r="679">
      <c r="A679" s="12" t="s">
        <v>9469</v>
      </c>
      <c r="G679" s="19">
        <f>IFERROR(__xludf.DUMMYFUNCTION("SPLIT(A677, "" |"")"),337001.0)</f>
        <v>337001</v>
      </c>
      <c r="H679" s="19">
        <f>IFERROR(__xludf.DUMMYFUNCTION("""COMPUTED_VALUE"""),0.00469)</f>
        <v>0.00469</v>
      </c>
      <c r="I679" s="19" t="str">
        <f>IFERROR(__xludf.DUMMYFUNCTION("""COMPUTED_VALUE"""),"-")</f>
        <v>-</v>
      </c>
      <c r="J679" s="19">
        <f>IFERROR(__xludf.DUMMYFUNCTION("""COMPUTED_VALUE"""),0.01975)</f>
        <v>0.01975</v>
      </c>
      <c r="K679" s="19">
        <f>IFERROR(__xludf.DUMMYFUNCTION("""COMPUTED_VALUE"""),0.13111)</f>
        <v>0.13111</v>
      </c>
      <c r="L679" s="19" t="str">
        <f>IFERROR(__xludf.DUMMYFUNCTION("""COMPUTED_VALUE"""),"-")</f>
        <v>-</v>
      </c>
      <c r="M679" s="19" t="str">
        <f>IFERROR(__xludf.DUMMYFUNCTION("""COMPUTED_VALUE"""),"-")</f>
        <v>-</v>
      </c>
    </row>
    <row r="680">
      <c r="A680" s="12" t="s">
        <v>9470</v>
      </c>
      <c r="G680" s="19">
        <f>IFERROR(__xludf.DUMMYFUNCTION("SPLIT(A678, "" |"")"),337501.0)</f>
        <v>337501</v>
      </c>
      <c r="H680" s="19">
        <f>IFERROR(__xludf.DUMMYFUNCTION("""COMPUTED_VALUE"""),0.00471)</f>
        <v>0.00471</v>
      </c>
      <c r="I680" s="19" t="str">
        <f>IFERROR(__xludf.DUMMYFUNCTION("""COMPUTED_VALUE"""),"-")</f>
        <v>-</v>
      </c>
      <c r="J680" s="19">
        <f>IFERROR(__xludf.DUMMYFUNCTION("""COMPUTED_VALUE"""),0.01842)</f>
        <v>0.01842</v>
      </c>
      <c r="K680" s="19">
        <f>IFERROR(__xludf.DUMMYFUNCTION("""COMPUTED_VALUE"""),0.12866)</f>
        <v>0.12866</v>
      </c>
      <c r="L680" s="19" t="str">
        <f>IFERROR(__xludf.DUMMYFUNCTION("""COMPUTED_VALUE"""),"-")</f>
        <v>-</v>
      </c>
      <c r="M680" s="19" t="str">
        <f>IFERROR(__xludf.DUMMYFUNCTION("""COMPUTED_VALUE"""),"-")</f>
        <v>-</v>
      </c>
    </row>
    <row r="681">
      <c r="A681" s="12" t="s">
        <v>9471</v>
      </c>
      <c r="G681" s="19">
        <f>IFERROR(__xludf.DUMMYFUNCTION("SPLIT(A679, "" |"")"),338001.0)</f>
        <v>338001</v>
      </c>
      <c r="H681" s="19">
        <f>IFERROR(__xludf.DUMMYFUNCTION("""COMPUTED_VALUE"""),0.0046)</f>
        <v>0.0046</v>
      </c>
      <c r="I681" s="19" t="str">
        <f>IFERROR(__xludf.DUMMYFUNCTION("""COMPUTED_VALUE"""),"-")</f>
        <v>-</v>
      </c>
      <c r="J681" s="19">
        <f>IFERROR(__xludf.DUMMYFUNCTION("""COMPUTED_VALUE"""),0.01943)</f>
        <v>0.01943</v>
      </c>
      <c r="K681" s="19">
        <f>IFERROR(__xludf.DUMMYFUNCTION("""COMPUTED_VALUE"""),0.1291)</f>
        <v>0.1291</v>
      </c>
      <c r="L681" s="19" t="str">
        <f>IFERROR(__xludf.DUMMYFUNCTION("""COMPUTED_VALUE"""),"-")</f>
        <v>-</v>
      </c>
      <c r="M681" s="19" t="str">
        <f>IFERROR(__xludf.DUMMYFUNCTION("""COMPUTED_VALUE"""),"-")</f>
        <v>-</v>
      </c>
    </row>
    <row r="682">
      <c r="A682" s="12" t="s">
        <v>9472</v>
      </c>
      <c r="G682" s="19">
        <f>IFERROR(__xludf.DUMMYFUNCTION("SPLIT(A680, "" |"")"),338501.0)</f>
        <v>338501</v>
      </c>
      <c r="H682" s="19">
        <f>IFERROR(__xludf.DUMMYFUNCTION("""COMPUTED_VALUE"""),0.0048)</f>
        <v>0.0048</v>
      </c>
      <c r="I682" s="19" t="str">
        <f>IFERROR(__xludf.DUMMYFUNCTION("""COMPUTED_VALUE"""),"-")</f>
        <v>-</v>
      </c>
      <c r="J682" s="19">
        <f>IFERROR(__xludf.DUMMYFUNCTION("""COMPUTED_VALUE"""),0.01961)</f>
        <v>0.01961</v>
      </c>
      <c r="K682" s="19">
        <f>IFERROR(__xludf.DUMMYFUNCTION("""COMPUTED_VALUE"""),0.13176)</f>
        <v>0.13176</v>
      </c>
      <c r="L682" s="19" t="str">
        <f>IFERROR(__xludf.DUMMYFUNCTION("""COMPUTED_VALUE"""),"-")</f>
        <v>-</v>
      </c>
      <c r="M682" s="19" t="str">
        <f>IFERROR(__xludf.DUMMYFUNCTION("""COMPUTED_VALUE"""),"-")</f>
        <v>-</v>
      </c>
    </row>
    <row r="683">
      <c r="A683" s="12" t="s">
        <v>9473</v>
      </c>
      <c r="G683" s="19">
        <f>IFERROR(__xludf.DUMMYFUNCTION("SPLIT(A681, "" |"")"),339001.0)</f>
        <v>339001</v>
      </c>
      <c r="H683" s="19">
        <f>IFERROR(__xludf.DUMMYFUNCTION("""COMPUTED_VALUE"""),0.00465)</f>
        <v>0.00465</v>
      </c>
      <c r="I683" s="19" t="str">
        <f>IFERROR(__xludf.DUMMYFUNCTION("""COMPUTED_VALUE"""),"-")</f>
        <v>-</v>
      </c>
      <c r="J683" s="19">
        <f>IFERROR(__xludf.DUMMYFUNCTION("""COMPUTED_VALUE"""),0.0195)</f>
        <v>0.0195</v>
      </c>
      <c r="K683" s="19">
        <f>IFERROR(__xludf.DUMMYFUNCTION("""COMPUTED_VALUE"""),0.13175)</f>
        <v>0.13175</v>
      </c>
      <c r="L683" s="19" t="str">
        <f>IFERROR(__xludf.DUMMYFUNCTION("""COMPUTED_VALUE"""),"-")</f>
        <v>-</v>
      </c>
      <c r="M683" s="19" t="str">
        <f>IFERROR(__xludf.DUMMYFUNCTION("""COMPUTED_VALUE"""),"-")</f>
        <v>-</v>
      </c>
    </row>
    <row r="684">
      <c r="A684" s="12" t="s">
        <v>9474</v>
      </c>
      <c r="G684" s="19">
        <f>IFERROR(__xludf.DUMMYFUNCTION("SPLIT(A682, "" |"")"),339501.0)</f>
        <v>339501</v>
      </c>
      <c r="H684" s="19">
        <f>IFERROR(__xludf.DUMMYFUNCTION("""COMPUTED_VALUE"""),0.0046)</f>
        <v>0.0046</v>
      </c>
      <c r="I684" s="19" t="str">
        <f>IFERROR(__xludf.DUMMYFUNCTION("""COMPUTED_VALUE"""),"-")</f>
        <v>-</v>
      </c>
      <c r="J684" s="19">
        <f>IFERROR(__xludf.DUMMYFUNCTION("""COMPUTED_VALUE"""),0.01914)</f>
        <v>0.01914</v>
      </c>
      <c r="K684" s="19">
        <f>IFERROR(__xludf.DUMMYFUNCTION("""COMPUTED_VALUE"""),0.13)</f>
        <v>0.13</v>
      </c>
      <c r="L684" s="19" t="str">
        <f>IFERROR(__xludf.DUMMYFUNCTION("""COMPUTED_VALUE"""),"-")</f>
        <v>-</v>
      </c>
      <c r="M684" s="19" t="str">
        <f>IFERROR(__xludf.DUMMYFUNCTION("""COMPUTED_VALUE"""),"-")</f>
        <v>-</v>
      </c>
    </row>
    <row r="685">
      <c r="A685" s="12" t="s">
        <v>9475</v>
      </c>
      <c r="G685" s="19">
        <f>IFERROR(__xludf.DUMMYFUNCTION("SPLIT(A683, "" |"")"),340001.0)</f>
        <v>340001</v>
      </c>
      <c r="H685" s="19">
        <f>IFERROR(__xludf.DUMMYFUNCTION("""COMPUTED_VALUE"""),0.00486)</f>
        <v>0.00486</v>
      </c>
      <c r="I685" s="19" t="str">
        <f>IFERROR(__xludf.DUMMYFUNCTION("""COMPUTED_VALUE"""),"-")</f>
        <v>-</v>
      </c>
      <c r="J685" s="19">
        <f>IFERROR(__xludf.DUMMYFUNCTION("""COMPUTED_VALUE"""),0.01974)</f>
        <v>0.01974</v>
      </c>
      <c r="K685" s="19">
        <f>IFERROR(__xludf.DUMMYFUNCTION("""COMPUTED_VALUE"""),0.13184)</f>
        <v>0.13184</v>
      </c>
      <c r="L685" s="19" t="str">
        <f>IFERROR(__xludf.DUMMYFUNCTION("""COMPUTED_VALUE"""),"-")</f>
        <v>-</v>
      </c>
      <c r="M685" s="19" t="str">
        <f>IFERROR(__xludf.DUMMYFUNCTION("""COMPUTED_VALUE"""),"-")</f>
        <v>-</v>
      </c>
    </row>
    <row r="686">
      <c r="A686" s="12" t="s">
        <v>9476</v>
      </c>
      <c r="G686" s="19">
        <f>IFERROR(__xludf.DUMMYFUNCTION("SPLIT(A684, "" |"")"),340501.0)</f>
        <v>340501</v>
      </c>
      <c r="H686" s="19">
        <f>IFERROR(__xludf.DUMMYFUNCTION("""COMPUTED_VALUE"""),0.0048)</f>
        <v>0.0048</v>
      </c>
      <c r="I686" s="19" t="str">
        <f>IFERROR(__xludf.DUMMYFUNCTION("""COMPUTED_VALUE"""),"-")</f>
        <v>-</v>
      </c>
      <c r="J686" s="19">
        <f>IFERROR(__xludf.DUMMYFUNCTION("""COMPUTED_VALUE"""),0.01958)</f>
        <v>0.01958</v>
      </c>
      <c r="K686" s="19">
        <f>IFERROR(__xludf.DUMMYFUNCTION("""COMPUTED_VALUE"""),0.1318)</f>
        <v>0.1318</v>
      </c>
      <c r="L686" s="19" t="str">
        <f>IFERROR(__xludf.DUMMYFUNCTION("""COMPUTED_VALUE"""),"-")</f>
        <v>-</v>
      </c>
      <c r="M686" s="19" t="str">
        <f>IFERROR(__xludf.DUMMYFUNCTION("""COMPUTED_VALUE"""),"-")</f>
        <v>-</v>
      </c>
    </row>
    <row r="687">
      <c r="A687" s="12" t="s">
        <v>9477</v>
      </c>
      <c r="G687" s="19">
        <f>IFERROR(__xludf.DUMMYFUNCTION("SPLIT(A685, "" |"")"),341001.0)</f>
        <v>341001</v>
      </c>
      <c r="H687" s="19">
        <f>IFERROR(__xludf.DUMMYFUNCTION("""COMPUTED_VALUE"""),0.00482)</f>
        <v>0.00482</v>
      </c>
      <c r="I687" s="19" t="str">
        <f>IFERROR(__xludf.DUMMYFUNCTION("""COMPUTED_VALUE"""),"-")</f>
        <v>-</v>
      </c>
      <c r="J687" s="19">
        <f>IFERROR(__xludf.DUMMYFUNCTION("""COMPUTED_VALUE"""),0.01974)</f>
        <v>0.01974</v>
      </c>
      <c r="K687" s="19">
        <f>IFERROR(__xludf.DUMMYFUNCTION("""COMPUTED_VALUE"""),0.13046)</f>
        <v>0.13046</v>
      </c>
      <c r="L687" s="19" t="str">
        <f>IFERROR(__xludf.DUMMYFUNCTION("""COMPUTED_VALUE"""),"-")</f>
        <v>-</v>
      </c>
      <c r="M687" s="19" t="str">
        <f>IFERROR(__xludf.DUMMYFUNCTION("""COMPUTED_VALUE"""),"-")</f>
        <v>-</v>
      </c>
    </row>
    <row r="688">
      <c r="A688" s="12" t="s">
        <v>9478</v>
      </c>
      <c r="G688" s="19">
        <f>IFERROR(__xludf.DUMMYFUNCTION("SPLIT(A686, "" |"")"),341501.0)</f>
        <v>341501</v>
      </c>
      <c r="H688" s="19">
        <f>IFERROR(__xludf.DUMMYFUNCTION("""COMPUTED_VALUE"""),0.00464)</f>
        <v>0.00464</v>
      </c>
      <c r="I688" s="19" t="str">
        <f>IFERROR(__xludf.DUMMYFUNCTION("""COMPUTED_VALUE"""),"-")</f>
        <v>-</v>
      </c>
      <c r="J688" s="19">
        <f>IFERROR(__xludf.DUMMYFUNCTION("""COMPUTED_VALUE"""),0.0195)</f>
        <v>0.0195</v>
      </c>
      <c r="K688" s="19">
        <f>IFERROR(__xludf.DUMMYFUNCTION("""COMPUTED_VALUE"""),0.13179)</f>
        <v>0.13179</v>
      </c>
      <c r="L688" s="19" t="str">
        <f>IFERROR(__xludf.DUMMYFUNCTION("""COMPUTED_VALUE"""),"-")</f>
        <v>-</v>
      </c>
      <c r="M688" s="19" t="str">
        <f>IFERROR(__xludf.DUMMYFUNCTION("""COMPUTED_VALUE"""),"-")</f>
        <v>-</v>
      </c>
    </row>
    <row r="689">
      <c r="A689" s="12" t="s">
        <v>9479</v>
      </c>
      <c r="G689" s="19">
        <f>IFERROR(__xludf.DUMMYFUNCTION("SPLIT(A687, "" |"")"),342001.0)</f>
        <v>342001</v>
      </c>
      <c r="H689" s="19">
        <f>IFERROR(__xludf.DUMMYFUNCTION("""COMPUTED_VALUE"""),0.00463)</f>
        <v>0.00463</v>
      </c>
      <c r="I689" s="19" t="str">
        <f>IFERROR(__xludf.DUMMYFUNCTION("""COMPUTED_VALUE"""),"-")</f>
        <v>-</v>
      </c>
      <c r="J689" s="19">
        <f>IFERROR(__xludf.DUMMYFUNCTION("""COMPUTED_VALUE"""),0.0195)</f>
        <v>0.0195</v>
      </c>
      <c r="K689" s="19">
        <f>IFERROR(__xludf.DUMMYFUNCTION("""COMPUTED_VALUE"""),0.13156)</f>
        <v>0.13156</v>
      </c>
      <c r="L689" s="19" t="str">
        <f>IFERROR(__xludf.DUMMYFUNCTION("""COMPUTED_VALUE"""),"-")</f>
        <v>-</v>
      </c>
      <c r="M689" s="19" t="str">
        <f>IFERROR(__xludf.DUMMYFUNCTION("""COMPUTED_VALUE"""),"-")</f>
        <v>-</v>
      </c>
    </row>
    <row r="690">
      <c r="A690" s="12" t="s">
        <v>9480</v>
      </c>
      <c r="G690" s="19">
        <f>IFERROR(__xludf.DUMMYFUNCTION("SPLIT(A688, "" |"")"),342501.0)</f>
        <v>342501</v>
      </c>
      <c r="H690" s="19">
        <f>IFERROR(__xludf.DUMMYFUNCTION("""COMPUTED_VALUE"""),0.00465)</f>
        <v>0.00465</v>
      </c>
      <c r="I690" s="19" t="str">
        <f>IFERROR(__xludf.DUMMYFUNCTION("""COMPUTED_VALUE"""),"-")</f>
        <v>-</v>
      </c>
      <c r="J690" s="19">
        <f>IFERROR(__xludf.DUMMYFUNCTION("""COMPUTED_VALUE"""),0.0195)</f>
        <v>0.0195</v>
      </c>
      <c r="K690" s="19">
        <f>IFERROR(__xludf.DUMMYFUNCTION("""COMPUTED_VALUE"""),0.13182)</f>
        <v>0.13182</v>
      </c>
      <c r="L690" s="19" t="str">
        <f>IFERROR(__xludf.DUMMYFUNCTION("""COMPUTED_VALUE"""),"-")</f>
        <v>-</v>
      </c>
      <c r="M690" s="19" t="str">
        <f>IFERROR(__xludf.DUMMYFUNCTION("""COMPUTED_VALUE"""),"-")</f>
        <v>-</v>
      </c>
    </row>
    <row r="691">
      <c r="A691" s="12" t="s">
        <v>9481</v>
      </c>
      <c r="G691" s="19">
        <f>IFERROR(__xludf.DUMMYFUNCTION("SPLIT(A689, "" |"")"),343001.0)</f>
        <v>343001</v>
      </c>
      <c r="H691" s="19">
        <f>IFERROR(__xludf.DUMMYFUNCTION("""COMPUTED_VALUE"""),0.00465)</f>
        <v>0.00465</v>
      </c>
      <c r="I691" s="19" t="str">
        <f>IFERROR(__xludf.DUMMYFUNCTION("""COMPUTED_VALUE"""),"-")</f>
        <v>-</v>
      </c>
      <c r="J691" s="19">
        <f>IFERROR(__xludf.DUMMYFUNCTION("""COMPUTED_VALUE"""),0.0195)</f>
        <v>0.0195</v>
      </c>
      <c r="K691" s="19">
        <f>IFERROR(__xludf.DUMMYFUNCTION("""COMPUTED_VALUE"""),0.13167)</f>
        <v>0.13167</v>
      </c>
      <c r="L691" s="19" t="str">
        <f>IFERROR(__xludf.DUMMYFUNCTION("""COMPUTED_VALUE"""),"-")</f>
        <v>-</v>
      </c>
      <c r="M691" s="19" t="str">
        <f>IFERROR(__xludf.DUMMYFUNCTION("""COMPUTED_VALUE"""),"-")</f>
        <v>-</v>
      </c>
    </row>
    <row r="692">
      <c r="A692" s="12" t="s">
        <v>9482</v>
      </c>
      <c r="G692" s="19">
        <f>IFERROR(__xludf.DUMMYFUNCTION("SPLIT(A690, "" |"")"),343501.0)</f>
        <v>343501</v>
      </c>
      <c r="H692" s="19">
        <f>IFERROR(__xludf.DUMMYFUNCTION("""COMPUTED_VALUE"""),0.00468)</f>
        <v>0.00468</v>
      </c>
      <c r="I692" s="19" t="str">
        <f>IFERROR(__xludf.DUMMYFUNCTION("""COMPUTED_VALUE"""),"-")</f>
        <v>-</v>
      </c>
      <c r="J692" s="19">
        <f>IFERROR(__xludf.DUMMYFUNCTION("""COMPUTED_VALUE"""),0.01988)</f>
        <v>0.01988</v>
      </c>
      <c r="K692" s="19">
        <f>IFERROR(__xludf.DUMMYFUNCTION("""COMPUTED_VALUE"""),0.12509)</f>
        <v>0.12509</v>
      </c>
      <c r="L692" s="19" t="str">
        <f>IFERROR(__xludf.DUMMYFUNCTION("""COMPUTED_VALUE"""),"-")</f>
        <v>-</v>
      </c>
      <c r="M692" s="19" t="str">
        <f>IFERROR(__xludf.DUMMYFUNCTION("""COMPUTED_VALUE"""),"-")</f>
        <v>-</v>
      </c>
    </row>
    <row r="693">
      <c r="A693" s="12" t="s">
        <v>9483</v>
      </c>
      <c r="G693" s="19">
        <f>IFERROR(__xludf.DUMMYFUNCTION("SPLIT(A691, "" |"")"),344001.0)</f>
        <v>344001</v>
      </c>
      <c r="H693" s="19">
        <f>IFERROR(__xludf.DUMMYFUNCTION("""COMPUTED_VALUE"""),0.00464)</f>
        <v>0.00464</v>
      </c>
      <c r="I693" s="19" t="str">
        <f>IFERROR(__xludf.DUMMYFUNCTION("""COMPUTED_VALUE"""),"-")</f>
        <v>-</v>
      </c>
      <c r="J693" s="19">
        <f>IFERROR(__xludf.DUMMYFUNCTION("""COMPUTED_VALUE"""),0.01903)</f>
        <v>0.01903</v>
      </c>
      <c r="K693" s="19">
        <f>IFERROR(__xludf.DUMMYFUNCTION("""COMPUTED_VALUE"""),0.12996)</f>
        <v>0.12996</v>
      </c>
      <c r="L693" s="19" t="str">
        <f>IFERROR(__xludf.DUMMYFUNCTION("""COMPUTED_VALUE"""),"-")</f>
        <v>-</v>
      </c>
      <c r="M693" s="19" t="str">
        <f>IFERROR(__xludf.DUMMYFUNCTION("""COMPUTED_VALUE"""),"-")</f>
        <v>-</v>
      </c>
    </row>
    <row r="694">
      <c r="A694" s="12" t="s">
        <v>9484</v>
      </c>
      <c r="G694" s="19">
        <f>IFERROR(__xludf.DUMMYFUNCTION("SPLIT(A692, "" |"")"),344501.0)</f>
        <v>344501</v>
      </c>
      <c r="H694" s="19">
        <f>IFERROR(__xludf.DUMMYFUNCTION("""COMPUTED_VALUE"""),0.00465)</f>
        <v>0.00465</v>
      </c>
      <c r="I694" s="19" t="str">
        <f>IFERROR(__xludf.DUMMYFUNCTION("""COMPUTED_VALUE"""),"-")</f>
        <v>-</v>
      </c>
      <c r="J694" s="19">
        <f>IFERROR(__xludf.DUMMYFUNCTION("""COMPUTED_VALUE"""),0.01952)</f>
        <v>0.01952</v>
      </c>
      <c r="K694" s="19">
        <f>IFERROR(__xludf.DUMMYFUNCTION("""COMPUTED_VALUE"""),0.12782)</f>
        <v>0.12782</v>
      </c>
      <c r="L694" s="19" t="str">
        <f>IFERROR(__xludf.DUMMYFUNCTION("""COMPUTED_VALUE"""),"-")</f>
        <v>-</v>
      </c>
      <c r="M694" s="19" t="str">
        <f>IFERROR(__xludf.DUMMYFUNCTION("""COMPUTED_VALUE"""),"-")</f>
        <v>-</v>
      </c>
    </row>
    <row r="695">
      <c r="A695" s="12" t="s">
        <v>9485</v>
      </c>
      <c r="G695" s="19">
        <f>IFERROR(__xludf.DUMMYFUNCTION("SPLIT(A693, "" |"")"),345001.0)</f>
        <v>345001</v>
      </c>
      <c r="H695" s="19">
        <f>IFERROR(__xludf.DUMMYFUNCTION("""COMPUTED_VALUE"""),0.00461)</f>
        <v>0.00461</v>
      </c>
      <c r="I695" s="19" t="str">
        <f>IFERROR(__xludf.DUMMYFUNCTION("""COMPUTED_VALUE"""),"-")</f>
        <v>-</v>
      </c>
      <c r="J695" s="19">
        <f>IFERROR(__xludf.DUMMYFUNCTION("""COMPUTED_VALUE"""),0.01945)</f>
        <v>0.01945</v>
      </c>
      <c r="K695" s="19">
        <f>IFERROR(__xludf.DUMMYFUNCTION("""COMPUTED_VALUE"""),0.12998)</f>
        <v>0.12998</v>
      </c>
      <c r="L695" s="19" t="str">
        <f>IFERROR(__xludf.DUMMYFUNCTION("""COMPUTED_VALUE"""),"-")</f>
        <v>-</v>
      </c>
      <c r="M695" s="19" t="str">
        <f>IFERROR(__xludf.DUMMYFUNCTION("""COMPUTED_VALUE"""),"-")</f>
        <v>-</v>
      </c>
    </row>
    <row r="696">
      <c r="A696" s="12" t="s">
        <v>9486</v>
      </c>
      <c r="G696" s="19">
        <f>IFERROR(__xludf.DUMMYFUNCTION("SPLIT(A694, "" |"")"),345501.0)</f>
        <v>345501</v>
      </c>
      <c r="H696" s="19">
        <f>IFERROR(__xludf.DUMMYFUNCTION("""COMPUTED_VALUE"""),0.00463)</f>
        <v>0.00463</v>
      </c>
      <c r="I696" s="19" t="str">
        <f>IFERROR(__xludf.DUMMYFUNCTION("""COMPUTED_VALUE"""),"-")</f>
        <v>-</v>
      </c>
      <c r="J696" s="19">
        <f>IFERROR(__xludf.DUMMYFUNCTION("""COMPUTED_VALUE"""),0.0195)</f>
        <v>0.0195</v>
      </c>
      <c r="K696" s="19">
        <f>IFERROR(__xludf.DUMMYFUNCTION("""COMPUTED_VALUE"""),0.12189)</f>
        <v>0.12189</v>
      </c>
      <c r="L696" s="19" t="str">
        <f>IFERROR(__xludf.DUMMYFUNCTION("""COMPUTED_VALUE"""),"-")</f>
        <v>-</v>
      </c>
      <c r="M696" s="19" t="str">
        <f>IFERROR(__xludf.DUMMYFUNCTION("""COMPUTED_VALUE"""),"-")</f>
        <v>-</v>
      </c>
    </row>
    <row r="697">
      <c r="A697" s="12" t="s">
        <v>9487</v>
      </c>
      <c r="G697" s="19">
        <f>IFERROR(__xludf.DUMMYFUNCTION("SPLIT(A695, "" |"")"),346001.0)</f>
        <v>346001</v>
      </c>
      <c r="H697" s="19">
        <f>IFERROR(__xludf.DUMMYFUNCTION("""COMPUTED_VALUE"""),0.0046)</f>
        <v>0.0046</v>
      </c>
      <c r="I697" s="19" t="str">
        <f>IFERROR(__xludf.DUMMYFUNCTION("""COMPUTED_VALUE"""),"-")</f>
        <v>-</v>
      </c>
      <c r="J697" s="19">
        <f>IFERROR(__xludf.DUMMYFUNCTION("""COMPUTED_VALUE"""),0.01944)</f>
        <v>0.01944</v>
      </c>
      <c r="K697" s="19">
        <f>IFERROR(__xludf.DUMMYFUNCTION("""COMPUTED_VALUE"""),0.12982)</f>
        <v>0.12982</v>
      </c>
      <c r="L697" s="19" t="str">
        <f>IFERROR(__xludf.DUMMYFUNCTION("""COMPUTED_VALUE"""),"-")</f>
        <v>-</v>
      </c>
      <c r="M697" s="19" t="str">
        <f>IFERROR(__xludf.DUMMYFUNCTION("""COMPUTED_VALUE"""),"-")</f>
        <v>-</v>
      </c>
    </row>
    <row r="698">
      <c r="A698" s="12" t="s">
        <v>9488</v>
      </c>
      <c r="G698" s="19">
        <f>IFERROR(__xludf.DUMMYFUNCTION("SPLIT(A696, "" |"")"),346501.0)</f>
        <v>346501</v>
      </c>
      <c r="H698" s="19">
        <f>IFERROR(__xludf.DUMMYFUNCTION("""COMPUTED_VALUE"""),0.00469)</f>
        <v>0.00469</v>
      </c>
      <c r="I698" s="19" t="str">
        <f>IFERROR(__xludf.DUMMYFUNCTION("""COMPUTED_VALUE"""),"-")</f>
        <v>-</v>
      </c>
      <c r="J698" s="19">
        <f>IFERROR(__xludf.DUMMYFUNCTION("""COMPUTED_VALUE"""),0.0195)</f>
        <v>0.0195</v>
      </c>
      <c r="K698" s="19">
        <f>IFERROR(__xludf.DUMMYFUNCTION("""COMPUTED_VALUE"""),0.13089)</f>
        <v>0.13089</v>
      </c>
      <c r="L698" s="19" t="str">
        <f>IFERROR(__xludf.DUMMYFUNCTION("""COMPUTED_VALUE"""),"-")</f>
        <v>-</v>
      </c>
      <c r="M698" s="19" t="str">
        <f>IFERROR(__xludf.DUMMYFUNCTION("""COMPUTED_VALUE"""),"-")</f>
        <v>-</v>
      </c>
    </row>
    <row r="699">
      <c r="A699" s="12" t="s">
        <v>9489</v>
      </c>
      <c r="G699" s="19">
        <f>IFERROR(__xludf.DUMMYFUNCTION("SPLIT(A697, "" |"")"),347001.0)</f>
        <v>347001</v>
      </c>
      <c r="H699" s="19">
        <f>IFERROR(__xludf.DUMMYFUNCTION("""COMPUTED_VALUE"""),0.0046)</f>
        <v>0.0046</v>
      </c>
      <c r="I699" s="19" t="str">
        <f>IFERROR(__xludf.DUMMYFUNCTION("""COMPUTED_VALUE"""),"-")</f>
        <v>-</v>
      </c>
      <c r="J699" s="19">
        <f>IFERROR(__xludf.DUMMYFUNCTION("""COMPUTED_VALUE"""),0.01861)</f>
        <v>0.01861</v>
      </c>
      <c r="K699" s="19">
        <f>IFERROR(__xludf.DUMMYFUNCTION("""COMPUTED_VALUE"""),0.13032)</f>
        <v>0.13032</v>
      </c>
      <c r="L699" s="19" t="str">
        <f>IFERROR(__xludf.DUMMYFUNCTION("""COMPUTED_VALUE"""),"-")</f>
        <v>-</v>
      </c>
      <c r="M699" s="19" t="str">
        <f>IFERROR(__xludf.DUMMYFUNCTION("""COMPUTED_VALUE"""),"-")</f>
        <v>-</v>
      </c>
    </row>
    <row r="700">
      <c r="A700" s="12" t="s">
        <v>9490</v>
      </c>
      <c r="G700" s="19">
        <f>IFERROR(__xludf.DUMMYFUNCTION("SPLIT(A698, "" |"")"),347501.0)</f>
        <v>347501</v>
      </c>
      <c r="H700" s="19">
        <f>IFERROR(__xludf.DUMMYFUNCTION("""COMPUTED_VALUE"""),0.00488)</f>
        <v>0.00488</v>
      </c>
      <c r="I700" s="19" t="str">
        <f>IFERROR(__xludf.DUMMYFUNCTION("""COMPUTED_VALUE"""),"-")</f>
        <v>-</v>
      </c>
      <c r="J700" s="19">
        <f>IFERROR(__xludf.DUMMYFUNCTION("""COMPUTED_VALUE"""),0.02002)</f>
        <v>0.02002</v>
      </c>
      <c r="K700" s="19">
        <f>IFERROR(__xludf.DUMMYFUNCTION("""COMPUTED_VALUE"""),0.12757)</f>
        <v>0.12757</v>
      </c>
      <c r="L700" s="19" t="str">
        <f>IFERROR(__xludf.DUMMYFUNCTION("""COMPUTED_VALUE"""),"-")</f>
        <v>-</v>
      </c>
      <c r="M700" s="19" t="str">
        <f>IFERROR(__xludf.DUMMYFUNCTION("""COMPUTED_VALUE"""),"-")</f>
        <v>-</v>
      </c>
    </row>
    <row r="701">
      <c r="A701" s="12" t="s">
        <v>9491</v>
      </c>
      <c r="G701" s="19">
        <f>IFERROR(__xludf.DUMMYFUNCTION("SPLIT(A699, "" |"")"),348001.0)</f>
        <v>348001</v>
      </c>
      <c r="H701" s="19">
        <f>IFERROR(__xludf.DUMMYFUNCTION("""COMPUTED_VALUE"""),0.00459)</f>
        <v>0.00459</v>
      </c>
      <c r="I701" s="19" t="str">
        <f>IFERROR(__xludf.DUMMYFUNCTION("""COMPUTED_VALUE"""),"-")</f>
        <v>-</v>
      </c>
      <c r="J701" s="19">
        <f>IFERROR(__xludf.DUMMYFUNCTION("""COMPUTED_VALUE"""),0.01779)</f>
        <v>0.01779</v>
      </c>
      <c r="K701" s="19">
        <f>IFERROR(__xludf.DUMMYFUNCTION("""COMPUTED_VALUE"""),0.1278)</f>
        <v>0.1278</v>
      </c>
      <c r="L701" s="19" t="str">
        <f>IFERROR(__xludf.DUMMYFUNCTION("""COMPUTED_VALUE"""),"-")</f>
        <v>-</v>
      </c>
      <c r="M701" s="19" t="str">
        <f>IFERROR(__xludf.DUMMYFUNCTION("""COMPUTED_VALUE"""),"-")</f>
        <v>-</v>
      </c>
    </row>
    <row r="702">
      <c r="A702" s="12" t="s">
        <v>9492</v>
      </c>
      <c r="G702" s="19">
        <f>IFERROR(__xludf.DUMMYFUNCTION("SPLIT(A700, "" |"")"),348501.0)</f>
        <v>348501</v>
      </c>
      <c r="H702" s="19">
        <f>IFERROR(__xludf.DUMMYFUNCTION("""COMPUTED_VALUE"""),0.00474)</f>
        <v>0.00474</v>
      </c>
      <c r="I702" s="19" t="str">
        <f>IFERROR(__xludf.DUMMYFUNCTION("""COMPUTED_VALUE"""),"-")</f>
        <v>-</v>
      </c>
      <c r="J702" s="19">
        <f>IFERROR(__xludf.DUMMYFUNCTION("""COMPUTED_VALUE"""),0.01932)</f>
        <v>0.01932</v>
      </c>
      <c r="K702" s="19">
        <f>IFERROR(__xludf.DUMMYFUNCTION("""COMPUTED_VALUE"""),0.12513)</f>
        <v>0.12513</v>
      </c>
      <c r="L702" s="19" t="str">
        <f>IFERROR(__xludf.DUMMYFUNCTION("""COMPUTED_VALUE"""),"-")</f>
        <v>-</v>
      </c>
      <c r="M702" s="19" t="str">
        <f>IFERROR(__xludf.DUMMYFUNCTION("""COMPUTED_VALUE"""),"-")</f>
        <v>-</v>
      </c>
    </row>
    <row r="703">
      <c r="A703" s="12" t="s">
        <v>9493</v>
      </c>
      <c r="G703" s="19">
        <f>IFERROR(__xludf.DUMMYFUNCTION("SPLIT(A701, "" |"")"),349001.0)</f>
        <v>349001</v>
      </c>
      <c r="H703" s="19">
        <f>IFERROR(__xludf.DUMMYFUNCTION("""COMPUTED_VALUE"""),0.00468)</f>
        <v>0.00468</v>
      </c>
      <c r="I703" s="19" t="str">
        <f>IFERROR(__xludf.DUMMYFUNCTION("""COMPUTED_VALUE"""),"-")</f>
        <v>-</v>
      </c>
      <c r="J703" s="19">
        <f>IFERROR(__xludf.DUMMYFUNCTION("""COMPUTED_VALUE"""),0.01966)</f>
        <v>0.01966</v>
      </c>
      <c r="K703" s="19">
        <f>IFERROR(__xludf.DUMMYFUNCTION("""COMPUTED_VALUE"""),0.13193)</f>
        <v>0.13193</v>
      </c>
      <c r="L703" s="19" t="str">
        <f>IFERROR(__xludf.DUMMYFUNCTION("""COMPUTED_VALUE"""),"-")</f>
        <v>-</v>
      </c>
      <c r="M703" s="19" t="str">
        <f>IFERROR(__xludf.DUMMYFUNCTION("""COMPUTED_VALUE"""),"-")</f>
        <v>-</v>
      </c>
    </row>
    <row r="704">
      <c r="A704" s="12" t="s">
        <v>9494</v>
      </c>
      <c r="G704" s="19">
        <f>IFERROR(__xludf.DUMMYFUNCTION("SPLIT(A702, "" |"")"),349501.0)</f>
        <v>349501</v>
      </c>
      <c r="H704" s="19">
        <f>IFERROR(__xludf.DUMMYFUNCTION("""COMPUTED_VALUE"""),0.00471)</f>
        <v>0.00471</v>
      </c>
      <c r="I704" s="19" t="str">
        <f>IFERROR(__xludf.DUMMYFUNCTION("""COMPUTED_VALUE"""),"-")</f>
        <v>-</v>
      </c>
      <c r="J704" s="19">
        <f>IFERROR(__xludf.DUMMYFUNCTION("""COMPUTED_VALUE"""),0.01963)</f>
        <v>0.01963</v>
      </c>
      <c r="K704" s="19">
        <f>IFERROR(__xludf.DUMMYFUNCTION("""COMPUTED_VALUE"""),0.13191)</f>
        <v>0.13191</v>
      </c>
      <c r="L704" s="19" t="str">
        <f>IFERROR(__xludf.DUMMYFUNCTION("""COMPUTED_VALUE"""),"-")</f>
        <v>-</v>
      </c>
      <c r="M704" s="19" t="str">
        <f>IFERROR(__xludf.DUMMYFUNCTION("""COMPUTED_VALUE"""),"-")</f>
        <v>-</v>
      </c>
    </row>
    <row r="705">
      <c r="A705" s="12" t="s">
        <v>9495</v>
      </c>
      <c r="G705" s="19">
        <f>IFERROR(__xludf.DUMMYFUNCTION("SPLIT(A703, "" |"")"),350001.0)</f>
        <v>350001</v>
      </c>
      <c r="H705" s="19">
        <f>IFERROR(__xludf.DUMMYFUNCTION("""COMPUTED_VALUE"""),0.00477)</f>
        <v>0.00477</v>
      </c>
      <c r="I705" s="19" t="str">
        <f>IFERROR(__xludf.DUMMYFUNCTION("""COMPUTED_VALUE"""),"-")</f>
        <v>-</v>
      </c>
      <c r="J705" s="19">
        <f>IFERROR(__xludf.DUMMYFUNCTION("""COMPUTED_VALUE"""),0.01959)</f>
        <v>0.01959</v>
      </c>
      <c r="K705" s="19">
        <f>IFERROR(__xludf.DUMMYFUNCTION("""COMPUTED_VALUE"""),0.13063)</f>
        <v>0.13063</v>
      </c>
      <c r="L705" s="19" t="str">
        <f>IFERROR(__xludf.DUMMYFUNCTION("""COMPUTED_VALUE"""),"-")</f>
        <v>-</v>
      </c>
      <c r="M705" s="19" t="str">
        <f>IFERROR(__xludf.DUMMYFUNCTION("""COMPUTED_VALUE"""),"-")</f>
        <v>-</v>
      </c>
    </row>
    <row r="706">
      <c r="A706" s="12" t="s">
        <v>9496</v>
      </c>
      <c r="G706" s="19">
        <f>IFERROR(__xludf.DUMMYFUNCTION("SPLIT(A704, "" |"")"),350501.0)</f>
        <v>350501</v>
      </c>
      <c r="H706" s="19">
        <f>IFERROR(__xludf.DUMMYFUNCTION("""COMPUTED_VALUE"""),0.00484)</f>
        <v>0.00484</v>
      </c>
      <c r="I706" s="19" t="str">
        <f>IFERROR(__xludf.DUMMYFUNCTION("""COMPUTED_VALUE"""),"-")</f>
        <v>-</v>
      </c>
      <c r="J706" s="19">
        <f>IFERROR(__xludf.DUMMYFUNCTION("""COMPUTED_VALUE"""),0.01854)</f>
        <v>0.01854</v>
      </c>
      <c r="K706" s="19">
        <f>IFERROR(__xludf.DUMMYFUNCTION("""COMPUTED_VALUE"""),0.13095)</f>
        <v>0.13095</v>
      </c>
      <c r="L706" s="19" t="str">
        <f>IFERROR(__xludf.DUMMYFUNCTION("""COMPUTED_VALUE"""),"-")</f>
        <v>-</v>
      </c>
      <c r="M706" s="19" t="str">
        <f>IFERROR(__xludf.DUMMYFUNCTION("""COMPUTED_VALUE"""),"-")</f>
        <v>-</v>
      </c>
    </row>
    <row r="707">
      <c r="A707" s="12" t="s">
        <v>9497</v>
      </c>
      <c r="G707" s="19">
        <f>IFERROR(__xludf.DUMMYFUNCTION("SPLIT(A705, "" |"")"),351001.0)</f>
        <v>351001</v>
      </c>
      <c r="H707" s="19">
        <f>IFERROR(__xludf.DUMMYFUNCTION("""COMPUTED_VALUE"""),0.00474)</f>
        <v>0.00474</v>
      </c>
      <c r="I707" s="19" t="str">
        <f>IFERROR(__xludf.DUMMYFUNCTION("""COMPUTED_VALUE"""),"-")</f>
        <v>-</v>
      </c>
      <c r="J707" s="19">
        <f>IFERROR(__xludf.DUMMYFUNCTION("""COMPUTED_VALUE"""),0.01965)</f>
        <v>0.01965</v>
      </c>
      <c r="K707" s="19">
        <f>IFERROR(__xludf.DUMMYFUNCTION("""COMPUTED_VALUE"""),0.12766)</f>
        <v>0.12766</v>
      </c>
      <c r="L707" s="19" t="str">
        <f>IFERROR(__xludf.DUMMYFUNCTION("""COMPUTED_VALUE"""),"-")</f>
        <v>-</v>
      </c>
      <c r="M707" s="19" t="str">
        <f>IFERROR(__xludf.DUMMYFUNCTION("""COMPUTED_VALUE"""),"-")</f>
        <v>-</v>
      </c>
    </row>
    <row r="708">
      <c r="A708" s="12" t="s">
        <v>9498</v>
      </c>
      <c r="G708" s="19">
        <f>IFERROR(__xludf.DUMMYFUNCTION("SPLIT(A706, "" |"")"),351501.0)</f>
        <v>351501</v>
      </c>
      <c r="H708" s="19">
        <f>IFERROR(__xludf.DUMMYFUNCTION("""COMPUTED_VALUE"""),0.00492)</f>
        <v>0.00492</v>
      </c>
      <c r="I708" s="19" t="str">
        <f>IFERROR(__xludf.DUMMYFUNCTION("""COMPUTED_VALUE"""),"-")</f>
        <v>-</v>
      </c>
      <c r="J708" s="19">
        <f>IFERROR(__xludf.DUMMYFUNCTION("""COMPUTED_VALUE"""),0.0199)</f>
        <v>0.0199</v>
      </c>
      <c r="K708" s="19">
        <f>IFERROR(__xludf.DUMMYFUNCTION("""COMPUTED_VALUE"""),0.1258)</f>
        <v>0.1258</v>
      </c>
      <c r="L708" s="19" t="str">
        <f>IFERROR(__xludf.DUMMYFUNCTION("""COMPUTED_VALUE"""),"-")</f>
        <v>-</v>
      </c>
      <c r="M708" s="19" t="str">
        <f>IFERROR(__xludf.DUMMYFUNCTION("""COMPUTED_VALUE"""),"-")</f>
        <v>-</v>
      </c>
    </row>
    <row r="709">
      <c r="A709" s="12" t="s">
        <v>9499</v>
      </c>
      <c r="G709" s="19">
        <f>IFERROR(__xludf.DUMMYFUNCTION("SPLIT(A707, "" |"")"),352001.0)</f>
        <v>352001</v>
      </c>
      <c r="H709" s="19">
        <f>IFERROR(__xludf.DUMMYFUNCTION("""COMPUTED_VALUE"""),0.00491)</f>
        <v>0.00491</v>
      </c>
      <c r="I709" s="19" t="str">
        <f>IFERROR(__xludf.DUMMYFUNCTION("""COMPUTED_VALUE"""),"-")</f>
        <v>-</v>
      </c>
      <c r="J709" s="19">
        <f>IFERROR(__xludf.DUMMYFUNCTION("""COMPUTED_VALUE"""),0.01981)</f>
        <v>0.01981</v>
      </c>
      <c r="K709" s="19">
        <f>IFERROR(__xludf.DUMMYFUNCTION("""COMPUTED_VALUE"""),0.1309)</f>
        <v>0.1309</v>
      </c>
      <c r="L709" s="19" t="str">
        <f>IFERROR(__xludf.DUMMYFUNCTION("""COMPUTED_VALUE"""),"-")</f>
        <v>-</v>
      </c>
      <c r="M709" s="19" t="str">
        <f>IFERROR(__xludf.DUMMYFUNCTION("""COMPUTED_VALUE"""),"-")</f>
        <v>-</v>
      </c>
    </row>
    <row r="710">
      <c r="A710" s="12" t="s">
        <v>9500</v>
      </c>
      <c r="G710" s="19">
        <f>IFERROR(__xludf.DUMMYFUNCTION("SPLIT(A708, "" |"")"),352501.0)</f>
        <v>352501</v>
      </c>
      <c r="H710" s="19">
        <f>IFERROR(__xludf.DUMMYFUNCTION("""COMPUTED_VALUE"""),0.00481)</f>
        <v>0.00481</v>
      </c>
      <c r="I710" s="19" t="str">
        <f>IFERROR(__xludf.DUMMYFUNCTION("""COMPUTED_VALUE"""),"-")</f>
        <v>-</v>
      </c>
      <c r="J710" s="19">
        <f>IFERROR(__xludf.DUMMYFUNCTION("""COMPUTED_VALUE"""),0.01977)</f>
        <v>0.01977</v>
      </c>
      <c r="K710" s="19">
        <f>IFERROR(__xludf.DUMMYFUNCTION("""COMPUTED_VALUE"""),0.12786)</f>
        <v>0.12786</v>
      </c>
      <c r="L710" s="19" t="str">
        <f>IFERROR(__xludf.DUMMYFUNCTION("""COMPUTED_VALUE"""),"-")</f>
        <v>-</v>
      </c>
      <c r="M710" s="19" t="str">
        <f>IFERROR(__xludf.DUMMYFUNCTION("""COMPUTED_VALUE"""),"-")</f>
        <v>-</v>
      </c>
    </row>
    <row r="711">
      <c r="A711" s="12" t="s">
        <v>9501</v>
      </c>
      <c r="G711" s="19">
        <f>IFERROR(__xludf.DUMMYFUNCTION("SPLIT(A709, "" |"")"),353001.0)</f>
        <v>353001</v>
      </c>
      <c r="H711" s="19">
        <f>IFERROR(__xludf.DUMMYFUNCTION("""COMPUTED_VALUE"""),0.00476)</f>
        <v>0.00476</v>
      </c>
      <c r="I711" s="19" t="str">
        <f>IFERROR(__xludf.DUMMYFUNCTION("""COMPUTED_VALUE"""),"-")</f>
        <v>-</v>
      </c>
      <c r="J711" s="19">
        <f>IFERROR(__xludf.DUMMYFUNCTION("""COMPUTED_VALUE"""),0.01886)</f>
        <v>0.01886</v>
      </c>
      <c r="K711" s="19">
        <f>IFERROR(__xludf.DUMMYFUNCTION("""COMPUTED_VALUE"""),0.12687)</f>
        <v>0.12687</v>
      </c>
      <c r="L711" s="19" t="str">
        <f>IFERROR(__xludf.DUMMYFUNCTION("""COMPUTED_VALUE"""),"-")</f>
        <v>-</v>
      </c>
      <c r="M711" s="19" t="str">
        <f>IFERROR(__xludf.DUMMYFUNCTION("""COMPUTED_VALUE"""),"-")</f>
        <v>-</v>
      </c>
    </row>
    <row r="712">
      <c r="A712" s="12" t="s">
        <v>9502</v>
      </c>
      <c r="G712" s="19">
        <f>IFERROR(__xludf.DUMMYFUNCTION("SPLIT(A710, "" |"")"),353501.0)</f>
        <v>353501</v>
      </c>
      <c r="H712" s="19">
        <f>IFERROR(__xludf.DUMMYFUNCTION("""COMPUTED_VALUE"""),0.00479)</f>
        <v>0.00479</v>
      </c>
      <c r="I712" s="19" t="str">
        <f>IFERROR(__xludf.DUMMYFUNCTION("""COMPUTED_VALUE"""),"-")</f>
        <v>-</v>
      </c>
      <c r="J712" s="19">
        <f>IFERROR(__xludf.DUMMYFUNCTION("""COMPUTED_VALUE"""),0.01989)</f>
        <v>0.01989</v>
      </c>
      <c r="K712" s="19">
        <f>IFERROR(__xludf.DUMMYFUNCTION("""COMPUTED_VALUE"""),0.13197)</f>
        <v>0.13197</v>
      </c>
      <c r="L712" s="19" t="str">
        <f>IFERROR(__xludf.DUMMYFUNCTION("""COMPUTED_VALUE"""),"-")</f>
        <v>-</v>
      </c>
      <c r="M712" s="19" t="str">
        <f>IFERROR(__xludf.DUMMYFUNCTION("""COMPUTED_VALUE"""),"-")</f>
        <v>-</v>
      </c>
    </row>
    <row r="713">
      <c r="A713" s="12" t="s">
        <v>9503</v>
      </c>
      <c r="G713" s="19">
        <f>IFERROR(__xludf.DUMMYFUNCTION("SPLIT(A711, "" |"")"),354001.0)</f>
        <v>354001</v>
      </c>
      <c r="H713" s="19">
        <f>IFERROR(__xludf.DUMMYFUNCTION("""COMPUTED_VALUE"""),0.0048)</f>
        <v>0.0048</v>
      </c>
      <c r="I713" s="19" t="str">
        <f>IFERROR(__xludf.DUMMYFUNCTION("""COMPUTED_VALUE"""),"-")</f>
        <v>-</v>
      </c>
      <c r="J713" s="19">
        <f>IFERROR(__xludf.DUMMYFUNCTION("""COMPUTED_VALUE"""),0.01969)</f>
        <v>0.01969</v>
      </c>
      <c r="K713" s="19">
        <f>IFERROR(__xludf.DUMMYFUNCTION("""COMPUTED_VALUE"""),0.13159)</f>
        <v>0.13159</v>
      </c>
      <c r="L713" s="19" t="str">
        <f>IFERROR(__xludf.DUMMYFUNCTION("""COMPUTED_VALUE"""),"-")</f>
        <v>-</v>
      </c>
      <c r="M713" s="19" t="str">
        <f>IFERROR(__xludf.DUMMYFUNCTION("""COMPUTED_VALUE"""),"-")</f>
        <v>-</v>
      </c>
    </row>
    <row r="714">
      <c r="A714" s="12" t="s">
        <v>9504</v>
      </c>
      <c r="G714" s="19">
        <f>IFERROR(__xludf.DUMMYFUNCTION("SPLIT(A712, "" |"")"),354501.0)</f>
        <v>354501</v>
      </c>
      <c r="H714" s="19">
        <f>IFERROR(__xludf.DUMMYFUNCTION("""COMPUTED_VALUE"""),0.00479)</f>
        <v>0.00479</v>
      </c>
      <c r="I714" s="19" t="str">
        <f>IFERROR(__xludf.DUMMYFUNCTION("""COMPUTED_VALUE"""),"-")</f>
        <v>-</v>
      </c>
      <c r="J714" s="19">
        <f>IFERROR(__xludf.DUMMYFUNCTION("""COMPUTED_VALUE"""),0.01949)</f>
        <v>0.01949</v>
      </c>
      <c r="K714" s="19">
        <f>IFERROR(__xludf.DUMMYFUNCTION("""COMPUTED_VALUE"""),0.12801)</f>
        <v>0.12801</v>
      </c>
      <c r="L714" s="19" t="str">
        <f>IFERROR(__xludf.DUMMYFUNCTION("""COMPUTED_VALUE"""),"-")</f>
        <v>-</v>
      </c>
      <c r="M714" s="19" t="str">
        <f>IFERROR(__xludf.DUMMYFUNCTION("""COMPUTED_VALUE"""),"-")</f>
        <v>-</v>
      </c>
    </row>
    <row r="715">
      <c r="A715" s="12" t="s">
        <v>9505</v>
      </c>
      <c r="G715" s="19">
        <f>IFERROR(__xludf.DUMMYFUNCTION("SPLIT(A713, "" |"")"),355001.0)</f>
        <v>355001</v>
      </c>
      <c r="H715" s="19">
        <f>IFERROR(__xludf.DUMMYFUNCTION("""COMPUTED_VALUE"""),0.00495)</f>
        <v>0.00495</v>
      </c>
      <c r="I715" s="19" t="str">
        <f>IFERROR(__xludf.DUMMYFUNCTION("""COMPUTED_VALUE"""),"-")</f>
        <v>-</v>
      </c>
      <c r="J715" s="19">
        <f>IFERROR(__xludf.DUMMYFUNCTION("""COMPUTED_VALUE"""),0.01985)</f>
        <v>0.01985</v>
      </c>
      <c r="K715" s="19">
        <f>IFERROR(__xludf.DUMMYFUNCTION("""COMPUTED_VALUE"""),0.12382)</f>
        <v>0.12382</v>
      </c>
      <c r="L715" s="19" t="str">
        <f>IFERROR(__xludf.DUMMYFUNCTION("""COMPUTED_VALUE"""),"-")</f>
        <v>-</v>
      </c>
      <c r="M715" s="19" t="str">
        <f>IFERROR(__xludf.DUMMYFUNCTION("""COMPUTED_VALUE"""),"-")</f>
        <v>-</v>
      </c>
    </row>
    <row r="716">
      <c r="A716" s="12" t="s">
        <v>9506</v>
      </c>
      <c r="G716" s="19">
        <f>IFERROR(__xludf.DUMMYFUNCTION("SPLIT(A714, "" |"")"),355501.0)</f>
        <v>355501</v>
      </c>
      <c r="H716" s="19">
        <f>IFERROR(__xludf.DUMMYFUNCTION("""COMPUTED_VALUE"""),0.0049)</f>
        <v>0.0049</v>
      </c>
      <c r="I716" s="19" t="str">
        <f>IFERROR(__xludf.DUMMYFUNCTION("""COMPUTED_VALUE"""),"-")</f>
        <v>-</v>
      </c>
      <c r="J716" s="19">
        <f>IFERROR(__xludf.DUMMYFUNCTION("""COMPUTED_VALUE"""),0.0197)</f>
        <v>0.0197</v>
      </c>
      <c r="K716" s="19">
        <f>IFERROR(__xludf.DUMMYFUNCTION("""COMPUTED_VALUE"""),0.13217)</f>
        <v>0.13217</v>
      </c>
      <c r="L716" s="19" t="str">
        <f>IFERROR(__xludf.DUMMYFUNCTION("""COMPUTED_VALUE"""),"-")</f>
        <v>-</v>
      </c>
      <c r="M716" s="19" t="str">
        <f>IFERROR(__xludf.DUMMYFUNCTION("""COMPUTED_VALUE"""),"-")</f>
        <v>-</v>
      </c>
    </row>
    <row r="717">
      <c r="A717" s="12" t="s">
        <v>9507</v>
      </c>
      <c r="G717" s="19">
        <f>IFERROR(__xludf.DUMMYFUNCTION("SPLIT(A715, "" |"")"),356001.0)</f>
        <v>356001</v>
      </c>
      <c r="H717" s="19">
        <f>IFERROR(__xludf.DUMMYFUNCTION("""COMPUTED_VALUE"""),0.00488)</f>
        <v>0.00488</v>
      </c>
      <c r="I717" s="19" t="str">
        <f>IFERROR(__xludf.DUMMYFUNCTION("""COMPUTED_VALUE"""),"-")</f>
        <v>-</v>
      </c>
      <c r="J717" s="19">
        <f>IFERROR(__xludf.DUMMYFUNCTION("""COMPUTED_VALUE"""),0.01974)</f>
        <v>0.01974</v>
      </c>
      <c r="K717" s="19">
        <f>IFERROR(__xludf.DUMMYFUNCTION("""COMPUTED_VALUE"""),0.12762)</f>
        <v>0.12762</v>
      </c>
      <c r="L717" s="19" t="str">
        <f>IFERROR(__xludf.DUMMYFUNCTION("""COMPUTED_VALUE"""),"-")</f>
        <v>-</v>
      </c>
      <c r="M717" s="19" t="str">
        <f>IFERROR(__xludf.DUMMYFUNCTION("""COMPUTED_VALUE"""),"-")</f>
        <v>-</v>
      </c>
    </row>
    <row r="718">
      <c r="A718" s="12" t="s">
        <v>9508</v>
      </c>
      <c r="G718" s="19">
        <f>IFERROR(__xludf.DUMMYFUNCTION("SPLIT(A716, "" |"")"),356501.0)</f>
        <v>356501</v>
      </c>
      <c r="H718" s="19">
        <f>IFERROR(__xludf.DUMMYFUNCTION("""COMPUTED_VALUE"""),0.00525)</f>
        <v>0.00525</v>
      </c>
      <c r="I718" s="19" t="str">
        <f>IFERROR(__xludf.DUMMYFUNCTION("""COMPUTED_VALUE"""),"-")</f>
        <v>-</v>
      </c>
      <c r="J718" s="19">
        <f>IFERROR(__xludf.DUMMYFUNCTION("""COMPUTED_VALUE"""),0.01993)</f>
        <v>0.01993</v>
      </c>
      <c r="K718" s="19">
        <f>IFERROR(__xludf.DUMMYFUNCTION("""COMPUTED_VALUE"""),0.13096)</f>
        <v>0.13096</v>
      </c>
      <c r="L718" s="19" t="str">
        <f>IFERROR(__xludf.DUMMYFUNCTION("""COMPUTED_VALUE"""),"-")</f>
        <v>-</v>
      </c>
      <c r="M718" s="19" t="str">
        <f>IFERROR(__xludf.DUMMYFUNCTION("""COMPUTED_VALUE"""),"-")</f>
        <v>-</v>
      </c>
    </row>
    <row r="719">
      <c r="A719" s="12" t="s">
        <v>9509</v>
      </c>
      <c r="G719" s="19">
        <f>IFERROR(__xludf.DUMMYFUNCTION("SPLIT(A717, "" |"")"),357001.0)</f>
        <v>357001</v>
      </c>
      <c r="H719" s="19">
        <f>IFERROR(__xludf.DUMMYFUNCTION("""COMPUTED_VALUE"""),0.00482)</f>
        <v>0.00482</v>
      </c>
      <c r="I719" s="19" t="str">
        <f>IFERROR(__xludf.DUMMYFUNCTION("""COMPUTED_VALUE"""),"-")</f>
        <v>-</v>
      </c>
      <c r="J719" s="19">
        <f>IFERROR(__xludf.DUMMYFUNCTION("""COMPUTED_VALUE"""),0.01971)</f>
        <v>0.01971</v>
      </c>
      <c r="K719" s="19">
        <f>IFERROR(__xludf.DUMMYFUNCTION("""COMPUTED_VALUE"""),0.13028)</f>
        <v>0.13028</v>
      </c>
      <c r="L719" s="19" t="str">
        <f>IFERROR(__xludf.DUMMYFUNCTION("""COMPUTED_VALUE"""),"-")</f>
        <v>-</v>
      </c>
      <c r="M719" s="19" t="str">
        <f>IFERROR(__xludf.DUMMYFUNCTION("""COMPUTED_VALUE"""),"-")</f>
        <v>-</v>
      </c>
    </row>
    <row r="720">
      <c r="A720" s="12" t="s">
        <v>9510</v>
      </c>
      <c r="G720" s="19">
        <f>IFERROR(__xludf.DUMMYFUNCTION("SPLIT(A718, "" |"")"),357501.0)</f>
        <v>357501</v>
      </c>
      <c r="H720" s="19">
        <f>IFERROR(__xludf.DUMMYFUNCTION("""COMPUTED_VALUE"""),0.00487)</f>
        <v>0.00487</v>
      </c>
      <c r="I720" s="19" t="str">
        <f>IFERROR(__xludf.DUMMYFUNCTION("""COMPUTED_VALUE"""),"-")</f>
        <v>-</v>
      </c>
      <c r="J720" s="19">
        <f>IFERROR(__xludf.DUMMYFUNCTION("""COMPUTED_VALUE"""),0.0193)</f>
        <v>0.0193</v>
      </c>
      <c r="K720" s="19">
        <f>IFERROR(__xludf.DUMMYFUNCTION("""COMPUTED_VALUE"""),0.12343)</f>
        <v>0.12343</v>
      </c>
      <c r="L720" s="19" t="str">
        <f>IFERROR(__xludf.DUMMYFUNCTION("""COMPUTED_VALUE"""),"-")</f>
        <v>-</v>
      </c>
      <c r="M720" s="19" t="str">
        <f>IFERROR(__xludf.DUMMYFUNCTION("""COMPUTED_VALUE"""),"-")</f>
        <v>-</v>
      </c>
    </row>
    <row r="721">
      <c r="A721" s="12" t="s">
        <v>9511</v>
      </c>
      <c r="G721" s="19">
        <f>IFERROR(__xludf.DUMMYFUNCTION("SPLIT(A719, "" |"")"),358001.0)</f>
        <v>358001</v>
      </c>
      <c r="H721" s="19">
        <f>IFERROR(__xludf.DUMMYFUNCTION("""COMPUTED_VALUE"""),0.0047)</f>
        <v>0.0047</v>
      </c>
      <c r="I721" s="19" t="str">
        <f>IFERROR(__xludf.DUMMYFUNCTION("""COMPUTED_VALUE"""),"-")</f>
        <v>-</v>
      </c>
      <c r="J721" s="19">
        <f>IFERROR(__xludf.DUMMYFUNCTION("""COMPUTED_VALUE"""),0.01956)</f>
        <v>0.01956</v>
      </c>
      <c r="K721" s="19">
        <f>IFERROR(__xludf.DUMMYFUNCTION("""COMPUTED_VALUE"""),0.12843)</f>
        <v>0.12843</v>
      </c>
      <c r="L721" s="19" t="str">
        <f>IFERROR(__xludf.DUMMYFUNCTION("""COMPUTED_VALUE"""),"-")</f>
        <v>-</v>
      </c>
      <c r="M721" s="19" t="str">
        <f>IFERROR(__xludf.DUMMYFUNCTION("""COMPUTED_VALUE"""),"-")</f>
        <v>-</v>
      </c>
    </row>
    <row r="722">
      <c r="A722" s="12" t="s">
        <v>9512</v>
      </c>
      <c r="G722" s="19">
        <f>IFERROR(__xludf.DUMMYFUNCTION("SPLIT(A720, "" |"")"),358501.0)</f>
        <v>358501</v>
      </c>
      <c r="H722" s="19">
        <f>IFERROR(__xludf.DUMMYFUNCTION("""COMPUTED_VALUE"""),0.0047)</f>
        <v>0.0047</v>
      </c>
      <c r="I722" s="19" t="str">
        <f>IFERROR(__xludf.DUMMYFUNCTION("""COMPUTED_VALUE"""),"-")</f>
        <v>-</v>
      </c>
      <c r="J722" s="19">
        <f>IFERROR(__xludf.DUMMYFUNCTION("""COMPUTED_VALUE"""),0.01965)</f>
        <v>0.01965</v>
      </c>
      <c r="K722" s="19">
        <f>IFERROR(__xludf.DUMMYFUNCTION("""COMPUTED_VALUE"""),0.13038)</f>
        <v>0.13038</v>
      </c>
      <c r="L722" s="19" t="str">
        <f>IFERROR(__xludf.DUMMYFUNCTION("""COMPUTED_VALUE"""),"-")</f>
        <v>-</v>
      </c>
      <c r="M722" s="19" t="str">
        <f>IFERROR(__xludf.DUMMYFUNCTION("""COMPUTED_VALUE"""),"-")</f>
        <v>-</v>
      </c>
    </row>
    <row r="723">
      <c r="A723" s="12" t="s">
        <v>9513</v>
      </c>
      <c r="G723" s="19">
        <f>IFERROR(__xludf.DUMMYFUNCTION("SPLIT(A721, "" |"")"),359001.0)</f>
        <v>359001</v>
      </c>
      <c r="H723" s="19">
        <f>IFERROR(__xludf.DUMMYFUNCTION("""COMPUTED_VALUE"""),0.00491)</f>
        <v>0.00491</v>
      </c>
      <c r="I723" s="19" t="str">
        <f>IFERROR(__xludf.DUMMYFUNCTION("""COMPUTED_VALUE"""),"-")</f>
        <v>-</v>
      </c>
      <c r="J723" s="19">
        <f>IFERROR(__xludf.DUMMYFUNCTION("""COMPUTED_VALUE"""),0.01986)</f>
        <v>0.01986</v>
      </c>
      <c r="K723" s="19">
        <f>IFERROR(__xludf.DUMMYFUNCTION("""COMPUTED_VALUE"""),0.12857)</f>
        <v>0.12857</v>
      </c>
      <c r="L723" s="19" t="str">
        <f>IFERROR(__xludf.DUMMYFUNCTION("""COMPUTED_VALUE"""),"-")</f>
        <v>-</v>
      </c>
      <c r="M723" s="19" t="str">
        <f>IFERROR(__xludf.DUMMYFUNCTION("""COMPUTED_VALUE"""),"-")</f>
        <v>-</v>
      </c>
    </row>
    <row r="724">
      <c r="A724" s="12" t="s">
        <v>9514</v>
      </c>
      <c r="G724" s="19">
        <f>IFERROR(__xludf.DUMMYFUNCTION("SPLIT(A722, "" |"")"),359501.0)</f>
        <v>359501</v>
      </c>
      <c r="H724" s="19">
        <f>IFERROR(__xludf.DUMMYFUNCTION("""COMPUTED_VALUE"""),0.00487)</f>
        <v>0.00487</v>
      </c>
      <c r="I724" s="19" t="str">
        <f>IFERROR(__xludf.DUMMYFUNCTION("""COMPUTED_VALUE"""),"-")</f>
        <v>-</v>
      </c>
      <c r="J724" s="19">
        <f>IFERROR(__xludf.DUMMYFUNCTION("""COMPUTED_VALUE"""),0.03667)</f>
        <v>0.03667</v>
      </c>
      <c r="K724" s="19">
        <f>IFERROR(__xludf.DUMMYFUNCTION("""COMPUTED_VALUE"""),0.13092)</f>
        <v>0.13092</v>
      </c>
      <c r="L724" s="19" t="str">
        <f>IFERROR(__xludf.DUMMYFUNCTION("""COMPUTED_VALUE"""),"-")</f>
        <v>-</v>
      </c>
      <c r="M724" s="19" t="str">
        <f>IFERROR(__xludf.DUMMYFUNCTION("""COMPUTED_VALUE"""),"-")</f>
        <v>-</v>
      </c>
    </row>
    <row r="725">
      <c r="A725" s="12" t="s">
        <v>9515</v>
      </c>
      <c r="G725" s="19">
        <f>IFERROR(__xludf.DUMMYFUNCTION("SPLIT(A723, "" |"")"),360001.0)</f>
        <v>360001</v>
      </c>
      <c r="H725" s="19">
        <f>IFERROR(__xludf.DUMMYFUNCTION("""COMPUTED_VALUE"""),0.00479)</f>
        <v>0.00479</v>
      </c>
      <c r="I725" s="19" t="str">
        <f>IFERROR(__xludf.DUMMYFUNCTION("""COMPUTED_VALUE"""),"-")</f>
        <v>-</v>
      </c>
      <c r="J725" s="19">
        <f>IFERROR(__xludf.DUMMYFUNCTION("""COMPUTED_VALUE"""),0.02007)</f>
        <v>0.02007</v>
      </c>
      <c r="K725" s="19">
        <f>IFERROR(__xludf.DUMMYFUNCTION("""COMPUTED_VALUE"""),0.12998)</f>
        <v>0.12998</v>
      </c>
      <c r="L725" s="19" t="str">
        <f>IFERROR(__xludf.DUMMYFUNCTION("""COMPUTED_VALUE"""),"-")</f>
        <v>-</v>
      </c>
      <c r="M725" s="19" t="str">
        <f>IFERROR(__xludf.DUMMYFUNCTION("""COMPUTED_VALUE"""),"-")</f>
        <v>-</v>
      </c>
    </row>
    <row r="726">
      <c r="A726" s="12" t="s">
        <v>9516</v>
      </c>
      <c r="G726" s="19">
        <f>IFERROR(__xludf.DUMMYFUNCTION("SPLIT(A724, "" |"")"),360501.0)</f>
        <v>360501</v>
      </c>
      <c r="H726" s="19">
        <f>IFERROR(__xludf.DUMMYFUNCTION("""COMPUTED_VALUE"""),0.00499)</f>
        <v>0.00499</v>
      </c>
      <c r="I726" s="19" t="str">
        <f>IFERROR(__xludf.DUMMYFUNCTION("""COMPUTED_VALUE"""),"-")</f>
        <v>-</v>
      </c>
      <c r="J726" s="19">
        <f>IFERROR(__xludf.DUMMYFUNCTION("""COMPUTED_VALUE"""),0.01713)</f>
        <v>0.01713</v>
      </c>
      <c r="K726" s="19">
        <f>IFERROR(__xludf.DUMMYFUNCTION("""COMPUTED_VALUE"""),0.1301)</f>
        <v>0.1301</v>
      </c>
      <c r="L726" s="19" t="str">
        <f>IFERROR(__xludf.DUMMYFUNCTION("""COMPUTED_VALUE"""),"-")</f>
        <v>-</v>
      </c>
      <c r="M726" s="19" t="str">
        <f>IFERROR(__xludf.DUMMYFUNCTION("""COMPUTED_VALUE"""),"-")</f>
        <v>-</v>
      </c>
    </row>
    <row r="727">
      <c r="A727" s="12" t="s">
        <v>9517</v>
      </c>
      <c r="G727" s="19">
        <f>IFERROR(__xludf.DUMMYFUNCTION("SPLIT(A725, "" |"")"),361001.0)</f>
        <v>361001</v>
      </c>
      <c r="H727" s="19">
        <f>IFERROR(__xludf.DUMMYFUNCTION("""COMPUTED_VALUE"""),0.0048)</f>
        <v>0.0048</v>
      </c>
      <c r="I727" s="19" t="str">
        <f>IFERROR(__xludf.DUMMYFUNCTION("""COMPUTED_VALUE"""),"-")</f>
        <v>-</v>
      </c>
      <c r="J727" s="19">
        <f>IFERROR(__xludf.DUMMYFUNCTION("""COMPUTED_VALUE"""),0.02026)</f>
        <v>0.02026</v>
      </c>
      <c r="K727" s="19">
        <f>IFERROR(__xludf.DUMMYFUNCTION("""COMPUTED_VALUE"""),0.12825)</f>
        <v>0.12825</v>
      </c>
      <c r="L727" s="19" t="str">
        <f>IFERROR(__xludf.DUMMYFUNCTION("""COMPUTED_VALUE"""),"-")</f>
        <v>-</v>
      </c>
      <c r="M727" s="19" t="str">
        <f>IFERROR(__xludf.DUMMYFUNCTION("""COMPUTED_VALUE"""),"-")</f>
        <v>-</v>
      </c>
    </row>
    <row r="728">
      <c r="A728" s="12" t="s">
        <v>9518</v>
      </c>
      <c r="G728" s="19">
        <f>IFERROR(__xludf.DUMMYFUNCTION("SPLIT(A726, "" |"")"),361501.0)</f>
        <v>361501</v>
      </c>
      <c r="H728" s="19">
        <f>IFERROR(__xludf.DUMMYFUNCTION("""COMPUTED_VALUE"""),0.00476)</f>
        <v>0.00476</v>
      </c>
      <c r="I728" s="19" t="str">
        <f>IFERROR(__xludf.DUMMYFUNCTION("""COMPUTED_VALUE"""),"-")</f>
        <v>-</v>
      </c>
      <c r="J728" s="19">
        <f>IFERROR(__xludf.DUMMYFUNCTION("""COMPUTED_VALUE"""),0.01952)</f>
        <v>0.01952</v>
      </c>
      <c r="K728" s="19">
        <f>IFERROR(__xludf.DUMMYFUNCTION("""COMPUTED_VALUE"""),0.13192)</f>
        <v>0.13192</v>
      </c>
      <c r="L728" s="19" t="str">
        <f>IFERROR(__xludf.DUMMYFUNCTION("""COMPUTED_VALUE"""),"-")</f>
        <v>-</v>
      </c>
      <c r="M728" s="19" t="str">
        <f>IFERROR(__xludf.DUMMYFUNCTION("""COMPUTED_VALUE"""),"-")</f>
        <v>-</v>
      </c>
    </row>
    <row r="729">
      <c r="A729" s="12" t="s">
        <v>9519</v>
      </c>
      <c r="G729" s="19">
        <f>IFERROR(__xludf.DUMMYFUNCTION("SPLIT(A727, "" |"")"),362001.0)</f>
        <v>362001</v>
      </c>
      <c r="H729" s="19">
        <f>IFERROR(__xludf.DUMMYFUNCTION("""COMPUTED_VALUE"""),0.00483)</f>
        <v>0.00483</v>
      </c>
      <c r="I729" s="19" t="str">
        <f>IFERROR(__xludf.DUMMYFUNCTION("""COMPUTED_VALUE"""),"-")</f>
        <v>-</v>
      </c>
      <c r="J729" s="19">
        <f>IFERROR(__xludf.DUMMYFUNCTION("""COMPUTED_VALUE"""),0.01964)</f>
        <v>0.01964</v>
      </c>
      <c r="K729" s="19">
        <f>IFERROR(__xludf.DUMMYFUNCTION("""COMPUTED_VALUE"""),0.1317)</f>
        <v>0.1317</v>
      </c>
      <c r="L729" s="19" t="str">
        <f>IFERROR(__xludf.DUMMYFUNCTION("""COMPUTED_VALUE"""),"-")</f>
        <v>-</v>
      </c>
      <c r="M729" s="19" t="str">
        <f>IFERROR(__xludf.DUMMYFUNCTION("""COMPUTED_VALUE"""),"-")</f>
        <v>-</v>
      </c>
    </row>
    <row r="730">
      <c r="A730" s="12" t="s">
        <v>9520</v>
      </c>
      <c r="G730" s="19">
        <f>IFERROR(__xludf.DUMMYFUNCTION("SPLIT(A728, "" |"")"),362501.0)</f>
        <v>362501</v>
      </c>
      <c r="H730" s="19">
        <f>IFERROR(__xludf.DUMMYFUNCTION("""COMPUTED_VALUE"""),0.00474)</f>
        <v>0.00474</v>
      </c>
      <c r="I730" s="19" t="str">
        <f>IFERROR(__xludf.DUMMYFUNCTION("""COMPUTED_VALUE"""),"-")</f>
        <v>-</v>
      </c>
      <c r="J730" s="19">
        <f>IFERROR(__xludf.DUMMYFUNCTION("""COMPUTED_VALUE"""),0.01972)</f>
        <v>0.01972</v>
      </c>
      <c r="K730" s="19">
        <f>IFERROR(__xludf.DUMMYFUNCTION("""COMPUTED_VALUE"""),0.1319)</f>
        <v>0.1319</v>
      </c>
      <c r="L730" s="19" t="str">
        <f>IFERROR(__xludf.DUMMYFUNCTION("""COMPUTED_VALUE"""),"-")</f>
        <v>-</v>
      </c>
      <c r="M730" s="19" t="str">
        <f>IFERROR(__xludf.DUMMYFUNCTION("""COMPUTED_VALUE"""),"-")</f>
        <v>-</v>
      </c>
    </row>
    <row r="731">
      <c r="A731" s="12" t="s">
        <v>9521</v>
      </c>
      <c r="G731" s="19">
        <f>IFERROR(__xludf.DUMMYFUNCTION("SPLIT(A729, "" |"")"),363001.0)</f>
        <v>363001</v>
      </c>
      <c r="H731" s="19">
        <f>IFERROR(__xludf.DUMMYFUNCTION("""COMPUTED_VALUE"""),0.00454)</f>
        <v>0.00454</v>
      </c>
      <c r="I731" s="19" t="str">
        <f>IFERROR(__xludf.DUMMYFUNCTION("""COMPUTED_VALUE"""),"-")</f>
        <v>-</v>
      </c>
      <c r="J731" s="19">
        <f>IFERROR(__xludf.DUMMYFUNCTION("""COMPUTED_VALUE"""),0.01967)</f>
        <v>0.01967</v>
      </c>
      <c r="K731" s="19">
        <f>IFERROR(__xludf.DUMMYFUNCTION("""COMPUTED_VALUE"""),0.13024)</f>
        <v>0.13024</v>
      </c>
      <c r="L731" s="19" t="str">
        <f>IFERROR(__xludf.DUMMYFUNCTION("""COMPUTED_VALUE"""),"-")</f>
        <v>-</v>
      </c>
      <c r="M731" s="19" t="str">
        <f>IFERROR(__xludf.DUMMYFUNCTION("""COMPUTED_VALUE"""),"-")</f>
        <v>-</v>
      </c>
    </row>
    <row r="732">
      <c r="A732" s="12" t="s">
        <v>9522</v>
      </c>
      <c r="G732" s="19">
        <f>IFERROR(__xludf.DUMMYFUNCTION("SPLIT(A730, "" |"")"),363501.0)</f>
        <v>363501</v>
      </c>
      <c r="H732" s="19">
        <f>IFERROR(__xludf.DUMMYFUNCTION("""COMPUTED_VALUE"""),0.00462)</f>
        <v>0.00462</v>
      </c>
      <c r="I732" s="19" t="str">
        <f>IFERROR(__xludf.DUMMYFUNCTION("""COMPUTED_VALUE"""),"-")</f>
        <v>-</v>
      </c>
      <c r="J732" s="19">
        <f>IFERROR(__xludf.DUMMYFUNCTION("""COMPUTED_VALUE"""),0.01949)</f>
        <v>0.01949</v>
      </c>
      <c r="K732" s="19">
        <f>IFERROR(__xludf.DUMMYFUNCTION("""COMPUTED_VALUE"""),0.13115)</f>
        <v>0.13115</v>
      </c>
      <c r="L732" s="19" t="str">
        <f>IFERROR(__xludf.DUMMYFUNCTION("""COMPUTED_VALUE"""),"-")</f>
        <v>-</v>
      </c>
      <c r="M732" s="19" t="str">
        <f>IFERROR(__xludf.DUMMYFUNCTION("""COMPUTED_VALUE"""),"-")</f>
        <v>-</v>
      </c>
    </row>
    <row r="733">
      <c r="A733" s="12" t="s">
        <v>9523</v>
      </c>
      <c r="G733" s="19">
        <f>IFERROR(__xludf.DUMMYFUNCTION("SPLIT(A731, "" |"")"),364001.0)</f>
        <v>364001</v>
      </c>
      <c r="H733" s="19">
        <f>IFERROR(__xludf.DUMMYFUNCTION("""COMPUTED_VALUE"""),0.00484)</f>
        <v>0.00484</v>
      </c>
      <c r="I733" s="19" t="str">
        <f>IFERROR(__xludf.DUMMYFUNCTION("""COMPUTED_VALUE"""),"-")</f>
        <v>-</v>
      </c>
      <c r="J733" s="19">
        <f>IFERROR(__xludf.DUMMYFUNCTION("""COMPUTED_VALUE"""),0.01986)</f>
        <v>0.01986</v>
      </c>
      <c r="K733" s="19">
        <f>IFERROR(__xludf.DUMMYFUNCTION("""COMPUTED_VALUE"""),0.12542)</f>
        <v>0.12542</v>
      </c>
      <c r="L733" s="19" t="str">
        <f>IFERROR(__xludf.DUMMYFUNCTION("""COMPUTED_VALUE"""),"-")</f>
        <v>-</v>
      </c>
      <c r="M733" s="19" t="str">
        <f>IFERROR(__xludf.DUMMYFUNCTION("""COMPUTED_VALUE"""),"-")</f>
        <v>-</v>
      </c>
    </row>
    <row r="734">
      <c r="A734" s="12" t="s">
        <v>9524</v>
      </c>
      <c r="G734" s="19">
        <f>IFERROR(__xludf.DUMMYFUNCTION("SPLIT(A732, "" |"")"),364501.0)</f>
        <v>364501</v>
      </c>
      <c r="H734" s="19">
        <f>IFERROR(__xludf.DUMMYFUNCTION("""COMPUTED_VALUE"""),0.005)</f>
        <v>0.005</v>
      </c>
      <c r="I734" s="19" t="str">
        <f>IFERROR(__xludf.DUMMYFUNCTION("""COMPUTED_VALUE"""),"-")</f>
        <v>-</v>
      </c>
      <c r="J734" s="19">
        <f>IFERROR(__xludf.DUMMYFUNCTION("""COMPUTED_VALUE"""),0.01991)</f>
        <v>0.01991</v>
      </c>
      <c r="K734" s="19">
        <f>IFERROR(__xludf.DUMMYFUNCTION("""COMPUTED_VALUE"""),0.12533)</f>
        <v>0.12533</v>
      </c>
      <c r="L734" s="19" t="str">
        <f>IFERROR(__xludf.DUMMYFUNCTION("""COMPUTED_VALUE"""),"-")</f>
        <v>-</v>
      </c>
      <c r="M734" s="19" t="str">
        <f>IFERROR(__xludf.DUMMYFUNCTION("""COMPUTED_VALUE"""),"-")</f>
        <v>-</v>
      </c>
    </row>
    <row r="735">
      <c r="A735" s="12" t="s">
        <v>9525</v>
      </c>
      <c r="G735" s="19">
        <f>IFERROR(__xludf.DUMMYFUNCTION("SPLIT(A733, "" |"")"),365001.0)</f>
        <v>365001</v>
      </c>
      <c r="H735" s="19">
        <f>IFERROR(__xludf.DUMMYFUNCTION("""COMPUTED_VALUE"""),0.00481)</f>
        <v>0.00481</v>
      </c>
      <c r="I735" s="19" t="str">
        <f>IFERROR(__xludf.DUMMYFUNCTION("""COMPUTED_VALUE"""),"-")</f>
        <v>-</v>
      </c>
      <c r="J735" s="19">
        <f>IFERROR(__xludf.DUMMYFUNCTION("""COMPUTED_VALUE"""),0.01906)</f>
        <v>0.01906</v>
      </c>
      <c r="K735" s="19">
        <f>IFERROR(__xludf.DUMMYFUNCTION("""COMPUTED_VALUE"""),0.13178)</f>
        <v>0.13178</v>
      </c>
      <c r="L735" s="19" t="str">
        <f>IFERROR(__xludf.DUMMYFUNCTION("""COMPUTED_VALUE"""),"-")</f>
        <v>-</v>
      </c>
      <c r="M735" s="19" t="str">
        <f>IFERROR(__xludf.DUMMYFUNCTION("""COMPUTED_VALUE"""),"-")</f>
        <v>-</v>
      </c>
    </row>
    <row r="736">
      <c r="A736" s="12" t="s">
        <v>9526</v>
      </c>
      <c r="G736" s="19">
        <f>IFERROR(__xludf.DUMMYFUNCTION("SPLIT(A734, "" |"")"),365501.0)</f>
        <v>365501</v>
      </c>
      <c r="H736" s="19">
        <f>IFERROR(__xludf.DUMMYFUNCTION("""COMPUTED_VALUE"""),0.00475)</f>
        <v>0.00475</v>
      </c>
      <c r="I736" s="19" t="str">
        <f>IFERROR(__xludf.DUMMYFUNCTION("""COMPUTED_VALUE"""),"-")</f>
        <v>-</v>
      </c>
      <c r="J736" s="19">
        <f>IFERROR(__xludf.DUMMYFUNCTION("""COMPUTED_VALUE"""),0.01983)</f>
        <v>0.01983</v>
      </c>
      <c r="K736" s="19">
        <f>IFERROR(__xludf.DUMMYFUNCTION("""COMPUTED_VALUE"""),0.11948)</f>
        <v>0.11948</v>
      </c>
      <c r="L736" s="19" t="str">
        <f>IFERROR(__xludf.DUMMYFUNCTION("""COMPUTED_VALUE"""),"-")</f>
        <v>-</v>
      </c>
      <c r="M736" s="19" t="str">
        <f>IFERROR(__xludf.DUMMYFUNCTION("""COMPUTED_VALUE"""),"-")</f>
        <v>-</v>
      </c>
    </row>
    <row r="737">
      <c r="A737" s="12" t="s">
        <v>9527</v>
      </c>
      <c r="G737" s="19">
        <f>IFERROR(__xludf.DUMMYFUNCTION("SPLIT(A735, "" |"")"),366001.0)</f>
        <v>366001</v>
      </c>
      <c r="H737" s="19">
        <f>IFERROR(__xludf.DUMMYFUNCTION("""COMPUTED_VALUE"""),0.00477)</f>
        <v>0.00477</v>
      </c>
      <c r="I737" s="19" t="str">
        <f>IFERROR(__xludf.DUMMYFUNCTION("""COMPUTED_VALUE"""),"-")</f>
        <v>-</v>
      </c>
      <c r="J737" s="19">
        <f>IFERROR(__xludf.DUMMYFUNCTION("""COMPUTED_VALUE"""),0.01976)</f>
        <v>0.01976</v>
      </c>
      <c r="K737" s="19">
        <f>IFERROR(__xludf.DUMMYFUNCTION("""COMPUTED_VALUE"""),0.12579)</f>
        <v>0.12579</v>
      </c>
      <c r="L737" s="19" t="str">
        <f>IFERROR(__xludf.DUMMYFUNCTION("""COMPUTED_VALUE"""),"-")</f>
        <v>-</v>
      </c>
      <c r="M737" s="19" t="str">
        <f>IFERROR(__xludf.DUMMYFUNCTION("""COMPUTED_VALUE"""),"-")</f>
        <v>-</v>
      </c>
    </row>
    <row r="738">
      <c r="A738" s="12" t="s">
        <v>9528</v>
      </c>
      <c r="G738" s="19">
        <f>IFERROR(__xludf.DUMMYFUNCTION("SPLIT(A736, "" |"")"),366501.0)</f>
        <v>366501</v>
      </c>
      <c r="H738" s="19">
        <f>IFERROR(__xludf.DUMMYFUNCTION("""COMPUTED_VALUE"""),0.00486)</f>
        <v>0.00486</v>
      </c>
      <c r="I738" s="19" t="str">
        <f>IFERROR(__xludf.DUMMYFUNCTION("""COMPUTED_VALUE"""),"-")</f>
        <v>-</v>
      </c>
      <c r="J738" s="19">
        <f>IFERROR(__xludf.DUMMYFUNCTION("""COMPUTED_VALUE"""),0.01948)</f>
        <v>0.01948</v>
      </c>
      <c r="K738" s="19">
        <f>IFERROR(__xludf.DUMMYFUNCTION("""COMPUTED_VALUE"""),0.12824)</f>
        <v>0.12824</v>
      </c>
      <c r="L738" s="19" t="str">
        <f>IFERROR(__xludf.DUMMYFUNCTION("""COMPUTED_VALUE"""),"-")</f>
        <v>-</v>
      </c>
      <c r="M738" s="19" t="str">
        <f>IFERROR(__xludf.DUMMYFUNCTION("""COMPUTED_VALUE"""),"-")</f>
        <v>-</v>
      </c>
    </row>
    <row r="739">
      <c r="A739" s="12" t="s">
        <v>9529</v>
      </c>
      <c r="G739" s="19">
        <f>IFERROR(__xludf.DUMMYFUNCTION("SPLIT(A737, "" |"")"),367001.0)</f>
        <v>367001</v>
      </c>
      <c r="H739" s="19">
        <f>IFERROR(__xludf.DUMMYFUNCTION("""COMPUTED_VALUE"""),0.00469)</f>
        <v>0.00469</v>
      </c>
      <c r="I739" s="19" t="str">
        <f>IFERROR(__xludf.DUMMYFUNCTION("""COMPUTED_VALUE"""),"-")</f>
        <v>-</v>
      </c>
      <c r="J739" s="19">
        <f>IFERROR(__xludf.DUMMYFUNCTION("""COMPUTED_VALUE"""),0.01969)</f>
        <v>0.01969</v>
      </c>
      <c r="K739" s="19">
        <f>IFERROR(__xludf.DUMMYFUNCTION("""COMPUTED_VALUE"""),0.12725)</f>
        <v>0.12725</v>
      </c>
      <c r="L739" s="19" t="str">
        <f>IFERROR(__xludf.DUMMYFUNCTION("""COMPUTED_VALUE"""),"-")</f>
        <v>-</v>
      </c>
      <c r="M739" s="19" t="str">
        <f>IFERROR(__xludf.DUMMYFUNCTION("""COMPUTED_VALUE"""),"-")</f>
        <v>-</v>
      </c>
    </row>
    <row r="740">
      <c r="A740" s="12" t="s">
        <v>9530</v>
      </c>
      <c r="G740" s="19">
        <f>IFERROR(__xludf.DUMMYFUNCTION("SPLIT(A738, "" |"")"),367501.0)</f>
        <v>367501</v>
      </c>
      <c r="H740" s="19">
        <f>IFERROR(__xludf.DUMMYFUNCTION("""COMPUTED_VALUE"""),0.00482)</f>
        <v>0.00482</v>
      </c>
      <c r="I740" s="19" t="str">
        <f>IFERROR(__xludf.DUMMYFUNCTION("""COMPUTED_VALUE"""),"-")</f>
        <v>-</v>
      </c>
      <c r="J740" s="19">
        <f>IFERROR(__xludf.DUMMYFUNCTION("""COMPUTED_VALUE"""),0.01972)</f>
        <v>0.01972</v>
      </c>
      <c r="K740" s="19">
        <f>IFERROR(__xludf.DUMMYFUNCTION("""COMPUTED_VALUE"""),0.12825)</f>
        <v>0.12825</v>
      </c>
      <c r="L740" s="19" t="str">
        <f>IFERROR(__xludf.DUMMYFUNCTION("""COMPUTED_VALUE"""),"-")</f>
        <v>-</v>
      </c>
      <c r="M740" s="19" t="str">
        <f>IFERROR(__xludf.DUMMYFUNCTION("""COMPUTED_VALUE"""),"-")</f>
        <v>-</v>
      </c>
    </row>
    <row r="741">
      <c r="A741" s="12" t="s">
        <v>9531</v>
      </c>
      <c r="G741" s="19">
        <f>IFERROR(__xludf.DUMMYFUNCTION("SPLIT(A739, "" |"")"),368001.0)</f>
        <v>368001</v>
      </c>
      <c r="H741" s="19">
        <f>IFERROR(__xludf.DUMMYFUNCTION("""COMPUTED_VALUE"""),0.00483)</f>
        <v>0.00483</v>
      </c>
      <c r="I741" s="19" t="str">
        <f>IFERROR(__xludf.DUMMYFUNCTION("""COMPUTED_VALUE"""),"-")</f>
        <v>-</v>
      </c>
      <c r="J741" s="19">
        <f>IFERROR(__xludf.DUMMYFUNCTION("""COMPUTED_VALUE"""),0.01987)</f>
        <v>0.01987</v>
      </c>
      <c r="K741" s="19">
        <f>IFERROR(__xludf.DUMMYFUNCTION("""COMPUTED_VALUE"""),0.13042)</f>
        <v>0.13042</v>
      </c>
      <c r="L741" s="19" t="str">
        <f>IFERROR(__xludf.DUMMYFUNCTION("""COMPUTED_VALUE"""),"-")</f>
        <v>-</v>
      </c>
      <c r="M741" s="19" t="str">
        <f>IFERROR(__xludf.DUMMYFUNCTION("""COMPUTED_VALUE"""),"-")</f>
        <v>-</v>
      </c>
    </row>
    <row r="742">
      <c r="A742" s="12" t="s">
        <v>9532</v>
      </c>
      <c r="G742" s="19">
        <f>IFERROR(__xludf.DUMMYFUNCTION("SPLIT(A740, "" |"")"),368501.0)</f>
        <v>368501</v>
      </c>
      <c r="H742" s="19">
        <f>IFERROR(__xludf.DUMMYFUNCTION("""COMPUTED_VALUE"""),0.0049)</f>
        <v>0.0049</v>
      </c>
      <c r="I742" s="19" t="str">
        <f>IFERROR(__xludf.DUMMYFUNCTION("""COMPUTED_VALUE"""),"-")</f>
        <v>-</v>
      </c>
      <c r="J742" s="19">
        <f>IFERROR(__xludf.DUMMYFUNCTION("""COMPUTED_VALUE"""),0.01818)</f>
        <v>0.01818</v>
      </c>
      <c r="K742" s="19">
        <f>IFERROR(__xludf.DUMMYFUNCTION("""COMPUTED_VALUE"""),0.12975)</f>
        <v>0.12975</v>
      </c>
      <c r="L742" s="19" t="str">
        <f>IFERROR(__xludf.DUMMYFUNCTION("""COMPUTED_VALUE"""),"-")</f>
        <v>-</v>
      </c>
      <c r="M742" s="19" t="str">
        <f>IFERROR(__xludf.DUMMYFUNCTION("""COMPUTED_VALUE"""),"-")</f>
        <v>-</v>
      </c>
    </row>
    <row r="743">
      <c r="A743" s="12" t="s">
        <v>9533</v>
      </c>
      <c r="G743" s="19">
        <f>IFERROR(__xludf.DUMMYFUNCTION("SPLIT(A741, "" |"")"),369001.0)</f>
        <v>369001</v>
      </c>
      <c r="H743" s="19">
        <f>IFERROR(__xludf.DUMMYFUNCTION("""COMPUTED_VALUE"""),0.00491)</f>
        <v>0.00491</v>
      </c>
      <c r="I743" s="19" t="str">
        <f>IFERROR(__xludf.DUMMYFUNCTION("""COMPUTED_VALUE"""),"-")</f>
        <v>-</v>
      </c>
      <c r="J743" s="19">
        <f>IFERROR(__xludf.DUMMYFUNCTION("""COMPUTED_VALUE"""),0.01986)</f>
        <v>0.01986</v>
      </c>
      <c r="K743" s="19">
        <f>IFERROR(__xludf.DUMMYFUNCTION("""COMPUTED_VALUE"""),0.12906)</f>
        <v>0.12906</v>
      </c>
      <c r="L743" s="19" t="str">
        <f>IFERROR(__xludf.DUMMYFUNCTION("""COMPUTED_VALUE"""),"-")</f>
        <v>-</v>
      </c>
      <c r="M743" s="19" t="str">
        <f>IFERROR(__xludf.DUMMYFUNCTION("""COMPUTED_VALUE"""),"-")</f>
        <v>-</v>
      </c>
    </row>
    <row r="744">
      <c r="A744" s="12" t="s">
        <v>9534</v>
      </c>
      <c r="G744" s="19">
        <f>IFERROR(__xludf.DUMMYFUNCTION("SPLIT(A742, "" |"")"),369501.0)</f>
        <v>369501</v>
      </c>
      <c r="H744" s="19">
        <f>IFERROR(__xludf.DUMMYFUNCTION("""COMPUTED_VALUE"""),0.00479)</f>
        <v>0.00479</v>
      </c>
      <c r="I744" s="19" t="str">
        <f>IFERROR(__xludf.DUMMYFUNCTION("""COMPUTED_VALUE"""),"-")</f>
        <v>-</v>
      </c>
      <c r="J744" s="19">
        <f>IFERROR(__xludf.DUMMYFUNCTION("""COMPUTED_VALUE"""),0.01945)</f>
        <v>0.01945</v>
      </c>
      <c r="K744" s="19">
        <f>IFERROR(__xludf.DUMMYFUNCTION("""COMPUTED_VALUE"""),0.132)</f>
        <v>0.132</v>
      </c>
      <c r="L744" s="19" t="str">
        <f>IFERROR(__xludf.DUMMYFUNCTION("""COMPUTED_VALUE"""),"-")</f>
        <v>-</v>
      </c>
      <c r="M744" s="19" t="str">
        <f>IFERROR(__xludf.DUMMYFUNCTION("""COMPUTED_VALUE"""),"-")</f>
        <v>-</v>
      </c>
    </row>
    <row r="745">
      <c r="A745" s="12" t="s">
        <v>9535</v>
      </c>
      <c r="G745" s="19">
        <f>IFERROR(__xludf.DUMMYFUNCTION("SPLIT(A743, "" |"")"),370001.0)</f>
        <v>370001</v>
      </c>
      <c r="H745" s="19">
        <f>IFERROR(__xludf.DUMMYFUNCTION("""COMPUTED_VALUE"""),0.00494)</f>
        <v>0.00494</v>
      </c>
      <c r="I745" s="19" t="str">
        <f>IFERROR(__xludf.DUMMYFUNCTION("""COMPUTED_VALUE"""),"-")</f>
        <v>-</v>
      </c>
      <c r="J745" s="19">
        <f>IFERROR(__xludf.DUMMYFUNCTION("""COMPUTED_VALUE"""),0.01767)</f>
        <v>0.01767</v>
      </c>
      <c r="K745" s="19">
        <f>IFERROR(__xludf.DUMMYFUNCTION("""COMPUTED_VALUE"""),0.12063)</f>
        <v>0.12063</v>
      </c>
      <c r="L745" s="19" t="str">
        <f>IFERROR(__xludf.DUMMYFUNCTION("""COMPUTED_VALUE"""),"-")</f>
        <v>-</v>
      </c>
      <c r="M745" s="19" t="str">
        <f>IFERROR(__xludf.DUMMYFUNCTION("""COMPUTED_VALUE"""),"-")</f>
        <v>-</v>
      </c>
    </row>
    <row r="746">
      <c r="A746" s="12" t="s">
        <v>9536</v>
      </c>
      <c r="G746" s="19">
        <f>IFERROR(__xludf.DUMMYFUNCTION("SPLIT(A744, "" |"")"),370501.0)</f>
        <v>370501</v>
      </c>
      <c r="H746" s="19">
        <f>IFERROR(__xludf.DUMMYFUNCTION("""COMPUTED_VALUE"""),0.00465)</f>
        <v>0.00465</v>
      </c>
      <c r="I746" s="19" t="str">
        <f>IFERROR(__xludf.DUMMYFUNCTION("""COMPUTED_VALUE"""),"-")</f>
        <v>-</v>
      </c>
      <c r="J746" s="19">
        <f>IFERROR(__xludf.DUMMYFUNCTION("""COMPUTED_VALUE"""),0.01948)</f>
        <v>0.01948</v>
      </c>
      <c r="K746" s="19">
        <f>IFERROR(__xludf.DUMMYFUNCTION("""COMPUTED_VALUE"""),0.13192)</f>
        <v>0.13192</v>
      </c>
      <c r="L746" s="19" t="str">
        <f>IFERROR(__xludf.DUMMYFUNCTION("""COMPUTED_VALUE"""),"-")</f>
        <v>-</v>
      </c>
      <c r="M746" s="19" t="str">
        <f>IFERROR(__xludf.DUMMYFUNCTION("""COMPUTED_VALUE"""),"-")</f>
        <v>-</v>
      </c>
    </row>
    <row r="747">
      <c r="A747" s="12" t="s">
        <v>9537</v>
      </c>
      <c r="G747" s="19">
        <f>IFERROR(__xludf.DUMMYFUNCTION("SPLIT(A745, "" |"")"),371001.0)</f>
        <v>371001</v>
      </c>
      <c r="H747" s="19">
        <f>IFERROR(__xludf.DUMMYFUNCTION("""COMPUTED_VALUE"""),0.00479)</f>
        <v>0.00479</v>
      </c>
      <c r="I747" s="19" t="str">
        <f>IFERROR(__xludf.DUMMYFUNCTION("""COMPUTED_VALUE"""),"-")</f>
        <v>-</v>
      </c>
      <c r="J747" s="19">
        <f>IFERROR(__xludf.DUMMYFUNCTION("""COMPUTED_VALUE"""),0.01964)</f>
        <v>0.01964</v>
      </c>
      <c r="K747" s="19">
        <f>IFERROR(__xludf.DUMMYFUNCTION("""COMPUTED_VALUE"""),0.13193)</f>
        <v>0.13193</v>
      </c>
      <c r="L747" s="19" t="str">
        <f>IFERROR(__xludf.DUMMYFUNCTION("""COMPUTED_VALUE"""),"-")</f>
        <v>-</v>
      </c>
      <c r="M747" s="19" t="str">
        <f>IFERROR(__xludf.DUMMYFUNCTION("""COMPUTED_VALUE"""),"-")</f>
        <v>-</v>
      </c>
    </row>
    <row r="748">
      <c r="A748" s="12" t="s">
        <v>9538</v>
      </c>
      <c r="G748" s="19">
        <f>IFERROR(__xludf.DUMMYFUNCTION("SPLIT(A746, "" |"")"),371501.0)</f>
        <v>371501</v>
      </c>
      <c r="H748" s="19">
        <f>IFERROR(__xludf.DUMMYFUNCTION("""COMPUTED_VALUE"""),0.00487)</f>
        <v>0.00487</v>
      </c>
      <c r="I748" s="19" t="str">
        <f>IFERROR(__xludf.DUMMYFUNCTION("""COMPUTED_VALUE"""),"-")</f>
        <v>-</v>
      </c>
      <c r="J748" s="19">
        <f>IFERROR(__xludf.DUMMYFUNCTION("""COMPUTED_VALUE"""),0.01963)</f>
        <v>0.01963</v>
      </c>
      <c r="K748" s="19">
        <f>IFERROR(__xludf.DUMMYFUNCTION("""COMPUTED_VALUE"""),0.13187)</f>
        <v>0.13187</v>
      </c>
      <c r="L748" s="19" t="str">
        <f>IFERROR(__xludf.DUMMYFUNCTION("""COMPUTED_VALUE"""),"-")</f>
        <v>-</v>
      </c>
      <c r="M748" s="19" t="str">
        <f>IFERROR(__xludf.DUMMYFUNCTION("""COMPUTED_VALUE"""),"-")</f>
        <v>-</v>
      </c>
    </row>
    <row r="749">
      <c r="A749" s="12" t="s">
        <v>9539</v>
      </c>
      <c r="G749" s="19">
        <f>IFERROR(__xludf.DUMMYFUNCTION("SPLIT(A747, "" |"")"),372001.0)</f>
        <v>372001</v>
      </c>
      <c r="H749" s="19">
        <f>IFERROR(__xludf.DUMMYFUNCTION("""COMPUTED_VALUE"""),0.00461)</f>
        <v>0.00461</v>
      </c>
      <c r="I749" s="19" t="str">
        <f>IFERROR(__xludf.DUMMYFUNCTION("""COMPUTED_VALUE"""),"-")</f>
        <v>-</v>
      </c>
      <c r="J749" s="19">
        <f>IFERROR(__xludf.DUMMYFUNCTION("""COMPUTED_VALUE"""),0.01964)</f>
        <v>0.01964</v>
      </c>
      <c r="K749" s="19">
        <f>IFERROR(__xludf.DUMMYFUNCTION("""COMPUTED_VALUE"""),0.13188)</f>
        <v>0.13188</v>
      </c>
      <c r="L749" s="19" t="str">
        <f>IFERROR(__xludf.DUMMYFUNCTION("""COMPUTED_VALUE"""),"-")</f>
        <v>-</v>
      </c>
      <c r="M749" s="19" t="str">
        <f>IFERROR(__xludf.DUMMYFUNCTION("""COMPUTED_VALUE"""),"-")</f>
        <v>-</v>
      </c>
    </row>
    <row r="750">
      <c r="A750" s="12" t="s">
        <v>9540</v>
      </c>
      <c r="G750" s="19">
        <f>IFERROR(__xludf.DUMMYFUNCTION("SPLIT(A748, "" |"")"),372501.0)</f>
        <v>372501</v>
      </c>
      <c r="H750" s="19">
        <f>IFERROR(__xludf.DUMMYFUNCTION("""COMPUTED_VALUE"""),0.00476)</f>
        <v>0.00476</v>
      </c>
      <c r="I750" s="19" t="str">
        <f>IFERROR(__xludf.DUMMYFUNCTION("""COMPUTED_VALUE"""),"-")</f>
        <v>-</v>
      </c>
      <c r="J750" s="19">
        <f>IFERROR(__xludf.DUMMYFUNCTION("""COMPUTED_VALUE"""),0.01958)</f>
        <v>0.01958</v>
      </c>
      <c r="K750" s="19">
        <f>IFERROR(__xludf.DUMMYFUNCTION("""COMPUTED_VALUE"""),0.13181)</f>
        <v>0.13181</v>
      </c>
      <c r="L750" s="19" t="str">
        <f>IFERROR(__xludf.DUMMYFUNCTION("""COMPUTED_VALUE"""),"-")</f>
        <v>-</v>
      </c>
      <c r="M750" s="19" t="str">
        <f>IFERROR(__xludf.DUMMYFUNCTION("""COMPUTED_VALUE"""),"-")</f>
        <v>-</v>
      </c>
    </row>
    <row r="751">
      <c r="A751" s="12" t="s">
        <v>9541</v>
      </c>
      <c r="G751" s="19">
        <f>IFERROR(__xludf.DUMMYFUNCTION("SPLIT(A749, "" |"")"),373001.0)</f>
        <v>373001</v>
      </c>
      <c r="H751" s="19">
        <f>IFERROR(__xludf.DUMMYFUNCTION("""COMPUTED_VALUE"""),0.00525)</f>
        <v>0.00525</v>
      </c>
      <c r="I751" s="19" t="str">
        <f>IFERROR(__xludf.DUMMYFUNCTION("""COMPUTED_VALUE"""),"-")</f>
        <v>-</v>
      </c>
      <c r="J751" s="19">
        <f>IFERROR(__xludf.DUMMYFUNCTION("""COMPUTED_VALUE"""),0.01968)</f>
        <v>0.01968</v>
      </c>
      <c r="K751" s="19">
        <f>IFERROR(__xludf.DUMMYFUNCTION("""COMPUTED_VALUE"""),0.12798)</f>
        <v>0.12798</v>
      </c>
      <c r="L751" s="19" t="str">
        <f>IFERROR(__xludf.DUMMYFUNCTION("""COMPUTED_VALUE"""),"-")</f>
        <v>-</v>
      </c>
      <c r="M751" s="19" t="str">
        <f>IFERROR(__xludf.DUMMYFUNCTION("""COMPUTED_VALUE"""),"-")</f>
        <v>-</v>
      </c>
    </row>
    <row r="752">
      <c r="A752" s="12" t="s">
        <v>9542</v>
      </c>
      <c r="G752" s="19">
        <f>IFERROR(__xludf.DUMMYFUNCTION("SPLIT(A750, "" |"")"),373501.0)</f>
        <v>373501</v>
      </c>
      <c r="H752" s="19">
        <f>IFERROR(__xludf.DUMMYFUNCTION("""COMPUTED_VALUE"""),0.00477)</f>
        <v>0.00477</v>
      </c>
      <c r="I752" s="19" t="str">
        <f>IFERROR(__xludf.DUMMYFUNCTION("""COMPUTED_VALUE"""),"-")</f>
        <v>-</v>
      </c>
      <c r="J752" s="19">
        <f>IFERROR(__xludf.DUMMYFUNCTION("""COMPUTED_VALUE"""),0.01957)</f>
        <v>0.01957</v>
      </c>
      <c r="K752" s="19">
        <f>IFERROR(__xludf.DUMMYFUNCTION("""COMPUTED_VALUE"""),0.12872)</f>
        <v>0.12872</v>
      </c>
      <c r="L752" s="19" t="str">
        <f>IFERROR(__xludf.DUMMYFUNCTION("""COMPUTED_VALUE"""),"-")</f>
        <v>-</v>
      </c>
      <c r="M752" s="19" t="str">
        <f>IFERROR(__xludf.DUMMYFUNCTION("""COMPUTED_VALUE"""),"-")</f>
        <v>-</v>
      </c>
    </row>
    <row r="753">
      <c r="A753" s="12" t="s">
        <v>9543</v>
      </c>
      <c r="G753" s="19">
        <f>IFERROR(__xludf.DUMMYFUNCTION("SPLIT(A751, "" |"")"),374001.0)</f>
        <v>374001</v>
      </c>
      <c r="H753" s="19">
        <f>IFERROR(__xludf.DUMMYFUNCTION("""COMPUTED_VALUE"""),0.00475)</f>
        <v>0.00475</v>
      </c>
      <c r="I753" s="19" t="str">
        <f>IFERROR(__xludf.DUMMYFUNCTION("""COMPUTED_VALUE"""),"-")</f>
        <v>-</v>
      </c>
      <c r="J753" s="19">
        <f>IFERROR(__xludf.DUMMYFUNCTION("""COMPUTED_VALUE"""),0.01959)</f>
        <v>0.01959</v>
      </c>
      <c r="K753" s="19">
        <f>IFERROR(__xludf.DUMMYFUNCTION("""COMPUTED_VALUE"""),0.12652)</f>
        <v>0.12652</v>
      </c>
      <c r="L753" s="19" t="str">
        <f>IFERROR(__xludf.DUMMYFUNCTION("""COMPUTED_VALUE"""),"-")</f>
        <v>-</v>
      </c>
      <c r="M753" s="19" t="str">
        <f>IFERROR(__xludf.DUMMYFUNCTION("""COMPUTED_VALUE"""),"-")</f>
        <v>-</v>
      </c>
    </row>
    <row r="754">
      <c r="A754" s="12" t="s">
        <v>9544</v>
      </c>
      <c r="G754" s="19">
        <f>IFERROR(__xludf.DUMMYFUNCTION("SPLIT(A752, "" |"")"),374501.0)</f>
        <v>374501</v>
      </c>
      <c r="H754" s="19">
        <f>IFERROR(__xludf.DUMMYFUNCTION("""COMPUTED_VALUE"""),0.00466)</f>
        <v>0.00466</v>
      </c>
      <c r="I754" s="19" t="str">
        <f>IFERROR(__xludf.DUMMYFUNCTION("""COMPUTED_VALUE"""),"-")</f>
        <v>-</v>
      </c>
      <c r="J754" s="19">
        <f>IFERROR(__xludf.DUMMYFUNCTION("""COMPUTED_VALUE"""),0.01945)</f>
        <v>0.01945</v>
      </c>
      <c r="K754" s="19">
        <f>IFERROR(__xludf.DUMMYFUNCTION("""COMPUTED_VALUE"""),0.12967)</f>
        <v>0.12967</v>
      </c>
      <c r="L754" s="19" t="str">
        <f>IFERROR(__xludf.DUMMYFUNCTION("""COMPUTED_VALUE"""),"-")</f>
        <v>-</v>
      </c>
      <c r="M754" s="19" t="str">
        <f>IFERROR(__xludf.DUMMYFUNCTION("""COMPUTED_VALUE"""),"-")</f>
        <v>-</v>
      </c>
    </row>
    <row r="755">
      <c r="A755" s="12" t="s">
        <v>9545</v>
      </c>
      <c r="G755" s="19">
        <f>IFERROR(__xludf.DUMMYFUNCTION("SPLIT(A753, "" |"")"),375001.0)</f>
        <v>375001</v>
      </c>
      <c r="H755" s="19">
        <f>IFERROR(__xludf.DUMMYFUNCTION("""COMPUTED_VALUE"""),0.00483)</f>
        <v>0.00483</v>
      </c>
      <c r="I755" s="19" t="str">
        <f>IFERROR(__xludf.DUMMYFUNCTION("""COMPUTED_VALUE"""),"-")</f>
        <v>-</v>
      </c>
      <c r="J755" s="19">
        <f>IFERROR(__xludf.DUMMYFUNCTION("""COMPUTED_VALUE"""),0.01986)</f>
        <v>0.01986</v>
      </c>
      <c r="K755" s="19">
        <f>IFERROR(__xludf.DUMMYFUNCTION("""COMPUTED_VALUE"""),0.13191)</f>
        <v>0.13191</v>
      </c>
      <c r="L755" s="19" t="str">
        <f>IFERROR(__xludf.DUMMYFUNCTION("""COMPUTED_VALUE"""),"-")</f>
        <v>-</v>
      </c>
      <c r="M755" s="19" t="str">
        <f>IFERROR(__xludf.DUMMYFUNCTION("""COMPUTED_VALUE"""),"-")</f>
        <v>-</v>
      </c>
    </row>
    <row r="756">
      <c r="A756" s="12" t="s">
        <v>9546</v>
      </c>
      <c r="G756" s="19">
        <f>IFERROR(__xludf.DUMMYFUNCTION("SPLIT(A754, "" |"")"),375501.0)</f>
        <v>375501</v>
      </c>
      <c r="H756" s="19">
        <f>IFERROR(__xludf.DUMMYFUNCTION("""COMPUTED_VALUE"""),0.00477)</f>
        <v>0.00477</v>
      </c>
      <c r="I756" s="19" t="str">
        <f>IFERROR(__xludf.DUMMYFUNCTION("""COMPUTED_VALUE"""),"-")</f>
        <v>-</v>
      </c>
      <c r="J756" s="19">
        <f>IFERROR(__xludf.DUMMYFUNCTION("""COMPUTED_VALUE"""),0.01796)</f>
        <v>0.01796</v>
      </c>
      <c r="K756" s="19">
        <f>IFERROR(__xludf.DUMMYFUNCTION("""COMPUTED_VALUE"""),0.13196)</f>
        <v>0.13196</v>
      </c>
      <c r="L756" s="19" t="str">
        <f>IFERROR(__xludf.DUMMYFUNCTION("""COMPUTED_VALUE"""),"-")</f>
        <v>-</v>
      </c>
      <c r="M756" s="19" t="str">
        <f>IFERROR(__xludf.DUMMYFUNCTION("""COMPUTED_VALUE"""),"-")</f>
        <v>-</v>
      </c>
    </row>
    <row r="757">
      <c r="A757" s="12" t="s">
        <v>9547</v>
      </c>
      <c r="G757" s="19">
        <f>IFERROR(__xludf.DUMMYFUNCTION("SPLIT(A755, "" |"")"),376001.0)</f>
        <v>376001</v>
      </c>
      <c r="H757" s="19">
        <f>IFERROR(__xludf.DUMMYFUNCTION("""COMPUTED_VALUE"""),0.00482)</f>
        <v>0.00482</v>
      </c>
      <c r="I757" s="19" t="str">
        <f>IFERROR(__xludf.DUMMYFUNCTION("""COMPUTED_VALUE"""),"-")</f>
        <v>-</v>
      </c>
      <c r="J757" s="19">
        <f>IFERROR(__xludf.DUMMYFUNCTION("""COMPUTED_VALUE"""),0.01964)</f>
        <v>0.01964</v>
      </c>
      <c r="K757" s="19">
        <f>IFERROR(__xludf.DUMMYFUNCTION("""COMPUTED_VALUE"""),0.13178)</f>
        <v>0.13178</v>
      </c>
      <c r="L757" s="19" t="str">
        <f>IFERROR(__xludf.DUMMYFUNCTION("""COMPUTED_VALUE"""),"-")</f>
        <v>-</v>
      </c>
      <c r="M757" s="19" t="str">
        <f>IFERROR(__xludf.DUMMYFUNCTION("""COMPUTED_VALUE"""),"-")</f>
        <v>-</v>
      </c>
    </row>
    <row r="758">
      <c r="A758" s="12" t="s">
        <v>9548</v>
      </c>
      <c r="G758" s="19">
        <f>IFERROR(__xludf.DUMMYFUNCTION("SPLIT(A756, "" |"")"),376501.0)</f>
        <v>376501</v>
      </c>
      <c r="H758" s="19">
        <f>IFERROR(__xludf.DUMMYFUNCTION("""COMPUTED_VALUE"""),0.00475)</f>
        <v>0.00475</v>
      </c>
      <c r="I758" s="19" t="str">
        <f>IFERROR(__xludf.DUMMYFUNCTION("""COMPUTED_VALUE"""),"-")</f>
        <v>-</v>
      </c>
      <c r="J758" s="19">
        <f>IFERROR(__xludf.DUMMYFUNCTION("""COMPUTED_VALUE"""),0.01861)</f>
        <v>0.01861</v>
      </c>
      <c r="K758" s="19">
        <f>IFERROR(__xludf.DUMMYFUNCTION("""COMPUTED_VALUE"""),0.1252)</f>
        <v>0.1252</v>
      </c>
      <c r="L758" s="19" t="str">
        <f>IFERROR(__xludf.DUMMYFUNCTION("""COMPUTED_VALUE"""),"-")</f>
        <v>-</v>
      </c>
      <c r="M758" s="19" t="str">
        <f>IFERROR(__xludf.DUMMYFUNCTION("""COMPUTED_VALUE"""),"-")</f>
        <v>-</v>
      </c>
    </row>
    <row r="759">
      <c r="A759" s="12" t="s">
        <v>9549</v>
      </c>
      <c r="G759" s="19">
        <f>IFERROR(__xludf.DUMMYFUNCTION("SPLIT(A757, "" |"")"),377001.0)</f>
        <v>377001</v>
      </c>
      <c r="H759" s="19">
        <f>IFERROR(__xludf.DUMMYFUNCTION("""COMPUTED_VALUE"""),0.00475)</f>
        <v>0.00475</v>
      </c>
      <c r="I759" s="19" t="str">
        <f>IFERROR(__xludf.DUMMYFUNCTION("""COMPUTED_VALUE"""),"-")</f>
        <v>-</v>
      </c>
      <c r="J759" s="19">
        <f>IFERROR(__xludf.DUMMYFUNCTION("""COMPUTED_VALUE"""),0.01922)</f>
        <v>0.01922</v>
      </c>
      <c r="K759" s="19">
        <f>IFERROR(__xludf.DUMMYFUNCTION("""COMPUTED_VALUE"""),0.12789)</f>
        <v>0.12789</v>
      </c>
      <c r="L759" s="19" t="str">
        <f>IFERROR(__xludf.DUMMYFUNCTION("""COMPUTED_VALUE"""),"-")</f>
        <v>-</v>
      </c>
      <c r="M759" s="19" t="str">
        <f>IFERROR(__xludf.DUMMYFUNCTION("""COMPUTED_VALUE"""),"-")</f>
        <v>-</v>
      </c>
    </row>
    <row r="760">
      <c r="A760" s="12" t="s">
        <v>9550</v>
      </c>
      <c r="G760" s="19">
        <f>IFERROR(__xludf.DUMMYFUNCTION("SPLIT(A758, "" |"")"),377501.0)</f>
        <v>377501</v>
      </c>
      <c r="H760" s="19">
        <f>IFERROR(__xludf.DUMMYFUNCTION("""COMPUTED_VALUE"""),0.00487)</f>
        <v>0.00487</v>
      </c>
      <c r="I760" s="19" t="str">
        <f>IFERROR(__xludf.DUMMYFUNCTION("""COMPUTED_VALUE"""),"-")</f>
        <v>-</v>
      </c>
      <c r="J760" s="19">
        <f>IFERROR(__xludf.DUMMYFUNCTION("""COMPUTED_VALUE"""),0.01977)</f>
        <v>0.01977</v>
      </c>
      <c r="K760" s="19">
        <f>IFERROR(__xludf.DUMMYFUNCTION("""COMPUTED_VALUE"""),0.13206)</f>
        <v>0.13206</v>
      </c>
      <c r="L760" s="19" t="str">
        <f>IFERROR(__xludf.DUMMYFUNCTION("""COMPUTED_VALUE"""),"-")</f>
        <v>-</v>
      </c>
      <c r="M760" s="19" t="str">
        <f>IFERROR(__xludf.DUMMYFUNCTION("""COMPUTED_VALUE"""),"-")</f>
        <v>-</v>
      </c>
    </row>
    <row r="761">
      <c r="A761" s="12" t="s">
        <v>9551</v>
      </c>
      <c r="G761" s="19">
        <f>IFERROR(__xludf.DUMMYFUNCTION("SPLIT(A759, "" |"")"),378001.0)</f>
        <v>378001</v>
      </c>
      <c r="H761" s="19">
        <f>IFERROR(__xludf.DUMMYFUNCTION("""COMPUTED_VALUE"""),0.00483)</f>
        <v>0.00483</v>
      </c>
      <c r="I761" s="19" t="str">
        <f>IFERROR(__xludf.DUMMYFUNCTION("""COMPUTED_VALUE"""),"-")</f>
        <v>-</v>
      </c>
      <c r="J761" s="19">
        <f>IFERROR(__xludf.DUMMYFUNCTION("""COMPUTED_VALUE"""),0.01966)</f>
        <v>0.01966</v>
      </c>
      <c r="K761" s="19">
        <f>IFERROR(__xludf.DUMMYFUNCTION("""COMPUTED_VALUE"""),0.12998)</f>
        <v>0.12998</v>
      </c>
      <c r="L761" s="19" t="str">
        <f>IFERROR(__xludf.DUMMYFUNCTION("""COMPUTED_VALUE"""),"-")</f>
        <v>-</v>
      </c>
      <c r="M761" s="19" t="str">
        <f>IFERROR(__xludf.DUMMYFUNCTION("""COMPUTED_VALUE"""),"-")</f>
        <v>-</v>
      </c>
    </row>
    <row r="762">
      <c r="A762" s="12" t="s">
        <v>9552</v>
      </c>
      <c r="G762" s="19">
        <f>IFERROR(__xludf.DUMMYFUNCTION("SPLIT(A760, "" |"")"),378501.0)</f>
        <v>378501</v>
      </c>
      <c r="H762" s="19">
        <f>IFERROR(__xludf.DUMMYFUNCTION("""COMPUTED_VALUE"""),0.00468)</f>
        <v>0.00468</v>
      </c>
      <c r="I762" s="19" t="str">
        <f>IFERROR(__xludf.DUMMYFUNCTION("""COMPUTED_VALUE"""),"-")</f>
        <v>-</v>
      </c>
      <c r="J762" s="19">
        <f>IFERROR(__xludf.DUMMYFUNCTION("""COMPUTED_VALUE"""),0.02056)</f>
        <v>0.02056</v>
      </c>
      <c r="K762" s="19">
        <f>IFERROR(__xludf.DUMMYFUNCTION("""COMPUTED_VALUE"""),0.12912)</f>
        <v>0.12912</v>
      </c>
      <c r="L762" s="19" t="str">
        <f>IFERROR(__xludf.DUMMYFUNCTION("""COMPUTED_VALUE"""),"-")</f>
        <v>-</v>
      </c>
      <c r="M762" s="19" t="str">
        <f>IFERROR(__xludf.DUMMYFUNCTION("""COMPUTED_VALUE"""),"-")</f>
        <v>-</v>
      </c>
    </row>
    <row r="763">
      <c r="A763" s="12" t="s">
        <v>9553</v>
      </c>
      <c r="G763" s="19">
        <f>IFERROR(__xludf.DUMMYFUNCTION("SPLIT(A761, "" |"")"),379001.0)</f>
        <v>379001</v>
      </c>
      <c r="H763" s="19">
        <f>IFERROR(__xludf.DUMMYFUNCTION("""COMPUTED_VALUE"""),0.00476)</f>
        <v>0.00476</v>
      </c>
      <c r="I763" s="19" t="str">
        <f>IFERROR(__xludf.DUMMYFUNCTION("""COMPUTED_VALUE"""),"-")</f>
        <v>-</v>
      </c>
      <c r="J763" s="19">
        <f>IFERROR(__xludf.DUMMYFUNCTION("""COMPUTED_VALUE"""),0.01951)</f>
        <v>0.01951</v>
      </c>
      <c r="K763" s="19">
        <f>IFERROR(__xludf.DUMMYFUNCTION("""COMPUTED_VALUE"""),0.13182)</f>
        <v>0.13182</v>
      </c>
      <c r="L763" s="19" t="str">
        <f>IFERROR(__xludf.DUMMYFUNCTION("""COMPUTED_VALUE"""),"-")</f>
        <v>-</v>
      </c>
      <c r="M763" s="19" t="str">
        <f>IFERROR(__xludf.DUMMYFUNCTION("""COMPUTED_VALUE"""),"-")</f>
        <v>-</v>
      </c>
    </row>
    <row r="764">
      <c r="A764" s="12" t="s">
        <v>9554</v>
      </c>
      <c r="G764" s="19">
        <f>IFERROR(__xludf.DUMMYFUNCTION("SPLIT(A762, "" |"")"),379501.0)</f>
        <v>379501</v>
      </c>
      <c r="H764" s="19">
        <f>IFERROR(__xludf.DUMMYFUNCTION("""COMPUTED_VALUE"""),0.00467)</f>
        <v>0.00467</v>
      </c>
      <c r="I764" s="19" t="str">
        <f>IFERROR(__xludf.DUMMYFUNCTION("""COMPUTED_VALUE"""),"-")</f>
        <v>-</v>
      </c>
      <c r="J764" s="19">
        <f>IFERROR(__xludf.DUMMYFUNCTION("""COMPUTED_VALUE"""),0.01956)</f>
        <v>0.01956</v>
      </c>
      <c r="K764" s="19">
        <f>IFERROR(__xludf.DUMMYFUNCTION("""COMPUTED_VALUE"""),0.12642)</f>
        <v>0.12642</v>
      </c>
      <c r="L764" s="19" t="str">
        <f>IFERROR(__xludf.DUMMYFUNCTION("""COMPUTED_VALUE"""),"-")</f>
        <v>-</v>
      </c>
      <c r="M764" s="19" t="str">
        <f>IFERROR(__xludf.DUMMYFUNCTION("""COMPUTED_VALUE"""),"-")</f>
        <v>-</v>
      </c>
    </row>
    <row r="765">
      <c r="A765" s="12" t="s">
        <v>9555</v>
      </c>
      <c r="G765" s="19">
        <f>IFERROR(__xludf.DUMMYFUNCTION("SPLIT(A763, "" |"")"),380001.0)</f>
        <v>380001</v>
      </c>
      <c r="H765" s="19">
        <f>IFERROR(__xludf.DUMMYFUNCTION("""COMPUTED_VALUE"""),0.0047)</f>
        <v>0.0047</v>
      </c>
      <c r="I765" s="19" t="str">
        <f>IFERROR(__xludf.DUMMYFUNCTION("""COMPUTED_VALUE"""),"-")</f>
        <v>-</v>
      </c>
      <c r="J765" s="19">
        <f>IFERROR(__xludf.DUMMYFUNCTION("""COMPUTED_VALUE"""),0.01951)</f>
        <v>0.01951</v>
      </c>
      <c r="K765" s="19">
        <f>IFERROR(__xludf.DUMMYFUNCTION("""COMPUTED_VALUE"""),0.12846)</f>
        <v>0.12846</v>
      </c>
      <c r="L765" s="19" t="str">
        <f>IFERROR(__xludf.DUMMYFUNCTION("""COMPUTED_VALUE"""),"-")</f>
        <v>-</v>
      </c>
      <c r="M765" s="19" t="str">
        <f>IFERROR(__xludf.DUMMYFUNCTION("""COMPUTED_VALUE"""),"-")</f>
        <v>-</v>
      </c>
    </row>
    <row r="766">
      <c r="A766" s="12" t="s">
        <v>9556</v>
      </c>
      <c r="G766" s="19">
        <f>IFERROR(__xludf.DUMMYFUNCTION("SPLIT(A764, "" |"")"),380501.0)</f>
        <v>380501</v>
      </c>
      <c r="H766" s="19">
        <f>IFERROR(__xludf.DUMMYFUNCTION("""COMPUTED_VALUE"""),0.00468)</f>
        <v>0.00468</v>
      </c>
      <c r="I766" s="19" t="str">
        <f>IFERROR(__xludf.DUMMYFUNCTION("""COMPUTED_VALUE"""),"-")</f>
        <v>-</v>
      </c>
      <c r="J766" s="19">
        <f>IFERROR(__xludf.DUMMYFUNCTION("""COMPUTED_VALUE"""),0.0196)</f>
        <v>0.0196</v>
      </c>
      <c r="K766" s="19">
        <f>IFERROR(__xludf.DUMMYFUNCTION("""COMPUTED_VALUE"""),0.13156)</f>
        <v>0.13156</v>
      </c>
      <c r="L766" s="19" t="str">
        <f>IFERROR(__xludf.DUMMYFUNCTION("""COMPUTED_VALUE"""),"-")</f>
        <v>-</v>
      </c>
      <c r="M766" s="19" t="str">
        <f>IFERROR(__xludf.DUMMYFUNCTION("""COMPUTED_VALUE"""),"-")</f>
        <v>-</v>
      </c>
    </row>
    <row r="767">
      <c r="A767" s="12" t="s">
        <v>9557</v>
      </c>
      <c r="G767" s="19">
        <f>IFERROR(__xludf.DUMMYFUNCTION("SPLIT(A765, "" |"")"),381001.0)</f>
        <v>381001</v>
      </c>
      <c r="H767" s="19">
        <f>IFERROR(__xludf.DUMMYFUNCTION("""COMPUTED_VALUE"""),0.00462)</f>
        <v>0.00462</v>
      </c>
      <c r="I767" s="19" t="str">
        <f>IFERROR(__xludf.DUMMYFUNCTION("""COMPUTED_VALUE"""),"-")</f>
        <v>-</v>
      </c>
      <c r="J767" s="19">
        <f>IFERROR(__xludf.DUMMYFUNCTION("""COMPUTED_VALUE"""),0.01956)</f>
        <v>0.01956</v>
      </c>
      <c r="K767" s="19">
        <f>IFERROR(__xludf.DUMMYFUNCTION("""COMPUTED_VALUE"""),0.13171)</f>
        <v>0.13171</v>
      </c>
      <c r="L767" s="19" t="str">
        <f>IFERROR(__xludf.DUMMYFUNCTION("""COMPUTED_VALUE"""),"-")</f>
        <v>-</v>
      </c>
      <c r="M767" s="19" t="str">
        <f>IFERROR(__xludf.DUMMYFUNCTION("""COMPUTED_VALUE"""),"-")</f>
        <v>-</v>
      </c>
    </row>
    <row r="768">
      <c r="A768" s="12" t="s">
        <v>9558</v>
      </c>
      <c r="G768" s="19">
        <f>IFERROR(__xludf.DUMMYFUNCTION("SPLIT(A766, "" |"")"),381501.0)</f>
        <v>381501</v>
      </c>
      <c r="H768" s="19">
        <f>IFERROR(__xludf.DUMMYFUNCTION("""COMPUTED_VALUE"""),0.0047)</f>
        <v>0.0047</v>
      </c>
      <c r="I768" s="19" t="str">
        <f>IFERROR(__xludf.DUMMYFUNCTION("""COMPUTED_VALUE"""),"-")</f>
        <v>-</v>
      </c>
      <c r="J768" s="19">
        <f>IFERROR(__xludf.DUMMYFUNCTION("""COMPUTED_VALUE"""),0.01958)</f>
        <v>0.01958</v>
      </c>
      <c r="K768" s="19">
        <f>IFERROR(__xludf.DUMMYFUNCTION("""COMPUTED_VALUE"""),0.13192)</f>
        <v>0.13192</v>
      </c>
      <c r="L768" s="19" t="str">
        <f>IFERROR(__xludf.DUMMYFUNCTION("""COMPUTED_VALUE"""),"-")</f>
        <v>-</v>
      </c>
      <c r="M768" s="19" t="str">
        <f>IFERROR(__xludf.DUMMYFUNCTION("""COMPUTED_VALUE"""),"-")</f>
        <v>-</v>
      </c>
    </row>
    <row r="769">
      <c r="A769" s="12" t="s">
        <v>9559</v>
      </c>
      <c r="G769" s="19">
        <f>IFERROR(__xludf.DUMMYFUNCTION("SPLIT(A767, "" |"")"),382001.0)</f>
        <v>382001</v>
      </c>
      <c r="H769" s="19">
        <f>IFERROR(__xludf.DUMMYFUNCTION("""COMPUTED_VALUE"""),0.00463)</f>
        <v>0.00463</v>
      </c>
      <c r="I769" s="19" t="str">
        <f>IFERROR(__xludf.DUMMYFUNCTION("""COMPUTED_VALUE"""),"-")</f>
        <v>-</v>
      </c>
      <c r="J769" s="19">
        <f>IFERROR(__xludf.DUMMYFUNCTION("""COMPUTED_VALUE"""),0.01954)</f>
        <v>0.01954</v>
      </c>
      <c r="K769" s="19">
        <f>IFERROR(__xludf.DUMMYFUNCTION("""COMPUTED_VALUE"""),0.12364)</f>
        <v>0.12364</v>
      </c>
      <c r="L769" s="19" t="str">
        <f>IFERROR(__xludf.DUMMYFUNCTION("""COMPUTED_VALUE"""),"-")</f>
        <v>-</v>
      </c>
      <c r="M769" s="19" t="str">
        <f>IFERROR(__xludf.DUMMYFUNCTION("""COMPUTED_VALUE"""),"-")</f>
        <v>-</v>
      </c>
    </row>
    <row r="770">
      <c r="A770" s="12" t="s">
        <v>9560</v>
      </c>
      <c r="G770" s="19">
        <f>IFERROR(__xludf.DUMMYFUNCTION("SPLIT(A768, "" |"")"),382501.0)</f>
        <v>382501</v>
      </c>
      <c r="H770" s="19">
        <f>IFERROR(__xludf.DUMMYFUNCTION("""COMPUTED_VALUE"""),0.00471)</f>
        <v>0.00471</v>
      </c>
      <c r="I770" s="19" t="str">
        <f>IFERROR(__xludf.DUMMYFUNCTION("""COMPUTED_VALUE"""),"-")</f>
        <v>-</v>
      </c>
      <c r="J770" s="19">
        <f>IFERROR(__xludf.DUMMYFUNCTION("""COMPUTED_VALUE"""),0.01916)</f>
        <v>0.01916</v>
      </c>
      <c r="K770" s="19">
        <f>IFERROR(__xludf.DUMMYFUNCTION("""COMPUTED_VALUE"""),0.13042)</f>
        <v>0.13042</v>
      </c>
      <c r="L770" s="19" t="str">
        <f>IFERROR(__xludf.DUMMYFUNCTION("""COMPUTED_VALUE"""),"-")</f>
        <v>-</v>
      </c>
      <c r="M770" s="19" t="str">
        <f>IFERROR(__xludf.DUMMYFUNCTION("""COMPUTED_VALUE"""),"-")</f>
        <v>-</v>
      </c>
    </row>
    <row r="771">
      <c r="A771" s="12" t="s">
        <v>9561</v>
      </c>
      <c r="G771" s="19">
        <f>IFERROR(__xludf.DUMMYFUNCTION("SPLIT(A769, "" |"")"),383001.0)</f>
        <v>383001</v>
      </c>
      <c r="H771" s="19">
        <f>IFERROR(__xludf.DUMMYFUNCTION("""COMPUTED_VALUE"""),0.00471)</f>
        <v>0.00471</v>
      </c>
      <c r="I771" s="19" t="str">
        <f>IFERROR(__xludf.DUMMYFUNCTION("""COMPUTED_VALUE"""),"-")</f>
        <v>-</v>
      </c>
      <c r="J771" s="19">
        <f>IFERROR(__xludf.DUMMYFUNCTION("""COMPUTED_VALUE"""),0.01953)</f>
        <v>0.01953</v>
      </c>
      <c r="K771" s="19">
        <f>IFERROR(__xludf.DUMMYFUNCTION("""COMPUTED_VALUE"""),0.12946)</f>
        <v>0.12946</v>
      </c>
      <c r="L771" s="19" t="str">
        <f>IFERROR(__xludf.DUMMYFUNCTION("""COMPUTED_VALUE"""),"-")</f>
        <v>-</v>
      </c>
      <c r="M771" s="19" t="str">
        <f>IFERROR(__xludf.DUMMYFUNCTION("""COMPUTED_VALUE"""),"-")</f>
        <v>-</v>
      </c>
    </row>
    <row r="772">
      <c r="A772" s="12" t="s">
        <v>9562</v>
      </c>
      <c r="G772" s="19">
        <f>IFERROR(__xludf.DUMMYFUNCTION("SPLIT(A770, "" |"")"),383501.0)</f>
        <v>383501</v>
      </c>
      <c r="H772" s="19">
        <f>IFERROR(__xludf.DUMMYFUNCTION("""COMPUTED_VALUE"""),0.00447)</f>
        <v>0.00447</v>
      </c>
      <c r="I772" s="19" t="str">
        <f>IFERROR(__xludf.DUMMYFUNCTION("""COMPUTED_VALUE"""),"-")</f>
        <v>-</v>
      </c>
      <c r="J772" s="19">
        <f>IFERROR(__xludf.DUMMYFUNCTION("""COMPUTED_VALUE"""),0.01984)</f>
        <v>0.01984</v>
      </c>
      <c r="K772" s="19">
        <f>IFERROR(__xludf.DUMMYFUNCTION("""COMPUTED_VALUE"""),0.1306)</f>
        <v>0.1306</v>
      </c>
      <c r="L772" s="19" t="str">
        <f>IFERROR(__xludf.DUMMYFUNCTION("""COMPUTED_VALUE"""),"-")</f>
        <v>-</v>
      </c>
      <c r="M772" s="19" t="str">
        <f>IFERROR(__xludf.DUMMYFUNCTION("""COMPUTED_VALUE"""),"-")</f>
        <v>-</v>
      </c>
    </row>
    <row r="773">
      <c r="A773" s="12" t="s">
        <v>9563</v>
      </c>
      <c r="G773" s="19">
        <f>IFERROR(__xludf.DUMMYFUNCTION("SPLIT(A771, "" |"")"),384001.0)</f>
        <v>384001</v>
      </c>
      <c r="H773" s="19">
        <f>IFERROR(__xludf.DUMMYFUNCTION("""COMPUTED_VALUE"""),0.00459)</f>
        <v>0.00459</v>
      </c>
      <c r="I773" s="19" t="str">
        <f>IFERROR(__xludf.DUMMYFUNCTION("""COMPUTED_VALUE"""),"-")</f>
        <v>-</v>
      </c>
      <c r="J773" s="19">
        <f>IFERROR(__xludf.DUMMYFUNCTION("""COMPUTED_VALUE"""),0.01948)</f>
        <v>0.01948</v>
      </c>
      <c r="K773" s="19">
        <f>IFERROR(__xludf.DUMMYFUNCTION("""COMPUTED_VALUE"""),0.13186)</f>
        <v>0.13186</v>
      </c>
      <c r="L773" s="19" t="str">
        <f>IFERROR(__xludf.DUMMYFUNCTION("""COMPUTED_VALUE"""),"-")</f>
        <v>-</v>
      </c>
      <c r="M773" s="19" t="str">
        <f>IFERROR(__xludf.DUMMYFUNCTION("""COMPUTED_VALUE"""),"-")</f>
        <v>-</v>
      </c>
    </row>
    <row r="774">
      <c r="A774" s="12" t="s">
        <v>9564</v>
      </c>
      <c r="G774" s="19">
        <f>IFERROR(__xludf.DUMMYFUNCTION("SPLIT(A772, "" |"")"),384501.0)</f>
        <v>384501</v>
      </c>
      <c r="H774" s="19">
        <f>IFERROR(__xludf.DUMMYFUNCTION("""COMPUTED_VALUE"""),0.00496)</f>
        <v>0.00496</v>
      </c>
      <c r="I774" s="19" t="str">
        <f>IFERROR(__xludf.DUMMYFUNCTION("""COMPUTED_VALUE"""),"-")</f>
        <v>-</v>
      </c>
      <c r="J774" s="19">
        <f>IFERROR(__xludf.DUMMYFUNCTION("""COMPUTED_VALUE"""),0.01966)</f>
        <v>0.01966</v>
      </c>
      <c r="K774" s="19">
        <f>IFERROR(__xludf.DUMMYFUNCTION("""COMPUTED_VALUE"""),0.12612)</f>
        <v>0.12612</v>
      </c>
      <c r="L774" s="19" t="str">
        <f>IFERROR(__xludf.DUMMYFUNCTION("""COMPUTED_VALUE"""),"-")</f>
        <v>-</v>
      </c>
      <c r="M774" s="19" t="str">
        <f>IFERROR(__xludf.DUMMYFUNCTION("""COMPUTED_VALUE"""),"-")</f>
        <v>-</v>
      </c>
    </row>
    <row r="775">
      <c r="A775" s="12" t="s">
        <v>9565</v>
      </c>
      <c r="G775" s="19">
        <f>IFERROR(__xludf.DUMMYFUNCTION("SPLIT(A773, "" |"")"),385001.0)</f>
        <v>385001</v>
      </c>
      <c r="H775" s="19">
        <f>IFERROR(__xludf.DUMMYFUNCTION("""COMPUTED_VALUE"""),0.00443)</f>
        <v>0.00443</v>
      </c>
      <c r="I775" s="19" t="str">
        <f>IFERROR(__xludf.DUMMYFUNCTION("""COMPUTED_VALUE"""),"-")</f>
        <v>-</v>
      </c>
      <c r="J775" s="19">
        <f>IFERROR(__xludf.DUMMYFUNCTION("""COMPUTED_VALUE"""),0.01948)</f>
        <v>0.01948</v>
      </c>
      <c r="K775" s="19">
        <f>IFERROR(__xludf.DUMMYFUNCTION("""COMPUTED_VALUE"""),0.12592)</f>
        <v>0.12592</v>
      </c>
      <c r="L775" s="19" t="str">
        <f>IFERROR(__xludf.DUMMYFUNCTION("""COMPUTED_VALUE"""),"-")</f>
        <v>-</v>
      </c>
      <c r="M775" s="19" t="str">
        <f>IFERROR(__xludf.DUMMYFUNCTION("""COMPUTED_VALUE"""),"-")</f>
        <v>-</v>
      </c>
    </row>
    <row r="776">
      <c r="A776" s="12" t="s">
        <v>9566</v>
      </c>
      <c r="G776" s="19">
        <f>IFERROR(__xludf.DUMMYFUNCTION("SPLIT(A774, "" |"")"),385501.0)</f>
        <v>385501</v>
      </c>
      <c r="H776" s="19">
        <f>IFERROR(__xludf.DUMMYFUNCTION("""COMPUTED_VALUE"""),0.00483)</f>
        <v>0.00483</v>
      </c>
      <c r="I776" s="19" t="str">
        <f>IFERROR(__xludf.DUMMYFUNCTION("""COMPUTED_VALUE"""),"-")</f>
        <v>-</v>
      </c>
      <c r="J776" s="19">
        <f>IFERROR(__xludf.DUMMYFUNCTION("""COMPUTED_VALUE"""),0.01931)</f>
        <v>0.01931</v>
      </c>
      <c r="K776" s="19">
        <f>IFERROR(__xludf.DUMMYFUNCTION("""COMPUTED_VALUE"""),0.12561)</f>
        <v>0.12561</v>
      </c>
      <c r="L776" s="19" t="str">
        <f>IFERROR(__xludf.DUMMYFUNCTION("""COMPUTED_VALUE"""),"-")</f>
        <v>-</v>
      </c>
      <c r="M776" s="19" t="str">
        <f>IFERROR(__xludf.DUMMYFUNCTION("""COMPUTED_VALUE"""),"-")</f>
        <v>-</v>
      </c>
    </row>
    <row r="777">
      <c r="A777" s="12" t="s">
        <v>9567</v>
      </c>
      <c r="G777" s="19">
        <f>IFERROR(__xludf.DUMMYFUNCTION("SPLIT(A775, "" |"")"),386001.0)</f>
        <v>386001</v>
      </c>
      <c r="H777" s="19">
        <f>IFERROR(__xludf.DUMMYFUNCTION("""COMPUTED_VALUE"""),0.00461)</f>
        <v>0.00461</v>
      </c>
      <c r="I777" s="19" t="str">
        <f>IFERROR(__xludf.DUMMYFUNCTION("""COMPUTED_VALUE"""),"-")</f>
        <v>-</v>
      </c>
      <c r="J777" s="19">
        <f>IFERROR(__xludf.DUMMYFUNCTION("""COMPUTED_VALUE"""),0.01865)</f>
        <v>0.01865</v>
      </c>
      <c r="K777" s="19">
        <f>IFERROR(__xludf.DUMMYFUNCTION("""COMPUTED_VALUE"""),0.13115)</f>
        <v>0.13115</v>
      </c>
      <c r="L777" s="19" t="str">
        <f>IFERROR(__xludf.DUMMYFUNCTION("""COMPUTED_VALUE"""),"-")</f>
        <v>-</v>
      </c>
      <c r="M777" s="19" t="str">
        <f>IFERROR(__xludf.DUMMYFUNCTION("""COMPUTED_VALUE"""),"-")</f>
        <v>-</v>
      </c>
    </row>
    <row r="778">
      <c r="A778" s="12" t="s">
        <v>9568</v>
      </c>
      <c r="G778" s="19">
        <f>IFERROR(__xludf.DUMMYFUNCTION("SPLIT(A776, "" |"")"),386501.0)</f>
        <v>386501</v>
      </c>
      <c r="H778" s="19">
        <f>IFERROR(__xludf.DUMMYFUNCTION("""COMPUTED_VALUE"""),0.00473)</f>
        <v>0.00473</v>
      </c>
      <c r="I778" s="19" t="str">
        <f>IFERROR(__xludf.DUMMYFUNCTION("""COMPUTED_VALUE"""),"-")</f>
        <v>-</v>
      </c>
      <c r="J778" s="19">
        <f>IFERROR(__xludf.DUMMYFUNCTION("""COMPUTED_VALUE"""),0.01971)</f>
        <v>0.01971</v>
      </c>
      <c r="K778" s="19">
        <f>IFERROR(__xludf.DUMMYFUNCTION("""COMPUTED_VALUE"""),0.13195)</f>
        <v>0.13195</v>
      </c>
      <c r="L778" s="19" t="str">
        <f>IFERROR(__xludf.DUMMYFUNCTION("""COMPUTED_VALUE"""),"-")</f>
        <v>-</v>
      </c>
      <c r="M778" s="19" t="str">
        <f>IFERROR(__xludf.DUMMYFUNCTION("""COMPUTED_VALUE"""),"-")</f>
        <v>-</v>
      </c>
    </row>
    <row r="779">
      <c r="A779" s="12" t="s">
        <v>9569</v>
      </c>
      <c r="G779" s="19">
        <f>IFERROR(__xludf.DUMMYFUNCTION("SPLIT(A777, "" |"")"),387001.0)</f>
        <v>387001</v>
      </c>
      <c r="H779" s="19">
        <f>IFERROR(__xludf.DUMMYFUNCTION("""COMPUTED_VALUE"""),0.00485)</f>
        <v>0.00485</v>
      </c>
      <c r="I779" s="19" t="str">
        <f>IFERROR(__xludf.DUMMYFUNCTION("""COMPUTED_VALUE"""),"-")</f>
        <v>-</v>
      </c>
      <c r="J779" s="19">
        <f>IFERROR(__xludf.DUMMYFUNCTION("""COMPUTED_VALUE"""),0.0197)</f>
        <v>0.0197</v>
      </c>
      <c r="K779" s="19">
        <f>IFERROR(__xludf.DUMMYFUNCTION("""COMPUTED_VALUE"""),0.12731)</f>
        <v>0.12731</v>
      </c>
      <c r="L779" s="19" t="str">
        <f>IFERROR(__xludf.DUMMYFUNCTION("""COMPUTED_VALUE"""),"-")</f>
        <v>-</v>
      </c>
      <c r="M779" s="19" t="str">
        <f>IFERROR(__xludf.DUMMYFUNCTION("""COMPUTED_VALUE"""),"-")</f>
        <v>-</v>
      </c>
    </row>
    <row r="780">
      <c r="A780" s="12" t="s">
        <v>9570</v>
      </c>
      <c r="G780" s="19">
        <f>IFERROR(__xludf.DUMMYFUNCTION("SPLIT(A778, "" |"")"),387501.0)</f>
        <v>387501</v>
      </c>
      <c r="H780" s="19">
        <f>IFERROR(__xludf.DUMMYFUNCTION("""COMPUTED_VALUE"""),0.00276)</f>
        <v>0.00276</v>
      </c>
      <c r="I780" s="19" t="str">
        <f>IFERROR(__xludf.DUMMYFUNCTION("""COMPUTED_VALUE"""),"-")</f>
        <v>-</v>
      </c>
      <c r="J780" s="19">
        <f>IFERROR(__xludf.DUMMYFUNCTION("""COMPUTED_VALUE"""),0.02216)</f>
        <v>0.02216</v>
      </c>
      <c r="K780" s="19">
        <f>IFERROR(__xludf.DUMMYFUNCTION("""COMPUTED_VALUE"""),0.13208)</f>
        <v>0.13208</v>
      </c>
      <c r="L780" s="19" t="str">
        <f>IFERROR(__xludf.DUMMYFUNCTION("""COMPUTED_VALUE"""),"-")</f>
        <v>-</v>
      </c>
      <c r="M780" s="19" t="str">
        <f>IFERROR(__xludf.DUMMYFUNCTION("""COMPUTED_VALUE"""),"-")</f>
        <v>-</v>
      </c>
    </row>
    <row r="781">
      <c r="A781" s="12" t="s">
        <v>9571</v>
      </c>
      <c r="G781" s="19">
        <f>IFERROR(__xludf.DUMMYFUNCTION("SPLIT(A779, "" |"")"),388001.0)</f>
        <v>388001</v>
      </c>
      <c r="H781" s="19">
        <f>IFERROR(__xludf.DUMMYFUNCTION("""COMPUTED_VALUE"""),0.0047)</f>
        <v>0.0047</v>
      </c>
      <c r="I781" s="19" t="str">
        <f>IFERROR(__xludf.DUMMYFUNCTION("""COMPUTED_VALUE"""),"-")</f>
        <v>-</v>
      </c>
      <c r="J781" s="19">
        <f>IFERROR(__xludf.DUMMYFUNCTION("""COMPUTED_VALUE"""),0.01959)</f>
        <v>0.01959</v>
      </c>
      <c r="K781" s="19">
        <f>IFERROR(__xludf.DUMMYFUNCTION("""COMPUTED_VALUE"""),0.13192)</f>
        <v>0.13192</v>
      </c>
      <c r="L781" s="19" t="str">
        <f>IFERROR(__xludf.DUMMYFUNCTION("""COMPUTED_VALUE"""),"-")</f>
        <v>-</v>
      </c>
      <c r="M781" s="19" t="str">
        <f>IFERROR(__xludf.DUMMYFUNCTION("""COMPUTED_VALUE"""),"-")</f>
        <v>-</v>
      </c>
    </row>
    <row r="782">
      <c r="A782" s="12" t="s">
        <v>9572</v>
      </c>
      <c r="G782" s="19">
        <f>IFERROR(__xludf.DUMMYFUNCTION("SPLIT(A780, "" |"")"),388501.0)</f>
        <v>388501</v>
      </c>
      <c r="H782" s="19">
        <f>IFERROR(__xludf.DUMMYFUNCTION("""COMPUTED_VALUE"""),0.00475)</f>
        <v>0.00475</v>
      </c>
      <c r="I782" s="19" t="str">
        <f>IFERROR(__xludf.DUMMYFUNCTION("""COMPUTED_VALUE"""),"-")</f>
        <v>-</v>
      </c>
      <c r="J782" s="19">
        <f>IFERROR(__xludf.DUMMYFUNCTION("""COMPUTED_VALUE"""),0.01957)</f>
        <v>0.01957</v>
      </c>
      <c r="K782" s="19">
        <f>IFERROR(__xludf.DUMMYFUNCTION("""COMPUTED_VALUE"""),0.13199)</f>
        <v>0.13199</v>
      </c>
      <c r="L782" s="19" t="str">
        <f>IFERROR(__xludf.DUMMYFUNCTION("""COMPUTED_VALUE"""),"-")</f>
        <v>-</v>
      </c>
      <c r="M782" s="19" t="str">
        <f>IFERROR(__xludf.DUMMYFUNCTION("""COMPUTED_VALUE"""),"-")</f>
        <v>-</v>
      </c>
    </row>
    <row r="783">
      <c r="A783" s="12" t="s">
        <v>9573</v>
      </c>
      <c r="G783" s="19">
        <f>IFERROR(__xludf.DUMMYFUNCTION("SPLIT(A781, "" |"")"),389001.0)</f>
        <v>389001</v>
      </c>
      <c r="H783" s="19">
        <f>IFERROR(__xludf.DUMMYFUNCTION("""COMPUTED_VALUE"""),0.00476)</f>
        <v>0.00476</v>
      </c>
      <c r="I783" s="19" t="str">
        <f>IFERROR(__xludf.DUMMYFUNCTION("""COMPUTED_VALUE"""),"-")</f>
        <v>-</v>
      </c>
      <c r="J783" s="19">
        <f>IFERROR(__xludf.DUMMYFUNCTION("""COMPUTED_VALUE"""),0.01968)</f>
        <v>0.01968</v>
      </c>
      <c r="K783" s="19">
        <f>IFERROR(__xludf.DUMMYFUNCTION("""COMPUTED_VALUE"""),0.13191)</f>
        <v>0.13191</v>
      </c>
      <c r="L783" s="19" t="str">
        <f>IFERROR(__xludf.DUMMYFUNCTION("""COMPUTED_VALUE"""),"-")</f>
        <v>-</v>
      </c>
      <c r="M783" s="19" t="str">
        <f>IFERROR(__xludf.DUMMYFUNCTION("""COMPUTED_VALUE"""),"-")</f>
        <v>-</v>
      </c>
    </row>
    <row r="784">
      <c r="A784" s="12" t="s">
        <v>9574</v>
      </c>
      <c r="G784" s="19">
        <f>IFERROR(__xludf.DUMMYFUNCTION("SPLIT(A782, "" |"")"),389501.0)</f>
        <v>389501</v>
      </c>
      <c r="H784" s="19">
        <f>IFERROR(__xludf.DUMMYFUNCTION("""COMPUTED_VALUE"""),0.00467)</f>
        <v>0.00467</v>
      </c>
      <c r="I784" s="19" t="str">
        <f>IFERROR(__xludf.DUMMYFUNCTION("""COMPUTED_VALUE"""),"-")</f>
        <v>-</v>
      </c>
      <c r="J784" s="19">
        <f>IFERROR(__xludf.DUMMYFUNCTION("""COMPUTED_VALUE"""),0.01961)</f>
        <v>0.01961</v>
      </c>
      <c r="K784" s="19">
        <f>IFERROR(__xludf.DUMMYFUNCTION("""COMPUTED_VALUE"""),0.13182)</f>
        <v>0.13182</v>
      </c>
      <c r="L784" s="19" t="str">
        <f>IFERROR(__xludf.DUMMYFUNCTION("""COMPUTED_VALUE"""),"-")</f>
        <v>-</v>
      </c>
      <c r="M784" s="19" t="str">
        <f>IFERROR(__xludf.DUMMYFUNCTION("""COMPUTED_VALUE"""),"-")</f>
        <v>-</v>
      </c>
    </row>
    <row r="785">
      <c r="A785" s="12" t="s">
        <v>9575</v>
      </c>
      <c r="G785" s="19">
        <f>IFERROR(__xludf.DUMMYFUNCTION("SPLIT(A783, "" |"")"),390001.0)</f>
        <v>390001</v>
      </c>
      <c r="H785" s="19">
        <f>IFERROR(__xludf.DUMMYFUNCTION("""COMPUTED_VALUE"""),0.00479)</f>
        <v>0.00479</v>
      </c>
      <c r="I785" s="19" t="str">
        <f>IFERROR(__xludf.DUMMYFUNCTION("""COMPUTED_VALUE"""),"-")</f>
        <v>-</v>
      </c>
      <c r="J785" s="19">
        <f>IFERROR(__xludf.DUMMYFUNCTION("""COMPUTED_VALUE"""),0.01954)</f>
        <v>0.01954</v>
      </c>
      <c r="K785" s="19">
        <f>IFERROR(__xludf.DUMMYFUNCTION("""COMPUTED_VALUE"""),0.13192)</f>
        <v>0.13192</v>
      </c>
      <c r="L785" s="19" t="str">
        <f>IFERROR(__xludf.DUMMYFUNCTION("""COMPUTED_VALUE"""),"-")</f>
        <v>-</v>
      </c>
      <c r="M785" s="19" t="str">
        <f>IFERROR(__xludf.DUMMYFUNCTION("""COMPUTED_VALUE"""),"-")</f>
        <v>-</v>
      </c>
    </row>
    <row r="786">
      <c r="A786" s="12" t="s">
        <v>9576</v>
      </c>
      <c r="G786" s="19">
        <f>IFERROR(__xludf.DUMMYFUNCTION("SPLIT(A784, "" |"")"),390501.0)</f>
        <v>390501</v>
      </c>
      <c r="H786" s="19">
        <f>IFERROR(__xludf.DUMMYFUNCTION("""COMPUTED_VALUE"""),0.00481)</f>
        <v>0.00481</v>
      </c>
      <c r="I786" s="19" t="str">
        <f>IFERROR(__xludf.DUMMYFUNCTION("""COMPUTED_VALUE"""),"-")</f>
        <v>-</v>
      </c>
      <c r="J786" s="19">
        <f>IFERROR(__xludf.DUMMYFUNCTION("""COMPUTED_VALUE"""),0.01979)</f>
        <v>0.01979</v>
      </c>
      <c r="K786" s="19">
        <f>IFERROR(__xludf.DUMMYFUNCTION("""COMPUTED_VALUE"""),0.12573)</f>
        <v>0.12573</v>
      </c>
      <c r="L786" s="19" t="str">
        <f>IFERROR(__xludf.DUMMYFUNCTION("""COMPUTED_VALUE"""),"-")</f>
        <v>-</v>
      </c>
      <c r="M786" s="19" t="str">
        <f>IFERROR(__xludf.DUMMYFUNCTION("""COMPUTED_VALUE"""),"-")</f>
        <v>-</v>
      </c>
    </row>
    <row r="787">
      <c r="A787" s="12" t="s">
        <v>9577</v>
      </c>
      <c r="G787" s="19">
        <f>IFERROR(__xludf.DUMMYFUNCTION("SPLIT(A785, "" |"")"),391001.0)</f>
        <v>391001</v>
      </c>
      <c r="H787" s="19">
        <f>IFERROR(__xludf.DUMMYFUNCTION("""COMPUTED_VALUE"""),0.00475)</f>
        <v>0.00475</v>
      </c>
      <c r="I787" s="19" t="str">
        <f>IFERROR(__xludf.DUMMYFUNCTION("""COMPUTED_VALUE"""),"-")</f>
        <v>-</v>
      </c>
      <c r="J787" s="19">
        <f>IFERROR(__xludf.DUMMYFUNCTION("""COMPUTED_VALUE"""),0.01957)</f>
        <v>0.01957</v>
      </c>
      <c r="K787" s="19">
        <f>IFERROR(__xludf.DUMMYFUNCTION("""COMPUTED_VALUE"""),0.13178)</f>
        <v>0.13178</v>
      </c>
      <c r="L787" s="19" t="str">
        <f>IFERROR(__xludf.DUMMYFUNCTION("""COMPUTED_VALUE"""),"-")</f>
        <v>-</v>
      </c>
      <c r="M787" s="19" t="str">
        <f>IFERROR(__xludf.DUMMYFUNCTION("""COMPUTED_VALUE"""),"-")</f>
        <v>-</v>
      </c>
    </row>
    <row r="788">
      <c r="A788" s="12" t="s">
        <v>9578</v>
      </c>
      <c r="G788" s="19">
        <f>IFERROR(__xludf.DUMMYFUNCTION("SPLIT(A786, "" |"")"),391501.0)</f>
        <v>391501</v>
      </c>
      <c r="H788" s="19">
        <f>IFERROR(__xludf.DUMMYFUNCTION("""COMPUTED_VALUE"""),0.00486)</f>
        <v>0.00486</v>
      </c>
      <c r="I788" s="19" t="str">
        <f>IFERROR(__xludf.DUMMYFUNCTION("""COMPUTED_VALUE"""),"-")</f>
        <v>-</v>
      </c>
      <c r="J788" s="19">
        <f>IFERROR(__xludf.DUMMYFUNCTION("""COMPUTED_VALUE"""),0.01969)</f>
        <v>0.01969</v>
      </c>
      <c r="K788" s="19">
        <f>IFERROR(__xludf.DUMMYFUNCTION("""COMPUTED_VALUE"""),0.13183)</f>
        <v>0.13183</v>
      </c>
      <c r="L788" s="19" t="str">
        <f>IFERROR(__xludf.DUMMYFUNCTION("""COMPUTED_VALUE"""),"-")</f>
        <v>-</v>
      </c>
      <c r="M788" s="19" t="str">
        <f>IFERROR(__xludf.DUMMYFUNCTION("""COMPUTED_VALUE"""),"-")</f>
        <v>-</v>
      </c>
    </row>
    <row r="789">
      <c r="A789" s="12" t="s">
        <v>9579</v>
      </c>
      <c r="G789" s="19">
        <f>IFERROR(__xludf.DUMMYFUNCTION("SPLIT(A787, "" |"")"),392001.0)</f>
        <v>392001</v>
      </c>
      <c r="H789" s="19">
        <f>IFERROR(__xludf.DUMMYFUNCTION("""COMPUTED_VALUE"""),0.00468)</f>
        <v>0.00468</v>
      </c>
      <c r="I789" s="19" t="str">
        <f>IFERROR(__xludf.DUMMYFUNCTION("""COMPUTED_VALUE"""),"-")</f>
        <v>-</v>
      </c>
      <c r="J789" s="19">
        <f>IFERROR(__xludf.DUMMYFUNCTION("""COMPUTED_VALUE"""),0.01972)</f>
        <v>0.01972</v>
      </c>
      <c r="K789" s="19">
        <f>IFERROR(__xludf.DUMMYFUNCTION("""COMPUTED_VALUE"""),0.13147)</f>
        <v>0.13147</v>
      </c>
      <c r="L789" s="19" t="str">
        <f>IFERROR(__xludf.DUMMYFUNCTION("""COMPUTED_VALUE"""),"-")</f>
        <v>-</v>
      </c>
      <c r="M789" s="19" t="str">
        <f>IFERROR(__xludf.DUMMYFUNCTION("""COMPUTED_VALUE"""),"-")</f>
        <v>-</v>
      </c>
    </row>
    <row r="790">
      <c r="A790" s="12" t="s">
        <v>9580</v>
      </c>
      <c r="G790" s="19">
        <f>IFERROR(__xludf.DUMMYFUNCTION("SPLIT(A788, "" |"")"),392501.0)</f>
        <v>392501</v>
      </c>
      <c r="H790" s="19">
        <f>IFERROR(__xludf.DUMMYFUNCTION("""COMPUTED_VALUE"""),0.00467)</f>
        <v>0.00467</v>
      </c>
      <c r="I790" s="19" t="str">
        <f>IFERROR(__xludf.DUMMYFUNCTION("""COMPUTED_VALUE"""),"-")</f>
        <v>-</v>
      </c>
      <c r="J790" s="19">
        <f>IFERROR(__xludf.DUMMYFUNCTION("""COMPUTED_VALUE"""),0.01963)</f>
        <v>0.01963</v>
      </c>
      <c r="K790" s="19">
        <f>IFERROR(__xludf.DUMMYFUNCTION("""COMPUTED_VALUE"""),0.13126)</f>
        <v>0.13126</v>
      </c>
      <c r="L790" s="19" t="str">
        <f>IFERROR(__xludf.DUMMYFUNCTION("""COMPUTED_VALUE"""),"-")</f>
        <v>-</v>
      </c>
      <c r="M790" s="19" t="str">
        <f>IFERROR(__xludf.DUMMYFUNCTION("""COMPUTED_VALUE"""),"-")</f>
        <v>-</v>
      </c>
    </row>
    <row r="791">
      <c r="A791" s="12" t="s">
        <v>9581</v>
      </c>
      <c r="G791" s="19">
        <f>IFERROR(__xludf.DUMMYFUNCTION("SPLIT(A789, "" |"")"),393001.0)</f>
        <v>393001</v>
      </c>
      <c r="H791" s="19">
        <f>IFERROR(__xludf.DUMMYFUNCTION("""COMPUTED_VALUE"""),0.00478)</f>
        <v>0.00478</v>
      </c>
      <c r="I791" s="19" t="str">
        <f>IFERROR(__xludf.DUMMYFUNCTION("""COMPUTED_VALUE"""),"-")</f>
        <v>-</v>
      </c>
      <c r="J791" s="19">
        <f>IFERROR(__xludf.DUMMYFUNCTION("""COMPUTED_VALUE"""),0.0194)</f>
        <v>0.0194</v>
      </c>
      <c r="K791" s="19">
        <f>IFERROR(__xludf.DUMMYFUNCTION("""COMPUTED_VALUE"""),0.129)</f>
        <v>0.129</v>
      </c>
      <c r="L791" s="19" t="str">
        <f>IFERROR(__xludf.DUMMYFUNCTION("""COMPUTED_VALUE"""),"-")</f>
        <v>-</v>
      </c>
      <c r="M791" s="19" t="str">
        <f>IFERROR(__xludf.DUMMYFUNCTION("""COMPUTED_VALUE"""),"-")</f>
        <v>-</v>
      </c>
    </row>
    <row r="792">
      <c r="A792" s="12" t="s">
        <v>9582</v>
      </c>
      <c r="G792" s="19">
        <f>IFERROR(__xludf.DUMMYFUNCTION("SPLIT(A790, "" |"")"),393501.0)</f>
        <v>393501</v>
      </c>
      <c r="H792" s="19">
        <f>IFERROR(__xludf.DUMMYFUNCTION("""COMPUTED_VALUE"""),0.00466)</f>
        <v>0.00466</v>
      </c>
      <c r="I792" s="19" t="str">
        <f>IFERROR(__xludf.DUMMYFUNCTION("""COMPUTED_VALUE"""),"-")</f>
        <v>-</v>
      </c>
      <c r="J792" s="19">
        <f>IFERROR(__xludf.DUMMYFUNCTION("""COMPUTED_VALUE"""),0.01963)</f>
        <v>0.01963</v>
      </c>
      <c r="K792" s="19">
        <f>IFERROR(__xludf.DUMMYFUNCTION("""COMPUTED_VALUE"""),0.13189)</f>
        <v>0.13189</v>
      </c>
      <c r="L792" s="19" t="str">
        <f>IFERROR(__xludf.DUMMYFUNCTION("""COMPUTED_VALUE"""),"-")</f>
        <v>-</v>
      </c>
      <c r="M792" s="19" t="str">
        <f>IFERROR(__xludf.DUMMYFUNCTION("""COMPUTED_VALUE"""),"-")</f>
        <v>-</v>
      </c>
    </row>
    <row r="793">
      <c r="A793" s="12" t="s">
        <v>9583</v>
      </c>
      <c r="G793" s="19">
        <f>IFERROR(__xludf.DUMMYFUNCTION("SPLIT(A791, "" |"")"),394001.0)</f>
        <v>394001</v>
      </c>
      <c r="H793" s="19">
        <f>IFERROR(__xludf.DUMMYFUNCTION("""COMPUTED_VALUE"""),0.00482)</f>
        <v>0.00482</v>
      </c>
      <c r="I793" s="19" t="str">
        <f>IFERROR(__xludf.DUMMYFUNCTION("""COMPUTED_VALUE"""),"-")</f>
        <v>-</v>
      </c>
      <c r="J793" s="19">
        <f>IFERROR(__xludf.DUMMYFUNCTION("""COMPUTED_VALUE"""),0.01967)</f>
        <v>0.01967</v>
      </c>
      <c r="K793" s="19">
        <f>IFERROR(__xludf.DUMMYFUNCTION("""COMPUTED_VALUE"""),0.13196)</f>
        <v>0.13196</v>
      </c>
      <c r="L793" s="19" t="str">
        <f>IFERROR(__xludf.DUMMYFUNCTION("""COMPUTED_VALUE"""),"-")</f>
        <v>-</v>
      </c>
      <c r="M793" s="19" t="str">
        <f>IFERROR(__xludf.DUMMYFUNCTION("""COMPUTED_VALUE"""),"-")</f>
        <v>-</v>
      </c>
    </row>
    <row r="794">
      <c r="A794" s="12" t="s">
        <v>9584</v>
      </c>
      <c r="G794" s="19">
        <f>IFERROR(__xludf.DUMMYFUNCTION("SPLIT(A792, "" |"")"),394501.0)</f>
        <v>394501</v>
      </c>
      <c r="H794" s="19">
        <f>IFERROR(__xludf.DUMMYFUNCTION("""COMPUTED_VALUE"""),0.00466)</f>
        <v>0.00466</v>
      </c>
      <c r="I794" s="19" t="str">
        <f>IFERROR(__xludf.DUMMYFUNCTION("""COMPUTED_VALUE"""),"-")</f>
        <v>-</v>
      </c>
      <c r="J794" s="19">
        <f>IFERROR(__xludf.DUMMYFUNCTION("""COMPUTED_VALUE"""),0.01964)</f>
        <v>0.01964</v>
      </c>
      <c r="K794" s="19">
        <f>IFERROR(__xludf.DUMMYFUNCTION("""COMPUTED_VALUE"""),0.13191)</f>
        <v>0.13191</v>
      </c>
      <c r="L794" s="19" t="str">
        <f>IFERROR(__xludf.DUMMYFUNCTION("""COMPUTED_VALUE"""),"-")</f>
        <v>-</v>
      </c>
      <c r="M794" s="19" t="str">
        <f>IFERROR(__xludf.DUMMYFUNCTION("""COMPUTED_VALUE"""),"-")</f>
        <v>-</v>
      </c>
    </row>
    <row r="795">
      <c r="A795" s="12" t="s">
        <v>9585</v>
      </c>
      <c r="G795" s="19">
        <f>IFERROR(__xludf.DUMMYFUNCTION("SPLIT(A793, "" |"")"),395001.0)</f>
        <v>395001</v>
      </c>
      <c r="H795" s="19">
        <f>IFERROR(__xludf.DUMMYFUNCTION("""COMPUTED_VALUE"""),0.00485)</f>
        <v>0.00485</v>
      </c>
      <c r="I795" s="19" t="str">
        <f>IFERROR(__xludf.DUMMYFUNCTION("""COMPUTED_VALUE"""),"-")</f>
        <v>-</v>
      </c>
      <c r="J795" s="19">
        <f>IFERROR(__xludf.DUMMYFUNCTION("""COMPUTED_VALUE"""),0.01971)</f>
        <v>0.01971</v>
      </c>
      <c r="K795" s="19">
        <f>IFERROR(__xludf.DUMMYFUNCTION("""COMPUTED_VALUE"""),0.13188)</f>
        <v>0.13188</v>
      </c>
      <c r="L795" s="19" t="str">
        <f>IFERROR(__xludf.DUMMYFUNCTION("""COMPUTED_VALUE"""),"-")</f>
        <v>-</v>
      </c>
      <c r="M795" s="19" t="str">
        <f>IFERROR(__xludf.DUMMYFUNCTION("""COMPUTED_VALUE"""),"-")</f>
        <v>-</v>
      </c>
    </row>
    <row r="796">
      <c r="A796" s="12" t="s">
        <v>9586</v>
      </c>
      <c r="G796" s="19">
        <f>IFERROR(__xludf.DUMMYFUNCTION("SPLIT(A794, "" |"")"),395501.0)</f>
        <v>395501</v>
      </c>
      <c r="H796" s="19">
        <f>IFERROR(__xludf.DUMMYFUNCTION("""COMPUTED_VALUE"""),0.00481)</f>
        <v>0.00481</v>
      </c>
      <c r="I796" s="19" t="str">
        <f>IFERROR(__xludf.DUMMYFUNCTION("""COMPUTED_VALUE"""),"-")</f>
        <v>-</v>
      </c>
      <c r="J796" s="19">
        <f>IFERROR(__xludf.DUMMYFUNCTION("""COMPUTED_VALUE"""),0.01964)</f>
        <v>0.01964</v>
      </c>
      <c r="K796" s="19">
        <f>IFERROR(__xludf.DUMMYFUNCTION("""COMPUTED_VALUE"""),0.13209)</f>
        <v>0.13209</v>
      </c>
      <c r="L796" s="19" t="str">
        <f>IFERROR(__xludf.DUMMYFUNCTION("""COMPUTED_VALUE"""),"-")</f>
        <v>-</v>
      </c>
      <c r="M796" s="19" t="str">
        <f>IFERROR(__xludf.DUMMYFUNCTION("""COMPUTED_VALUE"""),"-")</f>
        <v>-</v>
      </c>
    </row>
    <row r="797">
      <c r="A797" s="12" t="s">
        <v>9587</v>
      </c>
      <c r="G797" s="19">
        <f>IFERROR(__xludf.DUMMYFUNCTION("SPLIT(A795, "" |"")"),396001.0)</f>
        <v>396001</v>
      </c>
      <c r="H797" s="19">
        <f>IFERROR(__xludf.DUMMYFUNCTION("""COMPUTED_VALUE"""),0.00473)</f>
        <v>0.00473</v>
      </c>
      <c r="I797" s="19" t="str">
        <f>IFERROR(__xludf.DUMMYFUNCTION("""COMPUTED_VALUE"""),"-")</f>
        <v>-</v>
      </c>
      <c r="J797" s="19">
        <f>IFERROR(__xludf.DUMMYFUNCTION("""COMPUTED_VALUE"""),0.01968)</f>
        <v>0.01968</v>
      </c>
      <c r="K797" s="19">
        <f>IFERROR(__xludf.DUMMYFUNCTION("""COMPUTED_VALUE"""),0.13195)</f>
        <v>0.13195</v>
      </c>
      <c r="L797" s="19" t="str">
        <f>IFERROR(__xludf.DUMMYFUNCTION("""COMPUTED_VALUE"""),"-")</f>
        <v>-</v>
      </c>
      <c r="M797" s="19" t="str">
        <f>IFERROR(__xludf.DUMMYFUNCTION("""COMPUTED_VALUE"""),"-")</f>
        <v>-</v>
      </c>
    </row>
    <row r="798">
      <c r="A798" s="12" t="s">
        <v>9588</v>
      </c>
      <c r="G798" s="19">
        <f>IFERROR(__xludf.DUMMYFUNCTION("SPLIT(A796, "" |"")"),396501.0)</f>
        <v>396501</v>
      </c>
      <c r="H798" s="19">
        <f>IFERROR(__xludf.DUMMYFUNCTION("""COMPUTED_VALUE"""),0.00472)</f>
        <v>0.00472</v>
      </c>
      <c r="I798" s="19" t="str">
        <f>IFERROR(__xludf.DUMMYFUNCTION("""COMPUTED_VALUE"""),"-")</f>
        <v>-</v>
      </c>
      <c r="J798" s="19">
        <f>IFERROR(__xludf.DUMMYFUNCTION("""COMPUTED_VALUE"""),0.01963)</f>
        <v>0.01963</v>
      </c>
      <c r="K798" s="19">
        <f>IFERROR(__xludf.DUMMYFUNCTION("""COMPUTED_VALUE"""),0.13195)</f>
        <v>0.13195</v>
      </c>
      <c r="L798" s="19" t="str">
        <f>IFERROR(__xludf.DUMMYFUNCTION("""COMPUTED_VALUE"""),"-")</f>
        <v>-</v>
      </c>
      <c r="M798" s="19" t="str">
        <f>IFERROR(__xludf.DUMMYFUNCTION("""COMPUTED_VALUE"""),"-")</f>
        <v>-</v>
      </c>
    </row>
    <row r="799">
      <c r="A799" s="12" t="s">
        <v>9589</v>
      </c>
      <c r="G799" s="19">
        <f>IFERROR(__xludf.DUMMYFUNCTION("SPLIT(A797, "" |"")"),397001.0)</f>
        <v>397001</v>
      </c>
      <c r="H799" s="19">
        <f>IFERROR(__xludf.DUMMYFUNCTION("""COMPUTED_VALUE"""),0.00479)</f>
        <v>0.00479</v>
      </c>
      <c r="I799" s="19" t="str">
        <f>IFERROR(__xludf.DUMMYFUNCTION("""COMPUTED_VALUE"""),"-")</f>
        <v>-</v>
      </c>
      <c r="J799" s="19">
        <f>IFERROR(__xludf.DUMMYFUNCTION("""COMPUTED_VALUE"""),0.01957)</f>
        <v>0.01957</v>
      </c>
      <c r="K799" s="19">
        <f>IFERROR(__xludf.DUMMYFUNCTION("""COMPUTED_VALUE"""),0.13188)</f>
        <v>0.13188</v>
      </c>
      <c r="L799" s="19" t="str">
        <f>IFERROR(__xludf.DUMMYFUNCTION("""COMPUTED_VALUE"""),"-")</f>
        <v>-</v>
      </c>
      <c r="M799" s="19" t="str">
        <f>IFERROR(__xludf.DUMMYFUNCTION("""COMPUTED_VALUE"""),"-")</f>
        <v>-</v>
      </c>
    </row>
    <row r="800">
      <c r="A800" s="12" t="s">
        <v>9590</v>
      </c>
      <c r="G800" s="19">
        <f>IFERROR(__xludf.DUMMYFUNCTION("SPLIT(A798, "" |"")"),397501.0)</f>
        <v>397501</v>
      </c>
      <c r="H800" s="19">
        <f>IFERROR(__xludf.DUMMYFUNCTION("""COMPUTED_VALUE"""),0.00463)</f>
        <v>0.00463</v>
      </c>
      <c r="I800" s="19" t="str">
        <f>IFERROR(__xludf.DUMMYFUNCTION("""COMPUTED_VALUE"""),"-")</f>
        <v>-</v>
      </c>
      <c r="J800" s="19">
        <f>IFERROR(__xludf.DUMMYFUNCTION("""COMPUTED_VALUE"""),0.0195)</f>
        <v>0.0195</v>
      </c>
      <c r="K800" s="19">
        <f>IFERROR(__xludf.DUMMYFUNCTION("""COMPUTED_VALUE"""),0.13179)</f>
        <v>0.13179</v>
      </c>
      <c r="L800" s="19" t="str">
        <f>IFERROR(__xludf.DUMMYFUNCTION("""COMPUTED_VALUE"""),"-")</f>
        <v>-</v>
      </c>
      <c r="M800" s="19" t="str">
        <f>IFERROR(__xludf.DUMMYFUNCTION("""COMPUTED_VALUE"""),"-")</f>
        <v>-</v>
      </c>
    </row>
    <row r="801">
      <c r="A801" s="12" t="s">
        <v>9591</v>
      </c>
      <c r="G801" s="19">
        <f>IFERROR(__xludf.DUMMYFUNCTION("SPLIT(A799, "" |"")"),398001.0)</f>
        <v>398001</v>
      </c>
      <c r="H801" s="19">
        <f>IFERROR(__xludf.DUMMYFUNCTION("""COMPUTED_VALUE"""),0.00476)</f>
        <v>0.00476</v>
      </c>
      <c r="I801" s="19" t="str">
        <f>IFERROR(__xludf.DUMMYFUNCTION("""COMPUTED_VALUE"""),"-")</f>
        <v>-</v>
      </c>
      <c r="J801" s="19">
        <f>IFERROR(__xludf.DUMMYFUNCTION("""COMPUTED_VALUE"""),0.01959)</f>
        <v>0.01959</v>
      </c>
      <c r="K801" s="19">
        <f>IFERROR(__xludf.DUMMYFUNCTION("""COMPUTED_VALUE"""),0.12719)</f>
        <v>0.12719</v>
      </c>
      <c r="L801" s="19" t="str">
        <f>IFERROR(__xludf.DUMMYFUNCTION("""COMPUTED_VALUE"""),"-")</f>
        <v>-</v>
      </c>
      <c r="M801" s="19" t="str">
        <f>IFERROR(__xludf.DUMMYFUNCTION("""COMPUTED_VALUE"""),"-")</f>
        <v>-</v>
      </c>
    </row>
    <row r="802">
      <c r="A802" s="12" t="s">
        <v>9592</v>
      </c>
      <c r="G802" s="19">
        <f>IFERROR(__xludf.DUMMYFUNCTION("SPLIT(A800, "" |"")"),398501.0)</f>
        <v>398501</v>
      </c>
      <c r="H802" s="19">
        <f>IFERROR(__xludf.DUMMYFUNCTION("""COMPUTED_VALUE"""),0.00458)</f>
        <v>0.00458</v>
      </c>
      <c r="I802" s="19" t="str">
        <f>IFERROR(__xludf.DUMMYFUNCTION("""COMPUTED_VALUE"""),"-")</f>
        <v>-</v>
      </c>
      <c r="J802" s="19">
        <f>IFERROR(__xludf.DUMMYFUNCTION("""COMPUTED_VALUE"""),0.01949)</f>
        <v>0.01949</v>
      </c>
      <c r="K802" s="19">
        <f>IFERROR(__xludf.DUMMYFUNCTION("""COMPUTED_VALUE"""),0.13177)</f>
        <v>0.13177</v>
      </c>
      <c r="L802" s="19" t="str">
        <f>IFERROR(__xludf.DUMMYFUNCTION("""COMPUTED_VALUE"""),"-")</f>
        <v>-</v>
      </c>
      <c r="M802" s="19" t="str">
        <f>IFERROR(__xludf.DUMMYFUNCTION("""COMPUTED_VALUE"""),"-")</f>
        <v>-</v>
      </c>
    </row>
    <row r="803">
      <c r="A803" s="12" t="s">
        <v>9593</v>
      </c>
      <c r="G803" s="19">
        <f>IFERROR(__xludf.DUMMYFUNCTION("SPLIT(A801, "" |"")"),399001.0)</f>
        <v>399001</v>
      </c>
      <c r="H803" s="19">
        <f>IFERROR(__xludf.DUMMYFUNCTION("""COMPUTED_VALUE"""),0.00499)</f>
        <v>0.00499</v>
      </c>
      <c r="I803" s="19" t="str">
        <f>IFERROR(__xludf.DUMMYFUNCTION("""COMPUTED_VALUE"""),"-")</f>
        <v>-</v>
      </c>
      <c r="J803" s="19">
        <f>IFERROR(__xludf.DUMMYFUNCTION("""COMPUTED_VALUE"""),0.01967)</f>
        <v>0.01967</v>
      </c>
      <c r="K803" s="19">
        <f>IFERROR(__xludf.DUMMYFUNCTION("""COMPUTED_VALUE"""),0.12702)</f>
        <v>0.12702</v>
      </c>
      <c r="L803" s="19" t="str">
        <f>IFERROR(__xludf.DUMMYFUNCTION("""COMPUTED_VALUE"""),"-")</f>
        <v>-</v>
      </c>
      <c r="M803" s="19" t="str">
        <f>IFERROR(__xludf.DUMMYFUNCTION("""COMPUTED_VALUE"""),"-")</f>
        <v>-</v>
      </c>
    </row>
    <row r="804">
      <c r="A804" s="12" t="s">
        <v>9594</v>
      </c>
      <c r="G804" s="19">
        <f>IFERROR(__xludf.DUMMYFUNCTION("SPLIT(A802, "" |"")"),399501.0)</f>
        <v>399501</v>
      </c>
      <c r="H804" s="19">
        <f>IFERROR(__xludf.DUMMYFUNCTION("""COMPUTED_VALUE"""),0.00482)</f>
        <v>0.00482</v>
      </c>
      <c r="I804" s="19" t="str">
        <f>IFERROR(__xludf.DUMMYFUNCTION("""COMPUTED_VALUE"""),"-")</f>
        <v>-</v>
      </c>
      <c r="J804" s="19">
        <f>IFERROR(__xludf.DUMMYFUNCTION("""COMPUTED_VALUE"""),0.01956)</f>
        <v>0.01956</v>
      </c>
      <c r="K804" s="19">
        <f>IFERROR(__xludf.DUMMYFUNCTION("""COMPUTED_VALUE"""),0.13152)</f>
        <v>0.13152</v>
      </c>
      <c r="L804" s="19" t="str">
        <f>IFERROR(__xludf.DUMMYFUNCTION("""COMPUTED_VALUE"""),"-")</f>
        <v>-</v>
      </c>
      <c r="M804" s="19" t="str">
        <f>IFERROR(__xludf.DUMMYFUNCTION("""COMPUTED_VALUE"""),"-")</f>
        <v>-</v>
      </c>
    </row>
    <row r="805">
      <c r="A805" s="12" t="s">
        <v>9595</v>
      </c>
      <c r="G805" s="19">
        <f>IFERROR(__xludf.DUMMYFUNCTION("SPLIT(A803, "" |"")"),400001.0)</f>
        <v>400001</v>
      </c>
      <c r="H805" s="19">
        <f>IFERROR(__xludf.DUMMYFUNCTION("""COMPUTED_VALUE"""),0.0048)</f>
        <v>0.0048</v>
      </c>
      <c r="I805" s="19" t="str">
        <f>IFERROR(__xludf.DUMMYFUNCTION("""COMPUTED_VALUE"""),"-")</f>
        <v>-</v>
      </c>
      <c r="J805" s="19">
        <f>IFERROR(__xludf.DUMMYFUNCTION("""COMPUTED_VALUE"""),0.01962)</f>
        <v>0.01962</v>
      </c>
      <c r="K805" s="19">
        <f>IFERROR(__xludf.DUMMYFUNCTION("""COMPUTED_VALUE"""),0.13195)</f>
        <v>0.13195</v>
      </c>
      <c r="L805" s="19" t="str">
        <f>IFERROR(__xludf.DUMMYFUNCTION("""COMPUTED_VALUE"""),"-")</f>
        <v>-</v>
      </c>
      <c r="M805" s="19" t="str">
        <f>IFERROR(__xludf.DUMMYFUNCTION("""COMPUTED_VALUE"""),"-")</f>
        <v>-</v>
      </c>
    </row>
    <row r="806">
      <c r="A806" s="12" t="s">
        <v>9596</v>
      </c>
      <c r="G806" s="19">
        <f>IFERROR(__xludf.DUMMYFUNCTION("SPLIT(A804, "" |"")"),400501.0)</f>
        <v>400501</v>
      </c>
      <c r="H806" s="19">
        <f>IFERROR(__xludf.DUMMYFUNCTION("""COMPUTED_VALUE"""),0.00481)</f>
        <v>0.00481</v>
      </c>
      <c r="I806" s="19" t="str">
        <f>IFERROR(__xludf.DUMMYFUNCTION("""COMPUTED_VALUE"""),"-")</f>
        <v>-</v>
      </c>
      <c r="J806" s="19">
        <f>IFERROR(__xludf.DUMMYFUNCTION("""COMPUTED_VALUE"""),0.01968)</f>
        <v>0.01968</v>
      </c>
      <c r="K806" s="19">
        <f>IFERROR(__xludf.DUMMYFUNCTION("""COMPUTED_VALUE"""),0.12698)</f>
        <v>0.12698</v>
      </c>
      <c r="L806" s="19" t="str">
        <f>IFERROR(__xludf.DUMMYFUNCTION("""COMPUTED_VALUE"""),"-")</f>
        <v>-</v>
      </c>
      <c r="M806" s="19" t="str">
        <f>IFERROR(__xludf.DUMMYFUNCTION("""COMPUTED_VALUE"""),"-")</f>
        <v>-</v>
      </c>
    </row>
    <row r="807">
      <c r="A807" s="12" t="s">
        <v>9597</v>
      </c>
      <c r="G807" s="19">
        <f>IFERROR(__xludf.DUMMYFUNCTION("SPLIT(A805, "" |"")"),401001.0)</f>
        <v>401001</v>
      </c>
      <c r="H807" s="19">
        <f>IFERROR(__xludf.DUMMYFUNCTION("""COMPUTED_VALUE"""),0.00483)</f>
        <v>0.00483</v>
      </c>
      <c r="I807" s="19" t="str">
        <f>IFERROR(__xludf.DUMMYFUNCTION("""COMPUTED_VALUE"""),"-")</f>
        <v>-</v>
      </c>
      <c r="J807" s="19">
        <f>IFERROR(__xludf.DUMMYFUNCTION("""COMPUTED_VALUE"""),0.01964)</f>
        <v>0.01964</v>
      </c>
      <c r="K807" s="19">
        <f>IFERROR(__xludf.DUMMYFUNCTION("""COMPUTED_VALUE"""),0.13149)</f>
        <v>0.13149</v>
      </c>
      <c r="L807" s="19" t="str">
        <f>IFERROR(__xludf.DUMMYFUNCTION("""COMPUTED_VALUE"""),"-")</f>
        <v>-</v>
      </c>
      <c r="M807" s="19" t="str">
        <f>IFERROR(__xludf.DUMMYFUNCTION("""COMPUTED_VALUE"""),"-")</f>
        <v>-</v>
      </c>
    </row>
    <row r="808">
      <c r="A808" s="12" t="s">
        <v>9598</v>
      </c>
      <c r="G808" s="19">
        <f>IFERROR(__xludf.DUMMYFUNCTION("SPLIT(A806, "" |"")"),401501.0)</f>
        <v>401501</v>
      </c>
      <c r="H808" s="19">
        <f>IFERROR(__xludf.DUMMYFUNCTION("""COMPUTED_VALUE"""),0.00478)</f>
        <v>0.00478</v>
      </c>
      <c r="I808" s="19" t="str">
        <f>IFERROR(__xludf.DUMMYFUNCTION("""COMPUTED_VALUE"""),"-")</f>
        <v>-</v>
      </c>
      <c r="J808" s="19">
        <f>IFERROR(__xludf.DUMMYFUNCTION("""COMPUTED_VALUE"""),0.01971)</f>
        <v>0.01971</v>
      </c>
      <c r="K808" s="19">
        <f>IFERROR(__xludf.DUMMYFUNCTION("""COMPUTED_VALUE"""),0.13187)</f>
        <v>0.13187</v>
      </c>
      <c r="L808" s="19" t="str">
        <f>IFERROR(__xludf.DUMMYFUNCTION("""COMPUTED_VALUE"""),"-")</f>
        <v>-</v>
      </c>
      <c r="M808" s="19" t="str">
        <f>IFERROR(__xludf.DUMMYFUNCTION("""COMPUTED_VALUE"""),"-")</f>
        <v>-</v>
      </c>
    </row>
    <row r="809">
      <c r="A809" s="12" t="s">
        <v>9599</v>
      </c>
      <c r="G809" s="19">
        <f>IFERROR(__xludf.DUMMYFUNCTION("SPLIT(A807, "" |"")"),402001.0)</f>
        <v>402001</v>
      </c>
      <c r="H809" s="19">
        <f>IFERROR(__xludf.DUMMYFUNCTION("""COMPUTED_VALUE"""),0.00478)</f>
        <v>0.00478</v>
      </c>
      <c r="I809" s="19" t="str">
        <f>IFERROR(__xludf.DUMMYFUNCTION("""COMPUTED_VALUE"""),"-")</f>
        <v>-</v>
      </c>
      <c r="J809" s="19">
        <f>IFERROR(__xludf.DUMMYFUNCTION("""COMPUTED_VALUE"""),0.01964)</f>
        <v>0.01964</v>
      </c>
      <c r="K809" s="19">
        <f>IFERROR(__xludf.DUMMYFUNCTION("""COMPUTED_VALUE"""),0.13158)</f>
        <v>0.13158</v>
      </c>
      <c r="L809" s="19" t="str">
        <f>IFERROR(__xludf.DUMMYFUNCTION("""COMPUTED_VALUE"""),"-")</f>
        <v>-</v>
      </c>
      <c r="M809" s="19" t="str">
        <f>IFERROR(__xludf.DUMMYFUNCTION("""COMPUTED_VALUE"""),"-")</f>
        <v>-</v>
      </c>
    </row>
    <row r="810">
      <c r="A810" s="12" t="s">
        <v>9600</v>
      </c>
      <c r="G810" s="19">
        <f>IFERROR(__xludf.DUMMYFUNCTION("SPLIT(A808, "" |"")"),402501.0)</f>
        <v>402501</v>
      </c>
      <c r="H810" s="19">
        <f>IFERROR(__xludf.DUMMYFUNCTION("""COMPUTED_VALUE"""),0.00479)</f>
        <v>0.00479</v>
      </c>
      <c r="I810" s="19" t="str">
        <f>IFERROR(__xludf.DUMMYFUNCTION("""COMPUTED_VALUE"""),"-")</f>
        <v>-</v>
      </c>
      <c r="J810" s="19">
        <f>IFERROR(__xludf.DUMMYFUNCTION("""COMPUTED_VALUE"""),0.01966)</f>
        <v>0.01966</v>
      </c>
      <c r="K810" s="19">
        <f>IFERROR(__xludf.DUMMYFUNCTION("""COMPUTED_VALUE"""),0.1319)</f>
        <v>0.1319</v>
      </c>
      <c r="L810" s="19" t="str">
        <f>IFERROR(__xludf.DUMMYFUNCTION("""COMPUTED_VALUE"""),"-")</f>
        <v>-</v>
      </c>
      <c r="M810" s="19" t="str">
        <f>IFERROR(__xludf.DUMMYFUNCTION("""COMPUTED_VALUE"""),"-")</f>
        <v>-</v>
      </c>
    </row>
    <row r="811">
      <c r="A811" s="12" t="s">
        <v>9601</v>
      </c>
      <c r="G811" s="19">
        <f>IFERROR(__xludf.DUMMYFUNCTION("SPLIT(A809, "" |"")"),403001.0)</f>
        <v>403001</v>
      </c>
      <c r="H811" s="19">
        <f>IFERROR(__xludf.DUMMYFUNCTION("""COMPUTED_VALUE"""),0.00476)</f>
        <v>0.00476</v>
      </c>
      <c r="I811" s="19" t="str">
        <f>IFERROR(__xludf.DUMMYFUNCTION("""COMPUTED_VALUE"""),"-")</f>
        <v>-</v>
      </c>
      <c r="J811" s="19">
        <f>IFERROR(__xludf.DUMMYFUNCTION("""COMPUTED_VALUE"""),0.01968)</f>
        <v>0.01968</v>
      </c>
      <c r="K811" s="19">
        <f>IFERROR(__xludf.DUMMYFUNCTION("""COMPUTED_VALUE"""),0.13101)</f>
        <v>0.13101</v>
      </c>
      <c r="L811" s="19" t="str">
        <f>IFERROR(__xludf.DUMMYFUNCTION("""COMPUTED_VALUE"""),"-")</f>
        <v>-</v>
      </c>
      <c r="M811" s="19" t="str">
        <f>IFERROR(__xludf.DUMMYFUNCTION("""COMPUTED_VALUE"""),"-")</f>
        <v>-</v>
      </c>
    </row>
    <row r="812">
      <c r="A812" s="12" t="s">
        <v>9602</v>
      </c>
      <c r="G812" s="19">
        <f>IFERROR(__xludf.DUMMYFUNCTION("SPLIT(A810, "" |"")"),403501.0)</f>
        <v>403501</v>
      </c>
      <c r="H812" s="19">
        <f>IFERROR(__xludf.DUMMYFUNCTION("""COMPUTED_VALUE"""),0.0048)</f>
        <v>0.0048</v>
      </c>
      <c r="I812" s="19" t="str">
        <f>IFERROR(__xludf.DUMMYFUNCTION("""COMPUTED_VALUE"""),"-")</f>
        <v>-</v>
      </c>
      <c r="J812" s="19">
        <f>IFERROR(__xludf.DUMMYFUNCTION("""COMPUTED_VALUE"""),0.01965)</f>
        <v>0.01965</v>
      </c>
      <c r="K812" s="19">
        <f>IFERROR(__xludf.DUMMYFUNCTION("""COMPUTED_VALUE"""),0.12888)</f>
        <v>0.12888</v>
      </c>
      <c r="L812" s="19" t="str">
        <f>IFERROR(__xludf.DUMMYFUNCTION("""COMPUTED_VALUE"""),"-")</f>
        <v>-</v>
      </c>
      <c r="M812" s="19" t="str">
        <f>IFERROR(__xludf.DUMMYFUNCTION("""COMPUTED_VALUE"""),"-")</f>
        <v>-</v>
      </c>
    </row>
    <row r="813">
      <c r="A813" s="12" t="s">
        <v>9603</v>
      </c>
      <c r="G813" s="19">
        <f>IFERROR(__xludf.DUMMYFUNCTION("SPLIT(A811, "" |"")"),404001.0)</f>
        <v>404001</v>
      </c>
      <c r="H813" s="19">
        <f>IFERROR(__xludf.DUMMYFUNCTION("""COMPUTED_VALUE"""),0.00482)</f>
        <v>0.00482</v>
      </c>
      <c r="I813" s="19" t="str">
        <f>IFERROR(__xludf.DUMMYFUNCTION("""COMPUTED_VALUE"""),"-")</f>
        <v>-</v>
      </c>
      <c r="J813" s="19">
        <f>IFERROR(__xludf.DUMMYFUNCTION("""COMPUTED_VALUE"""),0.01967)</f>
        <v>0.01967</v>
      </c>
      <c r="K813" s="19">
        <f>IFERROR(__xludf.DUMMYFUNCTION("""COMPUTED_VALUE"""),0.132)</f>
        <v>0.132</v>
      </c>
      <c r="L813" s="19" t="str">
        <f>IFERROR(__xludf.DUMMYFUNCTION("""COMPUTED_VALUE"""),"-")</f>
        <v>-</v>
      </c>
      <c r="M813" s="19" t="str">
        <f>IFERROR(__xludf.DUMMYFUNCTION("""COMPUTED_VALUE"""),"-")</f>
        <v>-</v>
      </c>
    </row>
    <row r="814">
      <c r="A814" s="12" t="s">
        <v>9604</v>
      </c>
      <c r="G814" s="19">
        <f>IFERROR(__xludf.DUMMYFUNCTION("SPLIT(A812, "" |"")"),404501.0)</f>
        <v>404501</v>
      </c>
      <c r="H814" s="19">
        <f>IFERROR(__xludf.DUMMYFUNCTION("""COMPUTED_VALUE"""),0.00486)</f>
        <v>0.00486</v>
      </c>
      <c r="I814" s="19" t="str">
        <f>IFERROR(__xludf.DUMMYFUNCTION("""COMPUTED_VALUE"""),"-")</f>
        <v>-</v>
      </c>
      <c r="J814" s="19">
        <f>IFERROR(__xludf.DUMMYFUNCTION("""COMPUTED_VALUE"""),0.01968)</f>
        <v>0.01968</v>
      </c>
      <c r="K814" s="19">
        <f>IFERROR(__xludf.DUMMYFUNCTION("""COMPUTED_VALUE"""),0.13196)</f>
        <v>0.13196</v>
      </c>
      <c r="L814" s="19" t="str">
        <f>IFERROR(__xludf.DUMMYFUNCTION("""COMPUTED_VALUE"""),"-")</f>
        <v>-</v>
      </c>
      <c r="M814" s="19" t="str">
        <f>IFERROR(__xludf.DUMMYFUNCTION("""COMPUTED_VALUE"""),"-")</f>
        <v>-</v>
      </c>
    </row>
    <row r="815">
      <c r="A815" s="12" t="s">
        <v>9605</v>
      </c>
      <c r="G815" s="19">
        <f>IFERROR(__xludf.DUMMYFUNCTION("SPLIT(A813, "" |"")"),405001.0)</f>
        <v>405001</v>
      </c>
      <c r="H815" s="19">
        <f>IFERROR(__xludf.DUMMYFUNCTION("""COMPUTED_VALUE"""),0.00478)</f>
        <v>0.00478</v>
      </c>
      <c r="I815" s="19" t="str">
        <f>IFERROR(__xludf.DUMMYFUNCTION("""COMPUTED_VALUE"""),"-")</f>
        <v>-</v>
      </c>
      <c r="J815" s="19">
        <f>IFERROR(__xludf.DUMMYFUNCTION("""COMPUTED_VALUE"""),0.01967)</f>
        <v>0.01967</v>
      </c>
      <c r="K815" s="19">
        <f>IFERROR(__xludf.DUMMYFUNCTION("""COMPUTED_VALUE"""),0.13192)</f>
        <v>0.13192</v>
      </c>
      <c r="L815" s="19" t="str">
        <f>IFERROR(__xludf.DUMMYFUNCTION("""COMPUTED_VALUE"""),"-")</f>
        <v>-</v>
      </c>
      <c r="M815" s="19" t="str">
        <f>IFERROR(__xludf.DUMMYFUNCTION("""COMPUTED_VALUE"""),"-")</f>
        <v>-</v>
      </c>
    </row>
    <row r="816">
      <c r="A816" s="12" t="s">
        <v>9606</v>
      </c>
      <c r="G816" s="19">
        <f>IFERROR(__xludf.DUMMYFUNCTION("SPLIT(A814, "" |"")"),405501.0)</f>
        <v>405501</v>
      </c>
      <c r="H816" s="19">
        <f>IFERROR(__xludf.DUMMYFUNCTION("""COMPUTED_VALUE"""),0.00462)</f>
        <v>0.00462</v>
      </c>
      <c r="I816" s="19" t="str">
        <f>IFERROR(__xludf.DUMMYFUNCTION("""COMPUTED_VALUE"""),"-")</f>
        <v>-</v>
      </c>
      <c r="J816" s="19">
        <f>IFERROR(__xludf.DUMMYFUNCTION("""COMPUTED_VALUE"""),0.01949)</f>
        <v>0.01949</v>
      </c>
      <c r="K816" s="19">
        <f>IFERROR(__xludf.DUMMYFUNCTION("""COMPUTED_VALUE"""),0.12975)</f>
        <v>0.12975</v>
      </c>
      <c r="L816" s="19" t="str">
        <f>IFERROR(__xludf.DUMMYFUNCTION("""COMPUTED_VALUE"""),"-")</f>
        <v>-</v>
      </c>
      <c r="M816" s="19" t="str">
        <f>IFERROR(__xludf.DUMMYFUNCTION("""COMPUTED_VALUE"""),"-")</f>
        <v>-</v>
      </c>
    </row>
    <row r="817">
      <c r="A817" s="12" t="s">
        <v>9607</v>
      </c>
      <c r="G817" s="19">
        <f>IFERROR(__xludf.DUMMYFUNCTION("SPLIT(A815, "" |"")"),406001.0)</f>
        <v>406001</v>
      </c>
      <c r="H817" s="19">
        <f>IFERROR(__xludf.DUMMYFUNCTION("""COMPUTED_VALUE"""),0.00476)</f>
        <v>0.00476</v>
      </c>
      <c r="I817" s="19" t="str">
        <f>IFERROR(__xludf.DUMMYFUNCTION("""COMPUTED_VALUE"""),"-")</f>
        <v>-</v>
      </c>
      <c r="J817" s="19">
        <f>IFERROR(__xludf.DUMMYFUNCTION("""COMPUTED_VALUE"""),0.01964)</f>
        <v>0.01964</v>
      </c>
      <c r="K817" s="19">
        <f>IFERROR(__xludf.DUMMYFUNCTION("""COMPUTED_VALUE"""),0.12661)</f>
        <v>0.12661</v>
      </c>
      <c r="L817" s="19" t="str">
        <f>IFERROR(__xludf.DUMMYFUNCTION("""COMPUTED_VALUE"""),"-")</f>
        <v>-</v>
      </c>
      <c r="M817" s="19" t="str">
        <f>IFERROR(__xludf.DUMMYFUNCTION("""COMPUTED_VALUE"""),"-")</f>
        <v>-</v>
      </c>
    </row>
    <row r="818">
      <c r="A818" s="12" t="s">
        <v>9608</v>
      </c>
      <c r="G818" s="19">
        <f>IFERROR(__xludf.DUMMYFUNCTION("SPLIT(A816, "" |"")"),406501.0)</f>
        <v>406501</v>
      </c>
      <c r="H818" s="19">
        <f>IFERROR(__xludf.DUMMYFUNCTION("""COMPUTED_VALUE"""),0.00464)</f>
        <v>0.00464</v>
      </c>
      <c r="I818" s="19" t="str">
        <f>IFERROR(__xludf.DUMMYFUNCTION("""COMPUTED_VALUE"""),"-")</f>
        <v>-</v>
      </c>
      <c r="J818" s="19">
        <f>IFERROR(__xludf.DUMMYFUNCTION("""COMPUTED_VALUE"""),0.01975)</f>
        <v>0.01975</v>
      </c>
      <c r="K818" s="19">
        <f>IFERROR(__xludf.DUMMYFUNCTION("""COMPUTED_VALUE"""),0.13184)</f>
        <v>0.13184</v>
      </c>
      <c r="L818" s="19" t="str">
        <f>IFERROR(__xludf.DUMMYFUNCTION("""COMPUTED_VALUE"""),"-")</f>
        <v>-</v>
      </c>
      <c r="M818" s="19" t="str">
        <f>IFERROR(__xludf.DUMMYFUNCTION("""COMPUTED_VALUE"""),"-")</f>
        <v>-</v>
      </c>
    </row>
    <row r="819">
      <c r="A819" s="12" t="s">
        <v>9609</v>
      </c>
      <c r="G819" s="19">
        <f>IFERROR(__xludf.DUMMYFUNCTION("SPLIT(A817, "" |"")"),407001.0)</f>
        <v>407001</v>
      </c>
      <c r="H819" s="19">
        <f>IFERROR(__xludf.DUMMYFUNCTION("""COMPUTED_VALUE"""),0.00489)</f>
        <v>0.00489</v>
      </c>
      <c r="I819" s="19" t="str">
        <f>IFERROR(__xludf.DUMMYFUNCTION("""COMPUTED_VALUE"""),"-")</f>
        <v>-</v>
      </c>
      <c r="J819" s="19">
        <f>IFERROR(__xludf.DUMMYFUNCTION("""COMPUTED_VALUE"""),0.01974)</f>
        <v>0.01974</v>
      </c>
      <c r="K819" s="19">
        <f>IFERROR(__xludf.DUMMYFUNCTION("""COMPUTED_VALUE"""),0.12862)</f>
        <v>0.12862</v>
      </c>
      <c r="L819" s="19" t="str">
        <f>IFERROR(__xludf.DUMMYFUNCTION("""COMPUTED_VALUE"""),"-")</f>
        <v>-</v>
      </c>
      <c r="M819" s="19" t="str">
        <f>IFERROR(__xludf.DUMMYFUNCTION("""COMPUTED_VALUE"""),"-")</f>
        <v>-</v>
      </c>
    </row>
    <row r="820">
      <c r="A820" s="12" t="s">
        <v>9610</v>
      </c>
      <c r="G820" s="19">
        <f>IFERROR(__xludf.DUMMYFUNCTION("SPLIT(A818, "" |"")"),407501.0)</f>
        <v>407501</v>
      </c>
      <c r="H820" s="19">
        <f>IFERROR(__xludf.DUMMYFUNCTION("""COMPUTED_VALUE"""),0.00477)</f>
        <v>0.00477</v>
      </c>
      <c r="I820" s="19" t="str">
        <f>IFERROR(__xludf.DUMMYFUNCTION("""COMPUTED_VALUE"""),"-")</f>
        <v>-</v>
      </c>
      <c r="J820" s="19">
        <f>IFERROR(__xludf.DUMMYFUNCTION("""COMPUTED_VALUE"""),0.01985)</f>
        <v>0.01985</v>
      </c>
      <c r="K820" s="19">
        <f>IFERROR(__xludf.DUMMYFUNCTION("""COMPUTED_VALUE"""),0.12905)</f>
        <v>0.12905</v>
      </c>
      <c r="L820" s="19" t="str">
        <f>IFERROR(__xludf.DUMMYFUNCTION("""COMPUTED_VALUE"""),"-")</f>
        <v>-</v>
      </c>
      <c r="M820" s="19" t="str">
        <f>IFERROR(__xludf.DUMMYFUNCTION("""COMPUTED_VALUE"""),"-")</f>
        <v>-</v>
      </c>
    </row>
    <row r="821">
      <c r="A821" s="12" t="s">
        <v>9611</v>
      </c>
      <c r="G821" s="19">
        <f>IFERROR(__xludf.DUMMYFUNCTION("SPLIT(A819, "" |"")"),408001.0)</f>
        <v>408001</v>
      </c>
      <c r="H821" s="19">
        <f>IFERROR(__xludf.DUMMYFUNCTION("""COMPUTED_VALUE"""),0.00474)</f>
        <v>0.00474</v>
      </c>
      <c r="I821" s="19" t="str">
        <f>IFERROR(__xludf.DUMMYFUNCTION("""COMPUTED_VALUE"""),"-")</f>
        <v>-</v>
      </c>
      <c r="J821" s="19">
        <f>IFERROR(__xludf.DUMMYFUNCTION("""COMPUTED_VALUE"""),0.01963)</f>
        <v>0.01963</v>
      </c>
      <c r="K821" s="19">
        <f>IFERROR(__xludf.DUMMYFUNCTION("""COMPUTED_VALUE"""),0.13098)</f>
        <v>0.13098</v>
      </c>
      <c r="L821" s="19" t="str">
        <f>IFERROR(__xludf.DUMMYFUNCTION("""COMPUTED_VALUE"""),"-")</f>
        <v>-</v>
      </c>
      <c r="M821" s="19" t="str">
        <f>IFERROR(__xludf.DUMMYFUNCTION("""COMPUTED_VALUE"""),"-")</f>
        <v>-</v>
      </c>
    </row>
    <row r="822">
      <c r="A822" s="12" t="s">
        <v>9612</v>
      </c>
      <c r="G822" s="19">
        <f>IFERROR(__xludf.DUMMYFUNCTION("SPLIT(A820, "" |"")"),408501.0)</f>
        <v>408501</v>
      </c>
      <c r="H822" s="19">
        <f>IFERROR(__xludf.DUMMYFUNCTION("""COMPUTED_VALUE"""),0.0048)</f>
        <v>0.0048</v>
      </c>
      <c r="I822" s="19" t="str">
        <f>IFERROR(__xludf.DUMMYFUNCTION("""COMPUTED_VALUE"""),"-")</f>
        <v>-</v>
      </c>
      <c r="J822" s="19">
        <f>IFERROR(__xludf.DUMMYFUNCTION("""COMPUTED_VALUE"""),0.01957)</f>
        <v>0.01957</v>
      </c>
      <c r="K822" s="19">
        <f>IFERROR(__xludf.DUMMYFUNCTION("""COMPUTED_VALUE"""),0.13199)</f>
        <v>0.13199</v>
      </c>
      <c r="L822" s="19" t="str">
        <f>IFERROR(__xludf.DUMMYFUNCTION("""COMPUTED_VALUE"""),"-")</f>
        <v>-</v>
      </c>
      <c r="M822" s="19" t="str">
        <f>IFERROR(__xludf.DUMMYFUNCTION("""COMPUTED_VALUE"""),"-")</f>
        <v>-</v>
      </c>
    </row>
    <row r="823">
      <c r="A823" s="12" t="s">
        <v>9613</v>
      </c>
      <c r="G823" s="19">
        <f>IFERROR(__xludf.DUMMYFUNCTION("SPLIT(A821, "" |"")"),409001.0)</f>
        <v>409001</v>
      </c>
      <c r="H823" s="19">
        <f>IFERROR(__xludf.DUMMYFUNCTION("""COMPUTED_VALUE"""),0.00485)</f>
        <v>0.00485</v>
      </c>
      <c r="I823" s="19" t="str">
        <f>IFERROR(__xludf.DUMMYFUNCTION("""COMPUTED_VALUE"""),"-")</f>
        <v>-</v>
      </c>
      <c r="J823" s="19">
        <f>IFERROR(__xludf.DUMMYFUNCTION("""COMPUTED_VALUE"""),0.01964)</f>
        <v>0.01964</v>
      </c>
      <c r="K823" s="19">
        <f>IFERROR(__xludf.DUMMYFUNCTION("""COMPUTED_VALUE"""),0.13183)</f>
        <v>0.13183</v>
      </c>
      <c r="L823" s="19" t="str">
        <f>IFERROR(__xludf.DUMMYFUNCTION("""COMPUTED_VALUE"""),"-")</f>
        <v>-</v>
      </c>
      <c r="M823" s="19" t="str">
        <f>IFERROR(__xludf.DUMMYFUNCTION("""COMPUTED_VALUE"""),"-")</f>
        <v>-</v>
      </c>
    </row>
    <row r="824">
      <c r="A824" s="12" t="s">
        <v>9614</v>
      </c>
      <c r="G824" s="19">
        <f>IFERROR(__xludf.DUMMYFUNCTION("SPLIT(A822, "" |"")"),409501.0)</f>
        <v>409501</v>
      </c>
      <c r="H824" s="19">
        <f>IFERROR(__xludf.DUMMYFUNCTION("""COMPUTED_VALUE"""),0.00481)</f>
        <v>0.00481</v>
      </c>
      <c r="I824" s="19" t="str">
        <f>IFERROR(__xludf.DUMMYFUNCTION("""COMPUTED_VALUE"""),"-")</f>
        <v>-</v>
      </c>
      <c r="J824" s="19">
        <f>IFERROR(__xludf.DUMMYFUNCTION("""COMPUTED_VALUE"""),0.01969)</f>
        <v>0.01969</v>
      </c>
      <c r="K824" s="19">
        <f>IFERROR(__xludf.DUMMYFUNCTION("""COMPUTED_VALUE"""),0.12825)</f>
        <v>0.12825</v>
      </c>
      <c r="L824" s="19" t="str">
        <f>IFERROR(__xludf.DUMMYFUNCTION("""COMPUTED_VALUE"""),"-")</f>
        <v>-</v>
      </c>
      <c r="M824" s="19" t="str">
        <f>IFERROR(__xludf.DUMMYFUNCTION("""COMPUTED_VALUE"""),"-")</f>
        <v>-</v>
      </c>
    </row>
    <row r="825">
      <c r="A825" s="12" t="s">
        <v>9615</v>
      </c>
      <c r="G825" s="19">
        <f>IFERROR(__xludf.DUMMYFUNCTION("SPLIT(A823, "" |"")"),410001.0)</f>
        <v>410001</v>
      </c>
      <c r="H825" s="19">
        <f>IFERROR(__xludf.DUMMYFUNCTION("""COMPUTED_VALUE"""),0.00479)</f>
        <v>0.00479</v>
      </c>
      <c r="I825" s="19" t="str">
        <f>IFERROR(__xludf.DUMMYFUNCTION("""COMPUTED_VALUE"""),"-")</f>
        <v>-</v>
      </c>
      <c r="J825" s="19">
        <f>IFERROR(__xludf.DUMMYFUNCTION("""COMPUTED_VALUE"""),0.01951)</f>
        <v>0.01951</v>
      </c>
      <c r="K825" s="19">
        <f>IFERROR(__xludf.DUMMYFUNCTION("""COMPUTED_VALUE"""),0.13191)</f>
        <v>0.13191</v>
      </c>
      <c r="L825" s="19" t="str">
        <f>IFERROR(__xludf.DUMMYFUNCTION("""COMPUTED_VALUE"""),"-")</f>
        <v>-</v>
      </c>
      <c r="M825" s="19" t="str">
        <f>IFERROR(__xludf.DUMMYFUNCTION("""COMPUTED_VALUE"""),"-")</f>
        <v>-</v>
      </c>
    </row>
    <row r="826">
      <c r="A826" s="12" t="s">
        <v>9616</v>
      </c>
      <c r="G826" s="19">
        <f>IFERROR(__xludf.DUMMYFUNCTION("SPLIT(A824, "" |"")"),410501.0)</f>
        <v>410501</v>
      </c>
      <c r="H826" s="19">
        <f>IFERROR(__xludf.DUMMYFUNCTION("""COMPUTED_VALUE"""),0.00489)</f>
        <v>0.00489</v>
      </c>
      <c r="I826" s="19" t="str">
        <f>IFERROR(__xludf.DUMMYFUNCTION("""COMPUTED_VALUE"""),"-")</f>
        <v>-</v>
      </c>
      <c r="J826" s="19">
        <f>IFERROR(__xludf.DUMMYFUNCTION("""COMPUTED_VALUE"""),0.01983)</f>
        <v>0.01983</v>
      </c>
      <c r="K826" s="19">
        <f>IFERROR(__xludf.DUMMYFUNCTION("""COMPUTED_VALUE"""),0.12827)</f>
        <v>0.12827</v>
      </c>
      <c r="L826" s="19" t="str">
        <f>IFERROR(__xludf.DUMMYFUNCTION("""COMPUTED_VALUE"""),"-")</f>
        <v>-</v>
      </c>
      <c r="M826" s="19" t="str">
        <f>IFERROR(__xludf.DUMMYFUNCTION("""COMPUTED_VALUE"""),"-")</f>
        <v>-</v>
      </c>
    </row>
    <row r="827">
      <c r="A827" s="12" t="s">
        <v>9617</v>
      </c>
      <c r="G827" s="19">
        <f>IFERROR(__xludf.DUMMYFUNCTION("SPLIT(A825, "" |"")"),411001.0)</f>
        <v>411001</v>
      </c>
      <c r="H827" s="19">
        <f>IFERROR(__xludf.DUMMYFUNCTION("""COMPUTED_VALUE"""),0.00475)</f>
        <v>0.00475</v>
      </c>
      <c r="I827" s="19" t="str">
        <f>IFERROR(__xludf.DUMMYFUNCTION("""COMPUTED_VALUE"""),"-")</f>
        <v>-</v>
      </c>
      <c r="J827" s="19">
        <f>IFERROR(__xludf.DUMMYFUNCTION("""COMPUTED_VALUE"""),0.01992)</f>
        <v>0.01992</v>
      </c>
      <c r="K827" s="19">
        <f>IFERROR(__xludf.DUMMYFUNCTION("""COMPUTED_VALUE"""),0.13194)</f>
        <v>0.13194</v>
      </c>
      <c r="L827" s="19" t="str">
        <f>IFERROR(__xludf.DUMMYFUNCTION("""COMPUTED_VALUE"""),"-")</f>
        <v>-</v>
      </c>
      <c r="M827" s="19" t="str">
        <f>IFERROR(__xludf.DUMMYFUNCTION("""COMPUTED_VALUE"""),"-")</f>
        <v>-</v>
      </c>
    </row>
    <row r="828">
      <c r="A828" s="12" t="s">
        <v>9618</v>
      </c>
      <c r="G828" s="19">
        <f>IFERROR(__xludf.DUMMYFUNCTION("SPLIT(A826, "" |"")"),411501.0)</f>
        <v>411501</v>
      </c>
      <c r="H828" s="19">
        <f>IFERROR(__xludf.DUMMYFUNCTION("""COMPUTED_VALUE"""),0.0048)</f>
        <v>0.0048</v>
      </c>
      <c r="I828" s="19" t="str">
        <f>IFERROR(__xludf.DUMMYFUNCTION("""COMPUTED_VALUE"""),"-")</f>
        <v>-</v>
      </c>
      <c r="J828" s="19">
        <f>IFERROR(__xludf.DUMMYFUNCTION("""COMPUTED_VALUE"""),0.01967)</f>
        <v>0.01967</v>
      </c>
      <c r="K828" s="19">
        <f>IFERROR(__xludf.DUMMYFUNCTION("""COMPUTED_VALUE"""),0.1319)</f>
        <v>0.1319</v>
      </c>
      <c r="L828" s="19" t="str">
        <f>IFERROR(__xludf.DUMMYFUNCTION("""COMPUTED_VALUE"""),"-")</f>
        <v>-</v>
      </c>
      <c r="M828" s="19" t="str">
        <f>IFERROR(__xludf.DUMMYFUNCTION("""COMPUTED_VALUE"""),"-")</f>
        <v>-</v>
      </c>
    </row>
    <row r="829">
      <c r="A829" s="12" t="s">
        <v>9619</v>
      </c>
      <c r="G829" s="19">
        <f>IFERROR(__xludf.DUMMYFUNCTION("SPLIT(A827, "" |"")"),412001.0)</f>
        <v>412001</v>
      </c>
      <c r="H829" s="19">
        <f>IFERROR(__xludf.DUMMYFUNCTION("""COMPUTED_VALUE"""),0.00476)</f>
        <v>0.00476</v>
      </c>
      <c r="I829" s="19" t="str">
        <f>IFERROR(__xludf.DUMMYFUNCTION("""COMPUTED_VALUE"""),"-")</f>
        <v>-</v>
      </c>
      <c r="J829" s="19">
        <f>IFERROR(__xludf.DUMMYFUNCTION("""COMPUTED_VALUE"""),0.01967)</f>
        <v>0.01967</v>
      </c>
      <c r="K829" s="19">
        <f>IFERROR(__xludf.DUMMYFUNCTION("""COMPUTED_VALUE"""),0.13181)</f>
        <v>0.13181</v>
      </c>
      <c r="L829" s="19" t="str">
        <f>IFERROR(__xludf.DUMMYFUNCTION("""COMPUTED_VALUE"""),"-")</f>
        <v>-</v>
      </c>
      <c r="M829" s="19" t="str">
        <f>IFERROR(__xludf.DUMMYFUNCTION("""COMPUTED_VALUE"""),"-")</f>
        <v>-</v>
      </c>
    </row>
    <row r="830">
      <c r="A830" s="12" t="s">
        <v>9620</v>
      </c>
      <c r="G830" s="19">
        <f>IFERROR(__xludf.DUMMYFUNCTION("SPLIT(A828, "" |"")"),412501.0)</f>
        <v>412501</v>
      </c>
      <c r="H830" s="19">
        <f>IFERROR(__xludf.DUMMYFUNCTION("""COMPUTED_VALUE"""),0.00466)</f>
        <v>0.00466</v>
      </c>
      <c r="I830" s="19" t="str">
        <f>IFERROR(__xludf.DUMMYFUNCTION("""COMPUTED_VALUE"""),"-")</f>
        <v>-</v>
      </c>
      <c r="J830" s="19">
        <f>IFERROR(__xludf.DUMMYFUNCTION("""COMPUTED_VALUE"""),0.01947)</f>
        <v>0.01947</v>
      </c>
      <c r="K830" s="19">
        <f>IFERROR(__xludf.DUMMYFUNCTION("""COMPUTED_VALUE"""),0.12827)</f>
        <v>0.12827</v>
      </c>
      <c r="L830" s="19" t="str">
        <f>IFERROR(__xludf.DUMMYFUNCTION("""COMPUTED_VALUE"""),"-")</f>
        <v>-</v>
      </c>
      <c r="M830" s="19" t="str">
        <f>IFERROR(__xludf.DUMMYFUNCTION("""COMPUTED_VALUE"""),"-")</f>
        <v>-</v>
      </c>
    </row>
    <row r="831">
      <c r="A831" s="12" t="s">
        <v>9621</v>
      </c>
      <c r="G831" s="19">
        <f>IFERROR(__xludf.DUMMYFUNCTION("SPLIT(A829, "" |"")"),413001.0)</f>
        <v>413001</v>
      </c>
      <c r="H831" s="19">
        <f>IFERROR(__xludf.DUMMYFUNCTION("""COMPUTED_VALUE"""),0.00477)</f>
        <v>0.00477</v>
      </c>
      <c r="I831" s="19" t="str">
        <f>IFERROR(__xludf.DUMMYFUNCTION("""COMPUTED_VALUE"""),"-")</f>
        <v>-</v>
      </c>
      <c r="J831" s="19">
        <f>IFERROR(__xludf.DUMMYFUNCTION("""COMPUTED_VALUE"""),0.01965)</f>
        <v>0.01965</v>
      </c>
      <c r="K831" s="19">
        <f>IFERROR(__xludf.DUMMYFUNCTION("""COMPUTED_VALUE"""),0.12986)</f>
        <v>0.12986</v>
      </c>
      <c r="L831" s="19" t="str">
        <f>IFERROR(__xludf.DUMMYFUNCTION("""COMPUTED_VALUE"""),"-")</f>
        <v>-</v>
      </c>
      <c r="M831" s="19" t="str">
        <f>IFERROR(__xludf.DUMMYFUNCTION("""COMPUTED_VALUE"""),"-")</f>
        <v>-</v>
      </c>
    </row>
    <row r="832">
      <c r="A832" s="12" t="s">
        <v>9622</v>
      </c>
      <c r="G832" s="19">
        <f>IFERROR(__xludf.DUMMYFUNCTION("SPLIT(A830, "" |"")"),413501.0)</f>
        <v>413501</v>
      </c>
      <c r="H832" s="19">
        <f>IFERROR(__xludf.DUMMYFUNCTION("""COMPUTED_VALUE"""),0.00474)</f>
        <v>0.00474</v>
      </c>
      <c r="I832" s="19" t="str">
        <f>IFERROR(__xludf.DUMMYFUNCTION("""COMPUTED_VALUE"""),"-")</f>
        <v>-</v>
      </c>
      <c r="J832" s="19">
        <f>IFERROR(__xludf.DUMMYFUNCTION("""COMPUTED_VALUE"""),0.01968)</f>
        <v>0.01968</v>
      </c>
      <c r="K832" s="19">
        <f>IFERROR(__xludf.DUMMYFUNCTION("""COMPUTED_VALUE"""),0.13158)</f>
        <v>0.13158</v>
      </c>
      <c r="L832" s="19" t="str">
        <f>IFERROR(__xludf.DUMMYFUNCTION("""COMPUTED_VALUE"""),"-")</f>
        <v>-</v>
      </c>
      <c r="M832" s="19" t="str">
        <f>IFERROR(__xludf.DUMMYFUNCTION("""COMPUTED_VALUE"""),"-")</f>
        <v>-</v>
      </c>
    </row>
    <row r="833">
      <c r="A833" s="12" t="s">
        <v>9623</v>
      </c>
      <c r="G833" s="19">
        <f>IFERROR(__xludf.DUMMYFUNCTION("SPLIT(A831, "" |"")"),414001.0)</f>
        <v>414001</v>
      </c>
      <c r="H833" s="19">
        <f>IFERROR(__xludf.DUMMYFUNCTION("""COMPUTED_VALUE"""),0.00476)</f>
        <v>0.00476</v>
      </c>
      <c r="I833" s="19" t="str">
        <f>IFERROR(__xludf.DUMMYFUNCTION("""COMPUTED_VALUE"""),"-")</f>
        <v>-</v>
      </c>
      <c r="J833" s="19">
        <f>IFERROR(__xludf.DUMMYFUNCTION("""COMPUTED_VALUE"""),0.03959)</f>
        <v>0.03959</v>
      </c>
      <c r="K833" s="19">
        <f>IFERROR(__xludf.DUMMYFUNCTION("""COMPUTED_VALUE"""),0.1297)</f>
        <v>0.1297</v>
      </c>
      <c r="L833" s="19" t="str">
        <f>IFERROR(__xludf.DUMMYFUNCTION("""COMPUTED_VALUE"""),"-")</f>
        <v>-</v>
      </c>
      <c r="M833" s="19" t="str">
        <f>IFERROR(__xludf.DUMMYFUNCTION("""COMPUTED_VALUE"""),"-")</f>
        <v>-</v>
      </c>
    </row>
    <row r="834">
      <c r="A834" s="12" t="s">
        <v>9624</v>
      </c>
      <c r="G834" s="19">
        <f>IFERROR(__xludf.DUMMYFUNCTION("SPLIT(A832, "" |"")"),414501.0)</f>
        <v>414501</v>
      </c>
      <c r="H834" s="19">
        <f>IFERROR(__xludf.DUMMYFUNCTION("""COMPUTED_VALUE"""),0.00468)</f>
        <v>0.00468</v>
      </c>
      <c r="I834" s="19" t="str">
        <f>IFERROR(__xludf.DUMMYFUNCTION("""COMPUTED_VALUE"""),"-")</f>
        <v>-</v>
      </c>
      <c r="J834" s="19">
        <f>IFERROR(__xludf.DUMMYFUNCTION("""COMPUTED_VALUE"""),0.01958)</f>
        <v>0.01958</v>
      </c>
      <c r="K834" s="19">
        <f>IFERROR(__xludf.DUMMYFUNCTION("""COMPUTED_VALUE"""),0.13118)</f>
        <v>0.13118</v>
      </c>
      <c r="L834" s="19" t="str">
        <f>IFERROR(__xludf.DUMMYFUNCTION("""COMPUTED_VALUE"""),"-")</f>
        <v>-</v>
      </c>
      <c r="M834" s="19" t="str">
        <f>IFERROR(__xludf.DUMMYFUNCTION("""COMPUTED_VALUE"""),"-")</f>
        <v>-</v>
      </c>
    </row>
    <row r="835">
      <c r="A835" s="12" t="s">
        <v>9625</v>
      </c>
      <c r="G835" s="19">
        <f>IFERROR(__xludf.DUMMYFUNCTION("SPLIT(A833, "" |"")"),415001.0)</f>
        <v>415001</v>
      </c>
      <c r="H835" s="19">
        <f>IFERROR(__xludf.DUMMYFUNCTION("""COMPUTED_VALUE"""),0.00499)</f>
        <v>0.00499</v>
      </c>
      <c r="I835" s="19" t="str">
        <f>IFERROR(__xludf.DUMMYFUNCTION("""COMPUTED_VALUE"""),"-")</f>
        <v>-</v>
      </c>
      <c r="J835" s="19">
        <f>IFERROR(__xludf.DUMMYFUNCTION("""COMPUTED_VALUE"""),0.01976)</f>
        <v>0.01976</v>
      </c>
      <c r="K835" s="19">
        <f>IFERROR(__xludf.DUMMYFUNCTION("""COMPUTED_VALUE"""),0.13193)</f>
        <v>0.13193</v>
      </c>
      <c r="L835" s="19" t="str">
        <f>IFERROR(__xludf.DUMMYFUNCTION("""COMPUTED_VALUE"""),"-")</f>
        <v>-</v>
      </c>
      <c r="M835" s="19" t="str">
        <f>IFERROR(__xludf.DUMMYFUNCTION("""COMPUTED_VALUE"""),"-")</f>
        <v>-</v>
      </c>
    </row>
    <row r="836">
      <c r="A836" s="12" t="s">
        <v>9626</v>
      </c>
      <c r="G836" s="19">
        <f>IFERROR(__xludf.DUMMYFUNCTION("SPLIT(A834, "" |"")"),415501.0)</f>
        <v>415501</v>
      </c>
      <c r="H836" s="19">
        <f>IFERROR(__xludf.DUMMYFUNCTION("""COMPUTED_VALUE"""),0.00473)</f>
        <v>0.00473</v>
      </c>
      <c r="I836" s="19" t="str">
        <f>IFERROR(__xludf.DUMMYFUNCTION("""COMPUTED_VALUE"""),"-")</f>
        <v>-</v>
      </c>
      <c r="J836" s="19">
        <f>IFERROR(__xludf.DUMMYFUNCTION("""COMPUTED_VALUE"""),0.01965)</f>
        <v>0.01965</v>
      </c>
      <c r="K836" s="19">
        <f>IFERROR(__xludf.DUMMYFUNCTION("""COMPUTED_VALUE"""),0.13055)</f>
        <v>0.13055</v>
      </c>
      <c r="L836" s="19" t="str">
        <f>IFERROR(__xludf.DUMMYFUNCTION("""COMPUTED_VALUE"""),"-")</f>
        <v>-</v>
      </c>
      <c r="M836" s="19" t="str">
        <f>IFERROR(__xludf.DUMMYFUNCTION("""COMPUTED_VALUE"""),"-")</f>
        <v>-</v>
      </c>
    </row>
    <row r="837">
      <c r="A837" s="12" t="s">
        <v>9627</v>
      </c>
      <c r="G837" s="19">
        <f>IFERROR(__xludf.DUMMYFUNCTION("SPLIT(A835, "" |"")"),416001.0)</f>
        <v>416001</v>
      </c>
      <c r="H837" s="19">
        <f>IFERROR(__xludf.DUMMYFUNCTION("""COMPUTED_VALUE"""),0.00478)</f>
        <v>0.00478</v>
      </c>
      <c r="I837" s="19" t="str">
        <f>IFERROR(__xludf.DUMMYFUNCTION("""COMPUTED_VALUE"""),"-")</f>
        <v>-</v>
      </c>
      <c r="J837" s="19">
        <f>IFERROR(__xludf.DUMMYFUNCTION("""COMPUTED_VALUE"""),0.01963)</f>
        <v>0.01963</v>
      </c>
      <c r="K837" s="19">
        <f>IFERROR(__xludf.DUMMYFUNCTION("""COMPUTED_VALUE"""),0.12714)</f>
        <v>0.12714</v>
      </c>
      <c r="L837" s="19" t="str">
        <f>IFERROR(__xludf.DUMMYFUNCTION("""COMPUTED_VALUE"""),"-")</f>
        <v>-</v>
      </c>
      <c r="M837" s="19" t="str">
        <f>IFERROR(__xludf.DUMMYFUNCTION("""COMPUTED_VALUE"""),"-")</f>
        <v>-</v>
      </c>
    </row>
    <row r="838">
      <c r="A838" s="12" t="s">
        <v>9628</v>
      </c>
      <c r="G838" s="19">
        <f>IFERROR(__xludf.DUMMYFUNCTION("SPLIT(A836, "" |"")"),416501.0)</f>
        <v>416501</v>
      </c>
      <c r="H838" s="19">
        <f>IFERROR(__xludf.DUMMYFUNCTION("""COMPUTED_VALUE"""),0.00467)</f>
        <v>0.00467</v>
      </c>
      <c r="I838" s="19" t="str">
        <f>IFERROR(__xludf.DUMMYFUNCTION("""COMPUTED_VALUE"""),"-")</f>
        <v>-</v>
      </c>
      <c r="J838" s="19">
        <f>IFERROR(__xludf.DUMMYFUNCTION("""COMPUTED_VALUE"""),0.01961)</f>
        <v>0.01961</v>
      </c>
      <c r="K838" s="19">
        <f>IFERROR(__xludf.DUMMYFUNCTION("""COMPUTED_VALUE"""),0.12812)</f>
        <v>0.12812</v>
      </c>
      <c r="L838" s="19" t="str">
        <f>IFERROR(__xludf.DUMMYFUNCTION("""COMPUTED_VALUE"""),"-")</f>
        <v>-</v>
      </c>
      <c r="M838" s="19" t="str">
        <f>IFERROR(__xludf.DUMMYFUNCTION("""COMPUTED_VALUE"""),"-")</f>
        <v>-</v>
      </c>
    </row>
    <row r="839">
      <c r="A839" s="12" t="s">
        <v>9629</v>
      </c>
      <c r="G839" s="19">
        <f>IFERROR(__xludf.DUMMYFUNCTION("SPLIT(A837, "" |"")"),417001.0)</f>
        <v>417001</v>
      </c>
      <c r="H839" s="19">
        <f>IFERROR(__xludf.DUMMYFUNCTION("""COMPUTED_VALUE"""),0.00473)</f>
        <v>0.00473</v>
      </c>
      <c r="I839" s="19" t="str">
        <f>IFERROR(__xludf.DUMMYFUNCTION("""COMPUTED_VALUE"""),"-")</f>
        <v>-</v>
      </c>
      <c r="J839" s="19">
        <f>IFERROR(__xludf.DUMMYFUNCTION("""COMPUTED_VALUE"""),0.01968)</f>
        <v>0.01968</v>
      </c>
      <c r="K839" s="19">
        <f>IFERROR(__xludf.DUMMYFUNCTION("""COMPUTED_VALUE"""),0.13188)</f>
        <v>0.13188</v>
      </c>
      <c r="L839" s="19" t="str">
        <f>IFERROR(__xludf.DUMMYFUNCTION("""COMPUTED_VALUE"""),"-")</f>
        <v>-</v>
      </c>
      <c r="M839" s="19" t="str">
        <f>IFERROR(__xludf.DUMMYFUNCTION("""COMPUTED_VALUE"""),"-")</f>
        <v>-</v>
      </c>
    </row>
    <row r="840">
      <c r="A840" s="12" t="s">
        <v>9630</v>
      </c>
      <c r="G840" s="19">
        <f>IFERROR(__xludf.DUMMYFUNCTION("SPLIT(A838, "" |"")"),417501.0)</f>
        <v>417501</v>
      </c>
      <c r="H840" s="19">
        <f>IFERROR(__xludf.DUMMYFUNCTION("""COMPUTED_VALUE"""),0.00486)</f>
        <v>0.00486</v>
      </c>
      <c r="I840" s="19" t="str">
        <f>IFERROR(__xludf.DUMMYFUNCTION("""COMPUTED_VALUE"""),"-")</f>
        <v>-</v>
      </c>
      <c r="J840" s="19">
        <f>IFERROR(__xludf.DUMMYFUNCTION("""COMPUTED_VALUE"""),0.01978)</f>
        <v>0.01978</v>
      </c>
      <c r="K840" s="19">
        <f>IFERROR(__xludf.DUMMYFUNCTION("""COMPUTED_VALUE"""),0.12829)</f>
        <v>0.12829</v>
      </c>
      <c r="L840" s="19" t="str">
        <f>IFERROR(__xludf.DUMMYFUNCTION("""COMPUTED_VALUE"""),"-")</f>
        <v>-</v>
      </c>
      <c r="M840" s="19" t="str">
        <f>IFERROR(__xludf.DUMMYFUNCTION("""COMPUTED_VALUE"""),"-")</f>
        <v>-</v>
      </c>
    </row>
    <row r="841">
      <c r="A841" s="12" t="s">
        <v>9631</v>
      </c>
      <c r="G841" s="19">
        <f>IFERROR(__xludf.DUMMYFUNCTION("SPLIT(A839, "" |"")"),418001.0)</f>
        <v>418001</v>
      </c>
      <c r="H841" s="19">
        <f>IFERROR(__xludf.DUMMYFUNCTION("""COMPUTED_VALUE"""),0.00475)</f>
        <v>0.00475</v>
      </c>
      <c r="I841" s="19" t="str">
        <f>IFERROR(__xludf.DUMMYFUNCTION("""COMPUTED_VALUE"""),"-")</f>
        <v>-</v>
      </c>
      <c r="J841" s="19">
        <f>IFERROR(__xludf.DUMMYFUNCTION("""COMPUTED_VALUE"""),0.01974)</f>
        <v>0.01974</v>
      </c>
      <c r="K841" s="19">
        <f>IFERROR(__xludf.DUMMYFUNCTION("""COMPUTED_VALUE"""),0.12774)</f>
        <v>0.12774</v>
      </c>
      <c r="L841" s="19" t="str">
        <f>IFERROR(__xludf.DUMMYFUNCTION("""COMPUTED_VALUE"""),"-")</f>
        <v>-</v>
      </c>
      <c r="M841" s="19" t="str">
        <f>IFERROR(__xludf.DUMMYFUNCTION("""COMPUTED_VALUE"""),"-")</f>
        <v>-</v>
      </c>
    </row>
    <row r="842">
      <c r="A842" s="12" t="s">
        <v>9632</v>
      </c>
      <c r="G842" s="19">
        <f>IFERROR(__xludf.DUMMYFUNCTION("SPLIT(A840, "" |"")"),418501.0)</f>
        <v>418501</v>
      </c>
      <c r="H842" s="19">
        <f>IFERROR(__xludf.DUMMYFUNCTION("""COMPUTED_VALUE"""),0.00561)</f>
        <v>0.00561</v>
      </c>
      <c r="I842" s="19" t="str">
        <f>IFERROR(__xludf.DUMMYFUNCTION("""COMPUTED_VALUE"""),"-")</f>
        <v>-</v>
      </c>
      <c r="J842" s="19">
        <f>IFERROR(__xludf.DUMMYFUNCTION("""COMPUTED_VALUE"""),0.01985)</f>
        <v>0.01985</v>
      </c>
      <c r="K842" s="19">
        <f>IFERROR(__xludf.DUMMYFUNCTION("""COMPUTED_VALUE"""),0.12858)</f>
        <v>0.12858</v>
      </c>
      <c r="L842" s="19" t="str">
        <f>IFERROR(__xludf.DUMMYFUNCTION("""COMPUTED_VALUE"""),"-")</f>
        <v>-</v>
      </c>
      <c r="M842" s="19" t="str">
        <f>IFERROR(__xludf.DUMMYFUNCTION("""COMPUTED_VALUE"""),"-")</f>
        <v>-</v>
      </c>
    </row>
    <row r="843">
      <c r="A843" s="12" t="s">
        <v>9633</v>
      </c>
      <c r="G843" s="19">
        <f>IFERROR(__xludf.DUMMYFUNCTION("SPLIT(A841, "" |"")"),419001.0)</f>
        <v>419001</v>
      </c>
      <c r="H843" s="19">
        <f>IFERROR(__xludf.DUMMYFUNCTION("""COMPUTED_VALUE"""),0.00472)</f>
        <v>0.00472</v>
      </c>
      <c r="I843" s="19" t="str">
        <f>IFERROR(__xludf.DUMMYFUNCTION("""COMPUTED_VALUE"""),"-")</f>
        <v>-</v>
      </c>
      <c r="J843" s="19">
        <f>IFERROR(__xludf.DUMMYFUNCTION("""COMPUTED_VALUE"""),0.01956)</f>
        <v>0.01956</v>
      </c>
      <c r="K843" s="19">
        <f>IFERROR(__xludf.DUMMYFUNCTION("""COMPUTED_VALUE"""),0.12743)</f>
        <v>0.12743</v>
      </c>
      <c r="L843" s="19" t="str">
        <f>IFERROR(__xludf.DUMMYFUNCTION("""COMPUTED_VALUE"""),"-")</f>
        <v>-</v>
      </c>
      <c r="M843" s="19" t="str">
        <f>IFERROR(__xludf.DUMMYFUNCTION("""COMPUTED_VALUE"""),"-")</f>
        <v>-</v>
      </c>
    </row>
    <row r="844">
      <c r="A844" s="12" t="s">
        <v>9634</v>
      </c>
      <c r="G844" s="19">
        <f>IFERROR(__xludf.DUMMYFUNCTION("SPLIT(A842, "" |"")"),419501.0)</f>
        <v>419501</v>
      </c>
      <c r="H844" s="19">
        <f>IFERROR(__xludf.DUMMYFUNCTION("""COMPUTED_VALUE"""),0.00471)</f>
        <v>0.00471</v>
      </c>
      <c r="I844" s="19" t="str">
        <f>IFERROR(__xludf.DUMMYFUNCTION("""COMPUTED_VALUE"""),"-")</f>
        <v>-</v>
      </c>
      <c r="J844" s="19">
        <f>IFERROR(__xludf.DUMMYFUNCTION("""COMPUTED_VALUE"""),0.0195)</f>
        <v>0.0195</v>
      </c>
      <c r="K844" s="19">
        <f>IFERROR(__xludf.DUMMYFUNCTION("""COMPUTED_VALUE"""),0.13181)</f>
        <v>0.13181</v>
      </c>
      <c r="L844" s="19" t="str">
        <f>IFERROR(__xludf.DUMMYFUNCTION("""COMPUTED_VALUE"""),"-")</f>
        <v>-</v>
      </c>
      <c r="M844" s="19" t="str">
        <f>IFERROR(__xludf.DUMMYFUNCTION("""COMPUTED_VALUE"""),"-")</f>
        <v>-</v>
      </c>
    </row>
    <row r="845">
      <c r="A845" s="12" t="s">
        <v>9635</v>
      </c>
      <c r="G845" s="19">
        <f>IFERROR(__xludf.DUMMYFUNCTION("SPLIT(A843, "" |"")"),420001.0)</f>
        <v>420001</v>
      </c>
      <c r="H845" s="19">
        <f>IFERROR(__xludf.DUMMYFUNCTION("""COMPUTED_VALUE"""),0.00485)</f>
        <v>0.00485</v>
      </c>
      <c r="I845" s="19" t="str">
        <f>IFERROR(__xludf.DUMMYFUNCTION("""COMPUTED_VALUE"""),"-")</f>
        <v>-</v>
      </c>
      <c r="J845" s="19">
        <f>IFERROR(__xludf.DUMMYFUNCTION("""COMPUTED_VALUE"""),0.01979)</f>
        <v>0.01979</v>
      </c>
      <c r="K845" s="19">
        <f>IFERROR(__xludf.DUMMYFUNCTION("""COMPUTED_VALUE"""),0.13203)</f>
        <v>0.13203</v>
      </c>
      <c r="L845" s="19" t="str">
        <f>IFERROR(__xludf.DUMMYFUNCTION("""COMPUTED_VALUE"""),"-")</f>
        <v>-</v>
      </c>
      <c r="M845" s="19" t="str">
        <f>IFERROR(__xludf.DUMMYFUNCTION("""COMPUTED_VALUE"""),"-")</f>
        <v>-</v>
      </c>
    </row>
    <row r="846">
      <c r="A846" s="12" t="s">
        <v>9636</v>
      </c>
      <c r="G846" s="19">
        <f>IFERROR(__xludf.DUMMYFUNCTION("SPLIT(A844, "" |"")"),420501.0)</f>
        <v>420501</v>
      </c>
      <c r="H846" s="19">
        <f>IFERROR(__xludf.DUMMYFUNCTION("""COMPUTED_VALUE"""),0.00479)</f>
        <v>0.00479</v>
      </c>
      <c r="I846" s="19" t="str">
        <f>IFERROR(__xludf.DUMMYFUNCTION("""COMPUTED_VALUE"""),"-")</f>
        <v>-</v>
      </c>
      <c r="J846" s="19">
        <f>IFERROR(__xludf.DUMMYFUNCTION("""COMPUTED_VALUE"""),0.01969)</f>
        <v>0.01969</v>
      </c>
      <c r="K846" s="19">
        <f>IFERROR(__xludf.DUMMYFUNCTION("""COMPUTED_VALUE"""),0.12779)</f>
        <v>0.12779</v>
      </c>
      <c r="L846" s="19" t="str">
        <f>IFERROR(__xludf.DUMMYFUNCTION("""COMPUTED_VALUE"""),"-")</f>
        <v>-</v>
      </c>
      <c r="M846" s="19" t="str">
        <f>IFERROR(__xludf.DUMMYFUNCTION("""COMPUTED_VALUE"""),"-")</f>
        <v>-</v>
      </c>
    </row>
    <row r="847">
      <c r="A847" s="12" t="s">
        <v>9637</v>
      </c>
      <c r="G847" s="19">
        <f>IFERROR(__xludf.DUMMYFUNCTION("SPLIT(A845, "" |"")"),421001.0)</f>
        <v>421001</v>
      </c>
      <c r="H847" s="19">
        <f>IFERROR(__xludf.DUMMYFUNCTION("""COMPUTED_VALUE"""),0.00475)</f>
        <v>0.00475</v>
      </c>
      <c r="I847" s="19" t="str">
        <f>IFERROR(__xludf.DUMMYFUNCTION("""COMPUTED_VALUE"""),"-")</f>
        <v>-</v>
      </c>
      <c r="J847" s="19">
        <f>IFERROR(__xludf.DUMMYFUNCTION("""COMPUTED_VALUE"""),0.01979)</f>
        <v>0.01979</v>
      </c>
      <c r="K847" s="19">
        <f>IFERROR(__xludf.DUMMYFUNCTION("""COMPUTED_VALUE"""),0.1288)</f>
        <v>0.1288</v>
      </c>
      <c r="L847" s="19" t="str">
        <f>IFERROR(__xludf.DUMMYFUNCTION("""COMPUTED_VALUE"""),"-")</f>
        <v>-</v>
      </c>
      <c r="M847" s="19" t="str">
        <f>IFERROR(__xludf.DUMMYFUNCTION("""COMPUTED_VALUE"""),"-")</f>
        <v>-</v>
      </c>
    </row>
    <row r="848">
      <c r="A848" s="12" t="s">
        <v>9638</v>
      </c>
      <c r="G848" s="19">
        <f>IFERROR(__xludf.DUMMYFUNCTION("SPLIT(A846, "" |"")"),421501.0)</f>
        <v>421501</v>
      </c>
      <c r="H848" s="19">
        <f>IFERROR(__xludf.DUMMYFUNCTION("""COMPUTED_VALUE"""),0.00479)</f>
        <v>0.00479</v>
      </c>
      <c r="I848" s="19" t="str">
        <f>IFERROR(__xludf.DUMMYFUNCTION("""COMPUTED_VALUE"""),"-")</f>
        <v>-</v>
      </c>
      <c r="J848" s="19">
        <f>IFERROR(__xludf.DUMMYFUNCTION("""COMPUTED_VALUE"""),0.01972)</f>
        <v>0.01972</v>
      </c>
      <c r="K848" s="19">
        <f>IFERROR(__xludf.DUMMYFUNCTION("""COMPUTED_VALUE"""),0.13014)</f>
        <v>0.13014</v>
      </c>
      <c r="L848" s="19" t="str">
        <f>IFERROR(__xludf.DUMMYFUNCTION("""COMPUTED_VALUE"""),"-")</f>
        <v>-</v>
      </c>
      <c r="M848" s="19" t="str">
        <f>IFERROR(__xludf.DUMMYFUNCTION("""COMPUTED_VALUE"""),"-")</f>
        <v>-</v>
      </c>
    </row>
    <row r="849">
      <c r="A849" s="12" t="s">
        <v>9639</v>
      </c>
      <c r="G849" s="19">
        <f>IFERROR(__xludf.DUMMYFUNCTION("SPLIT(A847, "" |"")"),422001.0)</f>
        <v>422001</v>
      </c>
      <c r="H849" s="19">
        <f>IFERROR(__xludf.DUMMYFUNCTION("""COMPUTED_VALUE"""),0.00476)</f>
        <v>0.00476</v>
      </c>
      <c r="I849" s="19" t="str">
        <f>IFERROR(__xludf.DUMMYFUNCTION("""COMPUTED_VALUE"""),"-")</f>
        <v>-</v>
      </c>
      <c r="J849" s="19">
        <f>IFERROR(__xludf.DUMMYFUNCTION("""COMPUTED_VALUE"""),0.01971)</f>
        <v>0.01971</v>
      </c>
      <c r="K849" s="19">
        <f>IFERROR(__xludf.DUMMYFUNCTION("""COMPUTED_VALUE"""),0.13076)</f>
        <v>0.13076</v>
      </c>
      <c r="L849" s="19" t="str">
        <f>IFERROR(__xludf.DUMMYFUNCTION("""COMPUTED_VALUE"""),"-")</f>
        <v>-</v>
      </c>
      <c r="M849" s="19" t="str">
        <f>IFERROR(__xludf.DUMMYFUNCTION("""COMPUTED_VALUE"""),"-")</f>
        <v>-</v>
      </c>
    </row>
    <row r="850">
      <c r="A850" s="12" t="s">
        <v>9640</v>
      </c>
      <c r="G850" s="19">
        <f>IFERROR(__xludf.DUMMYFUNCTION("SPLIT(A848, "" |"")"),422501.0)</f>
        <v>422501</v>
      </c>
      <c r="H850" s="19">
        <f>IFERROR(__xludf.DUMMYFUNCTION("""COMPUTED_VALUE"""),0.0048)</f>
        <v>0.0048</v>
      </c>
      <c r="I850" s="19" t="str">
        <f>IFERROR(__xludf.DUMMYFUNCTION("""COMPUTED_VALUE"""),"-")</f>
        <v>-</v>
      </c>
      <c r="J850" s="19">
        <f>IFERROR(__xludf.DUMMYFUNCTION("""COMPUTED_VALUE"""),0.03966)</f>
        <v>0.03966</v>
      </c>
      <c r="K850" s="19">
        <f>IFERROR(__xludf.DUMMYFUNCTION("""COMPUTED_VALUE"""),0.1312)</f>
        <v>0.1312</v>
      </c>
      <c r="L850" s="19" t="str">
        <f>IFERROR(__xludf.DUMMYFUNCTION("""COMPUTED_VALUE"""),"-")</f>
        <v>-</v>
      </c>
      <c r="M850" s="19" t="str">
        <f>IFERROR(__xludf.DUMMYFUNCTION("""COMPUTED_VALUE"""),"-")</f>
        <v>-</v>
      </c>
    </row>
    <row r="851">
      <c r="A851" s="12" t="s">
        <v>9641</v>
      </c>
      <c r="G851" s="19">
        <f>IFERROR(__xludf.DUMMYFUNCTION("SPLIT(A849, "" |"")"),423001.0)</f>
        <v>423001</v>
      </c>
      <c r="H851" s="19">
        <f>IFERROR(__xludf.DUMMYFUNCTION("""COMPUTED_VALUE"""),0.00482)</f>
        <v>0.00482</v>
      </c>
      <c r="I851" s="19" t="str">
        <f>IFERROR(__xludf.DUMMYFUNCTION("""COMPUTED_VALUE"""),"-")</f>
        <v>-</v>
      </c>
      <c r="J851" s="19">
        <f>IFERROR(__xludf.DUMMYFUNCTION("""COMPUTED_VALUE"""),0.01974)</f>
        <v>0.01974</v>
      </c>
      <c r="K851" s="19">
        <f>IFERROR(__xludf.DUMMYFUNCTION("""COMPUTED_VALUE"""),0.12835)</f>
        <v>0.12835</v>
      </c>
      <c r="L851" s="19" t="str">
        <f>IFERROR(__xludf.DUMMYFUNCTION("""COMPUTED_VALUE"""),"-")</f>
        <v>-</v>
      </c>
      <c r="M851" s="19" t="str">
        <f>IFERROR(__xludf.DUMMYFUNCTION("""COMPUTED_VALUE"""),"-")</f>
        <v>-</v>
      </c>
    </row>
    <row r="852">
      <c r="A852" s="12" t="s">
        <v>9642</v>
      </c>
      <c r="G852" s="19">
        <f>IFERROR(__xludf.DUMMYFUNCTION("SPLIT(A850, "" |"")"),423501.0)</f>
        <v>423501</v>
      </c>
      <c r="H852" s="19">
        <f>IFERROR(__xludf.DUMMYFUNCTION("""COMPUTED_VALUE"""),0.00497)</f>
        <v>0.00497</v>
      </c>
      <c r="I852" s="19" t="str">
        <f>IFERROR(__xludf.DUMMYFUNCTION("""COMPUTED_VALUE"""),"-")</f>
        <v>-</v>
      </c>
      <c r="J852" s="19">
        <f>IFERROR(__xludf.DUMMYFUNCTION("""COMPUTED_VALUE"""),0.01902)</f>
        <v>0.01902</v>
      </c>
      <c r="K852" s="19">
        <f>IFERROR(__xludf.DUMMYFUNCTION("""COMPUTED_VALUE"""),0.13204)</f>
        <v>0.13204</v>
      </c>
      <c r="L852" s="19" t="str">
        <f>IFERROR(__xludf.DUMMYFUNCTION("""COMPUTED_VALUE"""),"-")</f>
        <v>-</v>
      </c>
      <c r="M852" s="19" t="str">
        <f>IFERROR(__xludf.DUMMYFUNCTION("""COMPUTED_VALUE"""),"-")</f>
        <v>-</v>
      </c>
    </row>
    <row r="853">
      <c r="A853" s="12" t="s">
        <v>9643</v>
      </c>
      <c r="G853" s="19">
        <f>IFERROR(__xludf.DUMMYFUNCTION("SPLIT(A851, "" |"")"),424001.0)</f>
        <v>424001</v>
      </c>
      <c r="H853" s="19">
        <f>IFERROR(__xludf.DUMMYFUNCTION("""COMPUTED_VALUE"""),0.00498)</f>
        <v>0.00498</v>
      </c>
      <c r="I853" s="19" t="str">
        <f>IFERROR(__xludf.DUMMYFUNCTION("""COMPUTED_VALUE"""),"-")</f>
        <v>-</v>
      </c>
      <c r="J853" s="19">
        <f>IFERROR(__xludf.DUMMYFUNCTION("""COMPUTED_VALUE"""),0.01938)</f>
        <v>0.01938</v>
      </c>
      <c r="K853" s="19">
        <f>IFERROR(__xludf.DUMMYFUNCTION("""COMPUTED_VALUE"""),0.12771)</f>
        <v>0.12771</v>
      </c>
      <c r="L853" s="19" t="str">
        <f>IFERROR(__xludf.DUMMYFUNCTION("""COMPUTED_VALUE"""),"-")</f>
        <v>-</v>
      </c>
      <c r="M853" s="19" t="str">
        <f>IFERROR(__xludf.DUMMYFUNCTION("""COMPUTED_VALUE"""),"-")</f>
        <v>-</v>
      </c>
    </row>
    <row r="854">
      <c r="A854" s="12" t="s">
        <v>9644</v>
      </c>
      <c r="G854" s="19">
        <f>IFERROR(__xludf.DUMMYFUNCTION("SPLIT(A852, "" |"")"),424501.0)</f>
        <v>424501</v>
      </c>
      <c r="H854" s="19">
        <f>IFERROR(__xludf.DUMMYFUNCTION("""COMPUTED_VALUE"""),0.00478)</f>
        <v>0.00478</v>
      </c>
      <c r="I854" s="19" t="str">
        <f>IFERROR(__xludf.DUMMYFUNCTION("""COMPUTED_VALUE"""),"-")</f>
        <v>-</v>
      </c>
      <c r="J854" s="19">
        <f>IFERROR(__xludf.DUMMYFUNCTION("""COMPUTED_VALUE"""),0.01902)</f>
        <v>0.01902</v>
      </c>
      <c r="K854" s="19">
        <f>IFERROR(__xludf.DUMMYFUNCTION("""COMPUTED_VALUE"""),0.13204)</f>
        <v>0.13204</v>
      </c>
      <c r="L854" s="19" t="str">
        <f>IFERROR(__xludf.DUMMYFUNCTION("""COMPUTED_VALUE"""),"-")</f>
        <v>-</v>
      </c>
      <c r="M854" s="19" t="str">
        <f>IFERROR(__xludf.DUMMYFUNCTION("""COMPUTED_VALUE"""),"-")</f>
        <v>-</v>
      </c>
    </row>
    <row r="855">
      <c r="A855" s="12" t="s">
        <v>9645</v>
      </c>
      <c r="G855" s="19">
        <f>IFERROR(__xludf.DUMMYFUNCTION("SPLIT(A853, "" |"")"),425001.0)</f>
        <v>425001</v>
      </c>
      <c r="H855" s="19">
        <f>IFERROR(__xludf.DUMMYFUNCTION("""COMPUTED_VALUE"""),0.00486)</f>
        <v>0.00486</v>
      </c>
      <c r="I855" s="19" t="str">
        <f>IFERROR(__xludf.DUMMYFUNCTION("""COMPUTED_VALUE"""),"-")</f>
        <v>-</v>
      </c>
      <c r="J855" s="19">
        <f>IFERROR(__xludf.DUMMYFUNCTION("""COMPUTED_VALUE"""),0.01984)</f>
        <v>0.01984</v>
      </c>
      <c r="K855" s="19">
        <f>IFERROR(__xludf.DUMMYFUNCTION("""COMPUTED_VALUE"""),0.13015)</f>
        <v>0.13015</v>
      </c>
      <c r="L855" s="19" t="str">
        <f>IFERROR(__xludf.DUMMYFUNCTION("""COMPUTED_VALUE"""),"-")</f>
        <v>-</v>
      </c>
      <c r="M855" s="19" t="str">
        <f>IFERROR(__xludf.DUMMYFUNCTION("""COMPUTED_VALUE"""),"-")</f>
        <v>-</v>
      </c>
    </row>
    <row r="856">
      <c r="A856" s="12" t="s">
        <v>9646</v>
      </c>
      <c r="G856" s="19">
        <f>IFERROR(__xludf.DUMMYFUNCTION("SPLIT(A854, "" |"")"),425501.0)</f>
        <v>425501</v>
      </c>
      <c r="H856" s="19">
        <f>IFERROR(__xludf.DUMMYFUNCTION("""COMPUTED_VALUE"""),0.00483)</f>
        <v>0.00483</v>
      </c>
      <c r="I856" s="19" t="str">
        <f>IFERROR(__xludf.DUMMYFUNCTION("""COMPUTED_VALUE"""),"-")</f>
        <v>-</v>
      </c>
      <c r="J856" s="19">
        <f>IFERROR(__xludf.DUMMYFUNCTION("""COMPUTED_VALUE"""),0.01972)</f>
        <v>0.01972</v>
      </c>
      <c r="K856" s="19">
        <f>IFERROR(__xludf.DUMMYFUNCTION("""COMPUTED_VALUE"""),0.13185)</f>
        <v>0.13185</v>
      </c>
      <c r="L856" s="19" t="str">
        <f>IFERROR(__xludf.DUMMYFUNCTION("""COMPUTED_VALUE"""),"-")</f>
        <v>-</v>
      </c>
      <c r="M856" s="19" t="str">
        <f>IFERROR(__xludf.DUMMYFUNCTION("""COMPUTED_VALUE"""),"-")</f>
        <v>-</v>
      </c>
    </row>
    <row r="857">
      <c r="A857" s="12" t="s">
        <v>9647</v>
      </c>
      <c r="G857" s="19">
        <f>IFERROR(__xludf.DUMMYFUNCTION("SPLIT(A855, "" |"")"),426001.0)</f>
        <v>426001</v>
      </c>
      <c r="H857" s="19">
        <f>IFERROR(__xludf.DUMMYFUNCTION("""COMPUTED_VALUE"""),0.00481)</f>
        <v>0.00481</v>
      </c>
      <c r="I857" s="19" t="str">
        <f>IFERROR(__xludf.DUMMYFUNCTION("""COMPUTED_VALUE"""),"-")</f>
        <v>-</v>
      </c>
      <c r="J857" s="19">
        <f>IFERROR(__xludf.DUMMYFUNCTION("""COMPUTED_VALUE"""),0.01979)</f>
        <v>0.01979</v>
      </c>
      <c r="K857" s="19">
        <f>IFERROR(__xludf.DUMMYFUNCTION("""COMPUTED_VALUE"""),0.13182)</f>
        <v>0.13182</v>
      </c>
      <c r="L857" s="19" t="str">
        <f>IFERROR(__xludf.DUMMYFUNCTION("""COMPUTED_VALUE"""),"-")</f>
        <v>-</v>
      </c>
      <c r="M857" s="19" t="str">
        <f>IFERROR(__xludf.DUMMYFUNCTION("""COMPUTED_VALUE"""),"-")</f>
        <v>-</v>
      </c>
    </row>
    <row r="858">
      <c r="A858" s="12" t="s">
        <v>9648</v>
      </c>
      <c r="G858" s="19">
        <f>IFERROR(__xludf.DUMMYFUNCTION("SPLIT(A856, "" |"")"),426501.0)</f>
        <v>426501</v>
      </c>
      <c r="H858" s="19">
        <f>IFERROR(__xludf.DUMMYFUNCTION("""COMPUTED_VALUE"""),0.00466)</f>
        <v>0.00466</v>
      </c>
      <c r="I858" s="19" t="str">
        <f>IFERROR(__xludf.DUMMYFUNCTION("""COMPUTED_VALUE"""),"-")</f>
        <v>-</v>
      </c>
      <c r="J858" s="19">
        <f>IFERROR(__xludf.DUMMYFUNCTION("""COMPUTED_VALUE"""),0.01955)</f>
        <v>0.01955</v>
      </c>
      <c r="K858" s="19">
        <f>IFERROR(__xludf.DUMMYFUNCTION("""COMPUTED_VALUE"""),0.13192)</f>
        <v>0.13192</v>
      </c>
      <c r="L858" s="19" t="str">
        <f>IFERROR(__xludf.DUMMYFUNCTION("""COMPUTED_VALUE"""),"-")</f>
        <v>-</v>
      </c>
      <c r="M858" s="19" t="str">
        <f>IFERROR(__xludf.DUMMYFUNCTION("""COMPUTED_VALUE"""),"-")</f>
        <v>-</v>
      </c>
    </row>
    <row r="859">
      <c r="A859" s="12" t="s">
        <v>9649</v>
      </c>
      <c r="G859" s="19">
        <f>IFERROR(__xludf.DUMMYFUNCTION("SPLIT(A857, "" |"")"),427001.0)</f>
        <v>427001</v>
      </c>
      <c r="H859" s="19">
        <f>IFERROR(__xludf.DUMMYFUNCTION("""COMPUTED_VALUE"""),0.00473)</f>
        <v>0.00473</v>
      </c>
      <c r="I859" s="19" t="str">
        <f>IFERROR(__xludf.DUMMYFUNCTION("""COMPUTED_VALUE"""),"-")</f>
        <v>-</v>
      </c>
      <c r="J859" s="19">
        <f>IFERROR(__xludf.DUMMYFUNCTION("""COMPUTED_VALUE"""),0.01966)</f>
        <v>0.01966</v>
      </c>
      <c r="K859" s="19">
        <f>IFERROR(__xludf.DUMMYFUNCTION("""COMPUTED_VALUE"""),0.13181)</f>
        <v>0.13181</v>
      </c>
      <c r="L859" s="19" t="str">
        <f>IFERROR(__xludf.DUMMYFUNCTION("""COMPUTED_VALUE"""),"-")</f>
        <v>-</v>
      </c>
      <c r="M859" s="19" t="str">
        <f>IFERROR(__xludf.DUMMYFUNCTION("""COMPUTED_VALUE"""),"-")</f>
        <v>-</v>
      </c>
    </row>
    <row r="860">
      <c r="A860" s="12" t="s">
        <v>9650</v>
      </c>
      <c r="G860" s="19">
        <f>IFERROR(__xludf.DUMMYFUNCTION("SPLIT(A858, "" |"")"),427501.0)</f>
        <v>427501</v>
      </c>
      <c r="H860" s="19">
        <f>IFERROR(__xludf.DUMMYFUNCTION("""COMPUTED_VALUE"""),0.0047)</f>
        <v>0.0047</v>
      </c>
      <c r="I860" s="19" t="str">
        <f>IFERROR(__xludf.DUMMYFUNCTION("""COMPUTED_VALUE"""),"-")</f>
        <v>-</v>
      </c>
      <c r="J860" s="19">
        <f>IFERROR(__xludf.DUMMYFUNCTION("""COMPUTED_VALUE"""),0.01964)</f>
        <v>0.01964</v>
      </c>
      <c r="K860" s="19">
        <f>IFERROR(__xludf.DUMMYFUNCTION("""COMPUTED_VALUE"""),0.12916)</f>
        <v>0.12916</v>
      </c>
      <c r="L860" s="19" t="str">
        <f>IFERROR(__xludf.DUMMYFUNCTION("""COMPUTED_VALUE"""),"-")</f>
        <v>-</v>
      </c>
      <c r="M860" s="19" t="str">
        <f>IFERROR(__xludf.DUMMYFUNCTION("""COMPUTED_VALUE"""),"-")</f>
        <v>-</v>
      </c>
    </row>
    <row r="861">
      <c r="A861" s="12" t="s">
        <v>9651</v>
      </c>
      <c r="G861" s="19">
        <f>IFERROR(__xludf.DUMMYFUNCTION("SPLIT(A859, "" |"")"),428001.0)</f>
        <v>428001</v>
      </c>
      <c r="H861" s="19">
        <f>IFERROR(__xludf.DUMMYFUNCTION("""COMPUTED_VALUE"""),0.00474)</f>
        <v>0.00474</v>
      </c>
      <c r="I861" s="19" t="str">
        <f>IFERROR(__xludf.DUMMYFUNCTION("""COMPUTED_VALUE"""),"-")</f>
        <v>-</v>
      </c>
      <c r="J861" s="19">
        <f>IFERROR(__xludf.DUMMYFUNCTION("""COMPUTED_VALUE"""),0.01838)</f>
        <v>0.01838</v>
      </c>
      <c r="K861" s="19">
        <f>IFERROR(__xludf.DUMMYFUNCTION("""COMPUTED_VALUE"""),0.12732)</f>
        <v>0.12732</v>
      </c>
      <c r="L861" s="19" t="str">
        <f>IFERROR(__xludf.DUMMYFUNCTION("""COMPUTED_VALUE"""),"-")</f>
        <v>-</v>
      </c>
      <c r="M861" s="19" t="str">
        <f>IFERROR(__xludf.DUMMYFUNCTION("""COMPUTED_VALUE"""),"-")</f>
        <v>-</v>
      </c>
    </row>
    <row r="862">
      <c r="A862" s="12" t="s">
        <v>9652</v>
      </c>
      <c r="G862" s="19">
        <f>IFERROR(__xludf.DUMMYFUNCTION("SPLIT(A860, "" |"")"),428501.0)</f>
        <v>428501</v>
      </c>
      <c r="H862" s="19">
        <f>IFERROR(__xludf.DUMMYFUNCTION("""COMPUTED_VALUE"""),0.00487)</f>
        <v>0.00487</v>
      </c>
      <c r="I862" s="19" t="str">
        <f>IFERROR(__xludf.DUMMYFUNCTION("""COMPUTED_VALUE"""),"-")</f>
        <v>-</v>
      </c>
      <c r="J862" s="19">
        <f>IFERROR(__xludf.DUMMYFUNCTION("""COMPUTED_VALUE"""),0.01965)</f>
        <v>0.01965</v>
      </c>
      <c r="K862" s="19">
        <f>IFERROR(__xludf.DUMMYFUNCTION("""COMPUTED_VALUE"""),0.13197)</f>
        <v>0.13197</v>
      </c>
      <c r="L862" s="19" t="str">
        <f>IFERROR(__xludf.DUMMYFUNCTION("""COMPUTED_VALUE"""),"-")</f>
        <v>-</v>
      </c>
      <c r="M862" s="19" t="str">
        <f>IFERROR(__xludf.DUMMYFUNCTION("""COMPUTED_VALUE"""),"-")</f>
        <v>-</v>
      </c>
    </row>
    <row r="863">
      <c r="A863" s="12" t="s">
        <v>9653</v>
      </c>
      <c r="G863" s="19">
        <f>IFERROR(__xludf.DUMMYFUNCTION("SPLIT(A861, "" |"")"),429001.0)</f>
        <v>429001</v>
      </c>
      <c r="H863" s="19">
        <f>IFERROR(__xludf.DUMMYFUNCTION("""COMPUTED_VALUE"""),0.00489)</f>
        <v>0.00489</v>
      </c>
      <c r="I863" s="19" t="str">
        <f>IFERROR(__xludf.DUMMYFUNCTION("""COMPUTED_VALUE"""),"-")</f>
        <v>-</v>
      </c>
      <c r="J863" s="19">
        <f>IFERROR(__xludf.DUMMYFUNCTION("""COMPUTED_VALUE"""),0.01979)</f>
        <v>0.01979</v>
      </c>
      <c r="K863" s="19">
        <f>IFERROR(__xludf.DUMMYFUNCTION("""COMPUTED_VALUE"""),0.13139)</f>
        <v>0.13139</v>
      </c>
      <c r="L863" s="19" t="str">
        <f>IFERROR(__xludf.DUMMYFUNCTION("""COMPUTED_VALUE"""),"-")</f>
        <v>-</v>
      </c>
      <c r="M863" s="19" t="str">
        <f>IFERROR(__xludf.DUMMYFUNCTION("""COMPUTED_VALUE"""),"-")</f>
        <v>-</v>
      </c>
    </row>
    <row r="864">
      <c r="A864" s="12" t="s">
        <v>9654</v>
      </c>
      <c r="G864" s="19">
        <f>IFERROR(__xludf.DUMMYFUNCTION("SPLIT(A862, "" |"")"),429501.0)</f>
        <v>429501</v>
      </c>
      <c r="H864" s="19">
        <f>IFERROR(__xludf.DUMMYFUNCTION("""COMPUTED_VALUE"""),0.00485)</f>
        <v>0.00485</v>
      </c>
      <c r="I864" s="19" t="str">
        <f>IFERROR(__xludf.DUMMYFUNCTION("""COMPUTED_VALUE"""),"-")</f>
        <v>-</v>
      </c>
      <c r="J864" s="19">
        <f>IFERROR(__xludf.DUMMYFUNCTION("""COMPUTED_VALUE"""),0.0197)</f>
        <v>0.0197</v>
      </c>
      <c r="K864" s="19">
        <f>IFERROR(__xludf.DUMMYFUNCTION("""COMPUTED_VALUE"""),0.13189)</f>
        <v>0.13189</v>
      </c>
      <c r="L864" s="19" t="str">
        <f>IFERROR(__xludf.DUMMYFUNCTION("""COMPUTED_VALUE"""),"-")</f>
        <v>-</v>
      </c>
      <c r="M864" s="19" t="str">
        <f>IFERROR(__xludf.DUMMYFUNCTION("""COMPUTED_VALUE"""),"-")</f>
        <v>-</v>
      </c>
    </row>
    <row r="865">
      <c r="A865" s="12" t="s">
        <v>9655</v>
      </c>
      <c r="G865" s="19">
        <f>IFERROR(__xludf.DUMMYFUNCTION("SPLIT(A863, "" |"")"),430001.0)</f>
        <v>430001</v>
      </c>
      <c r="H865" s="19">
        <f>IFERROR(__xludf.DUMMYFUNCTION("""COMPUTED_VALUE"""),0.00479)</f>
        <v>0.00479</v>
      </c>
      <c r="I865" s="19" t="str">
        <f>IFERROR(__xludf.DUMMYFUNCTION("""COMPUTED_VALUE"""),"-")</f>
        <v>-</v>
      </c>
      <c r="J865" s="19">
        <f>IFERROR(__xludf.DUMMYFUNCTION("""COMPUTED_VALUE"""),0.01972)</f>
        <v>0.01972</v>
      </c>
      <c r="K865" s="19">
        <f>IFERROR(__xludf.DUMMYFUNCTION("""COMPUTED_VALUE"""),0.1249)</f>
        <v>0.1249</v>
      </c>
      <c r="L865" s="19" t="str">
        <f>IFERROR(__xludf.DUMMYFUNCTION("""COMPUTED_VALUE"""),"-")</f>
        <v>-</v>
      </c>
      <c r="M865" s="19" t="str">
        <f>IFERROR(__xludf.DUMMYFUNCTION("""COMPUTED_VALUE"""),"-")</f>
        <v>-</v>
      </c>
    </row>
    <row r="866">
      <c r="A866" s="12" t="s">
        <v>9656</v>
      </c>
      <c r="G866" s="19">
        <f>IFERROR(__xludf.DUMMYFUNCTION("SPLIT(A864, "" |"")"),430501.0)</f>
        <v>430501</v>
      </c>
      <c r="H866" s="19">
        <f>IFERROR(__xludf.DUMMYFUNCTION("""COMPUTED_VALUE"""),0.00483)</f>
        <v>0.00483</v>
      </c>
      <c r="I866" s="19" t="str">
        <f>IFERROR(__xludf.DUMMYFUNCTION("""COMPUTED_VALUE"""),"-")</f>
        <v>-</v>
      </c>
      <c r="J866" s="19">
        <f>IFERROR(__xludf.DUMMYFUNCTION("""COMPUTED_VALUE"""),0.01983)</f>
        <v>0.01983</v>
      </c>
      <c r="K866" s="19">
        <f>IFERROR(__xludf.DUMMYFUNCTION("""COMPUTED_VALUE"""),0.12512)</f>
        <v>0.12512</v>
      </c>
      <c r="L866" s="19" t="str">
        <f>IFERROR(__xludf.DUMMYFUNCTION("""COMPUTED_VALUE"""),"-")</f>
        <v>-</v>
      </c>
      <c r="M866" s="19" t="str">
        <f>IFERROR(__xludf.DUMMYFUNCTION("""COMPUTED_VALUE"""),"-")</f>
        <v>-</v>
      </c>
    </row>
    <row r="867">
      <c r="A867" s="12" t="s">
        <v>9657</v>
      </c>
      <c r="G867" s="19">
        <f>IFERROR(__xludf.DUMMYFUNCTION("SPLIT(A865, "" |"")"),431001.0)</f>
        <v>431001</v>
      </c>
      <c r="H867" s="19">
        <f>IFERROR(__xludf.DUMMYFUNCTION("""COMPUTED_VALUE"""),0.00456)</f>
        <v>0.00456</v>
      </c>
      <c r="I867" s="19" t="str">
        <f>IFERROR(__xludf.DUMMYFUNCTION("""COMPUTED_VALUE"""),"-")</f>
        <v>-</v>
      </c>
      <c r="J867" s="19">
        <f>IFERROR(__xludf.DUMMYFUNCTION("""COMPUTED_VALUE"""),0.01952)</f>
        <v>0.01952</v>
      </c>
      <c r="K867" s="19">
        <f>IFERROR(__xludf.DUMMYFUNCTION("""COMPUTED_VALUE"""),0.13081)</f>
        <v>0.13081</v>
      </c>
      <c r="L867" s="19" t="str">
        <f>IFERROR(__xludf.DUMMYFUNCTION("""COMPUTED_VALUE"""),"-")</f>
        <v>-</v>
      </c>
      <c r="M867" s="19" t="str">
        <f>IFERROR(__xludf.DUMMYFUNCTION("""COMPUTED_VALUE"""),"-")</f>
        <v>-</v>
      </c>
    </row>
    <row r="868">
      <c r="A868" s="12" t="s">
        <v>9658</v>
      </c>
      <c r="G868" s="19">
        <f>IFERROR(__xludf.DUMMYFUNCTION("SPLIT(A866, "" |"")"),431501.0)</f>
        <v>431501</v>
      </c>
      <c r="H868" s="19">
        <f>IFERROR(__xludf.DUMMYFUNCTION("""COMPUTED_VALUE"""),0.00472)</f>
        <v>0.00472</v>
      </c>
      <c r="I868" s="19" t="str">
        <f>IFERROR(__xludf.DUMMYFUNCTION("""COMPUTED_VALUE"""),"-")</f>
        <v>-</v>
      </c>
      <c r="J868" s="19">
        <f>IFERROR(__xludf.DUMMYFUNCTION("""COMPUTED_VALUE"""),0.0193)</f>
        <v>0.0193</v>
      </c>
      <c r="K868" s="19">
        <f>IFERROR(__xludf.DUMMYFUNCTION("""COMPUTED_VALUE"""),0.12286)</f>
        <v>0.12286</v>
      </c>
      <c r="L868" s="19" t="str">
        <f>IFERROR(__xludf.DUMMYFUNCTION("""COMPUTED_VALUE"""),"-")</f>
        <v>-</v>
      </c>
      <c r="M868" s="19" t="str">
        <f>IFERROR(__xludf.DUMMYFUNCTION("""COMPUTED_VALUE"""),"-")</f>
        <v>-</v>
      </c>
    </row>
    <row r="869">
      <c r="A869" s="12" t="s">
        <v>9659</v>
      </c>
      <c r="G869" s="19">
        <f>IFERROR(__xludf.DUMMYFUNCTION("SPLIT(A867, "" |"")"),432001.0)</f>
        <v>432001</v>
      </c>
      <c r="H869" s="19">
        <f>IFERROR(__xludf.DUMMYFUNCTION("""COMPUTED_VALUE"""),0.00481)</f>
        <v>0.00481</v>
      </c>
      <c r="I869" s="19" t="str">
        <f>IFERROR(__xludf.DUMMYFUNCTION("""COMPUTED_VALUE"""),"-")</f>
        <v>-</v>
      </c>
      <c r="J869" s="19">
        <f>IFERROR(__xludf.DUMMYFUNCTION("""COMPUTED_VALUE"""),0.03817)</f>
        <v>0.03817</v>
      </c>
      <c r="K869" s="19">
        <f>IFERROR(__xludf.DUMMYFUNCTION("""COMPUTED_VALUE"""),0.12724)</f>
        <v>0.12724</v>
      </c>
      <c r="L869" s="19" t="str">
        <f>IFERROR(__xludf.DUMMYFUNCTION("""COMPUTED_VALUE"""),"-")</f>
        <v>-</v>
      </c>
      <c r="M869" s="19" t="str">
        <f>IFERROR(__xludf.DUMMYFUNCTION("""COMPUTED_VALUE"""),"-")</f>
        <v>-</v>
      </c>
    </row>
    <row r="870">
      <c r="A870" s="12" t="s">
        <v>9660</v>
      </c>
      <c r="G870" s="19">
        <f>IFERROR(__xludf.DUMMYFUNCTION("SPLIT(A868, "" |"")"),432501.0)</f>
        <v>432501</v>
      </c>
      <c r="H870" s="19">
        <f>IFERROR(__xludf.DUMMYFUNCTION("""COMPUTED_VALUE"""),0.00473)</f>
        <v>0.00473</v>
      </c>
      <c r="I870" s="19" t="str">
        <f>IFERROR(__xludf.DUMMYFUNCTION("""COMPUTED_VALUE"""),"-")</f>
        <v>-</v>
      </c>
      <c r="J870" s="19">
        <f>IFERROR(__xludf.DUMMYFUNCTION("""COMPUTED_VALUE"""),0.01947)</f>
        <v>0.01947</v>
      </c>
      <c r="K870" s="19">
        <f>IFERROR(__xludf.DUMMYFUNCTION("""COMPUTED_VALUE"""),0.13078)</f>
        <v>0.13078</v>
      </c>
      <c r="L870" s="19" t="str">
        <f>IFERROR(__xludf.DUMMYFUNCTION("""COMPUTED_VALUE"""),"-")</f>
        <v>-</v>
      </c>
      <c r="M870" s="19" t="str">
        <f>IFERROR(__xludf.DUMMYFUNCTION("""COMPUTED_VALUE"""),"-")</f>
        <v>-</v>
      </c>
    </row>
    <row r="871">
      <c r="A871" s="12" t="s">
        <v>9661</v>
      </c>
      <c r="G871" s="19">
        <f>IFERROR(__xludf.DUMMYFUNCTION("SPLIT(A869, "" |"")"),433001.0)</f>
        <v>433001</v>
      </c>
      <c r="H871" s="19">
        <f>IFERROR(__xludf.DUMMYFUNCTION("""COMPUTED_VALUE"""),0.00478)</f>
        <v>0.00478</v>
      </c>
      <c r="I871" s="19" t="str">
        <f>IFERROR(__xludf.DUMMYFUNCTION("""COMPUTED_VALUE"""),"-")</f>
        <v>-</v>
      </c>
      <c r="J871" s="19">
        <f>IFERROR(__xludf.DUMMYFUNCTION("""COMPUTED_VALUE"""),0.0197)</f>
        <v>0.0197</v>
      </c>
      <c r="K871" s="19">
        <f>IFERROR(__xludf.DUMMYFUNCTION("""COMPUTED_VALUE"""),0.12802)</f>
        <v>0.12802</v>
      </c>
      <c r="L871" s="19" t="str">
        <f>IFERROR(__xludf.DUMMYFUNCTION("""COMPUTED_VALUE"""),"-")</f>
        <v>-</v>
      </c>
      <c r="M871" s="19" t="str">
        <f>IFERROR(__xludf.DUMMYFUNCTION("""COMPUTED_VALUE"""),"-")</f>
        <v>-</v>
      </c>
    </row>
    <row r="872">
      <c r="A872" s="12" t="s">
        <v>9662</v>
      </c>
      <c r="G872" s="19">
        <f>IFERROR(__xludf.DUMMYFUNCTION("SPLIT(A870, "" |"")"),433501.0)</f>
        <v>433501</v>
      </c>
      <c r="H872" s="19">
        <f>IFERROR(__xludf.DUMMYFUNCTION("""COMPUTED_VALUE"""),0.00475)</f>
        <v>0.00475</v>
      </c>
      <c r="I872" s="19" t="str">
        <f>IFERROR(__xludf.DUMMYFUNCTION("""COMPUTED_VALUE"""),"-")</f>
        <v>-</v>
      </c>
      <c r="J872" s="19">
        <f>IFERROR(__xludf.DUMMYFUNCTION("""COMPUTED_VALUE"""),0.01975)</f>
        <v>0.01975</v>
      </c>
      <c r="K872" s="19">
        <f>IFERROR(__xludf.DUMMYFUNCTION("""COMPUTED_VALUE"""),0.13191)</f>
        <v>0.13191</v>
      </c>
      <c r="L872" s="19" t="str">
        <f>IFERROR(__xludf.DUMMYFUNCTION("""COMPUTED_VALUE"""),"-")</f>
        <v>-</v>
      </c>
      <c r="M872" s="19" t="str">
        <f>IFERROR(__xludf.DUMMYFUNCTION("""COMPUTED_VALUE"""),"-")</f>
        <v>-</v>
      </c>
    </row>
    <row r="873">
      <c r="A873" s="12" t="s">
        <v>9663</v>
      </c>
      <c r="G873" s="19">
        <f>IFERROR(__xludf.DUMMYFUNCTION("SPLIT(A871, "" |"")"),434001.0)</f>
        <v>434001</v>
      </c>
      <c r="H873" s="19">
        <f>IFERROR(__xludf.DUMMYFUNCTION("""COMPUTED_VALUE"""),0.00469)</f>
        <v>0.00469</v>
      </c>
      <c r="I873" s="19" t="str">
        <f>IFERROR(__xludf.DUMMYFUNCTION("""COMPUTED_VALUE"""),"-")</f>
        <v>-</v>
      </c>
      <c r="J873" s="19">
        <f>IFERROR(__xludf.DUMMYFUNCTION("""COMPUTED_VALUE"""),0.01952)</f>
        <v>0.01952</v>
      </c>
      <c r="K873" s="19">
        <f>IFERROR(__xludf.DUMMYFUNCTION("""COMPUTED_VALUE"""),0.12928)</f>
        <v>0.12928</v>
      </c>
      <c r="L873" s="19" t="str">
        <f>IFERROR(__xludf.DUMMYFUNCTION("""COMPUTED_VALUE"""),"-")</f>
        <v>-</v>
      </c>
      <c r="M873" s="19" t="str">
        <f>IFERROR(__xludf.DUMMYFUNCTION("""COMPUTED_VALUE"""),"-")</f>
        <v>-</v>
      </c>
    </row>
    <row r="874">
      <c r="A874" s="12" t="s">
        <v>9664</v>
      </c>
      <c r="G874" s="19">
        <f>IFERROR(__xludf.DUMMYFUNCTION("SPLIT(A872, "" |"")"),434501.0)</f>
        <v>434501</v>
      </c>
      <c r="H874" s="19">
        <f>IFERROR(__xludf.DUMMYFUNCTION("""COMPUTED_VALUE"""),0.00471)</f>
        <v>0.00471</v>
      </c>
      <c r="I874" s="19" t="str">
        <f>IFERROR(__xludf.DUMMYFUNCTION("""COMPUTED_VALUE"""),"-")</f>
        <v>-</v>
      </c>
      <c r="J874" s="19">
        <f>IFERROR(__xludf.DUMMYFUNCTION("""COMPUTED_VALUE"""),0.01955)</f>
        <v>0.01955</v>
      </c>
      <c r="K874" s="19">
        <f>IFERROR(__xludf.DUMMYFUNCTION("""COMPUTED_VALUE"""),0.13186)</f>
        <v>0.13186</v>
      </c>
      <c r="L874" s="19" t="str">
        <f>IFERROR(__xludf.DUMMYFUNCTION("""COMPUTED_VALUE"""),"-")</f>
        <v>-</v>
      </c>
      <c r="M874" s="19" t="str">
        <f>IFERROR(__xludf.DUMMYFUNCTION("""COMPUTED_VALUE"""),"-")</f>
        <v>-</v>
      </c>
    </row>
    <row r="875">
      <c r="A875" s="12" t="s">
        <v>9665</v>
      </c>
      <c r="G875" s="19">
        <f>IFERROR(__xludf.DUMMYFUNCTION("SPLIT(A873, "" |"")"),435001.0)</f>
        <v>435001</v>
      </c>
      <c r="H875" s="19">
        <f>IFERROR(__xludf.DUMMYFUNCTION("""COMPUTED_VALUE"""),0.00495)</f>
        <v>0.00495</v>
      </c>
      <c r="I875" s="19" t="str">
        <f>IFERROR(__xludf.DUMMYFUNCTION("""COMPUTED_VALUE"""),"-")</f>
        <v>-</v>
      </c>
      <c r="J875" s="19">
        <f>IFERROR(__xludf.DUMMYFUNCTION("""COMPUTED_VALUE"""),0.01971)</f>
        <v>0.01971</v>
      </c>
      <c r="K875" s="19">
        <f>IFERROR(__xludf.DUMMYFUNCTION("""COMPUTED_VALUE"""),0.13196)</f>
        <v>0.13196</v>
      </c>
      <c r="L875" s="19" t="str">
        <f>IFERROR(__xludf.DUMMYFUNCTION("""COMPUTED_VALUE"""),"-")</f>
        <v>-</v>
      </c>
      <c r="M875" s="19" t="str">
        <f>IFERROR(__xludf.DUMMYFUNCTION("""COMPUTED_VALUE"""),"-")</f>
        <v>-</v>
      </c>
    </row>
    <row r="876">
      <c r="A876" s="12" t="s">
        <v>9666</v>
      </c>
      <c r="G876" s="19">
        <f>IFERROR(__xludf.DUMMYFUNCTION("SPLIT(A874, "" |"")"),435501.0)</f>
        <v>435501</v>
      </c>
      <c r="H876" s="19">
        <f>IFERROR(__xludf.DUMMYFUNCTION("""COMPUTED_VALUE"""),0.0049)</f>
        <v>0.0049</v>
      </c>
      <c r="I876" s="19" t="str">
        <f>IFERROR(__xludf.DUMMYFUNCTION("""COMPUTED_VALUE"""),"-")</f>
        <v>-</v>
      </c>
      <c r="J876" s="19">
        <f>IFERROR(__xludf.DUMMYFUNCTION("""COMPUTED_VALUE"""),0.01969)</f>
        <v>0.01969</v>
      </c>
      <c r="K876" s="19">
        <f>IFERROR(__xludf.DUMMYFUNCTION("""COMPUTED_VALUE"""),0.12704)</f>
        <v>0.12704</v>
      </c>
      <c r="L876" s="19" t="str">
        <f>IFERROR(__xludf.DUMMYFUNCTION("""COMPUTED_VALUE"""),"-")</f>
        <v>-</v>
      </c>
      <c r="M876" s="19" t="str">
        <f>IFERROR(__xludf.DUMMYFUNCTION("""COMPUTED_VALUE"""),"-")</f>
        <v>-</v>
      </c>
    </row>
    <row r="877">
      <c r="A877" s="12" t="s">
        <v>9667</v>
      </c>
      <c r="G877" s="19">
        <f>IFERROR(__xludf.DUMMYFUNCTION("SPLIT(A875, "" |"")"),436001.0)</f>
        <v>436001</v>
      </c>
      <c r="H877" s="19">
        <f>IFERROR(__xludf.DUMMYFUNCTION("""COMPUTED_VALUE"""),0.00476)</f>
        <v>0.00476</v>
      </c>
      <c r="I877" s="19" t="str">
        <f>IFERROR(__xludf.DUMMYFUNCTION("""COMPUTED_VALUE"""),"-")</f>
        <v>-</v>
      </c>
      <c r="J877" s="19">
        <f>IFERROR(__xludf.DUMMYFUNCTION("""COMPUTED_VALUE"""),0.01973)</f>
        <v>0.01973</v>
      </c>
      <c r="K877" s="19">
        <f>IFERROR(__xludf.DUMMYFUNCTION("""COMPUTED_VALUE"""),0.13047)</f>
        <v>0.13047</v>
      </c>
      <c r="L877" s="19" t="str">
        <f>IFERROR(__xludf.DUMMYFUNCTION("""COMPUTED_VALUE"""),"-")</f>
        <v>-</v>
      </c>
      <c r="M877" s="19" t="str">
        <f>IFERROR(__xludf.DUMMYFUNCTION("""COMPUTED_VALUE"""),"-")</f>
        <v>-</v>
      </c>
    </row>
    <row r="878">
      <c r="A878" s="12" t="s">
        <v>9668</v>
      </c>
      <c r="G878" s="19">
        <f>IFERROR(__xludf.DUMMYFUNCTION("SPLIT(A876, "" |"")"),436501.0)</f>
        <v>436501</v>
      </c>
      <c r="H878" s="19">
        <f>IFERROR(__xludf.DUMMYFUNCTION("""COMPUTED_VALUE"""),0.0047)</f>
        <v>0.0047</v>
      </c>
      <c r="I878" s="19" t="str">
        <f>IFERROR(__xludf.DUMMYFUNCTION("""COMPUTED_VALUE"""),"-")</f>
        <v>-</v>
      </c>
      <c r="J878" s="19">
        <f>IFERROR(__xludf.DUMMYFUNCTION("""COMPUTED_VALUE"""),0.01972)</f>
        <v>0.01972</v>
      </c>
      <c r="K878" s="19">
        <f>IFERROR(__xludf.DUMMYFUNCTION("""COMPUTED_VALUE"""),0.13181)</f>
        <v>0.13181</v>
      </c>
      <c r="L878" s="19" t="str">
        <f>IFERROR(__xludf.DUMMYFUNCTION("""COMPUTED_VALUE"""),"-")</f>
        <v>-</v>
      </c>
      <c r="M878" s="19" t="str">
        <f>IFERROR(__xludf.DUMMYFUNCTION("""COMPUTED_VALUE"""),"-")</f>
        <v>-</v>
      </c>
    </row>
    <row r="879">
      <c r="A879" s="12" t="s">
        <v>9669</v>
      </c>
      <c r="G879" s="19">
        <f>IFERROR(__xludf.DUMMYFUNCTION("SPLIT(A877, "" |"")"),437001.0)</f>
        <v>437001</v>
      </c>
      <c r="H879" s="19">
        <f>IFERROR(__xludf.DUMMYFUNCTION("""COMPUTED_VALUE"""),0.00469)</f>
        <v>0.00469</v>
      </c>
      <c r="I879" s="19" t="str">
        <f>IFERROR(__xludf.DUMMYFUNCTION("""COMPUTED_VALUE"""),"-")</f>
        <v>-</v>
      </c>
      <c r="J879" s="19">
        <f>IFERROR(__xludf.DUMMYFUNCTION("""COMPUTED_VALUE"""),0.01891)</f>
        <v>0.01891</v>
      </c>
      <c r="K879" s="19">
        <f>IFERROR(__xludf.DUMMYFUNCTION("""COMPUTED_VALUE"""),0.12774)</f>
        <v>0.12774</v>
      </c>
      <c r="L879" s="19" t="str">
        <f>IFERROR(__xludf.DUMMYFUNCTION("""COMPUTED_VALUE"""),"-")</f>
        <v>-</v>
      </c>
      <c r="M879" s="19" t="str">
        <f>IFERROR(__xludf.DUMMYFUNCTION("""COMPUTED_VALUE"""),"-")</f>
        <v>-</v>
      </c>
    </row>
    <row r="880">
      <c r="A880" s="12" t="s">
        <v>9670</v>
      </c>
      <c r="G880" s="19">
        <f>IFERROR(__xludf.DUMMYFUNCTION("SPLIT(A878, "" |"")"),437501.0)</f>
        <v>437501</v>
      </c>
      <c r="H880" s="19">
        <f>IFERROR(__xludf.DUMMYFUNCTION("""COMPUTED_VALUE"""),0.00484)</f>
        <v>0.00484</v>
      </c>
      <c r="I880" s="19" t="str">
        <f>IFERROR(__xludf.DUMMYFUNCTION("""COMPUTED_VALUE"""),"-")</f>
        <v>-</v>
      </c>
      <c r="J880" s="19">
        <f>IFERROR(__xludf.DUMMYFUNCTION("""COMPUTED_VALUE"""),0.01976)</f>
        <v>0.01976</v>
      </c>
      <c r="K880" s="19">
        <f>IFERROR(__xludf.DUMMYFUNCTION("""COMPUTED_VALUE"""),0.12547)</f>
        <v>0.12547</v>
      </c>
      <c r="L880" s="19" t="str">
        <f>IFERROR(__xludf.DUMMYFUNCTION("""COMPUTED_VALUE"""),"-")</f>
        <v>-</v>
      </c>
      <c r="M880" s="19" t="str">
        <f>IFERROR(__xludf.DUMMYFUNCTION("""COMPUTED_VALUE"""),"-")</f>
        <v>-</v>
      </c>
    </row>
    <row r="881">
      <c r="A881" s="12" t="s">
        <v>9671</v>
      </c>
      <c r="G881" s="19">
        <f>IFERROR(__xludf.DUMMYFUNCTION("SPLIT(A879, "" |"")"),438001.0)</f>
        <v>438001</v>
      </c>
      <c r="H881" s="19">
        <f>IFERROR(__xludf.DUMMYFUNCTION("""COMPUTED_VALUE"""),0.0048)</f>
        <v>0.0048</v>
      </c>
      <c r="I881" s="19" t="str">
        <f>IFERROR(__xludf.DUMMYFUNCTION("""COMPUTED_VALUE"""),"-")</f>
        <v>-</v>
      </c>
      <c r="J881" s="19">
        <f>IFERROR(__xludf.DUMMYFUNCTION("""COMPUTED_VALUE"""),0.01977)</f>
        <v>0.01977</v>
      </c>
      <c r="K881" s="19">
        <f>IFERROR(__xludf.DUMMYFUNCTION("""COMPUTED_VALUE"""),0.12819)</f>
        <v>0.12819</v>
      </c>
      <c r="L881" s="19" t="str">
        <f>IFERROR(__xludf.DUMMYFUNCTION("""COMPUTED_VALUE"""),"-")</f>
        <v>-</v>
      </c>
      <c r="M881" s="19" t="str">
        <f>IFERROR(__xludf.DUMMYFUNCTION("""COMPUTED_VALUE"""),"-")</f>
        <v>-</v>
      </c>
    </row>
    <row r="882">
      <c r="A882" s="12" t="s">
        <v>9672</v>
      </c>
      <c r="G882" s="19">
        <f>IFERROR(__xludf.DUMMYFUNCTION("SPLIT(A880, "" |"")"),438501.0)</f>
        <v>438501</v>
      </c>
      <c r="H882" s="19">
        <f>IFERROR(__xludf.DUMMYFUNCTION("""COMPUTED_VALUE"""),0.00474)</f>
        <v>0.00474</v>
      </c>
      <c r="I882" s="19" t="str">
        <f>IFERROR(__xludf.DUMMYFUNCTION("""COMPUTED_VALUE"""),"-")</f>
        <v>-</v>
      </c>
      <c r="J882" s="19">
        <f>IFERROR(__xludf.DUMMYFUNCTION("""COMPUTED_VALUE"""),0.01969)</f>
        <v>0.01969</v>
      </c>
      <c r="K882" s="19">
        <f>IFERROR(__xludf.DUMMYFUNCTION("""COMPUTED_VALUE"""),0.13172)</f>
        <v>0.13172</v>
      </c>
      <c r="L882" s="19" t="str">
        <f>IFERROR(__xludf.DUMMYFUNCTION("""COMPUTED_VALUE"""),"-")</f>
        <v>-</v>
      </c>
      <c r="M882" s="19" t="str">
        <f>IFERROR(__xludf.DUMMYFUNCTION("""COMPUTED_VALUE"""),"-")</f>
        <v>-</v>
      </c>
    </row>
    <row r="883">
      <c r="A883" s="12" t="s">
        <v>9673</v>
      </c>
      <c r="G883" s="19">
        <f>IFERROR(__xludf.DUMMYFUNCTION("SPLIT(A881, "" |"")"),439001.0)</f>
        <v>439001</v>
      </c>
      <c r="H883" s="19">
        <f>IFERROR(__xludf.DUMMYFUNCTION("""COMPUTED_VALUE"""),0.00478)</f>
        <v>0.00478</v>
      </c>
      <c r="I883" s="19" t="str">
        <f>IFERROR(__xludf.DUMMYFUNCTION("""COMPUTED_VALUE"""),"-")</f>
        <v>-</v>
      </c>
      <c r="J883" s="19">
        <f>IFERROR(__xludf.DUMMYFUNCTION("""COMPUTED_VALUE"""),0.01877)</f>
        <v>0.01877</v>
      </c>
      <c r="K883" s="19">
        <f>IFERROR(__xludf.DUMMYFUNCTION("""COMPUTED_VALUE"""),0.12955)</f>
        <v>0.12955</v>
      </c>
      <c r="L883" s="19" t="str">
        <f>IFERROR(__xludf.DUMMYFUNCTION("""COMPUTED_VALUE"""),"-")</f>
        <v>-</v>
      </c>
      <c r="M883" s="19" t="str">
        <f>IFERROR(__xludf.DUMMYFUNCTION("""COMPUTED_VALUE"""),"-")</f>
        <v>-</v>
      </c>
    </row>
    <row r="884">
      <c r="A884" s="12" t="s">
        <v>9674</v>
      </c>
      <c r="G884" s="19">
        <f>IFERROR(__xludf.DUMMYFUNCTION("SPLIT(A882, "" |"")"),439501.0)</f>
        <v>439501</v>
      </c>
      <c r="H884" s="19">
        <f>IFERROR(__xludf.DUMMYFUNCTION("""COMPUTED_VALUE"""),0.00468)</f>
        <v>0.00468</v>
      </c>
      <c r="I884" s="19" t="str">
        <f>IFERROR(__xludf.DUMMYFUNCTION("""COMPUTED_VALUE"""),"-")</f>
        <v>-</v>
      </c>
      <c r="J884" s="19">
        <f>IFERROR(__xludf.DUMMYFUNCTION("""COMPUTED_VALUE"""),0.01946)</f>
        <v>0.01946</v>
      </c>
      <c r="K884" s="19">
        <f>IFERROR(__xludf.DUMMYFUNCTION("""COMPUTED_VALUE"""),0.12818)</f>
        <v>0.12818</v>
      </c>
      <c r="L884" s="19" t="str">
        <f>IFERROR(__xludf.DUMMYFUNCTION("""COMPUTED_VALUE"""),"-")</f>
        <v>-</v>
      </c>
      <c r="M884" s="19" t="str">
        <f>IFERROR(__xludf.DUMMYFUNCTION("""COMPUTED_VALUE"""),"-")</f>
        <v>-</v>
      </c>
    </row>
    <row r="885">
      <c r="A885" s="12" t="s">
        <v>9675</v>
      </c>
      <c r="G885" s="19">
        <f>IFERROR(__xludf.DUMMYFUNCTION("SPLIT(A883, "" |"")"),440001.0)</f>
        <v>440001</v>
      </c>
      <c r="H885" s="19">
        <f>IFERROR(__xludf.DUMMYFUNCTION("""COMPUTED_VALUE"""),0.00479)</f>
        <v>0.00479</v>
      </c>
      <c r="I885" s="19" t="str">
        <f>IFERROR(__xludf.DUMMYFUNCTION("""COMPUTED_VALUE"""),"-")</f>
        <v>-</v>
      </c>
      <c r="J885" s="19">
        <f>IFERROR(__xludf.DUMMYFUNCTION("""COMPUTED_VALUE"""),0.01957)</f>
        <v>0.01957</v>
      </c>
      <c r="K885" s="19">
        <f>IFERROR(__xludf.DUMMYFUNCTION("""COMPUTED_VALUE"""),0.13195)</f>
        <v>0.13195</v>
      </c>
      <c r="L885" s="19" t="str">
        <f>IFERROR(__xludf.DUMMYFUNCTION("""COMPUTED_VALUE"""),"-")</f>
        <v>-</v>
      </c>
      <c r="M885" s="19" t="str">
        <f>IFERROR(__xludf.DUMMYFUNCTION("""COMPUTED_VALUE"""),"-")</f>
        <v>-</v>
      </c>
    </row>
    <row r="886">
      <c r="A886" s="12" t="s">
        <v>9676</v>
      </c>
      <c r="G886" s="19">
        <f>IFERROR(__xludf.DUMMYFUNCTION("SPLIT(A884, "" |"")"),440501.0)</f>
        <v>440501</v>
      </c>
      <c r="H886" s="19">
        <f>IFERROR(__xludf.DUMMYFUNCTION("""COMPUTED_VALUE"""),0.00468)</f>
        <v>0.00468</v>
      </c>
      <c r="I886" s="19" t="str">
        <f>IFERROR(__xludf.DUMMYFUNCTION("""COMPUTED_VALUE"""),"-")</f>
        <v>-</v>
      </c>
      <c r="J886" s="19">
        <f>IFERROR(__xludf.DUMMYFUNCTION("""COMPUTED_VALUE"""),0.01963)</f>
        <v>0.01963</v>
      </c>
      <c r="K886" s="19">
        <f>IFERROR(__xludf.DUMMYFUNCTION("""COMPUTED_VALUE"""),0.13526)</f>
        <v>0.13526</v>
      </c>
      <c r="L886" s="19" t="str">
        <f>IFERROR(__xludf.DUMMYFUNCTION("""COMPUTED_VALUE"""),"-")</f>
        <v>-</v>
      </c>
      <c r="M886" s="19" t="str">
        <f>IFERROR(__xludf.DUMMYFUNCTION("""COMPUTED_VALUE"""),"-")</f>
        <v>-</v>
      </c>
    </row>
    <row r="887">
      <c r="A887" s="12" t="s">
        <v>9677</v>
      </c>
      <c r="G887" s="19">
        <f>IFERROR(__xludf.DUMMYFUNCTION("SPLIT(A885, "" |"")"),441001.0)</f>
        <v>441001</v>
      </c>
      <c r="H887" s="19">
        <f>IFERROR(__xludf.DUMMYFUNCTION("""COMPUTED_VALUE"""),0.00484)</f>
        <v>0.00484</v>
      </c>
      <c r="I887" s="19" t="str">
        <f>IFERROR(__xludf.DUMMYFUNCTION("""COMPUTED_VALUE"""),"-")</f>
        <v>-</v>
      </c>
      <c r="J887" s="19">
        <f>IFERROR(__xludf.DUMMYFUNCTION("""COMPUTED_VALUE"""),0.01966)</f>
        <v>0.01966</v>
      </c>
      <c r="K887" s="19">
        <f>IFERROR(__xludf.DUMMYFUNCTION("""COMPUTED_VALUE"""),0.12758)</f>
        <v>0.12758</v>
      </c>
      <c r="L887" s="19" t="str">
        <f>IFERROR(__xludf.DUMMYFUNCTION("""COMPUTED_VALUE"""),"-")</f>
        <v>-</v>
      </c>
      <c r="M887" s="19" t="str">
        <f>IFERROR(__xludf.DUMMYFUNCTION("""COMPUTED_VALUE"""),"-")</f>
        <v>-</v>
      </c>
    </row>
    <row r="888">
      <c r="A888" s="12" t="s">
        <v>9678</v>
      </c>
      <c r="G888" s="19">
        <f>IFERROR(__xludf.DUMMYFUNCTION("SPLIT(A886, "" |"")"),441501.0)</f>
        <v>441501</v>
      </c>
      <c r="H888" s="19">
        <f>IFERROR(__xludf.DUMMYFUNCTION("""COMPUTED_VALUE"""),0.0047)</f>
        <v>0.0047</v>
      </c>
      <c r="I888" s="19" t="str">
        <f>IFERROR(__xludf.DUMMYFUNCTION("""COMPUTED_VALUE"""),"-")</f>
        <v>-</v>
      </c>
      <c r="J888" s="19">
        <f>IFERROR(__xludf.DUMMYFUNCTION("""COMPUTED_VALUE"""),0.01964)</f>
        <v>0.01964</v>
      </c>
      <c r="K888" s="19">
        <f>IFERROR(__xludf.DUMMYFUNCTION("""COMPUTED_VALUE"""),0.1318)</f>
        <v>0.1318</v>
      </c>
      <c r="L888" s="19" t="str">
        <f>IFERROR(__xludf.DUMMYFUNCTION("""COMPUTED_VALUE"""),"-")</f>
        <v>-</v>
      </c>
      <c r="M888" s="19" t="str">
        <f>IFERROR(__xludf.DUMMYFUNCTION("""COMPUTED_VALUE"""),"-")</f>
        <v>-</v>
      </c>
    </row>
    <row r="889">
      <c r="A889" s="12" t="s">
        <v>9679</v>
      </c>
      <c r="G889" s="19">
        <f>IFERROR(__xludf.DUMMYFUNCTION("SPLIT(A887, "" |"")"),442001.0)</f>
        <v>442001</v>
      </c>
      <c r="H889" s="19">
        <f>IFERROR(__xludf.DUMMYFUNCTION("""COMPUTED_VALUE"""),0.00473)</f>
        <v>0.00473</v>
      </c>
      <c r="I889" s="19" t="str">
        <f>IFERROR(__xludf.DUMMYFUNCTION("""COMPUTED_VALUE"""),"-")</f>
        <v>-</v>
      </c>
      <c r="J889" s="19">
        <f>IFERROR(__xludf.DUMMYFUNCTION("""COMPUTED_VALUE"""),0.01957)</f>
        <v>0.01957</v>
      </c>
      <c r="K889" s="19">
        <f>IFERROR(__xludf.DUMMYFUNCTION("""COMPUTED_VALUE"""),0.13149)</f>
        <v>0.13149</v>
      </c>
      <c r="L889" s="19" t="str">
        <f>IFERROR(__xludf.DUMMYFUNCTION("""COMPUTED_VALUE"""),"-")</f>
        <v>-</v>
      </c>
      <c r="M889" s="19" t="str">
        <f>IFERROR(__xludf.DUMMYFUNCTION("""COMPUTED_VALUE"""),"-")</f>
        <v>-</v>
      </c>
    </row>
    <row r="890">
      <c r="A890" s="12" t="s">
        <v>9680</v>
      </c>
      <c r="G890" s="19">
        <f>IFERROR(__xludf.DUMMYFUNCTION("SPLIT(A888, "" |"")"),442501.0)</f>
        <v>442501</v>
      </c>
      <c r="H890" s="19">
        <f>IFERROR(__xludf.DUMMYFUNCTION("""COMPUTED_VALUE"""),0.00534)</f>
        <v>0.00534</v>
      </c>
      <c r="I890" s="19" t="str">
        <f>IFERROR(__xludf.DUMMYFUNCTION("""COMPUTED_VALUE"""),"-")</f>
        <v>-</v>
      </c>
      <c r="J890" s="19">
        <f>IFERROR(__xludf.DUMMYFUNCTION("""COMPUTED_VALUE"""),0.01981)</f>
        <v>0.01981</v>
      </c>
      <c r="K890" s="19">
        <f>IFERROR(__xludf.DUMMYFUNCTION("""COMPUTED_VALUE"""),0.13187)</f>
        <v>0.13187</v>
      </c>
      <c r="L890" s="19" t="str">
        <f>IFERROR(__xludf.DUMMYFUNCTION("""COMPUTED_VALUE"""),"-")</f>
        <v>-</v>
      </c>
      <c r="M890" s="19" t="str">
        <f>IFERROR(__xludf.DUMMYFUNCTION("""COMPUTED_VALUE"""),"-")</f>
        <v>-</v>
      </c>
    </row>
    <row r="891">
      <c r="A891" s="12" t="s">
        <v>9681</v>
      </c>
      <c r="G891" s="19">
        <f>IFERROR(__xludf.DUMMYFUNCTION("SPLIT(A889, "" |"")"),443001.0)</f>
        <v>443001</v>
      </c>
      <c r="H891" s="19">
        <f>IFERROR(__xludf.DUMMYFUNCTION("""COMPUTED_VALUE"""),0.00468)</f>
        <v>0.00468</v>
      </c>
      <c r="I891" s="19" t="str">
        <f>IFERROR(__xludf.DUMMYFUNCTION("""COMPUTED_VALUE"""),"-")</f>
        <v>-</v>
      </c>
      <c r="J891" s="19">
        <f>IFERROR(__xludf.DUMMYFUNCTION("""COMPUTED_VALUE"""),0.01964)</f>
        <v>0.01964</v>
      </c>
      <c r="K891" s="19">
        <f>IFERROR(__xludf.DUMMYFUNCTION("""COMPUTED_VALUE"""),0.13192)</f>
        <v>0.13192</v>
      </c>
      <c r="L891" s="19" t="str">
        <f>IFERROR(__xludf.DUMMYFUNCTION("""COMPUTED_VALUE"""),"-")</f>
        <v>-</v>
      </c>
      <c r="M891" s="19" t="str">
        <f>IFERROR(__xludf.DUMMYFUNCTION("""COMPUTED_VALUE"""),"-")</f>
        <v>-</v>
      </c>
    </row>
    <row r="892">
      <c r="A892" s="12" t="s">
        <v>9682</v>
      </c>
      <c r="G892" s="19">
        <f>IFERROR(__xludf.DUMMYFUNCTION("SPLIT(A890, "" |"")"),443501.0)</f>
        <v>443501</v>
      </c>
      <c r="H892" s="19">
        <f>IFERROR(__xludf.DUMMYFUNCTION("""COMPUTED_VALUE"""),0.00485)</f>
        <v>0.00485</v>
      </c>
      <c r="I892" s="19" t="str">
        <f>IFERROR(__xludf.DUMMYFUNCTION("""COMPUTED_VALUE"""),"-")</f>
        <v>-</v>
      </c>
      <c r="J892" s="19">
        <f>IFERROR(__xludf.DUMMYFUNCTION("""COMPUTED_VALUE"""),0.03951)</f>
        <v>0.03951</v>
      </c>
      <c r="K892" s="19">
        <f>IFERROR(__xludf.DUMMYFUNCTION("""COMPUTED_VALUE"""),0.13191)</f>
        <v>0.13191</v>
      </c>
      <c r="L892" s="19" t="str">
        <f>IFERROR(__xludf.DUMMYFUNCTION("""COMPUTED_VALUE"""),"-")</f>
        <v>-</v>
      </c>
      <c r="M892" s="19" t="str">
        <f>IFERROR(__xludf.DUMMYFUNCTION("""COMPUTED_VALUE"""),"-")</f>
        <v>-</v>
      </c>
    </row>
    <row r="893">
      <c r="A893" s="12" t="s">
        <v>9683</v>
      </c>
      <c r="G893" s="19">
        <f>IFERROR(__xludf.DUMMYFUNCTION("SPLIT(A891, "" |"")"),444001.0)</f>
        <v>444001</v>
      </c>
      <c r="H893" s="19">
        <f>IFERROR(__xludf.DUMMYFUNCTION("""COMPUTED_VALUE"""),0.00468)</f>
        <v>0.00468</v>
      </c>
      <c r="I893" s="19" t="str">
        <f>IFERROR(__xludf.DUMMYFUNCTION("""COMPUTED_VALUE"""),"-")</f>
        <v>-</v>
      </c>
      <c r="J893" s="19">
        <f>IFERROR(__xludf.DUMMYFUNCTION("""COMPUTED_VALUE"""),0.01964)</f>
        <v>0.01964</v>
      </c>
      <c r="K893" s="19">
        <f>IFERROR(__xludf.DUMMYFUNCTION("""COMPUTED_VALUE"""),0.13197)</f>
        <v>0.13197</v>
      </c>
      <c r="L893" s="19" t="str">
        <f>IFERROR(__xludf.DUMMYFUNCTION("""COMPUTED_VALUE"""),"-")</f>
        <v>-</v>
      </c>
      <c r="M893" s="19" t="str">
        <f>IFERROR(__xludf.DUMMYFUNCTION("""COMPUTED_VALUE"""),"-")</f>
        <v>-</v>
      </c>
    </row>
    <row r="894">
      <c r="A894" s="12" t="s">
        <v>9684</v>
      </c>
      <c r="G894" s="19">
        <f>IFERROR(__xludf.DUMMYFUNCTION("SPLIT(A892, "" |"")"),444501.0)</f>
        <v>444501</v>
      </c>
      <c r="H894" s="19">
        <f>IFERROR(__xludf.DUMMYFUNCTION("""COMPUTED_VALUE"""),0.00472)</f>
        <v>0.00472</v>
      </c>
      <c r="I894" s="19" t="str">
        <f>IFERROR(__xludf.DUMMYFUNCTION("""COMPUTED_VALUE"""),"-")</f>
        <v>-</v>
      </c>
      <c r="J894" s="19">
        <f>IFERROR(__xludf.DUMMYFUNCTION("""COMPUTED_VALUE"""),0.01958)</f>
        <v>0.01958</v>
      </c>
      <c r="K894" s="19">
        <f>IFERROR(__xludf.DUMMYFUNCTION("""COMPUTED_VALUE"""),0.13185)</f>
        <v>0.13185</v>
      </c>
      <c r="L894" s="19" t="str">
        <f>IFERROR(__xludf.DUMMYFUNCTION("""COMPUTED_VALUE"""),"-")</f>
        <v>-</v>
      </c>
      <c r="M894" s="19" t="str">
        <f>IFERROR(__xludf.DUMMYFUNCTION("""COMPUTED_VALUE"""),"-")</f>
        <v>-</v>
      </c>
    </row>
    <row r="895">
      <c r="A895" s="12" t="s">
        <v>9685</v>
      </c>
      <c r="G895" s="19">
        <f>IFERROR(__xludf.DUMMYFUNCTION("SPLIT(A893, "" |"")"),445001.0)</f>
        <v>445001</v>
      </c>
      <c r="H895" s="19">
        <f>IFERROR(__xludf.DUMMYFUNCTION("""COMPUTED_VALUE"""),0.00466)</f>
        <v>0.00466</v>
      </c>
      <c r="I895" s="19" t="str">
        <f>IFERROR(__xludf.DUMMYFUNCTION("""COMPUTED_VALUE"""),"-")</f>
        <v>-</v>
      </c>
      <c r="J895" s="19">
        <f>IFERROR(__xludf.DUMMYFUNCTION("""COMPUTED_VALUE"""),0.0198)</f>
        <v>0.0198</v>
      </c>
      <c r="K895" s="19">
        <f>IFERROR(__xludf.DUMMYFUNCTION("""COMPUTED_VALUE"""),0.1319)</f>
        <v>0.1319</v>
      </c>
      <c r="L895" s="19" t="str">
        <f>IFERROR(__xludf.DUMMYFUNCTION("""COMPUTED_VALUE"""),"-")</f>
        <v>-</v>
      </c>
      <c r="M895" s="19" t="str">
        <f>IFERROR(__xludf.DUMMYFUNCTION("""COMPUTED_VALUE"""),"-")</f>
        <v>-</v>
      </c>
    </row>
    <row r="896">
      <c r="A896" s="12" t="s">
        <v>9686</v>
      </c>
      <c r="G896" s="19">
        <f>IFERROR(__xludf.DUMMYFUNCTION("SPLIT(A894, "" |"")"),445501.0)</f>
        <v>445501</v>
      </c>
      <c r="H896" s="19">
        <f>IFERROR(__xludf.DUMMYFUNCTION("""COMPUTED_VALUE"""),0.00462)</f>
        <v>0.00462</v>
      </c>
      <c r="I896" s="19" t="str">
        <f>IFERROR(__xludf.DUMMYFUNCTION("""COMPUTED_VALUE"""),"-")</f>
        <v>-</v>
      </c>
      <c r="J896" s="19">
        <f>IFERROR(__xludf.DUMMYFUNCTION("""COMPUTED_VALUE"""),0.01952)</f>
        <v>0.01952</v>
      </c>
      <c r="K896" s="19">
        <f>IFERROR(__xludf.DUMMYFUNCTION("""COMPUTED_VALUE"""),0.13178)</f>
        <v>0.13178</v>
      </c>
      <c r="L896" s="19" t="str">
        <f>IFERROR(__xludf.DUMMYFUNCTION("""COMPUTED_VALUE"""),"-")</f>
        <v>-</v>
      </c>
      <c r="M896" s="19" t="str">
        <f>IFERROR(__xludf.DUMMYFUNCTION("""COMPUTED_VALUE"""),"-")</f>
        <v>-</v>
      </c>
    </row>
    <row r="897">
      <c r="A897" s="12" t="s">
        <v>9687</v>
      </c>
      <c r="G897" s="19">
        <f>IFERROR(__xludf.DUMMYFUNCTION("SPLIT(A895, "" |"")"),446001.0)</f>
        <v>446001</v>
      </c>
      <c r="H897" s="19">
        <f>IFERROR(__xludf.DUMMYFUNCTION("""COMPUTED_VALUE"""),0.00486)</f>
        <v>0.00486</v>
      </c>
      <c r="I897" s="19" t="str">
        <f>IFERROR(__xludf.DUMMYFUNCTION("""COMPUTED_VALUE"""),"-")</f>
        <v>-</v>
      </c>
      <c r="J897" s="19">
        <f>IFERROR(__xludf.DUMMYFUNCTION("""COMPUTED_VALUE"""),0.01901)</f>
        <v>0.01901</v>
      </c>
      <c r="K897" s="19">
        <f>IFERROR(__xludf.DUMMYFUNCTION("""COMPUTED_VALUE"""),0.13191)</f>
        <v>0.13191</v>
      </c>
      <c r="L897" s="19" t="str">
        <f>IFERROR(__xludf.DUMMYFUNCTION("""COMPUTED_VALUE"""),"-")</f>
        <v>-</v>
      </c>
      <c r="M897" s="19" t="str">
        <f>IFERROR(__xludf.DUMMYFUNCTION("""COMPUTED_VALUE"""),"-")</f>
        <v>-</v>
      </c>
    </row>
    <row r="898">
      <c r="A898" s="12" t="s">
        <v>9688</v>
      </c>
      <c r="G898" s="19">
        <f>IFERROR(__xludf.DUMMYFUNCTION("SPLIT(A896, "" |"")"),446501.0)</f>
        <v>446501</v>
      </c>
      <c r="H898" s="19">
        <f>IFERROR(__xludf.DUMMYFUNCTION("""COMPUTED_VALUE"""),0.00477)</f>
        <v>0.00477</v>
      </c>
      <c r="I898" s="19" t="str">
        <f>IFERROR(__xludf.DUMMYFUNCTION("""COMPUTED_VALUE"""),"-")</f>
        <v>-</v>
      </c>
      <c r="J898" s="19">
        <f>IFERROR(__xludf.DUMMYFUNCTION("""COMPUTED_VALUE"""),0.01965)</f>
        <v>0.01965</v>
      </c>
      <c r="K898" s="19">
        <f>IFERROR(__xludf.DUMMYFUNCTION("""COMPUTED_VALUE"""),0.13191)</f>
        <v>0.13191</v>
      </c>
      <c r="L898" s="19" t="str">
        <f>IFERROR(__xludf.DUMMYFUNCTION("""COMPUTED_VALUE"""),"-")</f>
        <v>-</v>
      </c>
      <c r="M898" s="19" t="str">
        <f>IFERROR(__xludf.DUMMYFUNCTION("""COMPUTED_VALUE"""),"-")</f>
        <v>-</v>
      </c>
    </row>
    <row r="899">
      <c r="A899" s="12" t="s">
        <v>9689</v>
      </c>
      <c r="G899" s="19">
        <f>IFERROR(__xludf.DUMMYFUNCTION("SPLIT(A897, "" |"")"),447001.0)</f>
        <v>447001</v>
      </c>
      <c r="H899" s="19">
        <f>IFERROR(__xludf.DUMMYFUNCTION("""COMPUTED_VALUE"""),0.00466)</f>
        <v>0.00466</v>
      </c>
      <c r="I899" s="19" t="str">
        <f>IFERROR(__xludf.DUMMYFUNCTION("""COMPUTED_VALUE"""),"-")</f>
        <v>-</v>
      </c>
      <c r="J899" s="19">
        <f>IFERROR(__xludf.DUMMYFUNCTION("""COMPUTED_VALUE"""),0.01951)</f>
        <v>0.01951</v>
      </c>
      <c r="K899" s="19">
        <f>IFERROR(__xludf.DUMMYFUNCTION("""COMPUTED_VALUE"""),0.13185)</f>
        <v>0.13185</v>
      </c>
      <c r="L899" s="19" t="str">
        <f>IFERROR(__xludf.DUMMYFUNCTION("""COMPUTED_VALUE"""),"-")</f>
        <v>-</v>
      </c>
      <c r="M899" s="19" t="str">
        <f>IFERROR(__xludf.DUMMYFUNCTION("""COMPUTED_VALUE"""),"-")</f>
        <v>-</v>
      </c>
    </row>
    <row r="900">
      <c r="A900" s="12" t="s">
        <v>9690</v>
      </c>
      <c r="G900" s="19">
        <f>IFERROR(__xludf.DUMMYFUNCTION("SPLIT(A898, "" |"")"),447501.0)</f>
        <v>447501</v>
      </c>
      <c r="H900" s="19">
        <f>IFERROR(__xludf.DUMMYFUNCTION("""COMPUTED_VALUE"""),0.00468)</f>
        <v>0.00468</v>
      </c>
      <c r="I900" s="19" t="str">
        <f>IFERROR(__xludf.DUMMYFUNCTION("""COMPUTED_VALUE"""),"-")</f>
        <v>-</v>
      </c>
      <c r="J900" s="19">
        <f>IFERROR(__xludf.DUMMYFUNCTION("""COMPUTED_VALUE"""),0.01969)</f>
        <v>0.01969</v>
      </c>
      <c r="K900" s="19">
        <f>IFERROR(__xludf.DUMMYFUNCTION("""COMPUTED_VALUE"""),0.13196)</f>
        <v>0.13196</v>
      </c>
      <c r="L900" s="19" t="str">
        <f>IFERROR(__xludf.DUMMYFUNCTION("""COMPUTED_VALUE"""),"-")</f>
        <v>-</v>
      </c>
      <c r="M900" s="19" t="str">
        <f>IFERROR(__xludf.DUMMYFUNCTION("""COMPUTED_VALUE"""),"-")</f>
        <v>-</v>
      </c>
    </row>
    <row r="901">
      <c r="A901" s="12" t="s">
        <v>9691</v>
      </c>
      <c r="G901" s="19">
        <f>IFERROR(__xludf.DUMMYFUNCTION("SPLIT(A899, "" |"")"),448001.0)</f>
        <v>448001</v>
      </c>
      <c r="H901" s="19">
        <f>IFERROR(__xludf.DUMMYFUNCTION("""COMPUTED_VALUE"""),0.00436)</f>
        <v>0.00436</v>
      </c>
      <c r="I901" s="19" t="str">
        <f>IFERROR(__xludf.DUMMYFUNCTION("""COMPUTED_VALUE"""),"-")</f>
        <v>-</v>
      </c>
      <c r="J901" s="19">
        <f>IFERROR(__xludf.DUMMYFUNCTION("""COMPUTED_VALUE"""),0.01992)</f>
        <v>0.01992</v>
      </c>
      <c r="K901" s="19">
        <f>IFERROR(__xludf.DUMMYFUNCTION("""COMPUTED_VALUE"""),0.13208)</f>
        <v>0.13208</v>
      </c>
      <c r="L901" s="19" t="str">
        <f>IFERROR(__xludf.DUMMYFUNCTION("""COMPUTED_VALUE"""),"-")</f>
        <v>-</v>
      </c>
      <c r="M901" s="19" t="str">
        <f>IFERROR(__xludf.DUMMYFUNCTION("""COMPUTED_VALUE"""),"-")</f>
        <v>-</v>
      </c>
    </row>
    <row r="902">
      <c r="A902" s="12" t="s">
        <v>9692</v>
      </c>
      <c r="G902" s="19">
        <f>IFERROR(__xludf.DUMMYFUNCTION("SPLIT(A900, "" |"")"),448501.0)</f>
        <v>448501</v>
      </c>
      <c r="H902" s="19">
        <f>IFERROR(__xludf.DUMMYFUNCTION("""COMPUTED_VALUE"""),0.00478)</f>
        <v>0.00478</v>
      </c>
      <c r="I902" s="19" t="str">
        <f>IFERROR(__xludf.DUMMYFUNCTION("""COMPUTED_VALUE"""),"-")</f>
        <v>-</v>
      </c>
      <c r="J902" s="19">
        <f>IFERROR(__xludf.DUMMYFUNCTION("""COMPUTED_VALUE"""),0.01955)</f>
        <v>0.01955</v>
      </c>
      <c r="K902" s="19">
        <f>IFERROR(__xludf.DUMMYFUNCTION("""COMPUTED_VALUE"""),0.13083)</f>
        <v>0.13083</v>
      </c>
      <c r="L902" s="19" t="str">
        <f>IFERROR(__xludf.DUMMYFUNCTION("""COMPUTED_VALUE"""),"-")</f>
        <v>-</v>
      </c>
      <c r="M902" s="19" t="str">
        <f>IFERROR(__xludf.DUMMYFUNCTION("""COMPUTED_VALUE"""),"-")</f>
        <v>-</v>
      </c>
    </row>
    <row r="903">
      <c r="A903" s="12" t="s">
        <v>9693</v>
      </c>
      <c r="G903" s="19">
        <f>IFERROR(__xludf.DUMMYFUNCTION("SPLIT(A901, "" |"")"),449001.0)</f>
        <v>449001</v>
      </c>
      <c r="H903" s="19">
        <f>IFERROR(__xludf.DUMMYFUNCTION("""COMPUTED_VALUE"""),0.00473)</f>
        <v>0.00473</v>
      </c>
      <c r="I903" s="19" t="str">
        <f>IFERROR(__xludf.DUMMYFUNCTION("""COMPUTED_VALUE"""),"-")</f>
        <v>-</v>
      </c>
      <c r="J903" s="19">
        <f>IFERROR(__xludf.DUMMYFUNCTION("""COMPUTED_VALUE"""),0.01954)</f>
        <v>0.01954</v>
      </c>
      <c r="K903" s="19">
        <f>IFERROR(__xludf.DUMMYFUNCTION("""COMPUTED_VALUE"""),0.12964)</f>
        <v>0.12964</v>
      </c>
      <c r="L903" s="19" t="str">
        <f>IFERROR(__xludf.DUMMYFUNCTION("""COMPUTED_VALUE"""),"-")</f>
        <v>-</v>
      </c>
      <c r="M903" s="19" t="str">
        <f>IFERROR(__xludf.DUMMYFUNCTION("""COMPUTED_VALUE"""),"-")</f>
        <v>-</v>
      </c>
    </row>
    <row r="904">
      <c r="A904" s="12" t="s">
        <v>9694</v>
      </c>
      <c r="G904" s="19">
        <f>IFERROR(__xludf.DUMMYFUNCTION("SPLIT(A902, "" |"")"),449501.0)</f>
        <v>449501</v>
      </c>
      <c r="H904" s="19">
        <f>IFERROR(__xludf.DUMMYFUNCTION("""COMPUTED_VALUE"""),0.00477)</f>
        <v>0.00477</v>
      </c>
      <c r="I904" s="19" t="str">
        <f>IFERROR(__xludf.DUMMYFUNCTION("""COMPUTED_VALUE"""),"-")</f>
        <v>-</v>
      </c>
      <c r="J904" s="19">
        <f>IFERROR(__xludf.DUMMYFUNCTION("""COMPUTED_VALUE"""),0.01987)</f>
        <v>0.01987</v>
      </c>
      <c r="K904" s="19">
        <f>IFERROR(__xludf.DUMMYFUNCTION("""COMPUTED_VALUE"""),0.13193)</f>
        <v>0.13193</v>
      </c>
      <c r="L904" s="19" t="str">
        <f>IFERROR(__xludf.DUMMYFUNCTION("""COMPUTED_VALUE"""),"-")</f>
        <v>-</v>
      </c>
      <c r="M904" s="19" t="str">
        <f>IFERROR(__xludf.DUMMYFUNCTION("""COMPUTED_VALUE"""),"-")</f>
        <v>-</v>
      </c>
    </row>
    <row r="905">
      <c r="A905" s="12" t="s">
        <v>9695</v>
      </c>
    </row>
    <row r="906">
      <c r="A906" s="12" t="s">
        <v>9696</v>
      </c>
    </row>
    <row r="907">
      <c r="A907" s="12" t="s">
        <v>9697</v>
      </c>
    </row>
    <row r="908">
      <c r="A908" s="12" t="s">
        <v>9698</v>
      </c>
    </row>
    <row r="909">
      <c r="A909" s="12" t="s">
        <v>9699</v>
      </c>
    </row>
    <row r="910">
      <c r="A910" s="12" t="s">
        <v>9700</v>
      </c>
    </row>
    <row r="911">
      <c r="A911" s="12" t="s">
        <v>9701</v>
      </c>
    </row>
    <row r="912">
      <c r="A912" s="12" t="s">
        <v>9702</v>
      </c>
    </row>
    <row r="913">
      <c r="A913" s="12" t="s">
        <v>9703</v>
      </c>
    </row>
    <row r="914">
      <c r="A914" s="12" t="s">
        <v>9704</v>
      </c>
    </row>
    <row r="915">
      <c r="A915" s="12" t="s">
        <v>9705</v>
      </c>
    </row>
    <row r="916">
      <c r="A916" s="12" t="s">
        <v>9706</v>
      </c>
    </row>
    <row r="917">
      <c r="A917" s="12" t="s">
        <v>9707</v>
      </c>
    </row>
    <row r="918">
      <c r="A918" s="12" t="s">
        <v>9708</v>
      </c>
    </row>
    <row r="919">
      <c r="A919" s="12" t="s">
        <v>9709</v>
      </c>
    </row>
    <row r="920">
      <c r="A920" s="12" t="s">
        <v>9710</v>
      </c>
    </row>
    <row r="921">
      <c r="A921" s="12" t="s">
        <v>9711</v>
      </c>
    </row>
    <row r="922">
      <c r="A922" s="12" t="s">
        <v>9712</v>
      </c>
    </row>
    <row r="923">
      <c r="A923" s="12" t="s">
        <v>9713</v>
      </c>
    </row>
    <row r="924">
      <c r="A924" s="12" t="s">
        <v>9714</v>
      </c>
    </row>
    <row r="925">
      <c r="A925" s="12" t="s">
        <v>9715</v>
      </c>
    </row>
    <row r="926">
      <c r="A926" s="12" t="s">
        <v>9716</v>
      </c>
    </row>
    <row r="927">
      <c r="A927" s="12" t="s">
        <v>9717</v>
      </c>
    </row>
    <row r="928">
      <c r="A928" s="12" t="s">
        <v>9718</v>
      </c>
    </row>
    <row r="929">
      <c r="A929" s="12" t="s">
        <v>9719</v>
      </c>
    </row>
    <row r="930">
      <c r="A930" s="12" t="s">
        <v>9720</v>
      </c>
    </row>
    <row r="931">
      <c r="A931" s="12" t="s">
        <v>9721</v>
      </c>
    </row>
    <row r="932">
      <c r="A932" s="12" t="s">
        <v>9722</v>
      </c>
    </row>
    <row r="933">
      <c r="A933" s="12" t="s">
        <v>9723</v>
      </c>
    </row>
    <row r="934">
      <c r="A934" s="12" t="s">
        <v>9724</v>
      </c>
    </row>
    <row r="935">
      <c r="A935" s="12" t="s">
        <v>9725</v>
      </c>
    </row>
    <row r="936">
      <c r="A936" s="12" t="s">
        <v>9726</v>
      </c>
    </row>
    <row r="937">
      <c r="A937" s="12" t="s">
        <v>9727</v>
      </c>
    </row>
    <row r="938">
      <c r="A938" s="12" t="s">
        <v>9728</v>
      </c>
    </row>
    <row r="939">
      <c r="A939" s="12" t="s">
        <v>9729</v>
      </c>
    </row>
    <row r="940">
      <c r="A940" s="12" t="s">
        <v>9730</v>
      </c>
    </row>
    <row r="941">
      <c r="A941" s="12" t="s">
        <v>9731</v>
      </c>
    </row>
    <row r="942">
      <c r="A942" s="12" t="s">
        <v>9732</v>
      </c>
    </row>
    <row r="943">
      <c r="A943" s="12" t="s">
        <v>9733</v>
      </c>
    </row>
    <row r="944">
      <c r="A944" s="12" t="s">
        <v>9734</v>
      </c>
    </row>
    <row r="945">
      <c r="A945" s="12" t="s">
        <v>9735</v>
      </c>
    </row>
    <row r="946">
      <c r="A946" s="12" t="s">
        <v>9736</v>
      </c>
    </row>
    <row r="947">
      <c r="A947" s="12" t="s">
        <v>9737</v>
      </c>
    </row>
    <row r="948">
      <c r="A948" s="12" t="s">
        <v>9738</v>
      </c>
    </row>
    <row r="949">
      <c r="A949" s="12" t="s">
        <v>9739</v>
      </c>
    </row>
    <row r="950">
      <c r="A950" s="12" t="s">
        <v>9740</v>
      </c>
    </row>
    <row r="951">
      <c r="A951" s="12" t="s">
        <v>9741</v>
      </c>
    </row>
    <row r="952">
      <c r="A952" s="12" t="s">
        <v>9742</v>
      </c>
    </row>
    <row r="953">
      <c r="A953" s="12" t="s">
        <v>9743</v>
      </c>
    </row>
    <row r="954">
      <c r="A954" s="12" t="s">
        <v>9744</v>
      </c>
    </row>
    <row r="955">
      <c r="A955" s="12" t="s">
        <v>9745</v>
      </c>
    </row>
    <row r="956">
      <c r="A956" s="12" t="s">
        <v>9746</v>
      </c>
    </row>
    <row r="957">
      <c r="A957" s="12" t="s">
        <v>9747</v>
      </c>
    </row>
    <row r="958">
      <c r="A958" s="12" t="s">
        <v>9748</v>
      </c>
    </row>
    <row r="959">
      <c r="A959" s="12" t="s">
        <v>9749</v>
      </c>
    </row>
    <row r="960">
      <c r="A960" s="12" t="s">
        <v>9750</v>
      </c>
    </row>
    <row r="961">
      <c r="A961" s="12" t="s">
        <v>9751</v>
      </c>
    </row>
    <row r="962">
      <c r="A962" s="12" t="s">
        <v>9752</v>
      </c>
    </row>
    <row r="963">
      <c r="A963" s="12" t="s">
        <v>9753</v>
      </c>
    </row>
    <row r="964">
      <c r="A964" s="12" t="s">
        <v>9754</v>
      </c>
    </row>
    <row r="965">
      <c r="A965" s="12" t="s">
        <v>9755</v>
      </c>
    </row>
    <row r="966">
      <c r="A966" s="12" t="s">
        <v>9756</v>
      </c>
    </row>
    <row r="967">
      <c r="A967" s="12" t="s">
        <v>9757</v>
      </c>
    </row>
    <row r="968">
      <c r="A968" s="12" t="s">
        <v>9758</v>
      </c>
    </row>
    <row r="969">
      <c r="A969" s="12" t="s">
        <v>9759</v>
      </c>
    </row>
    <row r="970">
      <c r="A970" s="12" t="s">
        <v>9760</v>
      </c>
    </row>
    <row r="971">
      <c r="A971" s="12" t="s">
        <v>9761</v>
      </c>
    </row>
    <row r="972">
      <c r="A972" s="12" t="s">
        <v>9762</v>
      </c>
    </row>
    <row r="973">
      <c r="A973" s="12" t="s">
        <v>9763</v>
      </c>
    </row>
    <row r="974">
      <c r="A974" s="12" t="s">
        <v>9764</v>
      </c>
    </row>
    <row r="975">
      <c r="A975" s="12" t="s">
        <v>9765</v>
      </c>
    </row>
    <row r="976">
      <c r="A976" s="12" t="s">
        <v>9766</v>
      </c>
    </row>
    <row r="977">
      <c r="A977" s="12" t="s">
        <v>9767</v>
      </c>
    </row>
    <row r="978">
      <c r="A978" s="12" t="s">
        <v>9768</v>
      </c>
    </row>
    <row r="979">
      <c r="A979" s="12" t="s">
        <v>9769</v>
      </c>
    </row>
    <row r="980">
      <c r="A980" s="12" t="s">
        <v>9770</v>
      </c>
    </row>
    <row r="981">
      <c r="A981" s="12" t="s">
        <v>9771</v>
      </c>
    </row>
    <row r="982">
      <c r="A982" s="12" t="s">
        <v>9772</v>
      </c>
    </row>
    <row r="983">
      <c r="A983" s="12" t="s">
        <v>9773</v>
      </c>
    </row>
    <row r="984">
      <c r="A984" s="12" t="s">
        <v>9774</v>
      </c>
    </row>
    <row r="985">
      <c r="A985" s="12" t="s">
        <v>9775</v>
      </c>
    </row>
    <row r="986">
      <c r="A986" s="12" t="s">
        <v>9776</v>
      </c>
    </row>
    <row r="987">
      <c r="A987" s="12" t="s">
        <v>9777</v>
      </c>
    </row>
    <row r="988">
      <c r="A988" s="12" t="s">
        <v>9778</v>
      </c>
    </row>
    <row r="989">
      <c r="A989" s="12" t="s">
        <v>9779</v>
      </c>
    </row>
    <row r="990">
      <c r="A990" s="12" t="s">
        <v>9780</v>
      </c>
    </row>
    <row r="991">
      <c r="A991" s="12" t="s">
        <v>9781</v>
      </c>
    </row>
    <row r="992">
      <c r="A992" s="12" t="s">
        <v>9782</v>
      </c>
    </row>
    <row r="993">
      <c r="A993" s="12" t="s">
        <v>9783</v>
      </c>
    </row>
    <row r="994">
      <c r="A994" s="12" t="s">
        <v>9784</v>
      </c>
    </row>
    <row r="995">
      <c r="A995" s="12" t="s">
        <v>9785</v>
      </c>
    </row>
    <row r="996">
      <c r="A996" s="12" t="s">
        <v>9786</v>
      </c>
    </row>
    <row r="997">
      <c r="A997" s="12" t="s">
        <v>9787</v>
      </c>
    </row>
    <row r="998">
      <c r="A998" s="12" t="s">
        <v>9788</v>
      </c>
    </row>
    <row r="999">
      <c r="A999" s="12" t="s">
        <v>9789</v>
      </c>
    </row>
    <row r="1000">
      <c r="A1000" s="12" t="s">
        <v>9790</v>
      </c>
    </row>
    <row r="1001">
      <c r="A1001" s="12" t="s">
        <v>9791</v>
      </c>
    </row>
    <row r="1002">
      <c r="A1002" s="12" t="s">
        <v>9792</v>
      </c>
    </row>
  </sheetData>
  <mergeCells count="2">
    <mergeCell ref="H2:J2"/>
    <mergeCell ref="K2:M2"/>
  </mergeCells>
  <drawing r:id="rId1"/>
</worksheet>
</file>